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LAURA.CORREDOR\Desktop\Seguimiento actividades 2022\"/>
    </mc:Choice>
  </mc:AlternateContent>
  <xr:revisionPtr revIDLastSave="0" documentId="8_{0007BEC9-99C7-48BF-9450-2A8D8EF0120D}" xr6:coauthVersionLast="45" xr6:coauthVersionMax="45" xr10:uidLastSave="{00000000-0000-0000-0000-000000000000}"/>
  <bookViews>
    <workbookView xWindow="-120" yWindow="-120" windowWidth="29040" windowHeight="15840" xr2:uid="{00000000-000D-0000-FFFF-FFFF00000000}"/>
  </bookViews>
  <sheets>
    <sheet name="Menu por Procesos" sheetId="1" r:id="rId1"/>
    <sheet name="Administración y Mantenimiento" sheetId="2" r:id="rId2"/>
    <sheet name="Adquisición de Bienes y Servici" sheetId="3" r:id="rId3"/>
    <sheet name="Control Disciplinario" sheetId="4" r:id="rId4"/>
    <sheet name="Hoja 3" sheetId="5" state="hidden" r:id="rId5"/>
    <sheet name="Control, Evaluación y Mejora" sheetId="6" r:id="rId6"/>
    <sheet name="Diseño y Construcción de Parque" sheetId="7" r:id="rId7"/>
    <sheet name="Fomento al Deporte" sheetId="8" r:id="rId8"/>
    <sheet name="Promoción de la Recreación" sheetId="9" r:id="rId9"/>
    <sheet name="P.I. 7851" sheetId="10" r:id="rId10"/>
    <sheet name="P.I 7850 - Fomento al deporte" sheetId="11" r:id="rId11"/>
    <sheet name="PI7852 Promoción de la Recreaci" sheetId="12" r:id="rId12"/>
    <sheet name="P.I. 7852 - Fomento al deporte" sheetId="13" r:id="rId13"/>
    <sheet name="P.I 7854" sheetId="14" r:id="rId14"/>
    <sheet name="Gestión de Asuntos Locales" sheetId="15" r:id="rId15"/>
    <sheet name="Gestión de Comunicaciones" sheetId="16" r:id="rId16"/>
    <sheet name="Gestión de Recursos Físicos" sheetId="17" r:id="rId17"/>
    <sheet name="Gestión de Talento Humano" sheetId="18" r:id="rId18"/>
    <sheet name="Gestión de Tecnologias de la In" sheetId="19" r:id="rId19"/>
    <sheet name="Gestión Documental" sheetId="20" r:id="rId20"/>
    <sheet name="Gestión Financiera" sheetId="21" r:id="rId21"/>
    <sheet name="Gestión Jurídica ." sheetId="22" r:id="rId22"/>
    <sheet name="Planeación de la Gestión" sheetId="23" r:id="rId23"/>
    <sheet name="Servicio a la Ciudadania" sheetId="24" r:id="rId24"/>
    <sheet name="Codvid-19 Orden Distrital" sheetId="25" r:id="rId25"/>
    <sheet name="Codvid-19 Orden IDRD" sheetId="26" r:id="rId26"/>
    <sheet name="Codvid-19 Orden Nacional" sheetId="27" r:id="rId27"/>
    <sheet name="PIGA" sheetId="28" r:id="rId28"/>
  </sheets>
  <definedNames>
    <definedName name="_xlnm._FilterDatabase" localSheetId="1" hidden="1">'Administración y Mantenimiento'!$A$4:$AB$19</definedName>
    <definedName name="_xlnm._FilterDatabase" localSheetId="2" hidden="1">'Adquisición de Bienes y Servici'!$A$5:$AB$90</definedName>
    <definedName name="_xlnm._FilterDatabase" localSheetId="24" hidden="1">'Codvid-19 Orden Distrital'!$A$5:$AC$1397</definedName>
    <definedName name="_xlnm._FilterDatabase" localSheetId="26" hidden="1">'Codvid-19 Orden Nacional'!$A$5:$AC$1289</definedName>
    <definedName name="_xlnm._FilterDatabase" localSheetId="3" hidden="1">'Control Disciplinario'!$A$5:$AC$36</definedName>
    <definedName name="_xlnm._FilterDatabase" localSheetId="5" hidden="1">'Control, Evaluación y Mejora'!$A$5:$AB$1420</definedName>
    <definedName name="_xlnm._FilterDatabase" localSheetId="6" hidden="1">'Diseño y Construcción de Parque'!$A$5:$AB$129</definedName>
    <definedName name="_xlnm._FilterDatabase" localSheetId="7" hidden="1">'Fomento al Deporte'!$A$5:$AA$78</definedName>
    <definedName name="_xlnm._FilterDatabase" localSheetId="14" hidden="1">'Gestión de Asuntos Locales'!$A$5:$AB$13</definedName>
    <definedName name="_xlnm._FilterDatabase" localSheetId="15" hidden="1">'Gestión de Comunicaciones'!$A$5:$AB$36</definedName>
    <definedName name="_xlnm._FilterDatabase" localSheetId="16" hidden="1">'Gestión de Recursos Físicos'!$A$5:$AB$71</definedName>
    <definedName name="_xlnm._FilterDatabase" localSheetId="17" hidden="1">'Gestión de Talento Humano'!$A$5:$AB$169</definedName>
    <definedName name="_xlnm._FilterDatabase" localSheetId="18" hidden="1">'Gestión de Tecnologias de la In'!$A$6:$Z$110</definedName>
    <definedName name="_xlnm._FilterDatabase" localSheetId="19" hidden="1">'Gestión Documental'!$A$5:$AA$96</definedName>
    <definedName name="_xlnm._FilterDatabase" localSheetId="20" hidden="1">'Gestión Financiera'!$A$5:$AB$125</definedName>
    <definedName name="_xlnm._FilterDatabase" localSheetId="10" hidden="1">'P.I 7850 - Fomento al deporte'!$A$5:$AA$78</definedName>
    <definedName name="_xlnm._FilterDatabase" localSheetId="13" hidden="1">'P.I 7854'!$A$5:$AA$45</definedName>
    <definedName name="_xlnm._FilterDatabase" localSheetId="9" hidden="1">'P.I. 7851'!$A$5:$AA$127</definedName>
    <definedName name="_xlnm._FilterDatabase" localSheetId="12" hidden="1">'P.I. 7852 - Fomento al deporte'!$A$5:$AA$45</definedName>
    <definedName name="_xlnm._FilterDatabase" localSheetId="11" hidden="1">'PI7852 Promoción de la Recreaci'!$A$5:$AB$127</definedName>
    <definedName name="_xlnm._FilterDatabase" localSheetId="27" hidden="1">PIGA!$A$5:$AB$120</definedName>
    <definedName name="_xlnm._FilterDatabase" localSheetId="22" hidden="1">'Planeación de la Gestión'!$A$5:$AB$103</definedName>
    <definedName name="_xlnm._FilterDatabase" localSheetId="8" hidden="1">'Promoción de la Recreación'!$A$5:$AB$146</definedName>
    <definedName name="_xlnm._FilterDatabase" localSheetId="23" hidden="1">'Servicio a la Ciudadania'!$A$5:$AB$35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2" i="24" l="1"/>
  <c r="A31" i="24"/>
  <c r="A30" i="24"/>
  <c r="A28" i="24"/>
  <c r="A27" i="24"/>
  <c r="A26" i="24"/>
  <c r="A25" i="24"/>
  <c r="A24" i="24"/>
  <c r="A23" i="24"/>
  <c r="A22" i="24"/>
  <c r="A21" i="24"/>
  <c r="A20" i="24"/>
  <c r="A19" i="24"/>
  <c r="A18" i="24"/>
  <c r="A17" i="24"/>
  <c r="A16" i="24"/>
  <c r="A15" i="24"/>
  <c r="A14" i="24"/>
  <c r="A13" i="24"/>
  <c r="A12" i="24"/>
  <c r="A11" i="24"/>
  <c r="A10" i="24"/>
  <c r="A9" i="24"/>
  <c r="A8" i="24"/>
  <c r="A7" i="24"/>
  <c r="A6" i="24"/>
  <c r="A67" i="23"/>
  <c r="A62" i="23"/>
  <c r="A58" i="23"/>
  <c r="A57" i="23"/>
  <c r="A55" i="23"/>
  <c r="A54" i="23"/>
  <c r="A53" i="23"/>
  <c r="A52" i="23"/>
  <c r="A51" i="23"/>
  <c r="A50" i="23"/>
  <c r="A49" i="23"/>
  <c r="A48" i="23"/>
  <c r="A46" i="23"/>
  <c r="A45" i="23"/>
  <c r="A44" i="23"/>
  <c r="A42" i="23"/>
  <c r="A40" i="23"/>
  <c r="A39" i="23"/>
  <c r="A38" i="23"/>
  <c r="A37" i="23"/>
  <c r="A35" i="23"/>
  <c r="A34" i="23"/>
  <c r="A33" i="23"/>
  <c r="A32" i="23"/>
  <c r="A31" i="23"/>
  <c r="A30" i="23"/>
  <c r="A29" i="23"/>
  <c r="A28" i="23"/>
  <c r="A27" i="23"/>
  <c r="A26" i="23"/>
  <c r="A25" i="23"/>
  <c r="A24" i="23"/>
  <c r="A23" i="23"/>
  <c r="A22" i="23"/>
  <c r="A21" i="23"/>
  <c r="A20" i="23"/>
  <c r="A19" i="23"/>
  <c r="A18" i="23"/>
  <c r="A17" i="23"/>
  <c r="A15" i="23"/>
  <c r="A13" i="23"/>
  <c r="A12" i="23"/>
  <c r="A11" i="23"/>
  <c r="A10" i="23"/>
  <c r="A8" i="23"/>
  <c r="A7" i="23"/>
  <c r="A6" i="23"/>
  <c r="A127" i="22"/>
  <c r="A126" i="22"/>
  <c r="A125" i="22"/>
  <c r="A124" i="22"/>
  <c r="A123" i="22"/>
  <c r="A122" i="22"/>
  <c r="A121" i="22"/>
  <c r="A120" i="22"/>
  <c r="A119" i="22"/>
  <c r="A118" i="22"/>
  <c r="A116" i="22"/>
  <c r="A115" i="22"/>
  <c r="A114" i="22"/>
  <c r="A113" i="22"/>
  <c r="A112" i="22"/>
  <c r="A111" i="22"/>
  <c r="A110" i="22"/>
  <c r="A109" i="22"/>
  <c r="A108" i="22"/>
  <c r="A107" i="22"/>
  <c r="A106" i="22"/>
  <c r="A105" i="22"/>
  <c r="A104" i="22"/>
  <c r="A103" i="22"/>
  <c r="A102" i="22"/>
  <c r="A101" i="22"/>
  <c r="A100" i="22"/>
  <c r="A99" i="22"/>
  <c r="A98" i="22"/>
  <c r="A92" i="22"/>
  <c r="A91" i="22"/>
  <c r="A90" i="22"/>
  <c r="A89" i="22"/>
  <c r="A87" i="22"/>
  <c r="A86" i="22"/>
  <c r="A85" i="22"/>
  <c r="A84" i="22"/>
  <c r="A83" i="22"/>
  <c r="A82" i="22"/>
  <c r="A81" i="22"/>
  <c r="A80" i="22"/>
  <c r="A79" i="22"/>
  <c r="A78" i="22"/>
  <c r="A77" i="22"/>
  <c r="A76" i="22"/>
  <c r="A74" i="22"/>
  <c r="A73"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111" i="21"/>
  <c r="A110" i="21"/>
  <c r="A109" i="21"/>
  <c r="A107" i="21"/>
  <c r="A106" i="21"/>
  <c r="A105" i="21"/>
  <c r="A104" i="21"/>
  <c r="A103" i="21"/>
  <c r="A102" i="21"/>
  <c r="A101" i="21"/>
  <c r="A100" i="21"/>
  <c r="A99" i="21"/>
  <c r="A98" i="21"/>
  <c r="A97" i="21"/>
  <c r="A96" i="21"/>
  <c r="A95" i="21"/>
  <c r="A94" i="21"/>
  <c r="A93" i="21"/>
  <c r="A92" i="21"/>
  <c r="A91" i="21"/>
  <c r="A90" i="21"/>
  <c r="A89" i="21"/>
  <c r="A88" i="21"/>
  <c r="A87" i="21"/>
  <c r="A86"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A6" i="21"/>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5" i="20"/>
  <c r="A44" i="20"/>
  <c r="A43" i="20"/>
  <c r="A42" i="20"/>
  <c r="A41" i="20"/>
  <c r="A40" i="20"/>
  <c r="A39" i="20"/>
  <c r="A38" i="20"/>
  <c r="A37" i="20"/>
  <c r="A36" i="20"/>
  <c r="A35"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102" i="19"/>
  <c r="A101" i="19"/>
  <c r="A100" i="19"/>
  <c r="A99" i="19"/>
  <c r="A98" i="19"/>
  <c r="A97" i="19"/>
  <c r="A96" i="19"/>
  <c r="A95" i="19"/>
  <c r="A94" i="19"/>
  <c r="A93" i="19"/>
  <c r="A92" i="19"/>
  <c r="A91" i="19"/>
  <c r="A90" i="19"/>
  <c r="A89" i="19"/>
  <c r="A88" i="19"/>
  <c r="A87" i="19"/>
  <c r="A86" i="19"/>
  <c r="A81" i="19"/>
  <c r="A80" i="19"/>
  <c r="A79" i="19"/>
  <c r="A78" i="19"/>
  <c r="A77" i="19"/>
  <c r="A76" i="19"/>
  <c r="A75" i="19"/>
  <c r="A74" i="19"/>
  <c r="A73" i="19"/>
  <c r="A72" i="19"/>
  <c r="A71" i="19"/>
  <c r="A67" i="19"/>
  <c r="A66" i="19"/>
  <c r="A65" i="19"/>
  <c r="A62" i="19"/>
  <c r="A61" i="19"/>
  <c r="A60" i="19"/>
  <c r="A59" i="19"/>
  <c r="A58" i="19"/>
  <c r="A57" i="19"/>
  <c r="A56" i="19"/>
  <c r="A48" i="19"/>
  <c r="A47" i="19"/>
  <c r="A46" i="19"/>
  <c r="A45" i="19"/>
  <c r="A44" i="19"/>
  <c r="A43" i="19"/>
  <c r="A42" i="19"/>
  <c r="A41" i="19"/>
  <c r="A40" i="19"/>
  <c r="A39" i="19"/>
  <c r="A38" i="19"/>
  <c r="A37" i="19"/>
  <c r="A36" i="19"/>
  <c r="A35" i="19"/>
  <c r="A34" i="19"/>
  <c r="A33" i="19"/>
  <c r="A32" i="19"/>
  <c r="A31" i="19"/>
  <c r="A30" i="19"/>
  <c r="A29" i="19"/>
  <c r="A28" i="19"/>
  <c r="A27" i="19"/>
  <c r="A24" i="19"/>
  <c r="A23" i="19"/>
  <c r="A22" i="19"/>
  <c r="A21" i="19"/>
  <c r="A20" i="19"/>
  <c r="A19" i="19"/>
  <c r="A18" i="19"/>
  <c r="A17" i="19"/>
  <c r="A16" i="19"/>
  <c r="A15" i="19"/>
  <c r="A14" i="19"/>
  <c r="A13" i="19"/>
  <c r="A12" i="19"/>
  <c r="A11" i="19"/>
  <c r="A9" i="19"/>
  <c r="A8" i="19"/>
  <c r="A7" i="19"/>
  <c r="A115" i="18"/>
  <c r="A114" i="18"/>
  <c r="A112" i="18"/>
  <c r="A111" i="18"/>
  <c r="A110" i="18"/>
  <c r="A109" i="18"/>
  <c r="A108" i="18"/>
  <c r="A107" i="18"/>
  <c r="A106" i="18"/>
  <c r="A105" i="18"/>
  <c r="A104" i="18"/>
  <c r="A103" i="18"/>
  <c r="A102" i="18"/>
  <c r="A101" i="18"/>
  <c r="A100" i="18"/>
  <c r="A99" i="18"/>
  <c r="A98" i="18"/>
  <c r="A97" i="18"/>
  <c r="A96" i="18"/>
  <c r="A95" i="18"/>
  <c r="A94" i="18"/>
  <c r="A92" i="18"/>
  <c r="A91" i="18"/>
  <c r="A89" i="18"/>
  <c r="A88" i="18"/>
  <c r="A87" i="18"/>
  <c r="A86" i="18"/>
  <c r="A85" i="18"/>
  <c r="A84" i="18"/>
  <c r="A83" i="18"/>
  <c r="A82" i="18"/>
  <c r="A81" i="18"/>
  <c r="A80" i="18"/>
  <c r="A77" i="18"/>
  <c r="A76" i="18"/>
  <c r="A75" i="18"/>
  <c r="A74" i="18"/>
  <c r="A73" i="18"/>
  <c r="A72" i="18"/>
  <c r="A71" i="18"/>
  <c r="A70" i="18"/>
  <c r="A69" i="18"/>
  <c r="A68" i="18"/>
  <c r="A67" i="18"/>
  <c r="A66" i="18"/>
  <c r="A65" i="18"/>
  <c r="A64" i="18"/>
  <c r="U63" i="18"/>
  <c r="N63" i="18"/>
  <c r="G63"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30" i="16"/>
  <c r="A29" i="16"/>
  <c r="A28" i="16"/>
  <c r="A27" i="16"/>
  <c r="A26" i="16"/>
  <c r="A25" i="16"/>
  <c r="A24" i="16"/>
  <c r="A23" i="16"/>
  <c r="A22" i="16"/>
  <c r="A21" i="16"/>
  <c r="A20" i="16"/>
  <c r="A19" i="16"/>
  <c r="A18" i="16"/>
  <c r="A17" i="16"/>
  <c r="A16" i="16"/>
  <c r="A15" i="16"/>
  <c r="A14" i="16"/>
  <c r="A13" i="16"/>
  <c r="A12" i="16"/>
  <c r="A11" i="16"/>
  <c r="A10" i="16"/>
  <c r="A9" i="16"/>
  <c r="A8" i="16"/>
  <c r="A7" i="16"/>
  <c r="A6" i="16"/>
  <c r="A9" i="15"/>
  <c r="A8" i="15"/>
  <c r="A7" i="15"/>
  <c r="A6" i="15"/>
  <c r="A45" i="14"/>
  <c r="A42" i="14"/>
  <c r="A41"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45" i="13"/>
  <c r="A44"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5" i="13"/>
  <c r="A14" i="13"/>
  <c r="A13" i="13"/>
  <c r="A12" i="13"/>
  <c r="A11" i="13"/>
  <c r="A10" i="13"/>
  <c r="A9" i="13"/>
  <c r="A8" i="13"/>
  <c r="A7" i="13"/>
  <c r="A6" i="13"/>
  <c r="A126" i="12"/>
  <c r="A125" i="12"/>
  <c r="A124" i="12"/>
  <c r="A123" i="12"/>
  <c r="A122" i="12"/>
  <c r="A120" i="12"/>
  <c r="A115" i="12"/>
  <c r="A114" i="12"/>
  <c r="A113" i="12"/>
  <c r="A112" i="12"/>
  <c r="A111" i="12"/>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78" i="11"/>
  <c r="A77" i="11"/>
  <c r="A76" i="11"/>
  <c r="A75" i="11"/>
  <c r="A74" i="11"/>
  <c r="A71" i="11"/>
  <c r="A70" i="11"/>
  <c r="A69" i="11"/>
  <c r="A68" i="11"/>
  <c r="A67" i="11"/>
  <c r="A66" i="11"/>
  <c r="A65" i="11"/>
  <c r="A64" i="11"/>
  <c r="A63" i="11"/>
  <c r="A62" i="11"/>
  <c r="A61" i="11"/>
  <c r="A60"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8" i="11"/>
  <c r="A7" i="11"/>
  <c r="A6" i="11"/>
  <c r="A126" i="10"/>
  <c r="A125" i="10"/>
  <c r="A124" i="10"/>
  <c r="A122" i="10"/>
  <c r="A119" i="10"/>
  <c r="A118" i="10"/>
  <c r="A117" i="10"/>
  <c r="A116" i="10"/>
  <c r="A115" i="10"/>
  <c r="A113" i="10"/>
  <c r="A112" i="10"/>
  <c r="A111" i="10"/>
  <c r="A110" i="10"/>
  <c r="A109" i="10"/>
  <c r="A108" i="10"/>
  <c r="A107" i="10"/>
  <c r="A106" i="10"/>
  <c r="A105" i="10"/>
  <c r="A104" i="10"/>
  <c r="A103" i="10"/>
  <c r="A102" i="10"/>
  <c r="A101" i="10"/>
  <c r="A100" i="10"/>
  <c r="A99"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29" i="10"/>
  <c r="A28" i="10"/>
  <c r="A27" i="10"/>
  <c r="A26" i="10"/>
  <c r="A25" i="10"/>
  <c r="A24" i="10"/>
  <c r="A23" i="10"/>
  <c r="A22" i="10"/>
  <c r="A21" i="10"/>
  <c r="A20" i="10"/>
  <c r="A19" i="10"/>
  <c r="A18" i="10"/>
  <c r="A17" i="10"/>
  <c r="A16" i="10"/>
  <c r="A15" i="10"/>
  <c r="A13" i="10"/>
  <c r="A12" i="10"/>
  <c r="A11" i="10"/>
  <c r="A10" i="10"/>
  <c r="A9" i="10"/>
  <c r="A8" i="10"/>
  <c r="A7" i="10"/>
  <c r="A6" i="10"/>
  <c r="A145" i="9"/>
  <c r="A144" i="9"/>
  <c r="A143" i="9"/>
  <c r="A142" i="9"/>
  <c r="A141" i="9"/>
  <c r="A139" i="9"/>
  <c r="A134" i="9"/>
  <c r="A133" i="9"/>
  <c r="A132" i="9"/>
  <c r="A131" i="9"/>
  <c r="A130" i="9"/>
  <c r="A129" i="9"/>
  <c r="A128" i="9"/>
  <c r="A127" i="9"/>
  <c r="A126" i="9"/>
  <c r="A125" i="9"/>
  <c r="A124" i="9"/>
  <c r="A123" i="9"/>
  <c r="A122" i="9"/>
  <c r="A121" i="9"/>
  <c r="A119" i="9"/>
  <c r="A118" i="9"/>
  <c r="A117" i="9"/>
  <c r="A116" i="9"/>
  <c r="A115" i="9"/>
  <c r="A114" i="9"/>
  <c r="A113" i="9"/>
  <c r="A112" i="9"/>
  <c r="A111" i="9"/>
  <c r="A110" i="9"/>
  <c r="A109" i="9"/>
  <c r="A108" i="9"/>
  <c r="A107" i="9"/>
  <c r="A106" i="9"/>
  <c r="A105" i="9"/>
  <c r="A104" i="9"/>
  <c r="A103" i="9"/>
  <c r="A102" i="9"/>
  <c r="A101" i="9"/>
  <c r="A100" i="9"/>
  <c r="A99" i="9"/>
  <c r="A98" i="9"/>
  <c r="A97" i="9"/>
  <c r="A96"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78" i="8"/>
  <c r="A77" i="8"/>
  <c r="A76" i="8"/>
  <c r="A75" i="8"/>
  <c r="A74"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6" i="8"/>
  <c r="A125" i="7"/>
  <c r="A124" i="7"/>
  <c r="A122" i="7"/>
  <c r="A116" i="7"/>
  <c r="A104" i="7"/>
  <c r="A103" i="7"/>
  <c r="A101" i="7"/>
  <c r="A100" i="7"/>
  <c r="A95" i="7"/>
  <c r="A83" i="7"/>
  <c r="A79" i="7"/>
  <c r="A77" i="7"/>
  <c r="A76" i="7"/>
  <c r="A75" i="7"/>
  <c r="A74" i="7"/>
  <c r="A73" i="7"/>
  <c r="A72" i="7"/>
  <c r="A71" i="7"/>
  <c r="A70" i="7"/>
  <c r="A69" i="7"/>
  <c r="A68" i="7"/>
  <c r="A67" i="7"/>
  <c r="A66" i="7"/>
  <c r="A65" i="7"/>
  <c r="A63" i="7"/>
  <c r="A61" i="7"/>
  <c r="A58" i="7"/>
  <c r="A55" i="7"/>
  <c r="A53" i="7"/>
  <c r="A48" i="7"/>
  <c r="A45" i="7"/>
  <c r="A43" i="7"/>
  <c r="A42" i="7"/>
  <c r="A40" i="7"/>
  <c r="A39" i="7"/>
  <c r="A36" i="7"/>
  <c r="A35" i="7"/>
  <c r="A28" i="7"/>
  <c r="A27" i="7"/>
  <c r="A26" i="7"/>
  <c r="A25" i="7"/>
  <c r="A24" i="7"/>
  <c r="A23" i="7"/>
  <c r="A22" i="7"/>
  <c r="A21" i="7"/>
  <c r="A20" i="7"/>
  <c r="A19" i="7"/>
  <c r="A18" i="7"/>
  <c r="A17" i="7"/>
  <c r="A16" i="7"/>
  <c r="A15" i="7"/>
  <c r="A14" i="7"/>
  <c r="A13" i="7"/>
  <c r="A12" i="7"/>
  <c r="A11" i="7"/>
  <c r="A10" i="7"/>
  <c r="A9" i="7"/>
  <c r="A7" i="7"/>
  <c r="A6" i="7"/>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5" i="6"/>
  <c r="A264" i="6"/>
  <c r="A263" i="6"/>
  <c r="A262" i="6"/>
  <c r="A254" i="6"/>
  <c r="A253" i="6"/>
  <c r="A252" i="6"/>
  <c r="A251" i="6"/>
  <c r="A250" i="6"/>
  <c r="A249" i="6"/>
  <c r="A248" i="6"/>
  <c r="A247" i="6"/>
  <c r="A246" i="6"/>
  <c r="A245" i="6"/>
  <c r="A244" i="6"/>
  <c r="A239" i="6"/>
  <c r="A237" i="6"/>
  <c r="A236" i="6"/>
  <c r="A235" i="6"/>
  <c r="A232" i="6"/>
  <c r="A230" i="6"/>
  <c r="A229" i="6"/>
  <c r="A228" i="6"/>
  <c r="A227" i="6"/>
  <c r="A226" i="6"/>
  <c r="A225" i="6"/>
  <c r="A223" i="6"/>
  <c r="A216" i="6"/>
  <c r="A215" i="6"/>
  <c r="A214" i="6"/>
  <c r="A213" i="6"/>
  <c r="A211" i="6"/>
  <c r="A210" i="6"/>
  <c r="A209" i="6"/>
  <c r="A208" i="6"/>
  <c r="A207" i="6"/>
  <c r="A206" i="6"/>
  <c r="A205" i="6"/>
  <c r="A204" i="6"/>
  <c r="A203" i="6"/>
  <c r="A202" i="6"/>
  <c r="A201" i="6"/>
  <c r="A200" i="6"/>
  <c r="A199" i="6"/>
  <c r="A198" i="6"/>
  <c r="A197" i="6"/>
  <c r="A196" i="6"/>
  <c r="A195" i="6"/>
  <c r="A194" i="6"/>
  <c r="A193" i="6"/>
  <c r="A192" i="6"/>
  <c r="A189" i="6"/>
  <c r="A188" i="6"/>
  <c r="A187" i="6"/>
  <c r="A186" i="6"/>
  <c r="A184" i="6"/>
  <c r="A183" i="6"/>
  <c r="A182" i="6"/>
  <c r="A181" i="6"/>
  <c r="A179" i="6"/>
  <c r="A178" i="6"/>
  <c r="A177" i="6"/>
  <c r="A176" i="6"/>
  <c r="A174" i="6"/>
  <c r="A173" i="6"/>
  <c r="A171" i="6"/>
  <c r="A170" i="6"/>
  <c r="A169" i="6"/>
  <c r="A168" i="6"/>
  <c r="A167" i="6"/>
  <c r="A166" i="6"/>
  <c r="A165" i="6"/>
  <c r="A164" i="6"/>
  <c r="A163" i="6"/>
  <c r="A162" i="6"/>
  <c r="A161" i="6"/>
  <c r="A160" i="6"/>
  <c r="A159" i="6"/>
  <c r="A158" i="6"/>
  <c r="A157" i="6"/>
  <c r="A156" i="6"/>
  <c r="A155" i="6"/>
  <c r="A152"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23" i="4"/>
  <c r="A22" i="4"/>
  <c r="A21" i="4"/>
  <c r="A20" i="4"/>
  <c r="A19" i="4"/>
  <c r="A18" i="4"/>
  <c r="A17" i="4"/>
  <c r="A16" i="4"/>
  <c r="A15" i="4"/>
  <c r="A14" i="4"/>
  <c r="A13" i="4"/>
  <c r="A12" i="4"/>
  <c r="A11" i="4"/>
  <c r="A10" i="4"/>
  <c r="A9" i="4"/>
  <c r="A8" i="4"/>
  <c r="A7" i="4"/>
  <c r="A6" i="4"/>
  <c r="A52" i="3"/>
  <c r="A51" i="3"/>
  <c r="A50" i="3"/>
  <c r="A49" i="3"/>
  <c r="A48" i="3"/>
  <c r="A47" i="3"/>
  <c r="A46" i="3"/>
  <c r="A45" i="3"/>
  <c r="A44" i="3"/>
  <c r="A39" i="3"/>
  <c r="A38" i="3"/>
  <c r="A36" i="3"/>
  <c r="A32" i="3"/>
  <c r="A31" i="3"/>
  <c r="A29" i="3"/>
  <c r="A14" i="3"/>
  <c r="A130" i="2"/>
  <c r="A128" i="2"/>
  <c r="A127" i="2"/>
  <c r="A126" i="2"/>
  <c r="A125" i="2"/>
  <c r="A124" i="2"/>
  <c r="A123" i="2"/>
  <c r="A122" i="2"/>
  <c r="A121" i="2"/>
  <c r="A120" i="2"/>
  <c r="A119" i="2"/>
  <c r="A118" i="2"/>
  <c r="A116" i="2"/>
  <c r="A115" i="2"/>
  <c r="A114" i="2"/>
  <c r="A113" i="2"/>
  <c r="A112" i="2"/>
  <c r="A111" i="2"/>
  <c r="A110" i="2"/>
  <c r="A109" i="2"/>
  <c r="A108" i="2"/>
  <c r="A107" i="2"/>
  <c r="A106" i="2"/>
  <c r="A105" i="2"/>
  <c r="A104" i="2"/>
  <c r="A92" i="2"/>
  <c r="A90" i="2"/>
  <c r="A89" i="2"/>
  <c r="A88" i="2"/>
  <c r="A86" i="2"/>
  <c r="A84" i="2"/>
  <c r="A83" i="2"/>
  <c r="A80" i="2"/>
  <c r="A79" i="2"/>
  <c r="A77" i="2"/>
  <c r="A76" i="2"/>
  <c r="A75" i="2"/>
  <c r="A73" i="2"/>
  <c r="A72" i="2"/>
  <c r="A71" i="2"/>
  <c r="A70" i="2"/>
  <c r="A69" i="2"/>
  <c r="A68" i="2"/>
  <c r="A67" i="2"/>
  <c r="A66" i="2"/>
  <c r="A59" i="2"/>
  <c r="A58" i="2"/>
  <c r="A57" i="2"/>
  <c r="A55" i="2"/>
  <c r="A53" i="2"/>
  <c r="A52" i="2"/>
  <c r="A51" i="2"/>
  <c r="A50" i="2"/>
  <c r="A49" i="2"/>
  <c r="A48" i="2"/>
  <c r="A47" i="2"/>
  <c r="A46" i="2"/>
  <c r="A45" i="2"/>
  <c r="A44" i="2"/>
  <c r="A43" i="2"/>
  <c r="A42" i="2"/>
  <c r="A41" i="2"/>
  <c r="A40" i="2"/>
  <c r="A39" i="2"/>
  <c r="A38" i="2"/>
  <c r="A37" i="2"/>
  <c r="A36" i="2"/>
  <c r="A35" i="2"/>
  <c r="A33" i="2"/>
  <c r="A32" i="2"/>
  <c r="A31" i="2"/>
  <c r="A30" i="2"/>
  <c r="A29" i="2"/>
  <c r="A27" i="2"/>
  <c r="A26" i="2"/>
  <c r="A25" i="2"/>
  <c r="A24" i="2"/>
  <c r="A23" i="2"/>
  <c r="A22" i="2"/>
  <c r="A21" i="2"/>
  <c r="A19" i="2"/>
  <c r="A18" i="2"/>
  <c r="A17" i="2"/>
  <c r="A16" i="2"/>
  <c r="A15" i="2"/>
  <c r="A14" i="2"/>
  <c r="A13" i="2"/>
  <c r="A12" i="2"/>
  <c r="A11" i="2"/>
  <c r="A10" i="2"/>
  <c r="A9" i="2"/>
  <c r="A8" i="2"/>
  <c r="A6" i="2"/>
  <c r="A5" i="2"/>
  <c r="E27" i="1"/>
  <c r="E26" i="1"/>
  <c r="E25" i="1"/>
  <c r="E24" i="1"/>
  <c r="E23" i="1"/>
  <c r="E22" i="1"/>
  <c r="E21" i="1"/>
  <c r="E20" i="1"/>
  <c r="E19" i="1"/>
  <c r="E18" i="1"/>
  <c r="E17" i="1"/>
  <c r="E16" i="1"/>
  <c r="E15" i="1"/>
  <c r="E14" i="1"/>
  <c r="E13" i="1"/>
  <c r="E12" i="1"/>
  <c r="E11" i="1"/>
  <c r="E10" i="1"/>
  <c r="E9" i="1"/>
  <c r="E8" i="1"/>
  <c r="F7" i="1" a="1"/>
  <c r="F22" i="1" s="1"/>
  <c r="E7" i="1"/>
  <c r="F11" i="1" l="1"/>
  <c r="F15" i="1"/>
  <c r="F19" i="1"/>
  <c r="F23" i="1"/>
  <c r="F20" i="1"/>
  <c r="F8" i="1"/>
  <c r="F12" i="1"/>
  <c r="F16" i="1"/>
  <c r="F21" i="1"/>
  <c r="F9" i="1"/>
  <c r="F13" i="1"/>
  <c r="F17" i="1"/>
  <c r="F7" i="1"/>
  <c r="F10" i="1"/>
  <c r="F14" i="1"/>
  <c r="F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1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4" authorId="0" shapeId="0" xr:uid="{00000000-0006-0000-0100-000002000000}">
      <text>
        <r>
          <rPr>
            <sz val="11"/>
            <color rgb="FF000000"/>
            <rFont val="Calibri"/>
          </rPr>
          <t>En esta columna se identifica el día, mes y año en el que se expidió la norma.</t>
        </r>
      </text>
    </comment>
    <comment ref="C4" authorId="0" shapeId="0" xr:uid="{00000000-0006-0000-0100-000003000000}">
      <text>
        <r>
          <rPr>
            <sz val="11"/>
            <color rgb="FF000000"/>
            <rFont val="Calibri"/>
          </rPr>
          <t>Entidad que emite la normativa</t>
        </r>
      </text>
    </comment>
    <comment ref="D4" authorId="0" shapeId="0" xr:uid="{00000000-0006-0000-0100-000004000000}">
      <text>
        <r>
          <rPr>
            <sz val="11"/>
            <color rgb="FF000000"/>
            <rFont val="Calibri"/>
          </rPr>
          <t xml:space="preserve">
En esta columna transcriba el enunciado de la norma, así: (“Por medio de la cual...”) </t>
        </r>
      </text>
    </comment>
    <comment ref="E4" authorId="0" shapeId="0" xr:uid="{00000000-0006-0000-0100-000005000000}">
      <text>
        <r>
          <rPr>
            <sz val="11"/>
            <color rgb="FF000000"/>
            <rFont val="Calibri"/>
          </rPr>
          <t>En esta columna identifique el o los artículos específicos de la norma que deben ser cumplidos por el proceso</t>
        </r>
      </text>
    </comment>
    <comment ref="F4" authorId="0" shapeId="0" xr:uid="{00000000-0006-0000-0100-000006000000}">
      <text>
        <r>
          <rPr>
            <sz val="11"/>
            <color rgb="FF000000"/>
            <rFont val="Calibri"/>
          </rPr>
          <t>En esta columna se describe el requerimiento específico asociado al articulo aplicable, con el fin de establecer el mecanismo por medio del cual se cumple la norma.</t>
        </r>
      </text>
    </comment>
    <comment ref="G4" authorId="0" shapeId="0" xr:uid="{00000000-0006-0000-0100-000007000000}">
      <text>
        <r>
          <rPr>
            <sz val="11"/>
            <color rgb="FF000000"/>
            <rFont val="Calibri"/>
          </rPr>
          <t>En esta columna registre la periodicidad de aplicación del requisito (semanal, mensual, trimestral, semestral, anual, permanente, etc.)</t>
        </r>
      </text>
    </comment>
    <comment ref="H4" authorId="0" shapeId="0" xr:uid="{00000000-0006-0000-0100-000008000000}">
      <text>
        <r>
          <rPr>
            <sz val="11"/>
            <color rgb="FF000000"/>
            <rFont val="Calibri"/>
          </rPr>
          <t>En esta columna registre el o los cargos responsable del cumplimiento normativo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B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B00-000002000000}">
      <text>
        <r>
          <rPr>
            <sz val="11"/>
            <color rgb="FF000000"/>
            <rFont val="Calibri"/>
          </rPr>
          <t>En esta columna se identifica el día, mes y año en el que se expidió la norma.</t>
        </r>
      </text>
    </comment>
    <comment ref="C5" authorId="0" shapeId="0" xr:uid="{00000000-0006-0000-0B00-000003000000}">
      <text>
        <r>
          <rPr>
            <sz val="11"/>
            <color rgb="FF000000"/>
            <rFont val="Calibri"/>
          </rPr>
          <t>Entidad que emite la normativa</t>
        </r>
      </text>
    </comment>
    <comment ref="D5" authorId="0" shapeId="0" xr:uid="{00000000-0006-0000-0B00-000004000000}">
      <text>
        <r>
          <rPr>
            <sz val="11"/>
            <color rgb="FF000000"/>
            <rFont val="Calibri"/>
          </rPr>
          <t xml:space="preserve">
En esta columna transcriba el enunciado de la norma, así: (“Por medio de la cual...”) </t>
        </r>
      </text>
    </comment>
    <comment ref="E5" authorId="0" shapeId="0" xr:uid="{00000000-0006-0000-0B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B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B00-000007000000}">
      <text>
        <r>
          <rPr>
            <sz val="11"/>
            <color rgb="FF000000"/>
            <rFont val="Calibri"/>
          </rPr>
          <t>En esta columna registre la periodicidad de aplicación del requisito (semanal, mensual, trimestral, semestral, anual, permanente, etc.)</t>
        </r>
      </text>
    </comment>
    <comment ref="H5" authorId="0" shapeId="0" xr:uid="{00000000-0006-0000-0B00-000008000000}">
      <text>
        <r>
          <rPr>
            <sz val="11"/>
            <color rgb="FF000000"/>
            <rFont val="Calibri"/>
          </rPr>
          <t>En esta columna registre el o los cargos responsable del cumplimiento normativo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C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C00-000002000000}">
      <text>
        <r>
          <rPr>
            <sz val="11"/>
            <color rgb="FF000000"/>
            <rFont val="Calibri"/>
          </rPr>
          <t>En esta columna se identifica el día, mes y año en el que se expidió la norma.</t>
        </r>
      </text>
    </comment>
    <comment ref="C5" authorId="0" shapeId="0" xr:uid="{00000000-0006-0000-0C00-000003000000}">
      <text>
        <r>
          <rPr>
            <sz val="11"/>
            <color rgb="FF000000"/>
            <rFont val="Calibri"/>
          </rPr>
          <t>Entidad que emite la normativa</t>
        </r>
      </text>
    </comment>
    <comment ref="D5" authorId="0" shapeId="0" xr:uid="{00000000-0006-0000-0C00-000004000000}">
      <text>
        <r>
          <rPr>
            <sz val="11"/>
            <color rgb="FF000000"/>
            <rFont val="Calibri"/>
          </rPr>
          <t xml:space="preserve">
En esta columna transcriba el enunciado de la norma, así: (“Por medio de la cual...”) </t>
        </r>
      </text>
    </comment>
    <comment ref="E5" authorId="0" shapeId="0" xr:uid="{00000000-0006-0000-0C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C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C00-000007000000}">
      <text>
        <r>
          <rPr>
            <sz val="11"/>
            <color rgb="FF000000"/>
            <rFont val="Calibri"/>
          </rPr>
          <t>En esta columna registre la periodicidad de aplicación del requisito (semanal, mensual, trimestral, semestral, anual, permanente, etc.)</t>
        </r>
      </text>
    </comment>
    <comment ref="H5" authorId="0" shapeId="0" xr:uid="{00000000-0006-0000-0C00-000008000000}">
      <text>
        <r>
          <rPr>
            <sz val="11"/>
            <color rgb="FF000000"/>
            <rFont val="Calibri"/>
          </rPr>
          <t>En esta columna registre el o los cargos responsable del cumplimiento normativo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D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D00-000002000000}">
      <text>
        <r>
          <rPr>
            <sz val="11"/>
            <color rgb="FF000000"/>
            <rFont val="Calibri"/>
          </rPr>
          <t>En esta columna se identifica el día, mes y año en el que se expidió la norma.</t>
        </r>
      </text>
    </comment>
    <comment ref="C5" authorId="0" shapeId="0" xr:uid="{00000000-0006-0000-0D00-000003000000}">
      <text>
        <r>
          <rPr>
            <sz val="11"/>
            <color rgb="FF000000"/>
            <rFont val="Calibri"/>
          </rPr>
          <t>Entidad que emite la normativa</t>
        </r>
      </text>
    </comment>
    <comment ref="D5" authorId="0" shapeId="0" xr:uid="{00000000-0006-0000-0D00-000004000000}">
      <text>
        <r>
          <rPr>
            <sz val="11"/>
            <color rgb="FF000000"/>
            <rFont val="Calibri"/>
          </rPr>
          <t xml:space="preserve">
En esta columna transcriba el enunciado de la norma, así: (“Por medio de la cual...”) </t>
        </r>
      </text>
    </comment>
    <comment ref="E5" authorId="0" shapeId="0" xr:uid="{00000000-0006-0000-0D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D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D00-000007000000}">
      <text>
        <r>
          <rPr>
            <sz val="11"/>
            <color rgb="FF000000"/>
            <rFont val="Calibri"/>
          </rPr>
          <t>En esta columna registre la periodicidad de aplicación del requisito (semanal, mensual, trimestral, semestral, anual, permanente, etc.)</t>
        </r>
      </text>
    </comment>
    <comment ref="H5" authorId="0" shapeId="0" xr:uid="{00000000-0006-0000-0D00-000008000000}">
      <text>
        <r>
          <rPr>
            <sz val="11"/>
            <color rgb="FF000000"/>
            <rFont val="Calibri"/>
          </rPr>
          <t>En esta columna registre el o los cargos responsable del cumplimiento normativo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E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E00-000002000000}">
      <text>
        <r>
          <rPr>
            <sz val="11"/>
            <color rgb="FF000000"/>
            <rFont val="Calibri"/>
          </rPr>
          <t>En esta columna se identifica el día, mes y año en el que se expidió la norma.</t>
        </r>
      </text>
    </comment>
    <comment ref="C5" authorId="0" shapeId="0" xr:uid="{00000000-0006-0000-0E00-000003000000}">
      <text>
        <r>
          <rPr>
            <sz val="11"/>
            <color rgb="FF000000"/>
            <rFont val="Calibri"/>
          </rPr>
          <t>Entidad que emite la normativa</t>
        </r>
      </text>
    </comment>
    <comment ref="D5" authorId="0" shapeId="0" xr:uid="{00000000-0006-0000-0E00-000004000000}">
      <text>
        <r>
          <rPr>
            <sz val="11"/>
            <color rgb="FF000000"/>
            <rFont val="Calibri"/>
          </rPr>
          <t xml:space="preserve">
En esta columna transcriba el enunciado de la norma, así: (“Por medio de la cual...”) </t>
        </r>
      </text>
    </comment>
    <comment ref="E5" authorId="0" shapeId="0" xr:uid="{00000000-0006-0000-0E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E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E00-000007000000}">
      <text>
        <r>
          <rPr>
            <sz val="11"/>
            <color rgb="FF000000"/>
            <rFont val="Calibri"/>
          </rPr>
          <t>En esta columna registre la periodicidad de aplicación del requisito (semanal, mensual, trimestral, semestral, anual, permanente, etc.)</t>
        </r>
      </text>
    </comment>
    <comment ref="H5" authorId="0" shapeId="0" xr:uid="{00000000-0006-0000-0E00-000008000000}">
      <text>
        <r>
          <rPr>
            <sz val="11"/>
            <color rgb="FF000000"/>
            <rFont val="Calibri"/>
          </rPr>
          <t>En esta columna registre el o los cargos responsable del cumplimiento normativo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F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F00-000002000000}">
      <text>
        <r>
          <rPr>
            <sz val="11"/>
            <color rgb="FF000000"/>
            <rFont val="Calibri"/>
          </rPr>
          <t>En esta columna se identifica el día, mes y año en el que se expidió la norma.</t>
        </r>
      </text>
    </comment>
    <comment ref="C5" authorId="0" shapeId="0" xr:uid="{00000000-0006-0000-0F00-000003000000}">
      <text>
        <r>
          <rPr>
            <sz val="11"/>
            <color rgb="FF000000"/>
            <rFont val="Calibri"/>
          </rPr>
          <t>Entidad que emite la normativa</t>
        </r>
      </text>
    </comment>
    <comment ref="D5" authorId="0" shapeId="0" xr:uid="{00000000-0006-0000-0F00-000004000000}">
      <text>
        <r>
          <rPr>
            <sz val="11"/>
            <color rgb="FF000000"/>
            <rFont val="Calibri"/>
          </rPr>
          <t xml:space="preserve">
En esta columna transcriba el enunciado de la norma, así: (“Por medio de la cual...”) </t>
        </r>
      </text>
    </comment>
    <comment ref="E5" authorId="0" shapeId="0" xr:uid="{00000000-0006-0000-0F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F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F00-000007000000}">
      <text>
        <r>
          <rPr>
            <sz val="11"/>
            <color rgb="FF000000"/>
            <rFont val="Calibri"/>
          </rPr>
          <t>En esta columna registre la periodicidad de aplicación del requisito (semanal, mensual, trimestral, semestral, anual, permanente, etc.)</t>
        </r>
      </text>
    </comment>
    <comment ref="H5" authorId="0" shapeId="0" xr:uid="{00000000-0006-0000-0F00-000008000000}">
      <text>
        <r>
          <rPr>
            <sz val="11"/>
            <color rgb="FF000000"/>
            <rFont val="Calibri"/>
          </rPr>
          <t>En esta columna registre el o los cargos responsable del cumplimiento normativo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0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000-000002000000}">
      <text>
        <r>
          <rPr>
            <sz val="11"/>
            <color rgb="FF000000"/>
            <rFont val="Calibri"/>
          </rPr>
          <t>En esta columna se identifica el día, mes y año en el que se expidió la norma.</t>
        </r>
      </text>
    </comment>
    <comment ref="C5" authorId="0" shapeId="0" xr:uid="{00000000-0006-0000-1000-000003000000}">
      <text>
        <r>
          <rPr>
            <sz val="11"/>
            <color rgb="FF000000"/>
            <rFont val="Calibri"/>
          </rPr>
          <t>Entidad que emite la normativa</t>
        </r>
      </text>
    </comment>
    <comment ref="D5" authorId="0" shapeId="0" xr:uid="{00000000-0006-0000-1000-000004000000}">
      <text>
        <r>
          <rPr>
            <sz val="11"/>
            <color rgb="FF000000"/>
            <rFont val="Calibri"/>
          </rPr>
          <t xml:space="preserve">
En esta columna transcriba el enunciado de la norma, así: (“Por medio de la cual...”) </t>
        </r>
      </text>
    </comment>
    <comment ref="E5" authorId="0" shapeId="0" xr:uid="{00000000-0006-0000-10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0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000-000007000000}">
      <text>
        <r>
          <rPr>
            <sz val="11"/>
            <color rgb="FF000000"/>
            <rFont val="Calibri"/>
          </rPr>
          <t>En esta columna registre la periodicidad de aplicación del requisito (semanal, mensual, trimestral, semestral, anual, permanente, etc.)</t>
        </r>
      </text>
    </comment>
    <comment ref="H5" authorId="0" shapeId="0" xr:uid="{00000000-0006-0000-1000-000008000000}">
      <text>
        <r>
          <rPr>
            <sz val="11"/>
            <color rgb="FF000000"/>
            <rFont val="Calibri"/>
          </rPr>
          <t>En esta columna registre el o los cargos responsable del cumplimiento normativo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1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100-000002000000}">
      <text>
        <r>
          <rPr>
            <sz val="11"/>
            <color rgb="FF000000"/>
            <rFont val="Calibri"/>
          </rPr>
          <t>En esta columna se identifica el día, mes y año en el que se expidió la norma.</t>
        </r>
      </text>
    </comment>
    <comment ref="C5" authorId="0" shapeId="0" xr:uid="{00000000-0006-0000-1100-000003000000}">
      <text>
        <r>
          <rPr>
            <sz val="11"/>
            <color rgb="FF000000"/>
            <rFont val="Calibri"/>
          </rPr>
          <t>Entidad que emite la normativa</t>
        </r>
      </text>
    </comment>
    <comment ref="D5" authorId="0" shapeId="0" xr:uid="{00000000-0006-0000-1100-000004000000}">
      <text>
        <r>
          <rPr>
            <sz val="11"/>
            <color rgb="FF000000"/>
            <rFont val="Calibri"/>
          </rPr>
          <t xml:space="preserve">
En esta columna transcriba el enunciado de la norma, así: (“Por medio de la cual...”) </t>
        </r>
      </text>
    </comment>
    <comment ref="E5" authorId="0" shapeId="0" xr:uid="{00000000-0006-0000-11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1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100-000007000000}">
      <text>
        <r>
          <rPr>
            <sz val="11"/>
            <color rgb="FF000000"/>
            <rFont val="Calibri"/>
          </rPr>
          <t>En esta columna registre la periodicidad de aplicación del requisito (semanal, mensual, trimestral, semestral, anual, permanente, etc.)</t>
        </r>
      </text>
    </comment>
    <comment ref="H5" authorId="0" shapeId="0" xr:uid="{00000000-0006-0000-1100-000008000000}">
      <text>
        <r>
          <rPr>
            <sz val="11"/>
            <color rgb="FF000000"/>
            <rFont val="Calibri"/>
          </rPr>
          <t>En esta columna registre el o los cargos responsable del cumplimiento normativo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00000000-0006-0000-12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6" authorId="0" shapeId="0" xr:uid="{00000000-0006-0000-1200-000002000000}">
      <text>
        <r>
          <rPr>
            <sz val="11"/>
            <color rgb="FF000000"/>
            <rFont val="Calibri"/>
          </rPr>
          <t>En esta columna se identifica el día, mes y año en el que se expidió la norma.</t>
        </r>
      </text>
    </comment>
    <comment ref="C6" authorId="0" shapeId="0" xr:uid="{00000000-0006-0000-1200-000003000000}">
      <text>
        <r>
          <rPr>
            <sz val="11"/>
            <color rgb="FF000000"/>
            <rFont val="Calibri"/>
          </rPr>
          <t>Entidad que emite la normativa</t>
        </r>
      </text>
    </comment>
    <comment ref="D6" authorId="0" shapeId="0" xr:uid="{00000000-0006-0000-1200-000004000000}">
      <text>
        <r>
          <rPr>
            <sz val="11"/>
            <color rgb="FF000000"/>
            <rFont val="Calibri"/>
          </rPr>
          <t xml:space="preserve">
En esta columna transcriba el enunciado de la norma, así: (“Por medio de la cual...”) </t>
        </r>
      </text>
    </comment>
    <comment ref="E6" authorId="0" shapeId="0" xr:uid="{00000000-0006-0000-1200-000005000000}">
      <text>
        <r>
          <rPr>
            <sz val="11"/>
            <color rgb="FF000000"/>
            <rFont val="Calibri"/>
          </rPr>
          <t>En esta columna identifique el o los artículos específicos de la norma que deben ser cumplidos por la entidad u organismo distrital</t>
        </r>
      </text>
    </comment>
    <comment ref="F6" authorId="0" shapeId="0" xr:uid="{00000000-0006-0000-1200-000006000000}">
      <text>
        <r>
          <rPr>
            <sz val="11"/>
            <color rgb="FF000000"/>
            <rFont val="Calibri"/>
          </rPr>
          <t>En esta columna se describe el requerimiento específico asociado al articulo aplicable, con el fin de establecer el mecanismo por medio del cual se cumple la norma.</t>
        </r>
      </text>
    </comment>
    <comment ref="A63" authorId="0" shapeId="0" xr:uid="{00000000-0006-0000-1200-000007000000}">
      <text>
        <r>
          <rPr>
            <sz val="11"/>
            <color rgb="FF000000"/>
            <rFont val="Calibri"/>
          </rPr>
          <t>https://www.alcaldiabogota.gov.co/sisjur/normas/Norma1.jsp?i=62321&amp;dt=S
	-Jorge Alberto Farigua Gutierrez</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3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300-000002000000}">
      <text>
        <r>
          <rPr>
            <sz val="11"/>
            <color rgb="FF000000"/>
            <rFont val="Calibri"/>
          </rPr>
          <t>En esta columna se identifica el día, mes y año en el que se expidió la norma.</t>
        </r>
      </text>
    </comment>
    <comment ref="C5" authorId="0" shapeId="0" xr:uid="{00000000-0006-0000-1300-000003000000}">
      <text>
        <r>
          <rPr>
            <sz val="11"/>
            <color rgb="FF000000"/>
            <rFont val="Calibri"/>
          </rPr>
          <t>Entidad que emite la normativa</t>
        </r>
      </text>
    </comment>
    <comment ref="D5" authorId="0" shapeId="0" xr:uid="{00000000-0006-0000-1300-000004000000}">
      <text>
        <r>
          <rPr>
            <sz val="11"/>
            <color rgb="FF000000"/>
            <rFont val="Calibri"/>
          </rPr>
          <t xml:space="preserve">
En esta columna transcriba el enunciado de la norma, así: (“Por medio de la cual...”) </t>
        </r>
      </text>
    </comment>
    <comment ref="E5" authorId="0" shapeId="0" xr:uid="{00000000-0006-0000-13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3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300-000007000000}">
      <text>
        <r>
          <rPr>
            <sz val="11"/>
            <color rgb="FF000000"/>
            <rFont val="Calibri"/>
          </rPr>
          <t>En esta columna registre la periodicidad de aplicación del requisito (semanal, mensual, trimestral, semestral, anual, permanente, etc.)</t>
        </r>
      </text>
    </comment>
    <comment ref="H5" authorId="0" shapeId="0" xr:uid="{00000000-0006-0000-1300-000008000000}">
      <text>
        <r>
          <rPr>
            <sz val="11"/>
            <color rgb="FF000000"/>
            <rFont val="Calibri"/>
          </rPr>
          <t>En esta columna registre el o los cargos responsable del cumplimiento normativo</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4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400-000002000000}">
      <text>
        <r>
          <rPr>
            <sz val="11"/>
            <color rgb="FF000000"/>
            <rFont val="Calibri"/>
          </rPr>
          <t>En esta columna se identifica el día, mes y año en el que se expidió la norma.</t>
        </r>
      </text>
    </comment>
    <comment ref="C5" authorId="0" shapeId="0" xr:uid="{00000000-0006-0000-1400-000003000000}">
      <text>
        <r>
          <rPr>
            <sz val="11"/>
            <color rgb="FF000000"/>
            <rFont val="Calibri"/>
          </rPr>
          <t>Entidad que emite la normativa</t>
        </r>
      </text>
    </comment>
    <comment ref="D5" authorId="0" shapeId="0" xr:uid="{00000000-0006-0000-1400-000004000000}">
      <text>
        <r>
          <rPr>
            <sz val="11"/>
            <color rgb="FF000000"/>
            <rFont val="Calibri"/>
          </rPr>
          <t xml:space="preserve">
En esta columna transcriba el enunciado de la norma, así: (“Por medio de la cual...”) </t>
        </r>
      </text>
    </comment>
    <comment ref="E5" authorId="0" shapeId="0" xr:uid="{00000000-0006-0000-14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4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400-000007000000}">
      <text>
        <r>
          <rPr>
            <sz val="11"/>
            <color rgb="FF000000"/>
            <rFont val="Calibri"/>
          </rPr>
          <t>En esta columna registre la periodicidad de aplicación del requisito (semanal, mensual, trimestral, semestral, anual, permanente, etc.)</t>
        </r>
      </text>
    </comment>
    <comment ref="H5" authorId="0" shapeId="0" xr:uid="{00000000-0006-0000-1400-000008000000}">
      <text>
        <r>
          <rPr>
            <sz val="11"/>
            <color rgb="FF000000"/>
            <rFont val="Calibri"/>
          </rPr>
          <t>En esta columna registre el o los cargos responsable del cumplimiento normativo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2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200-000002000000}">
      <text>
        <r>
          <rPr>
            <sz val="11"/>
            <color rgb="FF000000"/>
            <rFont val="Calibri"/>
          </rPr>
          <t>En esta columna se identifica el día, mes y año en el que se expidió la norma.</t>
        </r>
      </text>
    </comment>
    <comment ref="C5" authorId="0" shapeId="0" xr:uid="{00000000-0006-0000-0200-000003000000}">
      <text>
        <r>
          <rPr>
            <sz val="11"/>
            <color rgb="FF000000"/>
            <rFont val="Calibri"/>
          </rPr>
          <t>Entidad que emite la normativa</t>
        </r>
      </text>
    </comment>
    <comment ref="D5" authorId="0" shapeId="0" xr:uid="{00000000-0006-0000-0200-000004000000}">
      <text>
        <r>
          <rPr>
            <sz val="11"/>
            <color rgb="FF000000"/>
            <rFont val="Calibri"/>
          </rPr>
          <t xml:space="preserve">
En esta columna transcriba el enunciado de la norma, así: (“Por medio de la cual...”) </t>
        </r>
      </text>
    </comment>
    <comment ref="E5" authorId="0" shapeId="0" xr:uid="{00000000-0006-0000-02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2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200-000007000000}">
      <text>
        <r>
          <rPr>
            <sz val="11"/>
            <color rgb="FF000000"/>
            <rFont val="Calibri"/>
          </rPr>
          <t>En esta columna registre la periodicidad de aplicación del requisito (semanal, mensual, trimestral, semestral, anual, permanente, etc.)</t>
        </r>
      </text>
    </comment>
    <comment ref="H5" authorId="0" shapeId="0" xr:uid="{00000000-0006-0000-0200-000008000000}">
      <text>
        <r>
          <rPr>
            <sz val="11"/>
            <color rgb="FF000000"/>
            <rFont val="Calibri"/>
          </rPr>
          <t>En esta columna registre el o los cargos responsable del cumplimiento normativo</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5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4" authorId="0" shapeId="0" xr:uid="{00000000-0006-0000-1500-000002000000}">
      <text>
        <r>
          <rPr>
            <sz val="11"/>
            <color rgb="FF000000"/>
            <rFont val="Calibri"/>
          </rPr>
          <t>En esta columna se identifica el día, mes y año en el que se expidió la norma.</t>
        </r>
      </text>
    </comment>
    <comment ref="C4" authorId="0" shapeId="0" xr:uid="{00000000-0006-0000-1500-000003000000}">
      <text>
        <r>
          <rPr>
            <sz val="11"/>
            <color rgb="FF000000"/>
            <rFont val="Calibri"/>
          </rPr>
          <t>Entidad que emite la normativa</t>
        </r>
      </text>
    </comment>
    <comment ref="D4" authorId="0" shapeId="0" xr:uid="{00000000-0006-0000-1500-000004000000}">
      <text>
        <r>
          <rPr>
            <sz val="11"/>
            <color rgb="FF000000"/>
            <rFont val="Calibri"/>
          </rPr>
          <t xml:space="preserve">
En esta columna transcriba el enunciado de la norma, así: (“Por medio de la cual...”) </t>
        </r>
      </text>
    </comment>
    <comment ref="E4" authorId="0" shapeId="0" xr:uid="{00000000-0006-0000-1500-000005000000}">
      <text>
        <r>
          <rPr>
            <sz val="11"/>
            <color rgb="FF000000"/>
            <rFont val="Calibri"/>
          </rPr>
          <t>En esta columna identifique el o los artículos específicos de la norma que deben ser cumplidos por la entidad u organismo distrital</t>
        </r>
      </text>
    </comment>
    <comment ref="F4" authorId="0" shapeId="0" xr:uid="{00000000-0006-0000-1500-000006000000}">
      <text>
        <r>
          <rPr>
            <sz val="11"/>
            <color rgb="FF000000"/>
            <rFont val="Calibri"/>
          </rPr>
          <t>En esta columna se describe el requerimiento específico asociado al articulo aplicable, con el fin de establecer el mecanismo por medio del cual se cumple la norma.</t>
        </r>
      </text>
    </comment>
    <comment ref="G4" authorId="0" shapeId="0" xr:uid="{00000000-0006-0000-1500-000007000000}">
      <text>
        <r>
          <rPr>
            <sz val="11"/>
            <color rgb="FF000000"/>
            <rFont val="Calibri"/>
          </rPr>
          <t>En esta columna registre la periodicidad de aplicación del requisito (semanal, mensual, trimestral, semestral, anual, permanente, etc.)</t>
        </r>
      </text>
    </comment>
    <comment ref="H4" authorId="0" shapeId="0" xr:uid="{00000000-0006-0000-1500-000008000000}">
      <text>
        <r>
          <rPr>
            <sz val="11"/>
            <color rgb="FF000000"/>
            <rFont val="Calibri"/>
          </rPr>
          <t>En esta columna registre el o los cargos responsable del cumplimiento normativo</t>
        </r>
      </text>
    </comment>
    <comment ref="I4" authorId="0" shapeId="0" xr:uid="{00000000-0006-0000-1500-000009000000}">
      <text>
        <r>
          <rPr>
            <sz val="11"/>
            <color rgb="FF000000"/>
            <rFont val="Calibri"/>
          </rPr>
          <t>En esta columna se describe el requerimiento específico asociado al articulo aplicable, con el fin de establecer el mecanismo por medio del cual se cumple la norma.</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6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600-000002000000}">
      <text>
        <r>
          <rPr>
            <sz val="11"/>
            <color rgb="FF000000"/>
            <rFont val="Calibri"/>
          </rPr>
          <t>En esta columna se identifica el día, mes y año en el que se expidió la norma.</t>
        </r>
      </text>
    </comment>
    <comment ref="C5" authorId="0" shapeId="0" xr:uid="{00000000-0006-0000-1600-000003000000}">
      <text>
        <r>
          <rPr>
            <sz val="11"/>
            <color rgb="FF000000"/>
            <rFont val="Calibri"/>
          </rPr>
          <t>Entidad que emite la normativa</t>
        </r>
      </text>
    </comment>
    <comment ref="D5" authorId="0" shapeId="0" xr:uid="{00000000-0006-0000-1600-000004000000}">
      <text>
        <r>
          <rPr>
            <sz val="11"/>
            <color rgb="FF000000"/>
            <rFont val="Calibri"/>
          </rPr>
          <t xml:space="preserve">
En esta columna transcriba el enunciado de la norma, así: (“Por medio de la cual...”) </t>
        </r>
      </text>
    </comment>
    <comment ref="E5" authorId="0" shapeId="0" xr:uid="{00000000-0006-0000-16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6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600-000007000000}">
      <text>
        <r>
          <rPr>
            <sz val="11"/>
            <color rgb="FF000000"/>
            <rFont val="Calibri"/>
          </rPr>
          <t>En esta columna registre la periodicidad de aplicación del requisito (semanal, mensual, trimestral, semestral, anual, permanente, etc.)</t>
        </r>
      </text>
    </comment>
    <comment ref="H5" authorId="0" shapeId="0" xr:uid="{00000000-0006-0000-1600-000008000000}">
      <text>
        <r>
          <rPr>
            <sz val="11"/>
            <color rgb="FF000000"/>
            <rFont val="Calibri"/>
          </rPr>
          <t>En esta columna registre el o los cargos responsable del cumplimiento normativo</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7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700-000002000000}">
      <text>
        <r>
          <rPr>
            <sz val="11"/>
            <color rgb="FF000000"/>
            <rFont val="Calibri"/>
          </rPr>
          <t>En esta columna se identifica el día, mes y año en el que se expidió la norma.</t>
        </r>
      </text>
    </comment>
    <comment ref="C5" authorId="0" shapeId="0" xr:uid="{00000000-0006-0000-1700-000003000000}">
      <text>
        <r>
          <rPr>
            <sz val="11"/>
            <color rgb="FF000000"/>
            <rFont val="Calibri"/>
          </rPr>
          <t>Entidad que emite la normativa</t>
        </r>
      </text>
    </comment>
    <comment ref="D5" authorId="0" shapeId="0" xr:uid="{00000000-0006-0000-1700-000004000000}">
      <text>
        <r>
          <rPr>
            <sz val="11"/>
            <color rgb="FF000000"/>
            <rFont val="Calibri"/>
          </rPr>
          <t xml:space="preserve">
En esta columna transcriba el enunciado de la norma, así: (“Por medio de la cual...”) </t>
        </r>
      </text>
    </comment>
    <comment ref="E5" authorId="0" shapeId="0" xr:uid="{00000000-0006-0000-17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7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700-000007000000}">
      <text>
        <r>
          <rPr>
            <sz val="11"/>
            <color rgb="FF000000"/>
            <rFont val="Calibri"/>
          </rPr>
          <t>En esta columna registre la periodicidad de aplicación del requisito (semanal, mensual, trimestral, semestral, anual, permanente, etc.)</t>
        </r>
      </text>
    </comment>
    <comment ref="H5" authorId="0" shapeId="0" xr:uid="{00000000-0006-0000-1700-000008000000}">
      <text>
        <r>
          <rPr>
            <sz val="11"/>
            <color rgb="FF000000"/>
            <rFont val="Calibri"/>
          </rPr>
          <t>En esta columna registre el o los cargos responsable del cumplimiento normativo</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8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800-000002000000}">
      <text>
        <r>
          <rPr>
            <sz val="11"/>
            <color rgb="FF000000"/>
            <rFont val="Calibri"/>
          </rPr>
          <t>En esta columna se identifica el día, mes y año en el que se expidió la norma.</t>
        </r>
      </text>
    </comment>
    <comment ref="C5" authorId="0" shapeId="0" xr:uid="{00000000-0006-0000-1800-000003000000}">
      <text>
        <r>
          <rPr>
            <sz val="11"/>
            <color rgb="FF000000"/>
            <rFont val="Calibri"/>
          </rPr>
          <t>Entidad que emite la normativa</t>
        </r>
      </text>
    </comment>
    <comment ref="D5" authorId="0" shapeId="0" xr:uid="{00000000-0006-0000-1800-000004000000}">
      <text>
        <r>
          <rPr>
            <sz val="11"/>
            <color rgb="FF000000"/>
            <rFont val="Calibri"/>
          </rPr>
          <t xml:space="preserve">
En esta columna transcriba el enunciado de la norma, así: (“Por medio de la cual...”) </t>
        </r>
      </text>
    </comment>
    <comment ref="E5" authorId="0" shapeId="0" xr:uid="{00000000-0006-0000-18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8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800-000007000000}">
      <text>
        <r>
          <rPr>
            <sz val="11"/>
            <color rgb="FF000000"/>
            <rFont val="Calibri"/>
          </rPr>
          <t>En esta casilla identifique el o los procesos de la entidad u organismo distrital con el que se relaciona el requisito</t>
        </r>
      </text>
    </comment>
    <comment ref="H5" authorId="0" shapeId="0" xr:uid="{00000000-0006-0000-1800-000008000000}">
      <text>
        <r>
          <rPr>
            <sz val="11"/>
            <color rgb="FF000000"/>
            <rFont val="Calibri"/>
          </rPr>
          <t>En esta columna registre la periodicidad de aplicación del requisito (semanal, mensual, trimestral, semestral, anual, permanente, etc.)</t>
        </r>
      </text>
    </comment>
    <comment ref="I5" authorId="0" shapeId="0" xr:uid="{00000000-0006-0000-1800-000009000000}">
      <text>
        <r>
          <rPr>
            <sz val="11"/>
            <color rgb="FF000000"/>
            <rFont val="Calibri"/>
          </rPr>
          <t>En esta columna registre el o los cargos responsable del cumplimiento normativo</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9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900-000002000000}">
      <text>
        <r>
          <rPr>
            <sz val="11"/>
            <color rgb="FF000000"/>
            <rFont val="Calibri"/>
          </rPr>
          <t>En esta columna se identifica el día, mes y año en el que se expidió la norma.</t>
        </r>
      </text>
    </comment>
    <comment ref="C5" authorId="0" shapeId="0" xr:uid="{00000000-0006-0000-1900-000003000000}">
      <text>
        <r>
          <rPr>
            <sz val="11"/>
            <color rgb="FF000000"/>
            <rFont val="Calibri"/>
          </rPr>
          <t>Entidad que emite la normativa</t>
        </r>
      </text>
    </comment>
    <comment ref="D5" authorId="0" shapeId="0" xr:uid="{00000000-0006-0000-1900-000004000000}">
      <text>
        <r>
          <rPr>
            <sz val="11"/>
            <color rgb="FF000000"/>
            <rFont val="Calibri"/>
          </rPr>
          <t xml:space="preserve">
En esta columna transcriba el enunciado de la norma, así: (“Por medio de la cual...”) </t>
        </r>
      </text>
    </comment>
    <comment ref="E5" authorId="0" shapeId="0" xr:uid="{00000000-0006-0000-19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9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900-000007000000}">
      <text>
        <r>
          <rPr>
            <sz val="11"/>
            <color rgb="FF000000"/>
            <rFont val="Calibri"/>
          </rPr>
          <t>En esta casilla identifique el o los procesos de la entidad u organismo distrital con el que se relaciona el requisito</t>
        </r>
      </text>
    </comment>
    <comment ref="H5" authorId="0" shapeId="0" xr:uid="{00000000-0006-0000-1900-000008000000}">
      <text>
        <r>
          <rPr>
            <sz val="11"/>
            <color rgb="FF000000"/>
            <rFont val="Calibri"/>
          </rPr>
          <t>En esta columna registre la periodicidad de aplicación del requisito (semanal, mensual, trimestral, semestral, anual, permanente, etc.)</t>
        </r>
      </text>
    </comment>
    <comment ref="I5" authorId="0" shapeId="0" xr:uid="{00000000-0006-0000-1900-000009000000}">
      <text>
        <r>
          <rPr>
            <sz val="11"/>
            <color rgb="FF000000"/>
            <rFont val="Calibri"/>
          </rPr>
          <t>En esta columna registre el o los cargos responsable del cumplimiento normativo</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A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A00-000002000000}">
      <text>
        <r>
          <rPr>
            <sz val="11"/>
            <color rgb="FF000000"/>
            <rFont val="Calibri"/>
          </rPr>
          <t>En esta columna se identifica el día, mes y año en el que se expidió la norma.</t>
        </r>
      </text>
    </comment>
    <comment ref="C5" authorId="0" shapeId="0" xr:uid="{00000000-0006-0000-1A00-000003000000}">
      <text>
        <r>
          <rPr>
            <sz val="11"/>
            <color rgb="FF000000"/>
            <rFont val="Calibri"/>
          </rPr>
          <t>Entidad que emite la normativa</t>
        </r>
      </text>
    </comment>
    <comment ref="D5" authorId="0" shapeId="0" xr:uid="{00000000-0006-0000-1A00-000004000000}">
      <text>
        <r>
          <rPr>
            <sz val="11"/>
            <color rgb="FF000000"/>
            <rFont val="Calibri"/>
          </rPr>
          <t xml:space="preserve">
En esta columna transcriba el enunciado de la norma, así: (“Por medio de la cual...”) </t>
        </r>
      </text>
    </comment>
    <comment ref="E5" authorId="0" shapeId="0" xr:uid="{00000000-0006-0000-1A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A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A00-000007000000}">
      <text>
        <r>
          <rPr>
            <sz val="11"/>
            <color rgb="FF000000"/>
            <rFont val="Calibri"/>
          </rPr>
          <t>En esta casilla identifique el o los procesos de la entidad u organismo distrital con el que se relaciona el requisito</t>
        </r>
      </text>
    </comment>
    <comment ref="H5" authorId="0" shapeId="0" xr:uid="{00000000-0006-0000-1A00-000008000000}">
      <text>
        <r>
          <rPr>
            <sz val="11"/>
            <color rgb="FF000000"/>
            <rFont val="Calibri"/>
          </rPr>
          <t>En esta columna registre la periodicidad de aplicación del requisito (semanal, mensual, trimestral, semestral, anual, permanente, etc.)</t>
        </r>
      </text>
    </comment>
    <comment ref="I5" authorId="0" shapeId="0" xr:uid="{00000000-0006-0000-1A00-000009000000}">
      <text>
        <r>
          <rPr>
            <sz val="11"/>
            <color rgb="FF000000"/>
            <rFont val="Calibri"/>
          </rPr>
          <t>En esta columna registre el o los cargos responsable del cumplimiento normativo</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B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B00-000002000000}">
      <text>
        <r>
          <rPr>
            <sz val="11"/>
            <color rgb="FF000000"/>
            <rFont val="Calibri"/>
          </rPr>
          <t>En esta columna se identifica el día, mes y año en el que se expidió la norma.</t>
        </r>
      </text>
    </comment>
    <comment ref="C5" authorId="0" shapeId="0" xr:uid="{00000000-0006-0000-1B00-000003000000}">
      <text>
        <r>
          <rPr>
            <sz val="11"/>
            <color rgb="FF000000"/>
            <rFont val="Calibri"/>
          </rPr>
          <t>Entidad que emite la normativa</t>
        </r>
      </text>
    </comment>
    <comment ref="D5" authorId="0" shapeId="0" xr:uid="{00000000-0006-0000-1B00-000004000000}">
      <text>
        <r>
          <rPr>
            <sz val="11"/>
            <color rgb="FF000000"/>
            <rFont val="Calibri"/>
          </rPr>
          <t xml:space="preserve">
En esta columna transcriba el enunciado de la norma, así: (“Por medio de la cual...”) </t>
        </r>
      </text>
    </comment>
    <comment ref="E5" authorId="0" shapeId="0" xr:uid="{00000000-0006-0000-1B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B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B00-000007000000}">
      <text>
        <r>
          <rPr>
            <sz val="11"/>
            <color rgb="FF000000"/>
            <rFont val="Calibri"/>
          </rPr>
          <t>En esta columna registre la periodicidad de aplicación del requisito (semanal, mensual, trimestral, semestral, anual, permanente, etc.)</t>
        </r>
      </text>
    </comment>
    <comment ref="H5" authorId="0" shapeId="0" xr:uid="{00000000-0006-0000-1B00-000008000000}">
      <text>
        <r>
          <rPr>
            <sz val="11"/>
            <color rgb="FF000000"/>
            <rFont val="Calibri"/>
          </rPr>
          <t>En esta columna registre el o los cargos responsable del cumplimiento normativo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3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300-000002000000}">
      <text>
        <r>
          <rPr>
            <sz val="11"/>
            <color rgb="FF000000"/>
            <rFont val="Calibri"/>
          </rPr>
          <t>En esta columna se identifica el día, mes y año en el que se expidió la norma.</t>
        </r>
      </text>
    </comment>
    <comment ref="C5" authorId="0" shapeId="0" xr:uid="{00000000-0006-0000-0300-000003000000}">
      <text>
        <r>
          <rPr>
            <sz val="11"/>
            <color rgb="FF000000"/>
            <rFont val="Calibri"/>
          </rPr>
          <t>Entidad que emite la normativa</t>
        </r>
      </text>
    </comment>
    <comment ref="D5" authorId="0" shapeId="0" xr:uid="{00000000-0006-0000-0300-000004000000}">
      <text>
        <r>
          <rPr>
            <sz val="11"/>
            <color rgb="FF000000"/>
            <rFont val="Calibri"/>
          </rPr>
          <t xml:space="preserve">
En esta columna transcriba el enunciado de la norma, así: (“Por medio de la cual...”) </t>
        </r>
      </text>
    </comment>
    <comment ref="E5" authorId="0" shapeId="0" xr:uid="{00000000-0006-0000-03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3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300-000007000000}">
      <text>
        <r>
          <rPr>
            <sz val="11"/>
            <color rgb="FF000000"/>
            <rFont val="Calibri"/>
          </rPr>
          <t>En esta casilla identifique el o los procesos de la entidad u organismo distrital con el que se relaciona el requisito</t>
        </r>
      </text>
    </comment>
    <comment ref="H5" authorId="0" shapeId="0" xr:uid="{00000000-0006-0000-0300-000008000000}">
      <text>
        <r>
          <rPr>
            <sz val="11"/>
            <color rgb="FF000000"/>
            <rFont val="Calibri"/>
          </rPr>
          <t>En esta columna registre la periodicidad de aplicación del requisito (semanal, mensual, trimestral, semestral, anual, permanente, etc.)</t>
        </r>
      </text>
    </comment>
    <comment ref="I5" authorId="0" shapeId="0" xr:uid="{00000000-0006-0000-0300-000009000000}">
      <text>
        <r>
          <rPr>
            <sz val="11"/>
            <color rgb="FF000000"/>
            <rFont val="Calibri"/>
          </rPr>
          <t>En esta columna registre el o los cargos responsable del cumplimiento normativo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5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500-000002000000}">
      <text>
        <r>
          <rPr>
            <sz val="11"/>
            <color rgb="FF000000"/>
            <rFont val="Calibri"/>
          </rPr>
          <t>En esta columna se identifica el día, mes y año en el que se expidió la norma.</t>
        </r>
      </text>
    </comment>
    <comment ref="C5" authorId="0" shapeId="0" xr:uid="{00000000-0006-0000-0500-000003000000}">
      <text>
        <r>
          <rPr>
            <sz val="11"/>
            <color rgb="FF000000"/>
            <rFont val="Calibri"/>
          </rPr>
          <t>Entidad que emite la normativa</t>
        </r>
      </text>
    </comment>
    <comment ref="D5" authorId="0" shapeId="0" xr:uid="{00000000-0006-0000-0500-000004000000}">
      <text>
        <r>
          <rPr>
            <sz val="11"/>
            <color rgb="FF000000"/>
            <rFont val="Calibri"/>
          </rPr>
          <t xml:space="preserve">
En esta columna transcriba el enunciado de la norma, así: (“Por medio de la cual...”) </t>
        </r>
      </text>
    </comment>
    <comment ref="E5" authorId="0" shapeId="0" xr:uid="{00000000-0006-0000-05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5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500-000007000000}">
      <text>
        <r>
          <rPr>
            <sz val="11"/>
            <color rgb="FF000000"/>
            <rFont val="Calibri"/>
          </rPr>
          <t>En esta columna registre la periodicidad de aplicación del requisito (semanal, mensual, trimestral, semestral, anual, permanente, etc.)</t>
        </r>
      </text>
    </comment>
    <comment ref="H5" authorId="0" shapeId="0" xr:uid="{00000000-0006-0000-0500-000008000000}">
      <text>
        <r>
          <rPr>
            <sz val="11"/>
            <color rgb="FF000000"/>
            <rFont val="Calibri"/>
          </rPr>
          <t>En esta columna registre el o los cargos responsable del cumplimiento normativo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6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600-000002000000}">
      <text>
        <r>
          <rPr>
            <sz val="11"/>
            <color rgb="FF000000"/>
            <rFont val="Calibri"/>
          </rPr>
          <t>En esta columna se identifica el día, mes y año en el que se expidió la norma.</t>
        </r>
      </text>
    </comment>
    <comment ref="C5" authorId="0" shapeId="0" xr:uid="{00000000-0006-0000-0600-000003000000}">
      <text>
        <r>
          <rPr>
            <sz val="11"/>
            <color rgb="FF000000"/>
            <rFont val="Calibri"/>
          </rPr>
          <t>Entidad que emite la normativa</t>
        </r>
      </text>
    </comment>
    <comment ref="D5" authorId="0" shapeId="0" xr:uid="{00000000-0006-0000-0600-000004000000}">
      <text>
        <r>
          <rPr>
            <sz val="11"/>
            <color rgb="FF000000"/>
            <rFont val="Calibri"/>
          </rPr>
          <t xml:space="preserve">
En esta columna transcriba el enunciado de la norma, así: (“Por medio de la cual...”) </t>
        </r>
      </text>
    </comment>
    <comment ref="E5" authorId="0" shapeId="0" xr:uid="{00000000-0006-0000-06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6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600-000007000000}">
      <text>
        <r>
          <rPr>
            <sz val="11"/>
            <color rgb="FF000000"/>
            <rFont val="Calibri"/>
          </rPr>
          <t>En esta columna registre la periodicidad de aplicación del requisito (semanal, mensual, trimestral, semestral, anual, permanente, etc.)</t>
        </r>
      </text>
    </comment>
    <comment ref="H5" authorId="0" shapeId="0" xr:uid="{00000000-0006-0000-0600-000008000000}">
      <text>
        <r>
          <rPr>
            <sz val="11"/>
            <color rgb="FF000000"/>
            <rFont val="Calibri"/>
          </rPr>
          <t>En esta columna registre el o los cargos responsable del cumplimiento normativo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7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700-000002000000}">
      <text>
        <r>
          <rPr>
            <sz val="11"/>
            <color rgb="FF000000"/>
            <rFont val="Calibri"/>
          </rPr>
          <t>En esta columna se identifica el día, mes y año en el que se expidió la norma.</t>
        </r>
      </text>
    </comment>
    <comment ref="C5" authorId="0" shapeId="0" xr:uid="{00000000-0006-0000-0700-000003000000}">
      <text>
        <r>
          <rPr>
            <sz val="11"/>
            <color rgb="FF000000"/>
            <rFont val="Calibri"/>
          </rPr>
          <t>Entidad que emite la normativa</t>
        </r>
      </text>
    </comment>
    <comment ref="D5" authorId="0" shapeId="0" xr:uid="{00000000-0006-0000-0700-000004000000}">
      <text>
        <r>
          <rPr>
            <sz val="11"/>
            <color rgb="FF000000"/>
            <rFont val="Calibri"/>
          </rPr>
          <t xml:space="preserve">
En esta columna transcriba el enunciado de la norma, así: (“Por medio de la cual...”) </t>
        </r>
      </text>
    </comment>
    <comment ref="E5" authorId="0" shapeId="0" xr:uid="{00000000-0006-0000-07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7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700-000007000000}">
      <text>
        <r>
          <rPr>
            <sz val="11"/>
            <color rgb="FF000000"/>
            <rFont val="Calibri"/>
          </rPr>
          <t>En esta columna registre la periodicidad de aplicación del requisito (semanal, mensual, trimestral, semestral, anual, permanente, etc.)</t>
        </r>
      </text>
    </comment>
    <comment ref="H5" authorId="0" shapeId="0" xr:uid="{00000000-0006-0000-0700-000008000000}">
      <text>
        <r>
          <rPr>
            <sz val="11"/>
            <color rgb="FF000000"/>
            <rFont val="Calibri"/>
          </rPr>
          <t>En esta columna registre el o los cargos responsable del cumplimiento normativo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8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800-000002000000}">
      <text>
        <r>
          <rPr>
            <sz val="11"/>
            <color rgb="FF000000"/>
            <rFont val="Calibri"/>
          </rPr>
          <t>En esta columna se identifica el día, mes y año en el que se expidió la norma.</t>
        </r>
      </text>
    </comment>
    <comment ref="C5" authorId="0" shapeId="0" xr:uid="{00000000-0006-0000-0800-000003000000}">
      <text>
        <r>
          <rPr>
            <sz val="11"/>
            <color rgb="FF000000"/>
            <rFont val="Calibri"/>
          </rPr>
          <t>Entidad que emite la normativa</t>
        </r>
      </text>
    </comment>
    <comment ref="D5" authorId="0" shapeId="0" xr:uid="{00000000-0006-0000-0800-000004000000}">
      <text>
        <r>
          <rPr>
            <sz val="11"/>
            <color rgb="FF000000"/>
            <rFont val="Calibri"/>
          </rPr>
          <t xml:space="preserve">
En esta columna transcriba el enunciado de la norma, así: (“Por medio de la cual...”) </t>
        </r>
      </text>
    </comment>
    <comment ref="E5" authorId="0" shapeId="0" xr:uid="{00000000-0006-0000-08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8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800-000007000000}">
      <text>
        <r>
          <rPr>
            <sz val="11"/>
            <color rgb="FF000000"/>
            <rFont val="Calibri"/>
          </rPr>
          <t>En esta columna registre la periodicidad de aplicación del requisito (semanal, mensual, trimestral, semestral, anual, permanente, etc.)</t>
        </r>
      </text>
    </comment>
    <comment ref="H5" authorId="0" shapeId="0" xr:uid="{00000000-0006-0000-0800-000008000000}">
      <text>
        <r>
          <rPr>
            <sz val="11"/>
            <color rgb="FF000000"/>
            <rFont val="Calibri"/>
          </rPr>
          <t>En esta columna registre el o los cargos responsable del cumplimiento normativo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9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900-000002000000}">
      <text>
        <r>
          <rPr>
            <sz val="11"/>
            <color rgb="FF000000"/>
            <rFont val="Calibri"/>
          </rPr>
          <t>En esta columna se identifica el día, mes y año en el que se expidió la norma.</t>
        </r>
      </text>
    </comment>
    <comment ref="C5" authorId="0" shapeId="0" xr:uid="{00000000-0006-0000-0900-000003000000}">
      <text>
        <r>
          <rPr>
            <sz val="11"/>
            <color rgb="FF000000"/>
            <rFont val="Calibri"/>
          </rPr>
          <t>Entidad que emite la normativa</t>
        </r>
      </text>
    </comment>
    <comment ref="D5" authorId="0" shapeId="0" xr:uid="{00000000-0006-0000-0900-000004000000}">
      <text>
        <r>
          <rPr>
            <sz val="11"/>
            <color rgb="FF000000"/>
            <rFont val="Calibri"/>
          </rPr>
          <t xml:space="preserve">
En esta columna transcriba el enunciado de la norma, así: (“Por medio de la cual...”) </t>
        </r>
      </text>
    </comment>
    <comment ref="E5" authorId="0" shapeId="0" xr:uid="{00000000-0006-0000-09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9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900-000007000000}">
      <text>
        <r>
          <rPr>
            <sz val="11"/>
            <color rgb="FF000000"/>
            <rFont val="Calibri"/>
          </rPr>
          <t>En esta columna registre la periodicidad de aplicación del requisito (semanal, mensual, trimestral, semestral, anual, permanente, etc.)</t>
        </r>
      </text>
    </comment>
    <comment ref="H5" authorId="0" shapeId="0" xr:uid="{00000000-0006-0000-0900-000008000000}">
      <text>
        <r>
          <rPr>
            <sz val="11"/>
            <color rgb="FF000000"/>
            <rFont val="Calibri"/>
          </rPr>
          <t>En esta columna registre el o los cargos responsable del cumplimiento normativo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A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A00-000002000000}">
      <text>
        <r>
          <rPr>
            <sz val="11"/>
            <color rgb="FF000000"/>
            <rFont val="Calibri"/>
          </rPr>
          <t>En esta columna se identifica el día, mes y año en el que se expidió la norma.</t>
        </r>
      </text>
    </comment>
    <comment ref="C5" authorId="0" shapeId="0" xr:uid="{00000000-0006-0000-0A00-000003000000}">
      <text>
        <r>
          <rPr>
            <sz val="11"/>
            <color rgb="FF000000"/>
            <rFont val="Calibri"/>
          </rPr>
          <t>Entidad que emite la normativa</t>
        </r>
      </text>
    </comment>
    <comment ref="D5" authorId="0" shapeId="0" xr:uid="{00000000-0006-0000-0A00-000004000000}">
      <text>
        <r>
          <rPr>
            <sz val="11"/>
            <color rgb="FF000000"/>
            <rFont val="Calibri"/>
          </rPr>
          <t xml:space="preserve">
En esta columna transcriba el enunciado de la norma, así: (“Por medio de la cual...”) </t>
        </r>
      </text>
    </comment>
    <comment ref="E5" authorId="0" shapeId="0" xr:uid="{00000000-0006-0000-0A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A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A00-000007000000}">
      <text>
        <r>
          <rPr>
            <sz val="11"/>
            <color rgb="FF000000"/>
            <rFont val="Calibri"/>
          </rPr>
          <t>En esta columna registre la periodicidad de aplicación del requisito (semanal, mensual, trimestral, semestral, anual, permanente, etc.)</t>
        </r>
      </text>
    </comment>
    <comment ref="H5" authorId="0" shapeId="0" xr:uid="{00000000-0006-0000-0A00-000008000000}">
      <text>
        <r>
          <rPr>
            <sz val="11"/>
            <color rgb="FF000000"/>
            <rFont val="Calibri"/>
          </rPr>
          <t>En esta columna registre el o los cargos responsable del cumplimiento normativo</t>
        </r>
      </text>
    </comment>
  </commentList>
</comments>
</file>

<file path=xl/sharedStrings.xml><?xml version="1.0" encoding="utf-8"?>
<sst xmlns="http://schemas.openxmlformats.org/spreadsheetml/2006/main" count="22509" uniqueCount="5035">
  <si>
    <t>MATRIZ LEGAL POR PROCESOS</t>
  </si>
  <si>
    <t>N°</t>
  </si>
  <si>
    <t>MENU POR PROCESOS
(Dar click sobre el proceso a consultar)</t>
  </si>
  <si>
    <t xml:space="preserve">(*) Estado </t>
  </si>
  <si>
    <t xml:space="preserve">(*) Fecha última modificación </t>
  </si>
  <si>
    <t>Administración y Mantenimiento de Parques y Escenarios</t>
  </si>
  <si>
    <t>Actualizado</t>
  </si>
  <si>
    <t>Adquisición de Bienes y Servicios</t>
  </si>
  <si>
    <t>Control Disciplinario Interno</t>
  </si>
  <si>
    <t>Control, Evaluación y Mejora</t>
  </si>
  <si>
    <t>Diseño y Construcción de Parques y Escenarios</t>
  </si>
  <si>
    <t>Fomento de la actividad física , el Deporte y la Recreación</t>
  </si>
  <si>
    <t>Gestión de Asuntos Locales</t>
  </si>
  <si>
    <t>Gestión de comunicaciones</t>
  </si>
  <si>
    <t>Gestión de Recursos Físicos</t>
  </si>
  <si>
    <t>Gestión de Talento Humano</t>
  </si>
  <si>
    <t>Gestión de tecnología de la información</t>
  </si>
  <si>
    <t>Gestión Documental</t>
  </si>
  <si>
    <t>Gestión Financiera</t>
  </si>
  <si>
    <t>Gestión Jurídica</t>
  </si>
  <si>
    <t>Planeación de la Gestión</t>
  </si>
  <si>
    <t>Promoción de la Recreación</t>
  </si>
  <si>
    <t>Gestión de Servicio a la ciudadanía</t>
  </si>
  <si>
    <t>Codvid-19 Orden IDRD</t>
  </si>
  <si>
    <t xml:space="preserve">  11/05/2020</t>
  </si>
  <si>
    <t>Codvid-19 Orden Distrital</t>
  </si>
  <si>
    <t>Codvid-19 Orden Nacional</t>
  </si>
  <si>
    <t>PIGA</t>
  </si>
  <si>
    <t>MATRIZ DE CUMPLIMIENTO LEGAL</t>
  </si>
  <si>
    <t>Proceso: Administración y Mantenimiento de Parques y escenarios</t>
  </si>
  <si>
    <t>MENU</t>
  </si>
  <si>
    <t>FECHA ÚLTIMA ACTUALIZACIÓN: 29/06/2022</t>
  </si>
  <si>
    <t>DIA / MES / AÑO</t>
  </si>
  <si>
    <t>ENTIDAD</t>
  </si>
  <si>
    <t>EPIGRAFE</t>
  </si>
  <si>
    <t xml:space="preserve">ARTÍCULO APLICABLE </t>
  </si>
  <si>
    <t xml:space="preserve">BREVE DESCRIPCIÓN DEL ARTÍCULO </t>
  </si>
  <si>
    <t>FRECUENCIA DE APLICACIÓN DEL REQUISITO LEGAL</t>
  </si>
  <si>
    <t>RESPONSABLE DE LA APLICACIÓN</t>
  </si>
  <si>
    <t>Congreso de Colombia</t>
  </si>
  <si>
    <t>Por la cual se dictan medidas sanitarias.</t>
  </si>
  <si>
    <t>Todo</t>
  </si>
  <si>
    <t>N/A</t>
  </si>
  <si>
    <t>Permanente</t>
  </si>
  <si>
    <t>Subdirección Técnica de Parques</t>
  </si>
  <si>
    <t>Por la cual se estimula la financiación democrática de los clubes con deportistas profesionales y se otorgan incentivos económicos a los mismos.</t>
  </si>
  <si>
    <t xml:space="preserve">LEY 80 </t>
  </si>
  <si>
    <t>Por la cual se expide el Estatuto General de Contratación de la Administración Pública</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</si>
  <si>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</si>
  <si>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Por medio de la cual se reglamentan las veedurías ciudadanas.</t>
  </si>
  <si>
    <t>Por el cual se establece el Reglamento Taurino.</t>
  </si>
  <si>
    <t>Por medio de la cual se establecen normas de seguridad en piscinas.</t>
  </si>
  <si>
    <t>Por la cual se regulan el funcionamiento y operación de los parques de diversiones, atracciones o dispositivos de entretenimiento, atracciones mecánicas y ciudades de hierro, parques acuáticos, temáticos, ecológicos, centros interactivos, zoológicos y acuarios en todo el territorio nacional y se dictan otras disposiciones.</t>
  </si>
  <si>
    <t>Por la cual se definen principios y conceptos sobre la sociedad de la información y la organización de las Tecnologías de la Información y las Comunicaciones ¿TIC¿, se crea la Agencia Nacional de Espectro y se dictan otras disposiciones</t>
  </si>
  <si>
    <t>Por la cual se dictan normas orientadas a fortalecer los mecanismos de prevención, investigación y sanción de actos de corrupción y la efectividad del control de la gestión pública.</t>
  </si>
  <si>
    <t>Por la cual se toman medidas para formalizar el sector del espectáculo público de las artes escénicas, se otorgan competencias de inspección, vigilancia y control sobre las sociedades de gestión colectiva y se dictan otras disposiciones.</t>
  </si>
  <si>
    <t>Por la cual se expide el Código Nacional de Policía y Convivencia</t>
  </si>
  <si>
    <t>Presidencia de la República de Colombia</t>
  </si>
  <si>
    <t xml:space="preserve">Por el cual se dicta el régimen especial para el Distrito Capital de Santa Fe de Bogotá. </t>
  </si>
  <si>
    <t xml:space="preserve"> Artículo 12
Numeral 1
Numeral 3</t>
  </si>
  <si>
    <t xml:space="preserve"> Artículo 12: Atribuciones. Corresponde al Concejo Distrital, de conformidad con la Constitución y a la ley
Numeral 1: Dictar las normas necesarias para garantizar el adecuado cumplimiento de las funciones y la eficiente prestación de los servicios a cargo del Distrito.
Numeral 3: Establecer, reformar o eliminar tributos, contribuciones, impuestos y sobretasas: ordenar exenciones tributarias y establecer sistemas de retención y anticipos con el fin de garantizar el efectivo recaudo de aquéllos.</t>
  </si>
  <si>
    <t>Alcaldía Mayor de Bogotá D.C.</t>
  </si>
  <si>
    <t>Por medio del cual se deroga el DECRETO 211 de 1998.</t>
  </si>
  <si>
    <t>Por el cual se reglamentan los Planes de Reordenamiento de que tratan los artículos 334 y 457 del DECRETO 619 del 28 de Julio de 2000.</t>
  </si>
  <si>
    <t>Por el cual se reglamenta el Acuerdo 78 de 2002 y adopta disposiciones para la administración y sostenibilidad del Sistema Distrital de Parques Distritales .</t>
  </si>
  <si>
    <t>Por el cual se reglamentan los artículos sexto y décimo del Acuerdo Distrital 078 de 2002 que dicto normas para la administración y sostenibilidad del sistema distrital de parques.</t>
  </si>
  <si>
    <t>Por el cual asigna a la Secretaría de Gobierno el ejercicio de las funciones y actividades relacionadas con el manejo de las corridas de toros y demás espectáculos y eventos taurinos y afines en el Distrito Capital».</t>
  </si>
  <si>
    <t>Por el cual se dictan disposiciones para el funcionamiento de las atracciones mecánicas y juegos participativos de recreación en el Distrito Capital.</t>
  </si>
  <si>
    <t>Por el cual se reglamenta el artículo 282 del DECRETO Distrital 190 de 2004, en cuanto a parques de escala vecinal y de bolsillo.</t>
  </si>
  <si>
    <t>Por el cual se adopta límites de exposición de las personas a campos electromagnéticos, se adecuan procedimientos para la instalación de estaciones radioeléctricas y se dictan otras disposiciones</t>
  </si>
  <si>
    <t>Por el cual se adopta el Plan Maestro del Espacio Público para Bogotá Distrito Capital y se dictan otras disposiciones.</t>
  </si>
  <si>
    <t>DECRETO 838</t>
  </si>
  <si>
    <t>Por el cual se modifica el DECRETO 1713 de 2002 sobre disposición final de residuos sólidos y se dictan otras disposiciones.</t>
  </si>
  <si>
    <t>Por el cual se adopta el Plan Maestro de Telecomunicaciones para Bogotá Distrito Capital.</t>
  </si>
  <si>
    <t>Por medio del cual se adopta el Plan Maestro de Equipamientos Educativos de Bogotá Distrito Capital.</t>
  </si>
  <si>
    <t>Por el cual se modifican los DECRETOs Distritales 308 de 2006 (Plan Maestro de equipamientos Deportivos y Recreativos) y 897 de 2000 (Planes de Reordenamiento).</t>
  </si>
  <si>
    <t>Por el cual se actualiza la "Cartilla de Mobiliario Urbano de Bogotá D.C.", adoptada mediante DECRETO Distrital 170 de 1999, y se dictan otras disposiciones.</t>
  </si>
  <si>
    <t xml:space="preserve"> Por el cual se reglamenta la silvicultura urbana, zonas verdes y la jardinería en Bogotá y se definen Ias responsabilidades de las Entidades Distritales en relación con el tema y se dictan otras disposiciones.</t>
  </si>
  <si>
    <t>DECRETO 503</t>
  </si>
  <si>
    <t>Por el cual se adopta la Política Pública de Participación Incidente para el Distrito Capital.</t>
  </si>
  <si>
    <t>Por el cual se reglamenta la Ley 1493 de 2011.</t>
  </si>
  <si>
    <t>Por medio del cual se asigna una función a los /as Secretarios /as de Despacho, cabeza de Sector Administrativo.</t>
  </si>
  <si>
    <t>Por medio del cual se modifica el DECRETO Distrital 544 de 2012.</t>
  </si>
  <si>
    <t xml:space="preserve">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 </t>
  </si>
  <si>
    <t>Por el cual se reglamenta la Ley 1493 de 2011, se modifica el DECRETO 1258 de 2012 y se dictan otras disposiciones.</t>
  </si>
  <si>
    <t>Por el cual se reglamenta la prestación del servicio público de aseo</t>
  </si>
  <si>
    <t>Por el cual se promueve la práctica artística y responsable del grafiti en la ciudad y se dictan otras disposiciones.</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</si>
  <si>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</si>
  <si>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Por medio del cual se adopta la Política Pública de Deporte, Recreación, Actividad Física, Parques y Escenarios para Bogotá</t>
  </si>
  <si>
    <t>Por medio del cual se modifica el DECRETO Distrital 075 de 2013 y se dictan otras disposiciones.</t>
  </si>
  <si>
    <t>Por medio del cual se reglamenta el Acuerdo Distrital 594 de 2015, se crea el Sistema Distrital de Formación Artística y Cultural - SIDFAC, y se dictan otras disposiciones.</t>
  </si>
  <si>
    <t>Por medio del cual se crea la Red de Escenarios Públicos Distritales y se dictan otras disposiciones.</t>
  </si>
  <si>
    <t>Por medio del cual se crea el Consejo Consultivo de Deporte, Recreación, Actividad Física, Parques y Escenarios y se crea la Comisión Intersectorial de Política Pública de Deporte, Recreación, Actividad Física, Parques y Escenarios.</t>
  </si>
  <si>
    <t>Por medio del cual se expide el Decreto Único Reglamentario del Sector Vivienda, Ciudad y Territorio</t>
  </si>
  <si>
    <t>2.2.3.1.5 - 2.2.3.3.3</t>
  </si>
  <si>
    <t xml:space="preserve">2.2.3.1.5 - El espacio público está conformado por el conjunto de los siguientes elementos constitutivos y complementarios.
2.2.3.3.3 Administración, mantenimiento y el aprovechamiento económico del espacio público
</t>
  </si>
  <si>
    <t>Por medio del cual se expide el DECRETO Único Reglamentario del Sector Cultura.
Compila las normas que reglamentan el patrimonio archivístico contenidas en los DECRETOs números 2578 de 2012, 2609 de 2012 1515 de 2013, entre otros.</t>
  </si>
  <si>
    <t>N.A.</t>
  </si>
  <si>
    <t>Por el cual se modifica parcialmente el Decreto Distrital 599 de 2013, "Por el cual se establecen los requisitos para el registro, la evaluación y la expedición de la autorización para la realización de las actividades de aglomeración de público en el Distrito Capital, través del Sistema Único de Gestión por el Registro, Evaluación y Autorización de Actividades de Aglomeración de Público en el Distrito Capital —SUGA y se dictan otras disposiciones</t>
  </si>
  <si>
    <t>"Por el cual se establecen los procedimientos, las normas urbanísticas, arquitectónicas y técnicas para la localización e instalación de Estaciones Radioeléctricas utilizadas en la prestación de los servicios públicos de TIC en Bogotá D.C, y se dicta otras disposiciones"</t>
  </si>
  <si>
    <t>Por medio del cual se corrige el parágrafo 3 del artículo 26 y el artículo 40 del Decreto Distrital 397 de 2017 "Por el cual se establecen los procedimientos, las normas urbanísticas, arquitectónicas y técnicas para la localización e instalación de Estaciones Radioeléctricas utilizadas en la prestación de los servicios públicos de TIC en Bogotá D.C., y se dictan otras disposiciones</t>
  </si>
  <si>
    <t>DECRETO 483</t>
  </si>
  <si>
    <t>Por el cual se modifica el Decreto Distrital 229 de 2015, ´Por medio del cual se adopta la Política Pública de Deporte, Recreación, Actividad Física, Parques y Escenarios para Bogotá´, y se dictan otras disposiciones.</t>
  </si>
  <si>
    <t>Por medio del cual se establece el Marco Regulatorio del Aprovechamiento Económico del Espacio Público en el Distrito Capital de Bogotá y se dictan otras disposiciones</t>
  </si>
  <si>
    <t>DECRETO 557</t>
  </si>
  <si>
    <t>Por medio del cual se adopta el Sistema Distrital de Participación en Deporte, Recreación, Actividad Física, Parques, Escenarios y Equipamientos Recreativos y Deportivos para Bogotá D.C. - DRAFE y se dictan otras disposiciones</t>
  </si>
  <si>
    <t>"Por el cual se modifica el Plan Maestro de Equipamientos Educativos adoptado mediante el Decreto Distrital 449 de 2006, modificado por los Decretos Distritales 174 de 2013 y 475 de 2017, y se dictan otras disposiciones”.</t>
  </si>
  <si>
    <t>Por medio del cual se establece la conformación y funcionamiento del Comité Distrital del Espacio Público, la operación de la Ventanilla Unica de Implantaciones Artísticas en el Espacio Público VIARTE y se dictan otras disposiciones</t>
  </si>
  <si>
    <t>"Por medio del cual se racionalizan y actualizan las instancias de coordinación del Sector Gobierno</t>
  </si>
  <si>
    <t>Decreto 2106</t>
  </si>
  <si>
    <t>"Por el cual se dictan normas para simplificar, suprimir y reformar trámites, procesos y procedimientos innecesarios existentes en la administración pública."</t>
  </si>
  <si>
    <t>Artículo 133</t>
  </si>
  <si>
    <t>Realización de espectáculos públicos de las artes escénicas en estadios y escenarios deportivos.</t>
  </si>
  <si>
    <t xml:space="preserve">Decreto 081 </t>
  </si>
  <si>
    <t>"Por el cual se adoptan medidas sanitarias y acciones transitorias de policía para la preservación de Ia vida y mitigación del riesgo con ocasión de la situación epidemiológica causada por el Coronavirus (COVID-19) en Bogotá, D.C., y se dictan otras disposiciones".</t>
  </si>
  <si>
    <t>DECRETO 847</t>
  </si>
  <si>
    <t>Alcaldía Mayor de Bogotá, D.C.</t>
  </si>
  <si>
    <t>Por medio del cual se establecen y unifican lineamientos en materia de servicio a la ciudadanía y de implementación de la Política Pública Distrital de Servicio a la Ciudadanía, y se dictan otras disposiciones</t>
  </si>
  <si>
    <t xml:space="preserve">Decreto 093 </t>
  </si>
  <si>
    <t>“Por el cual se adoptan medidas adicionales y complementarias con ocasion de la declaratoria de calarnidad pública efectuada mediante Decreto Distrital 087 del 2020</t>
  </si>
  <si>
    <t>Decreto Nacional 680</t>
  </si>
  <si>
    <t>Por el cual se modifica parcialmente el artículo 2.2.1.1.1.3.1. y se adiciona el artículo 2.2.1.2.4.2.9. al Decreto número 1082 de 2015, Único Reglamentario del Sector Administrativo de Planeación Nacional, en relación con la regla de origen de servicios en el Sistema de Compra Pública</t>
  </si>
  <si>
    <t>Decreto Nacional 742</t>
  </si>
  <si>
    <t>Por medio del cual se modifica el artículo 2.2.22.2.1 del Decreto 1083 de 2015, Único Reglamentario del Sector de Función Pública, con el fin de incorporar la política de Compras y Contratación Pública a las políticas de gestión y desempeño institucional</t>
  </si>
  <si>
    <t>Ministerio de Salud</t>
  </si>
  <si>
    <t xml:space="preserve"> Por la cual se adoptan unas medidas en materia sanitaria.</t>
  </si>
  <si>
    <t>Departamento Administrativo de la Defensoría del Espacio Público - DADEP</t>
  </si>
  <si>
    <t>Por medio de la cual se determina el procedimiento señalado en el artículo 6 del DECRETO Distrital 145 del 2005.</t>
  </si>
  <si>
    <t>Ministerio de Ambiente, Vivienda y Desarrollo Territorial</t>
  </si>
  <si>
    <t>Por la cual se establece la norma nacional de emisión de ruido y ruido ambiental</t>
  </si>
  <si>
    <t>Instituto Distrital de Recreación y Deporte - IDRD</t>
  </si>
  <si>
    <t>Por medio de la cual se adopta el Manual de Aprovechamiento Económico de los Espacios Públicos Administrados por el Instituto Distrital para la Recreación y el Deporte - IDRD.</t>
  </si>
  <si>
    <t>Por medio de la cual se modifica el Manual de Aprovechamiento Económico del Espacio Público administrado por el Instituto Distrital para la Recreación y el Deporte.</t>
  </si>
  <si>
    <t>Ministerio de Protección Social</t>
  </si>
  <si>
    <t>Por la cual se establece el reglamento técnico sobre los requisitos que deben cumplir las bebidas energizantes para consumo humano.</t>
  </si>
  <si>
    <t>Por medio de la cual se modifica el Manual de Aprovechamiento económico de los Espacios Públicos administrados por el Instituto Distrital de Recreación y Deporte.</t>
  </si>
  <si>
    <t>Ministerio de Comercio, Industria y Turismo</t>
  </si>
  <si>
    <t>Por la cual se establecen unas disposiciones en desarrollo la Ley 1225 de 2008, sobre parques de diversiones, atracciones y dispositivos de entretenimiento, en todo el territorio nacional.</t>
  </si>
  <si>
    <t>RESOLUCIÓN  087</t>
  </si>
  <si>
    <t xml:space="preserve">Departamento Administrativo de la Defensoría del Espacio Público de Bogotá D.C. </t>
  </si>
  <si>
    <t>por medio de la cual se adopta el instructivo previsto en el artículo 2 del Acuerdo 433 de 2010, por el cual se establecen medidas para garantizar la seguridad del espacio público en los parques de escala vecinal y de bolsillo, se ordena su reglamentación y se deroga la Resolución 084 de 29 de abril de 2010</t>
  </si>
  <si>
    <t>Por la cual se adopta la Política de Prevención del Daño Antijurídico y Defensa Judicial en el Instituto Distrital de Recreación y Deportes.</t>
  </si>
  <si>
    <t>Por medio del cual se crea el Comité técnico del acuerdo 078 de 2002.</t>
  </si>
  <si>
    <t>Por medio de la cual se reglamenta el uso de palcos y boletería de cortesía en el Estadio Nemesio Camacho "El Campin.</t>
  </si>
  <si>
    <t>RESOLUCIÓN 238</t>
  </si>
  <si>
    <t>Por medio de la cual se modifica el numeral 1º del artículo 5.2.1.3 de la Resolución 037 de 2013 - Manual de Contratación del IDRD.</t>
  </si>
  <si>
    <t>Por medio de la cual se modifica el Manual de Aprovechamiento Económico del Espacio Público administrado por el Instituto Distrital de Recreación y Deporte.</t>
  </si>
  <si>
    <t>Por medio de la cual se establecen los Equipos Locales de Recreación, Deporte y Actividad Física del Instituto Distrital de Recreación y Deporte.</t>
  </si>
  <si>
    <t xml:space="preserve">RESOLUCIÓN 020 </t>
  </si>
  <si>
    <t>por lo cual se actualiza el inventario de espacio públicos recuperados y/o preservados en cualquier tiempo, adoptado mediante la  Resolución 158 del 10 de junio de 2004</t>
  </si>
  <si>
    <t xml:space="preserve">RESOLUCIÓN 034 </t>
  </si>
  <si>
    <t>por la cual se reconocen los hechos notorios de ocupación indebida del espacio público en el distrito capital de Bogotá</t>
  </si>
  <si>
    <t>Secretaria Distrital de Gobierno</t>
  </si>
  <si>
    <t>Por la cual se implementan y desarrollan algunos de los aspectos más relevantes establecidos en el DECRETO Distrital 599 de 2013 y se dictan otras disposiciones.</t>
  </si>
  <si>
    <t>Por medio de la cual se modifica el Manual de Aprovechamiento Económico del Espacio Público Administrado por el Instituto Distrital de Recreación y Deporte.</t>
  </si>
  <si>
    <t>RESOLUCIÓN  116</t>
  </si>
  <si>
    <t>Por la cual se adoptan el Protocolo Interinstitucional y la Fórmula de Retribución del Aprovechamiento Económico del Espacio Público de Bogotá D.C., - Modalidad Corto Plazo - y se deroga la Resolución 234 de 20014</t>
  </si>
  <si>
    <t>Por medio de la cual se deroga la Resolución No. 018 de fecha 17 de Enero de 2014 y se modifica el Manual de Aprovechamiento Económico del Espacio público administrado por el Instituto Distrital de Recreación y Deporte.</t>
  </si>
  <si>
    <t>RESOLUCIÓN  815</t>
  </si>
  <si>
    <t>Secretaría Distrital de Cultura, Recreación y Deporte</t>
  </si>
  <si>
    <t>Por medio de la cual se adopta la guía para el trámite de autorizaciones a las entidades adscritas y vinculadas de la Secretaría Distrital de Cultura, Recreación y Deporte.</t>
  </si>
  <si>
    <t>por lo cual se reglamenta la consulta y utilización del sistema de información del Departamento Administrativo de la Defensoría del Espacio Público - SIDEP 2.0 y se fijan otras disposiciones.</t>
  </si>
  <si>
    <t>Departamento Administrativo del Defensoria del espacio Público - DAFP</t>
  </si>
  <si>
    <t>por la cual se actualiza el listado de actividades de aprovechamiento económico del espacio público establecido en el Decreto Distrital 456 de 2013”, expedida por el Departamento Administrativo de la Defensoría del Espacio Público, en la cual se actualizaron las actividades de aprovechamiento económico, en el sentido de incluir el aprovechamiento económico en el programa ciclovía y los módulos multifuncionales temporales.</t>
  </si>
  <si>
    <t>Secretaría Distrital de desarrollo Económico</t>
  </si>
  <si>
    <t>Por la cual se adopta el protocolo institucional para el aprovechamiento económico del espacio público modalidad de corto plazo en la actividad de mercado temporal</t>
  </si>
  <si>
    <t>RESOLUCIÓN 1666</t>
  </si>
  <si>
    <t>Secretaria Distrital de Planeación</t>
  </si>
  <si>
    <t>Por la cual se establecen las condiciones generales para la localización de Carteleras Lo-cales y Mogadores y se dictan otras disposiciones.</t>
  </si>
  <si>
    <t>Instituto distrital de Recreación y Deporte</t>
  </si>
  <si>
    <t>Por la cual se reglamentan las actividades de aprovechamiento económico en el Programa Ciclovía y Módulos Multifuncionales Temporales actualizadas por la Comisión Intersectorial del Espacio Público</t>
  </si>
  <si>
    <t>RESOLUCIÓN 310</t>
  </si>
  <si>
    <t>“Por la cual se adopta en el IDRD el protocolo de aprovechamiento económico y la fórmula de retribución para actividades deportivas y recreativas en la modalidad de corto plazo en su calidad de entidad gestora de aprovechamiento económico del Espacio Público y se dictan otras disposiciones”</t>
  </si>
  <si>
    <t>RESOLUCIÓN 308</t>
  </si>
  <si>
    <t>“Por la cual se actualizan los listados de las actividades susceptibles de aprovechamiento económico permitidas en el espacio público, los elementos de espacio público donde se permiten las actividades susceptibles de aprovechamiento económico y las entidades gestoras del aprovechamiento económico del espacio público, contenidas en los artículos 8, 10 y 12 del Decreto 552 de 2018”</t>
  </si>
  <si>
    <t>Resolución 385</t>
  </si>
  <si>
    <t>Minsalud y Protección Social</t>
  </si>
  <si>
    <t>"Por la cual se declara la emergencia sanitaria por causa del coronavirus COVID-19 y se adoptan medidas para hacer frente al virus"</t>
  </si>
  <si>
    <t xml:space="preserve">Resolución 139 </t>
  </si>
  <si>
    <t>“Por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t>
  </si>
  <si>
    <t xml:space="preserve">Resolución 140 </t>
  </si>
  <si>
    <t>“Por la cual se suspenden los términos en los trámites que se adelantan en el Instituto Distrital de Recreación y Deporte”</t>
  </si>
  <si>
    <t>Resolución 141</t>
  </si>
  <si>
    <t>“Por la cual se suspenden los términos procesales de las actuaciones administrativas, contractuales, sancionatorias y disciplinarias que se adelantan en el Instituto Distrital de Recreación y Deporte”</t>
  </si>
  <si>
    <t xml:space="preserve">Resolución 145 </t>
  </si>
  <si>
    <t>“Por la cual se prorroga los efectos de la Resolución No. 141 de 2020 “Por la cual se suspenden los términos procesales de las actuaciones administrativas, contractuales, sancionatorias y disciplinarias que se adelantan en el Instituto Distrital de Recreación y Deporte”</t>
  </si>
  <si>
    <t xml:space="preserve">Resolución 200 </t>
  </si>
  <si>
    <t>“Por la cual se da cumplimiento a lo dispuesto en el artículo 20 del Decreto Distrital 093 de 2020 y se ordena las restricciones y limitaciones para el uso de la infraestructura recreativa y deportiva a cargo del Instituto Distrital de Recreación y Deporte - IDRD y se dictan otras disposiciones.”</t>
  </si>
  <si>
    <t xml:space="preserve">RESOLUCIÓN 178 </t>
  </si>
  <si>
    <t>“Por medio de la cual se modifica el artículo 4º de la Resolución No. 701 del 2019 del 4 de diciembre de 2019 “Por la cual se adiciona la Resolución No. 338 de 2010 “Por medio de la cual se modifica el Manual de Aprovechamiento Económico de los Espacios Públicos administrados por el Instituto Distrital de Recreación y Deporte”, incluyendo la actividad de Parques de Diversiones en la categoría de permanentes, conforme a la Resolución No.308 del 20 de agosto de 2019 de la Comisión Intersectorial del Espacio Público del Distrito Capital CIEP, y se dictan otras disposiciones”, en el marco de la emergencia sanitaria por causa del COVID-19”</t>
  </si>
  <si>
    <t>Resolución 189</t>
  </si>
  <si>
    <t>"Por medio de la cual se modifica el Manual de Aprovechamiento Económico de los Espacios Públicos administrados por el Instituto Distrital de Recreación y Deporte, incluyendo los CENTROS FELICIDAD (CEFE), la actividad denominada "Escenario Especial-Centros Felicidad CEFE y se dictan otras disposiciones."</t>
  </si>
  <si>
    <t xml:space="preserve"> Resolución 161</t>
  </si>
  <si>
    <t>Colombia Compra Eficiente</t>
  </si>
  <si>
    <t>por la cual se modifican los documentos tipo adoptados por la Agencia Nacional de Contratación Pública Colombia Compra Eficiente.</t>
  </si>
  <si>
    <t>Concejo de Bogotá</t>
  </si>
  <si>
    <t>Por el cual se dictan normas para la administración y sostenibilidad del sistema de parques distritales. Reglamentado por el DECRETO Distrital 154 de 2003 y DECRETO distrital 263 de 2003.</t>
  </si>
  <si>
    <t>Por el cual se dictan normas básicas sobre la estructura, organización y funcionamiento de los organismos y de las entidades de Bogotá, Distrito Capital, y se expiden otras disposiciones.</t>
  </si>
  <si>
    <t>Por medio del cual se dictan normas de restricción para la ubicación de antenas de telecomunicaciones y la estructura que las soporta y se dictan otras disposiciones.</t>
  </si>
  <si>
    <t>Por medio del cual se adoptan medidas de optimización tributaria en los impuestos de vehículos automotores, delineación urbana, predial unificado y plusvalía en el distrito capital y se dictan otras disposiciones.</t>
  </si>
  <si>
    <t>Por el cual se establecen medidas para garantizar la seguridad del espacio público en los parques de escala vecinal y de bolsillo y se ordena su reglamentación.</t>
  </si>
  <si>
    <t>Por medio del cual se dictan lineamientos para ampliar la cobertura arbórea en parques y zonas verdes de equipamientos urbanos públicos.</t>
  </si>
  <si>
    <t>Por el cual se establecen lineamientos para la recepción de elementos deportivos y de recreación donados en el Distrito Capital y se dictan otras disposiciones.</t>
  </si>
  <si>
    <t>Por medio del cual se establecen procesos lúdicos en los espacios públicos, equipamientos de educación, cultura, recreación y deporte del Distrito Capital, para el desarrollo de la inteligencia emocional y se dictan otras disposiciones.</t>
  </si>
  <si>
    <t>Por el cual se promueve la integración regional rural a través de mercados temporales campesinos, indígenas afrodescendientes y demás etnias.</t>
  </si>
  <si>
    <t>Por medio del cual se dictan lineamientos para la práctica de actividades deportivas y recreativas extremas en Bogotá D.C.</t>
  </si>
  <si>
    <t>Por el cual se establecen medidas especiales de Pago de Tributos en el Distrito Capital y se dictan otras disposiciones</t>
  </si>
  <si>
    <t>Por medio del cual se crean e institucionalizan los juegos deportivos Bogotanos y se dictan otras disposiciones.</t>
  </si>
  <si>
    <t>Por medio del cual se establecen normas para la práctica de grafitis en el Distrito Capital y se dictan otras disposiciones.</t>
  </si>
  <si>
    <t>ACUERDO  489
Derogado por el art. 164, Acuerdo Distrital 645 de 2016</t>
  </si>
  <si>
    <t>Por el cual se adopta el Plan de Desarrollo Económico, Social, Ambiental y de Obras Públicas para Bogotá D.C. 2012-2016 Bogotá Humana.</t>
  </si>
  <si>
    <t>Por medio del cual se adoptan medidas para garantizar el acceso gratuito de los estudiantes en ejercicio de su actividad escolar al sistema distrital de parques.</t>
  </si>
  <si>
    <t>Por el cual se establece la gratuidad en el ingreso y en la utilización de áreas deportivas y parqueaderos de los Parques Distritales y se dictan otras disposiciones.</t>
  </si>
  <si>
    <t>Por el cual se establecen lineamientos para la gestión del riesgo por tormentas eléctricas en el Distrito Capital.</t>
  </si>
  <si>
    <t>Por el cual se modifica el capítulo 6° del título IX del Acuerdo 079 de 2003, y se dictan otras disposiciones.</t>
  </si>
  <si>
    <t>Por el cual se crean los Centros de Formación Musical y Artística y se dictan otras disposiciones.</t>
  </si>
  <si>
    <t>Por el cual se establece realizar periódicamente jornadas de forma exclusiva y prioritaria de donación de sangre entre el hemocentro distrital y las entidades del distrito y se dictan otras disposiciones.</t>
  </si>
  <si>
    <t>Por medio del cual se implementa un protocolo de acciones que deberá tener en cuenta el paseador de perros en el Distrito Capital.</t>
  </si>
  <si>
    <t>Por el cual se dictan lineamientos para la adopción de medidas de inclusión, acciones afirmativas y de ajustes razonables que permitan el acceso real y efectivo de las personas con discapacidad para el disfrute de los parques recreativos y escenarios deportivos del Distrito Capital</t>
  </si>
  <si>
    <t>DEMOCRATIZACIÓN DE LAS OPORTUNIDADES ECONÓMICAS EN EL DISTRITO CAPITAL Y PROMOCIÓN DE ESTRATEGIAS PARA LA PARTICIPACIÓN REAL Y EFECTIVA DE LAS PERSONAS NATURALES VULNERABLES, MARGINADAS Y/O EXCLUIDAS DE LA DINÁMICA PRODUCTIVA DE LA CIUDAD</t>
  </si>
  <si>
    <t>Modificación del numeral 8 de la Directiva 001 de 2011.</t>
  </si>
  <si>
    <t>Condiciones y medidas de protección y seguridad para la realización de espectáculos públicos en el Estadio Nemesio Camacho.</t>
  </si>
  <si>
    <t>DIRECTIVA 001</t>
  </si>
  <si>
    <t>Secretaría Jurídica Distrital</t>
  </si>
  <si>
    <t>COMPILACIÓN NORMATIVA EN CONTRATACIÓN – IMPLEMENTACIÓN DOCUMENTO ÚNICO</t>
  </si>
  <si>
    <t>Secretaría General de la Alcaldía Mayor de Bogotá, Distrito Capital</t>
  </si>
  <si>
    <t xml:space="preserve">	
IMPLEMENTACION DE PROCEDIMIENTOS Y ACTUACIONES ADMINISTRATIVAS EN CUMPLIMIENTO DE LOS (SIC)  DISPUESTO EN EL DECRETO LEY No. 0019 DE 2012.</t>
  </si>
  <si>
    <t>Circular conjunta 001</t>
  </si>
  <si>
    <t>Secretaría General Alcaldía Mayor de Bogotá, D.C.</t>
  </si>
  <si>
    <t>Cumplimiento Ley 2013 de 2019 "por medio del cual se busca garantizar el cumplimiento de los principios de trasparencia y publicidad mediante la publicación de las declaraciones de bienes, renta y el registro de los conflictos de interés"</t>
  </si>
  <si>
    <t>Circular Externa 002</t>
  </si>
  <si>
    <t>sobre publicación de los procesos de contratación bajo la modalidad de concurso de méritos establecido en el artículo 2.2,1.2.1.3.2. del decreto 1082 de 2015, modificado por el artículo 2 del decreto 399 de 2021, a través del sistema electrónico de contratación pública - SECOP 1.</t>
  </si>
  <si>
    <t>.</t>
  </si>
  <si>
    <t>Proceso: Adquisición de Bienes y Servicios</t>
  </si>
  <si>
    <t>FECHA ÚLTIMA ACTUALIZACIÓN: 08/06/2022</t>
  </si>
  <si>
    <t xml:space="preserve">CLASIFICACIÓN NORMATIVA </t>
  </si>
  <si>
    <t>LEY 57</t>
  </si>
  <si>
    <t>15/04/1887</t>
  </si>
  <si>
    <t>Consejo Nacional Legislativo</t>
  </si>
  <si>
    <t xml:space="preserve">Código Civil </t>
  </si>
  <si>
    <t>Subdirección de Contratación</t>
  </si>
  <si>
    <t>DECRETO 410</t>
  </si>
  <si>
    <t>Por el cual se expide el Código de Comercio.</t>
  </si>
  <si>
    <t>ACUERDO 4</t>
  </si>
  <si>
    <t>Mediante el cual se crea en el Distrito una entidad (IDRD) encargada de ser el ente rector de la Recreación y el Deporte en la ciudad de Bogotá D. C.</t>
  </si>
  <si>
    <t>LEY 80</t>
  </si>
  <si>
    <t>Por la cual se expide el Estatuto General de Contratación de la Administración Pública.</t>
  </si>
  <si>
    <t>LEY 100</t>
  </si>
  <si>
    <t xml:space="preserve">Por la cual se crea el sistema de seguridad social integral y se dictan otras disposiciones. </t>
  </si>
  <si>
    <t>LEY 190</t>
  </si>
  <si>
    <t xml:space="preserve">Por la cual se dictan normas tendientes a preservar la moralidad en la administración pública y se fijan disposiciones con el fin de erradicar la corrupción administrativa. </t>
  </si>
  <si>
    <t>DECRETO 2326</t>
  </si>
  <si>
    <t>Por el cual se reglamenta la Ley 80 de 1993 en cuanto a los Concursos para la selección de consultores de diseño, planos, anteproyectos y proyectos arquitectónicos, se hace una adición al DECRETO 1584 de 1994 y se dictan otras disposiciones</t>
  </si>
  <si>
    <t>DECRETO 62</t>
  </si>
  <si>
    <t>Por el cual se corrige y aclara el artículo 38 del DECRETO 2150 del 5 de diciembre de 1995.</t>
  </si>
  <si>
    <t xml:space="preserve">Congreso de Colombia </t>
  </si>
  <si>
    <t>Por la cual se consagran unos instrumentos para la búsqueda de la convivencia, la eficacia de la justicia y se dictan otras disposiciones."</t>
  </si>
  <si>
    <t>El Gobierno podrá declararla caducidad o decretar la liquidación unilateral de todo contrato celebrado por una entidad pública, cuando el contratista incurra, con ocasión del contrato y en relación con las Organizaciones Armadas al margen de la ley</t>
  </si>
  <si>
    <t>Creado</t>
  </si>
  <si>
    <t>DECRETO 1737</t>
  </si>
  <si>
    <t>Ministerio de Hacienda y Crédito Público</t>
  </si>
  <si>
    <t>Por el cual se expiden medidas de austeridad y eficiencia y se someten a condiciones especiales la asunción de compromisos por parte de las entidades públicas que manejan recursos del Tesoro Público.</t>
  </si>
  <si>
    <t>DECRETO 2209</t>
  </si>
  <si>
    <t>Por el cual se modifican parcialmente los DECRETOs 1737 y 1738 del 21 de agosto de 1998.</t>
  </si>
  <si>
    <t>LEY 489</t>
  </si>
  <si>
    <t>Por la cual se dictan normas sobre organización y funcionamiento de las entidades del orden nacional y se expiden las disposiciones, principios y reglas generales para el ejercicio de las atribuciones previstas en los numerales 15 y 16 del articulo 189 de la Constitución Política</t>
  </si>
  <si>
    <t>LEY 527</t>
  </si>
  <si>
    <t>por medio de la cual se define y reglamenta el acceso y uso de los mensajes de datos, del comercio electrónico y de las firmas digitales, y se establecen las entidades de certificación y se dictan otras disposiciones.</t>
  </si>
  <si>
    <t>LEY 816</t>
  </si>
  <si>
    <t>Por medio de la cual se apoya a la industria nacional a través de la contratación pública.</t>
  </si>
  <si>
    <t>LEY 842</t>
  </si>
  <si>
    <t>Por la cual se modifica la reglamentación del ejercicio de la ingeniería, de sus profesiones afines y de sus profesiones auxiliares, se adopta el Código de Ética Profesional y se dictan otras disposiciones.</t>
  </si>
  <si>
    <t>DECRETO 3629</t>
  </si>
  <si>
    <t>Ministerio del Interior</t>
  </si>
  <si>
    <t>Reglamenta parcialmente la Ley 80 de 1993, en cuanto a los contratos cuya ejecución deba realizarse en distintas vigencias fiscales.</t>
  </si>
  <si>
    <t>LEY 1150</t>
  </si>
  <si>
    <t>Por medio de la cual se introducen medidas para la eficiencia y la transparencia en la Ley 80 de 1993 y se dictan otras disposiciones generales sobre la contratación con Recursos Públicos</t>
  </si>
  <si>
    <t>DECRETO 371</t>
  </si>
  <si>
    <t>Por el cual se establecen lineamientos para preservar y fortalecer la transparencia y para la prevención de la corrupción en las Entidades y organismos del Distrito Capital</t>
  </si>
  <si>
    <t>De los procesos de contratación en el Distrito Capital</t>
  </si>
  <si>
    <t>LEY 1437</t>
  </si>
  <si>
    <t>Por la cual se expide el código de procedimiento administrativo y de lo contencioso administrativo.</t>
  </si>
  <si>
    <t>DIRECTIVA 1</t>
  </si>
  <si>
    <t>Democratización de las oportunidades económicas en el distrito capital y promoción de estrategias para la participación real y efectiva de las personas naturales vulnerables, marginadas y/o excluidas de la dinámica productiva de la ciudad</t>
  </si>
  <si>
    <t>DIRECTIVA 16</t>
  </si>
  <si>
    <t>Publicación de procesos contractuales del Distrito Capital en el Sistema Electrónico para la Contratación Pública "SECOP.</t>
  </si>
  <si>
    <t>LEY 1474</t>
  </si>
  <si>
    <t>RESOLUCIÓN 579</t>
  </si>
  <si>
    <t>Por la cual se establece el procedimiento administrativo para la imposición de multas y declaratoria de incumplimiento en los contratos celebrados por el Instituto Distrital de Recreación y Deporte"</t>
  </si>
  <si>
    <t>Por el cual se crea la Agencia Nacional de Contratación Pública –Colombia Compra Eficiente–, se determinan sus objetivos y estructura</t>
  </si>
  <si>
    <t>LEY 1508</t>
  </si>
  <si>
    <t>Por la cual se establece el régimen jurídico de las Asociaciones Público Privadas, se dictan otras normas orgánicas de presupuesto y se dictan otras disposiciones.</t>
  </si>
  <si>
    <t>Por medio de la cual se delegan funciones en los procesos contractuales.</t>
  </si>
  <si>
    <t>Por el cual se reglamenta el sistema de compras y contratación pública</t>
  </si>
  <si>
    <t>LEY 1712</t>
  </si>
  <si>
    <t>Por medio de la cual se crea la Ley de Transparencia y del Derecho de Acceso a la Información Pública Nacional y se dictan otras disposiciones.</t>
  </si>
  <si>
    <t>DECRETO 791</t>
  </si>
  <si>
    <t>Por el cual se reglamenta el artículo 72 de la Ley 1682 de 2013 y se modifica el artículo 18 del DECRETO 1510 del 2013.</t>
  </si>
  <si>
    <t>DECRETO 103</t>
  </si>
  <si>
    <t>por el cual se reglamenta parcialmente la Ley 1712 de 2014 y se dictan otras disposiciones.</t>
  </si>
  <si>
    <t>Por medio de la cual se deroga la Resolución No. 018 de fecha 17 de Enero de 2014 y se modifica el Manual de Aprovechamiento Económico del Espacio público administrado por el Instituto Distrital de Recreación y Deporte</t>
  </si>
  <si>
    <t>DECRETO 1082</t>
  </si>
  <si>
    <t>Departamento Nacional de Planeación</t>
  </si>
  <si>
    <t>Por medio del cual se expide el Decreto Único Reglamentario del Sector Administrativo de Planeación Nacional</t>
  </si>
  <si>
    <t>Área de Costos aplicable Artículo 2.2.1.1.1.6.1 y 2.2.1.1.1.6.3</t>
  </si>
  <si>
    <t>Por la cual se delegan unas funciones</t>
  </si>
  <si>
    <t xml:space="preserve">Por el cual se reglamenta la contratación con entidades sin ánimo de  lucro a la que hace referencia el inciso segundo del artículo 355 de la Constitución Política.   </t>
  </si>
  <si>
    <t>LEY 1882</t>
  </si>
  <si>
    <t>Por la cual se adicionan, modifican y dictan disposiciones orientadas a fortalecer la contratación pública en Colombia, La Ley de Infraestructura y se dictan otras disposiciones</t>
  </si>
  <si>
    <t>DECRETO 392</t>
  </si>
  <si>
    <t>Por el cual se reglamentan los numerales 1, y 8 del artículo 13 de la Ley 1618 de 2013, sobre incentivos en Procesos de Contratación en favor de personas con discapacidad</t>
  </si>
  <si>
    <t>DECRETO 1273</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</si>
  <si>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</si>
  <si>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AUTO SUSPENSION</t>
  </si>
  <si>
    <t>Consejo de Estado</t>
  </si>
  <si>
    <t>SUSPENDER provisionalmente el numeral 6 del artículo 2.2.1.2.1.3.2 del Decreto 1082 de 2015.</t>
  </si>
  <si>
    <t xml:space="preserve">Por medio del cual se establece el Marco Regulatorio del Aprovechamiento Económico del Espacio Público en el Distrito Capital de Bogotá y se dictan otras disposiciones  </t>
  </si>
  <si>
    <t>Por la cual se adopta el manual de Contratación, Supervisión e Interventoria del Instituto Distrital de Recreación y Deporte y se dictan otras disposiciones</t>
  </si>
  <si>
    <t>Circular Externa Única de Colombia Compra Eficiente para desarrollo de los procesos contractuales a traves de la utilización de SECOP II.</t>
  </si>
  <si>
    <t>Por el cual se expiden lineamientos generales sobre austeridad y transparencia del gasto público en las entidades y organismos del orden distrital y se dictan otras disposiciones</t>
  </si>
  <si>
    <t>Parametros para contratar servicios administrativos - equipos de computo, impresiones, fotocopiado y similares</t>
  </si>
  <si>
    <t>Por el cual se adiciona la Sección 12 al Capítulo 1 del Título 2 de la Parte 2 del Libro 2 del Decreto 1082 de 2015, Decreto Único Reglamentario del Sector de Planeación Nacional, con el fin de reglamentar las particularidades para la implementación de Asociaciones Público Privadas en materia de Tecnologías de la Información y las Comunicaciones</t>
  </si>
  <si>
    <t>Por el cual se adiciona la Subsección 2, de la Sección 6, del Capitulo 2, del Titulo 1, de la parte 2, del libro 2 del Decreto 1082 de 2015 Decreto Único Reglamentario del Sector Administrativo de Planeación Nacional</t>
  </si>
  <si>
    <t>Por el cual se dictan normas para simplificar, suprimir y reformar trámites, procesos y procedimientos innecesarios existentes en la administración pública</t>
  </si>
  <si>
    <t>Lineamientos para la terminación unilateral anticipada de contratos distritales por causales previstas de nulidad absoluta del art. 44 y 45 de la Ley 80 de 1993</t>
  </si>
  <si>
    <t>Directrices para la Implementación del Banco de Hojas de Vida de Bogotá D.C. para la vinculación de personal mediante contratos de prestación de servicios profesionales y de apoyo a la gestión en entidades y organismos distritales.</t>
  </si>
  <si>
    <t>LEY 2020</t>
  </si>
  <si>
    <t>Congreso de la Republica</t>
  </si>
  <si>
    <t>Por medio de la cual se crea el registro nacional de obras civiles inconclusas de las entidades estatales y se dictan otras disposiciones</t>
  </si>
  <si>
    <t>LEY 2024</t>
  </si>
  <si>
    <t>Por medio de la cual se adoptan normas de pago en plazos justos en el ámbito mercantil y se dictan otras disposiciones en materia de pago y facturación</t>
  </si>
  <si>
    <t>LEY 2040</t>
  </si>
  <si>
    <t>Por medio de la cual se adoptan medidas para impulsar el trabajo para adultos mayores y se dictan otras disposiciones</t>
  </si>
  <si>
    <t>DIRECTIVA 039</t>
  </si>
  <si>
    <t>Procuraduría General de la Nación</t>
  </si>
  <si>
    <t>Publicidad de la Actualidad Contractual en el SECOP</t>
  </si>
  <si>
    <t>DECRETO 332</t>
  </si>
  <si>
    <t>Por medio del cual se establecen medidas afirmativas para promover la participación de las mujeres en la contratación del Distrito Capital</t>
  </si>
  <si>
    <t>LEY 2069</t>
  </si>
  <si>
    <t>Por medio del cual se impulsa el emprendimiento en Colombia</t>
  </si>
  <si>
    <t>Compilación normativa en contratación implementación documento único</t>
  </si>
  <si>
    <t>LEY 2080</t>
  </si>
  <si>
    <t>Por medio de la cual se reforma el código de procedimiento Administrativo y de lo contencioso administrativo -ley 1437 De 2011- y se dictan otras disposiciones en materia de Descongestión en los procesos que se tramitan ante la Jurisdicción</t>
  </si>
  <si>
    <t>DIRECTIVA 002</t>
  </si>
  <si>
    <t>Acreditación de la situación militar para el Ingreso al empleo público o la suscripción de contratos por prestación de servicios con persona natural</t>
  </si>
  <si>
    <t>DIRECTIVA 003</t>
  </si>
  <si>
    <t>Lineamientos para la implementación de los artículos 14, 16 y 17 del Decreto 189 de 2020</t>
  </si>
  <si>
    <t>Observancia de principios rectores de la contratación estatal y aplicación de los instrumentos elaborados por la agencia nacional de contratación pública -colombia compra eficiente</t>
  </si>
  <si>
    <t>Secretaría General de la Alcaldia Mayor de Bogotá D.C</t>
  </si>
  <si>
    <t>Directrices para la atencion y gestion de denuncias por posibles actos de corrupcion, y/o existencia de inhabilidades, incompatibilidades 0 conflicto de intereses y proteccion de identidad del denunciante</t>
  </si>
  <si>
    <t>CIRCULAR 009</t>
  </si>
  <si>
    <t>Obligatoriedad Documentos Tipo en la actividad contractual de las entidades y organismos del Distrito</t>
  </si>
  <si>
    <t>DECRETO 310</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</si>
  <si>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</si>
  <si>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Por el cual se establece el Plan de Austeridad del Gasto 2021 para los órganos que hacen parte del Presupuesto General de la Nación</t>
  </si>
  <si>
    <t>DECRETO 376</t>
  </si>
  <si>
    <t>Por el cual se adiciona el Capítulo 5 al Título 3 de la Parte 2 del Libro 2 del Decreto 1833 de 2016, a efectos de implementar medidas para realizar el pago de las cotizaciones al Sistema General de Pensiones por los periodos correspondientes a abril y mayo de 2020, de los que fueron exonerados los empleadores y trabajadores independientes a través del Decreto Legislativo 558 de 2020 y en cumplimiento de lo ordenado en la Sentencia C-258 de 2020 de la Honorable Corte Constitucional</t>
  </si>
  <si>
    <t>DECRETO 399</t>
  </si>
  <si>
    <t>Por el cual se modifican los artículos 2.2.1.1.2.1.1., 2.2.1.2.1.3.2. Y 2.2.1.2.3.1.14., Y se adicionan unos parágrafos transitorios a los artículos 2.2.1.1.1.5.2., 2.2.1.1.1.5.6. Y 2.2.1.1.1.6.2. del Decreto 1082 de 2015, Único Reglamentario del Sector Administrativo de Planeación Nacional</t>
  </si>
  <si>
    <t>CIRCULAR 014</t>
  </si>
  <si>
    <t>Aplicación del Decreto 310 de 25 de marzo de 2021</t>
  </si>
  <si>
    <t>DECRETO 438</t>
  </si>
  <si>
    <t>Por el cual se modifica el Capítulo 1 del Título 2 de la Parte 2 del Libro 2 del Decreto 1082 de 2015, Único Reglamentario del Sector
Administrativo de Planeación Nacional</t>
  </si>
  <si>
    <t>DECRETO 160</t>
  </si>
  <si>
    <t>Alcaldia Mayor de Bogotá D.C</t>
  </si>
  <si>
    <t>Por medio del cual se efectua una reducción en el Presupuesto Anual de Rentas e Ingresos y de Gastos e inversión de Bogotá, Distrito Capital, para la vigencia fiscal comprendida entre el 1° de enero y el 31 de diciembre de 2021</t>
  </si>
  <si>
    <t>DECRETO 579</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</si>
  <si>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</si>
  <si>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CIRCULAR EXTERNA 002</t>
  </si>
  <si>
    <t>Publicación de los procesos de contratación bajo la modalidad de concurso de méritos establecido en el artículo 2.2,1.2.1.3.2. del Decreto 1082 de 2015, modificad0 por el artículo 2 del Decreto 399 de 2021, a través del Sistema Electrónico de Contratación Pública -SECOP 1.</t>
  </si>
  <si>
    <t>RESOLUCIÓN 161</t>
  </si>
  <si>
    <t>Por la cual se modifican los documentos tipo adoptados por la Agencia Nacional de Contratación Pública -Colombia Compra Eficiente</t>
  </si>
  <si>
    <t>DECRETO 680</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</si>
  <si>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</si>
  <si>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DECRETO 742</t>
  </si>
  <si>
    <t>Por medio del cual se modifica el artículo 2.2.22.2.1. del Decreto 1083 de 2015, Único Reglamentario del Sector de Función Pública, con el fin de incorporar la política de Compras y Contratación Pública a las políticas de gestión y desempeño institucional</t>
  </si>
  <si>
    <t>DIRECTIVA 006</t>
  </si>
  <si>
    <t>Lineamientos generales con ocasión de los procesos electorales del 13 de marzo y 29 de mayo de 2022.</t>
  </si>
  <si>
    <t>LEY 2116</t>
  </si>
  <si>
    <t>Por medio de la cual se modifica el Decreto Ley 1421 de 1993, referente al Estatuto Orgánico de Bogotá</t>
  </si>
  <si>
    <t>RESOLICIÓN 219</t>
  </si>
  <si>
    <t>Por el cual se adoptan los documentos tipo para los procesos de licitción de obra pública de infrastructura social</t>
  </si>
  <si>
    <t>DECRETO 952</t>
  </si>
  <si>
    <t>Por el cual se reglamenta el artículo 2 de la Ley 2039 del 2020 y se adiciona el capítulo 6 al tItulo 5 de la parte 2 del libro 2 del Decreto 1083 del 2015, en lo relacionado con el reconocimiento de la experiencia previa como experiencia profesional válida para la inserción laboral de jóvenes en el sector público</t>
  </si>
  <si>
    <t>LEY 2160</t>
  </si>
  <si>
    <t>Por medio de la cual se modifica la ley 80 de 1993 y la ley 1150 de 2017</t>
  </si>
  <si>
    <t>DIRECTIVA 025</t>
  </si>
  <si>
    <t>Aprobación Garantías y Publicidad de la actividad contractual en SECOP</t>
  </si>
  <si>
    <t>RESOLUCIÓN INTERNA 1145</t>
  </si>
  <si>
    <t>Por la cual se establecen los valores de referencia aplicables a los Contratos de Prestación de Servicios Profesionales y de Apoyo a la Gestión en el Instituto Distrital de Recreación y Deporte para la vigencia 2022 y se dictan otras disposiciones</t>
  </si>
  <si>
    <t>DECRETO 1860</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</si>
  <si>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</si>
  <si>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DECRETO 540</t>
  </si>
  <si>
    <t>Por el cual se líquida el Presupuesto Anual de Rentas e Ingresos y de Gastos e Inversiones de Bogotá, Distrito Capital, para la vigencia fiscal comprendida entre el 1 de enero y el 31 de diciembre de 2022 y se dictan otras disposiciones, en cumplimiento de¡ Decreto 518 del 16 de diciembre de 2021, expedido por la Alcaldesa Mayor de Bogotá, Distrito Capital</t>
  </si>
  <si>
    <r>
      <rPr>
        <u/>
        <sz val="11"/>
        <color rgb="FF1155CC"/>
        <rFont val="Calibri"/>
      </rPr>
      <t>DIRECTIVA PRESIDENCIAL 0</t>
    </r>
    <r>
      <rPr>
        <u/>
        <sz val="11"/>
        <color rgb="FF1155CC"/>
        <rFont val="Calibri"/>
      </rPr>
      <t>01</t>
    </r>
  </si>
  <si>
    <t>Lineamientos frente a Contratos de Prestación de Servicios Profeionales o Apoyo a la Gestión</t>
  </si>
  <si>
    <t>LEY 2199</t>
  </si>
  <si>
    <t>Por medio de la cual se desarrolla el artículo 325 de la Constitución política y se expide el régimen especial de la Región metropolitana Bogotá - Cundinamarca</t>
  </si>
  <si>
    <r>
      <rPr>
        <u/>
        <sz val="11"/>
        <color rgb="FF1155CC"/>
        <rFont val="Calibri"/>
      </rPr>
      <t>LEY 2</t>
    </r>
    <r>
      <rPr>
        <u/>
        <sz val="11"/>
        <color rgb="FF000000"/>
        <rFont val="Calibri"/>
      </rPr>
      <t>210</t>
    </r>
  </si>
  <si>
    <t>Por medio de la cual se reglamenta la actividad del entrenador (A) deportivo (A) y se dictan otras disposiciones</t>
  </si>
  <si>
    <t>CIRCULAR 025</t>
  </si>
  <si>
    <t>Falta Disciplinaria, conflicto de intereses, inhabilidades e incompatibilidades</t>
  </si>
  <si>
    <t xml:space="preserve">Proceso: Control Disciplinario Interno </t>
  </si>
  <si>
    <t>FECHA ÚLTIMA ACTUALIZACIÓN: 08/04/2022</t>
  </si>
  <si>
    <t xml:space="preserve">PROCESO </t>
  </si>
  <si>
    <t>Pueblo de Colombia</t>
  </si>
  <si>
    <t>Constitución Política de Colombia de 1991</t>
  </si>
  <si>
    <t>Control disciplinario</t>
  </si>
  <si>
    <t>Oficina Control Interno / Oficina de Control Disciplinario Interno</t>
  </si>
  <si>
    <t>Por la cual se dictan normas tendientes a preservar la moralidad en la administración pública y se fijan disposiciones con el fin de erradicar la corrupción administrativa.</t>
  </si>
  <si>
    <t>Oficina Control Interno</t>
  </si>
  <si>
    <t>Por la cual se expide el Código Penal.</t>
  </si>
  <si>
    <t xml:space="preserve">Por la cual se expide el Código de Procedimiento Penal. </t>
  </si>
  <si>
    <t>Por la cual se dictan normas orientadas a fortalecer los  mecanismos de prevención, investigación y sanción de actos de corrupción y la efectividad del control de la gestión pública.</t>
  </si>
  <si>
    <t>Designación y reportes del responsable de control interno
 Informe semestral sobre atención de PQRS.
 - Toda la norma para CDI</t>
  </si>
  <si>
    <t>Oficina de Control Disciplinario Interno</t>
  </si>
  <si>
    <t>Por medio de la cual se expide el Código General del Proceso y se dictan otras disposiciones.</t>
  </si>
  <si>
    <t>Por medio de la cual se regula el Derecho Fundamental de Petición y se sustituye un título del Código de Procedimiento Administrativo y de lo Contencioso Administrativo</t>
  </si>
  <si>
    <t>Por medio de la cual se expide el Código General Disciplinario, se derogan la Ley 734 de 2002 y algunas disposiciones de la Ley 1474 de 2011, relacionadas con el derecho disciplinario</t>
  </si>
  <si>
    <t>Alcaldía Mayor de Bogotá D.C. - Secretaria Jurídica Distrital</t>
  </si>
  <si>
    <t>por la cual se establecen los Lineamientos para la prevención del daño antijurídico en materia de Contrato Realidad, suscrita por la Secretaria Jurídica Distrital.</t>
  </si>
  <si>
    <t>por la cual se establecen las directrices para el trámite de la ejecución y cobro persuasivo de sanciones disciplinarias de carácter pecuniario, suscrita por el Alcalde Mayor de Bogotá D.C.</t>
  </si>
  <si>
    <t>Directriz para la aplicación de principios en la práctica de pruebas en los procesos disciplinarios</t>
  </si>
  <si>
    <t>Directriz para la actualización del Sistema Distrital de Información Disciplinaria - SID</t>
  </si>
  <si>
    <t>Directriz para precisar qué conductas son consideradas como actos de corrupción para facilitar su adecuación típica en materia disciplinaria</t>
  </si>
  <si>
    <t>Director Distrital de Asuntos Disciplinarios</t>
  </si>
  <si>
    <t>Incumplimiento a la Directiva 015 de 09/10/2015</t>
  </si>
  <si>
    <t>LINEAMIENTOS FRENTE A LA PRESCRIPCIÓN DEL PRINCIPIO DE FAVORABILIDAD EN MATERIA DE PRESCRIPCIÓN DISCIPLINARIA</t>
  </si>
  <si>
    <t>DIRECTRIZ PARA LA ADECUADA TIPIFICACION EN LOS PROCESOS DISCIPLINARIOS DE CONDUCTAS VIOLATORIAS DEL RÉGIMEN DE INHABILIDADES INCOMPATIBILIDADES Y CONFLICTO DE INTERESES.</t>
  </si>
  <si>
    <t>https://www.idrd.gov.co/transparencia/marco-legal/normatividad/resolucion-140-del-19-marzo-2020</t>
  </si>
  <si>
    <t>Instituto Distrital de Recreación y Deporte</t>
  </si>
  <si>
    <t>POR LA CUAL SE SUSPENDEN LOS TÉRMINOS EN LOS TRÁMITES QUE SE ADELANTAN EN EL INSTITUTO DISTRITAL DE RECREACI;ON Y DEPORTE</t>
  </si>
  <si>
    <t>https://www.idrd.gov.co/transparencia/marco-legal/normatividad/resolucion-141-del-24-marzo-2020</t>
  </si>
  <si>
    <t>Por la cual se suspenden los términos procesales de las actuaciones administrativas, contractuales, sancionatorias y disciplinarias que se...</t>
  </si>
  <si>
    <t>http://sisjur.bogotajuridica.gov.co/sisjur/normas/Norma1.jsp?i=91670</t>
  </si>
  <si>
    <t>Gobierno Nacional</t>
  </si>
  <si>
    <t xml:space="preserve">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
 </t>
  </si>
  <si>
    <t>Artículo 4</t>
  </si>
  <si>
    <t>Artículo 4. Notificación o comunicación de actos administrativos</t>
  </si>
  <si>
    <t>https://www.idrd.gov.co/transparencia/marco-legal/normatividad/resolucion-145-2020</t>
  </si>
  <si>
    <t>“Por la cual se prorroga los efectos de la Resolución No. 141 de 2020 “Por la cual se suspenden los términos procesales de las actuaciones...</t>
  </si>
  <si>
    <t>http://sisjur.bogotajuridica.gov.co/sisjur/normas/Norma1.jsp?i=93265</t>
  </si>
  <si>
    <t>SUSPENSIÓN DE TÉRMINOS. Suspender los términos procesales de las actuaciones administrativas, sancionatorias, disciplinarias, que adelantan las entidades y organismos del sector central, y de localidades, a partir de las cero horas (00:00 a.m.) del lunes 25 de mayo de 2020, hasta las cero horas (00:00 a.m.) del lunes 1 de junio de 2020. Fechas en las que no correrán los términos para todos los efectos de ley.</t>
  </si>
  <si>
    <t>https://www.idrd.gov.co/transparencia/marco-legal/normatividad/resolucion-284-del-9-septiembre-2020</t>
  </si>
  <si>
    <t>“Por medio de la cual se levanta la suspensión de los términos procesales de las actuaciones administrativas, contractuales, sancionatorias y disciplinarias que se adelantan en el Instituto Distrital de Recreación y Deporte -IDRD-”</t>
  </si>
  <si>
    <t>https://www.alcaldiabogota.gov.co/sisjur/normas/Norma1.jsp?i=98205</t>
  </si>
  <si>
    <t>LINEAMIENTOS PARA EL TRÁMITE DE LOS PROCESOS DISCIPLINARIOS BAJO LA VIGENCIA DE LA EMERGENCIA SANITARIA OCASIONADA POR LA PANDEMIA COVID-19.</t>
  </si>
  <si>
    <t>http://sisjur.bogotajuridica.gov.co/sisjur/normas/Norma1.jsp?i=98205</t>
  </si>
  <si>
    <t>ASUNTO: LINEAMIENTOS PARA EL TRÁMITE DE LOS PROCESOS DISCIPLINARIOS BAJO LA VIGENCIA DE LA EMERGENCIA SANITARIA OCASIONADA POR LA PANDEMIA COVID-19.</t>
  </si>
  <si>
    <t>https://www.alcaldiabogota.gov.co/sisjur/normas/Norma1.jsp?i=108172</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</si>
  <si>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</si>
  <si>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Numeral 3</t>
  </si>
  <si>
    <t xml:space="preserve"> Numeral 3 : Seguimiento a las denuncias por posibles actos de corrupción, y/o existencia de inhabilidades, incompatibilidades o conflicto de intereses elevadas por la ciudadanía a través del Sistema Distrital para la Gestión de Peticiones Ciudadanas.</t>
  </si>
  <si>
    <t>https://www.funcionpublica.gov.co/eva/gestornormativo/norma.php?i=165113</t>
  </si>
  <si>
    <t>Ley 2094 de 2021. "POR MEDIO DE LA CUAL SE REFORMA LA LEY 1952 DE 2019 Y SE DICTAN OTRAS DISPOSICIONES"</t>
  </si>
  <si>
    <t>https://www.procuraduria.gov.co/relatoria/index.jsp?option=co.gov.pgn.relatoria.frontend.component.pagefactory.NormatividadPageFactory</t>
  </si>
  <si>
    <t>DIRECTIVA 013-2021 - DIRECTRICES PARA IMPLEMENTAR LA LEY 2094 DE 2021,
SEPARACIÓN DE FUNCIONES DE INSTRUCCIÓN Y
JUZGAMIENTO, DOBLE INSTANCIA Y DOBLE CONFORMIDAD</t>
  </si>
  <si>
    <t>https://www.personeriabogota.gov.co/component/jdownloads/send/1-root/17550-res-451-de-2021</t>
  </si>
  <si>
    <t>Personería de Bogotá, D.C.</t>
  </si>
  <si>
    <t>POR MEDIO DE LA CUAL SE ADOPTA EN LA PERSONERÍA DE BOGOTÁ D.C., EL APLICATIVO DE REPORTE SISTEMATIZADO PARA LAS OFICINAS DE CONTROL DISCIPLINARIO INTERNO DEL DISTRITO CAPITAL</t>
  </si>
  <si>
    <t>https://www.personeriabogota.gov.co/component/jdownloads/send/1-root/17549-circular-002-de-2021</t>
  </si>
  <si>
    <t>DIRECTRICES RESOLUCIÓN 451 DE 2021</t>
  </si>
  <si>
    <t xml:space="preserve">Proceso: Control, Evaluación y Mejora </t>
  </si>
  <si>
    <t>FECHA ÚLTIMA ACTUALIZACIÓN: 07/06/2022</t>
  </si>
  <si>
    <t>Código Civil</t>
  </si>
  <si>
    <t>Por la cual se dictan Medidas Sanitarias.</t>
  </si>
  <si>
    <t>Por la cual se establecen normas para el ejercicio del control interno en las entidades y organismos del Estado y se dictan otras disposiciones.</t>
  </si>
  <si>
    <t>Por la cual se crea el Ministerio del Medio Ambiente, se reordena el Sector Público encargado de la gestión y conservación del medio ambiente y los recursos naturales renovables, se organiza el Sistema Nacional Ambiental, SINA, y se dictan otras disposiciones.</t>
  </si>
  <si>
    <t>Por la cual se crea el sistema de seguridad social integral y se dictan otras disposiciones.</t>
  </si>
  <si>
    <t>Sobre la Organización de Control Fiscal Financiero y los Organismos que lo ejercen.</t>
  </si>
  <si>
    <t>Por la cual se establece el régimen de los servicios públicos domiciliarios y se dictan otras disposiciones.</t>
  </si>
  <si>
    <t>Por el cual se dictan disposiciones para el fomento del deporte, la recreación, el aprovechamiento del tiempo libre y la Educación Física y se crea el Sistema Nacional del Deporte.</t>
  </si>
  <si>
    <t>Por la cual se autorizan operaciones de endeudamiento interno y externo de la Nación, se autorizan operaciones para el saneamiento de obligaciones crediticias del sector público, se otorgan facultades y se dictan otras disposiciones.</t>
  </si>
  <si>
    <t>Por la cual se adopta el Código Disciplinario Único.</t>
  </si>
  <si>
    <t>Por la cual se expiden normas sobre racionalización tributaria y se dictan otras disposiciones.</t>
  </si>
  <si>
    <t>Por la cual se establecen mecanismos de integración social de personas con limitación y se dictan otras disposiciones</t>
  </si>
  <si>
    <t>Por la cual se establece el programa para el uso eficiente y ahorro del agua.</t>
  </si>
  <si>
    <t>Por la cual se expiden normas tendientes a fortalecer la lucha contra la evasión y el contrabando, y se dictan otras disposiciones.</t>
  </si>
  <si>
    <t>Por la cual se modifica la Ley 9 de 1989, y la Ley 2 de 1991 y se dictan otras disposiciones.</t>
  </si>
  <si>
    <t>Por medio de la cual se adoptan medidas en relación con el manejo de las obligaciones contingentes de las entidades estatales y se dictan otras disposiciones en materia de endeudamiento público.</t>
  </si>
  <si>
    <t>Por la cual se hacen algunas modificaciones y adiciones al DECRETO-ley 1228 de 1995 y a la Ley 181 de 1995.</t>
  </si>
  <si>
    <t>Por medio de la cual se define y reglamenta el acceso y uso de los mensajes de datos, del comercio electrónico y de las firmas digitales, y se establecen las entidades de certificación y se dictan otras disposiciones.</t>
  </si>
  <si>
    <t>Por la cual se establece un régimen que promueva y facilite la reactivación empresarial y la reestructuración de los entes territoriales para asegurar la función social de las empresas y lograr el desarrollo armónico de las regiones y se dictan disposiciones para armonizar el régimen legal vigente con las normas de esta ley.</t>
  </si>
  <si>
    <t>Por medio de la cual se define el deporte asociado de personas con limitaciones físicas, mentales o sensoriales, se reforma la Ley 181 de 1995 y el DECRETO 1228 de 1995, y se dictan otras disposiciones.</t>
  </si>
  <si>
    <t>Por la cual se dictan disposiciones para promover el desarrollo de las micro, pequeñas y medianas empresa</t>
  </si>
  <si>
    <t>Por la cual se establece el trámite de los procesos de responsabilidad fiscal de competencia de las Contralorías". Art 6. Daño Patrimonial al Estado y Art 7. Pérdida, daño o deterioro de bienes.</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</si>
  <si>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</si>
  <si>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autoriza la emisión de la estampilla Universidad Distrital Francisco José de Caldas 50 años.</t>
  </si>
  <si>
    <t>Por medio de la cual se reglamenta la determinación de responsabilidad patrimonial de los agentes del Estado a través del ejercicio de la acción de repetición o de llamamiento en garantía con fines de repetición.</t>
  </si>
  <si>
    <t>Por la cual se expide el Código Disciplinario Único.</t>
  </si>
  <si>
    <t>Por la cual se amplían las autorizaciones conferidas al Gobierno Nacional para celebrar operaciones de crédito público externo e interno y operaciones asimiladas a las anteriores y se dictan otras disposiciones.</t>
  </si>
  <si>
    <t>Por la cual se dictan normas para apoyar el empleo y ampliar la protección social y se modifican algunos artículos del Código Sustantivo del Trabajo</t>
  </si>
  <si>
    <t>Por la cual se dictan normas orgánicas en materia de presupuesto, responsabilidad y transparencia fiscal y se dictan otras disposiciones.</t>
  </si>
  <si>
    <t>Por la cual se expiden normas para el Control a la Evasión del Sistema de Seguridad Social.</t>
  </si>
  <si>
    <t>Por la cual se establecen normas tributarias, aduaneras, fiscales y de control para estimular el crecimiento económico y el saneamiento de las finanzas públicas.</t>
  </si>
  <si>
    <t>Por la cual se dictan disposiciones sobre racionalización de trámites y procedimientos administrativos de los organismos y entidades del Estado y de los particulares que ejercen funciones públicas o prestan servicios públicos.</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</si>
  <si>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</si>
  <si>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Por el cual se expide el Estatuto Tributario de los impuestos administrados por la Dirección General de Impuesto Nacionales.</t>
  </si>
  <si>
    <t>Por la cual se establece el Régimen de Insolvencia Empresarial en la República de Colombia y se dictan otras disposiciones.</t>
  </si>
  <si>
    <t>LEY 1121</t>
  </si>
  <si>
    <t>Por la cual se dictan normas para la prevención, detección, investigación y sanción de la financiación del terrorismo y otras disposiciones.</t>
  </si>
  <si>
    <t>Por la cual se hacen algunas modificaciones en el Sistema General de Seguridad Social en Salud y se dictan otras disposiciones.</t>
  </si>
  <si>
    <t>Por medio de la cual se modifican las Leyes 136 de 1994 y 617 de 2000 y se dictan otras disposiciones. (Prohibiciones relativas a cónyuges, compañeros permanentes y parientes de los gobernadores, diputados, alcaldes municipales y distritales; concejales municipales y distritales).</t>
  </si>
  <si>
    <t>Por medio de la cual se modifica el artículo 10 de la Ley 1148 de 2007.</t>
  </si>
  <si>
    <t>Por la cual se establece el procedimiento sancionatorio ambiental y se dictan otras disposiciones.</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</si>
  <si>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</si>
  <si>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Por la cual se adoptan medidas para promover la oferta de suelo urbanizable y se adoptan otras disposiciones para promover el acceso a la vivienda.</t>
  </si>
  <si>
    <t>Congreso de la República</t>
  </si>
  <si>
    <t>Por medio de la cual se establecen las disposiciones para garantizar el pleno ejercicio de los derechos de las personas con discapacidad</t>
  </si>
  <si>
    <t>Pérdida de vigencia por expedición de nuevo plan de desarrollo 2014-2018.</t>
  </si>
  <si>
    <t>Por medio de la cual se regula el derecho fundamental de petición y se sustituye un título del código de procedimiento administrativo y de lo contencioso administrativo</t>
  </si>
  <si>
    <t>Por el cual se dicta el Código Nacional de Recursos Naturales Renovables y de Protección al Medio Ambiente.</t>
  </si>
  <si>
    <t>Por el cual se autoriza la insinuación de donaciones ante notario público.</t>
  </si>
  <si>
    <t>Por el cual se dicta el régimen especial para el Distrito Capital de Santafé de Bogotá.</t>
  </si>
  <si>
    <t>Por el cual se reglamentan parcialmente las operaciones de crédito publico, las de manejo de la deuda pública, sus asimiladas y conexas y la contratación directa de las mismas.</t>
  </si>
  <si>
    <t>Por el cual se aclara el articulo 44 del DECRETO 2681 de 1993". (Para la celebración de operaciones de crédito público, operaciones asimiladas, operaciones propias del manejo de la deuda pública y las conexas con las anteriores, el contenido de los contratos se someterá a la ley vigente al momento de la aprobación de la minuta).</t>
  </si>
  <si>
    <t>Ministerio del Medio Ambiente</t>
  </si>
  <si>
    <t>Por el cual se reglamentan, parcialmente la Ley 23 de 1973, los artículos 33, 73, 74, y 75 del DECRETO-Ley 2811 de 1974; los artículos 41, 42, 43, 44, 45, 48 y 49 de la Ley 9 de 1979; y la Ley 99 de 1993, en relación con la prevención y control de la contaminación atmosférica y la protección de la calidad del aire.</t>
  </si>
  <si>
    <t>Por el cual se modifica el artículo 34 del DECRETO 2681 de 1993. (Conforme a lo establecido en el articulo 40 de la Ley 80 de 1993 en los contratos de empréstito o cualquier otra forma de financiación que se contrate con organismos multilaterales se podrán incluir las previsiones y particularidades contempladas en los reglamentos de tales entidades que no sean contrarias a la Constitución Política o a la ley. Constituyen previsiones o particularidades en los contratos de empréstito, la auditoria, la presentación de reportes o informes de ejecución, la apertura de cuentas para el manejo de los recursos del crédito, y en general, las propias de la debida ejecución de dichos contratos).</t>
  </si>
  <si>
    <t>Por medio del cual se modifica parcialmente el DECRETO 948 de 1995 que contiene el Reglamento de Protección y Control de la Calidad del Aire.</t>
  </si>
  <si>
    <t>Ministerio de Justicia y del Derecho</t>
  </si>
  <si>
    <t>Por el cual se suprimen y reforman regulaciones, procedimientos o trámites innecesarios existentes en la Administración Pública.</t>
  </si>
  <si>
    <t>Por medio del cual se reglamenta la Ley 190 de 1995 en materia de declaración de bienes y rentas e informe de actividad económica y así como el sistema de quejas y reclamos.</t>
  </si>
  <si>
    <t>Por el cual se compilan el Acuerdo 24 de 1995 y Acuerdo 20 de 1996 que conforman el Estatuto Orgánico del Presupuesto Distrital.</t>
  </si>
  <si>
    <t>Por el cual se regula el manejo, transporte y disposición final de escombros y materiales de construcción.</t>
  </si>
  <si>
    <t>Por el cual se reglamenta la Ley 582 de 2000 sobre deporte asociado de personas con limitaciones físicas, mentales o sensoriales.</t>
  </si>
  <si>
    <t>Por el cual se delegan funciones del Alcalde Mayor y se precisan atribuciones propias de algunos empleados de la Administración Distrital.</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</si>
  <si>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</si>
  <si>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Por el cual se actualiza el Procedimiento Tributario de los diferentes impuestos distritales, de conformidad con su naturaleza y estructura funcional.</t>
  </si>
  <si>
    <t>Por el cual se adoptan unas medidas de intervención y se reglamentan parcialmente el artículo 41 de la Ley 550 de 1999, el parágrafo 2" del artículo 41 de la Ley 80 de 1993, y el artículo 283 de la Ley 100 de 1993. Administración de los Patrimonios Autónomos Pensiónales.</t>
  </si>
  <si>
    <t>Por el cual se fijan los lugares y plazos para la presentación de las declaraciones tributarias y para el pago de los impuestos, anticipos y retenciones en la fuente y se dictan otras disposiciones.</t>
  </si>
  <si>
    <t>DECRETO 93</t>
  </si>
  <si>
    <t>Por medio del cual se reglamenta el recaudo y giro de la Estampilla Universidad Distrital Francisco José de Caldas 50 años. DEROGADO POR EL DECRETO 250 DE 2018</t>
  </si>
  <si>
    <t>Por el cual se reglamenta el Acuerdo 10 de 2000 y parcialmente los artículos 292, 293 Y 294, numeral 3°, del Titulo 11, Subtítulo 4, Capítulo 1, Subcapítulo 4° del DECRETO 619 de 2000.</t>
  </si>
  <si>
    <t>Por el cual se regulan rifas, juegos, concursos, espectáculos públicos y eventos masivos en el Distrito Capital.</t>
  </si>
  <si>
    <t>Por el cual se dictan normas en relación con las rifas, juegos y espectáculos públicos en Bogotá, D.C., se redistribuyen las funciones de algunas dependencias de la Secretaría de Gobierno y se dictan otras disposiciones en la materia</t>
  </si>
  <si>
    <t>Por medio del cual se reglamenta el recaudo y giro de las Estampillas Pro Cultura de Bogotá y Pro-Dotación, funcionamiento y desarrollo de programas de prevención y promoción de los centros de bienestar, instituciones y centros de vida para personas mayores.</t>
  </si>
  <si>
    <t>Por el cual se modifican los factores y parámetros para el reconocimiento del componente económico del Plan de Gestión Social establecidos en el artículo 6° del DECRETO 296 de 2003.</t>
  </si>
  <si>
    <t>Por el cual se modifican los artículos 7, 10, 93, 94 y 108 del DECRETO 948 de 1995.</t>
  </si>
  <si>
    <t>Por el cual se reglamenta la realización de los partidos de fútbol de carácter profesional en el Estadio Nemesio Camacho El Campin y otros escenarios deportivos del Distrito Capital y se deroga el DECRETO No. 523 de 1999, el cual regulaba la materia.</t>
  </si>
  <si>
    <t>Secretaria Distrital de Ambiente</t>
  </si>
  <si>
    <t>Por el cual se reforma el Plan de Gestión Ambiental del Distrito Capital y se dictan otras disposiciones.</t>
  </si>
  <si>
    <t>Por el cual se dictan normas relacionadas con la inversión de los recursos de las Entidades Estatales del Orden Nacional y Territorial.</t>
  </si>
  <si>
    <t>Por el cual se establecen condiciones para el tránsito de vehículos de carga en el área urbana del Distrito Capital y se dictan otras disposiciones.</t>
  </si>
  <si>
    <t>Por el cual se modifica el artículo 49 del DECRETO 1525 de 2008 adicionado mediante el DECRETO 4471 de 2008" (Inversión de excedentes de liquidez).</t>
  </si>
  <si>
    <t>Por el cual se reglamenta la silvicultura urbana, zonas verdes y la jardinería en Bogotá y se definen las responsabilidades de las Entidades Distritales en relación con el tema y se dictan otras disposiciones.</t>
  </si>
  <si>
    <t>Por el cual se dictan normas para suprimir o reformar regulaciones, procedimientos y trámites innecesarios existentes en la Administración Pública.</t>
  </si>
  <si>
    <t>Por el cual se adopta el marco regulatorio del Aprovechamiento económico del Espacio Publico en el Distrito Capital de Bogotá</t>
  </si>
  <si>
    <t>Por el cual se modifica el artículo 89 del DECRETO 1510 de 2013.</t>
  </si>
  <si>
    <t>Por medio del cual se crean las instancias de coordinación del Sector Administrativo Mujeres, se determina la participación de la Secretaría Distrital de la Mujer en las instancias de coordinación existentes en el Distrito Capital, y se dictan otras disposiciones.</t>
  </si>
  <si>
    <t>Ministerio de Ambiente y Desarrollo Sostenible</t>
  </si>
  <si>
    <t>Por el cual se reglamenta el titulo VIII de la Ley 99 de 1993 sobre licencias Ambientales.</t>
  </si>
  <si>
    <t>Por medio del cual se crea el Programa de aprovechamiento y/o valorización de llantas usadas en el Distrito Capital y se adoptan otras disposiciones</t>
  </si>
  <si>
    <t>Por medio del cual se expide el DECRETO único reglamentario del sector administrativo de Planeación Nacional.</t>
  </si>
  <si>
    <t>Por medio del cual se corrige un yerro del numeral 3 del artículo 85 del Acuerdo Distrital 645 de 2016.</t>
  </si>
  <si>
    <t>Por medio del cual se modifica la estructura organizacional de la Secretaría Distrital de Cultura, Recreación y Deporte y se dictan otras disposiciones. EL ALCALDE MAYOR DE BOGOTÁ, D. C. En uso de sus facultades legales, en especial las conferidas por los numerales 3° y 6°, del artículo 38 y del inciso segundo del artículo 55 del DECRETO Ley 1421 de 1993, y Considerando.</t>
  </si>
  <si>
    <t>Por el cual se reglamenta la contratación con entidades sin ánimo de lucro a la que hace referencia el inciso segundo del artículo 355 de la Constitución Política.</t>
  </si>
  <si>
    <t>Por medio del cual se establecen las instancias de coordinación de la Gerencia Jurídica en la Administración Distrital y se dictan otras disposiciones.</t>
  </si>
  <si>
    <t>Por el cual se adopta el Estatuto General de Protección Ambiental del Distrito Capital de Santa Fe de Bogotá y se dictan normas básicas necesarias para garantizar la preservación y defensa del patrimonio ecológico, los recursos naturales y el medio ambiente.</t>
  </si>
  <si>
    <t>Por medio del cual se ordena la Emisión de la Estampilla Universidad Distrital Francisco José de Caldas 50 años, en cumplimiento a lo dispuesto en la Ley 648 de 2001.</t>
  </si>
  <si>
    <t>Por medio del cual se ordena la emisión de la Estampilla de Pro Cultura de Bogotá.</t>
  </si>
  <si>
    <t>Por el cual se autoriza la emisión de la Estampilla Pro-dotación, funcionamiento y desarrollo de programas de prevención y promoción de los centros de bienestar, instituciones y centros de vida para personas mayores y se dictan otras disposiciones en Bogotá D.C.</t>
  </si>
  <si>
    <t>Por medio cual se dictan normas para la planeación, generación y sostenimiento de zonas verdes denominadas "Pulmones Verdes" en el Distrito Capital y se dictan otras disposiciones.</t>
  </si>
  <si>
    <t>Por el cual se adopta el plan de desarrollo económico, social, ambiental y de obras públicas para Bogotá D.C. 2016 - 2020 Bogotá mejor para todos.</t>
  </si>
  <si>
    <t>Por el cual se efectúa la reorganización del Sector Salud de Bogotá, Distrito Capital, se modifica el Acuerdo 257 de 2006 y se expiden otras disposiciones</t>
  </si>
  <si>
    <t>Por el cual se modifica el acuerdo 188 de 2005 y se dictan otras disposiciones.</t>
  </si>
  <si>
    <t>Ministerio de Trabajo</t>
  </si>
  <si>
    <t>Por la cual se dicta el Reglamento de Higiene y Seguridad para la Industria de la Construcción.</t>
  </si>
  <si>
    <t>Por la cual se dictan normas sobre Protección y conservación de la Audición de la Salud y el bienestar de las personas, por causa de la producción y emisión de ruidos.</t>
  </si>
  <si>
    <t>Por medio de la cual se regula el cargue, descargue, transporte, almacenamiento y disposición final de escombros, materiales, elementos, concretos y agregados sueltos, de construcción, de demolición y capa orgánica, suelo y subsuelo de excavación.</t>
  </si>
  <si>
    <t>Por la cual se establece la estructura orgánica del INSTITUTO DISTRITAL PARA LA RECREACIÓN Y EL DEPORTE y se determinan las funciones de sus dependencias.</t>
  </si>
  <si>
    <t>Por la cual se adoptan Guías Ambientales, como instrumento de autogestión y autorregulación.</t>
  </si>
  <si>
    <t>Por la cual se establece la norma nacional de emisión de ruido y ruido ambiental.</t>
  </si>
  <si>
    <t>Por medio de la cual se adopta el manual de Aprovechamiento Económico de los espacios públicos administrados por el Instituto Distrital para la Recreación y el Deporte IDRD.</t>
  </si>
  <si>
    <t>Por medio de la cual se adopta el Manual de Interventoría aplicado a contratos de obra pública y consultoría.</t>
  </si>
  <si>
    <t>Por la cual se reglamenta el procedimiento para el registro, el desmonte de elementos de publicidad exterior visual y el procedimiento sancionatorio correspondiente en el Distrito Capital.</t>
  </si>
  <si>
    <t>Por la cual se adopta la Metodología General para presentación de Estudios Ambientales y se toman otras determinaciones.</t>
  </si>
  <si>
    <t>Por la cual se fija el procedimiento de cobro de los servicios de evolución y seguimiento ambiental.</t>
  </si>
  <si>
    <t>Por la cual se establecen las especies vegetales que no requieren permiso para tratamientos silviculturales.</t>
  </si>
  <si>
    <t>Por el cual se dictan disposiciones para la racionalización y el mejoramiento de trámites de arbolado urbano".</t>
  </si>
  <si>
    <t>Por el cual se declaran árboles patrimoniales y de interés público en Bogotá D.C..</t>
  </si>
  <si>
    <t>Por la cual se establece la compensación por aprovechamiento de arbolado urbano y jardinería en jurisdicción de la Secretaría Distrital de Ambiente.</t>
  </si>
  <si>
    <t>Por medio de la cual se adoptan los lineamientos Técnico - Ambientales para las actividades de aprovechamiento y tratamiento de los residuos de construcción y demolición en el Distrito Capital.</t>
  </si>
  <si>
    <t>Por la cual se revoca parcialmente la Resolución No. 7132 de 2011.</t>
  </si>
  <si>
    <t>RESOLUCIÓN IDRD 99</t>
  </si>
  <si>
    <t>Por medio de la cual se adopta Manual de Legalización de recursos entregados mediante Convenios y Contratos celebrados por la Subdirección Técnica de Recreación y Deportes.</t>
  </si>
  <si>
    <t xml:space="preserve">RESOLUCIÓN IDRD 197 </t>
  </si>
  <si>
    <t>Por medio del cual se justifica un proceso de contratación directa.</t>
  </si>
  <si>
    <t>RESOLUCIÓN IDRD 198</t>
  </si>
  <si>
    <t>RESOLUCIÓN 4</t>
  </si>
  <si>
    <t>Por medio de la cual se conforma un Grupo Interdisciplinario para los trámites, el Procedimiento y el Estudio de las Asociaciones Público Privadas que se presenten o se adelanten en el Instituto Distrital de Recreación y Deporte -lDRD</t>
  </si>
  <si>
    <t>RESOLUCIÓN 404</t>
  </si>
  <si>
    <t>Por la cual se modifica y adopta el Manual Especifico de Funciones y Competencias Laborales para los empleados de la Planta de personal del Instituto Distrital de Recreación y Deporte.</t>
  </si>
  <si>
    <t>Por medio de la cual se deroga la resolución 018 de fecha 17 de enero de 2014 y se modifica el Manual de Aprovechamiento Económico del Espacio público Administrado por el Instituto Distrital de Recreación y Deporte.</t>
  </si>
  <si>
    <t>RESOLUCIÓN IDRD 298</t>
  </si>
  <si>
    <t>Por la cual se delegan unas funciones a cargo de la Dirección General del Instituto Distrital de Recreación y Deporte</t>
  </si>
  <si>
    <t>RESOLUCIÓN 448</t>
  </si>
  <si>
    <t>Por la cual se adopta el manual de Contratación del Instituto Distrital de Recreación y Deporte y se dictan otras disposiciones.</t>
  </si>
  <si>
    <t>Por la cual se adopta el Manual de Supervisión e Interventoría del Instituto Distrital de Recreación y Deporte ¿ IDRD y se dictan otras disposiciones.</t>
  </si>
  <si>
    <t>Ministerio de Tecnologías de la Información y las Comunicaciones</t>
  </si>
  <si>
    <t>Agenda de Conectividad.</t>
  </si>
  <si>
    <t>Fija los lineamientos, criterios, medidas y acciones de corto y mediano plazo que deberán cumplir las entidades públicas en materia de lucha contra la corrupción en la contratación estatal.</t>
  </si>
  <si>
    <t>Derogatoria directiva 006 de 2016 por la cual se impartieron instrucciones para evaluación y aprobación de proyectos de asociación público privadas - app- de iniciativa privada.</t>
  </si>
  <si>
    <t>Comisión Distrital de Sistemas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</si>
  <si>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</si>
  <si>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 xml:space="preserve">Constitución Política de Colombia de 1991 </t>
  </si>
  <si>
    <t>ACTO LEGISLATIVO 04</t>
  </si>
  <si>
    <t>Por medio del cual se reforma el Régimen de Control Fiscal</t>
  </si>
  <si>
    <t>LEY 136</t>
  </si>
  <si>
    <t xml:space="preserve">Por la cual se dictan  normas tendientes a modernizar la organización y el funcionamiento de los municipios.
 </t>
  </si>
  <si>
    <t xml:space="preserve">articulo 190 </t>
  </si>
  <si>
    <t xml:space="preserve"> Dirección administrativa de los funcionarios que hagan parte de las unidades de control interno y quienes legal o reglamentariamente tengan facultades para investigar las faltas disciplinarias</t>
  </si>
  <si>
    <t>Por la cual se desarrolla el artículo 354 de la constitución política, se crea la contaduría general de la nación como una unidad administrativa especial adscrita al ministerio de hacienda y crédito público, y se dictan otras disposiciones sobre la materia.</t>
  </si>
  <si>
    <t>Por la cual se expiden normas sobre carrera administrativa y se dictan otras disposiciones.</t>
  </si>
  <si>
    <t>81 y 82</t>
  </si>
  <si>
    <t>Sistema único de información de personal y actualización de la hoja de vida de los servidores públicos y contratistas</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</si>
  <si>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</si>
  <si>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 xml:space="preserve">LEY 581 </t>
  </si>
  <si>
    <t>Por la cual se reglamenta la adecuada y efectiva participación de la mujer en los niveles decisorios de las diferentes ramas y órganos del poder público, de conformidad con los artículos 13, 40 y 43 de la Constitución Nacional y se dictan otras disposiciones.</t>
  </si>
  <si>
    <t>Por medio de la cual se prorroga la vigencia de la Ley 716 de 2001, prorrogada y modificada por la Ley 863 de 2003 y se modifican algunas de sus disposiciones.</t>
  </si>
  <si>
    <t>Parágrafo 3 Artículo 2</t>
  </si>
  <si>
    <t xml:space="preserve">Elaborar un boletín de deudores morosos, cuando el valor de las acreencias supere un plazo de seis (6) meses y una cuantía mayor a cinco (5) salarios mínimos legales vigentes. </t>
  </si>
  <si>
    <t>Por la cual se expiden normas que regulan el empleo público, la carrera administrativa, gerencia pública y se dictan otras disposiciones</t>
  </si>
  <si>
    <t>Por medio de la cual se aprueba la "Convención de las Naciones Unidas contra la Corrupción", adoptada por la Asamblea General de las Naciones Unidas</t>
  </si>
  <si>
    <t>LEY 1221</t>
  </si>
  <si>
    <t>por la cual se establecen normas para promover y regular el Teletrabajo y se dictan otras disposiciones.</t>
  </si>
  <si>
    <t>8, 9, 73,76</t>
  </si>
  <si>
    <t xml:space="preserve">Designación y reportes del responsable de control interno
Informe semestral sobre atención de PQRS.
- Toda la norma para CDI
</t>
  </si>
  <si>
    <t xml:space="preserve">Ley de Transparencia y del Derecho al acceso a la información </t>
  </si>
  <si>
    <t>Por medio de la cual se modifica el decreto ley 1421 de 1993, referente al estatuto orgánico de bogota.</t>
  </si>
  <si>
    <t>LEY 2195</t>
  </si>
  <si>
    <t xml:space="preserve">Por medio de la cual se adoptan medidas en materia de transparencia,  prevención y lucha contra la corrupción, y se dictan otras dispocisiones.  </t>
  </si>
  <si>
    <t>“Por el cual se expiden medidas de austeridad y eficiencia y se someten a condiciones especiales la asunción de compromisos por parte de las entidades públicas que manejan recursos del Tesoro Público”</t>
  </si>
  <si>
    <t>“Por la cual se modifica parcialmente los decretos 1737 y 1738 del 21 de agosto de 1998”</t>
  </si>
  <si>
    <t>“Por el cual se modifican los artículos 8°, 12, 15 y 17 del decreto 1737 de 1998”.</t>
  </si>
  <si>
    <t>“Por el cual se modifica el artículo 8o. del Decreto 1737 de 1998”</t>
  </si>
  <si>
    <t>Por el cual se modifica parcialmente el DECRETO 2145 de noviembre 4 de 1999.</t>
  </si>
  <si>
    <t xml:space="preserve">Departamento Administrativo de la Función Pública </t>
  </si>
  <si>
    <t>Por el cual se reglamenta parcialmente la Ley 87 de 1993 en cuanto a elementos técnicos y administrativos que fortalezcan el sistema de control interno de las entidades y organismos del Estado.</t>
  </si>
  <si>
    <t>“Por el cual se modifica el artículo 9o. del Decreto 1737 de 1998”</t>
  </si>
  <si>
    <t>“Por medio del cual se modifica parcialmente el artículo 4° del Decreto 1737 de 1998”.</t>
  </si>
  <si>
    <t>“Por el cual se modifica el artículo 22 del Decreto 1737 de 1998”.</t>
  </si>
  <si>
    <t>Por el cual se reglamenta el Título VIII de la Ley 594 de 2000 en materia de inspección, vigilancia y control a los archivos de las entidades del Estado y a los documentos de carácter privado declarados de interés cultural; y se dictan otras disposiciones</t>
  </si>
  <si>
    <t>Por medio del cual se expide el Decreto Único Reglamentario del Sector de Función Pública</t>
  </si>
  <si>
    <t>Por el cual se modifica y adiciona el Decreto 1083 de 2015, Reglamentario Único del Sector de la Función Pública</t>
  </si>
  <si>
    <r>
      <rPr>
        <sz val="9"/>
        <rFont val="Calibri"/>
      </rPr>
      <t>Por medio del cual se modifica el Decreto </t>
    </r>
    <r>
      <rPr>
        <i/>
        <u/>
        <sz val="9"/>
        <color rgb="FF954F72"/>
        <rFont val="Arial Narrow"/>
      </rPr>
      <t>1083</t>
    </r>
    <r>
      <rPr>
        <i/>
        <sz val="9"/>
        <color rgb="FF000000"/>
        <rFont val="Arial Narrow"/>
      </rPr>
      <t> de 2015, Decreto Único Reglamentario del Sector Función Pública, en lo relacionado con el Sistema de Gestión establecido en el artículo </t>
    </r>
    <r>
      <rPr>
        <i/>
        <u/>
        <sz val="9"/>
        <color rgb="FF954F72"/>
        <rFont val="Arial Narrow"/>
      </rPr>
      <t>133</t>
    </r>
    <r>
      <rPr>
        <i/>
        <sz val="9"/>
        <color rgb="FF000000"/>
        <rFont val="Arial Narrow"/>
      </rPr>
      <t> de la Ley 1753 de 2015</t>
    </r>
  </si>
  <si>
    <t>Por el cual se modifica el Decreto 1083 de 2015 Único Reglamentario del Sector Función Pública, en lo relacionado con el Sistema de Control Interno y se crea la Red Anticorrupción</t>
  </si>
  <si>
    <t>Departamento Administrativo de la Función Pública</t>
  </si>
  <si>
    <t>Por el cual se reglamenta parcialmente la Ley 87 de 1993 en cuanto a elementos técnicos y administrativo que fortalezcan el sistema de control interno de las entidades y organismos del Estado.</t>
  </si>
  <si>
    <t>Por el cual se adoptan las estrategias, metodologías, técnicas y mecanismos de carácter administrativo y organizacional en materia disciplinaria para las entidades distritales a las que es aplicable el Código Disciplinario Único.</t>
  </si>
  <si>
    <t>Por medio del cual se señalan lineamientos para la estandarización de las funciones de los empleos de Jefe de Oficina o Asesor de Control Interno, pertenecientes a los organismos del Sector Central de la Administración Distrital de Bogotá, D.C., y se dictan otras disposiciones</t>
  </si>
  <si>
    <t>Por medio del cual se conforma el Comité Distrital de Auditoría y se dictan otras disposiciones</t>
  </si>
  <si>
    <t xml:space="preserve">DECRETO 492 </t>
  </si>
  <si>
    <t>"Por el cual se expiden lineamientos generales sobre austeridad y transparencia del
gasto público en las entidades y organismos del orden distritaly se dictan otras
disposiciones."</t>
  </si>
  <si>
    <t xml:space="preserve">Departamento Administrativo de la Función Publica </t>
  </si>
  <si>
    <t>Por el cual se corrige un yerro en el Decreto 338 de 2019 "Por el cual se modifica el Decreto 1083 de 2015, Único Reglamentario del Sector de Función Pública, en lo relacionado con el Sistema de Control Interno y se crea la Red Anticorrupción”.</t>
  </si>
  <si>
    <t>"Por medio del cual se reglamenta el Sistema de Gestión en e/Distrito Capital y se dictan otras disposiciones</t>
  </si>
  <si>
    <t xml:space="preserve">Todo </t>
  </si>
  <si>
    <t>DECRETO 1287</t>
  </si>
  <si>
    <t>Por el cual se reglamenta el  Decreto Legislativo 491 del 28 de marzo de 2020, en lo relacionado con la seguridad de los documentos firmados durante el trabajo en casa, en el marco de la Emergencia Sanitaria.</t>
  </si>
  <si>
    <t>DECRETO 403</t>
  </si>
  <si>
    <t xml:space="preserve">Por el cual se dictan normas para la correcta implementación del Acto 
Legislativo 04 de 2019 y el fortalecimiento del control fiscal 
</t>
  </si>
  <si>
    <t>DECRETO 189</t>
  </si>
  <si>
    <t>“Por el cual se expiden lineamientos generales sobre transparencia, integridad y medidas anticorrupción en las entidades y organismos del orden distrital y se dictan otras disposiciones”</t>
  </si>
  <si>
    <t>DECRETO 084</t>
  </si>
  <si>
    <t>Alcaldia Mayor de Bogotá</t>
  </si>
  <si>
    <t>Por medio de el cual se modifica el articulo 6 del decreto distrital 668 del 2017 y se dictan otras disposiciones.</t>
  </si>
  <si>
    <t>DECRETO 088</t>
  </si>
  <si>
    <t>MINTIC</t>
  </si>
  <si>
    <t>"Por el cual se adiciona el Título 20 a la Parte 2 del Libro 2 del Decreto Único Reglamentario del Sector de Tecnologías de la Información y las Comunicaciones, Decreto 1078 de 2015, para reglamentar los articulas 3, 5 Y 6 de la Ley 2052 de 2020, estableciendo los conceptos, lineamientos, plazos y condiciones para la digitalización y automatización de trámites y su realización en línea"</t>
  </si>
  <si>
    <t>DECRETO 767</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</si>
  <si>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</si>
  <si>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Comité Distrital de Auditoría</t>
  </si>
  <si>
    <t>Por la cual se adopta el reglamento del Comité Distrital de Auditoría.</t>
  </si>
  <si>
    <t xml:space="preserve">ACUERDO 761 </t>
  </si>
  <si>
    <t>Por medio del cual se adopta el Plan de desarrollo económico, social, ambiental y de obras públicas del Distrito Capital 2020-2024 “Un nuevo contrato social y ambiental para la Bogotá del siglo XXI”</t>
  </si>
  <si>
    <t>Contraloría de Bogotá</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</si>
  <si>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</si>
  <si>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Por la cual se reglamenta el Plan de Mejoramiento que presentan los sujetos de vigilancia y control fiscal a la Contraloría de Bogotá D.C., se adopta el procedimiento interno y se dictan otras disposiciones</t>
  </si>
  <si>
    <t>Contraloría General de la Nación</t>
  </si>
  <si>
    <t xml:space="preserve">Por la cual se reglamenta la rendición de información para la contabilidad presupuestal y del tesoro, la información
presupuestal de los departamentos, distritos, municipios y territorios indígenas; el control y seguimiento al límite del gasto
territorial; el régimen presupuestal del Sistema General de Regalías; el registro y refrendación de la deuda pública; la
auditoría al balance de hacienda; las estadísticas fiscales del Estado y demás disposiciones sobre la materia" </t>
  </si>
  <si>
    <t>Contaduría General de la Nación</t>
  </si>
  <si>
    <t>Por la cual se Incorpora, en los Procedimientos Transversales del Regimen de Contabilidad Publica, el Procedimiento para la evaluacion del control interno contable"</t>
  </si>
  <si>
    <t>Departamento Administrativo de la Función Pública (DAFP)</t>
  </si>
  <si>
    <t>Por la cual se establecen los procedimientos para autorización de trámites y el seguimiento a la política de racionalización de trámites</t>
  </si>
  <si>
    <t>Artículo 9° Parágrafo 2</t>
  </si>
  <si>
    <t>La Oficina de Control interno o quien haga sus veces, en el marco de la función establecida en el articulo 2.1.4.6 del Decreto 1081 de 2015, adelantará el seguimiento a la estrategia de racionalización de trámites a través del Sistema Único de Información de Trámites (SUIT)</t>
  </si>
  <si>
    <t>Secretaría Jurídica de la Alcaldía Mayor de Bogotá, Distrito Capital</t>
  </si>
  <si>
    <t>Por la cual se establecen los parámetros para la administración, seguridad y la gestión de la información jurídica a través de los Sistemas de Información Jurídica</t>
  </si>
  <si>
    <t xml:space="preserve">RESOLUCIÓN 829    </t>
  </si>
  <si>
    <t>Por la cual se adopta la política de prevención del daño antijurídico y defensa judicial en el IDRD.</t>
  </si>
  <si>
    <t>Por la cual se crea el Comité del Sistema Integrado de Gestión en el Instituto Distrital de Recreación y Deporte y se dictan otras disposiciones.</t>
  </si>
  <si>
    <t>RESOLUCION 327</t>
  </si>
  <si>
    <t>Crea el Comité Institucional del Coordinación de Control Interno.</t>
  </si>
  <si>
    <t>RESOLUCIÓN 331</t>
  </si>
  <si>
    <t>Por la cual se reglamenta el trámite interno de las peticiones, quejas, reclamos, sugerencias y denuncias presentadas ante el Instituto Distrital de Recreación y Deportes y se dictan otras disposiciones"</t>
  </si>
  <si>
    <t>Por la cual se suspenden los términos en los trámites que se adelantan en el Instituto Distrital de Recreación y Deporte</t>
  </si>
  <si>
    <t>Por la cual se suspenden los términos procesales de las actuaciones administrativas, contractuales, sancionatorias y disciplinarias que se adelantan en el Instituto Distrital de Recreación y Deporte</t>
  </si>
  <si>
    <t>Por la cual se prorroga los efectos de la Resolución No. 141 de 2020 “Por la cual se
suspenden los términos procesales de las actuaciones administrativas,
contractuales, sancionatorias y disciplinarias que se adelantan en el Instituto Distrital
de Recreación y Deporte</t>
  </si>
  <si>
    <t>RESOLUCION 009</t>
  </si>
  <si>
    <t>Por la cual se modifica parcialmente la Resolución Reglamentaria No. 011 del 28 de febrero de 2014 y se dictan otras disposiciones.</t>
  </si>
  <si>
    <t>"Por la cual se reglamenta el trámite del Plan de Mejoramiento que presentan los sújeios
de vigilancia y control fiscal a la Contraloria de Bogotá, O.C., se adopta el procedimiento
interno y se dictan otras disposiciones"</t>
  </si>
  <si>
    <t>RESOLUCIÓN 265</t>
  </si>
  <si>
    <t>“Por la cual se crea el Comité Institucional de Gestión y Desempeño del Instituto
Distrital de Recreación y Deporte, IDRD”</t>
  </si>
  <si>
    <t>RESOLUCION 1519</t>
  </si>
  <si>
    <t xml:space="preserve">Ministerio de Tecnologias de la Información y de Comunicaciones </t>
  </si>
  <si>
    <t>Por la cual se definen los estándares y directrices para publicar la información señalada en la Ley 1712 del 2014 y se definen los requisitos materia de acceso a la información pública, accesibilidad web, seguridad digital, y datos abiertos</t>
  </si>
  <si>
    <t>RESOLUCIÓN 002</t>
  </si>
  <si>
    <t>Contraloria de Bogota</t>
  </si>
  <si>
    <t>En ejercicio de sus atribuciones constitucionales, legales y reglamentarias, en especial las conferidas en los artículos 267, 268 Y 272 de la Constitución Política de Colombia, modificados con el Acto Legislativo 4 de 2019 y 5 del Decreto Ley 403 de 2020, y</t>
  </si>
  <si>
    <t>RESOLUCIÓN 004</t>
  </si>
  <si>
    <t>En ejercicio de sus atribuciones constitucionales, legales y reglamentarias, en especial las conferidas en los artículos 267, 268 Y 272 de la Constitución Política de Colombia, modificados con el Acto Legislativo 4 de 2019, el Decreto Ley 403 de 2020 y el Acuerdo 658 de 2016, modificado por el Acuerdo 664 de 2017, y</t>
  </si>
  <si>
    <t>Consejo Asesor en materia de Control Interno</t>
  </si>
  <si>
    <t>Evaluación Institucional por Dependencias en Cumplimiento de La Ley 909 de 2004</t>
  </si>
  <si>
    <t>Fortalecimiento del Sistema de Control Interno Frente a su Función Preventiva</t>
  </si>
  <si>
    <t>VIGENCIA CIRCULARES DEL CONSEJO ASESOR DEL GOBIERNO NACIONAL. Deroga las circulares expedidas hasta la fecha con excepción de las circulares 04 de 2005 "Evaluación Institucional por Dependencias en Cumplimiento de La Ley 909 de 2004" y 01 de 2015 "Fortalecimiento del Sistema de Control Interno Frente a su Función Preventiva",</t>
  </si>
  <si>
    <t>Compatibilidad del sistema de gestión de la calidad y el modelo estándar de control interno en las entidades u organismos distritales</t>
  </si>
  <si>
    <t>Señala la metodología para la estandarización de la elaboración y consolidación de informes por entidad u organismo y por sector que deben presentar los Jefes de Control Interno o quien haga sus veces al/la Alcalde/ sa Mayor, en cumplimiento del programa Anual de Auditoría a cargo de las Unidades u Oficinas de Control Interno.</t>
  </si>
  <si>
    <t>Señala la metodología de seguimiento de la gestión de los/as Jefes de la Unidad u Oficina de Control Interno o quien haga sus veces, en las entidades y organismos distritales, en el desarrollo del Programa Anual de Auditoría.</t>
  </si>
  <si>
    <t>Señala que la Sala Plena de la Corte Constitucional publicó recientemente, la Sentencia C-103 de 2015, mediante la cual se declara inexequible el Numeral 7 del Artículo 50 del Decreto 567 de 2000, "Por el cual se dictan normas sobre organización y funcionamiento de la Contraloría General de la República, se establece su estructura orgánica, se fijan las' funciones de sus dependencias y se dictan otras disposiciones". En dicha providencia la Sala concluye de manera enfática, que la función de advertencia prevista en la norma es inconstitucional, dado que si bien apuntaba al logro de objetivos constitucionalmente legítimos, relacionados con la eficacia y eficiencia de la vigilancia fiscal encomendada a dichos organismos, desconoce el marco de actuación trazado por el Canon 267 Constitucional, por cuanto constituye, una modalidad de control previo, otorgándole a las contralorías un poder de coadministración, ya que a través de la función de advertencia lograban tener incidencia en actuaciones administrativas aún no concluidas. En consecuencia, las propias entidades a través de las Oficinas de Control Interno, son las encargadas en lo sucesivo, de advertir situaciones de probable riesgo fiscal encaminadas a que las entidades y organismos adopten medidas correctivas y preventivas necesarias para contrarrestar daño al patrimonio público. </t>
  </si>
  <si>
    <t>Situaciones Administrativas para los jefes de la Oficina de Control Interno o quien haga sus veces en los Organismos y Entidades del Distrito Capital</t>
  </si>
  <si>
    <t>Secretaría General de la Alcaldía Mayor de Bogotá - Veeduría Distrital</t>
  </si>
  <si>
    <t>Directrices para la implementación del Modelo integrado de planeación y gestión MIPG en el Distrito Capital</t>
  </si>
  <si>
    <t>Departamento Administrativo de Servicio Civil Distrital DASCD</t>
  </si>
  <si>
    <t>Para nombramiento y contratación se debe registrar y actualizar la hoja de vida y la declaración de bienes y rentas en el sistema de información distrital del empleo y la administración pública - SIDEAP</t>
  </si>
  <si>
    <t>Secretaría Jurídica Distrital - Alcaldía Mayor de Bogotá D.C.</t>
  </si>
  <si>
    <t>Socialización del Decreto Nacional 2106 de 2019 “Por el cual se dictan normas para simplificar, suprimir y reformar trámites, procesos y procedimientos innecesarios existentes en la administración pública</t>
  </si>
  <si>
    <t>CIRCULAR 020</t>
  </si>
  <si>
    <t>Secretaria Juridica Disitrital - Alcaldia Mayor de Bogota D.C</t>
  </si>
  <si>
    <t>INSTRUCTIVO PARA LA PRESENTACIÓN DEL INFORME DE GESTIÓN JUDICIAL SEMESTRAL A LA SECRETARÍA JURÍDICA DISTRITAL.</t>
  </si>
  <si>
    <t>CIRCULAR 012</t>
  </si>
  <si>
    <t>Contraloria General de la Republica</t>
  </si>
  <si>
    <t xml:space="preserve">Directrices para el trámite de notificaciones electrónicas en el curso de
las actuaciones de responsabilidad fiscal, administrativas
sancionatorias fiscales, disciplinarias y de cobro coactivo. </t>
  </si>
  <si>
    <t>CIRCULAR 076</t>
  </si>
  <si>
    <t>Por la cual se modifica el articulo 30 de la resolucion 104 de 2018</t>
  </si>
  <si>
    <t>CIRCULAR 104</t>
  </si>
  <si>
    <t>Secretaria General Alcaldia Mayor</t>
  </si>
  <si>
    <t>Protocolo para la Rendición de Cuentas permanente e integral en las entidades del Distrito Capital.</t>
  </si>
  <si>
    <t>CIRCULAR 100-020</t>
  </si>
  <si>
    <t>Departamento Administrativo de la Funnción Publica</t>
  </si>
  <si>
    <t>Lineamientos para la formulación de las estrategias de racionalización de tramites, rendicion de cuentas y sercio al ciudadano en el plan anticorrupción y de atención al ciudadano vigencia 2022</t>
  </si>
  <si>
    <t>CIRCULAR 100-024</t>
  </si>
  <si>
    <t xml:space="preserve"> Formulación y publicación del plan estrategico del talento humano..</t>
  </si>
  <si>
    <t>Corresponde a la Secretaría Jurídica, a través de la Dirección Distrital de Asuntos Disciplinarios, brindar herramientas de prevención de conductas disciplinarias para el fortalecimiento institucional y la lucha contra la corrupción.</t>
  </si>
  <si>
    <r>
      <rPr>
        <sz val="9"/>
        <color rgb="FF000000"/>
        <rFont val="Calibri"/>
      </rPr>
      <t>“Plan de Austeridad”</t>
    </r>
    <r>
      <rPr>
        <sz val="9"/>
        <color rgb="FFCC0000"/>
        <rFont val="Calibri"/>
      </rPr>
      <t>.</t>
    </r>
  </si>
  <si>
    <t>Seguimiento al cumplimiento Manuales de Funciones y Procedimientos y Pérdida de elementos y Documentos Públicos</t>
  </si>
  <si>
    <t>Directiva 008</t>
  </si>
  <si>
    <t>Alcaldia Mayor de Bogotá D.C.</t>
  </si>
  <si>
    <t>LINEAMIENTOS PARA PREVENIR CONDUCTAS IRREGULARES RELACIONADAS CON EL INCUMPLIMIENTO DE LOS MANUALES DE FUNCIONES Y COMPETENCIAS LABORALES Y DE LOS MANUALES DE PROCEDIMIENTOS INSTITUCIONALES, ASI COMO POR LA PERDIDA, 0 DETERIORO, 0 ALTERACION 0 USO INDEBIDO DE BIENES, ELEMENTOS, DOCUMENTOS PUBLICOS E INFORMACIÔN CONTENIDA EN BASES DE DATOS Y SISTEMAS DE INFORMACION.</t>
  </si>
  <si>
    <t>TITULO XII - CAPITULO IV</t>
  </si>
  <si>
    <t>Subdirección Administrativa y Financiera</t>
  </si>
  <si>
    <t>Por la cual la Nación contribuye a la realización de los primer os juegos deportivos de los Territorios Nacionales y de los X y XI juegos deportivos nacionales, y se dictan medidas relacionadas con el fomento del deporte y la cultura.</t>
  </si>
  <si>
    <t>Normativo del Presupuesto General de la Nación</t>
  </si>
  <si>
    <t xml:space="preserve">Artículo 55 </t>
  </si>
  <si>
    <t xml:space="preserve">Modificado por el art. 32, Ley 179 de 1994. El Ministerio de Hacienda y Crédito Público y el Departamento Nacional de Planeación elaborarán el Programa Anual de Caja para la aprobación del Consejo Superior de Política Fiscal. Este comprenderá la totalidad de ingresos y gastos autorizados en la ley de presupuesto, y se presentará a nivel mensual por organismos y entidades, clasificado de acuerdo con las categorías del Presupuesto General de la Nación. Este programa se revisará y ajustará cuando el Consejo de Política Fiscal lo juzgue conveniente. </t>
  </si>
  <si>
    <t>Por la cual se establece la Ley Orgánica del Plan de Desarrollo.</t>
  </si>
  <si>
    <t>Artículo 77</t>
  </si>
  <si>
    <t xml:space="preserve"> Impuesto a Espectáculos Públicos. El impuesto a los espectáculos públicos a que se refieren la Ley 47 de 1968 y la Ley 30 de 1971, será el 10% del valor de la correspondiente entrada al espectáculo, excluidos los demás impuestos indirectos que hagan parte de dicho valor. La persona natural o jurídica responsable del espectáculo será responsable del pago de dicho impuesto. La autoridad municipal o distrital que otorgue el permiso para la realización del espectáculo, deberá exigir previamente el importe efectivo del impuesto o la garantía bancaria o de seguros correspondiente, la cual será exigible dentro de las 24 horas siguientes a la realización del espectáculo. El valor efectivo del impuesto, será invertido por el municipio o distrito de conformidad con lo establecido en el artículo 70 de la presente Ley.
Parágrafo.- Las exenciones del impuesto a Espectáculos Públicos son las taxativamente enumeradas en el artículo 75 de la Ley 2 de 1976. Para gozar de tales exenciones, el Instituto Colombiano de Cultura, Colcultura, expedirá actos administrativos motivados con sujeción al artículo citado. Todo lo anterior se entiende sin perjuicio de lo establecido en el artículo 125 de la Ley 6 de 1992.</t>
  </si>
  <si>
    <t>Por la cual se dictan normas tendientes a preservar la moralidad en la administración pública y se fijan disposiciones con el fin de erradicar la corrupción administrativa</t>
  </si>
  <si>
    <t>Por la cual se expiden normas en materia Tributaria y se dictan otras disposiciones fiscales de las Entidades Territoriales.</t>
  </si>
  <si>
    <t>Por la cual se expiden normas en materia tributaria, se dictan disposiciones sobre el tratamiento a los fondos obligatorios para la vivienda de interés social y se introducen normas para fortalecer las finanzas de la Rama Judicial.</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</si>
  <si>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</si>
  <si>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Artículo 35, numeral 16
Artículo 48, numeral 23 PAC</t>
  </si>
  <si>
    <t xml:space="preserve">Artículo 35, numeral 16: 16. Asumir obligaciones o compromisos de pago que superen la cuantía de los montos aprobados en el Programa Anual Mensualizado de Caja (PAC).
Artículo 48, numeral 23 PAC: 23. Ordenar o efectuar el pago de obligaciones en exceso del saldo
disponible en el Programa Anual Mensualizado de Caja (PAC). </t>
  </si>
  <si>
    <t>Por la cual se expiden normas en materia tributaria y penal del orden nacional y territorial, y se dictan otras disposiciones.</t>
  </si>
  <si>
    <t>Por la cual se dictan las normas generales y se señalan en ellas los objetivos y criterios a los cuales debe sujetarse el gobierno nacional para regular las actividades de manejo, aprovechamiento e inversión de recursos captados del público que se efectúen mediante valores y se dictan otras disposiciones.</t>
  </si>
  <si>
    <t>Por la cual se dictan normas para la normalización de la cartera pública y se dictan otras disposiciones.</t>
  </si>
  <si>
    <t>Por la cual se expide el Código de la Infancia y la Adolescencia.</t>
  </si>
  <si>
    <t>Por la cual se desarrollan los artículos 356 y 357 de la Constitución Política y se dictan otras disposiciones.</t>
  </si>
  <si>
    <t>Por medio de la cual se modifica el artículo 4° de la Ley 30 de 1971 y se dictan otras disposiciones.</t>
  </si>
  <si>
    <t>Por medio de la cual se dictan normas orgánicas en materia de presupuesto, responsabilidad y transparencia fiscal para las entidades territoriales</t>
  </si>
  <si>
    <t>LEY 1527</t>
  </si>
  <si>
    <t>Por medio de la cual se establece un marco general para la libranza o descuento directo y se dictan otras disposiciones.</t>
  </si>
  <si>
    <t xml:space="preserve">LEY 1607    </t>
  </si>
  <si>
    <t>Por la cual se expiden normas en materia tributaria y se dictan otras disposiciones.</t>
  </si>
  <si>
    <t>LEY 1530</t>
  </si>
  <si>
    <t>Por la cual se regula la organización y el funcionamiento del Sistema General de Regalías.</t>
  </si>
  <si>
    <t>LEY 1739</t>
  </si>
  <si>
    <t>Por la cual se modifica parcialmente el Estatuto Tributario.</t>
  </si>
  <si>
    <t>LEY 1753</t>
  </si>
  <si>
    <t>Ley de Financiamiento 1943 -Reforma Tributaria</t>
  </si>
  <si>
    <t>CONGRESO DE COLOMBIA</t>
  </si>
  <si>
    <t>Por la cual se expiden Normas de Finaciamiento para el Restablecimiento del Equilibrio del Presupuesto General y se dictantan otras dispociones</t>
  </si>
  <si>
    <t>todo</t>
  </si>
  <si>
    <t>ACTO LEGISLATIVO 3</t>
  </si>
  <si>
    <t>Por el cual se establece el principio de la sostenibilidad fiscal.</t>
  </si>
  <si>
    <t>ACTO LEGISLATIVO 5</t>
  </si>
  <si>
    <t>Por el cual se constituye el Sistema General de Regalías, se modifican los artículos 360 y 361 de la Constitución Política y se dictan otras disposiciones sobre el Régimen de Regalías y Compensaciones.</t>
  </si>
  <si>
    <t>DECRETO 624</t>
  </si>
  <si>
    <t>DECRETO LEY 1421</t>
  </si>
  <si>
    <t>DECRETO 111</t>
  </si>
  <si>
    <t xml:space="preserve">Por el cual se compilan la Ley 38 de 1989, la Ley 179 de 1994 y la Ley 225 de 1995 que conforman el estatuto orgánico del presupuesto. </t>
  </si>
  <si>
    <t>Artículo 73
Artículo 74 PAC</t>
  </si>
  <si>
    <t>Artículo 73: La ejecución de los gastos del Presupuesto General de la Nación se hará a través del Programa Anual Mensualizado de Caja, PAC.......
Artículo 74 PAC: El Programa Anual Mensualizado de Caja, PAC, financiado con recursos de la Nación correspondiente a la vigencia, a las reservas presupuestases y a las cuentas por pagar deberá ser aprobado por el Consejo Superior de Política Fiscal, Confis. Las modificaciones al PAC que no varíen los montos globales aprobados por el Confis serán aprobadas por la Dirección General del Tesoro del Ministerio de Hacienda y Crédito Público......</t>
  </si>
  <si>
    <t>DECRETO 115</t>
  </si>
  <si>
    <t>Por el cual se establecen normas sobre la elaboración, conformación y ejecución de los presupuestos de las Empresas Industriales y Comerciales del Estado y de las Sociedades de Economía Mixta sujetas al régimen de aquellas, dedicadas a actividades no financieras.</t>
  </si>
  <si>
    <t>DECRETO 396</t>
  </si>
  <si>
    <t>Por el cual se reglamenta el Acuerdo 24 de 1995 Estatuto Orgánico de Presupuesto de Santa Fe de Bogotá, Distrito Capital.</t>
  </si>
  <si>
    <t>DECRETO DISTRITAL 714</t>
  </si>
  <si>
    <t>DECRETO DISTRITAL 350</t>
  </si>
  <si>
    <t>DECRETO 321</t>
  </si>
  <si>
    <t>DECRETO 323</t>
  </si>
  <si>
    <t>Por medio del cual se reglamenta el Fondo para el Pago Compensatorio de Cesiones Públicas para Parques y Equipamientos y el Fondo para el Pago Compensatorio de Estacionamientos.</t>
  </si>
  <si>
    <t>DECRETO DISTRITAL 37</t>
  </si>
  <si>
    <t>DECRETO 4730</t>
  </si>
  <si>
    <t>Por el cual se reglamenta normas orgánicas del presupuesto.</t>
  </si>
  <si>
    <t>DECRETO 195</t>
  </si>
  <si>
    <t>Por el cual se reglamenta y se establecen directrices y controles en el proceso presupuestal de las Entidades Descentralizadas y Empresas Sociales del Estado.</t>
  </si>
  <si>
    <t>DECRETO 390</t>
  </si>
  <si>
    <t>Reglamenta los acuerdos orgánicos de presupuesto 24 de 1995 y 20 de 1996 en materia de Tesorería y Crédito Público</t>
  </si>
  <si>
    <t>DECRETO 1525</t>
  </si>
  <si>
    <t>Por el cual se dictan normas relacionadas con la inversión de los recursos de las entidades estatales del orden nacional y territorial.</t>
  </si>
  <si>
    <t>DECRETO 313</t>
  </si>
  <si>
    <t>Por medio del cual se reglamentan parcialmente las Leyes 715 de 2001, 1122 de 2007 y 1176 de 2007.</t>
  </si>
  <si>
    <t>DECRETO 1716</t>
  </si>
  <si>
    <t>Por el cual se reglamenta el artículo 13 de la Ley 1285 de 2009, el artículo 75 de la Ley 446 de 1998 y del Capítulo V de la Ley 640 de 2001</t>
  </si>
  <si>
    <t>DECRETO 4939</t>
  </si>
  <si>
    <t>Por el cual se modifica la Resolución 400 de 1195 de la sala general de la Superintendencia de valores</t>
  </si>
  <si>
    <t>DECRETO 2555</t>
  </si>
  <si>
    <t>Por el cual se recogen y reexpiden las normas en materia del sector financiero, asegurador y del mercado de valores y se dictan otras disposiciones</t>
  </si>
  <si>
    <t>DECRETO 432</t>
  </si>
  <si>
    <t>Por medio del cual se modifica el artículo 37 del Acuerdo 24 de 1995.</t>
  </si>
  <si>
    <t>DECRETO 397</t>
  </si>
  <si>
    <t>Por el cual se establece el Reglamento Interno del Recaudo de Cartera en el Distrito Capital y se dictan otras disposiciones.</t>
  </si>
  <si>
    <t>DECRETO 2767</t>
  </si>
  <si>
    <t>Por el cual se reglamenta parcialmente la Ley 1483 de 2011.</t>
  </si>
  <si>
    <t>DECRETO 1467</t>
  </si>
  <si>
    <t>Por el cual se reglamenta la Ley 1508 de 2012.</t>
  </si>
  <si>
    <t>DECRETO 1077</t>
  </si>
  <si>
    <t>Por el cual se reglamenta parcialmente la Ley 1530 de 2012 en materia presupuestal y se dictan otras disposiciones.</t>
  </si>
  <si>
    <t>DECRETO 1949</t>
  </si>
  <si>
    <t>DECRETO - LEY 019</t>
  </si>
  <si>
    <t>DECRETO 364</t>
  </si>
  <si>
    <t>Por el cual se modifican excepcionalmente las normas urbanísticas del Plan de Ordenamiento Territorial de Bogotá, D.C., adoptado mediante DECRETO Distrital 619 de 2000, revisado por el DECRETO Distrital 469 de 2003 y compilado por el DECRETO Distrital 190 de 2004</t>
  </si>
  <si>
    <t>DECRETO 456</t>
  </si>
  <si>
    <t>DECRETO 490</t>
  </si>
  <si>
    <t>Por el cual se modifica parcialmente el DECRETO Distrital 327 de 2004 "Por el cual se reglamenta el Tratamiento de Desarrollo Urbanístico en el Distrito Capital.</t>
  </si>
  <si>
    <t>DECRETO 562</t>
  </si>
  <si>
    <t>Por el cual se reglamentan las condiciones urbanísticas para el tratamiento de renovación urbana, se incorporan áreas a dicho tratamiento, se adoptan las fichas normativas de los sectores con este tratamiento y se dictan otras disposiciones.</t>
  </si>
  <si>
    <t>DECRETO 584</t>
  </si>
  <si>
    <t>Por medio del cual se reglamenta el recaudo y giro de la Estampilla Cincuenta Años de Labor de la Universidad Pedagógica Nacional y se dictan otras disposiciones.</t>
  </si>
  <si>
    <t>DECRETO 603</t>
  </si>
  <si>
    <t>Por el cual se liquida el Presupuesto Anual de Rentas e Ingresos y de Gastos e Inversiones de Bogotá, Distrito Capital, para la vigencia fiscal comprendida entre el 1 de enero y el 31 de diciembre de 2015 y se dictan otras disposiciones, en cumplimiento del Acuerdo No. 575 de diciembre 17 de 2014, expedido por el Concejo de Bogotá.</t>
  </si>
  <si>
    <t>DECRETO 234</t>
  </si>
  <si>
    <t>Por el cual se reglamentan los Acuerdos Orgánicos de Presupuesto 24 de 1995 y 20 de 1996 y se dictan otras disposiciones.</t>
  </si>
  <si>
    <t>DECRETO 533</t>
  </si>
  <si>
    <t>Por medio del cual se liquida el Presupuesto Anual de Rentas e Ingresos y de Gastos e Inversiones de Bogotá, Distrito Capital, para la vigencia fiscal comprendida entre el 1 de enero y el 31 de diciembre de 2016 y se dictan otras disposiciones, en cumplimiento del DECRETO 517 del 11 de diciembre de 2015; expedido por el Alcalde Mayor de Bogotá, Distrito Capital.</t>
  </si>
  <si>
    <t>DECRETO 176</t>
  </si>
  <si>
    <t>Por medio del cual se modifica el DECRETO 584 del 19 de diciembre de 2014</t>
  </si>
  <si>
    <t>DECRETO 517</t>
  </si>
  <si>
    <t>Por medio del cual se expide el Presupuesto Anual de Rentas e Ingresos y de Gastos e Inversiones de Bogotá, Distrito Capital, para la vigencia fiscal comprendida entre el 1 de enero y el 31 de diciembre de 2016 y se dictan otras disposiciones.</t>
  </si>
  <si>
    <t>DECRETO 575</t>
  </si>
  <si>
    <t>Por el cual se modifica el DECRETO Distrital 562 de 2014.</t>
  </si>
  <si>
    <t>DECRETO 79</t>
  </si>
  <si>
    <t>Por el cual se derogan los DECRETOs Distritales 562 de 2014 y 575 de 2015 y se dictan otras disposiciones</t>
  </si>
  <si>
    <t>DECRETO 826</t>
  </si>
  <si>
    <t>Alcaldía Mayor de Bogotá</t>
  </si>
  <si>
    <t>Por el cual se liquida el Presupuesto Anual de Rentas e Ingresos y de Gastos e  Inversiones de Bogotá, Distrito Capital, para la vigencia fiscal comprendida entre el 1 de Enero y el 31 de diciembre de 2019, en cumplimiento  del Acuerdo 728 de 2018, expedido por el Concejo de Bogotá.</t>
  </si>
  <si>
    <t>ACUERDO 12</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</si>
  <si>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</si>
  <si>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ACUERDO 24</t>
  </si>
  <si>
    <t>Por el cual se expide el Estatuto Orgánico del Presupuesto para el Distrito Capital.</t>
  </si>
  <si>
    <t>Artículo 50</t>
  </si>
  <si>
    <t>Artículo 50: Del Programa Anual de Caja. La ejecución de los gastos del Presupuesto Anual del Distrito Capital se hará a través del Programa Anual Mensualizado de Caja -PAC-. Este es el instrumento mediante el cual se define el monto máximo mensual de fondos disponibles con el fin de cumplir los compromisos que no puedan exceder del total del PAC de la vigencia.......</t>
  </si>
  <si>
    <t>ACUERDO 20</t>
  </si>
  <si>
    <t>Por el cual se modifica el Estatuto Orgánico del Presupuesto para el Distrito Capital.</t>
  </si>
  <si>
    <t>Artículo 3 
Artículo 4</t>
  </si>
  <si>
    <t>Artículo 3: A partir del primero de enero de 1997 la Tesorería Distrital, en coordinación con la Dirección Distrital de Presupuesto cumplirán las funciones de asesoría en la elaboración, radicación y modificaciones del programa anual mensualizado de caja. Ver Artículo 56 DECRETO 714 de 1996.
Artículo 4:El programa anual mensualizado de Caja -PAC-, financiado con recursos del Distrito correspondientes a la vigencia, a las reservas presupuestales y a las cuentas por pagar deberá ser aprobado por el Concejo Distrital de Política Económica y Fiscal - CONFIS.</t>
  </si>
  <si>
    <t>ACUERDO 63</t>
  </si>
  <si>
    <t>Por el cual se definen los procedimientos de Armonización del presupuesto con los Planes de Desarrollo.</t>
  </si>
  <si>
    <t>ACUERDO 118</t>
  </si>
  <si>
    <t>Por el cual se establecen las normas para la aplicación de la participación en plusvalías en Bogotá, Distrito Capital.</t>
  </si>
  <si>
    <t>ACUERDO 190</t>
  </si>
  <si>
    <t>Por el cual se modifica el artículo 1 y el Parágrafo único del ACUERDO 63 de 2002.</t>
  </si>
  <si>
    <t>ACUERDO 489</t>
  </si>
  <si>
    <t>Por el cual se adopta el Plan de Desarrollo económico, social, ambiental y de obras públicas para Bogotá D.C. 2012-2016.</t>
  </si>
  <si>
    <t xml:space="preserve">Artículo 53 </t>
  </si>
  <si>
    <t>Optimización del Gasto y Asignación Eficiente de Recursos.</t>
  </si>
  <si>
    <t>ACUERDO 523</t>
  </si>
  <si>
    <t>Por el cual se modifican parcialmente los acuerdos 180 de 2005, 398 DE 2009, 445 de 2010 y se modifica y suspende el Acuerdo 451 de 2010 y se dictan otras disposiciones.</t>
  </si>
  <si>
    <t>ACUERDO 645</t>
  </si>
  <si>
    <t>RESOLUCIÓN 4444</t>
  </si>
  <si>
    <t>Plan General de Contabilidad Pública.</t>
  </si>
  <si>
    <t>RESOLUCIÓN 1602</t>
  </si>
  <si>
    <t>Secretaría  de Hacienda Distrital</t>
  </si>
  <si>
    <t>Por medio de la cual se adopta el Manual de Programación, Ejecución y Cierre Presupuestal de las entidades que conforman el Presupuesto Anual del Distrito Capital, las Empresas Industriales y Comerciales del Distrito y Sociedades por Acciones y de Economía Mixta sujetas al régimen de aquellas y de las Empresas Sociales del Estado.</t>
  </si>
  <si>
    <t>RESOLUCIÓN 162</t>
  </si>
  <si>
    <t>Por la cual se adopta el Manual de Administración y Cobro de Cartera en el Instituto Distrital para la Recreación y el Deporte.</t>
  </si>
  <si>
    <t>RESOLUCIÓN IDRD 277</t>
  </si>
  <si>
    <t>Por medio de la cual se adopta el Manual de Aprovechamiento Económico de los Espacios Públicos Administrados por de Instituto para la Recreación y el Deporte IDRD.</t>
  </si>
  <si>
    <t>RESOLUCIÓN 354</t>
  </si>
  <si>
    <t>Por la cual se adopta el Régimen de Contabilidad Pública, se establece su conformación y se define el ámbito de aplicación.</t>
  </si>
  <si>
    <t>RESOLUCIÓN 356</t>
  </si>
  <si>
    <t>Por la cual se adopta el Manual de Procedimientos del Régimen de Contabilidad Pública</t>
  </si>
  <si>
    <t>RESOLUCIÓN 397</t>
  </si>
  <si>
    <t>Por la cual se modifica la Resolución 866 de 2004.</t>
  </si>
  <si>
    <t>RESOLUCIÓN IDRD 583</t>
  </si>
  <si>
    <t>Por medio de la cual se adopta se modifica parcialmente el Manual de Aprovechamiento Económico de los Espacios Públicos Administrados por de Instituto para la Recreación y el Deporte IDRD.</t>
  </si>
  <si>
    <t>RESOLUCIÓN 314</t>
  </si>
  <si>
    <t>Por medio de la cual adopta el Protocolo de Seguridad para las Tesorerías de las Entidades Descentralizadas que conforman el Presupuesto Anual del Distrito.</t>
  </si>
  <si>
    <t>RESOLUCIÓN IDRD 338</t>
  </si>
  <si>
    <t>RESOLUCIÓN 660</t>
  </si>
  <si>
    <t>Por medio de la cual se adopta el Manual de Programación, Ejecución y Cierre Presupuestal de las entidades que conforman el Presupuesto Anual del Distrito Capital.</t>
  </si>
  <si>
    <t>RESOLUCIÓN 528</t>
  </si>
  <si>
    <t>Por medio de la cual se modifica la Resolución 479 de 2010.</t>
  </si>
  <si>
    <t>RESOLUCIÓN 143</t>
  </si>
  <si>
    <t>Por medio de la cual se establece el procedimiento para el recaudo y reporte de la información de la contribución especial, de conformidad con la establecido en el DECRETO Distrital 165 de 2013.</t>
  </si>
  <si>
    <t>RESOLUCIÓN REGLAMENTARIA 11</t>
  </si>
  <si>
    <t>Contraloría Distrital</t>
  </si>
  <si>
    <t>Por medio de la cual se prescriben los métodos y se establecen la forma, términos y procedimientos para la rendición de la cuenta y la presentación de informes, se reglamenta su revisión y su y se unifica la información que se presenta a la Contraloría de Bogotá, D.C. Y se dictan otras disposiciones.</t>
  </si>
  <si>
    <t>RESOLUCIÓN 219</t>
  </si>
  <si>
    <t>Dirección de Impuestos y Aduanas Nacionales - DIAN</t>
  </si>
  <si>
    <t>Por medio de la cual se modifica parcialmente la Resolución 219 de 2014 medios magnéticos ó información exógena.</t>
  </si>
  <si>
    <t>RESOLUCIÓN 220</t>
  </si>
  <si>
    <t>Por la cual se establece el grupo de obligados a suministrar a la U.A.E. Dirección de Impuestos y Aduanas Nacionales DIAN, por el año gravable 2015, la información tributaria establecida en los artículos 623, 623-2 (sic), 623-3, 624, 625, 627, 628, 629, 629-1, 631, 631-1, 631-2, 631-3 y 633 del Estatuto Tributario, en el DECRETO 1738  de 1998 y en el artículo 58 de la Ley 863 de 2003 y en el DECRETO 4660 de 2007, se señala el contenido, características técnicas para la presentación y se fijan los plazos para la entrega. 
Nota: Por medio de la cual se modifica parcialmente la Resolución 219 de 2014 medios magnéticos ó información exógena.</t>
  </si>
  <si>
    <t>RESOLUCIÓN 376</t>
  </si>
  <si>
    <t>Por medio de la cual, se modifica el Comité de Coordinación y Seguimiento Financiero del Instituto Distrital para la Recreación y el Deporte.</t>
  </si>
  <si>
    <t>RESOLUCIÓN 613</t>
  </si>
  <si>
    <t>Por medio de la cual se deroga la Resolución No.018 de fecha 17 de enero de 2014 y se modifica el Manual de Aprovechamiento Económico del Espacio Publico administrado por el Instituto Distrital de Recreación y Deporte</t>
  </si>
  <si>
    <t>RESOLUCIÓN 533</t>
  </si>
  <si>
    <t>Por el cual se incorpora, en el Régimen de Contabilidad Pública, el marco normativo aplicable a entidades de gobierno y se dictan otras disposiciones.</t>
  </si>
  <si>
    <t>RESOLUCION 620</t>
  </si>
  <si>
    <t>Por la cual se incorpora el Catálogo General de Cuentas al Marco normativo para entidades de gobierno.</t>
  </si>
  <si>
    <t>RESOLUCIÓN 37236</t>
  </si>
  <si>
    <t>Dirección Distrital de Impuestos de Bogotá</t>
  </si>
  <si>
    <t>Que modifica la Resolución DDI-094892 de diciembre 23 de 2014 Por medio de la cual se adoptan los formularios oficiales para autoliquidación por parte del contribuyente, de diligenciamiento electrónico o litográfico, para la declaración y pago de los tributos administrados por la Dirección Distrital de Impuestos de Bogotá DIB de la Secretaría Distrital de Hacienda, para ser utilizados por los años 2015 y anteriores.</t>
  </si>
  <si>
    <t>RESOLUCION SDH 21</t>
  </si>
  <si>
    <t>Por medio de la cual se establece el procedimiento para el recaudo y reporte de la información de la contribución especial por Contrato de Obra Pública, concesión de Obra Pública y otras concesiones,  de conformidad con la establecido en el DECRETO Distrital 165 de 2013.</t>
  </si>
  <si>
    <t>RESOLUCION SDH 61</t>
  </si>
  <si>
    <t>Por lo cual se establece el procedimiento para el reporte de la información de la estampilla Cincuenta años de labor de la Universidad Pedagógica Nacional.</t>
  </si>
  <si>
    <t>RESOLUCION SDH 120</t>
  </si>
  <si>
    <t>Por lo cual se establece el procedimiento para el funcionamiento del mecanismo de la cuenta Única Distrital - CUD y se deroga la Resolución DDT-00015 del 16 de abril de 2010.</t>
  </si>
  <si>
    <t>RESOLUCION SDH 137</t>
  </si>
  <si>
    <t>Por la cual se modifica la Resolución SDH- 000290 del 24 de diciembre de 2014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t>
  </si>
  <si>
    <t>RESOLUCION 1163</t>
  </si>
  <si>
    <t>Por la cual se actualiza y modifica el reglamento del Comité de Seguimiento y Control para el manejo de Excedentes de Liquidez del Instituto Distrital de Recreación y Deporte y se dictan otras disposiciones.</t>
  </si>
  <si>
    <t>RESOLUCION 191</t>
  </si>
  <si>
    <t>Por medio de la cual se adopta y consolida el Manual de Programación, Ejecución y Cierre Presupuestal del Distrito</t>
  </si>
  <si>
    <t>Módulo 1</t>
  </si>
  <si>
    <t>RESOLUCIÓN SDH-0000191</t>
  </si>
  <si>
    <t>SECRETARIA DISTRITAL DE HACIENDA</t>
  </si>
  <si>
    <t>Por medio de la cual se adopta el Manual de Programación, Ejecucion y Cierre Presupuestal del Distrito Capital.</t>
  </si>
  <si>
    <t>RESOLUCIÓN SDH- 000037</t>
  </si>
  <si>
    <t>Por medio de la cual se modifca parcialmente el Manual de Programación, Ejecucion y Cierre Presupuestal del Distrito Capital adoptado mediante Resolución No. SDH-000191 del  22 de Septiembre de 2017.</t>
  </si>
  <si>
    <t>CIRCULAR 3</t>
  </si>
  <si>
    <t>Guía para elaboración del Presupuesto 2014 de la Secretaria de Hacienda Distrital. Sobre el cronograma de programación del presupuesto (Cambia cada vigencia fiscal).</t>
  </si>
  <si>
    <t>CIRCULAR 4</t>
  </si>
  <si>
    <t>Aspectos operativos del recaudo y reporte de la información concerniente a la Contribución Especial.</t>
  </si>
  <si>
    <t>CIRCULAR 35</t>
  </si>
  <si>
    <t>Instrucciones para la creación, modificación, actualización o suministro de la información contenida en el modulo de Terceros de La Secretaria Distrital de Hacienda</t>
  </si>
  <si>
    <t>Registro de firmas y solicitud de roles del Sistema de Operación y Gestión de Tesorería OPGET.</t>
  </si>
  <si>
    <t>CIRCULAR 7</t>
  </si>
  <si>
    <t>Implementación Firma Digital Relaciones de Autorización Sistema Operación y Gestión de Tesorería - OPGET.</t>
  </si>
  <si>
    <t>CIRCULAR 10</t>
  </si>
  <si>
    <t>Tesorería Distrital</t>
  </si>
  <si>
    <t>Instrucciones y lineamientos para la proyección y elaboración del Programa Anual Mensualizado de Caja Inicial vigencia 2015 (shd)</t>
  </si>
  <si>
    <t>Aspectos operativos del recaudo de las Estampillas Distritales Pro-Cultura, Pro Personas Mayores, Universidad Francisco José de Caldas 50 años y cincuenta años de labor de la Universidad Pedagógica Nacional.</t>
  </si>
  <si>
    <t>CIRCULAR 5</t>
  </si>
  <si>
    <t>Aspectos operativos del recaudo de la contribución especial.</t>
  </si>
  <si>
    <t>CIRCULAR 6</t>
  </si>
  <si>
    <t>Veeduría Distrital</t>
  </si>
  <si>
    <t>Seguimiento al cumplimiento del DECRETO Distrital No. 371 de 2010, artículo 3 numeral 7</t>
  </si>
  <si>
    <t>CIRCULAR CONJUNTA 5</t>
  </si>
  <si>
    <t>Armonización Presupuestal 2016</t>
  </si>
  <si>
    <t>Actualización Domicilio Profesional Abogados.</t>
  </si>
  <si>
    <t>Políticas de Inversión y de Riesgo para el manejo de recursos administrados por los Establecimientos Públicos; Unidades Administrativas Especiales y Secretaría de Educación del Distrito.</t>
  </si>
  <si>
    <t>INSTRUCTIVO 2</t>
  </si>
  <si>
    <t>Instructivo 002 de 2015 Para la transición al Marco normativo para entidades del gobierno.</t>
  </si>
  <si>
    <t>Circular 02</t>
  </si>
  <si>
    <t xml:space="preserve">SECRETARÍA DE HACIENDA </t>
  </si>
  <si>
    <t>Reducción Presupuestal Acuerdo 5 de 1998</t>
  </si>
  <si>
    <t>RESOLUCIÓN 073</t>
  </si>
  <si>
    <t>Por medio de la cual se establecen las políticas y lineamientos de inversión y de riesgo para el manejo de recursos administrados por las entidades que conforman el presupuesto anual del Distrito Capital y los Fondos de Desarrollo Local</t>
  </si>
  <si>
    <t>LEY 152</t>
  </si>
  <si>
    <t xml:space="preserve">articulo 1,2,3, 29 31 , 32,33, capitulo X </t>
  </si>
  <si>
    <t xml:space="preserve">articulo 1
articulo 2
articulo 3
articulo  29
articulo  31 
articulo  32
articulo  33
articulo  capitulo X 
</t>
  </si>
  <si>
    <t>Oficina Asesora de Planeación</t>
  </si>
  <si>
    <t>LEY 962</t>
  </si>
  <si>
    <t>articulos  1,2,3,4,5,6,7,8,9</t>
  </si>
  <si>
    <t xml:space="preserve">articulo  1: 
articulo  2:
articulo  3:
articulo 4:
articulo  5
articulo  6:
articulo  7: 
articulo 8:
articulo 9: </t>
  </si>
  <si>
    <t>LEY 1098</t>
  </si>
  <si>
    <t>LEY 1448</t>
  </si>
  <si>
    <t>Por la cual se dictan medidas de atención, asistencia y reparación integral a las víctimas del conflicto armado interno y se dictan otras disposiciones.</t>
  </si>
  <si>
    <t>articulos 3,4,16,17,18,28,29,30,31,32,73,74,76, 77.78(literalb) , 83,84,86,87</t>
  </si>
  <si>
    <t xml:space="preserve">articulo 3: 
articulo 4:
articulo 16: 
articulo 17: 
articulo 18:
articulo 28: 
articulo 29: 
articulo 30: 
articulo 31: 
articulo 32: 
articulo 73:
articulo 74: 
articulo 76
articulo 77: 
articulo 78 (literal b):  
articulo 83:
articulo 84: 
articulo 86: 
articulo 87: 
</t>
  </si>
  <si>
    <t>LEY 1483</t>
  </si>
  <si>
    <t>Por medio de la cual se dictan normas orgánicas en materia de presupuesto, responsabilidad y transparencia fiscal para las entidades territoriales.</t>
  </si>
  <si>
    <t>Por medio de la cual se crea la Ley de Transparencia y del Derecho de Acceso a la Información Pública Nacional y se dictan otras disposiciones</t>
  </si>
  <si>
    <t>Articulos  1, 2,3,4,5,6,7,9 literales( b-d-g) , 11 literales (b-c-e-g-i-k)</t>
  </si>
  <si>
    <t>Articulos  1:
Articulos   2:
Articulos  3:
Articulos  4:
Articulos  5:
Articulos  6:
Articulos  7:
Articulos  9 literales( b-d-g) :
Articulos 11 literales (b-c-e-g-i-k):</t>
  </si>
  <si>
    <t xml:space="preserve">LEY 1753 </t>
  </si>
  <si>
    <t xml:space="preserve">Por la cual se expide el Plan Nacional de Desarrollo 2014-2018 “Todos por un nuevo país” </t>
  </si>
  <si>
    <t xml:space="preserve">Integración de Sistemas de Gestión: Intégrense en un solo Sistema de Gestión, los Sistemas de Gestión de la Calidad de que trata la Ley 872 de 2003 y de Desarrollo Administrativo de que trata la Ley 489 de 1998. El Sistema de Gestión deberá articularse con los Sistemas Nacional e Institucional de Control Interno consagrado en la Ley 87 de 1993 y en los artículos 27 al 29 de la Ley 489 de 1998, de tal manera que permita el fortalecimiento de los mecanismos, métodos y procedimientos de control al interior de los organismos y entidades del Estado. 
El Gobierno Nacional reglamentará la materia y establecerá el modelo que desarrolle la integración y articulación de los anteriores sistemas, en el cual se deberá determinar de manera clara el campo de aplicación de cada uno de ellos con criterios diferenciales en el territorio nacional. 
 Una vez se reglamente y entre en aplicación el nuevo Modelo de Gestión, los artículos 15 al 23 de la Ley 489 de 1998 y la Ley 872 de 2003 perderán vigencia. 
</t>
  </si>
  <si>
    <t>LEY 1757</t>
  </si>
  <si>
    <t>Por la cual se dictan disposiciones en materia de promoción y protección del derecho a la participación democrática</t>
  </si>
  <si>
    <t>articulos 1,2,3,4,5,6,41,54,55,56,57,58,59,60,61,63,125,126,128,129,130,131,135,136,137,138,139,143,174</t>
  </si>
  <si>
    <t>articulo 1
articulo 2
articulo 3
articulo 4
articulo 5
articulo 6
articulo 41
articulo 54
articulo 55
articulo 56
articulo 57
articulo 58
articulo 59
articulo 60
articulo 61
articulo 63
articulo 125
articulo 126
articulo 128
articulo 129
articulo 130
articulo 131
articulo 135
articulo 136
articulo 137
articulo 138
articulo 139
articulo 143
articulo 174</t>
  </si>
  <si>
    <t>articulos 1,2,3,4,5,6,7,8,13,14,15,23,24,37 y 51</t>
  </si>
  <si>
    <t>articulo 1
articulo 2
articulo 3
articulo 4
articulo 5
articulo 6
articulo 7
articulo 8
articulo 13
articulo 14
articulo 15
articulo 23
articulo 24
articulos 37 
articulo  51</t>
  </si>
  <si>
    <t>DECRETO 449</t>
  </si>
  <si>
    <t>Por el cual se actualizan los procedimientos del Banco Distrital de Programas y Proyectos.</t>
  </si>
  <si>
    <t>DECRETO 350</t>
  </si>
  <si>
    <t>Por el cual se regulan las rifas, juegos, concursos, espectáculos públicos y eventos masivos en el Distrito Capital.</t>
  </si>
  <si>
    <t>DECRETO 4669</t>
  </si>
  <si>
    <t>Por el cual se reglamenta parcialmente la Ley 962 de 2005.</t>
  </si>
  <si>
    <t>articulos 1 , 2</t>
  </si>
  <si>
    <t>DECRETO 308</t>
  </si>
  <si>
    <t xml:space="preserve">Adopta el Plan Maestro de Equipamientos Deportivos y Recreativos para Bogotá. Modificado parcialmente por el Decreto Distrital 484 de 2007 </t>
  </si>
  <si>
    <t xml:space="preserve">DECRETO 470 </t>
  </si>
  <si>
    <t>Por medio del cual se adopta la Política Pública de Discapacidad para el Distrito Capital</t>
  </si>
  <si>
    <t>DECRETO 484</t>
  </si>
  <si>
    <t>Por el cual se modifican los Decretos Distritales 308 de 2006 (Plan Maestro de Equipamientos Deportivos y Recreativos) y 897 de 2000 (Planes de Reordenamiento)</t>
  </si>
  <si>
    <t xml:space="preserve">DECRETO 151 </t>
  </si>
  <si>
    <t>Por el cual se adoptan los lineamientos de Política Pública Distrital y el Plan Integral de Acciones Afirmativas, para el Reconocimiento de la Diversidad Cultural y la Garantía de los Derechos de los Afrodescendientes"</t>
  </si>
  <si>
    <t>Por el cual se modifica el Decreto Distrital 151 del 21 de mayo de 2008, en relación con la orientación y coordinación del Plan de Acciones Afirmativas para los Afrodescendientes residentes en Bogotá, D.C.</t>
  </si>
  <si>
    <t xml:space="preserve">DECRETO 166 </t>
  </si>
  <si>
    <t>Por el cual se adopta la Política Pública de Mujeres y Equidad de Género en el Distrito Capital y se dictan otras disposiciones</t>
  </si>
  <si>
    <t xml:space="preserve">DECRETO 345 </t>
  </si>
  <si>
    <t>Por medio del cual se adopta la Política Pública Social para el Envejecimiento y la Vejez en el Distrito Capital</t>
  </si>
  <si>
    <t xml:space="preserve">DECRETO 203 </t>
  </si>
  <si>
    <t>Por el cual se adopta el Mapa de Referencia como instrumento oficial de consulta para Bogotá, Distrito Capital.</t>
  </si>
  <si>
    <t xml:space="preserve">DECRETO 520 </t>
  </si>
  <si>
    <t>Por medio del cual se adopta la Política Pública de Infancia y Adolescencia de Bogotá, D.C</t>
  </si>
  <si>
    <t xml:space="preserve">DECRETO 543 </t>
  </si>
  <si>
    <t>Por el cual se adopta la Política Pública para los Pueblos Indígenas en Bogotá, D.C</t>
  </si>
  <si>
    <t>DECRETO 544</t>
  </si>
  <si>
    <t>Por el cual se adopta la Política Pública de y para la Adultez en el Distrito Capital</t>
  </si>
  <si>
    <t xml:space="preserve">DECRETO 545 </t>
  </si>
  <si>
    <t>Por medio del cual se adopta la Política Pública para las Familias de Bogotá, D. C.</t>
  </si>
  <si>
    <t>DECRETO 554</t>
  </si>
  <si>
    <t>Por el cual se adopta la Política Pública Distrital para el Reconocimiento de la Diversidad Cultural, la garantía, la protección y el restablecimiento de los Derechos de la Población Raizal en Bogotá y se dictan otras disposiciones</t>
  </si>
  <si>
    <t xml:space="preserve">DECRETO 582 </t>
  </si>
  <si>
    <t xml:space="preserve">Por el cual se adopta la Política Pública Distrital para el grupo étnico Rrom o Gitano en el Distrito Capital y se dictan otras disposiciones </t>
  </si>
  <si>
    <t xml:space="preserve">DECRETO 653 </t>
  </si>
  <si>
    <t>Por medio del cual se reglamenta la Infraestructura Integrada de Datos Espaciales para el Distrito Capital -IDECA, y se dictan otras disposiciones.</t>
  </si>
  <si>
    <t>DECRETO LEY 19</t>
  </si>
  <si>
    <t>Por el cual se dictan normas para suprimir o reformar regulaciones, procedimientos y trámites innecesarios existentes en la Administración Pública</t>
  </si>
  <si>
    <t>articulos 1,2,3,4,5,6,38,39,40,41</t>
  </si>
  <si>
    <t>articulo  1
articulo  2
articulo  3
articulo  4
articulo  5
articulo  6
articulo 38
articulo  39
articulo 40
articulo 41</t>
  </si>
  <si>
    <t>DECRETO 2641</t>
  </si>
  <si>
    <t>Por el cual se reglamentan los artículos 73 y 76 de la Ley 1474 de 2011. Artículo 4°. La máxima autoridad de la entidad u organismo velará directamente porque se implementen debidamente las disposiciones contenidas en el documento de "Estrategias para la Construcción del Plan Anticorrupción y de Atención al Ciudadano". La consolidación del plan anticorrupción y de atención al ciudadano, estará a cargo de la oficina de planeación de las entidades o quien haga sus veces, quienes además servirán de facilitadores para todo el proceso de elaboración del mismo.</t>
  </si>
  <si>
    <t>DECRETO  171</t>
  </si>
  <si>
    <t>Por medio del cual se estandarizan las definiciones y se unifica el plazo para la formulación o ajuste de los Planes de Acción de las Políticas Públicas Poblacionales y los Planes de Acción Integrales de Acciones Afirmativas de Bogotá, D.C.”</t>
  </si>
  <si>
    <t xml:space="preserve">DECRETO 076 </t>
  </si>
  <si>
    <t>Por el cual se modifica el Decreto Distrital 203 del 17 de mayo de 2011.</t>
  </si>
  <si>
    <t xml:space="preserve">DECRETO 062 </t>
  </si>
  <si>
    <t>Por el cual se adopta la Política Pública para la garantía plena de los derechos de las personas lesbianas, gay,bisexuales,transgeneristas e intersexuales- LGBTI – y sobre identidades de género y orientaciones sexuales en el Distrito Capital, y se dictan otras disposiciones</t>
  </si>
  <si>
    <t xml:space="preserve">DECRETO 560 </t>
  </si>
  <si>
    <t>Por medio del cual se adopta la Política Pública Distrital para el Fenómeno de Habitabilidad en Calle y se derogan los Decretos Distritales Nos 136 de 2005 y 170 de 2007</t>
  </si>
  <si>
    <t>DECRETO 668</t>
  </si>
  <si>
    <t>Por medio del cual se reglamentan los artículos 127 y 128 del Acuerdo 645 de 2016 y se dictan otras disposiciones</t>
  </si>
  <si>
    <t>DECRETO 1081</t>
  </si>
  <si>
    <t xml:space="preserve">“Por medio del cual se expide el Decreto Reglamentario Único del Sector Presidencia de la
República” </t>
  </si>
  <si>
    <t>articulos 2.1.1.2.1.6 ,   2.1.1.2.2.4,    2.1.4.1,  2.1.4.2,  2.1.4.3,  2.1.4.4,  2.1.4.5,  2.1.4.8</t>
  </si>
  <si>
    <t>articulo  2.1.1.2.1.6 
articulo   2.1.1.2.2.4
articulo    2.1.4.1
articulo   2.1.4.2
articulo   2.1.4.3
articulo   2.1.4.4
articulo    2.1.4.5
articulo  2.1.4.8</t>
  </si>
  <si>
    <t>DECRETO 507</t>
  </si>
  <si>
    <t>Por medio del cual se adopta el Plan Integral de Acciones Afirmativas para el Reconocimiento de la Diversidad Cultural y la Garantía de los Derechos de la población Negra, Afrodescendiente y Palenquera residente en Bogotá D.C</t>
  </si>
  <si>
    <t>DECRETO 1499</t>
  </si>
  <si>
    <t>Por medio del cual se modifica el Decreto 1083 de 2015, Decreto Único Reglamentario del Sector Función Pública, en lo relacionado con el Sistema de Gestión establecido en el artículo 133 de la Ley 1753 de 2015</t>
  </si>
  <si>
    <t xml:space="preserve">articulos 2.2.22.1.1,  2.2.22.1.5,   capitulo 2 , capitulo 3 </t>
  </si>
  <si>
    <t xml:space="preserve">articulo  2.2.22.1.1: 
articulo  2.2.22.1.5:
capitulo 2 
capitulo 3 
</t>
  </si>
  <si>
    <t>DECRETO 591</t>
  </si>
  <si>
    <t>Por medio del cual se adopta el Modelo Integrado de Planeación y Gestión Nacional y se dictan otras disposiciones</t>
  </si>
  <si>
    <t>articulos 1,2,3,4,6,9</t>
  </si>
  <si>
    <t xml:space="preserve">
articulo 1: 
articulo 2: 
articulo 3:
articulo 4: 
articulo 6:
articulo  9:</t>
  </si>
  <si>
    <t xml:space="preserve">DECRETO 612 </t>
  </si>
  <si>
    <t>Por el cual se fijan directrices para la integración de los planes institucionales y estratégicos al Plan de Acción por parte de las entidades del Estado.</t>
  </si>
  <si>
    <t>articulo 7 literal 4</t>
  </si>
  <si>
    <t xml:space="preserve">ACUERDO 165 </t>
  </si>
  <si>
    <t>Por el cual se reconoce como un evento de interés cultural el encuentro internacional de expresión negra"</t>
  </si>
  <si>
    <t>Por el cual se modifica el artículo 1 y el Parágrafo único del Acuerdo 63 de 2002.</t>
  </si>
  <si>
    <t>Por medio del cual se adoptan los lineamientos de la política pública de mujeres y equidad de género en el distrito capital y se dictan otras disposiciones</t>
  </si>
  <si>
    <t>Por el cual se adopta el Plan de Desarrollo Económico, Social, Ambiental y de Obras Públicas para Bogotá, D. C., 2016 - 2020 “BOGOTÁ MEJOR PARA TODOS</t>
  </si>
  <si>
    <t>CIRCULAR 13</t>
  </si>
  <si>
    <t xml:space="preserve">Secretaría Distrital de Planeación </t>
  </si>
  <si>
    <t xml:space="preserve">La información de programación, reprogramación,
actualización y seguimiento de los Planes de Acción de las entidades Distritales,
se capturará a través del Sistema de información SEGPLAN y la información
registrada en este será considerada oficial. </t>
  </si>
  <si>
    <t>CIRCULAR 06</t>
  </si>
  <si>
    <t>Para dar cumplimiento al Decreto 171 de 2013 y por medio del cual se estandarizan las definiciones y se unifica el plazo para la formulación o ajuste de los Planes de Acción de las Políticas Públicas Poblacionales y los Planes de Acción Integrales de Acciones Afirmativas de Bogotá, D.C.”</t>
  </si>
  <si>
    <t>CIRCULAR 131</t>
  </si>
  <si>
    <t>Lineamientos para la publicación y actualización de información sobre los trámites, servicios, campañas, eventos y puntos de atención en la Guía de Trámites, Servicios y el Mapa Callejero.</t>
  </si>
  <si>
    <t>Secretaría Distrital de Hacienda  / Secretaria Distrital de Planeación</t>
  </si>
  <si>
    <t xml:space="preserve">CIRCULAR 028 </t>
  </si>
  <si>
    <t>Alta Consejería Distrital de Tecnología de Información y Comunicaciones – TIC</t>
  </si>
  <si>
    <t>Por medio de la cual “Invita a todas las entidades distritales a apropiarse de la Infraestructura de Datos Espaciales para el Distrito Capital – IDECA</t>
  </si>
  <si>
    <t>CIRCULAR CONJUNTA  2</t>
  </si>
  <si>
    <t>Guía de ejecución, seguimiento y cierre presupuestal 2018 y programación presupuestal vigencia 2019</t>
  </si>
  <si>
    <t>CIRCULAR  002</t>
  </si>
  <si>
    <t>Directrices para la formulación del plan de adecuación y sostenibilidad del Sistema Integrado de Gestión Distrital  con el referente MIPG</t>
  </si>
  <si>
    <t>RESOLUCIÓN 006</t>
  </si>
  <si>
    <t>Por la cual se modifica la estructura organizacional y las funciones de las dependencias del Instituto Distrital de Recreación y Deporte, y se dictan otras disposiciones</t>
  </si>
  <si>
    <t>RESOLUCIÓN SDH N° 191</t>
  </si>
  <si>
    <t xml:space="preserve">Secretaría  Distrital de Hacienda </t>
  </si>
  <si>
    <t xml:space="preserve">Modulo I </t>
  </si>
  <si>
    <t xml:space="preserve">RESOLUCIÓN 1099    </t>
  </si>
  <si>
    <t>Por la cual se establecen los procedimientos para autorización de trámites y el seguimiento a la política de racionalización de trámites.</t>
  </si>
  <si>
    <t xml:space="preserve">RESOLUCIÓN 1344 </t>
  </si>
  <si>
    <t>Por la cual se define y se adopta la metodología para incorporar el enfoque poblacional-diferencial en los proyectos de inversión del Distrito Capital, en desorrollo del artículo 98 del Acuerdo 645 de 2016, y se dictan otras disposiciones.</t>
  </si>
  <si>
    <t xml:space="preserve">RESOLUCIÓN 945 </t>
  </si>
  <si>
    <t>IDRD</t>
  </si>
  <si>
    <t>Por la cual se crea el Comité del Institucional de Gestión y Desempeño del  Instituto Distrital de Recreación y Deporte , IDRD</t>
  </si>
  <si>
    <t>Norma Técnica Colombiana - NTC  ISO 9001</t>
  </si>
  <si>
    <t>ICONTEC</t>
  </si>
  <si>
    <t>Sistemas de Gestión de Calidad - Requisitos</t>
  </si>
  <si>
    <t xml:space="preserve">CONSTITUCIÓN POLÍTICA DE COLOMBIA </t>
  </si>
  <si>
    <t xml:space="preserve">Subdirección Técnica de Construcciones </t>
  </si>
  <si>
    <t>CÓDIGO CIVIL</t>
  </si>
  <si>
    <t>Ley 57 de 1887, art. 4o. Con arreglo al artículo 52 de la Constitución de la República, declárase incorporado en el Código Civil el Título III (arts. 19-52) de la misma Constitución.</t>
  </si>
  <si>
    <t>LEY 378</t>
  </si>
  <si>
    <t>Por medio de la cual se aprueba el convenio número 161, sobre los servicios de salud en el trabajo adoptado por la 71 reunión de la conferencia general de la organización internacional del trabajo, OIT, ginebra, 1985.</t>
  </si>
  <si>
    <t>ART:1,2,3</t>
  </si>
  <si>
    <t>LEY 46</t>
  </si>
  <si>
    <t>Por la cual se crea y organiza el sistema nacional para la prevención y atención de desastres, se otorga facultades extraordinarias al presidente de la república y se dictan otras disposiciones.</t>
  </si>
  <si>
    <t>ART:2,3,4</t>
  </si>
  <si>
    <t>LEY 9</t>
  </si>
  <si>
    <t>Por la cual se dictan medidas sanitarias, normas para preservar,conservar y mejorar la salud de los individuos en sus ocupaciones.</t>
  </si>
  <si>
    <t>ART:80,81,82,83,84,85,86,87,88,89,90,91, 92,93,94,95,96,99,99,101,105.106,107,108,109,110,111,112,114,116,117,118,122,123,124,125,126,127,128,129,142,143,158,159,160,161,162,163,165,166,167,168,169,170172,173,174,175,176,177,181,185,186,187,188,193,194,195,196,197,198,199,202,203,204,205,206,207,209,210,478,479,481,482,483,488,491,492,502,503,504,505,506,507,508,509,510,511,512,513,514,577,594,595,596,597,598,599,604</t>
  </si>
  <si>
    <t>LEY 23</t>
  </si>
  <si>
    <t xml:space="preserve">Por la cual se conceden facultades extraordinarias al Presidente de la República
para expedir el Código de Recursos Naturales y protección al medio ambiente y se
dictan otras disposiciones.
</t>
  </si>
  <si>
    <t xml:space="preserve">Ley 17 </t>
  </si>
  <si>
    <t>Por la cual se modifica el Presupuesto de Rentas y Recursos de Capital, el Decreto-Ley de Apropiaciones para la vigencia fiscal del 1o. de enero al 31 de Diciembre de 1992 y se dictan otras Disposiciones.</t>
  </si>
  <si>
    <t>Articulo 15</t>
  </si>
  <si>
    <t xml:space="preserve">Ley 21 </t>
  </si>
  <si>
    <t>Por la cual se decreta el Presupuesto de Rentas y Recursos de Capital y la Ley de Apropiaciones para la vigencia fiscal del 1o. de Enero al 31 de Diciembre de 1993</t>
  </si>
  <si>
    <t>Articulo 100</t>
  </si>
  <si>
    <t>LEY  80</t>
  </si>
  <si>
    <t>LEY 99</t>
  </si>
  <si>
    <t>LEY 142</t>
  </si>
  <si>
    <t>por la cual se establece el régimen de los servicios públicos domiciliarios y se dictan otras disposiciones.</t>
  </si>
  <si>
    <t>LEY  190</t>
  </si>
  <si>
    <t>Por la cual se dictan normas tendientes a preservar la moralidad en la Administración Pública y se fijan disposiciones con el fin de erradicar la corrupción administrativa.</t>
  </si>
  <si>
    <t>LEY  373</t>
  </si>
  <si>
    <t>LEY  361</t>
  </si>
  <si>
    <t>Por la cual se establecen mecanismos de integración social de la personas con limitación y se dictan otras disposiciones</t>
  </si>
  <si>
    <t>LEY  388</t>
  </si>
  <si>
    <t>LEY  610</t>
  </si>
  <si>
    <t>Por la cual se establece el trámite de los procesos de responsabilidad fiscal de competencia de las contralorías.</t>
  </si>
  <si>
    <t>LEY  734</t>
  </si>
  <si>
    <t>Por la cual se expide el Código Disciplinario Único</t>
  </si>
  <si>
    <t>LEY 776</t>
  </si>
  <si>
    <t>Por la cual se dictan normas sobre la organización, administración y prestaciones del sistema general de riesgos profesionales.</t>
  </si>
  <si>
    <t>ART:1,4,8,21</t>
  </si>
  <si>
    <t>LEY  789</t>
  </si>
  <si>
    <t>Por la cual se dictan normas para apoyar el empleo y ampliar la protección social y se modifican algunos artículos del Código Sustantivo de Trabajo.</t>
  </si>
  <si>
    <t>LEY 797</t>
  </si>
  <si>
    <t>Por la cual se reforman algunas disposiciones del sistema general de pensiones previsto en la ley 100 de 1993 y se dictan otras disposiciones.</t>
  </si>
  <si>
    <t>ART:1,2,3,4,5,6,7,8,9,10,11,12,13,14,15,16,17,18,19,20,21,22,23,24</t>
  </si>
  <si>
    <t>LEY  1229</t>
  </si>
  <si>
    <t>Por la cual se modifica y adiciona la Ley 400 del 19 de agosto de 1997</t>
  </si>
  <si>
    <t>LEY  1437</t>
  </si>
  <si>
    <t>Por la cual se expide el Código de Procedimiento Administrativo y de lo Contencioso Administrativo</t>
  </si>
  <si>
    <t>Por la cual se dictan normas orientadas a fortalecer los mecanismos de prevención, investigación y sanción de actos de corrupción y la efectividad del control de la gestión pública</t>
  </si>
  <si>
    <t>LEY 1523</t>
  </si>
  <si>
    <t xml:space="preserve">Por la cual se adopta la política nacional de gestión del riesgo de
desastres y se establece el Sistema Nacional de Gestión del Riesgo
de Desastres y se dictan otras disposiciones
</t>
  </si>
  <si>
    <t>Art. 1</t>
  </si>
  <si>
    <t>LEY  1801</t>
  </si>
  <si>
    <t>"Por el cual se expide el Código de Comercio" Título V. Del contrato de Seguro.</t>
  </si>
  <si>
    <t>DECRETO  2811</t>
  </si>
  <si>
    <t>Por el cual se dicta el Código Nacional de Recursos Naturales Renovables y de Protección al Medio Ambiente</t>
  </si>
  <si>
    <t>DECRETO 1541</t>
  </si>
  <si>
    <t xml:space="preserve">Por el cual se reglamenta la Parte III del Libro II del Decreto - Ley 2811 de 1974:
"De las aguas no marítimas" y parcialmente la Ley 23 de 1973.
</t>
  </si>
  <si>
    <t xml:space="preserve">Decreto 614 </t>
  </si>
  <si>
    <t>Por el cual se determinan las bases para la organización y administración de salud ocupacional en el país.</t>
  </si>
  <si>
    <t>ART:1,2,3,6,8,9,24,25,26,28,29,30,31</t>
  </si>
  <si>
    <t>Decreto 1562</t>
  </si>
  <si>
    <t>Por el cual se reglamentan parcialmente los Títulos VII y XI de la Ley 9 de 1979, en cuanto a vigilancia y control epidemiológico y medidas de seguridad</t>
  </si>
  <si>
    <t>ART:2,3,6</t>
  </si>
  <si>
    <t>Decreto 919</t>
  </si>
  <si>
    <t>Por el cual se organiza el sistema nacional para la prevención y atención de desastres y se dictan otras disposiciones.</t>
  </si>
  <si>
    <t>ART:1,2,3,9,18,19,24,26,27,28,29,30,31,32,33,34,41,42,43,44,45,46,49,50.</t>
  </si>
  <si>
    <t>DECRETO 1831</t>
  </si>
  <si>
    <t>Expide la tabla de Clasificación de Actividades Económicas para el Sistema General de Riesgos Profesionales y dicta otras disposiciones.</t>
  </si>
  <si>
    <t>ART:1</t>
  </si>
  <si>
    <t>DECRETO  1295</t>
  </si>
  <si>
    <t>Por el cual se determina la organización y administración del sistema general de riesgos profesionales.</t>
  </si>
  <si>
    <t>ART:1,2,3,4,5,6,7,8,,10,12,13,15,16,17,18,19,20,21,22,23,24,25,26,27,28,31,33,34,35,36,37,38,39,40,41,42,43,44,45,46,47,48,49,50,51,52,53,55,55,56,57,58,59,60,61,62,63,64,65,66,67,91,92.</t>
  </si>
  <si>
    <t>La empresa se mantiene informada y actualizada sobre todo lo relacionado con el Comité Paritario de Salud Ocupacional,la gerencia suministra los recursos para el desarrollo del programa S&amp;SOMA,la empresa utiliza todos los servicios de la entidad administradora de riesgos profesionales para beneficio de los trabajadores,se respeta la determinación del médico o la comisión médica interdisciplinaria sobre la declaración de la incapacidad permanente parcial,La empresa se rige por el Manual de Invalidez y la Tabla de Valuación de Incapacidades para la determinación de los grados de incapacidad,La empresa apoya y vigila el buen funcionamiento del Comité Paritario de Salud Ocupacional</t>
  </si>
  <si>
    <t>Subdirección de Diseño y Construcción de Parques y Escenarios</t>
  </si>
  <si>
    <t>DECRETO  948</t>
  </si>
  <si>
    <t>Por el cual se reglamentan, parcialmente la Ley 23 de 1973, los artículos 33, 73, 74, 75 y 75 del DECRETO-Ley 2811 de 1974; los artículos 41, 42, 43, 44, 45, 48 y 49 de la Ley 9 de 1979; y la Ley 99 de 1993, en relación con la prevención y control de la contaminación atmosférica y la protección de la calidad del aire.</t>
  </si>
  <si>
    <t>DECRETO 1530</t>
  </si>
  <si>
    <t>Por el cual se reglamenta pàrcialmente la ley 100 de 1993 y el decreto ley 1295 de 1994.</t>
  </si>
  <si>
    <t>ART:1,2,3,4,5,6,7,8,9,10,11,12,13,14,15,16</t>
  </si>
  <si>
    <t>La empresa realiza programas, acciones de capacitacion y prevencion con el objetivo de controlar y mitigar los riesgos a los que se encuentran expuestos nuestros empleados.</t>
  </si>
  <si>
    <t>DECRETO 605</t>
  </si>
  <si>
    <t>Por el cual se reglamenta la Ley 142 de 1994 en relación con la prestación del servicio público domiciliario de aseo.</t>
  </si>
  <si>
    <t>Título I, Capítulos II,V,VII</t>
  </si>
  <si>
    <t>Se cuenta con los recipientes para su almacenamiento</t>
  </si>
  <si>
    <t>DECRETO  357</t>
  </si>
  <si>
    <t>DECRETO 1796</t>
  </si>
  <si>
    <t>El presente decreto regula la evaluación de la capacidad sicofísica y la disminución de la capacidad laboral, y aspectos sobre incapacidades, indemnizaciones, pensión por invalidez e informes administrativos por lesiones, de los miembros de la fuerza pública, alumnos de las escuelas de formación y sus equivalentes en la policía nacional.</t>
  </si>
  <si>
    <t xml:space="preserve">todo </t>
  </si>
  <si>
    <t>La empresa realiza a sus trabajadores los exámenes de :ingreso, periódico y de retiro, con énfasis en la parte psicofisica del trabajador periodicamente se realizan pve y capacitaciones en el area de la salud, relacionads con este tema.</t>
  </si>
  <si>
    <t>DECRETO 500</t>
  </si>
  <si>
    <t>Por el cual se definen las reglas para la adopción del Manual Único de Alumbrado Público (MUAP) para Bogotá, D.C. y se conforma el Comité de Alumbrado Público del Distrito Capital</t>
  </si>
  <si>
    <t>DECRETO  190</t>
  </si>
  <si>
    <t>Por medio del cual se compilan las disposiciones contenidas en los DECRETOs Distritales 619 de 2000 y 469 de 2003.</t>
  </si>
  <si>
    <t>DECRETO  323</t>
  </si>
  <si>
    <t>DECRETO  327</t>
  </si>
  <si>
    <t>Por el cual se reglamenta el Tratamiento de Desarrollo Urbanístico en el Distrito Capital.</t>
  </si>
  <si>
    <t>DECRETO  215</t>
  </si>
  <si>
    <t>DECRETO  838</t>
  </si>
  <si>
    <t>DECRETO  1538</t>
  </si>
  <si>
    <t>Por el cual se reglamenta parcialmente la Ley 361 de 1997.</t>
  </si>
  <si>
    <t>DECRETO  308</t>
  </si>
  <si>
    <t>Por el cual se adopta el Plan Maestro de Equipamientos Deportivos y Recreativos para Bogotá, Distrito Capital</t>
  </si>
  <si>
    <t>DECRETO  417</t>
  </si>
  <si>
    <t>Por medio del cual se adoptan medidas para reducir la contaminación y mejorar la calidad del aire en el Distrito Capital.</t>
  </si>
  <si>
    <t>DECRETO  482</t>
  </si>
  <si>
    <t>Por el cual se adopta la Política Pública de Juventud para Bogotá D.C. 2006-2016.</t>
  </si>
  <si>
    <t>DECRETO  470</t>
  </si>
  <si>
    <t>Por el cual se adopta la Política Pública de Discapacidad para el Distrito Capital</t>
  </si>
  <si>
    <t>DECRETO  448</t>
  </si>
  <si>
    <t xml:space="preserve">En uso de sus facultades constitucionales y legales, especialmente los
conferidas por el Decreto-Ley 1421 de 1993, el Acuerdo 257 de 2006 </t>
  </si>
  <si>
    <t xml:space="preserve">Por el cual se modifican los Decretos Distritales 308 de 2006 (Plan Maestro de Equipamientos Deportivos y Recreativos) y 897 de 2000 (Planes de Reordenamiento)
</t>
  </si>
  <si>
    <t>DECRETO  523</t>
  </si>
  <si>
    <t>Por el cual se adopta la Microzonificación Sísmica de Bogotá D.C.</t>
  </si>
  <si>
    <t>DECRETO 2566</t>
  </si>
  <si>
    <t>Enfermedades profesionales</t>
  </si>
  <si>
    <t>ART 1,2,3-</t>
  </si>
  <si>
    <t>Se  tiene responsabilidades definidas y un esquema para la notificación de los accidentes de trabajo y enfermedad profesional del personal contratado por  empresa de servicios temporales, cooperativas de trabajo asociado, organizaciones de trabajo asociado o contratistas independientes?</t>
  </si>
  <si>
    <t>DECRETO  531</t>
  </si>
  <si>
    <t xml:space="preserve">Por el cual se establecen lineamientos para preservar y fortalecer la
transparencia y para la prevención de la corrupción en las Entidades y
Organismos del Distrito Capital".
</t>
  </si>
  <si>
    <t>DECRETO  926</t>
  </si>
  <si>
    <t xml:space="preserve">Ministerio de Ambiente y Desarrollo Territorial </t>
  </si>
  <si>
    <t>Por el cual se establecen los requisitos de carácter técnico y científico para construcciones sismorresistentes NSR-10.</t>
  </si>
  <si>
    <t>DECRETO  2525</t>
  </si>
  <si>
    <t>Por el cual se modifica el DECRETO 926 de 2010 y se dictan otras disposiciones.</t>
  </si>
  <si>
    <t>DECRETO  92</t>
  </si>
  <si>
    <t>Por el cual se modifica el DECRETO 926 de 2010.</t>
  </si>
  <si>
    <t>Por el cual se adopta la Política Pública de Participación Incidente para el Distrito
Capital."</t>
  </si>
  <si>
    <t>DECRETO  19</t>
  </si>
  <si>
    <t>DECRETO  340</t>
  </si>
  <si>
    <t>Ministerio de Vivienda, Ciudad y Territorio</t>
  </si>
  <si>
    <t xml:space="preserve">Por el cual se modifica parcialmente el Reglamento de Construcciones Sismo Resistentes NSR-10. </t>
  </si>
  <si>
    <t>DECRETO  328</t>
  </si>
  <si>
    <t>Por medio del cual se modifica parcialmente el DECRETO Distrital 323 de 2004 "Por medio del cual se reglamenta el Fondo para el Pago Compensatorio de Cesiones Públicas para Parques y Equipamientos y el Fondo para el Pago Compensatorio de Estacionamientos.</t>
  </si>
  <si>
    <t>Por el cual se adopta el Marco Regulatorio del Aprovechamiento Económico del Espacio Público en el Distrito Capital de Bogotá</t>
  </si>
  <si>
    <t>DECRETO  2041</t>
  </si>
  <si>
    <t>Por el cual se reglamenta el Título VIII de la Ley 99 de 1993 sobre licencias ambientales.</t>
  </si>
  <si>
    <t>DECRETO  490</t>
  </si>
  <si>
    <t xml:space="preserve">DECRETO  1443 </t>
  </si>
  <si>
    <t>Por el cual se establece como obligatoria la implementación de un esquema de compensación en el Sistema General de Riesgos Laborales por altos costos de siniestralidad y se dictan otras disposiciones</t>
  </si>
  <si>
    <t xml:space="preserve">todos </t>
  </si>
  <si>
    <t>Define las directrices para implementar el Sistema de Gestión de la Seguridad y Salud en el Trabajo.</t>
  </si>
  <si>
    <t>DECRETO  562</t>
  </si>
  <si>
    <t xml:space="preserve">Por el cual se reglamentan las condiciones urbanísticas para el tratamiento de renovación urbana, se incorporan áreas a dicho tratamiento, se adoptan las fichas normativas de los sectores con este tratamiento y se dictan otras disposiciones. </t>
  </si>
  <si>
    <t xml:space="preserve">DECRETO 442 </t>
  </si>
  <si>
    <t>Por medio del cual se crea el Programa de aprovechamiento y/o valorización de llantas usadas en el Distrito Capital y se adoptan otras disposiciones.</t>
  </si>
  <si>
    <t>DECRETO 229</t>
  </si>
  <si>
    <t xml:space="preserve">Por  medio del cual se adopta la Política de Deporte, Recreación, Actividad Física, Parques y Escenarios para Bogotá. </t>
  </si>
  <si>
    <t>Por medio del cual se expide el Decreto Único reglamentario del Sector Administrativo de Planeación Nacional</t>
  </si>
  <si>
    <t>DECRETO 1076</t>
  </si>
  <si>
    <t xml:space="preserve">Por medio del cual se expide el Decreto Único Reglamentario del Sector Ambiente y Desarrollo Sostenible </t>
  </si>
  <si>
    <t>DECRETO  1077</t>
  </si>
  <si>
    <t>Por medio del cual se expide el DECRETO Único Reglamentario del Sector Vivienda, Ciudad y Territorio.</t>
  </si>
  <si>
    <t>DECRETO 2218</t>
  </si>
  <si>
    <t xml:space="preserve">"Por el cual se modifica parcialeª eNºeY1o~ge1§5 en lo relacionado con el valor de la Vivienda de Interés Social y Prioritaria en programas y proyectos de renovación urbana, el alcance y modalidades de las licencias  Urbanísticas sus vigencias, prórrogas, revalidaciones y modificaciones, se complementa y precisa el alcance de algunas actuaciones urbanísticas y se
precisa la exigibilidad del pago de la participación de plusvalía en trámites de licencias urbanísticas" </t>
  </si>
  <si>
    <t>DECRETO  1197</t>
  </si>
  <si>
    <t>Por el cual se modifica parcialmente el Decreto 1077 de 2015 en lo relacionado con los requisitos de solicitud, modalidades de las licencias urbanísticas, sus vigencias y prórrogas.</t>
  </si>
  <si>
    <t>DECRETO 219</t>
  </si>
  <si>
    <t>Por medio del cual se actualiza la Cartilla de Andenes adoptada mediante el Decreto Distrital 1003 de 2000, adicionada mediante Decreto Distrital 379 de 2002, actualizada mediante los Decretos Distritales 602 de 2007 y 561 de 2015, y se dictan otras disposiciones</t>
  </si>
  <si>
    <t>DECRETO 545</t>
  </si>
  <si>
    <t>Por el cual se establece el procedimiento para la entrega material y la titulación de las zonas de cesión y bienes destinados al uso público y se dictan otras disposiciones</t>
  </si>
  <si>
    <t>DECRETO  603</t>
  </si>
  <si>
    <t>Por el cual se modifican los artículos 2º, 5º y 18° del Decreto Distrital 323 de 2004 y 37° del Decreto 436 de 2006, que reglamentan la destinación de los recursos de los Fondos para el Pago Compensatorio de Cesiones Públicas para Parques y Equipamie</t>
  </si>
  <si>
    <t>DECRETO 945</t>
  </si>
  <si>
    <t>Por el cual se modifica parcialmente el Reglamento Colombiano de Construcciones Sismorresistentes NSR-10</t>
  </si>
  <si>
    <t xml:space="preserve">DECRETO 1203 </t>
  </si>
  <si>
    <t>"Por medio del cual se modifica parcialmente el Decreto 1077 de 2015 Único Reglamentario del Sector Vivienda, Ciudad y Territorio y se reglamenta la Ley 1796 de 2016, en lo relacionado con el estudio, trámite y expedición de las licencias urbanísticas y la función pública que desempeñan los curadores urbanos y se dictan otras disposiciones"</t>
  </si>
  <si>
    <t>DECRETO 2013</t>
  </si>
  <si>
    <t>Por medio del cual se modifica el Decreto 1077 de 2015 Único Reglamentario del Sector Vivienda, Ciudad y Territorio en lo relacionado con la vigencia y prórroga de las licencias urbanística</t>
  </si>
  <si>
    <t>ACUERDO  79</t>
  </si>
  <si>
    <t>Por el cual se expide el Código de Policía de Bogotá D.C.</t>
  </si>
  <si>
    <t>ACUERDO  327</t>
  </si>
  <si>
    <t>ACUERDO  323</t>
  </si>
  <si>
    <t>Por el cual se autoriza la inclusión del Estándar Único de Construcción Sostenible en el Código de la Construcción de Bogotá y se dictan otras disposiciones</t>
  </si>
  <si>
    <t>ACUERDO  433</t>
  </si>
  <si>
    <t>ACUERDO  435</t>
  </si>
  <si>
    <t>ACUERDO  540</t>
  </si>
  <si>
    <t>Por medio del cual se establecen los lineamientos del programa distrital de compras verdes y se dictan otras disposiciones.</t>
  </si>
  <si>
    <t>ACUERDO  645</t>
  </si>
  <si>
    <t xml:space="preserve">Por el cual se adopta el plan de desarrollo económico, social, ambiental y de obras públicas para Bogotá D.C.,. 2016 - 2020 "Bogotá mejor para todos
</t>
  </si>
  <si>
    <t>RESOLUCION  2413</t>
  </si>
  <si>
    <t>Ministerio de Trabajo y Seguridad Social</t>
  </si>
  <si>
    <t xml:space="preserve">Por la cual se dicta el Reglamento de Higiene y Seguridad para la Industria de la Construcción </t>
  </si>
  <si>
    <t>RESOLUCION  8321</t>
  </si>
  <si>
    <t>RESOLUCION  541</t>
  </si>
  <si>
    <t>RESOLUCION GEG  70</t>
  </si>
  <si>
    <t>Comisión de Regulación de energía y gas</t>
  </si>
  <si>
    <t xml:space="preserve">Reglamento de distribucción de energía eléctrica </t>
  </si>
  <si>
    <t>RESOLUCIÓN 903</t>
  </si>
  <si>
    <t xml:space="preserve">Empresa de Acueducto y Alcantarillado de Bogotá -ESP  </t>
  </si>
  <si>
    <t xml:space="preserve"> 
Adopta 234 normas técnicas para la Empresa de Acueducto y Alcantarillado.</t>
  </si>
  <si>
    <t>RESOLUCIÓN  180398</t>
  </si>
  <si>
    <t>Ministerio de Minas y Energía</t>
  </si>
  <si>
    <t>Por la cual se expide el Reglamento Técnico de Instalaciones Eléctricas - RETIE, que fija las condiciones técnicas que garanticen la seguridad en los procesos de generación, transmisión, transformación, distribución y utilización de la energía eléctrica en la República de Colombia y se dictan otras disposiciones.</t>
  </si>
  <si>
    <t>RESOLUCIÓN  180498</t>
  </si>
  <si>
    <t>Por la cual se modifica parcialmente la Resolución 180398 de 2004.</t>
  </si>
  <si>
    <t>RESOLUCIÓN  181419</t>
  </si>
  <si>
    <t>Por la cual se aclara algunos aspectos del Reglamento Técnico de Instalaciones Eléctricas RETIE.</t>
  </si>
  <si>
    <t>RESOLUCIÓN  180540</t>
  </si>
  <si>
    <t>RETILAP-Reglamento Técnico de Iluminación y Alumbrado público</t>
  </si>
  <si>
    <t>RESOLUCIÓN IDRD  725</t>
  </si>
  <si>
    <t>Por la cual se establece el procedimiento para resolver las solicitudes de adecuación del amoblamiento existente en los parques vecinales y de bolsillo.</t>
  </si>
  <si>
    <t>RESOLUCIÓN  6982</t>
  </si>
  <si>
    <t>Secretario Distrital de Ambiente</t>
  </si>
  <si>
    <t>Por la cual se dictan normas sobre prevención y control de la contaminación atmosférica por fuentes fijas y protección de la calidad del aire.</t>
  </si>
  <si>
    <t>RESOLUCIÓN  1409</t>
  </si>
  <si>
    <t>Por la cual se establece el Reglamento de Seguridad para protección contra caídas en trabajo en alturas.</t>
  </si>
  <si>
    <t>RESOLUCIÓN  1115</t>
  </si>
  <si>
    <t>RESOLUCIÓN  9 0708</t>
  </si>
  <si>
    <t xml:space="preserve">Ministerio de Minas y Energía </t>
  </si>
  <si>
    <t xml:space="preserve">REGLAMENTO TÉCNICO DE INSTALACIONES ELÉCTRICAS (RETIE)
</t>
  </si>
  <si>
    <t>RESOLUCIÓN CONJUNTA  456</t>
  </si>
  <si>
    <t>Secretaria Distrital de Ambiente
Secretaria Distrital de Planeación</t>
  </si>
  <si>
    <t>Por medio de la cual se establecen los lineamientos y procedimientos para la compensación por endurecimiento de zonas verdes por desarrollo de obras de Infraestructura</t>
  </si>
  <si>
    <t>RESOLUCIÓN  113583</t>
  </si>
  <si>
    <t>Instituto de Desarrollo Urbano - IDU</t>
  </si>
  <si>
    <t>Por medio de la cual se deroga la Resolución 899 de 2011 “Por la cual se modifica el Régimen de Licencias de Excavación y se derogan las Resoluciones No. 591 de 2002 y No. 14381 de 2003.</t>
  </si>
  <si>
    <t>RESOLUCIÓN  753</t>
  </si>
  <si>
    <t>Por la cual se dispone el procedimiento para el pago compensatorio de cesiones públicas para parques y equipamientos.</t>
  </si>
  <si>
    <t xml:space="preserve">El Director general del Instituto Distrital de Recreación y Deporte </t>
  </si>
  <si>
    <t>RESOLUCIÓN  448</t>
  </si>
  <si>
    <t>RESOLUCIÓN  1226</t>
  </si>
  <si>
    <t>Por medio de la cual se adopta el Manual de Interventoría de Contratos de Obra Pública y Contratos de Consultoría del Instituto Distrital para la Recreación y el Deporte.</t>
  </si>
  <si>
    <t>RESOLUCION 0330</t>
  </si>
  <si>
    <t>Por la cual se adopta el Reglamento Técnico para el Sector de Agua Potable y Saneamiento Básico – RAS y se derogan las resoluciones 1096 de 2000, 0424 de 2001, 0668 de 2003, 1459 de 2005, 1447 de 2005 y 2320 de 2009.</t>
  </si>
  <si>
    <t>RESOLUCION 650</t>
  </si>
  <si>
    <t>Por la cual se adiciona un artículo transitorio a la Resolución 0330 de 2017</t>
  </si>
  <si>
    <t>RESOLUCION 312</t>
  </si>
  <si>
    <t>Ministerio del Trabajo</t>
  </si>
  <si>
    <t>Por la cual se definen los Estándares Mínimos del Sistema de Gestión de la Seguridad y Salud en el SG-SST</t>
  </si>
  <si>
    <t>DIRECTIVA  5</t>
  </si>
  <si>
    <t>Directrices para prevenir conductas irregulares relacionadas con incumplimiento de los manuales de funciones y de procedimientos y la pérdida de elementos y documentos públicos.</t>
  </si>
  <si>
    <t>DIRECTIVA 012</t>
  </si>
  <si>
    <t xml:space="preserve"> 
Expide lineamientos para el seguimiento a la contratación de los Fondos de Desarrollo Local, señalando las responsabilidades de los Alcaldes Locales en su condición de representante legal del FDL, a mantener actualizada la publicación del Plan Anual de Adquisiciones. Señala la obligación de remitir a la Secretaría Distrital de Gobierno los estudios previos y demás documentos de la etapa precontractual, a efectos que ésta realice la revisión y análisis, así como la asesoría y asistencia técnica correspondiente. </t>
  </si>
  <si>
    <t>GUÍA DE MANEJO AMBIENTAL PARA EL SECTOR DE LA CONSTRUCCIÓN</t>
  </si>
  <si>
    <t>Secretaría Distrital de Ambiente</t>
  </si>
  <si>
    <t>MANUAL DE SILVICULTURA URBANA PARA BOGOTÁ</t>
  </si>
  <si>
    <t>Jardín Botánico de Bogotá José Celestino Mutis</t>
  </si>
  <si>
    <t>Norma Técnica  Colombiana NTC-ISO 1500-2017</t>
  </si>
  <si>
    <t>CÓDIGO COLOMBIANO DE FONTANERÍA</t>
  </si>
  <si>
    <t>Norma Técnica  Colombiana NTC-ISO 9001 -2015. SISTEMA DE GESTIÓN DE LA CALIDAD. REQUISITOS</t>
  </si>
  <si>
    <t>SISTEMA DE GESTIÓN DE LA CALIDAD. REQUISITOS</t>
  </si>
  <si>
    <t>NORMAS COLOMBIANAS DE DISEÑO Y CONSTRUCCIÓN SISMO RESISTENTE NSR-10</t>
  </si>
  <si>
    <t>Asociación Colombiana de Ingeniería Sísmica</t>
  </si>
  <si>
    <t>Norma Técnica  Colombiana NTC-ISO 900 -2011 REGLAS GENERALES Y ESPECIFICACIONES
PARA EL ALUMBRADO PÚBLICO</t>
  </si>
  <si>
    <t xml:space="preserve"> REGLAS GENERALES Y ESPECIFICACIONES
PARA EL ALUMBRADO PÚBLICO</t>
  </si>
  <si>
    <t>GUÍA TÉCNICA COLOMBIANA GTC 45</t>
  </si>
  <si>
    <t xml:space="preserve">GUÍA PARA LA IDENTIFICACIÓN DE LOS
PELIGROS Y LA VALORACIÓN DE LOS RIESGOS
EN SEGURIDAD Y SALUD OCUPACIONAL </t>
  </si>
  <si>
    <t>Norma Técnica  Colombiana NTC-5600-1  EQUIPAMIENTO DE LAS ÁREAS DE JUEGO. PARTE 1</t>
  </si>
  <si>
    <t>EQUIPAMIENTO DE LAS ÁREAS DE JUEGO. PARTE 1: REQUISITOS GENERALES DE SEGURIDAD Y MÉTODOS DE ENSAYO</t>
  </si>
  <si>
    <t>Norma TécnicaColombiana  NTC -5600 - 7 EQUIPAMENTO DE LAS ÁREAS DE JUEGO. PARTE 7</t>
  </si>
  <si>
    <t xml:space="preserve">EQUIPAMIENTO DE LAS ÁREAS DE JUEGO. PARTE 7: INSTALACIÓN, INSPECCIÓN, MANTENIMIENTO Y UTILIZACIÓN </t>
  </si>
  <si>
    <t xml:space="preserve">Norma Técnica  Colombiana NTC -5600-2 de 2006. EQUIPAMIENTO DE LAS ÁREAS DE JUEGO.
PARTE 2: REQUISITOS DE SEGURIDAD ESPECÍFICOS ADICIONALES, MÉTODOS DE ENSAYO PARA COLUMPIOS </t>
  </si>
  <si>
    <t xml:space="preserve">EQUIPAMIENTO DE LAS ÁREAS DE JUEGO.
PARTE 2: REQUISITOS DE SEGURIDAD ESPECÍFICOS ADICIONALES, MÉTODOS DE ENSAYO PARA COLUMPIOS </t>
  </si>
  <si>
    <t>NORMA TÉCNICA COLOMBIANA NTC 2050 CÓDIGO ELÉCTRICO COLOMBIANO</t>
  </si>
  <si>
    <t>Norma  Técnica Colombiana  NTC 2050 - CÓDIGO ELÉCTRICO COLOMBIANO</t>
  </si>
  <si>
    <t>CÓDIGO ELÉCTRICO COLOMBIANO</t>
  </si>
  <si>
    <t>CARTILLA DE LINEAMIENTOS PARA EL DISEÑO DE PARQUES</t>
  </si>
  <si>
    <t>CARTILLA DE LINEAMIENTOS PARA EL DISEÑO DE PARQUES Y ESCENARIOS</t>
  </si>
  <si>
    <t>MANUAL DE ESPECIFICACIONES TÉCNICAS IDRD</t>
  </si>
  <si>
    <t>MANUAL ÚNICO DE ALUMBRADO PÚBLICO (MUAP)</t>
  </si>
  <si>
    <t xml:space="preserve">MANUAL ÚNICO DE ALUMBRADO PÚBLICO (MUAP) PARA BOGOTÁ D.C. </t>
  </si>
  <si>
    <t>NORMAS TÉCNICAS EMPRESA DE ACUEDUCTO Y ALCANTARILLADO DE BOGOTÁ ESP</t>
  </si>
  <si>
    <t>EAAB</t>
  </si>
  <si>
    <t>LEY  9</t>
  </si>
  <si>
    <t>LEY  16</t>
  </si>
  <si>
    <t>LEY  715</t>
  </si>
  <si>
    <t>LEY  850</t>
  </si>
  <si>
    <t>LEY  916</t>
  </si>
  <si>
    <t>LEY  1209</t>
  </si>
  <si>
    <t>LEY  1225</t>
  </si>
  <si>
    <t>LEY  1341</t>
  </si>
  <si>
    <t>LEY  1493</t>
  </si>
  <si>
    <t>DECRETO LEY  1421</t>
  </si>
  <si>
    <t>DECRETO  640</t>
  </si>
  <si>
    <t>DECRETO  897</t>
  </si>
  <si>
    <t>DECRETO  154</t>
  </si>
  <si>
    <t>DECRETO  263</t>
  </si>
  <si>
    <t>DECRETO  473</t>
  </si>
  <si>
    <t>Por el cual se ajusta el control de la boletería para espectáculos públicos.</t>
  </si>
  <si>
    <t>DECRETO  435</t>
  </si>
  <si>
    <t>DECRETO  496</t>
  </si>
  <si>
    <t xml:space="preserve">por el cual se le asigna una atribución al Director del Departamento Administrativo de la Defensoría del Espacio Público
</t>
  </si>
  <si>
    <t>DECRETO  145</t>
  </si>
  <si>
    <t>DECRETO  195</t>
  </si>
  <si>
    <t>DECRETO  317</t>
  </si>
  <si>
    <t>DECRETO  449</t>
  </si>
  <si>
    <t>DECRETO  484</t>
  </si>
  <si>
    <t>DECRETO  494</t>
  </si>
  <si>
    <t>Por el cual se institucionaliza la realización de las Ferias Distritales de Servicio al Ciudadano y se dictan otras disposiciones.</t>
  </si>
  <si>
    <t>DECRETO  676</t>
  </si>
  <si>
    <t>Por el cual se reglamenta el Acuerdo 339 de 2008, se establecen las normas urbanísticas, arquitectónicas y técnicas para la ubicación e instalación de Estaciones de Telecomunicaciones Inalámbricas utilizadas en la prestación del servicio público de telecomunicaciones en Bogotá D.C., y se dictan otras disposiciones</t>
  </si>
  <si>
    <t>DECRETO  1258</t>
  </si>
  <si>
    <t>DECRETO  358</t>
  </si>
  <si>
    <t>DECRETO  397</t>
  </si>
  <si>
    <t>Por medio del cual se establecen para las entidades y organismos distritales procedimientos de incorporación de datos en el Sistema de Información de Personas Jurídicas - SIPEJ</t>
  </si>
  <si>
    <t>DECRETO  544</t>
  </si>
  <si>
    <t>Por medio del cual se dictan disposiciones para la ejecución de obras con cargo al presupuesto de los Fondos de Desarrollo Local.</t>
  </si>
  <si>
    <t>DECRETO  83</t>
  </si>
  <si>
    <t>Por medio del cual se modifica la aplicación de las disposiciones contenidas en el artículo 1° del DECRETO Distrital 263 de 2011, reduciendo en una (1) hora el horario para el expendio y consumo de licores y bebidas embriagantes, en los establecimientos comerciales, ubicados  en la  UPZ 9 Verbenal  y  UPZ 11 San Cristóbal Oriental de la Localidad de Usaquén.</t>
  </si>
  <si>
    <t>DECRETO  106</t>
  </si>
  <si>
    <t>DECRETO  174</t>
  </si>
  <si>
    <t>Por medio del cual se modifica el Plan Maestro de Equipamientos Educativos adoptado mediante el DECRETO Distrital 449 de 2006, y se dictan otras disposiciones.</t>
  </si>
  <si>
    <t>DECRETO  219</t>
  </si>
  <si>
    <t>DECRETO  599</t>
  </si>
  <si>
    <t>DECRETO  1240</t>
  </si>
  <si>
    <t>DECRETO  2981</t>
  </si>
  <si>
    <t>DECRETO  54</t>
  </si>
  <si>
    <t>Por medio del cual se modifica la aplicación de las disposiciones contenida en el artículo 1º del DECRETO Distrital 263 de 2011, ampliando en dos (2) horas el horario para el expendio y consumo de licores y bebidas embriagantes, en los establecimientos comerciales ubicados en las Localidades de Teusaquillo y Chapinero.</t>
  </si>
  <si>
    <t>DECRETO  75</t>
  </si>
  <si>
    <t>Por el cual se desarrolla el Permiso Unificado para las Filmaciones Audiovisuales - PUFA en el Distrito Capital, se adiciona el DECRETO Distrital 456 de 2013, se crea la Comisión fílmica de Bogotá, y se dictan otras disposiciones.</t>
  </si>
  <si>
    <t>DECRETO  229</t>
  </si>
  <si>
    <t>DECRETO  529</t>
  </si>
  <si>
    <t>DECRETO  554</t>
  </si>
  <si>
    <t>Por el cual se modifica el Comité Distrital del Espacio Público de Bogotá D.C, y se dictan otras disposiciones.</t>
  </si>
  <si>
    <t>DECRETO  530</t>
  </si>
  <si>
    <t>Por el cual se dictan normas sobre registro, trámites y actuaciones relacionados con la personería jurídica y se asignan funciones en cumplimiento del ejercicio de inspección, vigilancia y control sobre entidades sin ánimo de lucro domiciliadas en Bogotá D.C., y se dictan otras disposiciones.</t>
  </si>
  <si>
    <t>DECRETO  541</t>
  </si>
  <si>
    <t>DECRETO  589</t>
  </si>
  <si>
    <t>DECRETO  596</t>
  </si>
  <si>
    <t>Por medio del cual se adopta el Sistema Distrital de Participación en Deporte, Recreación, Actividad Física, Educación Física y Equipamientos Recreativos y Deportivo.</t>
  </si>
  <si>
    <t>DECRETO  597</t>
  </si>
  <si>
    <t xml:space="preserve">DECRETO 1077 </t>
  </si>
  <si>
    <t>DECRETO 1080</t>
  </si>
  <si>
    <t>DECRETO 622</t>
  </si>
  <si>
    <t>DECRETO 472</t>
  </si>
  <si>
    <t>DECRETO 552</t>
  </si>
  <si>
    <t>DECRETO 052</t>
  </si>
  <si>
    <t>Decreto 149</t>
  </si>
  <si>
    <t>Decreto 375</t>
  </si>
  <si>
    <t>ACUERDO  78</t>
  </si>
  <si>
    <t>ACUERDO  257</t>
  </si>
  <si>
    <t>ACUERDO  339</t>
  </si>
  <si>
    <t>ACUERDO  352</t>
  </si>
  <si>
    <t>ACUERDO  450</t>
  </si>
  <si>
    <t>ACUERDO  452</t>
  </si>
  <si>
    <t>ACUERDO  455</t>
  </si>
  <si>
    <t>ACUERDO  459</t>
  </si>
  <si>
    <t>ACUERDO  469</t>
  </si>
  <si>
    <t>ACUERDO  481</t>
  </si>
  <si>
    <t>ACUERDO  482</t>
  </si>
  <si>
    <t>ACUERDO  489</t>
  </si>
  <si>
    <t>ACUERDO  496</t>
  </si>
  <si>
    <t>ACUERDO  554</t>
  </si>
  <si>
    <t>ACUERDO  567</t>
  </si>
  <si>
    <t>ACUERDO  580</t>
  </si>
  <si>
    <t>ACUERDO  594</t>
  </si>
  <si>
    <t>ACUERDO  616</t>
  </si>
  <si>
    <t>ACUERDO  628</t>
  </si>
  <si>
    <t>ACUERDO  707</t>
  </si>
  <si>
    <t>RESOLUCIÓN  982</t>
  </si>
  <si>
    <t>RESOLUCIÓN IDRD  2</t>
  </si>
  <si>
    <t>Estructura organizacional del IDRD. Articulo 4 y 9 modificado por Resolución 01/2006.</t>
  </si>
  <si>
    <t>RESOLUCIÓN  119</t>
  </si>
  <si>
    <t>RESOLUCION  627</t>
  </si>
  <si>
    <t>RESOLUCIÓN IDRD  277</t>
  </si>
  <si>
    <t>RESOLUCIÓN IDRD  583</t>
  </si>
  <si>
    <t>RESOLUCIÓN  4150</t>
  </si>
  <si>
    <t>RESOLUCIÓN IDRD  338</t>
  </si>
  <si>
    <t>RESOLUCIÓN  958</t>
  </si>
  <si>
    <t>RESOLUCIÓN  829</t>
  </si>
  <si>
    <t>RESOLUCIÓN  60</t>
  </si>
  <si>
    <t>RESOLUCIÓN  596</t>
  </si>
  <si>
    <t>RESOLUCIÓN IDRD  316</t>
  </si>
  <si>
    <t>RESOLUCIÓN  282</t>
  </si>
  <si>
    <t>RESOLUCIÓN  569</t>
  </si>
  <si>
    <t>RESOLUCIÓN  613</t>
  </si>
  <si>
    <t>RESOLUCION  190</t>
  </si>
  <si>
    <t>RESOLUCIÓN  388</t>
  </si>
  <si>
    <t>RESOLUCIÓN  400</t>
  </si>
  <si>
    <t>RESOLUCIÓN  788</t>
  </si>
  <si>
    <t>RESOLUCIÓN 333</t>
  </si>
  <si>
    <t>CIRCULAR  16</t>
  </si>
  <si>
    <t>Implementación de procedimientos y actuaciones administrativas en cumplimiento de lo dispuesto en el DECRETO Ley 0019/2012</t>
  </si>
  <si>
    <t>DIRECTIVA  1</t>
  </si>
  <si>
    <t>Democratización de las oportunidades económicas en el distrito capital y promoción de estrategias para la participación real y efectiva de las personas naturales vulnerables, marginadas y/o excluidas de la dinámica productiva de la ciudad.</t>
  </si>
  <si>
    <t>DIRECTIVA  18</t>
  </si>
  <si>
    <t>DIRECTIVA  2</t>
  </si>
  <si>
    <t xml:space="preserve">NTC ISO 9000: 2005  </t>
  </si>
  <si>
    <t>Fundamentos del Sistema de gestión de la calidad- vocabulario.</t>
  </si>
  <si>
    <t xml:space="preserve">NTC GP 1000: 2009 Norma Técnica de la Calidad en la Gestión Pública  </t>
  </si>
  <si>
    <t>Norma Técnica de Calidad en la Gestión Pública NTCGP 1000:2009, Sistema de gestión de la calidad para la rama ejecutiva del poder público y otras entidades prestadoras de servicios.</t>
  </si>
  <si>
    <t xml:space="preserve">NTC ISO 9001: 2008  </t>
  </si>
  <si>
    <t>Norma Internacional ISO 9001:2008, Sistemas de Gestión de la Calidad.</t>
  </si>
  <si>
    <t>DECRETO  539</t>
  </si>
  <si>
    <t>Por el cual se expide el reglamento técnico sobre los requisitos sanitarios que deben cumplir los importadores y exportadores de alimentos para el consumo humano, materias primas e insumos para alimentos destinados al consumo humano y se establece el procedimiento para habilitar fábricas de alimentos ubicadas en el exterior.</t>
  </si>
  <si>
    <t>Art. 7, 13, 52</t>
  </si>
  <si>
    <t>El Estado reconoce y protege la diversidad étnica y cultural de la nación colombiana.
El ejercicio del deporte, sus manifestaciones recreativas, competitivas y autóctonas tienen como función la formación integral de las personas, preservar y desarrollar una mejor salud en el ser humano.</t>
  </si>
  <si>
    <t>Subdirección Técnica de Recreación y Deportes</t>
  </si>
  <si>
    <t>LEY 73</t>
  </si>
  <si>
    <t>Por la cual se reglamenta la profesión de Nutrición y Dietética.</t>
  </si>
  <si>
    <t>Por la cual se dictan normas en materia de ética médica.</t>
  </si>
  <si>
    <t>Por la cual se crea el Sistema de Seguridad Social Integral y se dictan otras disposiciones.</t>
  </si>
  <si>
    <t>LEY 115</t>
  </si>
  <si>
    <t>Por la cual se expide la ley general de educación.</t>
  </si>
  <si>
    <t>LEY 181</t>
  </si>
  <si>
    <t>LEY 266</t>
  </si>
  <si>
    <t>Por la cual se reglamenta la profesión de enfermería en Colombia y se dictan otras disposiciones.</t>
  </si>
  <si>
    <t>LEY 528</t>
  </si>
  <si>
    <t>Por la cual se reglamenta el ejercicio de la profesión de fisioterapia, se dictan normas en materia de ética profesional y otras disposiciones.</t>
  </si>
  <si>
    <t xml:space="preserve">LEY 582 </t>
  </si>
  <si>
    <t>por medio de la cual se define el deporte asociado de personas con limitaciones físicas, mentales o sensoriales, se reforma la Ley 181 de 1995 y el Decreto 1228 de 1995, y se dictan otras disposiciones.</t>
  </si>
  <si>
    <t>H</t>
  </si>
  <si>
    <t>LEY 1946</t>
  </si>
  <si>
    <t>Por la cual se modifica la ley 582 de 2000, y se dictan otras disposiciones.</t>
  </si>
  <si>
    <t>NA</t>
  </si>
  <si>
    <t>LEY 841</t>
  </si>
  <si>
    <t>Congreso de la República - Por la cual se reglamenta el ejercicio de la profesión de bacteriología, se dicta el Código de Bioética y otras disposiciones.</t>
  </si>
  <si>
    <t>LEY 934</t>
  </si>
  <si>
    <t>Por la cual se oficializa la Política de Desarrollo Nacional de educación física.</t>
  </si>
  <si>
    <t>LEY 1090</t>
  </si>
  <si>
    <t>Por la cual se reglamenta el ejercicio de la profesión de Psicología, se dicta el Código Deontológico y Bioético y otras disposiciones.</t>
  </si>
  <si>
    <t xml:space="preserve">Por la cual se expide el código de la infancia y la adolescencia. </t>
  </si>
  <si>
    <t xml:space="preserve">Art. 41 </t>
  </si>
  <si>
    <t xml:space="preserve">OBLIGACIONES DEL ESTADO (...) 24. Fomentar el deporte, la recreación y las actividades de supervivencia, y facilitar los materiales y útiles necesarios para su práctica regular y continuada.“El estado es el contexto institucional en el desarrollo integral de los niños, las niñas y los adolescentes”. En cumplimiento de la precitada Ley y sus funciones en los niveles nacional, departamental, distrital y municipal deberá en su numeral 24 dispone: “Fomentar el deporte, la recreación y las actividades de supervivencia y facilitar los materiales y útiles necesarios para su práctica regular y continuada”. </t>
  </si>
  <si>
    <t>LEY 1209</t>
  </si>
  <si>
    <t>LEY 1355</t>
  </si>
  <si>
    <t>Por medio de la cual se define la obesidad y las enfermedades crónicas no transmisibles asociadas a esta como una prioridad de salud pública y se adoptan medidas para su control, atención y prevención.</t>
  </si>
  <si>
    <t>LEY 1493</t>
  </si>
  <si>
    <t>LEY 1679</t>
  </si>
  <si>
    <t>Por la cual se modifica transitoriamente el periodo de realización de los juegos deportivos nacionales, juegos paralímpicos nacionales y cambia la denominación del evento deportivo juegos paralímpicos nacionales por juegos paranacionales.</t>
  </si>
  <si>
    <t>DECRETO  1191</t>
  </si>
  <si>
    <t>Ministerio de Educación Nacional</t>
  </si>
  <si>
    <t>Por le cual se reglamentó la realización de festivales y Campeonatos Intercolegiados en el país y se determina los objetivos del Programa Intercolegiados.</t>
  </si>
  <si>
    <t>DECRETO 225</t>
  </si>
  <si>
    <t>Por el cual se dictan disposiciones sobre la participación de niños en eventos deportivos y recreativos.</t>
  </si>
  <si>
    <t>Por el cual se reglamenta parcialmente la Ley 115 de 1994, en los aspectos pedagógicos y organizativos generales.</t>
  </si>
  <si>
    <t>DECRETO 1228</t>
  </si>
  <si>
    <t>Por el cual se revisa la legislación deportiva vigente y la estructura de los organismos del sector asociado con objeto de adecuarlas al contenido de la Ley 181 de 1995.</t>
  </si>
  <si>
    <t>DECRETO 1231</t>
  </si>
  <si>
    <t>Por el cual se establece el otorgamiento de estímulos académicos, económicos y de seguridad social para deportistas nacionales destacados en el ámbito nacional o internacional.</t>
  </si>
  <si>
    <t xml:space="preserve">DECRETO 641 </t>
  </si>
  <si>
    <t>"Por el cual se reglamenta la Ley 582 de 2000 sobre deporte asociado de personas con limitaciones físicas, mentales o sensoriales</t>
  </si>
  <si>
    <t>DECRETO 463</t>
  </si>
  <si>
    <t>Por el cual se reglamentan la administración, el mantenimiento y el aprovechamiento económico del espacio público construido y sus usos temporales en Bogotá, Distrito Capital.</t>
  </si>
  <si>
    <t>DECRETO 933</t>
  </si>
  <si>
    <t>Por medio del cual se reglamenta el Contrato de Aprendizaje y se dictan otras disposiciones.</t>
  </si>
  <si>
    <t>DECRETO 482</t>
  </si>
  <si>
    <t>Por la cual se adopta la Política Pública de Juventud para Bogotá D. C. 2006-2016</t>
  </si>
  <si>
    <t>DECRETO 633</t>
  </si>
  <si>
    <t>Por el cual se dictan disposiciones en materia de prevención de riesgos en los lugares donde se presenten aglomeraciones de público y se deroga el DECRETO 043 de 2006 el cual regulaba antes la materia.</t>
  </si>
  <si>
    <t>DECRETO 330</t>
  </si>
  <si>
    <t>Por el cual se determinan los objetivos, la estructura, y las funciones de la Secretaría de Educación del Distrito, y se dictan otras disposiciones</t>
  </si>
  <si>
    <t>DECRETO 2771</t>
  </si>
  <si>
    <t>Nación</t>
  </si>
  <si>
    <t>Por el cual se crea la Comisión Nacional Intersectorial para la coordinación y orientación superior del fomento, desarrollo y medición de la Actividad Física.</t>
  </si>
  <si>
    <t>DECRETO 599</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</si>
  <si>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 SUGA y se dictan otras disposiciones.</t>
  </si>
  <si>
    <t>DECRETO 55</t>
  </si>
  <si>
    <t>Por el cual se reglamenta la afiliación de estudiantes al Sistema General de Riesgos Laborales y se dictan otras disposiciones.</t>
  </si>
  <si>
    <t>Por el cual se modifica el DECRETO Distrital 599 de 2013; "Por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</si>
  <si>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DECRETO 642</t>
  </si>
  <si>
    <t xml:space="preserve">Por medio el cual se adiciona el Decreto Único Reglamentario del Sector Administrativo del Deporte, Decreto 1085 de 2015, en lo que hace referencia al Día Internacional del Deporte para el Desarrollo y la Paz y el Día Mundial de la Actividad Física"; parte 13 - Día internacional del deporte para el desarrollo y la paz y el día mundial de la actividad física. </t>
  </si>
  <si>
    <t>DECRETO 567</t>
  </si>
  <si>
    <t>Por el cual se reglamentan unos programas y estrategias educativas del Distrito Capital y se deroga el Decreto Distrital 546 de 2015</t>
  </si>
  <si>
    <t>Decreto 229</t>
  </si>
  <si>
    <t>Secretaría de Cultura, Recreación y Deporte</t>
  </si>
  <si>
    <t>Por medio de la cual se adopta la Politica Publica del deporte, Recreación, Actividad Fisica, Parques  y Escenarios para
Bogota.</t>
  </si>
  <si>
    <t>Decreto 597</t>
  </si>
  <si>
    <t>Por medio del cual se crea el Consejo Consultivo de Deporte, Recreación, Actividad Física Parques y Escenarios y se crea la Comisión Intersectorial de Política Pública del Deporte, Recreación, Actividad Física, Parques y Escenarios</t>
  </si>
  <si>
    <t xml:space="preserve">Decreato 557 </t>
  </si>
  <si>
    <t>Por medio del cual se crea el Sistema Distrital de Participación en Deporte, Recreación, Actividad Física, Parques, Escenarios y Equipamientos Recreativos y Deportivos para Bogotá D.C. - DRAFE</t>
  </si>
  <si>
    <t>Decreto 483</t>
  </si>
  <si>
    <t>Por el cual se modifica el Decreto Distrital 229 de 2015, 'Por medio del cual se adopta la PolItica PUblica de Deporte, Recreación, Actividad FIsica, Parques y Escenarios para
Bogota', y se dictan otras disposiciones.</t>
  </si>
  <si>
    <t>Por el cual se crea el Instituto Distrital para la Recreación y el Deporte.</t>
  </si>
  <si>
    <t>ACUERDO 107</t>
  </si>
  <si>
    <t>Por medio del cual se crea el Sistema Distrital de Deportes.</t>
  </si>
  <si>
    <t>ACUERDO 175</t>
  </si>
  <si>
    <t>Por medio del cual se establecen los lineamientos de la Política Pública para la Población Afrodescendiente residente en Bogotá y se dictan otras disposiciones"</t>
  </si>
  <si>
    <t>ACUERDO 498</t>
  </si>
  <si>
    <t>Por medio del cual se establecen estrategias integrales de promoción de alimentación saludable y de actividad física, que mejoren la calidad de vida y salud de la población expuesta a/o con problemas de sobrepeso y obesidad del distrito capital" el concejo de Bogotá, D.C.</t>
  </si>
  <si>
    <t>RESOLUCIÓN 58</t>
  </si>
  <si>
    <t>Coldeportes</t>
  </si>
  <si>
    <t>Por medio del cual se crea El Proyecto "Escuelas de Formación Deportiva" y se designa la sede para la dirección de las mismas. COLDEPORTES</t>
  </si>
  <si>
    <t>RESOLUCIÓN 1909</t>
  </si>
  <si>
    <t>Por la cual se reglamenta el proyecto de Escuelas de Formación Deportiva. COLDEPORTES</t>
  </si>
  <si>
    <t>RESOLUCIÓN 1758</t>
  </si>
  <si>
    <t>Secretaria de Educación de Bogotá</t>
  </si>
  <si>
    <t>Por la cual se exonera del Servicio Social Obligatorio a los alumnos del Grado Once que representan a Santafé de Bogotá en certámenes Deportivos a nivel Nacional o Internacional</t>
  </si>
  <si>
    <t>RESOLUCION 4210</t>
  </si>
  <si>
    <t>Por la cual se establecen reglas generales para la organización y el funcionamiento del servicio social estudiantil obligatorio.</t>
  </si>
  <si>
    <t>RESOLUCIÓN 1164</t>
  </si>
  <si>
    <t xml:space="preserve">Ministerio del Medio Ambiente  </t>
  </si>
  <si>
    <t>Por la cual se adopta el Manual de Procedimientos para la Gestión Integral de los residuos hospitalarios y similares.</t>
  </si>
  <si>
    <t>RESOLUCIÓN 299</t>
  </si>
  <si>
    <t>Por la cual se establecen los requisitos, procedimientos y reglamentos para otorgar, supervisar, suspender y cancelar el Aval Deportivo a las Escuelas Deportivas en Bogotá D.C."</t>
  </si>
  <si>
    <t>RESOLUCIÓN 599</t>
  </si>
  <si>
    <t>Por la cual se promulga la carta fundamental para la organización de los Juegos Distritales, Recreativos y Deportivos Comunales de Bogotá D.C. y deroga la Resolución IDRD 088 de 2007.</t>
  </si>
  <si>
    <t>RESOLUCIÓN 406</t>
  </si>
  <si>
    <t>Por medio de la cual se actualiza la estructura y se reglamenta el Programa de Rendimiento Deportivo, en los deportes convocados a los Juegos Deportivos Nacionales, Juegos paranacionales y eventos de Ciclo Olímpico y Paralímpico" y se deroga la resolución 405 de 2011.</t>
  </si>
  <si>
    <t>RESOLUCIÓN 099</t>
  </si>
  <si>
    <t>RESOLUCIÓN 334</t>
  </si>
  <si>
    <t>Por medio de la cual se reglamentan las Prácticas Educativas y el Servicio Social Estudiantil Obligatorio en el Instituto Distrital de Recreación y Deporte IDRD.</t>
  </si>
  <si>
    <t xml:space="preserve">RESOLUCION 2003 </t>
  </si>
  <si>
    <t>Ministerio de Salud y Protección Social</t>
  </si>
  <si>
    <t xml:space="preserve">Por la cual se definen los procedimientos y condiciones de inscripción de los Prestadores de Servicios de Salud y de habilitación de servicios de salud </t>
  </si>
  <si>
    <t>RESOLUCION 190</t>
  </si>
  <si>
    <t>RESOLUCIÓN 817</t>
  </si>
  <si>
    <t>Por la cual se promulga la conformación de la delegación que participará por Bogotá D.C. en la Final Nacional de los Juegos Supérate Intercolegiados 2015 Categorías A Y B.</t>
  </si>
  <si>
    <t>RESOLUCIÓN 819</t>
  </si>
  <si>
    <t>Por la cual se promulga la conformación de la delegación que participará por Bogotá D.C. en los XX Juegos Deportivos Nacionales "CARLOS LLERAS RESTREPO" 201</t>
  </si>
  <si>
    <t>RESOLUCION 2068</t>
  </si>
  <si>
    <t>Por la cual se dispone la implementación de la jornada única y completa en algunos colegios oficiales del Distrito Capital y se modifica la resolución No. 1905 del 20 de octubre de 2015</t>
  </si>
  <si>
    <t>RESOLUCIÓN 358</t>
  </si>
  <si>
    <t>Por medio de la cual se reconoce un estímulo económico a los ganadores del Programa Distrital de Estímulos 2016, del Instituto Distrital de Recreación y Deporte.</t>
  </si>
  <si>
    <t>RESOLUCIÓN 1839</t>
  </si>
  <si>
    <t>Por la cual se autoriza a unas Instituciones Educativas Distritales (IED) para prestar el servicio público educativo en Jornada Única.</t>
  </si>
  <si>
    <t>RESOLUCIÓN 2062</t>
  </si>
  <si>
    <t xml:space="preserve">RESOLUCIÓN 705 </t>
  </si>
  <si>
    <t>Instituto Distrital de Recreación y Deorte - IDRD</t>
  </si>
  <si>
    <t xml:space="preserve">Por la cual se promueve, organiza y ejecutan los Torneos  Deportivos  Interbarrios de Bogotá D.C.. Y se adopta su carta fundamental, instructivos y reglamentos </t>
  </si>
  <si>
    <t xml:space="preserve">RESOLUCION 839 </t>
  </si>
  <si>
    <t>Ministerio de slaud y protección social</t>
  </si>
  <si>
    <t>Establecer el manejo, custodia, tiempo de retención, conservación y disposición final de los expedientes de las historias clínicas, así como reglamentar el procedimiento que deben adelantar las entidades del SGSSS-, para el manejo de estas en caso de liquidación.</t>
  </si>
  <si>
    <t>RESOLUCIÓN 2000</t>
  </si>
  <si>
    <t>Secretaría de Educación del Distrito</t>
  </si>
  <si>
    <t>RESOLUCIÓN  389</t>
  </si>
  <si>
    <t>COLDEPORTES</t>
  </si>
  <si>
    <t xml:space="preserve">Por la cual se expide la Norma Reglamentaria del Programa Supérate Intercolegiados </t>
  </si>
  <si>
    <t>Transitoria</t>
  </si>
  <si>
    <t>RESOLUCIÓN 2054</t>
  </si>
  <si>
    <t>Por medio del cual se establece el Calendario Académico para el año 2019 en los establecimientos educativos oficiales de educación preescolar, básica y ,media y jardenes infantiles en convenio SDIS - SED  de Bogotá DC.</t>
  </si>
  <si>
    <t>CIRCULAR 32</t>
  </si>
  <si>
    <t>Secretaría Distrital de Salud</t>
  </si>
  <si>
    <t>Aglomeraciones de Público.</t>
  </si>
  <si>
    <t>Orientaciones Pedagógicas Educación Física Recreación y Deporte</t>
  </si>
  <si>
    <t>Nacional 2010</t>
  </si>
  <si>
    <t>Documento guía del Ministerio de Educación Nacional 2010</t>
  </si>
  <si>
    <t>Plan Decenal del Deporte 2009 - 2019</t>
  </si>
  <si>
    <t>Plan Decenal del Deporte, la recreación, la educación Física y la Actividad Física para el Desarrollo Humano, la convivencia y la Paz 2009-2019</t>
  </si>
  <si>
    <t>Politica Publica Nacional</t>
  </si>
  <si>
    <t>Politica Publica Nacional para el Desarrollo del Deporte, la Recreacion, la Actividad Fisica y aprovechamiento del tiempo libre, hacia un territorio de paz 2018-2028</t>
  </si>
  <si>
    <t>PLAN DECENAL DE SALUD PÚBLICA 2012 - 2021</t>
  </si>
  <si>
    <t>El Plan Decenal de Salud Pública PDSP, 2012 -2021, es producto del Plan Nacional de Desarrollo 2010 - 2014, y busca la reducción dela inequidad en salud, planteando los siguientes objetivos: 1) avanzar hacia la garantía del goce efectivo del derecho a la salud; 2) mejorar las condiciones de vida que modifican la situación de salud y disminuyen la carga de enfermedad existente; 3) mantener cero tolerancia frente a la mortalidad, la morbilidad y la discapacidad evitable.</t>
  </si>
  <si>
    <t xml:space="preserve">Constitución Política de Colombia </t>
  </si>
  <si>
    <t>Artículo 44, 52 y 55</t>
  </si>
  <si>
    <t>Art. 44 - Son derechos fundamentales de los niños: la vida, la integridad física, la salud y la seguridad social, la alimentación equilibrada, su nombre y nacionalidad, tener una familia y no ser separados de ella, el cuidado y amor, la educación y la cultura, la recreación y la libre expresión de su opinión.
Art. 55  - El ejercicio del deporte, sus manifestaciones recreativas, competitivas y autóctonas tienen como función la formación integral de las personas, preservar y desarrollar una mejor salud en el ser humano</t>
  </si>
  <si>
    <t>LEY  57</t>
  </si>
  <si>
    <t>Código Civil.</t>
  </si>
  <si>
    <t>LEY 12</t>
  </si>
  <si>
    <t>Por medio de la cual se aprueba la Convención sobre los Derechos del Niño adoptada por la Asamblea General de las Naciones Unidas el 20 de noviembre de 1989.</t>
  </si>
  <si>
    <t>Por la cual se expide la Ley General de Educación.</t>
  </si>
  <si>
    <t>LEY 361</t>
  </si>
  <si>
    <t>LEY 582</t>
  </si>
  <si>
    <t>Por medio de la cual se define el deporte asociado de personas con limitaciones físicas, mentales o sensoriales, se reforma la Ley 181 de 1995 y el DECRETO 1228 de 1995, y se dictan otras disposiciones</t>
  </si>
  <si>
    <t>LEY 724</t>
  </si>
  <si>
    <t>Por la cual se institucionaliza el Día de la Niñez y la Recreación y se dictan otras disposiciones.</t>
  </si>
  <si>
    <t>LEY 729</t>
  </si>
  <si>
    <t>Por medio de la cual se crean los Centros de Acondicionamiento y Preparación Física en Colombia.</t>
  </si>
  <si>
    <t>LEY 762</t>
  </si>
  <si>
    <t>Por medio de la cual se aprueba la "Convención Interamericana para la Eliminación de todas las Formas de Discriminación contra las Personas con Discapacidad", suscrita en la ciudad de Guatemala, Guatemala, el siete (7) de junio de mil novecientos noventa y nueve (1999)</t>
  </si>
  <si>
    <t>LEY 769</t>
  </si>
  <si>
    <t xml:space="preserve">"Por la cual se expide el Código Nacional de Tránsito Terrestre y se dictan otras disposiciones". </t>
  </si>
  <si>
    <t>Artículo 94 y 95</t>
  </si>
  <si>
    <t>Normas generales de bicicletas y triciclos. Por medio de los cuales se establece el uso del casco y luces delanteras y traseras.</t>
  </si>
  <si>
    <t>LEY 904</t>
  </si>
  <si>
    <t>Por medio de la cual se declara de interés social, cultural y deportivo el Festival de Verano de Bogotá.</t>
  </si>
  <si>
    <t>LEY 982</t>
  </si>
  <si>
    <t>Por la cual se establecen normas tendientes a la equiparación de oportunidades para las personas sordas y sordociegas y se dictan otras disposiciones.</t>
  </si>
  <si>
    <t>Artículo 30, 41</t>
  </si>
  <si>
    <t>Derecho a la recreación, participación en la vida cultural y en las artes</t>
  </si>
  <si>
    <t>LEY 1145</t>
  </si>
  <si>
    <t>Por medio de la cual se organiza el Sistema Nacional de Discapacidad y se dictan otras disposiciones.</t>
  </si>
  <si>
    <t>LEY 1287</t>
  </si>
  <si>
    <t>Por la cual se adiciona la Ley 361 de 1997</t>
  </si>
  <si>
    <t>LEY 1346</t>
  </si>
  <si>
    <t>Por medio de la cual se aprueba la "Convención Internacional sobre los Derechos de las personas con discapacidad", adoptada por la Asamblea de las naciones Unidas el 13 de diciembre de 2006.</t>
  </si>
  <si>
    <t>LEY 1383</t>
  </si>
  <si>
    <t>Se reforma la Ley 769 de 2002 Código Nacional de Tránsito.</t>
  </si>
  <si>
    <t>Por la cual se toman medidas para formalizar el sector del espectáculo público de las artes escénicas, se otorgan competencias de inspección, vigilancia y control sobre las sociedades de gestión colectiva y se dictan otras disposiciones</t>
  </si>
  <si>
    <t>Por la cual se adopta la política nacional de gestión del riesgo de desastres y se establece el Sistema Nacional de Gestión del Riesgo de Desastres y se dictan otras disposiciones.</t>
  </si>
  <si>
    <t>LEY 1618</t>
  </si>
  <si>
    <t>LEY 1801</t>
  </si>
  <si>
    <t>Por la cual se expide el Código Nacional de Policía y Convivencia.</t>
  </si>
  <si>
    <t>LEY ESTATUTARIA  1885</t>
  </si>
  <si>
    <t xml:space="preserve">Por la cual se modifica la Ley Estatutaria 1622 de 2013, por medio de la cual se expide el Estatuto de Ciudadanía Juvenil, y se dictan otras dispocisiones. </t>
  </si>
  <si>
    <t>PLAN NACIONAL DE RECREACIÓN</t>
  </si>
  <si>
    <t>Plan Nacional de Recreación 2013-2019</t>
  </si>
  <si>
    <t>Todo el documento</t>
  </si>
  <si>
    <t>PLAN DECENAL DEL DEPORTE 2009 - 2019</t>
  </si>
  <si>
    <t>Plan decenal del deporte, la educación física y la actividad física, para el desarrollo humano, la convivencia y la paz 2009 - 2019.</t>
  </si>
  <si>
    <t>POLÍTICA PÚBLICA DE DEPORTE, RECREACIÓN Y ACTIVIDAD FÍSICA PARA BOGOTÁ 2009 - 2019</t>
  </si>
  <si>
    <t>Comité Sectorial de Cultura,
Recreación y Deporte</t>
  </si>
  <si>
    <t>Política Pública de Deporte, Recreación y Actividad Física para Bogotá 2009-2019.</t>
  </si>
  <si>
    <t>CONPES 109</t>
  </si>
  <si>
    <t>Política Pública Nacional de Primera Infancia ''COLOMBIA POR LA PRIMERA INFANCIA''</t>
  </si>
  <si>
    <t>DECRETO 566</t>
  </si>
  <si>
    <t>Por medio del cual se adoptan algunas definiciones sobre Ciclovías.</t>
  </si>
  <si>
    <t>Por medio del cual se toman unas determinaciones sobre uso de vías para Bogotá Distrito Especial.</t>
  </si>
  <si>
    <t>DECRETO 639</t>
  </si>
  <si>
    <t>Por el cual se clasifica el uso del gimnasio de acondicionamiento físico y cardiovascular y se adicionan algunos artículos de los DECRETOs 735 y 736 de 1993</t>
  </si>
  <si>
    <t>Art. 5 y 6</t>
  </si>
  <si>
    <t>Eventos masivo y Espectáculos públicos</t>
  </si>
  <si>
    <t>DECRETO 1538</t>
  </si>
  <si>
    <t>Por medio del cual se reglamenta parcialmente la ley 361 de 1997.</t>
  </si>
  <si>
    <t>DECRETO 470</t>
  </si>
  <si>
    <t>Por el cual se adopta la Política Pública de Discapacidad para el Distrito Capital.</t>
  </si>
  <si>
    <t>DECRETO 151</t>
  </si>
  <si>
    <t>Por el cual se adoptan los lineamientos de Política Pública Distrital y el Plan Integral de Acciones Afirmativas, para el Reconocimiento de la Diversidad Cultural y la Garantía de los Derechos de los Afrodescendientes.</t>
  </si>
  <si>
    <t>Modificado parcialmente por el Decreto 403 de 2008.</t>
  </si>
  <si>
    <t>Por el cual se modifica el DECRETO Distrital 151 del 21 de mayo de 2008, en relación con la orientación y coordinación del Plan de Acciones Afirmativas para los Afrodescendientes residentes en Bogotá, D.C.</t>
  </si>
  <si>
    <t xml:space="preserve">DECRETO 2771 </t>
  </si>
  <si>
    <t>Por el cual se crea la Comisión Nacional Intersectorial para la coordinación y orientación superior del fomento, desarrollo y medición de impacto de la Actividad Física.</t>
  </si>
  <si>
    <t>DECRETO 166</t>
  </si>
  <si>
    <t>DECRETO 345</t>
  </si>
  <si>
    <t>Por medio del cual se adopta la Política Publica Social para el Envejecimiento y la Vejez en el Distrito Capital.</t>
  </si>
  <si>
    <t>DECRETO 520</t>
  </si>
  <si>
    <t>Por medio del cual se adopta la Política Pública de Infancia y Adolescencia de Bogotá, D. C.</t>
  </si>
  <si>
    <t>DECRETO 543</t>
  </si>
  <si>
    <t>Por el cual se adopta la Política Pública para los Pueblos Indígenas en Bogotá, D.C.</t>
  </si>
  <si>
    <t>Por el cual se adopta la Política Pública Distrital para el Reconocimiento de la Diversidad Cultural, la garantía, la protección y el restablecimiento de los Derechos de la Población Raizal en Bogotá y se dictan otras disposiciones.</t>
  </si>
  <si>
    <t xml:space="preserve">DECRETO 4633 </t>
  </si>
  <si>
    <t xml:space="preserve">Por el cual se establece medidas específicas de asistencia, atención, reparación integral y restitución de derechos territoriales para las comunidades y grupos indígenas. </t>
  </si>
  <si>
    <t>DECRETO 4634</t>
  </si>
  <si>
    <t>Por el cual se dictan medidas de asistencia, atención, reparación integral y restitución de tierras a las víctimas pertenecientes al pueblo Rrom o Gitano.</t>
  </si>
  <si>
    <t>DECRETO 4635</t>
  </si>
  <si>
    <t>Por el cual se dictan medidas de asistencia, atención, reparación integral y de restitución de tierras a las víctimas pertenecientes a comunidades negras, afrocolombianas, raizales y palenqueras</t>
  </si>
  <si>
    <t>DECRETO 4800</t>
  </si>
  <si>
    <t xml:space="preserve">Por el cual se reglamenta la Ley 1448 de 2011 y se dictan otras dispocisiones. </t>
  </si>
  <si>
    <t>DECRETO 1258</t>
  </si>
  <si>
    <t>Por el cual se reglamenta la Ley 1493 de 2011.</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</si>
  <si>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 SUGA y se dictan otras disposiciones.
Modificado parcialmente por el Decreto Distrital 622 de 2016</t>
  </si>
  <si>
    <t>DECRETO 3011</t>
  </si>
  <si>
    <t>Por el cual se reglamentan las leyes 975 de 2005, 1448 de 2011 y 1592 de 2012.</t>
  </si>
  <si>
    <t>DECRETO 1083</t>
  </si>
  <si>
    <t>Por medio del cual se expide el Decreto Único Reglamentario del Sector de Función Pública.</t>
  </si>
  <si>
    <t xml:space="preserve">Titulo 22 Capítulo 2 y 3
Título 23 </t>
  </si>
  <si>
    <t>Sobre el Sistema de Gestión, el Modelo Integrado de Planeación y Gestión y su Implementación y la articulación del Sistema de Gestión  con los Sistemas de Control Interno</t>
  </si>
  <si>
    <t>DECRETO 560</t>
  </si>
  <si>
    <t>Por medio del cual se adopta la Política Pública Distrital para el Fenómeno de Habitabilidad en Calle y se derogan los DECRETOs Distritales Nos 136 de 2005 y 170 de 2007.</t>
  </si>
  <si>
    <t>DECRETO 596</t>
  </si>
  <si>
    <t>Por medio del cual se adopta el Sistema Distrital de Participación en Deporte, Recreación, Actividad Física, Educación Física y Equipamientos Recreativos y Deportivo</t>
  </si>
  <si>
    <t>Por medio el cual se adiciona el Decreto Único Reglamentario del Sector Administrativo del Deporte, Decreto 1085 de 2015, en lo que hace referencia al Día Internacional del Deporte para el Desarrollo y la Paz y el Día Mundial de la Actividad Física"</t>
  </si>
  <si>
    <t>DECRETO 504</t>
  </si>
  <si>
    <t>Por medio del cual se adopta el Plan Integral de Acciones Afirmativas para el reconocimiento de la diversidad cultural y la garantía de los derechos de los Pueblos Indígenas residentes en Bogotá, D. C.</t>
  </si>
  <si>
    <t>DECRETO 505</t>
  </si>
  <si>
    <t>Por medio del cual se adopta el plan integral de Acciones Afirmativas para el reconocimiento de la diversidad cultural y la garantía de los derechos del Pueblo Étnico Rrom o Gitano residente en Bogotá, D.C.</t>
  </si>
  <si>
    <t>DECRETO 506</t>
  </si>
  <si>
    <t>Por medio del cual se adopta el Plan Integral de Acciones Afirmativas para el reconocimiento de la diversidad cultural y la garantía de los derechos de la Población Raizal residente en Bogotá, D.C.</t>
  </si>
  <si>
    <t>DECRETO  507</t>
  </si>
  <si>
    <t>Por medio del cual se adopta el Plan Integral de Acciones Afirmativas para el Reconocimiento de la Diversidad Cultural y la Garantía de los Derechos de la población Negra, Afrodescendiente y Palenquera residente en Bogotá D.C.</t>
  </si>
  <si>
    <t>DECRETO 480</t>
  </si>
  <si>
    <t>Por medio del cual se modifica, adiciona y reglamenta el Decreto Distrital 627 de 2007 "Por el cual se reforma el Sistema Distrital de Cultura y se establece el Sistema Distrital de Arte, Cultura y Patrimonio"  y se dictan otras disposiciones</t>
  </si>
  <si>
    <t>Capitulo III</t>
  </si>
  <si>
    <t>Participación en el Concejo Distrital de Arte, Cultura y Patrimonio</t>
  </si>
  <si>
    <t>Por el cual se modifica el Decreto Distrital 229 de 2015 "Por medio del cual se adopta la Politica Pública de Deporte, Recreación, Actividad Física, Parques y Escenarios para Bogotá", y se dictan otras disposiciones.</t>
  </si>
  <si>
    <t>ACUERDO LOCAL 2</t>
  </si>
  <si>
    <t>Alcaldía Local de Barrios Unidos / Junta Administradora Local</t>
  </si>
  <si>
    <t>Por el cual se conforman los Consejos Locales para las personas con discahttps://www.alcaldiabogota.gov.co/sisjur/listados/tematica2.jsp?subtema=22133&amp;cadena=lpacidad.</t>
  </si>
  <si>
    <t>ACUERDO 70</t>
  </si>
  <si>
    <t>Acuerdo 125 de 2002. Por el cual se declara de interés cultural el Festival de Verano de Bogotá, D.C.</t>
  </si>
  <si>
    <t>ACUERDO 79</t>
  </si>
  <si>
    <t>Artículo 80</t>
  </si>
  <si>
    <t>Permiso otorgado por la autoridad competente, contrato suscrito entre el particular y el IDRD</t>
  </si>
  <si>
    <t>ACUERDO 137</t>
  </si>
  <si>
    <t>Por medio del cual se establece el Sistema Distrital de Atención Integral de Personas en condición de discapacidad en el Distrito Capital y se modifica el Acuerdo 022 de 1999.</t>
  </si>
  <si>
    <t>Modificado por el Acuerdo 505 de 2012 del Concejo de Bogotá.</t>
  </si>
  <si>
    <t>Por medio del cual se establecen los lineamientos de la Política Pública para la Población Afrodescendiente residente en Bogotá y se dictan otras disposiciones</t>
  </si>
  <si>
    <t>ACUERDO 234</t>
  </si>
  <si>
    <t>Por medio del cual se establecen ferias locales y distritales, donde se den a conocer las manifestaciones y expresiones artísticas de la población de personas en condición de discapacidad</t>
  </si>
  <si>
    <t>ACUERDO 668</t>
  </si>
  <si>
    <t xml:space="preserve">
Por medio del cual se crea el programa “Parquea tu bici”, se institucionaliza la semana de la bicicleta, el día del peatón en el distrito capital y se dictan otras disposiciones.”
</t>
  </si>
  <si>
    <t>4 y 5</t>
  </si>
  <si>
    <t>ARTÍCULO CUARTO.  Institucionalizase la última semana del mes de septiembre de cada año como la Semana de la Bicicleta y el segundo domingo del mes de noviembre como el Día del Peatón. 
ARTÍCULO QUINTO. La Administración Distrital, a través de la Secretaría Distrital de Movilidad, la Secretaría Distrital de Cultura, Recreación y Deporte y el Instituto Distrital para la Recreación y el Deporte, o las entidades que hacen sus veces, promoverán y desarrollarán la Semana de la Bicicleta y el día del Peatón, mediante eventos recreativos, deportivos, culturales y educativos. 
PARÁGRAFO PRIMERO. La Administración Distrital desarrollará actividades con enfoques de ambiente, cultura ciudadana, transporte sostenible, salud, movilidad, educación, seguridad, recreación y deporte.</t>
  </si>
  <si>
    <t>ACUERDO 359</t>
  </si>
  <si>
    <t>Por el cual se establecen los lineamientos de política pública para los indígenas en Bogotá, D.C. y se dictan otras disposiciones.</t>
  </si>
  <si>
    <t>ACUERDO 371</t>
  </si>
  <si>
    <t>Por medio del cual se establecen lineamientos de política pública para la garantía plena de los derechos de las personas lesbianas, gays, bisexuales y transgeneristas-LGBT- y sobre identidades de género y orientaciones sexuales en el Distrito Capital y se dictan otras disposiciones</t>
  </si>
  <si>
    <t>ACUERDO 386</t>
  </si>
  <si>
    <t>"Por medio del cual se declara de interés social, recreativo y deportivo la ciclovía de Bogotá y se dictan otras disposiciones''.</t>
  </si>
  <si>
    <t>Artículos 4  y 5 :   Derogados por el art. 6 del  Acuerdo Distrital 668 de 2017.</t>
  </si>
  <si>
    <t>ACUERDO 424</t>
  </si>
  <si>
    <t>Por el cual se crea el Sistema Único de Gestión para el registro, evaluación y autorización de actividades de aglomeración de público en el Distrito Capital.</t>
  </si>
  <si>
    <t>ACUERDO 310</t>
  </si>
  <si>
    <t>Por medio del cual se  promueven las caminatas ecológicas en el Distrito Capital.</t>
  </si>
  <si>
    <t>ACUERDO 505</t>
  </si>
  <si>
    <t>Por medio del cual se modifica el Acuerdo 137 de 2004, "Por medio del cual se establece el Sistema Distrital de Atención Integral de Personas en condición de discapacidad en el Distrito Capital y se modifica el Acuerdo 022 de 1999"</t>
  </si>
  <si>
    <t>ACUERDO 589</t>
  </si>
  <si>
    <t>Por el cual se promueve la formulación del plan Distrital para la inclusión social de los jóvenes con alto grado de emergencia social, grupos de violencia juvenil y otros jóvenes excluidos socialmente.</t>
  </si>
  <si>
    <t>NTC ISO 9000: 2005</t>
  </si>
  <si>
    <t>Fundamentos del Sistema de gestión de la calidad- vocabulario</t>
  </si>
  <si>
    <t>NTC ISO 9001: 2015</t>
  </si>
  <si>
    <t>Norma Internacional ISO 9001:2015, Sistemas de Gestión de la Calidad.</t>
  </si>
  <si>
    <t>ACUERDO 491</t>
  </si>
  <si>
    <t xml:space="preserve">POR MEDIO DEL CUAL SE MODIFICA EL ACUERDO 370 DE 2009, SE CREA EL SISTEMA DISTRITAL DE ATENCIÓN Y REPARACIÓN INTEGRAL A LAS VÍCTIMAS DE GRAVES VIOLACIONES A LOS DERECHOS HUMANOS, DELITOS DE LESA HUMANIDAD Y CRÍMENES DE GUERRA EN BOGOTÁ, D.C., SE ADICIONAN LINEAMIENTOS A LA POLÍTICA PÚBLICA Y SE DICTAN OTRAS DISPOSICIONES. </t>
  </si>
  <si>
    <t>ACUERDO 564</t>
  </si>
  <si>
    <t>Por el cual se institucionaliza la celebración del mes del Envejecimiento y Vejez en Bogotá D.C.</t>
  </si>
  <si>
    <t>ACUERDO 578</t>
  </si>
  <si>
    <t>Por medio del cual se crea el festival Distrital de las personas mayores, en el Marco de la Celebración del mes del envejecimiento y la vejez en el Distrito Capital.</t>
  </si>
  <si>
    <t>RESOLUCION 8321</t>
  </si>
  <si>
    <t>Por la cual se dictan normas sobre protección y conservación de la audición de la salud el bienestar de las personas, por causa de la producción y emisión de ruidos.</t>
  </si>
  <si>
    <t>Ministerio de Educación</t>
  </si>
  <si>
    <t>RESOLUCIÓN 9</t>
  </si>
  <si>
    <t>Secretaria de Tránsito y Transporte</t>
  </si>
  <si>
    <t>Por medio de la cual se expiden normas relacionadas con el tránsito de vehículos no automotores.</t>
  </si>
  <si>
    <t>RESOLUCIÓN 512</t>
  </si>
  <si>
    <t>Por medio del cual se crea la escuela de Profesores de Actividad Física.</t>
  </si>
  <si>
    <t>RESOLUCIÓN 3600</t>
  </si>
  <si>
    <t>Ministerio de Transporte</t>
  </si>
  <si>
    <t>Por la cual se reglamenta la utilización de cascos de seguridad para la conducción de bicicletas y triciclos y se dictan otras disposiciones.</t>
  </si>
  <si>
    <t>RESOLUCION 627</t>
  </si>
  <si>
    <t>Ministerio de Ambiente</t>
  </si>
  <si>
    <t>RESOLUCIÓN 277</t>
  </si>
  <si>
    <t>Por medio de la cual se adopta el Manual de Aprovechamiento Económico de los Espacios Públicos Administrados por el Instituto Distrital para la Recreación y el Deporte - IDRD</t>
  </si>
  <si>
    <t xml:space="preserve">NOTA: Modificada por la Resolución del I.D.R.D. 583 de 2008
              Modificada por la Resolución del IDRD 38 de 2010
              Modificada por la Resolución del IDRD 316 de 2013 </t>
  </si>
  <si>
    <t>RESOLUCIÓN 352</t>
  </si>
  <si>
    <t>Por medio de la cual se actualiza el Programa Nacional Campamentos Juveniles y se adopta el Manual de Convivencia.</t>
  </si>
  <si>
    <t>RESOLUCIÓN  583</t>
  </si>
  <si>
    <t>"Por medio de la cual se modifica el Manual de Aprovechamiento Económico del Espacio Público administrado por el Instituto Distrital para la Recreación y el Deporte".</t>
  </si>
  <si>
    <t>Modificaciones Manual de aprovechamiento económico del espacio público administrado por el IDRD, adoptado mediante Resolución 277 de junio de 2007.</t>
  </si>
  <si>
    <t>RESOLUCIÓN 338</t>
  </si>
  <si>
    <t>Por medio de la cual se modifica el Manual de Aprovechamiento Económico de los Espacios Públicos administrados por el Instituto Distrital de Recreación y Deporte</t>
  </si>
  <si>
    <t>NOTA: Modificaciones Manual de aprovechamiento económico del espacio público administrado por el IDRD, adoptado mediante Resolución no. 277 de junio de 2007 y modificado mediante Resolución 583 de 2008.</t>
  </si>
  <si>
    <t xml:space="preserve">RESOLUCIÓN 671 </t>
  </si>
  <si>
    <t>Secretaria Distrital de Gobierno de Bogotá, D.C.</t>
  </si>
  <si>
    <t>"Por la cual se establecen y adoptan los protocolos y procedimientos ordenados en el Decreto Distrital 192 de 2011 y se establece el procedimiento para la autorización de reuniones y marchas"</t>
  </si>
  <si>
    <t>RESOLUCIÓN 1613</t>
  </si>
  <si>
    <t>Secretaría Distrital de Integración Social</t>
  </si>
  <si>
    <t>Por lo cual se establece, reconoce y reglamenta el Comité Operativo Distrital de Infancia y Adolescencia al interior del Consejo Distrital de Política Social.</t>
  </si>
  <si>
    <t>RESOLUCIÓN 5589</t>
  </si>
  <si>
    <t>Por la cual se fija el procedimiento de cobro de los servicios de evaluación y seguimiento ambiental</t>
  </si>
  <si>
    <t>RESOLUCIÓN 457</t>
  </si>
  <si>
    <t>Por medio de la cual se crea el programa Promotores de Ciclovía.</t>
  </si>
  <si>
    <t>RESOLUCIÓN 3317</t>
  </si>
  <si>
    <t>Por medio de la cual se reglamenta la elección y funcionamiento de los comités territoriales de discapacidad establecidos en la Ley 1145 de 2007.</t>
  </si>
  <si>
    <t>RESOLUCION 316</t>
  </si>
  <si>
    <t>Por medio de la cual se modifica el Manual de Aprovechamiento Económico del Espacio Público administrado por el Instituto Distrital de Recreación y Deporte</t>
  </si>
  <si>
    <t>RESOLUCIÓN 569</t>
  </si>
  <si>
    <t>Secretaría Distrital de Gobierno</t>
  </si>
  <si>
    <t>RESOLUCIÓN 572</t>
  </si>
  <si>
    <t>Por medio de la cual se establecen los lineamientos para la selección de los Guardianes de Ciclovia.</t>
  </si>
  <si>
    <t>RESOLUCION  116</t>
  </si>
  <si>
    <t>Departamento Administrativo de la Defensoría del Espacio Publico</t>
  </si>
  <si>
    <t>Por la cual se adopta el protocolo interinstitucional para el aprovechamiento Económico del Espacio Publico de Bogotá D.C., en ,modalidad corto plazo y se deroga la resolución 234 de 2014</t>
  </si>
  <si>
    <t>RESOLUCIÓN  1885</t>
  </si>
  <si>
    <t>Por la cual se adopta el manual se de señalización vial dispositivos uniformes para la regulación del transito en calles carreteras y ciclorutas de Colombia</t>
  </si>
  <si>
    <t>Capítulo IV</t>
  </si>
  <si>
    <t xml:space="preserve">Dispositivos para la regulación del tránsito en calles, carreteras y ciclorrutas de Colombia. </t>
  </si>
  <si>
    <t xml:space="preserve">"Por medio de la cual se deroga la Resolución No. 018 de fecha 17 de Enero de 2014 y se modifica el Manual de Aprovechamiento Económico del Espacio público administrado por el Instituto Distrital de Recreación y Deporte" </t>
  </si>
  <si>
    <t>RESOLUCIÓN 141</t>
  </si>
  <si>
    <t xml:space="preserve">Por la cual se establecen las reglas del procedimiento de selección de los Guardianes de Ciclovía. </t>
  </si>
  <si>
    <t>RESOLUCION 377</t>
  </si>
  <si>
    <t>Por la cual se adicionan dos recorridos modelo al anexo 3 de la Resolución DADEP N. 116 DE 2015</t>
  </si>
  <si>
    <t>RESOLUCIÓN  2008</t>
  </si>
  <si>
    <t>Por medio de la cual se actualiza el programa Nacional Campamentos Juveniles y se adopta el Manual de Convivencia.</t>
  </si>
  <si>
    <t>RESOLUCIÓN 160</t>
  </si>
  <si>
    <t>Por la cual se reglamenta el registro y la circulación de los vehículos automotores tipo ciclomotor, tricimoto y cuadriciclo y se dictan otras disposiciones.</t>
  </si>
  <si>
    <t>Secretaría de Salud</t>
  </si>
  <si>
    <t>CARTA DE BANGKOK</t>
  </si>
  <si>
    <t>Participantes en la 6ª Conferencia Internacional sobre la Promoción de la Salud</t>
  </si>
  <si>
    <t>Carta de Bangkok (agosto 5 de 2005). Establece el compromiso de las entidades publicas en  la prevención del sedentarismo al nivel mundial.</t>
  </si>
  <si>
    <t>LA CARTA DE TORONTO PARA LA ACTIVIDAD FÍSICA: UN LLAMADO GLOBAL PARA LA ACCIÓN</t>
  </si>
  <si>
    <t xml:space="preserve"> International Society for Physical Activity and Health  </t>
  </si>
  <si>
    <t>La carta de Toronto para la actividad física: Un llamado global para la acción.</t>
  </si>
  <si>
    <t xml:space="preserve">CARTA INTERNACIONAL DE LA EDUCACION FISICA Y DEL DEPORTE </t>
  </si>
  <si>
    <t>UNESCO</t>
  </si>
  <si>
    <t>Carta internacional de la educación física y del deporte (UNESCO 1978)</t>
  </si>
  <si>
    <t xml:space="preserve">CARTA INTERNACIONAL DE LA EDUCACIÓN FÍSICA, LA ACTIVIDAD FÍSICA Y EL DEPORTE </t>
  </si>
  <si>
    <t>Reafirmación de los principios fundamentales consagrados en la Carta Internacional de la Educación Física y el Deporte de la UNESCO y en la Carta Olímpica</t>
  </si>
  <si>
    <t>DECLARACIÓN DE GINEBRA</t>
  </si>
  <si>
    <t>Asociación Médica Mundial (AMM)</t>
  </si>
  <si>
    <t>Declaración de Ginebra de 1924 sobre los derechos del niño</t>
  </si>
  <si>
    <t xml:space="preserve">DECLARACIÓN UNIVERSAL DE LOS DERECHOS DEL NIÑO </t>
  </si>
  <si>
    <t>Estados Miembros de la ONU</t>
  </si>
  <si>
    <t>Declaración del niño del 20 de noviembre de 1959</t>
  </si>
  <si>
    <t>LEY 734</t>
  </si>
  <si>
    <t>Oficina Asesora de Comunicaciones</t>
  </si>
  <si>
    <t>LEY 1341</t>
  </si>
  <si>
    <t>Por la cual se definen principios y conceptos sobre la sociedad de la información y la organización de las Tecnologías de la Información y las Comunicaciones ''TIC'', se crea la Agencia Nacional de Espectro y se dictan otras disposiciones.</t>
  </si>
  <si>
    <t>LEY 1581</t>
  </si>
  <si>
    <t>Por el cual se dictan disposiciones generales para la protección de datos personales.</t>
  </si>
  <si>
    <t>LEY 1755</t>
  </si>
  <si>
    <t>Por medio de la cual se regula el Derecho Fundamental de Petición y se sustituye un título del Código de Procedimiento Administrativo y de lo Contencioso Administrativo.</t>
  </si>
  <si>
    <t>DECRETO 84</t>
  </si>
  <si>
    <t>Por el cual modifica el artículo primero del DECRETO Distrital 054 de 2008, por el cual se reglamenta la elaboración de impresos y publicaciones de las entidades y organismos de la Administración Distrital.</t>
  </si>
  <si>
    <t>DECRETO 1377</t>
  </si>
  <si>
    <t>Por el cual se reglamenta parcialmente la Ley 1581 de 2012.</t>
  </si>
  <si>
    <t>DECRETO 2573</t>
  </si>
  <si>
    <t>Por el cual se establecen los lineamientos generales de la Estrategia de Gobierno en línea, se reglamenta parcialmente la Ley 1341 de 2009 y se dictan otras disposiciones.</t>
  </si>
  <si>
    <t>Por el cual se reglamenta parcialmente la Ley 1712 de 2014 y se dictan otras disposiciones.</t>
  </si>
  <si>
    <t>DECRETO 1078</t>
  </si>
  <si>
    <t>Por medio del cual se expide el DECRETO Único Reglamentario del Sector de Tecnologías de la Información y las Comunicaciones.</t>
  </si>
  <si>
    <t>DECRETO 208</t>
  </si>
  <si>
    <t>Por medio del cual se adopta el Manual de Imagen Institucional de la Administración Distrital y el eslogan o lema institucional de la Alcaldía Mayor de Bogotá, D. C., para el período 2016-2019.</t>
  </si>
  <si>
    <t>ACUERDO 380</t>
  </si>
  <si>
    <t>Por el cual se modifica el Acuerdo 131 de 2004</t>
  </si>
  <si>
    <t>RESOLUCIÓN 305</t>
  </si>
  <si>
    <t>RESOLUCIÓN 378</t>
  </si>
  <si>
    <t>Por la cual se adopta la Guía para el diseño y desarrollo de sitios Web de las entidades y organismos del Distrito Capital.</t>
  </si>
  <si>
    <t>RESOLUCIÓN 3564</t>
  </si>
  <si>
    <t>Min TIC</t>
  </si>
  <si>
    <t xml:space="preserve">Por la cual se reglamentan los artículos 2.1.1.2.1.1, 2.1.1.2.1.11, 2.1.1.2.2.2. y el parágrafo 2 del artículo 2.1.1.3.1.1. del DECRETO 1081 de 2015 </t>
  </si>
  <si>
    <t>CIRCULAR 127</t>
  </si>
  <si>
    <t>Secretaria General - Alcaldía</t>
  </si>
  <si>
    <t>Información a publicar en sitios web.</t>
  </si>
  <si>
    <t xml:space="preserve">GUÍA 2.0 SITIOS WEB DISTRITO CAPITAL </t>
  </si>
  <si>
    <t>Guía Distrito Capital.</t>
  </si>
  <si>
    <t xml:space="preserve">DIRECTIVA 005 DE 2005 </t>
  </si>
  <si>
    <t>Políticas generales de Tecnologías de Información y Comunicaciones aplicables a las entidades del Distrito capital.</t>
  </si>
  <si>
    <t>RESOLUCION 233 DE 2018</t>
  </si>
  <si>
    <t>Secretaria General - Alcaldía Mayor de Bogotá</t>
  </si>
  <si>
    <t xml:space="preserve">Por el cual se expiden lineamientos para el funcionamiento, operación seguimiento e informes de las Instancias  de Coordinación del Distrito Capital." </t>
  </si>
  <si>
    <t>Artículo 11</t>
  </si>
  <si>
    <t>Las entidades y organismos distritales deberán disponer en su sitio web de una sección, micrositio o similar bajo el nombre de "Instancias de Coordinación",  el cual deberá visibilizarse en la sección de "Transparencia y Acceso a  la Información Pública" y que se categoriza como "Información de Interés" e "Información Adicional", acorde con la normatividad vigente.</t>
  </si>
  <si>
    <t xml:space="preserve">MANUAL DE IMAGEN INSTITUCIONAL 2016 - 2019 </t>
  </si>
  <si>
    <t>Manual de Imagen Institucional ''ALCALDÍA MAYOR DE BOGOTÁ 2016 - 2019''.</t>
  </si>
  <si>
    <t>6, 8, 49, 58, 67, 79, 80, 82, 88, 95(8), 267(inc 3), 277(4), 289, 313(9), 333, 334, 336.</t>
  </si>
  <si>
    <t xml:space="preserve">La carta política Colombiana tiene un alto contenido en materia ambiental y desarrollo sostenible, por lo cual la Corte Constitucional indicó que en ella se encontraba una verdadera constitución ecológica del mismo rango de las constituciones económica, social y cultural. Dentro de los artículo ambientales encontramos los siguientes: 6, 8, 49, 58, 67, 79, 80, 82, 88, 95(8), 267(inc 3), 277(4), 289, 313(9), 333, 334, 336.
 </t>
  </si>
  <si>
    <t>Por la cual se conceden facultades extraordinarias al Presidente de la República para expedir el Código de Recursos Naturales y protección al medio ambiente y se dictan otras disposiciones.</t>
  </si>
  <si>
    <t>1 al 21</t>
  </si>
  <si>
    <t>Artículo 1 al 21: Es objeto de la presente ley prevenir y controlar la contaminación del medio ambiente y buscar el mejoramiento, conservación y restauración de los recursos naturales renovables, para defender la salud y el bienestar de todos los habitantes del Territorio Nacional.</t>
  </si>
  <si>
    <t>1 al 218, 491 al 514</t>
  </si>
  <si>
    <t xml:space="preserve">1 al 218, 491 al 514: La Ley establece las normas generales que servirán de base a las disposiciones y regalmentaciones necesarias para preservar, restaurar y mejorar las condiciones sanitarias en lo que se relaciona a la salud humana y el ambiente.
Tambien establece los procedimientos y las medidas que se deben adoptar para la regulación, legalización y control de los residuos y materiales que afectan o pueden afectar las condiciones sanitarias del Ambiente. </t>
  </si>
  <si>
    <t>Por la cual se crea el Ministerio Del Medio Ambiente, se reordena el Sector Público encargado de la gestión y conservación del medio ambiente y los recursos naturales renovables, se organiza el Sistema Nacional Ambiental -SINA y se dictan otras disposiciones.</t>
  </si>
  <si>
    <t>1 al 118</t>
  </si>
  <si>
    <t xml:space="preserve">Artículo 1 al 118: Después de la promulgación de la Constitución Nacional de Colombia de 1991, en cuanto a la importancia de la conservación y la protección del medio ambiente, el congreso de la república adopta la ley 99 de 93, en donde se cristaliza la responsabilidad del estado y de las personas que hacen parte del mismo, para la protección del medio y mediante sus facultades legales, crear mecanismos para evitar los impactos ambientales negativos y asi tomar conciencia de responsabilidad ambiental, también se crea un nuevo ministerio dentro del poder ejecutivo en Colombia, el Ministerio del Medio Ambiente. </t>
  </si>
  <si>
    <t>LEY 140</t>
  </si>
  <si>
    <t>Por la cual se reglamenta la Publicidad Exterior Visual en el Territorio Nacional.</t>
  </si>
  <si>
    <t>Artículo 1:  No se considera Publicidad Exterior Visual para efectos de la presente Ley, la señalización vial, la nomenclatura urbana o rural, la información sobre sitios históricos, turísticos y culturales, y aquella información temporal de carácter educativo, cultural o deportivo que coloquen las autoridades públicas u otras personas por encargo de éstas, que podrá incluir mensajes comerciales o de otra naturaleza siempre y cuando éstos no ocupen más del 30% del tamaño del respectivo mensaje o aviso. Tampoco se considera Publicidad Exterior Visual las expresiones artísticas como pinturas o murales, siempre que no contengan mensajes comerciales o de otra naturaleza.</t>
  </si>
  <si>
    <t>LEY 599</t>
  </si>
  <si>
    <t xml:space="preserve">Por la cual se expide el Código Penal </t>
  </si>
  <si>
    <t>Título XI, Delitos contra los Recursos Naturales y el Medio Ambiente. Artículos 328 al 339.</t>
  </si>
  <si>
    <t xml:space="preserve">Artículo 328 al 339: El Código penal en su Título XI trata de los de los delitos contra los recursos naturales y el medio ambiente, sin embargo y pese a las pocas determinaciones de ley para los delitos ambientales, solo hasta el año 2009 se estableció condenas penales por daños al medio ambiente. La expedición del régimen de Procedimiento sancionatorio ambiental mediante la Ley 1333 de 2009 dio una pauta para ejercer mecanismos de mayor coerción tanto para industrias, sector público, como para personas naturales.
</t>
  </si>
  <si>
    <t xml:space="preserve">RESOLUCION 001 </t>
  </si>
  <si>
    <t>Secretaria distrital de hacienda</t>
  </si>
  <si>
    <t>Manual De Procedimientos Administrativos Para El Manejo  Y Control De Muebles  En Los Entes Publicos Del Distrito Capital</t>
  </si>
  <si>
    <t>Por la cual se expide el Código Nacional de Tránsito Terrestre y se dictan otras disposiciones</t>
  </si>
  <si>
    <t>28, 50, 103, 104, 122</t>
  </si>
  <si>
    <t>Artículo 28: Condiciones técnico-mecánica, de gases y de operación. Artículo 50: Condiciones mecánicas y de seguridad. Por razones de seguridad vial y de protección al ambiente. Artículo 103: Niveles permisibles de emisión de fuentes móviles. Artículo 104: Normas para dispositivos sonoros. Artículo 122: Tipos de sanciones.</t>
  </si>
  <si>
    <t>LEY 1252</t>
  </si>
  <si>
    <t>Por la cual se dictan normas prohibitivas en materia ambiental, referentes a los residuos y desechos peligrosos y se dictan otras disposiciones.</t>
  </si>
  <si>
    <t>2, 3, 7, 9, 12</t>
  </si>
  <si>
    <t xml:space="preserve">Artículo 2: Principios. Artículo  3: Definiciones. Artículo 7: Responsabilidad del generador. El generador será responsable de los residuos peligrosos que él genere. La responsabilidad se extiende a sus afluentes, emisiones, productos y subproductos, equipos desmantelados y en desuso, elementos de protección personal utilizados en la manipulación de este tipo de residuos y por todos los efectos ocasionados a la salud y al ambiente. Artículo 9: Subsistencia de la responsabilidad. La responsabilidad integral del generador, fabricante, importador y/o transportador subsiste hasta que el residuo peligroso sea aprovechado como insumo o dispuesto finalmente en depósitos o sistemas técnicamente diseñados que no represente riesgos para la salud humana y el ambiente. Artículo 12: Obligaciones. Es obligación del generador de los residuos peligrosos:
1. Realizar la caracterización físico-química y/o microbiológica de los mismos, conforme con lo establecido en el RAS (Resolución 1060 de 2000 título F) y demás procedimientos vigentes, a través de laboratorios especiales debidamente autorizados por las autoridades ambientales competentes o quien haga sus veces, para identificar el grado de peligrosidad de los mismos.
2. Informar a las personas naturales o jurídicas que se encarguen del almacenamiento, recolección y transporte, aprovechamiento, tratamiento o disposición final de los mismos.
3. Formular e implementar Planes de Gestión Integral de Residuos Peligrosos, con su respectivo plan de contingencia, para garantizar la minimización, gestión, manejo integral y monitoreo de los residuos que genera.
4. Garantizar que el envasado o empacado, embalado o encapsulado, etiquetado y gestión externa de los residuos peligrosos que genera se realice conforme a lo establecido por la normatividad vigente.
5. Poseer y actualizar las respectivas hojas de seguridad del material y suministrar, a los responsables de la gestión interna, los elementos de protección personal necesarios en el proceso.
6. Capacitar al personal encargado de la gestión interna en todo lo referente al manejo adecuado de estos desechos y en las medidas básicas de precaución y atención de emergencias.
7. Registrarse ante la autoridad ambiental competente y actualizar sus datos en caso de generar otro tipo de residuos de los reportados inicialmente.
8. Las demás que imponga la normatividad ambiental colombiana.
</t>
  </si>
  <si>
    <t>LEY 1259</t>
  </si>
  <si>
    <t>Por medio de la cual se instaura en el territorio nacional la aplicación del comparendo ambiental a los infractores de las normas de aseo, limpieza y recolección de escombros; y se dictan otras disposiciones.</t>
  </si>
  <si>
    <t>1 al 26</t>
  </si>
  <si>
    <t>Artículo 1 al 26: La finalidad de la presente ley es crear e implementar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t>
  </si>
  <si>
    <t>LEY 1333</t>
  </si>
  <si>
    <t>1 al 66 (31, 36, 40)</t>
  </si>
  <si>
    <t>Artículo 1 al 66: En la Ley 1333 de 2009, se establece el procedimiento sancionatorio en materia ambiental. En el artículo 31 Medidas compensatorias: La imposición de una sanción no exime al infractor del cumplimiento de las medidas que la autoridad ambiental competente estime pertinentes. En el artículo 36 Tipos de medidas preventivas: serán impuestas por la Autoridad Ambiental, como Amonestación escrita, Suspensión de obra o actividad. En el artículo 40 Sanciones: como Multas diarias hasta por cinco mil (5.000) salarios mínimos mensuales legales vigentes, Cierre temporal o definitivo del establecimiento, edificación o servicio, Revocatoria o caducidad de licencia ambiental, autorización, concesión, permiso o registro, Demolición de obra a costa del infractor.</t>
  </si>
  <si>
    <t>Por la cual se reforma la ley 769 de 2002 Código Nacional de Tránsito, y se dictan otras disposiciones.</t>
  </si>
  <si>
    <t>8, 10, 11, 20, 21</t>
  </si>
  <si>
    <t>Artículo 8: El cual modifica el artículo 28 de la Ley 769 de 2002, Condiciones técnico-mecánicas, de emisiones contaminantes y de operación. Artículo 10:  El cual modifica el artículo 50 de la Ley 769 de 2002, Condiciones técnico-mecánicas, de emisiones contaminantes y de operación. Artículo 11: El cual modifica el artículo 51 de la Ley 769 de 2002, Revisión periódica de los vehículos, 2.Niveles de emisión de gases y elementos contaminantes acordes con la legislación vigente sobre la materia. Artículo 20: Sanciones. Artículo 21: Multas.</t>
  </si>
  <si>
    <t>LEY 1466</t>
  </si>
  <si>
    <t>Por el cual se adicionan, el inciso 2° del artículo 1° (objeto) y el inciso 2° del artículo 8°, de la Ley 1259 del 19 de diciembre de 2008, "por medio de la cual se instauró en el territorio nacional la aplicación del Comparendo Ambiental a los infractores de las normas de aseo, limpieza y recolección de escombros, y se dictan otras disposiciones.</t>
  </si>
  <si>
    <t>1 al 4</t>
  </si>
  <si>
    <t>Artículo 1 al 4: La finalidad de la presente ley es crear e implementar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t>
  </si>
  <si>
    <t>LEY 1672</t>
  </si>
  <si>
    <t>Por la cual se establecen los lineamientos para la adopción de una política pública de gestión integral de Residuos de Aparatos Eléctricos y Electrónicos (RAEE), y se dictan otras disposiciones.</t>
  </si>
  <si>
    <t>1 al 6</t>
  </si>
  <si>
    <t>Artículo 1 al 6: La presente ley tiene por objeto establecer los lineamientos para la política pública de gestión integral de los Residuos de Aparatos Eléctricos y Electrónicos (RAEE) generados en el territorio nacional. Los RAEE son residuos de manejo diferenciado que deben gestionarse de acuerdo con las directrices que para el efecto establezca el Ministerio de Ambiente y Desarrollo Sostenible.</t>
  </si>
  <si>
    <t xml:space="preserve">Por la cual se expide el Código Nacional de Policía y Conveniencia. </t>
  </si>
  <si>
    <t>5, 6(3), 8(8), 28 (3), 94 (2,7), 100, 102, 111</t>
  </si>
  <si>
    <t>Es el nuevo instrumento normativo con el que cuentan todos los habitantes en el territorio colombiano y las autoridades, para corregir y prevenir de forma oportuna los delitos contra el medio ambiente y favorecer la protección de los recursos naturales, el patrimonio ecológico, el goce y relación sostenible con el ambiente.</t>
  </si>
  <si>
    <t>DECRETO 2811</t>
  </si>
  <si>
    <t>Por el cual se dicta el Código Nacional de Recursos Naturales  renovables y de Protección al Medio Ambiente.</t>
  </si>
  <si>
    <t>1 al 340</t>
  </si>
  <si>
    <t>Artículo 1 al 340: El ambiente es patrimonio común y el Estado y los particulares deben participar en su preservación y manejo, que son de utilidad pública e interés social.
La preservación y manejo de los recursos naturales renovables también son de utilidad pública e interés social. Fundado en el principio de que el ambiente es patrimonio común de la humanidad y necesario para la supervivencia y el desarrollo económico y social de los pueblos, este Código tiene por objeto. 1. Lograr la preservación y restauración del ambiente y la conservación, mejoramiento y utilización racional de los recursos naturales renovables, según criterios de equidad que aseguran el desarrollo armónico del hombre y de dichos recursos, la disponibilidad permanente de éstos, y la máxima participación social para beneficio de la salud y el bienestar de los presentes y futuros habitantes del territorio Nacional. 2. Prevenir y controlar los efectos nocivos de la explotación de los recursos naturales no renovables sobre los demás recursos. 3. Regular la conducta humana, individual o colectiva y la actividad de la Administración Pública, respecto del ambiente y de los recursos naturales renovables y las relaciones que surgen del aprovechamiento y conservación de tales recursos y del ambiente.</t>
  </si>
  <si>
    <t>DECRETO 948</t>
  </si>
  <si>
    <t>1, 2, 3, 4 (b), 18, 19, 22, 36, 37, 38, 39, 90, 92</t>
  </si>
  <si>
    <t xml:space="preserve">Artículo 1: Contenido y objetivo. Artículo 2: Definiciones. Artículo 3: Tipos de contaminantes del aire. Artículo 4: Actividades especialmente controladas, b. La quema de combustibles fósiles utilizados por el parque automotor.  Artículo 18: Clasificación de fuentes contaminantes. Artículo 19: Restricción de uso de combustibles contaminantes. Artículo 22: Materiales de desecho en zonas públicas. Artículo 36 al 39: De las emisiones de contaminantes de fuentes móviles. Artículo 90: Clasificación de fuentes móviles. Artículo 92: Evaluación de emisiones de vehículos automotores.
</t>
  </si>
  <si>
    <t>DECRETO 2107</t>
  </si>
  <si>
    <t>3 y 7</t>
  </si>
  <si>
    <t>Artículo 3: Modifica el artículo 38 del Decreto 948 de 1995, sobre Emisiones de Vehículos Diesel. Artículo 7: Modifican los incisos segundo y tercero del artículo 92 del Decreto 948 de 1995, sobre Evaluación de emisiones de vehículos automotores.</t>
  </si>
  <si>
    <t>DECRETO 3102</t>
  </si>
  <si>
    <t>Por el cual se reglamenta el artículo 15 de la Ley 373 de 1997 en relación con la instalación de equipos, sistemas e implementos de bajo consumo de agua.</t>
  </si>
  <si>
    <t>1, 2, 6, 7</t>
  </si>
  <si>
    <t xml:space="preserve">Articulo 1: Definiciones. Artículo 2: Obligaciones de los usuarios del recurso agua. Artículo 6: Todos los usuarios Pertenecientes al sector oficial, están obligados a reemplazar, antes del 1o. de Julio de 1.999 los equipos, sistemas e implementos de alto consumo de agua, por los de bajo consumo. Artículo 7: Todos los usuarios pertenecientes al sector institucional, están obligados a reemplazar antes del 1o. de julio de 1999, los equipos, sistemas e implementos de alto consumo actualmente en uso, por unos de bajo consumo. </t>
  </si>
  <si>
    <t>DECRETO 357</t>
  </si>
  <si>
    <t>1, 2, 5, 6, 11, 12, 13, 14, 15, 16</t>
  </si>
  <si>
    <t>Artículo 1: Definiciones. Artículo 2 al 6: De las Normas de conducta referente al manejo de los escombros. Artículo 11 al 16: Referente a las sanciones y medidas preventivas</t>
  </si>
  <si>
    <t>DECRETO 959</t>
  </si>
  <si>
    <t>Por el cual se compilan los textos del Acuerdo 01 e 1998 y del Acuerdo 12 de 2000, los cuales reglamentan la publicidad Exterior Visual en el Distrito Capital de Bogotá.</t>
  </si>
  <si>
    <t>Artículo 2: Campo de aplicación. No se entenderá como publicidad exterior visual las señales viales, la nomenclatura y la información sobre sitios de interés histórico, turístico, cultural o institucional de la ciudad, siempre que tales señales sean puestas con la autorización de la Administración Distrital. Artículo 15: Vallas en vehículos automotores. Son aquellas que se han fijado o adherido en vehículos automotores, siempre y cuando no contravengan las normas de tránsito de igual o superior jerarquía y en las condiciones que se señalan a continuación, En los costados laterales y posterior de los vehículos automotores, se podrá colocar publicidad visual, siempre y cuando se instale en materiales resistentes a la intemperie.</t>
  </si>
  <si>
    <t>DECRETO 1552</t>
  </si>
  <si>
    <t>Por el cual se modifica el artículo 38 del DECRETO 948 de 1995, modificado por el artículo 3o del DECRETO 2107 de 1995.</t>
  </si>
  <si>
    <t>Artículo 3: Modifica el artículo 38 del Decreto 948 de 1995, sobre Emisiones de Vehículos Diesel.</t>
  </si>
  <si>
    <t>DECRETO 1609 (COMPILADO POR EL DECRETO 1079 DE 2015 DECRETO ÚNICO REGLAMENTARIO DEL SECTOR
TRANSPORTE)</t>
  </si>
  <si>
    <t>Por el cual se reglamenta el manejo y transporte terrestre automotor de mercancías peligrosas por carretera.</t>
  </si>
  <si>
    <t>1 al 8, 11 al 57</t>
  </si>
  <si>
    <t>Artículo 1 al 8 y 11 al 57: El presente decreto tiene por objeto establecer los requisitos técnicos y de seguridad para el manejo y transporte de mercancías peligrosas por carretera en vehículos automotores en todo el territorio nacional, con el fin de minimizar los riesgos, garantizar la seguridad y proteger la vida y el medio ambiente, de acuerdo con las definiciones y clasificaciones establecidas en la Norma Técnica Colombiana NTC 1692 "Transporte de mercancías peligrosas. Clasificación, etiquetado y rotulado".</t>
  </si>
  <si>
    <t>Por el cual se reglamentan los Acuerdos 01 de 1998 y 12 de 2000, compilados en el DECRETO 959 de 2000.</t>
  </si>
  <si>
    <t>Artículo 3: Elementos que no se consideran avisos, los elementos que adornan las fachadas. Igualmente no son avisos los elementos destinados a señalizar el ingreso y salida de los establecimientos, ni los horarios de atención al público, siempre y cuando no se utilicen como anuncio o propaganda con fines profesionales, culturales, comerciales o turísticos.</t>
  </si>
  <si>
    <t>DECRETO 400</t>
  </si>
  <si>
    <t>Por el cual se impulsa el aprovechamiento eficiente de los residuos sólidos producidos en las entidades distritales.</t>
  </si>
  <si>
    <t>1 al 7</t>
  </si>
  <si>
    <t xml:space="preserve">Artículo 1 al 7: El presente Decreto tiene por objeto la reglamentación tendiente al eficiente manejo de los residuos sólidos producidos, tanto por las entidades distritales, como por los servidores pertenecientes a ellas, buscando como objetivo central su adecuado aprovechamiento. </t>
  </si>
  <si>
    <t>DECRETO 4741</t>
  </si>
  <si>
    <t>Por el cual se reglamenta parcialmente la prevención y el manejo de los residuos o desechos peligrosos generados en el marco de la gestión integral.</t>
  </si>
  <si>
    <t>1 al 7, 9 al 13, 20, 24, 27, 32, 33, 34, 37</t>
  </si>
  <si>
    <t xml:space="preserve">Artículo 1: Objeto. Artículo 2: Alcance. Artículo 3: Definiciones. Artículo 4: Principios. Artículo 5: Clasificación de los residuos o desechos peligrosos. Artículo 6: Características que confieren a un residuo o desecho la calidad de peligroso. Artículo 7: Procedimiento mediante el cual se puede identificar si un residuo o desecho es peligroso. Artículo 9:  De la presentación de los residuos o desechos peligrosos .Artículo 10: Obligaciones del Generador: a) Garantizar la gestión y manejo integral de los residuos o desechos peligrosos que genera. b) Elaborar un plan de gestión integral de los residuos o desechos peligrosos. c) Identificar las características de peligrosidad de cada uno de los residuos peligrosos que genere. d) Garantizar que el envasado o empacado, embalado y etiquetado de sus residuos. e) Dar cumplimiento a lo establecido en el Decreto 1609 de 2002. f) Registrarse ante la autoridad ambiental competente. g) Capacitar al personal encargado de la gestión. h) Contar con un plan de contingencia actualizado. Artículo 11: Responsabilidad del generador. El generador es responsable de los residuos o desechos peligrosos que él genere. La responsabilidad se extiende a sus afluentes, emisiones, productos y subproductos, por todos los efectos ocasionados a la salud y al ambiente. Artículo 12: Subsistencia de la responsabilidad. La responsabilidad integral del generador subsiste hasta que el residuo o desecho peligroso sea aprovechado como insumo o dispuesto con carácter definitivo. Artículo 13: Contenido químico no declarado. El generador continuará siendo responsable en forma integral por los efectos ocasionados a la salud o al ambiente, de un contenido químico o biológico no declarado al receptor y a la autoridad ambiental. Artículo 27: Del registro de generadores. Artículo 32: Prohibiciones. Artículo 33: de los desechos hospitalarios. Artículo 37: régimen sancionatorio. </t>
  </si>
  <si>
    <t>DECRETO 2331</t>
  </si>
  <si>
    <t>Por el cual se establece una medida tendiente al uso racional y eficiente de energía eléctrica.</t>
  </si>
  <si>
    <t>Artículo 1 al 4: Este Decreto tiene por objeto la utilización o sustitución en los edificios cuyos usuarios sean entidades oficiales de cualquier orden, de todas las bombillas incandescentes por bombillas ahorradoras específicamente Lámparas Fluorescentes Compactas (LFC) de alta Eficiencia.</t>
  </si>
  <si>
    <t>DECRETO 1575</t>
  </si>
  <si>
    <t>por el cual se establece el Sistema para la Protección y Control de la Calidad del Agua para Consumo Humano.</t>
  </si>
  <si>
    <t>1, 2, 3, 10</t>
  </si>
  <si>
    <t>Artículo 1: Objeto y campo de aplicación del presente decreto. Artículo 2: Definiciones. Artículo 3: Características del agua para consumo humano. Artículo 10: Responsabilidad de los usuarios, Lavar y desinfectar sus tanques de almacenamiento y redes, como mínimo cada seis (6) meses.</t>
  </si>
  <si>
    <t>DECRETO 895</t>
  </si>
  <si>
    <t>Por el cual se modifica y adiciona el DECRETO 2331 de 2007 sobre uso racional y eficiente de energía eléctrica.</t>
  </si>
  <si>
    <t>1 al 5</t>
  </si>
  <si>
    <t>Artículo 1 al 5: las Entidades Públicas de cualquier orden, deberán sustituir las fuentes de iluminación de baja eficacia lumínica, por fuentes lumínicas de la más alta eficacia disponible en el mercado. El manejo posconsumo de los productos de desecho que contengan residuos o sustancias peligrosas, se hará de acuerdo con las normas legales y reglamentarias expedidas por la autoridad competente.</t>
  </si>
  <si>
    <t>DECRETO 3450</t>
  </si>
  <si>
    <t>Por el cual se dictan medidas tendientes al uso racional y eficiente de la energía eléctrica.</t>
  </si>
  <si>
    <t>Artículo 1 al 5: En el territorio de la República de Colombia, todos los usuarios del servicio de energía eléctrica sustituirán, conforme a lo dispuesto en el presente decreto, las fuentes de iluminación de baja eficacia lumínica, utilizando las fuentes de iluminación de mayor eficacia lumínica disponibles en el mercado.</t>
  </si>
  <si>
    <t>Por el cual se reforma el Plan de Gestión Ambiental del Distrito Capital y se dictan otras disposiciones</t>
  </si>
  <si>
    <t>1 al 20</t>
  </si>
  <si>
    <t>Artículo 1 al 20: El Plan de Gestión Ambiental es el instrumento de planeación de largo plazo de Bogotá, D.C., en el área de su jurisdicción, que permite y orienta la gestión ambiental de todos los actores distritales con el propósito de que el proceso de desarrollo propenda por la sostenibilidad del territorio distrital y la región.</t>
  </si>
  <si>
    <t>DECRETO 3695</t>
  </si>
  <si>
    <t>Por medio del cual se reglamenta la Ley 1259 de 2008 y se dictan otras disposiciones.</t>
  </si>
  <si>
    <t>1 al 11</t>
  </si>
  <si>
    <t>Artículo 1 al 11: El presente decreto tiene por objeto reglamentar el formato, presentación y contenido del comparendo ambiental de que trata la Ley 1259 de 2008, así como establecer los lineamientos generales para su imposición al momento de la comisión de cualquiera de las infracciones sobre aseo, limpieza y recolección de residuos sólidos, que adelante se codifican.</t>
  </si>
  <si>
    <t>DECRETO 3930</t>
  </si>
  <si>
    <t>Por el cual se reglamenta parcialmente el Título I de la Ley 9ª de 1979, así como el Capítulo II del Título VI -Parte III-Libro II del DECRETO-ley 2811 de 1974 en cuanto a usos del agua y residuos líquidos y se dictan otras disposiciones.</t>
  </si>
  <si>
    <t>1, 2, 3, 15, 19</t>
  </si>
  <si>
    <t>Artículo 1 al 3: Objetivo del decreto, Ámbito de aplicación y definiciones. Artículo 15: Uso recreativo. Se entiende por uso del agua para fines recreativos, su utilización, cuando se produce: 1. Contacto primario, como en la natación, buceo y baños medicinales. 2. Contacto secundario, como en los deportes náuticos y la pesca. Artículo 19: Criterios de calidad. Conjunto de parámetros y sus valores utilizados para la asignación de usos al recurso y como base de decisión para el Ordenamiento del Recurso Hídrico.</t>
  </si>
  <si>
    <t>DECRETO 3678</t>
  </si>
  <si>
    <t>Por el cual se establecen los criterios para la imposición de las sanciones consagradas en el artículo 40 de la Ley 1333 del 21 de julio de 2009 y se toman otras determinaciones.</t>
  </si>
  <si>
    <t>1 al 12</t>
  </si>
  <si>
    <t>Este decreto tiene por objeto señalar los criterios generales que deberán tener en cuenta las autoridades
ambientales para la imposición de las sanciones consagradas en el artículo 40 de la Ley 1333 de 2009.</t>
  </si>
  <si>
    <t>Por el cual se establecen los lineamientos ambientales para el manejo, conservación y aprovechamiento del paisaje en el Distrito Capital, respecto de la Publicidad Exterior Visual ¿PEV.</t>
  </si>
  <si>
    <t>5 (2)</t>
  </si>
  <si>
    <t xml:space="preserve">Artículo 5: Conceptos generales. Para efectos de los lineamientos ambientales para el manejo, conservación y aprovechamiento del paisaje con publicidad exterior visual, se desarrollan las siguientes definiciones: 2) Elementos que no son publicidad exterior visual: Aún conservando las características anteriormente mencionadas, no son considerados como elementos de publicidad exterior visual los siguientes:
* las señales viales
* la nomenclatura urbana
* la información sobre sitios de interés histórico, turístico o cultural, o institucional de la ciudad.
* la información temporal de carácter educativo, cultural o deportivo que coloquen las autoridades públicas u otras personas por encargo de éstas, que podrá incluir mensajes comerciales o de otra naturaleza siempre y cuando éstos no ocupen más del 30% del tamaño del respectivo mensaje o aviso.
</t>
  </si>
  <si>
    <t>201, 202, 203</t>
  </si>
  <si>
    <t>Artículo 201: Revisión periódica de los vehículos. Artículo 202: Primera revisión de los vehículos automotores. Artículo 203: Centros de Diagnóstico Automotor</t>
  </si>
  <si>
    <t>RESOLUCION 004</t>
  </si>
  <si>
    <t>Manual De Procedimientos Administrativos Para El Manejo  Y Control De Muebles Del Idrd</t>
  </si>
  <si>
    <t>DECRETO 2981 (COMPILADO POR EL DECRETO 1077 DE 2015 DECRETO ÚNICO REGLAMENTARIO DEL SECTOR
VIVIENDA, CIUDAD Y TERRITORIO)</t>
  </si>
  <si>
    <t>Por el cual se reglamenta la prestación del servicio público de aseo.</t>
  </si>
  <si>
    <t>1,2, 17, 18, 19, 20, 22, 27, 110</t>
  </si>
  <si>
    <t>Artículo 1: Ámbito de la aplicación Artículo 2: Definiciones. Artículo 17: Obligaciones de los usuarios para el almacenamiento y la presentación de residuos sólidos. Artículo 18: Características de los recipientes retornables para almacenamiento de residuos sólidos. Artículo 19: Características de los recipientes no retornables. Artículo 20: Sistemas de almacenamiento colectivo de residuos sólidos. Artículo 22: Sitios de ubicación para la presentación de los residuos sólidos. Artículo 27: Recolección separada. Artículo 110: De los deberes de los usuarios.</t>
  </si>
  <si>
    <t>RESOLUCION 23</t>
  </si>
  <si>
    <t>Crea el Comité de Inventarios</t>
  </si>
  <si>
    <t>DECRETO 2041 (COMPILADO POR EL DECRETO 1076 DE 2015, LIBRO 2, PARTE 2, TITULO 2, CAPÍTULO 3, LICENCIAS AMBIENTALES)</t>
  </si>
  <si>
    <t>9 Numeral 10, 11</t>
  </si>
  <si>
    <t xml:space="preserve">Artículo 9: Competencia de las CAR´s Otorgarán o negarán la licencia ambiental para los siguientes proyectos, obras o actividades: 10. La construcción y operación de instalaciones cuyo objeto sea el almacenamiento, tratamiento, aprovechamiento, recuperación y/o disposición final de residuos o desechos peligrosos, y la construcción y operación de rellenos de . seguridad para residuos hospitalarios en los casos en que la normatividad sobre la materia lo permita. 11. La construcción y operación . de instalaciones cuyo objeto sea el almacenamiento, tratamiento, aprovechamiento (recuperación/reciclado) y/o disposición final de Residuos de Aparatos Eléctricos y Electrónicos (RAEE) y de residuos de pilas y/o acumuladores. </t>
  </si>
  <si>
    <t>DECRETO 349</t>
  </si>
  <si>
    <t>Por el cual se reglamenta la imposición y aplicación del Comparendo Ambiental en el Distrito Capital</t>
  </si>
  <si>
    <t>7 y 8</t>
  </si>
  <si>
    <t xml:space="preserve">Artículo 7: Infracciones. Artículo 8: Sanciones. </t>
  </si>
  <si>
    <t>DECRETO 351</t>
  </si>
  <si>
    <t>Por el cual se reglamenta la gestión integral de los residuos generados en la atención en salud y otras actividades.</t>
  </si>
  <si>
    <t>1, 2, 3, 4, 5, 6,12,15,16</t>
  </si>
  <si>
    <t>Artículo 1: Objeto. Artículo 2: Ámbito de aplicación. Artículo 3: Principios. Artículo 4: Definiciones. Artículo 5: Clasificación de los residuos: Residuos no peligrosos, Residuos peligrosos con riesgo biológico o infeccioso, Biosanitarios, Anatomopatológicos, Cortopunzantes, etc. Artículo 6: Obligaciones del generador. A. Formular, implementar, actualizar y tener a disposición de las autoridades ambientales el plan de gestión integral para los residuos generados en la atención en salud y otras actividades reguladas en el presente decreto, B. Capacitar al personal encargado de la gestión integral de los residuos generados. C. Dar cumplimiento a la normatividad de seguridad y salud, D. 4. Contar con un plan de contingencia actualizado para atender cualquier accidente, E. Dar cumplimiento a lo establecido en el Decreto número 1609 de 2002, F. Responder por los residuos peligrosos que genere. La responsabilidad se extiende a sus afluentes, emisiones, productos y subproductos, equipos desmantelados y en desuso, elementos de protección personal utilizados en la manipulación de este tipo de residuos y por todos los efectos ocasionados a la salud y al ambiente. G. Responder en forma integral por los efectos ocasionados a la salud y/o al ambiente, de un contenido químico o biológico no declarado al gestor y a las autoridades ambientales y sanitarias. H. Entregar al transportador los residuos debidamente embalados, envasados y etiquetados de acuerdo con lo establecido en la normatividad vigente. I. Conservar los comprobantes de recolección que le entregue el transportador de residuos o desechos peligrosos con riesgo biológico o infeccioso, hasta por un término de cinco (5) años. J. Conservar las certificaciones de almacenamiento, aprovechamiento, tratamiento y/o disposición final que emitan los respectivos gestores de residuos peligrosos hasta por un término de cinco (5) años. Artículo 12: Tratamiento de residuos o desechos peligrosos con riesgo biológico o infeccioso. Artículo 15: Obligaciones. Artículo 16: Régimen Sancionatorio.</t>
  </si>
  <si>
    <t>DECRETO 165</t>
  </si>
  <si>
    <t>Por el cual se reglamenta la figura de Gestor Ambiental para las entidades distritales, prevista en el Acuerdo 333 de 2008, y se dictan otras disposiciones.</t>
  </si>
  <si>
    <t>1 al 8</t>
  </si>
  <si>
    <t>Artículo 1 al 8: El presente decreto establece la figura de Gestor Ambiental en todas las Entidades del Distrito Capital, con el objetivo principal de realizar acciones conducentes a la reducción de los costos ambientales producidos por sus actividades.</t>
  </si>
  <si>
    <t>DECRETO 348</t>
  </si>
  <si>
    <t>Por el cual se reglamenta el servicio público de transporte terrestre automotor especial y se adoptan otras disposiciones.</t>
  </si>
  <si>
    <t>Artículo 29: Tipología vehicular. En todos los casos los vehículos que se destinen a la prestación del Servicio Público de Transporte Terrestre Automotor Especial deberán cumplir con las condiciones técnico-mecánicas, de emisiones contaminantes y las especificaciones de tipología vehicular requeridas y homologadas por el Ministerio de Transporte para la prestación del servicio.</t>
  </si>
  <si>
    <t>DECRETO 442</t>
  </si>
  <si>
    <t>1 al 3, 13 al 15, 19 y 24</t>
  </si>
  <si>
    <t>Artículo 1 al 3: Objeto, Ambito de apicación y definiciones. Artículo 13: Reencauche de llantas usadas generadas por los vehiculos de las entidades que conforman la administración pública del distrito capital. Articulo 14: Informes de cumplimiento de las entidades distritales. Artículo 15: Compras verdes. Artículo 19: Prohibiciones. Artículo 24: Vigencias y derogatorias.</t>
  </si>
  <si>
    <t>Por el cual se modifica y adiciona el DECRETO 1077de 2015 en lo relativo con el esquema de la actividad de aprovechamiento del servicio público de aseo y el régimen transitorio para la formalización de los recicladores de oficio, y se dictan otras disposiciones.</t>
  </si>
  <si>
    <t xml:space="preserve">2.3.2.5.4.1., 2.3.2.5.4.2, 2.3.2.5.4.3, </t>
  </si>
  <si>
    <t xml:space="preserve">
SECCIÓN 4 DEBERES Y DERECHOS 
Artículo 2.3.2.5.4.1. Derechos de los usuarios. 
1. Recibir capacitación sobre la separación en la fuente de los residuos sólidos aprovechables. 
2. Recibir el incentivo a la separación en la fuente (DINC) cuando se logren los niveles de rechazo establecidos.
3.Ser incluido en la ruta de recolección de residuos sólidos aprovechables. 
Artículo 2.3.2.5.4.2. Deberes de los usuarios. 
1. Presentar los residuos sólidos aprovechables separados en la fuente a las personas prestadoras de la actividad sin imponer condiciones adicionales a las establecidas en el contrato de condiciones uniformes.
2. Permitir la realización del aforo de los residuos sólidos aprovechables.
3. Pagar la tarifa establecida para el servicio prestado. 
Artículo 2.3.2.5.4.3. Deberes de las personas prestadoras de la actividad de aprovechamiento.
1. Definir e informar al usuario sobre las condiciones de prestación del servicio.
2. Definir e informar al usuario sobre los residuos sólidos aprovechables.
3. Recolectar los residuos sólidos presentados por el usuario como aprovechables, de acuerdo con lo indicado en el contrato de condiciones uniformes del servicio público de aseo (CCU) para la actividad de aprovechamiento. 
4. Realizar las actividades de clasificación en las Estaciones de Clasificación y Aprovechamiento ECAS.
5. No dejar residuos sólidos dispersos en las vias públicas que puedan conducir a la generación de puntos críticos.
6. Realizar campañas de capacitación de separación de en la fuente a sus usuarios de la actividad de aprovechamiento del servicio público de aseo.</t>
  </si>
  <si>
    <t>DECRETO 815</t>
  </si>
  <si>
    <t xml:space="preserve">Por medio del cual se establecen los lineamientos para la formulación e implementación de los instrumentos operativos de planeación ambiental del Distrito PACA, PAL y PIGA, y se dictan otras disposiciones </t>
  </si>
  <si>
    <t>1 al 4
11 al 14</t>
  </si>
  <si>
    <t>Lineamientos para los Planes Institucionales de Gestión Ambiental - PIGA</t>
  </si>
  <si>
    <t>DECRETO 284</t>
  </si>
  <si>
    <t>Ministerio de Ambiente y Desarrollo sostenible</t>
  </si>
  <si>
    <t>Por el cual se adiciona el Decreto 1076 de 2015, Único Reglamentario del Sector Ambiente y Desarrollo Sostenible, en lo relacionado con la Gestión Integral de los Residuos de Aparatos Eléctricos y Electrónicos -RAEE y se dictan otras disposiciones</t>
  </si>
  <si>
    <t>ARTÍCULO 2.2.7A.2.3. De los usuarios o consumidores
ARTÍCULO 2.2.7A.4.1 Del transporte de los RAEE.
ARTÍCULO 2.2.7A.4.2. De la clasificación de los AEE.
ARTÍCULO 2.2.7A.4.3. De los RAEE de las entidades públicas.
ARTÍCULO 2.2.7A.4.5. Obligaciones generales.</t>
  </si>
  <si>
    <t>El presente Decreto tiene por objeto establecer los lineamientos para la política pública de gestión integral de los Residuos de Aparatos Eléctricos y Electrónicos (RAEE) generados en el territorio nacional. Los RAEE son residuos de manejo diferenciado que deben gestionarse de acuerdo con las directrices que para el efecto establezca el Ministerio de Ambiente y Desarrollo Sostenible.</t>
  </si>
  <si>
    <t>DIRECTIVA 9</t>
  </si>
  <si>
    <t>Inclusión Social de la Población recicladora de oficio en condiciones de pobreza y vulnerabilidad, con el apoyo de las entidades distritales.</t>
  </si>
  <si>
    <t>3 Ítems</t>
  </si>
  <si>
    <t>La presente Directiva resalta la importancia del apoyo de las entidades distritales a los recicladores de oficio en condiciones de pobreza y vulnerabilidad para que accedan a los residuos separados en la fuente por las entidades distritales.</t>
  </si>
  <si>
    <t>DIRECTIVA PRESIDENCIAL 8</t>
  </si>
  <si>
    <t>Ahorro de Energía.</t>
  </si>
  <si>
    <t>7 Ítems</t>
  </si>
  <si>
    <t>1. Apagar la luz en las dependencias que no se ocupan de manera continua, tales como salas de juntas, baños, archivos o depósitos.
2. Encender la iluminación solamente cuando no haya luz natural suficiente.
3. Verificar que los equipos queden desconectados y la luz apagada al salir de las oficinas.
4. Ahorrar agua, especialmente en riego de jardines, lavado de vehículos y espacios públicos.
5. Apagar las luces de los edificios sede de las entidades públicas, a partir de las 8 p. m.
6. Promover programas de ahorro de energía eléctrica y agua.
7. En especial, los Gobernadores y Alcaldes adelantarán dentro de la ciudadanía campañas de ahorro de energía eléctrica y agua en cada una de sus jurisdicciones.</t>
  </si>
  <si>
    <t>DIRECTIVA PRESIDENCIAL 4</t>
  </si>
  <si>
    <t>Eficiencia administrativa y lineamientos de la política Cero papel en la Administración Pública.</t>
  </si>
  <si>
    <t>11 Ítems</t>
  </si>
  <si>
    <t>La política denominada "Cero Papel" consiste en la sustitución de los flujos documentales en papel por soportes y medios electrónicos, sustentados en la utilización de Tecnologías de la Información y las Telecomunicaciones. Esta estrategia, además de los impactos en favor del ambiente, tiene por objeto incrementar la eficiencia administrativa. 
Con el fin de avanzar en la Política de Eficiencia Administrativa y Cero Papel en la Administración Pública, los organismos y entidades destinatarias de la presente directiva deberán identificar, racionalizar, simplificar, y automatizar los trámites y los procesos, procedimientos y servicios internos, con el propósito de eliminar duplicidad de funciones y barreras que impidan la oportuna, eficiente y eficaz prestación del servicio en la gestión de las entidades.</t>
  </si>
  <si>
    <t>DIRECTIVA PRESIDENCIAL 2</t>
  </si>
  <si>
    <t>Buenas prácticas para el ahorro de energía y agua.</t>
  </si>
  <si>
    <t>ACUERDO 114</t>
  </si>
  <si>
    <t>Por el cual se impulsa en las entidades distritales, el aprovechamiento eficiente de residuos sólidos.</t>
  </si>
  <si>
    <t>Artículo 1 al 5: Las Entidades del Distrito Capital deberán impulsar la sensibilización, capacitación, inducción, práctica y formación de los servidores públicos, en el manejo adecuado de los residuos sólidos para su aprovechamiento. También facilitarán los elementos necesarios para la separación de los residuos, así como de un sitio físico para el almacenamiento temporal de los mismos, el cual deberá cumplir con las especificaciones técnicas establecidas en la normatividad vigente sobre la materia.</t>
  </si>
  <si>
    <t>ACUERDO 197</t>
  </si>
  <si>
    <t>Por el cual se establece la Semana del Medio Ambiente</t>
  </si>
  <si>
    <t>1 al 3</t>
  </si>
  <si>
    <t>Artículo 1 al 3: Durante la Semana del Medio Ambiente las entidades que componen la estructura Administrativa Distrital, adelantarán actividades de carácter pedagógico o lúdico, dirigidas a sus funcionarios y comunidad en general, de acuerdo al presupuesto anual.</t>
  </si>
  <si>
    <t>ACUERDO 287</t>
  </si>
  <si>
    <t>Por el cual se establecen lineamientos para aplicar las acciones afirmativas que garantizan la inclusión de los recicladores de oficio en condiciones de pobreza y vulnerabilidad en los procesos de la gestión y manejo integral de los residuos sólidos</t>
  </si>
  <si>
    <t>Artículo 1 al 8: El presente Acuerdo tiene como finalidad orientar las acciones afirmativas que garantizan la participación de los recicladores de oficio en condiciones de pobreza y vulnerabilidad, en los procesos vinculados a la gestión y manejo integral de los residuos sólidos de Bogotá.</t>
  </si>
  <si>
    <t>ACUERDO 333</t>
  </si>
  <si>
    <t>Por el cual se desarrolla la política de reducción de costos ambientales en las entidades del Distrito Capital y se crea la figura de gestor ambiental.</t>
  </si>
  <si>
    <t>Artículo 1 al 5: El presente acuerdo establece la Implementación en todas las Entidades del Distrito Capital, la figura de Gestor Ambiental, con el objetivo principal de reducir los costos ambientales en las Entidades del Distrito.</t>
  </si>
  <si>
    <t>ACUERDO 407</t>
  </si>
  <si>
    <t>Por medio del cual se promueve la conversión e instalación de equipos, sistemas e implementos de bajo consumo de agua en el Distrito Capital</t>
  </si>
  <si>
    <t>Artículo 1 al 3: La Administración Distrital promoverá la conversión e instalación de equipos, sistemas e implementos de bajo consumo de agua en las edificaciones ubicadas en el Distrito Capital.</t>
  </si>
  <si>
    <t>ACUERDO 417</t>
  </si>
  <si>
    <t>Por medio del cual se reglamenta el comparendo ambiental en el Distrito Capital y se dictan otras disposiciones.</t>
  </si>
  <si>
    <t>Artículo 1 al 7: La finalidad del presente Acuerdo es la de reglamentar en el Distrito Capital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t>
  </si>
  <si>
    <t>ACUERDO 510</t>
  </si>
  <si>
    <t>Por medio del cual se toman medidas para racionalizar el consumo de energía en Bogotá durante la época navideña.</t>
  </si>
  <si>
    <t>Artículo 2: La Administración Distrital promoverá campañas ambientales con el fin de que los alumbrados navideños instalados por particulares se adapten voluntariamente a lo ordenado en el presente Acuerdo.</t>
  </si>
  <si>
    <t>ACUERDO 515</t>
  </si>
  <si>
    <t>Por el cual se reglamenta el Comparendo Ambiental en el Distrito Capital.</t>
  </si>
  <si>
    <t>Artículo 1 al 6: La finalidad de este Acuerdo es la de aplicar los instrumentos legales y normativos en el Distrito Capital para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t>
  </si>
  <si>
    <t>ACUERDO 540</t>
  </si>
  <si>
    <t>Artículo 1 al 8: El presente Acuerdo tiene como objetivo establecer los lineamientos para la formulación del programa distrital de Compras Verdes para la ciudad de Bogotá D.C.</t>
  </si>
  <si>
    <t>ACUERDO 602</t>
  </si>
  <si>
    <t>Por medio del cual se promueve la formulación del plan estratégico para el manejo, reutilización y aprovechamiento de llantas usadas en el distrito capital y se adoptan otras disposiciones.</t>
  </si>
  <si>
    <t>Artículo 6: La Administración Distrital impulsará en todas sus dependencias una política de reutilización y aprovechamiento en su parque automotor teniendo como alternativa principal el reencauche y las demás que representen valor agregado.</t>
  </si>
  <si>
    <t>ACUERDO 634</t>
  </si>
  <si>
    <t>Por medio de la cual se establecen regulaciones para la generación, recolección y tratamiento o aprovechamiento adecuado del aceite vegetal usado y se dictan otras disposiciones.</t>
  </si>
  <si>
    <t>1, 2, 3, 5, 6, 12</t>
  </si>
  <si>
    <t>Artículo 1. Objeto. El presente Acuerdo tiene por objeto regular la gestión del Aceite Vegetal Usado (AVU), que comprende las etapas de generación, recolección, transporte, almacenamiento, tratamiento o aprovechamiento en el Distrito Capital. Artículo 2. Campo de Aplicación. El presente Acuerdo se aplicará a quienes ejerzan actividades relacionadas con la generación, recolección, transporte, almacenamiento, tratamiento o aprovechamiento de Aceite Vegetal Usado, en el Distrito Capital. Artículo 3. Definiciones, Artículo 5. Obligaciones del generador, Artículo 6. Prohibiciones del generador, Artículo 12. Responsabilidad. Artículo 13. Sanciones</t>
  </si>
  <si>
    <t>RESOLUCIÓN 2190</t>
  </si>
  <si>
    <t>Secretaria Distrital de Salud</t>
  </si>
  <si>
    <t>Por la cual se reglamentan las condiciones para transporte de agua en carrotanque, lavado y desinfección de tanques de almacenamiento domiciliario y Empresas que realizan la actividad de lavado y desinfección de tanques domiciliarios.</t>
  </si>
  <si>
    <t>Artículo 2: Los tanques de almacenamiento domiciliario deberán ser sometidos a lavado y desinfección mínimo 2 veces al año y en caso de detectar daños o infiltraciones se realizará el lavado y desinfección después de su reparación.</t>
  </si>
  <si>
    <t>DAMA</t>
  </si>
  <si>
    <t>Por la cual se reglamentan los niveles permisibles de emisión de contaminantes producidos por las fuentes móviles con motor a gasolina y diesel.</t>
  </si>
  <si>
    <t>1 al 13</t>
  </si>
  <si>
    <t>Artículo 1 al 13: El presente decreto establece los niveles máximos permisibles de emisión de contaminantes que deben cumplir las fuentes móviles terrestres con motor a gasolina con motor a Diesel., reglamenta los requisitos y certificaciones a las que están sujetos los vehículos y demás fuentes móviles, sean importadas o de fabricación nacional, y se adoptan otras disposiciones.</t>
  </si>
  <si>
    <t>RESOLUCIÓN 1188</t>
  </si>
  <si>
    <t>Por la cual se adopta el manual de normas y procedimientos para la gestión de aceites usados en el Distrito Capital.</t>
  </si>
  <si>
    <t>1, 2, 3, 4, 5, 6, 7, 17, 18</t>
  </si>
  <si>
    <t>Artículo 1: Objeto de la resolución. Artículo 2: Campo de aplicación. Artículo 3: Definiciones. Artículo 4: Obligaciones Generales. Artículo 5: Obligaciones del Generador: a) El generador de los aceites usados de origen automotriz, deberá realizar el cambio de su aceite lubricante en establecimientos que cumplan con los requisitos de acopiador primario, establecidos en la presente resolución. b) El generador de aceites usados de origen industrial, comercial y/o institucional, el cual se asimilará para todos los efectos al acopiador primario, deberá cumplir con las obligaciones impuestas al acopiador primario en la presente Resolución. c) Cumplir los procedimientos, obligaciones y prohibiciones contenidos en el Manual de Normas y Procedimientos para la Gestión de los Aceites Usados, así como las disposiciones de la presente resolución. d) No se podrá realizar el cambio de aceite motor y/o de transmisión en espacio público o en áreas privadas de uso comunal. Artículo 6: Obligaciones del acopiador. Artículo 7: Prohibiciones del acopiador primario. Artículo 17: Responsabilidad: Cada uno de los actores de la cadena de la gestión de aceites usados, es solidariamente responsable por el daño e impacto causado sobre el ambiente o la salud, por el manejo indebido de sus aceites usados, dentro y fuera del lugar donde ejecuta su actividad, en cualquiera de las etapas de manipulación, sea a través de fórmulas comerciales o no. La responsabilidad de que trata este artículo cesará solo en el momento en que se hayan dispuesto finalmente los aceites usados; hayan sido utilizados o aprovechados como insumo en los términos dispuestos o hayan perdido totalmente sus propiedades de desecho peligroso, todo lo anterior en concordancia con las normas vigentes. Artículo 18: Sanciones.</t>
  </si>
  <si>
    <t>RESOLUCION 18 0606</t>
  </si>
  <si>
    <t>Por la cual se especifican los requisitos técnicos que deben tener las fuentes lumínicas de alta eficacia usadas en sedes de entidades públicas.</t>
  </si>
  <si>
    <t>Artículo 1 al 6: Esta resolución tiene por objeto determinar las especificaciones técnicas mínimas aceptadas en la sustitución y uso de fuentes lumínicas en los edificios que sean sede de entidades públicas de cualquier orden, independientemente de quien ostente la propiedad del inmueble.</t>
  </si>
  <si>
    <t>RESOLUCION 1402</t>
  </si>
  <si>
    <t>Por la cual se desarrolla parcialmente el DECRETO 4741 del 30 de diciembre de 2005, en materia de residuos o desechos peligrosos.</t>
  </si>
  <si>
    <t>Artículo 4: De conformidad con la Ley 430 del 16 de enero de 1998, es obligación y responsabilidad de los generadores identificar las características de peligrosidad de cada uno de los residuos o desechos peligrosos que genere, para lo cual podrá tomar como referencia cualquiera de las alternativas establecidas en el artículo 7º del Decreto 4741 del 30 de diciembre de 2005. La autoridad ambiental podrá exigir la caracterización fisicoquímica de los residuos o desechos, cuando lo estime conveniente o necesario.</t>
  </si>
  <si>
    <t>RESOLUCION 1362</t>
  </si>
  <si>
    <t>Por la cual se establecen los requisitos y el procedimiento para el Registro de Generadores de Residuos o Desechos Peligrosos, a que hacen referencia los artículos 27 y 28 del DECRETO 4741 del 30 de diciembre de 2005.</t>
  </si>
  <si>
    <t>1 al 14</t>
  </si>
  <si>
    <t>Artículo 1 al 14:La presente resolución tiene por objeto establecer los requisitos y el procedimiento para el Registro de Generadores de Residuos o Desechos Peligrosos, como instrumento de captura de información, con la finalidad de contar con información normalizada, homogénea y sistemática sobre la generación y manejo de residuos o desechos peligrosos originados por las diferentes actividades productivas y sectoriales del país.</t>
  </si>
  <si>
    <t>RESOLUCIÓN 910</t>
  </si>
  <si>
    <t>Por la cual se reglamentan los niveles permisibles de emisión de contaminantes que deberán cumplir las fuentes móviles terrestres, se reglamenta el artículo 91 del DECRETO 948 de 1995 y se adoptan otras disposiciones.</t>
  </si>
  <si>
    <t>1 al 5, 8, 12, 14, 15, 16, 17, 19, 20, 22, 38, 39</t>
  </si>
  <si>
    <t>Artículo 1 al 39: El presente decreto establece los niveles máximos permisibles de emisión de contaminantes que deben cumplir las fuentes móviles terrestres con motor a gasolina con motor a Diesel, reglamenta los requisitos y certificaciones a las que están sujetos los vehículos y demás fuentes móviles, sean importadas o de fabricación nacional, y se adoptan otras disposiciones.</t>
  </si>
  <si>
    <t>RESOLUCIÓN 931</t>
  </si>
  <si>
    <t>1, 2, 3(b), 6(d)</t>
  </si>
  <si>
    <t>Artículo 1: Definiciones. Artículo 2: Concepto de registro de publicidad exterior visual. Artículo 3: Término de vigencia del registro de publicidad exterior visual, b) Avisos: Cuatro (4) años. Artículo 6: Solicitudes de registro de publicidad exterior visual, Las solicitudes de registro de la publicidad exterior visual serán presentadas en los formatos que para el efecto establezca la Secretaría Distrital de Ambiente, los cuales contendrán por lo menos: d) El número de la licencia de tránsito y las placas de los vehículos en que se instalará la publicidad exterior visual. Cuando se trate de vehículos de transporte público se indicará el modelo y tipo de combustible que utiliza.</t>
  </si>
  <si>
    <t>RESOLUCION 2394</t>
  </si>
  <si>
    <t>Por la cual se dictan unas disposiciones en materia de seguridad.</t>
  </si>
  <si>
    <t>Artículo 5: Los vehículos automotores de servicio particular y público con destinación diferente al transporte de carga, bajo ninguna circunstancia podrán transportar recipientes con combustibles.
Para el transporte de combustibles en vehículos automotores destinados al transporte de carga, sea tanques u otros recipientes, los equipos deben cumplir con los requisitos exigidos por los Decretos números 1609 de 2002 y 4299 de 2005 o las normas que los modifiquen o sustituyan y portar los documentos que para el efecto emitan los Ministerios de Minas y Energía y de Transporte.</t>
  </si>
  <si>
    <t>RESOLUCION 3957</t>
  </si>
  <si>
    <t>Por la cual se establece la norma técnica, para el control y manejo de los vertimientos realizados a la red de alcantarillado público en el Distrito Capital</t>
  </si>
  <si>
    <t>1 al 11, 14 al 19, 22, 23, 30, 31</t>
  </si>
  <si>
    <t>Artículo 1 al 4: Objeto, campo de aplicación, propósitos y definiciones de la norma. Artículo 5 al 8: Generalidades del registro de vertimientos. Artículo 9 al 11: Generalidades del permiso de vertimientos. Artículo 14 al 19: Vertimientos permitidos y no permitidos. Artículo 22: Obligación de tratamiento previo de vertimientos. Artículo 23: Obligación de instalar unidades de pretratamiento. Artículo 30: Visitas de inspección. Artículo 31: Sanciones.</t>
  </si>
  <si>
    <t>RESOLUCIÓN 5572</t>
  </si>
  <si>
    <t>Por el cual se regulan las características y condiciones técnicas para la fijación o instalación de publicidad exterior visual en vehículos automotores, distintos a los de servicio público y se toman otras determinaciones.</t>
  </si>
  <si>
    <t>Artículo 1: Objeto. Artículo 2: Definiciones. Artículo 6: Registro de la publicidad exterior visual en vehículos automotores. Para la fijación o instalación de la Publicidad Exterior Visual en vehículos automotores de que trata la presente Resolución, deberá contar con el registro previo expedido por la Secretaría Distrital de Ambiente. La solicitud de registro deberá gestionarse de conformidad con lo establecido en el Artículo 6º de la Resolución 931 de 2008, adjuntando los documentos que sean pertinentes, indicados en el artículo 7 de la misma Resolución, Artículo 7: Vigencia del registro. El registro se otorgará por un término de dos (2) años, a partir de la notificación del Acto Administrativo, que así lo resuelva.</t>
  </si>
  <si>
    <t>RESOLUCIÓN 1511</t>
  </si>
  <si>
    <t>Por la cual se establecen los Sistemas de Recolección Selectiva y Gestión Ambiental de Residuos de Bombillas y se adoptan otras disposiciones.</t>
  </si>
  <si>
    <t>3, 11, 12, 16, 20, 21</t>
  </si>
  <si>
    <t>Artículo 3: Definiciones. Artículo 11: Acopio de Residuos de Bombillas. Artículo 12: Transporte de Residuos de Bombillas. Artículo 16: Obligaciones de los consumidores. a) Retornar o entregar los residuos de bombillas a través de los puntos de recolección o los mecanismos equivalentes establecidos por los productores, b) Seguir las instrucciones de manejo seguro suministradas por los productores de bombillas, c) Separar los residuos de bombillas de los residuos sólidos domésticos para su entrega en puntos de recolección o mecanismos equivalentes.Artículo 20: Prohibiciones. Artículo 21: Sanciones.</t>
  </si>
  <si>
    <t>RESOLUCIÓN 1457</t>
  </si>
  <si>
    <t>Por la cual se establecen los Sistemas de Recolección Selectiva y Gestión Ambiental de Llantas Usadas y se adoptan otras disposiciones.</t>
  </si>
  <si>
    <t>14, 16</t>
  </si>
  <si>
    <t>Artículo 14: Obligaciones de los consumidores. a) Retornar o entregar las llantas usadas en los puntos de recolección establecidos por los productores; b) Seguir las instrucciones de manejo seguro suministradas por los productores de llantas. Artículo 16: Prohibiciones. Se prohíbe: a) El abandono o eliminación incontrolada de llantas usadas en todo el territorio nacional;  b) Disponer llantas usadas en los rellenos sanitarios; c) Enterrar llantas usadas; d) Acumular llantas usadas a cielo abierto; e) Abandonar llantas usadas en el espacio público; f) Quemar llantas a cielo abierto o cerrado de manera incontrolada; g) Utilizar las llantas usadas como combustible sin el cumplimiento de lo establecido en la Resolución 1488 de 2003, o la norma que la modifique o sustituya.</t>
  </si>
  <si>
    <t>RESOLUCIÓN 104</t>
  </si>
  <si>
    <t>Por el cual se crea el Comité de Coordinación del Plan Institucional de Gestión Ambiental PIGA del Instituto Distrital de Recreación y Deporte.</t>
  </si>
  <si>
    <t>Artículo 1 al 6: Por el cual se crea el Comité de Coordinación del Plan Institucional de Gestión Ambiental PIGA del Instituto Distrital de Recreación y Deporte</t>
  </si>
  <si>
    <t>RESOLUCIÓN 105</t>
  </si>
  <si>
    <t>Por el cual se designa al Gestor Ambiental del Instituto Distrital de Recreación y Deporte.</t>
  </si>
  <si>
    <t>Artículo 1 al 4: Por el cual se designa al Gestor Ambiental del Instituto Distrital de Recreación y Deporte</t>
  </si>
  <si>
    <t>RESOLUCIÓN 1512</t>
  </si>
  <si>
    <t>Por la cual se establecen los Sistemas de Recolección Selectiva y Gestión Ambiental de Residuos de Computadores y/o Periféricos y se adoptan otras disposiciones.</t>
  </si>
  <si>
    <t>3, 12, 15, 19, 20</t>
  </si>
  <si>
    <t>Artículo 3: Definiciones. Artículo 12: De la Gestión de Residuos de Computadores y/o Periféricos. Artículo 15: Obligaciones de los consumidores. a) Retornar o entregar los residuos de computadores y/o periféricos a través de los puntos de recolección o los mecanismos equivalentes establecidos por los productores, b) Seguir las instrucciones de manejo seguro suministradas por los productores de computadores y/o periféricos, c) Separar los residuos de computadores y/o periféricos de los residuos sólidos domésticos para su entrega en puntos de recolección o mecanismos equivalentes. Artículo 19: Prohibiciones. Artículo 20: Sanciones.</t>
  </si>
  <si>
    <t>RESOLUCIÓN 3514</t>
  </si>
  <si>
    <t>Por la cual se adopta el Documento Técnico del Plan de Gestión Ambiental PGA del Distrito Capital 2008-2038</t>
  </si>
  <si>
    <t>1 y 2</t>
  </si>
  <si>
    <t>Artículo  3: Adopción: adóptese el Documento Técnico del Plan de Gestión Ambiental - PGA, el cual hace parte integral del presente acto administrativo, incorporado en el anexo.</t>
  </si>
  <si>
    <t>RESOLUCIÓN 799</t>
  </si>
  <si>
    <t>UAESP</t>
  </si>
  <si>
    <t>Por la cual se establece el listado detallado los materiales reciclables y no reciclables para la separación en la fuente de los residuos sólidos domésticos en el Distrito Capital</t>
  </si>
  <si>
    <t>Artículo 1 al 4: La presente resolución establece la lista del Material Potencialemente Reciclable y Aprovechable (MPR), la lista de Residuos Ordinarios y los residuos peligrosos.</t>
  </si>
  <si>
    <t>RESOLUCIÓN 1115</t>
  </si>
  <si>
    <t>1, 2, 3, 11</t>
  </si>
  <si>
    <t>Artículo 1: Objeto. Artículo 2: Ambito de aplicación. Artículo 3:  Definiciones. Artículo 11: Medidas preventivas y sancionatorias.</t>
  </si>
  <si>
    <t>RESOLUCIÓN IDRD 209</t>
  </si>
  <si>
    <t>Por el cual se modifica la Resolución 104 de 2010.</t>
  </si>
  <si>
    <t>Artículo 1 al 4: Por el cual se modifica la Resolución 104 de 2010</t>
  </si>
  <si>
    <t>RESOLUCIÓN 715</t>
  </si>
  <si>
    <t>Por medio de la cual se modifica la Resolución No.1115 del 26 de septiembre de 2012.</t>
  </si>
  <si>
    <t>Artículo 1:  Modificar el artículo 3 de la Resolución 1115 de 2012 en el sentido de establecer como Residuos de Construcción y Demolición – RCD, no susceptibles de aprovechamiento los siguientes: 
* Materiales aprovechables contaminados con residuos peligrosos. 
* Materiales que por su estado no pueden ser aprovechados. 
* Residuos peligrosos: este tipo de residuo debe ser identificado y manejado de acuerdo a los protocolos establecidos para cada caso. 
* Otros residuos con normas específicas como el  Amianto, Asbesto Cemento, Electrónicos, Biosanitarios, entre otros.</t>
  </si>
  <si>
    <t>Temporal</t>
  </si>
  <si>
    <t>RESOLUCIÓN 242</t>
  </si>
  <si>
    <t>Por la cual se adoptan los lineamientos para la formulación, concertación, implementación, evaluación, control y seguimiento del Plan Institucional de Gestión Ambiental ¿PIGA.</t>
  </si>
  <si>
    <t>1 al 24</t>
  </si>
  <si>
    <t xml:space="preserve">Artículo 1 al 24:  La presente Resolución adopta los lineamientos para la formulación, concertación, implementación, evaluación, control y seguimiento del Plan Institucional de Gestión Ambiental - PIGA. Ámbito de aplicación. El Plan Institucional de Gestión Ambiental –PIGA deberá ser implementado por las entidades del Sector Central, el Sector Descentralizado, funcionalmente o por servicios, y el Sector de las Localidades del Distrito Capital, y deberá estar armonizado con el Subsistema de Gestión Ambiental en las Entidades y Organismos Distritales. Las entidades de otros niveles de la Administración Pública así como entidades privadas, que se localicen en el territorio Distrital, y que estén interesadas en mejorar su gestión ambiental, podrán adoptar los lineamientos establecidos por esta Resolución. </t>
  </si>
  <si>
    <t>RESOLUCIÓN  51</t>
  </si>
  <si>
    <t>Unidad Administrativa especial de Servicios Públicos - UAESP</t>
  </si>
  <si>
    <t>Por medio de la cual se establece la Figura de Acuerdos de Corresponsabilidad con las Organizaciones de Recicladores como acción afirmativa de fortalecimiento.</t>
  </si>
  <si>
    <t>Artículo 1 al 4: La presente resolución establece la figura de Acuerdos de Corresponsabilidad con las organizaciones de recicladores como acción afirmativa de carácter transitorio, para generar inclusión y condiciones de igualdad real para los recicladores en la prestación de las actividades de recolección, transporte y clasificación de residuos aprovechables.</t>
  </si>
  <si>
    <t>RESOLUCIÓN 210</t>
  </si>
  <si>
    <t>Por el cual se modifica el Artículo 1 de la Resolución 105 de 2010 Por el cual se designa al Gestor Ambiental del Instituto Distrital de Recreación y Deporte.</t>
  </si>
  <si>
    <t>Artículo 1 al 3: Por el cual se modifica el Artículo 1 de la Resolución 105 de 2010 Por el cual se designa al Gestor Ambiental del Instituto Distrital de Recreación y Deporte</t>
  </si>
  <si>
    <t>RESOLUCIÓN 631</t>
  </si>
  <si>
    <t>Por la cual se establecen los parámetros y los valores límites máximos permisibles en los vertimientos puntuales a cuerpos de aguas superficiales y a los sistemas de alcantarillado público y se dictan otras disposiciones.</t>
  </si>
  <si>
    <t>1, 2, 5, 16</t>
  </si>
  <si>
    <t xml:space="preserve">Artículo 1: Objeto y Ámbito de Aplicación. Artículo 2: Definiciones. Artículo 5: Del parámetro de temperatura y de la zona de mezcla térmica. Artículo 16: Vertimientos puntuales de Aguas Residuales no Domésticas (ARnD) al alcantarillado público. </t>
  </si>
  <si>
    <t>RESOLUCIÓN 932</t>
  </si>
  <si>
    <t>Por medio de la cual se modifica y adicipona la Resolución No.1115 de 2012.</t>
  </si>
  <si>
    <t>1  y 2</t>
  </si>
  <si>
    <t>Artículo 1:  Modificar el artículo 3 de la Resolución 1115 de 2012 en el sentido de:
* Obligaciones de los grandes generadores
*Definición de los aspectos del Plan de Gestión de RCD 
Artículo 2: Sobre la dispocisión de RCD en espacio público</t>
  </si>
  <si>
    <t>Alcaldía Mayor de Bogotá D.C</t>
  </si>
  <si>
    <t>Adopción de medidas para el ahorro de energía eléctrica y agua en la administración pública</t>
  </si>
  <si>
    <t>Toda la circular</t>
  </si>
  <si>
    <t>Atendiendo que el uso racional y eficiente de la Energía ha sido declarado como un asunto de interés social, público y de conveniencia nacional, fundamental para asegurar el abastecimiento energético pleno y oportuno, de acuerdo con lo establecido en el artículo 1 de la Ley 697 de 2001.
Que la emergencia Nacional generada por el "Fenómeno del Niño", ha causado un impacto directo en la variación de las condiciones medio ambientales disminuyendo las fuentes hídricas y debilitando la capacidad de generación de energía eléctrica del país.
La Administración Distrital se dirige a las Entidades, Órganos y Organismos Distritales, para que se implemente y haga seguimiento, a las siguientes medidas de ahorro de energía eléctrica y agua establecidas en esta circular</t>
  </si>
  <si>
    <t>RESOLUCIÓN 472</t>
  </si>
  <si>
    <t>Por la cual se reglamenta la gestión integral de residuos generados en las actividades de construcción y demolición - RCD y se dictan otras dispociciones</t>
  </si>
  <si>
    <t>1 al 7, 15, 20</t>
  </si>
  <si>
    <t>Artículo 1o. Objeto y ámbito de aplicación. Artículo 2o. Definiciones. Artículo 3o. Jerarquía en la gestión integral de los RCD. Artículo 4o. Actividades de la gestión integral de RCD. Artículo 5o. Prevención y reducción de RCD. Artículo 6o. Recolección y transporte de RCD. Artículo 7o. Almacenamiento. Artículo 15. Obligaciones de los generadores de RCD. Artículo 20. Prohibiciones.</t>
  </si>
  <si>
    <t>RESOLUCIÓN 1326</t>
  </si>
  <si>
    <t>1 al 4, 18, 21, 22</t>
  </si>
  <si>
    <t>Artículo 1o. Objeto.  Artículo 2o. Jerarquía, ambito de aplicación y definiciones. Artículo 3o. Ámbito de aplicación. Artículo 4o. Definiciones. Artículo 18. Obligaciones de los consumidores. Artículo 21. De los montallantas. Artículo 22. Prohibiciones.</t>
  </si>
  <si>
    <t>Por el cual se establecen disposiciones con la gestión de los aceites de cocina usados y se dictan otras disposiciones</t>
  </si>
  <si>
    <t>1 al 5
9</t>
  </si>
  <si>
    <t>El presente acto administrativo establece las disposiciones para la adecuada gestión de los Aceites de Cocina Usados (ACU) y aplica a los productores, distribuidores y comercializadores de aceites vegetales comestibles, generadores (industriales, comerciales y servicios) y gestores de ACU.</t>
  </si>
  <si>
    <t>RESOLUCIÓN 1407</t>
  </si>
  <si>
    <t>Por el cual se reglamenta la gestión ambiental de los residuos de envases y empaques de papel, cartón, plástico, vidrio, metal y se toman otras determinaciones</t>
  </si>
  <si>
    <t>16 (b), ©</t>
  </si>
  <si>
    <t>Artículo 16. Obligaciones del consumidor final. Para efectos de la implementación de los Planes, son obligaciones de los consumidores, las siguientes:
a) Entregar los residuos de envases y empaques separados en los puntos de recolección
b) Realizar una correcta separación  en la fuente de los residuos de envases y empaques.
c) Entregar los residuos de envases y empaques en los puntos de recolección o a través de los mecanismos equivalentes establecidos por los productores.</t>
  </si>
  <si>
    <t>Todo, (52)</t>
  </si>
  <si>
    <t>El ejercicio del deporte, sus manifestaciones recreativas, competitivas y autóctonas tienen como función la formación integral de las personas, preservar y desarrollar una mejor salud en el ser humano. El deporte y la recreación, forman parte de la educación y constituyen gasto público social. Se reconoce el derecho de todas las personas a la recreación, a la práctica del deporte y al aprovechamiento del tiempo libre. El Estado fomentará estas actividades e inspeccionará, vigilará y controlará las organizaciones deportivas y recreativas cuya estructura y propiedad deberán ser democráticas.</t>
  </si>
  <si>
    <t>Oficina Asesora Jurídica</t>
  </si>
  <si>
    <t>Por medio de la cual se crean mecanismos para descongestionar los Despachos Judiciales, y se dictan otras disposiciones.
&lt;Reglamentado por el decreto nacional 800 de 1991&gt;</t>
  </si>
  <si>
    <t>Estatuto de Seguridad Social</t>
  </si>
  <si>
    <t>Por la cual se dictan disposiciones generales para el Fomento del Deporte, la recreación, el aprovechamiento del tiempo libre y la educación física y se Crea el Sistema Nacional del Deporte.</t>
  </si>
  <si>
    <t>Artículo 68</t>
  </si>
  <si>
    <t>LEY 270</t>
  </si>
  <si>
    <t>Estatutaria de la Administración de Justicia</t>
  </si>
  <si>
    <t>LEY 383</t>
  </si>
  <si>
    <t>LEY 446</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</si>
  <si>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</si>
  <si>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LEY 488</t>
  </si>
  <si>
    <t>Por la cual se dictan normas sobre la organización y funcionamiento de las entidades del orden nacional, se expiden las disposiciones, principios y reglas generales para el ejercicio de la atribuciones previstas en los numerales 15 y 16 del artículo 189 de la Constitución Política y se dictan otras disposiciones.
&lt;reglamentado por el decreto nacional 910 de 2000&gt;</t>
  </si>
  <si>
    <t>Por medio de la cual se define el deporte asociado de personas con limitaciones físicas, mentales o sensoriales, se reforma la Ley 181 de 1995 y el Decreto 1228 de 1995, y se dictan otras disposiciones”.(Artículos 1 – 10) Reglamentado por el Decreto 641 de 2001</t>
  </si>
  <si>
    <t>1 al 10</t>
  </si>
  <si>
    <t>Por la cual se expide el Código Penal</t>
  </si>
  <si>
    <t>LEY 678</t>
  </si>
  <si>
    <t>por medio de la cual se reglamenta la determinación de responsabilidad patrimonial de los agentes del Estado a través del ejercicio de la acción de repetición o de llamamiento en garantía con fines de repetición.</t>
  </si>
  <si>
    <t>LEY 712</t>
  </si>
  <si>
    <t>Por medio del cual se reforma el Código Procesal del Trabajo</t>
  </si>
  <si>
    <t>LEY 863</t>
  </si>
  <si>
    <t>LEY 909</t>
  </si>
  <si>
    <t>Por el cual se expiden normas que regulan el empleo público, la carrera administrativa, gerencia pública y se dictan otras disposiciones.
&lt;Reglamentada por el decreto nacional 4500 de 2005 y el decreto nacional 3905 de 2009 y decreto nacional  4567 de 2011&gt;</t>
  </si>
  <si>
    <t>LEY 996</t>
  </si>
  <si>
    <t xml:space="preserve"> por medio de la cual se reglamenta la elección de Presidente de la República, de conformidad con el artículo 152 literal f) de la Constitución Política de Colombia, y de acuerdo con lo establecido en el Acto Legislativo 02 de 2004, y se dictan otras disposiciones. / Ley de Garantías.
&lt;Reglamentada por el decreto nacional  734 de 2012&gt;</t>
  </si>
  <si>
    <t>Por la cual se dictan disposiciones sobre racionalización de trámites y procedimientos administrativos de los organismos y entidades del Estado y de los particulares que ejercen funciones públicas o prestan servicios públicos”. (Artículo 72: Racionalización del trámite del reconocimiento deportivo) Reglamentada parcialmente por el Decreto Nacional 4669 de 2005, Reglamentada parcialmente por el Decreto Nacional 1151 de 2008.</t>
  </si>
  <si>
    <t>LEY 1066</t>
  </si>
  <si>
    <t>Por medio de la cual se introducen medidas para la eficiencia y la transparencia en la Ley 80 de 1993 y se dictan otras disposiciones generales sobre la contratación con Recursos Públicos.
&lt;Reglamentada por el decreto nacional 2473 de 2010&gt;</t>
  </si>
  <si>
    <t>LEY 1285</t>
  </si>
  <si>
    <t>Por medio de la cual se reforma la Ley 270 de 1996 Estatutaria de la Administración de Justicia.</t>
  </si>
  <si>
    <t>Por la cual se expide el Código de Procedimiento Administrativo y de lo Contencioso Administrativo.</t>
  </si>
  <si>
    <t>Por la cual se dictan normas orientadas a fortalecer los mecanismos de prevención, investigación y sanción de actos de corrupción y la efectividad del control de la gestión pública.
&lt;Reglamentado por el decreto nacional  734 de 2012&gt;</t>
  </si>
  <si>
    <t>Por el cual se establece el régimen jurídico de las Asociaciones Público Privadas, se dictan normas Orgánicas de presupuesto y se dictan otras disposiciones.
&lt;Reglamentado por el decreto nacional  1467 de 2012&gt;</t>
  </si>
  <si>
    <t>LEY 1564</t>
  </si>
  <si>
    <t>" Dicta disposiciones de protección de datos personales"</t>
  </si>
  <si>
    <t>" Se crea la ley de transparencia y de derecho de acceso a la información Pública Nacional"</t>
  </si>
  <si>
    <t>LEY 1821</t>
  </si>
  <si>
    <t>Por medio de la cual se modifica la edad máxima para el retiro forzoso de las personas que desempeñan funciones públicas.</t>
  </si>
  <si>
    <t>POR LA CUAL SE ADICIONAN, MODIFICAN Y DICTAN DISPOSICIONES ORIENTADAS A FORTALECER LA CONTRATACiÓN PÚBLICA EN COLOMBIA, LA LEY DE INFRAESTRUCTURA Y SE DICTAN OTRAS DISPOSICIONES.</t>
  </si>
  <si>
    <t>DECRETO 2663</t>
  </si>
  <si>
    <t>Código Sustantivo del Trabajo.</t>
  </si>
  <si>
    <t>DECRETO 3743</t>
  </si>
  <si>
    <t>Por el cual se modifica el DECRETO No. 2663 de 1950, sobre Código Sustantivo del Trabajo.</t>
  </si>
  <si>
    <t>DECRETO 905</t>
  </si>
  <si>
    <t>Por el cual se modifican los artículos No. 254 y 256 del Código Sustantivo del Trabajo.</t>
  </si>
  <si>
    <t>DECRETO 1950</t>
  </si>
  <si>
    <t>Por el cual se reglamentan los DECRETOs-Leyes 2400 y 3074 de 1968 y otras normas sobre administración del personal civil.
&lt;Derogado por art 4 de la ley 1821 de 2016&gt;</t>
  </si>
  <si>
    <t>DECRETO 886</t>
  </si>
  <si>
    <t>Por medio del cual se reglamenta la actividad de los deportistas aficionados y el funcionamiento de sus clubes deportivos.</t>
  </si>
  <si>
    <t>DECRETO 1045</t>
  </si>
  <si>
    <t>Por la cual se fijan las reglas generales para la aplicación de las normas sobre prestaciones sociales de los empleados públicos y trabajadores oficiales del sector nacional.</t>
  </si>
  <si>
    <t>Modificado por el Decreto Nacional 3258 de 2002 y las Leyes 383 de 1997, 488 de 1998 y 863 de 2003
Reglamentado parcialmente por los Decretos Nacionales: 422 de 1991; 847 , 1333 y 1960 de 1996; 3050 , 700 y 124 de 1997; 841 , 1514 y 2201 de 1998; 558 , 1345 , 1737 y 2577 de 1999; 531 de 2000; 333 y 406 de 2001; 4400 de 2004, 1070, 3026, 3028 y 3032 de 2013, 2193 de 2013, 1966 de 2014. 
Por el cual se expide el Estatuto Tributario de los impuestos administrados por la Dirección General de Impuesto Nacionales</t>
  </si>
  <si>
    <t>DECRETO 2591</t>
  </si>
  <si>
    <t>Por el cual se reglamenta la acción de tutela consagrada en el artículo 86 de la Constitución Política.
&lt;Reglamentado por el decreto 306 de 1992&gt;</t>
  </si>
  <si>
    <t>DECRETO 800</t>
  </si>
  <si>
    <t>Por el cual se reglamenta la ley 23 de 1991, sobre descongestión de despachos judiciales.</t>
  </si>
  <si>
    <t>DECRETO 306</t>
  </si>
  <si>
    <t>Por el cual se reglamenta el DECRETO 2591 de 1991.</t>
  </si>
  <si>
    <t>Artículos 1, 2, 3, 6, 18, 19, 21 y 22.</t>
  </si>
  <si>
    <t>DECRETO 641</t>
  </si>
  <si>
    <t>Por la cual se reglamenta la Ley 582 de 2000.</t>
  </si>
  <si>
    <t>Artículos 2, 3, 4, 5, 6 y 7.</t>
  </si>
  <si>
    <t>DECRETO 362</t>
  </si>
  <si>
    <t>DECRETO NACIONAL 1919</t>
  </si>
  <si>
    <t>Por el cual se fija el régimen de prestaciones sociales para los empleados públicos y se regula el régimen mínimo prestacional de los trabajadores oficiales a nivel territorial.</t>
  </si>
  <si>
    <t>DECRETO 3258</t>
  </si>
  <si>
    <t>DECRETO 175</t>
  </si>
  <si>
    <t>Por el cual se dictan disposiciones para la gestión de obligaciones contingentes en Bogotá, D.C.</t>
  </si>
  <si>
    <t>DECRETO 4473</t>
  </si>
  <si>
    <t>Reglamenta la ley 1066 de 2006.</t>
  </si>
  <si>
    <t>Por el cual se reglamenta el artículo 13 de la Ley 1285 de 2009, el artículo 75 de la Ley 446 de 1998 y del Capítulo V de la Ley 640 de 2001.</t>
  </si>
  <si>
    <t>DECRETO  2473</t>
  </si>
  <si>
    <t>Por el cual se reglamenta parcialmente la Ley 80 de 1993, la Ley 590 de 2000, la Ley 816 de 2003 y la Ley 1150 de 2007.</t>
  </si>
  <si>
    <t>DECRETO 606</t>
  </si>
  <si>
    <t>Por medio de la cual se dictan disposiciones para el cumplimiento de las providencias judiciales y decisiones extrajudiciales a cargo de la Administración Distrital y se dictan otras disposiciones .</t>
  </si>
  <si>
    <t>DECRETO 654</t>
  </si>
  <si>
    <t>Por el cual se adopta el Modelo de Gerencia Jurídica Pública para las entidades, organismos y órganos de control del Distrito Capital.
&lt;Modificado por el art 23 de decreto distrital  527 de 2014&gt;</t>
  </si>
  <si>
    <t>DECRETO 690</t>
  </si>
  <si>
    <t>Por el cual se dictan lineamientos sobre la conciliación y los Comités de Conciliación en Bogotá, D.C.</t>
  </si>
  <si>
    <t>DECRETO 734</t>
  </si>
  <si>
    <t>Por el cual se reglamenta el Estatuto General de Contratación de la Administración Pública y se dictan otras disposiciones.</t>
  </si>
  <si>
    <t>Por el cual se dictan normas para suprimir o reformar regulaciones, procedimientos y trámites innecesarios existentes en la Administración Pública.
&lt;Reglamentado por el decreto nacional  734 de 2012&gt;</t>
  </si>
  <si>
    <t>Por el cual se reglamenta la Ley 1508 de 2012.
&lt;Modificado por el articulo 1 de decreto nacional 1553 de 2014&gt;</t>
  </si>
  <si>
    <t>" Reglamenta la ley 1581 de 2012"</t>
  </si>
  <si>
    <t>DECRETO 1510</t>
  </si>
  <si>
    <t>Por el cual se reglamenta el sistema de compras y contratación pública.</t>
  </si>
  <si>
    <t>DECRETO 527</t>
  </si>
  <si>
    <t>Por medio del cual se crean las instancias de coordinación del Sector Administrativo Mujeres, se determina la participación de la Secretaría Distritalde la Mujer en las instancias de coordinación existentes en el Distrito Capital, y se dictan otras disposiciones.</t>
  </si>
  <si>
    <t>DECRETO 1553</t>
  </si>
  <si>
    <t>Por medio del cual se modifica el Decretonúmero 1467 de 2012.</t>
  </si>
  <si>
    <t>Presidencia de la Repúiblica</t>
  </si>
  <si>
    <t>Por medio del cual se expide el Decreto Reglamentario Único del Sector Presidencia de la República</t>
  </si>
  <si>
    <t>DECRETO 1085</t>
  </si>
  <si>
    <t>Por medio del cual se expide el Decreto Único Reglamentario del Sector Administrativo del Deporte</t>
  </si>
  <si>
    <t>DECRETO 547</t>
  </si>
  <si>
    <t xml:space="preserve">Alcaldia Mayor de Bogotá </t>
  </si>
  <si>
    <t>Por medio del cual se fusionan y reorganizan las Instancias de Coordinación con fundamento en las facultades extraordinarias otorgadas al Alcalde Mayor de Bogotá por el artículo 118 del Acuerdo 645 de 2016, y se dictan otras disposiciones</t>
  </si>
  <si>
    <t>Por el cual se reglamentan los numerales 1, y 8 del artículo 13 de la Ley 1618 de 2013, sobre incentivos en Procesos de Contratación en favor de personas con discapacidad.</t>
  </si>
  <si>
    <t>" Adopta el Modelo Integrado de Planeación y Gestión Nacional y se dictan otras disposiciones"</t>
  </si>
  <si>
    <t>DECRETO  395</t>
  </si>
  <si>
    <t>" Por medio del cual se racionalizan las instancias de Coordinación del Sector Cultura, Recreación y Deporte"</t>
  </si>
  <si>
    <t>ACUERDO 6</t>
  </si>
  <si>
    <t>Por medio del cual se expide el Código Fiscal.</t>
  </si>
  <si>
    <t>ACUERDO 716</t>
  </si>
  <si>
    <t>Concejo de Bogotá D.C.</t>
  </si>
  <si>
    <t>" Por medio del cual se promueve a Bogotá D.C., como ciudad libre de discriminación y se dictan otras disposiciones</t>
  </si>
  <si>
    <t>Por la cual se reglamenta el proyecto de Escuelas de Formación</t>
  </si>
  <si>
    <t>RESOLUCIÓN 1561</t>
  </si>
  <si>
    <t>Por la cual se dictan disposiciones para el proceso de recepción de las declaraciones tributarias y el recaudo de los impuestos distritales, anticipos, sanciones, intereses y demás tributos administrados por la dirección de impuestos distritales a través de las entidades recaudadoras.</t>
  </si>
  <si>
    <t>RESOLUCIÓN 866</t>
  </si>
  <si>
    <t>Por medio de la cual se adopta el Manual de Procedimientos para la Gestión de las Obligaciones Contingentes en Bogotá D.C.</t>
  </si>
  <si>
    <t>Por la cual se adopta el Manual de Administración y Cobro de Cartera en el Instituto Distrital para la Recreación y el Deporte.
&lt;Derogado por el art 4 resolucion IDRD 1031 DE 2015&gt;</t>
  </si>
  <si>
    <t>Por la cual se establecen los requisitos, procedimientos y reglamentos para otorgar, supervisar, suspender y cancelar el Aval Deportivo a las Escuelas Deportivas en Bogotá D.C.</t>
  </si>
  <si>
    <t>RESOLUCIÓN  231</t>
  </si>
  <si>
    <t>Por la cual se reglamentan los requisitos que deben cumplir los Clubes Deportivos y Promotores para su funcionamiento</t>
  </si>
  <si>
    <t>RESOLUCIÓN 829</t>
  </si>
  <si>
    <t>Por la cual se adoptó la Política de prevención del daño antijurídico y defensa judicial en el IDRD.</t>
  </si>
  <si>
    <t>RESOLUCIÓN  222</t>
  </si>
  <si>
    <t>Por medio de la cual se modifica la resolución No. 691 de 2011 y el reglamento interno del comité de conciliación.</t>
  </si>
  <si>
    <t>RESOLUCIÓN  360</t>
  </si>
  <si>
    <t>Por medio de la cual se modifica la Resolución 589 del 16 de diciembre del 2010.</t>
  </si>
  <si>
    <t>RESOLUCIÓN 842</t>
  </si>
  <si>
    <t>" Por medio de la cual se mofifica la resolución 691 de 2011 y el regalmento interno del Comité de Conciliación"</t>
  </si>
  <si>
    <t>RESOLUCIÓN 137</t>
  </si>
  <si>
    <t>Por medio de la cual se adopta el Manual de Contratación del Instituto Distrital de Recreación y Deporte -IDRD.</t>
  </si>
  <si>
    <t>RESOLUCIÓN 1031</t>
  </si>
  <si>
    <t>Por la cual se adopta el Manual y Cobro de Cartera en Mora en el Instituto Distrital para la Recreación y el Deporte.</t>
  </si>
  <si>
    <t>RESOLUCIÓN 865</t>
  </si>
  <si>
    <t>Por medio de la cual se modifica el articulo 8 de la Resolución N.310 del 11 de mayo de 2016, por la cual se delegan unas funciones.</t>
  </si>
  <si>
    <t>RESOLUCION 006</t>
  </si>
  <si>
    <t>Por la cual se modifica la estructura organizacional y las funciones de las dependencias del Instituto Distrital de Recreación y Deporte.</t>
  </si>
  <si>
    <t>" Establece parametros para la administración, seguridad, y la gestión de la información Jurídica através de los Sistemas de Información Jurídica"</t>
  </si>
  <si>
    <t>RESOLUCIÓN 1541</t>
  </si>
  <si>
    <t>" Se adopta el plan Nacional de Capacitación Deportiva como requsiito para ser miembro de dirección y administración de organismos deportivos; personal técnido y de juzgamiento, pertenecientes al Sistema Nacional del Deporte"</t>
  </si>
  <si>
    <t>RESOLUCION 2067</t>
  </si>
  <si>
    <t>" Por la cual se modifica la resolución 1541 de 2018"</t>
  </si>
  <si>
    <t>RESOLUCION 2430</t>
  </si>
  <si>
    <t>DIRECTIVA 12</t>
  </si>
  <si>
    <t>Representación judicial e intervención del distrito capital en procesos concursales de Bogotá. D.C. Sector Central. Nueva versión del módulo de concursales en SIPROJ Bogotá.</t>
  </si>
  <si>
    <t>" Directrices para prevenir conductas irregulares relacionada con incumplimiento de los manuales de funciones y de procedimientos y la pérdida de elementos y documentos públicos"</t>
  </si>
  <si>
    <t>DIRECTIVA 022</t>
  </si>
  <si>
    <t>Suministro de Información personal</t>
  </si>
  <si>
    <t>DIRECTIVA PRESIDENCIAL 07</t>
  </si>
  <si>
    <t>" Facultades extraordinarias para simplificar, suprimir o reformar trámites, procesos y procedimientos innecesarios de la Administración Pública"</t>
  </si>
  <si>
    <t>CIRCULAR 36</t>
  </si>
  <si>
    <t>Secretaría General Alcaldía Mayor</t>
  </si>
  <si>
    <t>Cumplimiento de Sentencias Judiciales.</t>
  </si>
  <si>
    <t>CIRCULAR 24</t>
  </si>
  <si>
    <t>Información quinquenio, lineamientos de defensa para atención de procesos judiciales y solicitud de información.</t>
  </si>
  <si>
    <t>CIRCULAR 49</t>
  </si>
  <si>
    <t>Concentración Asuntos Jurisdiccionales.</t>
  </si>
  <si>
    <t>DIRECTIVA 8</t>
  </si>
  <si>
    <t>Prevención del Daño Antijurídico - Cumplimiento de disposiciones sobre urbanismo y construcción por parte de las entidades distritales.</t>
  </si>
  <si>
    <t>DIRECTIVA  4</t>
  </si>
  <si>
    <t>"Nuevo módulo de seguimiento de políticas de defensa judicial y prevención del año antijurídico en el Sistema de Información de procesos judiciales -SIPROJ.</t>
  </si>
  <si>
    <t>Consentimiento previo de las personas para la utilización de sus fotografías con fines institucionales del distrito capital.</t>
  </si>
  <si>
    <t>CIRCULAR 68</t>
  </si>
  <si>
    <t>Comunicación- notificación electrónica ley 1437 de 2011- requerimientos técnicos, tecnológicos y procedimentales dispuestos por el Consejo Superior de la Judicatura respecto a la reglamentación e implementación de la notificación judicial por medios electrónicos.</t>
  </si>
  <si>
    <t>CIRCULAR 51</t>
  </si>
  <si>
    <t>INFORMACIÓN RELACIONADA CON LOS CORREOS ELECTRÓNICOS Y LAS NOTIFICACIONES JUDICIALES.</t>
  </si>
  <si>
    <t>Secretaria Jurídica Distrital</t>
  </si>
  <si>
    <t>Instructivo artículo 1º del DECRETO 397 de 2012. Rad.2-2017-1606 de febrero 13 de 2017</t>
  </si>
  <si>
    <t>CIRCULAR 0006</t>
  </si>
  <si>
    <t>Procuradoría  la Conciliación Administrativa</t>
  </si>
  <si>
    <t>" Lineamientos para el ejercico de la acción de repetición, el llamamiento en garantía con fines de repetición en el marco del proyecto Gerencia Jurídica y eficiencia Institucional"</t>
  </si>
  <si>
    <t>CIRCULAR 022</t>
  </si>
  <si>
    <t>" Suministro de Información Personal"</t>
  </si>
  <si>
    <t xml:space="preserve">CIRCULAR 024 </t>
  </si>
  <si>
    <t>Secretaría Mayor de la Alcaldía Mayor de Bogotá D.C</t>
  </si>
  <si>
    <t>" Lineamientos especiales para cumplimiento de la Directiva Preseidencial N° 07 de 2019 ( artículo 333 de la ley 1955 de 2019)"</t>
  </si>
  <si>
    <t>Alcaldía Mayor de Bogotá D.C. / Secretaria General Alcaldía</t>
  </si>
  <si>
    <t>IMPLEMENTACION SISTEMA PENAL ACUSATORIO.- EL DISTRITO CAPITAL COMO PERJUDICADO DE LOS DELITOS CONTRA LA ADMINISTRACION PÚBLICA EN EL NUEVO SISTEMA PENAL</t>
  </si>
  <si>
    <t xml:space="preserve">DIRECTIVA 025 </t>
  </si>
  <si>
    <t>" Lineamientos metodológicos para la formualción y adopción de la Política de prevención del Daño Antijurídico por parte de los Comites de Conciliación de Organismos y Entidades Distritales"</t>
  </si>
  <si>
    <t>Constitución Política de Colombia 1991</t>
  </si>
  <si>
    <t>Artículo 209</t>
  </si>
  <si>
    <t>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Las autoridades administrativas deben coordinar sus actuaciones para el adecuado cumplimiento de los fines del Estado La administración pública, en todos sus órdenes, tendrá un control interno que se ejercerá en los términos que señale la ley</t>
  </si>
  <si>
    <t>Publicidad de los actos y documentos oficiales</t>
  </si>
  <si>
    <t>Por medio de la cual se define y reglamenta el acceso y uso de los mensajes de datos, del comercio electrónico y de las firmas digitales, y se establecen las entidades de certificación y se dictan otras disposiciones</t>
  </si>
  <si>
    <t>LEY 594</t>
  </si>
  <si>
    <t>Por medio de la cual se dicta la Ley General de Archivos y se dictan otras disposiciones</t>
  </si>
  <si>
    <t>LEY 790</t>
  </si>
  <si>
    <t>Por la cual se expiden disposiciones para adelantar el programa de renovación de la administración pública y se otorgan unas facultades Extraordinarias al Presidente de la República</t>
  </si>
  <si>
    <t>LEY 906</t>
  </si>
  <si>
    <t>Por la cual se expide el Código de Procedimiento Penal (Corregida de conformidad con el DECRETO 2770 de 2004)"</t>
  </si>
  <si>
    <t>Por la cual se dictan disposiciones sobre racionalización de trámites y procedimientos administrativos de los organismos y entidades del Estado y de los particulares que ejercen funciones públicas o prestan servicios públicos</t>
  </si>
  <si>
    <t>Por la cual se establecen normas para promover y regular el Teletrabajo y se dictan otras disposiciones</t>
  </si>
  <si>
    <t>LEY 1266</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</si>
  <si>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</si>
  <si>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Ley 1273</t>
  </si>
  <si>
    <t>Por la cual se definen Principios y conceptos sobre la sociedad de la información y la organización de las Tecnologías de la Información y las Comunicaciones -TIC-, se crea la Agencia Nacional del Espectro y se dictan otras disposiciones</t>
  </si>
  <si>
    <t>Por el cual se dictan disposiciones generales para la protección de datos personales</t>
  </si>
  <si>
    <t xml:space="preserve">Por medio de la cual se establecen las disposiciones para garantizar el pleno ejercicio de los derechos de las personas con </t>
  </si>
  <si>
    <t>DECRETO 1360</t>
  </si>
  <si>
    <t>Por el cual se reglamenta la inscripción de soporte lógico (software) en el Registro Nacional del Derecho de Autor</t>
  </si>
  <si>
    <t>DECRETO 2150</t>
  </si>
  <si>
    <t>DECRETO 1747</t>
  </si>
  <si>
    <t>Por el cual se reglamenta parcialmente la Ley 527 de 1999, en lo relacionado con las entidades de certificación, los certificados y las firmas digitales</t>
  </si>
  <si>
    <t>Por el cual se modifica la Comisión Distrital de Sistemas -CDS-</t>
  </si>
  <si>
    <t>DECRETO 3816</t>
  </si>
  <si>
    <t>Por el cual se crea la Comisión Intersectorial de Políticas y de Gestión de la Información para la Administración Pública</t>
  </si>
  <si>
    <t>DECRETO 619</t>
  </si>
  <si>
    <t>Por el cual se establece la Estrategia de Gobierno Electrónico de los organismos y de las entidades de Bogotá, Distrito Capital y se dictan otras disposiciones.</t>
  </si>
  <si>
    <t>DECRETO 185</t>
  </si>
  <si>
    <t>Por medio del cual se amplia el plazo para formular la Estrategia Distrital de Gobierno Electrónico de los organismos y de las entidades de Bogotá, DC</t>
  </si>
  <si>
    <t>DECRETO 296</t>
  </si>
  <si>
    <t>Por el cual se le asignan las funciones relacionadas con el Comité de Gobierno en Línea a la Comisión Distrital de Sistemas y se dictan otras disposiciones en la Materia</t>
  </si>
  <si>
    <t>DECRETO 316</t>
  </si>
  <si>
    <t>Por medio del cual se modifica parcialmente el artículo 3 del DECRETO Distrital 619 de 2007 que adoptó las acciones para el desarrollo de la Estrategia Distrital de Gobierno Electrónico</t>
  </si>
  <si>
    <t>DECRETO 1151</t>
  </si>
  <si>
    <t>Por el cual se establecen los lineamientos generales de la Estrategia de Gobierno en Línea de la República de Colombia, se reglamenta parcialmente la Ley 962 de 2005, y se dictan otras disposiciones</t>
  </si>
  <si>
    <t>DECRETO 235</t>
  </si>
  <si>
    <t>Por el cual se regula el intercambio de información entre entidades para el cumplimiento de funciones públicas.</t>
  </si>
  <si>
    <t>DECRETO 884</t>
  </si>
  <si>
    <t>Por medio del cual se reglamenta la Ley 1221 de 2008 y se dictan otras disposiciones</t>
  </si>
  <si>
    <t>DECRETO 2364</t>
  </si>
  <si>
    <t>Por medio del cual se reglamenta el artículo 7 de la Ley 527 de 1999, sobre la firma electrónica y se dictan otras disposiciones</t>
  </si>
  <si>
    <t>DECRETO 2609</t>
  </si>
  <si>
    <t>Gestión documental (Compilado en el 1080 de 2015, Capítulo III)</t>
  </si>
  <si>
    <t>Por el cual se dictan medidas para la aplicación del Teletrabajo en organismos y entidades del Distrito Capital</t>
  </si>
  <si>
    <t>DECRETO 333</t>
  </si>
  <si>
    <t>Por el cual se reglamenta el artículo 160 del DECRETO-ley 19 de 2012</t>
  </si>
  <si>
    <t>Por medio del cual se expide el DECRETO Reglamentario Único del Sector Presidencia de la República</t>
  </si>
  <si>
    <t xml:space="preserve">Decreto 1008 </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</si>
  <si>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</si>
  <si>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ACUERDO 57</t>
  </si>
  <si>
    <t>Por el cual se dictan disposiciones generales para la implementación del Sistema Distrital de Información -SDI, se organiza la Comisión Distrital de Sistemas, y se dictan otras disposiciones</t>
  </si>
  <si>
    <t>ACUERDO 279</t>
  </si>
  <si>
    <t>Por el cual se dictan los lineamientos para la Política de Promoción y Uso del Software libre en el Sector Central, el Sector Descentralizado y el Sector de las Localidades del Distrito Capital</t>
  </si>
  <si>
    <t>Archivo General de la Nación</t>
  </si>
  <si>
    <t>Por medio del cual se desarrollan los artículos 46, 47, 48 del Titulo IX "Conservación de Documentos" de la ley 594 de 2000</t>
  </si>
  <si>
    <t>ACUERDO 3</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</si>
  <si>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capitulo IV del DECRETO 2609 de 2012.</t>
  </si>
  <si>
    <t>Secretaría General Alcaldía Mayor - Comisión Distrital de Sistemas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</si>
  <si>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</si>
  <si>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RESOLUCIÓN 766</t>
  </si>
  <si>
    <t>Por la cual se conforma el Comité de Seguridad de la Información - CSI - del Instituto Distrital de Recreación y Deporte y se definen sus Funciones</t>
  </si>
  <si>
    <t>RESOLUCIÓN 426</t>
  </si>
  <si>
    <t>Por la cual se modifica la resolución 766 de 2014¿, del Instituto Distrital de Recreación y Deporte</t>
  </si>
  <si>
    <t>Por la cual se reglamentan los artículos 2.1.1.2.1.1, 2.1.1.2.1.11, 2.1.1.2.2.2, y el parágrafo 2 del artículo 2.1.1.3.1.1 del DECRETO N° 1081 de 2015.</t>
  </si>
  <si>
    <t xml:space="preserve">Resolucion 004 </t>
  </si>
  <si>
    <t>Por la cual se modifica la Resolución 305 de
2008 de la CDS</t>
  </si>
  <si>
    <t>Consejo Asesor del Gobierno Nacional en materia de control interno de las entidades del orden nacional y territorial</t>
  </si>
  <si>
    <t>Verificación cumplimiento de normas de uso de software</t>
  </si>
  <si>
    <t>CIRCULAR 12</t>
  </si>
  <si>
    <t>Consejo Asesor del Gobierno Nacional</t>
  </si>
  <si>
    <t>Verificación, recomendaciones, seguimiento y resultados sobre el cumplimiento de las normas en materia de derecho de autor sobre programas de computador (software)</t>
  </si>
  <si>
    <t>CIRCULAR 58</t>
  </si>
  <si>
    <t>Cumplimiento DECRETO 1151 de 2008</t>
  </si>
  <si>
    <t>Recomendaciones para llevar a cabo procesos de digitalización y comunicaciones oficiales electrónicas en el marco de la iniciativa cero papel</t>
  </si>
  <si>
    <t>Lineamientos generales para establecer, implementar, mantener y mejorar continuamente el Sistema de Gestión de Seguridad de la Información</t>
  </si>
  <si>
    <t xml:space="preserve">CIRCULAR 10    </t>
  </si>
  <si>
    <t>Señala la metodología para la estandarización de la elaboración y consolidación de informes por entidad u organismo y por sector que deben presentar los Jefes de Control Interno o quien haga sus veces al/la Alcalde/ si Mayor, en cumplimiento del programa Anual de Auditoría a cargo de las Unidades u Oficinas de Control Interno.</t>
  </si>
  <si>
    <t>CIRCULAR 1</t>
  </si>
  <si>
    <t>Consideraciones Circular 001 de 2016</t>
  </si>
  <si>
    <t>CIRCULAR 9</t>
  </si>
  <si>
    <t>Implementación de la ley de transparencia (Ley 1712 de 2014, DECRETO 103 de 2015 y Resolución 3564 de 2015)</t>
  </si>
  <si>
    <t>CIRCULAR 16</t>
  </si>
  <si>
    <t>CONPES 3854 Política Nacional de Seguridad Nacional</t>
  </si>
  <si>
    <t>CIRCULAR 17</t>
  </si>
  <si>
    <t>Medición índice Gobierno en línea</t>
  </si>
  <si>
    <t xml:space="preserve">Circular 041 </t>
  </si>
  <si>
    <t>Instrumento de Arquitectura de TI</t>
  </si>
  <si>
    <t>Circular 045</t>
  </si>
  <si>
    <t>Participacion de las entidades distritales en la racionalizacion y virtualizacion  de tramites en cumplimiento del plan distrital de desarrollo</t>
  </si>
  <si>
    <t>DIRECTIVA PRESIDENCIAL 02</t>
  </si>
  <si>
    <t>Presidencia de la Republica</t>
  </si>
  <si>
    <t>Respeto al derecho de autor y los derechos conexos, en lo referente a utilización de programas de ordenador (software)</t>
  </si>
  <si>
    <t>Promoción y uso de software libre en el Distrito Capital</t>
  </si>
  <si>
    <t>DIRECTIVA 2</t>
  </si>
  <si>
    <t>Plan de Acción de la estrategia de Gobierno en Línea</t>
  </si>
  <si>
    <t>DIRECTIVA  22</t>
  </si>
  <si>
    <t>Estandarización de la Información de identificación, caracterización, ubicación y contacto de los ciudadanos y ciudadanas, que capturan las Entidades del Distrito Capital</t>
  </si>
  <si>
    <t>DIRECTIVA  11</t>
  </si>
  <si>
    <t>Políticas Generales de Tecnologías de Información y Comunicaciones aplicables a las entidades del Distrito Capital</t>
  </si>
  <si>
    <t xml:space="preserve">ISO 27001 </t>
  </si>
  <si>
    <t>Especifica los requisitos necesarios para establecer, implantar, mantener y mejorar un sistema de gestión de la seguridad de la información (SGSI)</t>
  </si>
  <si>
    <t>DOCUMENTO CONPES 2790</t>
  </si>
  <si>
    <t>Gestión Pública orientada a resultados</t>
  </si>
  <si>
    <t>DOCUMENTO CONPES 3072</t>
  </si>
  <si>
    <t>Agenda de Conectividad</t>
  </si>
  <si>
    <t>DOCUMENTO CONPES 3248</t>
  </si>
  <si>
    <t>Renovación de la Administración Pública</t>
  </si>
  <si>
    <t>DOCUMENTO CONPES 3701</t>
  </si>
  <si>
    <t>Lineamientos de política para la Ciberseguridad y Ciberdefensa</t>
  </si>
  <si>
    <t>DOCUMENTO CONPES 3854</t>
  </si>
  <si>
    <t>Política Nacional de Seguridad Digital</t>
  </si>
  <si>
    <t xml:space="preserve">NTC 5854 ICONTEC 2012 </t>
  </si>
  <si>
    <t>Accesibilidad a páginas web</t>
  </si>
  <si>
    <t>DOCUMENTO CONPES 3582</t>
  </si>
  <si>
    <t>Política nacional de ciencia, tecnología e innovación</t>
  </si>
  <si>
    <t>DOCUMENTO CONPES 3920</t>
  </si>
  <si>
    <t>Política Nacional de explotación de datos (Big Data)</t>
  </si>
  <si>
    <t> DECRETO 1413</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</si>
  <si>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</si>
  <si>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 xml:space="preserve">DECRETO 2753 </t>
  </si>
  <si>
    <t>Por el cual se establecen los lineamientos generales de la Estrategia de Gobierno en
línea, se reglamenta parcialmente la Ley 1341 de 2009 y se dictan otras disposiciones.</t>
  </si>
  <si>
    <t>ACUERDO 130</t>
  </si>
  <si>
    <t>Consejo de Bogotá</t>
  </si>
  <si>
    <t>Por medio del cual se establece la infraestructura integrada de datos espaciales para el Distrito Capital y se dictan otras disposiciones</t>
  </si>
  <si>
    <t>Resolución 001</t>
  </si>
  <si>
    <t>Comisión distrital de Sistemas (CDS) de Bogotá</t>
  </si>
  <si>
    <t>Por la cual se establece el reglamento interno de la Comisión Distrital de Sistemas – CDS y se dictan otras disposiciones</t>
  </si>
  <si>
    <t>Resolución 002</t>
  </si>
  <si>
    <t>Resolución Informativa acerca de proyecto de ERP (Enterprise Resource Planning) para el  Distrito y su fase inicial en la Secretaría Distrital de Hacienda</t>
  </si>
  <si>
    <t>Resolución 003</t>
  </si>
  <si>
    <t>Por la cual se aclara la Resolución 004 de 2017 de la CDS</t>
  </si>
  <si>
    <t>Resolución 004</t>
  </si>
  <si>
    <t>Por la cual se modifica la Resolución 305 de 2008 de la CDS</t>
  </si>
  <si>
    <t>Por la cual se adopta la Guía de sitios Web para las entidades del Distrito Capital y se dictan otras disposiciones</t>
  </si>
  <si>
    <t>Artículos: 8,15, 20, 23, 27, y 74.</t>
  </si>
  <si>
    <t>Secretaría General</t>
  </si>
  <si>
    <t xml:space="preserve">LEY 4 </t>
  </si>
  <si>
    <t>Régimen político y municipal</t>
  </si>
  <si>
    <t xml:space="preserve"> Político y Municipal. (Artículos 289, 315, 316, 320 y 337, Los jefes de las oficinas vigilarán que los secretarios reciban los archivos por inventario y que arreglen convenientemente el que corresponda al tiempo que funcionen. Los secretarios de las corporaciones y autoridades públicas dan fe en los certificados que expida relativamente a los negocios que les están confiados por razón de su empleo. Todo individuo puede pedir certificados a los jefes o secretarios de las oficinas, y los primeros los mandarán dar si el asunto de que se trata no fuere reservado. Todo individuo tiene derecho a que s ele den copias de los documentos que existan en las secretarías y en los archivos de las oficinas del orden administrativo, siempre que no tengan carácter de reserva. El gobierno, en los asuntos nacionales, y las asambleas departamentales, en los que los departamentos y municipios, dispondrán lo conveniente respecto del arreglo de los archivos.</t>
  </si>
  <si>
    <t>LEY 47</t>
  </si>
  <si>
    <t>Normas sobre patrimonio documental, artístico, Bibliotecas, museos, archivos y prohibiciones.</t>
  </si>
  <si>
    <t>Derechos de Autor</t>
  </si>
  <si>
    <t xml:space="preserve">Articulo 2. </t>
  </si>
  <si>
    <t>LEY 44</t>
  </si>
  <si>
    <t>Derechos de autor</t>
  </si>
  <si>
    <t>Artículos 1 y 2.</t>
  </si>
  <si>
    <t>Por la cual se crea el Archivo General de la Nación y se dictan otras disposiciones.</t>
  </si>
  <si>
    <t>Toda</t>
  </si>
  <si>
    <t xml:space="preserve">Artículos: 27 y 79. </t>
  </si>
  <si>
    <t>Por la cual se expide el Código Penal. Falsedad de Documentos.</t>
  </si>
  <si>
    <t>LEY 640</t>
  </si>
  <si>
    <t>Por la cual se modifican normas relativas a la conciliación y se dictan otras disposiciones.</t>
  </si>
  <si>
    <t xml:space="preserve">Artículo 34 numerales 1, 5 y 22, artículo 35 numerales 8, 13 y 21. </t>
  </si>
  <si>
    <t>Ley 951</t>
  </si>
  <si>
    <t>Por la cual se crea el acta de informe de gestión</t>
  </si>
  <si>
    <t xml:space="preserve">Artículos 6, 10 y 28. </t>
  </si>
  <si>
    <t>Por medio de la cual se introducen medidas para la eficiencia y la transparencia en la Ley 80 de 1993 y se dictan otras disposiciones generales sobre la contratación con Recursos Públicos.</t>
  </si>
  <si>
    <t xml:space="preserve">Artículos 3 y 8. </t>
  </si>
  <si>
    <t>Ley 1185</t>
  </si>
  <si>
    <t>Por la cual se modifica y adiciona la Ley 397 de 1997 Ley General de Cultura y se dictan otras disposiciones.</t>
  </si>
  <si>
    <t>Artículo 1.</t>
  </si>
  <si>
    <t>Artículos: 3, 53, 54, 55, 56, 57, 58, 59, 60, 61, 62, 63 y 64.</t>
  </si>
  <si>
    <t xml:space="preserve">Artículos 1 y 14. </t>
  </si>
  <si>
    <t xml:space="preserve">Por medio de la cual se expide el Código General del Proceso y se dictan otras disposiciones. </t>
  </si>
  <si>
    <t>Art. 243, 244, 248, 252, 257, 265.</t>
  </si>
  <si>
    <t xml:space="preserve">Artículos: 15, 16, 17, 18, 19, 20, 21, 22 y 23. </t>
  </si>
  <si>
    <t>LEY 1915</t>
  </si>
  <si>
    <t>Por la cual se modifica la Ley 23 de 1982 y se establecen otras disposiciones en materia de derecho de autor y los derechos conexos</t>
  </si>
  <si>
    <t>DECRETO  3354</t>
  </si>
  <si>
    <t>Por el cual se modifica el DECRETO 2527 de 1950 (Prohíbe adulteración, recorte y doblez de microfilmes y prohíbe la incineración de documentos. DEROGADO PÁRRAFO TERCERO DEL ARTÍCULO 1 (ART. 12 LEY 80 DE 1989).</t>
  </si>
  <si>
    <t>DECRETO 2274</t>
  </si>
  <si>
    <t xml:space="preserve">Por el cual se reglamenta el artículo 337 del código de régimen político y municipal y la Ley 57 de 1985 Inventario patrimonio documental y facultad de inspección a los archivos. (Artículos 1 a 5) </t>
  </si>
  <si>
    <t>DECRETO 2620</t>
  </si>
  <si>
    <t>Por el cual se reglamenta el procedimiento para la utilización de medios técnicos adecuados para conservar los archivos de los comerciantes</t>
  </si>
  <si>
    <t>DECRETO 2649</t>
  </si>
  <si>
    <t>Por el cual se reglamenta la Contabilidad en General y se expiden los principios o normas de contabilidad generalmente aceptados en Colombia</t>
  </si>
  <si>
    <t>Artículo 123</t>
  </si>
  <si>
    <t>DECRETO 1748</t>
  </si>
  <si>
    <t>Por el cual se dictan normas para la emisión, cálculo, redención y demás condiciones de los bonos pensionales y se reglamentan los Decretos leyes 656, 1299 y 1314 de 1994, y los artículos 115, siguientes y concordantes de la Ley 100 de 1993.</t>
  </si>
  <si>
    <t>Por el cual se suprimen y reforman regulaciones, procedimientos o trámites innecesarios existentes en la Administración Pública</t>
  </si>
  <si>
    <t>Artículos 26, 29</t>
  </si>
  <si>
    <t>DECRETO  173</t>
  </si>
  <si>
    <t>Por el cual se establecen normas para la protección de la memoria institucional, el patrimonio bibliográfico, hemerográfico y documental en el Distrito Capital</t>
  </si>
  <si>
    <t>DECRETO 514</t>
  </si>
  <si>
    <t>Por el cual se establece que toda entidad pública a nivel Distrital debe tener un Subsistema Interno de Gestión Documental y Archivos (SIGA) como parte del Sistema de Información Administrativa del Sector Público.</t>
  </si>
  <si>
    <t>Se derogan los articulos 1,2,3,9,10,11,12,14,15 y se modifican los articulos 4,6 y 17 por el decreto 828 del 27 de diciembre de 2018.</t>
  </si>
  <si>
    <t>DECRETO  545</t>
  </si>
  <si>
    <t>Por medio del cual se modifica el artículo 21 y se adicionan dos parágrafos al artículo 23 del DECRETO 514 de 2006, que estableció que toda entidad pública a nivel Distrital debe tener un Subsistema Interno de Gestión Documental y Archivos (SIGA).</t>
  </si>
  <si>
    <t>DECRETO  329</t>
  </si>
  <si>
    <t>Por medio del cual se crea el Consejo Distrital de Archivos de Bogotá D.C., se deroga el DECRETO Distrital 475 de 2006 y se dictan otras disposiciones Artículo 3 literal d.</t>
  </si>
  <si>
    <t>Mediante la Ley 527 de 1999 se establecieron las entidades de certificación, para desarrollar actividades de emisión de certificados en relación con las firmas digitales de las personas.</t>
  </si>
  <si>
    <t xml:space="preserve">DECRETO 029 </t>
  </si>
  <si>
    <t>Min Cultura</t>
  </si>
  <si>
    <t>Por medio del cual se reglamenta el proceso de entrega y/o transferencia de los archivos públicos de las entidades que se suprimen, fusionen, privaticen o liquiden; se desarrolla el artículo 20 de la Ley 594 de 2000 y el artículo 39 del Decreto-ley 254 de 2000 y se dictan otras disposiciones.</t>
  </si>
  <si>
    <t>DECRETO  2578</t>
  </si>
  <si>
    <t>Por el cual se reglamenta el Sistema Nacional de Archivos, se establece la Red Nacional de Archivos, se deroga el DECRETO número 4124 de 2004 y se dictan otras disposiciones relativas a la administración de los archivos del Estado.</t>
  </si>
  <si>
    <t>DECRETO  2609</t>
  </si>
  <si>
    <t>Por el cual se reglamenta el Título V de la Ley 594 de 2000, parcialmente los artículos 58 y 59 de la Ley 1437 de 2011 y se dictan otras disposiciones en materia de Gestión Documental para todas las Entidades del Estado.</t>
  </si>
  <si>
    <t>DECRETO 1515</t>
  </si>
  <si>
    <t>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t>
  </si>
  <si>
    <t>DECRETO 2758</t>
  </si>
  <si>
    <t>Por el cual se corrige el artículo 8° y los literales 5 y 6 del artículo 12° del Decreto 1515 de 2013 que reglamenta las trasferencias secundarias y de documentos de valor históricos al Archivo General de la Nación y a los archivos generales territoriales</t>
  </si>
  <si>
    <t>DECRETO 612</t>
  </si>
  <si>
    <t>Departamento Administrativo de la  Función Pública</t>
  </si>
  <si>
    <t xml:space="preserve">Por el cual se fijan directrices para la integración de los planes institucionales y estratégicos al Plan de Acción por parte de las entidades del Estado. </t>
  </si>
  <si>
    <t>DECRETO 828</t>
  </si>
  <si>
    <t xml:space="preserve">"Por el cual se regula el Sistema Distrital de Archivos y se dictan otras disposiciones" </t>
  </si>
  <si>
    <t>ACUERDO 7</t>
  </si>
  <si>
    <t>Por el cual se adopta y se expide el Reglamento General de Archivos</t>
  </si>
  <si>
    <t>Por el cual se modifica la parte I del Acuerdo No. 07 del 29 de junio de 1994 Reglamento General de Archivos, Organos de Dirección, Coordinación y Asesoría</t>
  </si>
  <si>
    <t>ACUERDO 11</t>
  </si>
  <si>
    <t>Por el cual se establecen criterios de conservación y organización de documentos</t>
  </si>
  <si>
    <t>ACUERDO 22</t>
  </si>
  <si>
    <t>Por el cual se modifica la PARTE I del Acuerdo 07 del 29 de junio de 1994 Reglamento General de Archivos, Órganos de Dirección, Coordinación y Asesoría.</t>
  </si>
  <si>
    <t>ACUERDO 49</t>
  </si>
  <si>
    <t>Por el cual se desarrolla el artículo 61 del capítulo 7º de conservación documentos el reglamento general de archivos sobre condiciones de edificios y locales destinados a archivos.</t>
  </si>
  <si>
    <t>ACUERDO 47</t>
  </si>
  <si>
    <t>Por el cual se desarrolla el artículo 43 del capítulo V Acceso a los documentos de archivo, del AGN del Reglamento general de archivos sobre Restricciones por razones de conservación.</t>
  </si>
  <si>
    <t>ACUERDO 50</t>
  </si>
  <si>
    <t>Por el cual se desarrolla el artículo 64 del título VII Conservación de documento, del Reglamento general de archivos sobre Prevención de deterioro de los documentos de archivo y situaciones de riesgo.</t>
  </si>
  <si>
    <t>ACUERDO 56</t>
  </si>
  <si>
    <t>Por el cual se desarrolla el artículo 5, Requisitos para la Consulta del capitulo V, acceso a los documentos de archivo, del reglamento general de archivos.</t>
  </si>
  <si>
    <t>ACUERDO 60</t>
  </si>
  <si>
    <t>Por el cual se establecen pautas para la administración de las comunicaciones oficiales en las entidades públicas y las privadas que cumplen funciones públicas.</t>
  </si>
  <si>
    <t>ACUERDO 38</t>
  </si>
  <si>
    <t>Por el cual se desarrolla el artículo 15 de la Ley General de Archivos 594 de 2000.</t>
  </si>
  <si>
    <t>ACUERDO 42</t>
  </si>
  <si>
    <t>Por el cual se establecen los criterios para la organización de los archivos de gestión en las entidades públicas que cumplen funciones públicas, se regula el Inventario Único Documental y se desarrollan los artículos 21, 22, 23 y 26 de la ley General de Archivos 594 de 2000</t>
  </si>
  <si>
    <t>ACUERDO 2</t>
  </si>
  <si>
    <t>Por el cual se establecen los lineamientos básicos para la organización de fondos acumulados</t>
  </si>
  <si>
    <t>Por el cual se reglamentan los DECRETOs 2578 y 2609 de 2012 y se modifica el procedimiento para la elaboración, presentación, evaluación, aprobación e implementación de las tablas de Retención Documental y las tablas de Valoración Documental.</t>
  </si>
  <si>
    <t>ACUERDO 5</t>
  </si>
  <si>
    <t>Revisar</t>
  </si>
  <si>
    <t>Por el cual se establecen los criterios básicos paro la clasificación, ordenación y descripción de los archivos en las entidades públicas y privadas que cumplen funciones públicas y se dictan otras disposiciones.</t>
  </si>
  <si>
    <t>Por medio del cual se establecen los criterios básicos para creación, conformación, organización, control y consulta de los expedientes de archivo y se dictan otras disposiciones</t>
  </si>
  <si>
    <t>Por medio del cual se establecen los lineamientos para la reconstrucción de expedientes y se dictan otras disposiciones</t>
  </si>
  <si>
    <t>ACUERDO 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</si>
  <si>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</si>
  <si>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“Por el cual se reglamenta la administración integral, control, conservación, posesión, custodia y aseguramiento de los documentos públicos relativos a los derechos humanos y el derecho internacional humanitario que se conservan en archivos de entidades del Estado”.</t>
  </si>
  <si>
    <t>"Por el cual se modifica el artículo 11 del Acuerdo 8 de 2014 que establece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1º y 3º de la Ley 594 de 2000”.</t>
  </si>
  <si>
    <t xml:space="preserve"> “Por el cual se adoptan y reglamentan las condiciones para la declaratoria de Bienes de Interés Cultural de Carácter Documental Archivística -BlC—CDA- y se dictan otras disposiciones” </t>
  </si>
  <si>
    <t>ACUERDO O3</t>
  </si>
  <si>
    <t>“Por el cual se crea, reglamenta y se adopta el Comité evaluador de documentos del Archivo General de la Nación Jorge Palacios Preciado y se dictan otras disposiciones”.</t>
  </si>
  <si>
    <t>RESOLUCIÓN 535</t>
  </si>
  <si>
    <t>Secretaría General  - Alcaldía</t>
  </si>
  <si>
    <t>Por la cual se hace entrega de la aplicación ''Sistema Distrital de Archivos a las entidades del distrito Capital''.</t>
  </si>
  <si>
    <t>RESOLUCIÓN 772</t>
  </si>
  <si>
    <t xml:space="preserve"> IDRD </t>
  </si>
  <si>
    <t>Por medio de la cual se reglamenta el Comité de Archivo del Instituto Distrital para la Recreación y el Deporte, conforme a las disposiciones de la Ley 594 de 2000 y se derogan unas resoluciones</t>
  </si>
  <si>
    <t>RESOLUCIÓN 224</t>
  </si>
  <si>
    <t>No es activo</t>
  </si>
  <si>
    <t>Por medio de la cual se crea el Subsistema de Gestión Documental y Archivos (SIGA) del Instituto Distrital de Recreación y Deporte y se deroga la Resolución 411 de 2009</t>
  </si>
  <si>
    <t>RESOLUCIÓN  765</t>
  </si>
  <si>
    <t>Modifica la Resolución No. 772 de 2006</t>
  </si>
  <si>
    <t>RESOLUCIÓN 697</t>
  </si>
  <si>
    <t>Por la cual se adoptan las Tablas de Retención Documental TRD del Instituto Distrital de Recreación y Deporte -IDRD</t>
  </si>
  <si>
    <t>RESOLUCIÓN 925</t>
  </si>
  <si>
    <t>Por medio de la cual se conforma el Comité Interno de Archivo del Instituto Distrital de Recreación y Deporte - IDRD y se dictan otras disposiciones</t>
  </si>
  <si>
    <t>CIRCULAR 2</t>
  </si>
  <si>
    <t>Parámetros a tener en cuenta para la implementación de nuevas
Tecnologías en los archivos públicos.</t>
  </si>
  <si>
    <t>Producción documental: uso de tintas de escritura</t>
  </si>
  <si>
    <t>CIRCULAR 20</t>
  </si>
  <si>
    <t>Secretaría General Alcaldía Mayor de Bogotá, D. C.</t>
  </si>
  <si>
    <t>Aplicación de las tablas de retención documental en las esntidades del Distrito Capital</t>
  </si>
  <si>
    <t>CIRCULAR 50</t>
  </si>
  <si>
    <t>aplicación de las tablas de retención documental en las entidades del
distrito capital</t>
  </si>
  <si>
    <t>CIRCULAR  1</t>
  </si>
  <si>
    <t>Organización y conservación de los documentos de archivo</t>
  </si>
  <si>
    <t>AGN</t>
  </si>
  <si>
    <t>Organización de Historias Laborales</t>
  </si>
  <si>
    <t>Orientación para el cumplimiento de la circular No. 004 del 2003 (Organización de historias laborales)</t>
  </si>
  <si>
    <t>Circular vigente. Párrafo tercero no se encuentra vigente. Debe darse aplicación a los artículos 2.8.2.1.3; 2.8.2.1.4.; 2.8.2.1.13; 2.8.2.1.14; 2.8.2.1.15 y 2.8.2.1.16 del decreto 1080 de 2015. Así mismo, a la normatividad expedida con posterioridad a la expedición de la circular</t>
  </si>
  <si>
    <t>CIRCULAR  46</t>
  </si>
  <si>
    <t>Definición de criterios técnicos de la serie contratos</t>
  </si>
  <si>
    <t>CIRCULAR  2</t>
  </si>
  <si>
    <t>Decisiones sobre la solución tecnológica de apoyo al aplicativo de Gestión Documental ORFEO</t>
  </si>
  <si>
    <t>Estándares mínimos en procesos de administración de archivos de gestión de documentos electrónicos</t>
  </si>
  <si>
    <t>Obligación de transferir a los archivos generales los documentos de valor secundario</t>
  </si>
  <si>
    <t>Prohibición de enviar originales de documentos de Archivo a otro tipo de Unidades de Información</t>
  </si>
  <si>
    <t>Adquisición de herramientas tecnológicas de gestión documental</t>
  </si>
  <si>
    <t>CIRCULAR EXTERNA 5</t>
  </si>
  <si>
    <t>CIRCULAR EXTERNA 1</t>
  </si>
  <si>
    <t>Alcance de la expresión: cualquier medio técnico que garantice su producción exacta</t>
  </si>
  <si>
    <t>CIRCULAR EXTERNA 3</t>
  </si>
  <si>
    <t>Directrices para la elaboración de tablas de retención documental.</t>
  </si>
  <si>
    <t>CIRCULAR  075</t>
  </si>
  <si>
    <t>Aspectos a tener en cuenta para la adquisición, desarrollo e implementación de un Sistema de Gestión de Documentos de Archivo -SGDA- en las entidades del Distrito Capital.</t>
  </si>
  <si>
    <t>CIRCULAR 001</t>
  </si>
  <si>
    <t>Directtrices para la organización de docuemntos de archivo relacionados con PQRS en las entidades distritales</t>
  </si>
  <si>
    <t xml:space="preserve">DIRECTIVA 04 </t>
  </si>
  <si>
    <t>Eficiencia administrativa y lineamientos de la política cero papel en la administración pública.</t>
  </si>
  <si>
    <t>*</t>
  </si>
  <si>
    <t xml:space="preserve">Directrices para las entidades y organismos del distrito capital sobre la adopcion y aplicación de las guias para la gestion normalizada de los docuemntos generados en los procesos transversales y misionales de algunos sectores de la administracion distirtal. </t>
  </si>
  <si>
    <t xml:space="preserve">Mediante la directivca 002 de 2018 insta a todas las entidades y organismos distritales a utilizar la guía de uso de la propuesta de clasificación y valoración de las series documentales normalizadas en los procesos transversales de las entidades distritales. </t>
  </si>
  <si>
    <t>Artículos: 8, 15, 20, 23, 27, y 74</t>
  </si>
  <si>
    <t>Artículos 54 y 55</t>
  </si>
  <si>
    <t>Artículo 76</t>
  </si>
  <si>
    <t>Artículos 12, 13 y 14</t>
  </si>
  <si>
    <t>DECRETO 2232</t>
  </si>
  <si>
    <t>Artículos 7, 8 y 9</t>
  </si>
  <si>
    <t>DECRETO 2623</t>
  </si>
  <si>
    <t>Por el cual se crea el Sistema Nacional de Servicio al Ciudadano.</t>
  </si>
  <si>
    <t>DECRETO  197</t>
  </si>
  <si>
    <t>Por medio del cual se adopta la Política Pública Distrital de Servicio a la Ciudadanía en la ciudad de Bogotá D.C.</t>
  </si>
  <si>
    <t>Por medio del cual se reglamenta la figura del Defensor de la Ciudadanía en las entidades y organismos del Distrito Capital y se dictan otras disposiciones</t>
  </si>
  <si>
    <t>ACUERDO 529</t>
  </si>
  <si>
    <t>Por el cual se adoptan medidas para la atención digna, cálida y decorosa a ciudadanía en Bogotá Distrito Capital y se prohíbe la ocupación del espacio público con filas de usuarios de servicios privados o públicos y se dictan otras disposiciones.</t>
  </si>
  <si>
    <t>ACUERDO 392</t>
  </si>
  <si>
    <t>Por el cual se adoptan medidas de inclusión, acciones afirmativas y de ajustes razonables para el acceso real y efectivo de las personas con discapacidad, para el disfrute de los parques recreativos y escenarios deportivos del Distrito Capital.</t>
  </si>
  <si>
    <t>ACUERDO  630</t>
  </si>
  <si>
    <t>Por medio de la cual se establecen unos protocolos para el ejercicio del derecho de petición en cumplimiento de la Ley 1755 de 2015 del derecho y se dictan otras disposiciones.</t>
  </si>
  <si>
    <t>Operación del sistema distrital de quejas y soluciones.</t>
  </si>
  <si>
    <t>CIRCULAR 33</t>
  </si>
  <si>
    <t>Procedimiento para presentar quejas, reclamos y sugerencias a través del sistema distrital de quejas y soluciones.</t>
  </si>
  <si>
    <t>CIRCULAR 34</t>
  </si>
  <si>
    <t>Administración del sistema distrital de quejas y soluciones.</t>
  </si>
  <si>
    <t>CIRCULAR 18</t>
  </si>
  <si>
    <t>Informe mensual de quejas y reclamos.</t>
  </si>
  <si>
    <t>Respuesta en tiempo, de fondo y las direcciones suministradas a las Peticiones, Quejas y Reclamos.</t>
  </si>
  <si>
    <t>Cumplimiento Leyes 1437 y 1474 de 2011, en materia de atención de quejas y reclamos.</t>
  </si>
  <si>
    <t>CIRCULAR 93</t>
  </si>
  <si>
    <t>Financiación política publica distrital de servicio a la ciudadanía.</t>
  </si>
  <si>
    <t>Seguimiento sistema distrital de quejas y reclamos.</t>
  </si>
  <si>
    <t>Articulo 3°, Numeral 7.</t>
  </si>
  <si>
    <t>Implementación formato de la elaboración y presentación de informes de quejas y reclamos.</t>
  </si>
  <si>
    <t>Cumplimiento del Acuerdo 630 de 2015 y de los DECRETOs Distritales 371 DE 2010, 197 DE 2014 Y 392 DE 2015.</t>
  </si>
  <si>
    <t>Resolución 252</t>
  </si>
  <si>
    <t>Por la cual se delega la función del Defensor de la Ciudadanía.</t>
  </si>
  <si>
    <t>RESOLUCIÓN 1195</t>
  </si>
  <si>
    <t>Por medio de la cual se establece el trámite del derecho de petición para la atención de las peticiones, quejas, denuncias y reclamos en el Instituto Distrital de Recreación y Deportes.</t>
  </si>
  <si>
    <t>RESOLUCIÓN 328</t>
  </si>
  <si>
    <t>Por medio de la cual se adopta el mapa de procesos V.5 del Sistema Integrado de Gestión del I.D.R.D.</t>
  </si>
  <si>
    <t xml:space="preserve">CONPES D.C. - </t>
  </si>
  <si>
    <t>Consejo Distrital de Política Económica y Social del Distrito Capital</t>
  </si>
  <si>
    <t>Política Publica Distrital de Transparencia, Integridad y No Tolerancia con la Corrupción"</t>
  </si>
  <si>
    <t>Por la cual se dictan disposiciones para el fomento del deporte, la recreación, el aprovechamiento del tiempo libre y la Educación Física y se crea el Sistema Nacional del Deporte.</t>
  </si>
  <si>
    <t>Oficina de Asuntos Locales</t>
  </si>
  <si>
    <t>Por la cual se expide el Código de la Infancia y la Adolescencia</t>
  </si>
  <si>
    <t>DECRETO 154</t>
  </si>
  <si>
    <t>Por el cual se reglamenta el Acuerdo 78 de 2002 y adoptan disposiciones para la administración y sostenibilidad del Sistema de Parques Distritales</t>
  </si>
  <si>
    <t>DECRETO 124</t>
  </si>
  <si>
    <t>Por medio del cual se reorganizan los Consejos Locales de Gobierno y se dictan otras disposiciones</t>
  </si>
  <si>
    <t>DECRETO 448</t>
  </si>
  <si>
    <t>Por el cual se crea y estructura el Sistema Distrital de Participación Ciudadana</t>
  </si>
  <si>
    <t>DECRETO 508</t>
  </si>
  <si>
    <t>Por el cual se adopta la Política Pública de Seguridad Alimentaría y Nutricional para Bogotá, Distrito Capital, 2007-2015, Bogotá sin hambre</t>
  </si>
  <si>
    <t>DECRETO 627</t>
  </si>
  <si>
    <t>Por el cual se reforma el Sistema Distrital de Cultura y se establece el Sistema Distrital de Arte, Cultura y Patrimonio</t>
  </si>
  <si>
    <t>DECRETO 499</t>
  </si>
  <si>
    <t>Por el cual se crea el Sistema Distrital de Juventud y se dictan otras disposiciones</t>
  </si>
  <si>
    <t>DECRETO 248</t>
  </si>
  <si>
    <t>Por medio del cual se crea y reglamenta el Consejo Distrital y los Consejos Locales de Comunidades Negras, Afrocolombianas, Raizales y Palenqueras</t>
  </si>
  <si>
    <t>Por el cual se modifica el Decreto Distrital 229 de 2015, "Por medio del cual se adopta la Política Pública de Deporte, Recreación, Actividad Física, Parques y Escenarios para Bogotá", y se dictan otras disposiciones.</t>
  </si>
  <si>
    <t>“Por medio del cual se adopta el Sistema Distrital de Participación en Deporte, Recreación, Actividad Física, Parques, Escenarios y Equipamientos Recreativos y Deportivos para Bogotá D.C - Drafe y se dictan otras disposiciones”.</t>
  </si>
  <si>
    <t>ACUERDO 78</t>
  </si>
  <si>
    <t>Concejo Bogotá D.C.</t>
  </si>
  <si>
    <t>Por el cual se dictan normas para la Administración y sostenibilidad del sistema de parques Distritales</t>
  </si>
  <si>
    <t>Por medio del cual se crea el Sistema Distrital de Deportes</t>
  </si>
  <si>
    <t>CIRCULAR CONJUNTA 015</t>
  </si>
  <si>
    <t>Lineamientos para las entidades y organismos pertenecientes a la Administración Distrital - Negociación Colectiva año 2017</t>
  </si>
  <si>
    <t>Lineamientos para el seguimiento a la contratación de los Fondos de Desarrollo Local-FDL</t>
  </si>
  <si>
    <t>RESOLUCIÓN 088</t>
  </si>
  <si>
    <t>Por la cual se define la composición y funcionamiento de la Unidad de Apoyo Técnico del Consejo Distrital de Política Social</t>
  </si>
  <si>
    <t>LEY 4</t>
  </si>
  <si>
    <t>Mediante la cual se señalan las normas, objetivos y criterios que debe observar el Gobierno Nacional para la fijación del régimen salarial y prestacional de los empleados públicos, de los miembros del Congreso Nacional y de la Fuerza Pública y para la fijación de las prestaciones sociales de los Trabajadores Oficiales y se dictan otras disposiciones, de conformidad con lo establecido en el artículo 150, numeral 19, literales e) y f) de la Constitución Política.</t>
  </si>
  <si>
    <t>LEY 344</t>
  </si>
  <si>
    <t>Por la cual se dictan normas tendientes a la racionalización del gasto público, se conceden unas facultades extraordinarias y se expiden otras disposiciones.</t>
  </si>
  <si>
    <t>2011.</t>
  </si>
  <si>
    <t>LEY 1902</t>
  </si>
  <si>
    <t>Por medio de la cual se establece un marco general para la libranza o descuento directo y se dictan otras disposiciones</t>
  </si>
  <si>
    <t>LEY 1562</t>
  </si>
  <si>
    <t>Por la cual se modifica el Sistema de Riesgos Laborales y se dictan otras disposiciones en materia de Salud Ocupacional.</t>
  </si>
  <si>
    <t>DECRETO 2400</t>
  </si>
  <si>
    <t>Por el cual se modifican las normas que regulan la administración del personal civil y se dictan otras disposiciones.</t>
  </si>
  <si>
    <t>DECRETO  3135</t>
  </si>
  <si>
    <t>Por el cual se prevé la integración de la seguridad social entre el sector público y el privado y se regula el régimen prestacional de los empleados públicos y trabajadores oficiales.</t>
  </si>
  <si>
    <t>DECRETO 1848</t>
  </si>
  <si>
    <t>Por el cual se reglamenta el DECRETO 3135 de 1968.</t>
  </si>
  <si>
    <t>Por el cual se reglamentan los DECRETOs- leyes 2400 y 3074 de 1968 y otras normas sobre administración del personal civil.</t>
  </si>
  <si>
    <t>DECRETO 1042</t>
  </si>
  <si>
    <t>Por el cual se establece el sistema de nomenclatura y clasificación de los empleos de los ministerios, departamentos administrativos, superintendencias, establecimientos públicos y unidades administrativas especiales del orden nacional, se fijan las escalas de remuneración correspondientes a dichos empleos y se dictan otras disposiciones.</t>
  </si>
  <si>
    <t>Por el cual se fijan las reglas generales para la aplicación de las normas sobre prestaciones sociales de los empleados públicos y trabajadores oficiales del sector nacional.</t>
  </si>
  <si>
    <t>DECRETO 614</t>
  </si>
  <si>
    <t>Por el cual se determinan las bases para la organización y administración de Salud ocupacional en el país.</t>
  </si>
  <si>
    <t>DECRETO 692</t>
  </si>
  <si>
    <t>Por el cual se reglamenta parcialmente la ley 100 de 1993.</t>
  </si>
  <si>
    <t>DECRETO 1295</t>
  </si>
  <si>
    <t>Por el cual se determina la organización y administración del Sistema General de Riesgos Profesionales.</t>
  </si>
  <si>
    <t>DECRETO 1771</t>
  </si>
  <si>
    <t>Por el cual se reglamenta parcialmente el DECRETO 1295 de 1994.</t>
  </si>
  <si>
    <t>DECRETO 1889</t>
  </si>
  <si>
    <t>Por el cual se reglamenta parcialmente la Ley 100 de 1993.</t>
  </si>
  <si>
    <t>Por el cual se reglamentan parcialmente la Ley 100 de 1993 y el DECRETO-ley 1295 de 1994.</t>
  </si>
  <si>
    <t>DECRETO 841</t>
  </si>
  <si>
    <t>Por el cual se reglamenta parcialmente el Estatuto Tributario y la Ley 100 de 1993 en los aspectos tributarios relacionados con el Sistema General de Seguridad Social y se dictan otras disposiciones.</t>
  </si>
  <si>
    <t>DECRETO 1187</t>
  </si>
  <si>
    <t>Por el cual se reglamenta el artículo 34 del DECRETO - Ley 1421 del 1993.</t>
  </si>
  <si>
    <t>DECRETO 1567</t>
  </si>
  <si>
    <t>Por el cual se crean (sic) el sistema nacional de capacitación y el sistema de estímulos para los empleados del Estado.</t>
  </si>
  <si>
    <t>DECRETO NACIONAL 1406</t>
  </si>
  <si>
    <t>Por el cual se adoptan unas disposiciones reglamentarias de la Ley 100 de 1993, se reglamenta parcialmente el artículo 91 de la Ley 488 de diciembre 24 de 1998, se dictan disposiciones para la puesta en operación del Registro Único de Aportantes al Sistema de Seguridad Social Integral, se establece el régimen de recaudación de aportes que financian dicho Sistema y se dictan otras disposiciones.</t>
  </si>
  <si>
    <t>DECRETO 2353</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</si>
  <si>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</si>
  <si>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DECRETO 1919</t>
  </si>
  <si>
    <t>Por el cual se fija el Régimen de prestaciones sociales para los empleados públicos y se regula el régimen mínimo prestacional de los trabajadores oficiales del nivel territorial.</t>
  </si>
  <si>
    <t>DECRETO 3667</t>
  </si>
  <si>
    <t>Por medio del cual se reglamentan algunas disposiciones de la Ley 21 de 1982, la Ley 89 de 1988 y la Ley 100 de 1993, se dictan disposiciones sobre el pago de aportes parafiscales y al Sistema de Seguridad Social Integral y se dictan otras disposiciones.</t>
  </si>
  <si>
    <t>DECRETO 760</t>
  </si>
  <si>
    <t>Por el cual se establece el procedimiento que debe surtirse ante y por la Comisión Nacional del Servicio Civil para el cumplimiento de sus funciones.</t>
  </si>
  <si>
    <t>DECRETO 785</t>
  </si>
  <si>
    <t>Por el cual se establece el sistema de nomenclatura y clasificación y de funciones y requisitos generales de los empleos de las entidades territoriales que se regulan por las disposiciones de la Ley 909 de 2004.</t>
  </si>
  <si>
    <t>DECRETO 1227</t>
  </si>
  <si>
    <t>Por el cual se reglamenta parcialmente la Ley 909 de 2004 y el DECRETO-ley 1567 de 1998.</t>
  </si>
  <si>
    <t>Por el cual se reglamenta el artículo 16 de la Ley 909 de 2004 sobre las Comisiones de Personal.</t>
  </si>
  <si>
    <t>DECRETO 4500</t>
  </si>
  <si>
    <t>Por el cual se reglamenta el artículo 24 de la Ley 443 de 1998 y la Ley 909 de 2004.</t>
  </si>
  <si>
    <t>DECRETO 1931</t>
  </si>
  <si>
    <t>Por medio del cual se establecen las fechas de obligatoriedad del uso de la Planilla Integrada de Liquidación de Aportes y se modifica parcialmente el DECRETO 1465 de 2005.</t>
  </si>
  <si>
    <t>DECRETO 728</t>
  </si>
  <si>
    <t>Por medio del cual se establecen las fechas de obligatoriedad del uso de la Planilla Integrada de Liquidación de Aportes para pequeños aportantes e independientes.</t>
  </si>
  <si>
    <t>DECRETO 3905</t>
  </si>
  <si>
    <t>Por el cual se reglamenta la Ley 909 de 2004 y se dictan normas en materia de carrera administrativa.</t>
  </si>
  <si>
    <t>DECRETO 1072</t>
  </si>
  <si>
    <t>DECRETO Único Reglamentario del Sector Trabajo</t>
  </si>
  <si>
    <t>Por medio del cual se expide el DECRETO Único Reglamentario del Sector de Función Pública.</t>
  </si>
  <si>
    <t>Por la cual se ajusta la planta de personal del Instituto Distrital para la Recreación y Deporte a la nueva nomenclatura, clasificación de empleados señalados en el DECRETO 785 de 2005.</t>
  </si>
  <si>
    <t>RESOLUCIÓN 171</t>
  </si>
  <si>
    <t>Comisión Nacional del Servicio Civil.</t>
  </si>
  <si>
    <t>Por la cual se convoca al proceso de selección para proveer por concurso abierto de méritos los empleos de carrera administrativa de las Entidades y Organismos de los órdenes Nacional y Territorial regidas por la Ley 909 de 2004, pertenecientes al Sistema General de Carrera Administrativa.</t>
  </si>
  <si>
    <t>RESOLUCION 634</t>
  </si>
  <si>
    <t>Por la cual se adopta el contenido del Formulario Único o Planilla Integrada de Liquidación de Aportes.</t>
  </si>
  <si>
    <t>RESOLUCION 005</t>
  </si>
  <si>
    <t>Por la cual se crea la prima secretarial para los empleados públicos que desempreñen el cargo de Secretario Ejecutivo en el Isntituto Distrital para la Recreación y el Deporte</t>
  </si>
  <si>
    <t>RESOLUCIÓN IDRD 004</t>
  </si>
  <si>
    <t>Prima Técnica.</t>
  </si>
  <si>
    <t>"Por la cual se implementa el procedimiento para hacer efectivo el no pago de salarios por servicios dejados de prestar por parte de los servidores públicos y se deroga la Resolución No. 629 de 2011"</t>
  </si>
  <si>
    <t>RESOLUCIÓN 007</t>
  </si>
  <si>
    <t>Por medio de la cual se modifica la planta de personal del IDRD.</t>
  </si>
  <si>
    <t>RESOLUCIÓN 009</t>
  </si>
  <si>
    <t>Por medio de la cual se modifica el artículo 3 de la Resolución de Junta Directiva 004 de 2014.</t>
  </si>
  <si>
    <t>RESOLUCIÓN 010</t>
  </si>
  <si>
    <t>Supresión y Creación de unos empleos de la Planta de Personal.</t>
  </si>
  <si>
    <t xml:space="preserve">RESOLUCIÓN 004 </t>
  </si>
  <si>
    <t>Por medio de la cual se compila el régimen salarial de los empleados públicos del IDRD</t>
  </si>
  <si>
    <t>Por medio de la cual se aclara la Resolución 004 de 16 de mayo de 2014</t>
  </si>
  <si>
    <t>RESOLUCIÓN 767</t>
  </si>
  <si>
    <t>Por la cual se conforma el comité de seguridad y salud ocupacional - S&amp;SO - del Instituto Distrital de Recreación y Deporte -IDRD -, y se establecen sus funciones.</t>
  </si>
  <si>
    <t>RESOLUCIÓN IDRD 006</t>
  </si>
  <si>
    <t>Por medio de la cual se modifica parcialmente la Resolución de Junta Directiva 003 del 21 de diciembre de 2012 ¿ Prima Técnica</t>
  </si>
  <si>
    <t>RESOLUCIÓN 567</t>
  </si>
  <si>
    <t>Por medio de la cual se crea el Comité Operativo de Emergencias COE y se deroga la Resolución N° 275 del 25 de Junio de 2003.</t>
  </si>
  <si>
    <t>RESOLUCIÓN IDRD 602</t>
  </si>
  <si>
    <t>RESOLUCIÓN 2388</t>
  </si>
  <si>
    <t>Por la cual se unifican las reglas para el recaudo de aportes al Sistema de Seguridad Social Integral y Parafiscales.</t>
  </si>
  <si>
    <t>RESOLUCIÓN 5858</t>
  </si>
  <si>
    <t>Por la cual se modifica la Resolución 2388 de 2016 en relación con el plazo para su implementación y sus anexos técnicos.</t>
  </si>
  <si>
    <t>DECRETO 780</t>
  </si>
  <si>
    <t>Por medio del cual se expide el Decreto Único Reglamentario del Sector Salud y Protección Social</t>
  </si>
  <si>
    <t>DECRETO 648</t>
  </si>
  <si>
    <t>Por el cual se modifica el Decreto 1083 de 2015, Único del Sector Función Publica, en lo relacionado con las competencias laborales generales para los empleos públicos de los distintos niveles jerárquicos</t>
  </si>
  <si>
    <t>RESOLUCIÓN 429</t>
  </si>
  <si>
    <t>Por medio de la cual se adopta el Sistema de Evaluación de la Gestión para Empleados Públicos vinculados en Provisionalidad al Instituto Distrital de Recreación y Deporte del IDRD.</t>
  </si>
  <si>
    <t>RESOLUCIÓN 430</t>
  </si>
  <si>
    <t>Por medio de la cual se adopta el Sistema de Gestión del Rendimiento de los gerentes públicos del Instituto Distrital de Recreación y Deporte - IDRD, a través de los Acuerdos de Gestión.</t>
  </si>
  <si>
    <t>Por la cual se modifica la estructura organizacional y las funciones de las dependencias del INSTITUTO DISTRITAL DE RECREACiÓN Y DEPORTE, Y sé dictan otras disposiciones</t>
  </si>
  <si>
    <t>Todos los Procesos</t>
  </si>
  <si>
    <t>RESOLUCION 007</t>
  </si>
  <si>
    <t>Por la cual se modifica la Planta de Personal del Instituto Distrital de Recreación y Deporte</t>
  </si>
  <si>
    <t>CIRCULAR CNSC 003</t>
  </si>
  <si>
    <t>Efectos del auto de fecha 5 de mayo de 2015 - Consejo de Estado.</t>
  </si>
  <si>
    <t>CIRCULAR CNSC 005</t>
  </si>
  <si>
    <t>Cumplimiento de normas constitucionales y legales en materia de carrera administrativa.</t>
  </si>
  <si>
    <t>Concepto 147841</t>
  </si>
  <si>
    <t xml:space="preserve">EMPLEOS. Naturaleza del cargo. ¿Es posible que las actividades de control interno, sean desarrolladas a través de contrato de prestación de servicios si la entidad no cuenta en su planta de personal con el cargo? ¿Qué norma establece las equivalencias para dar cumplimiento de requisitos de Jefe de Control Interno </t>
  </si>
  <si>
    <t>Proceso: Diseño y Construcción de Parques y Escenarios</t>
  </si>
  <si>
    <t>FECHA ÚLTIMA ACTUALIZACIÓN: 18/02/2021</t>
  </si>
  <si>
    <t>ART:80,81,82,83,84,85,86,87,88,89,90,91, 92,93,94,95,96,99,101,105.106,107,108,109,110,111,112,114,116,117,118,122,123,124,125,126,127,128,129,142,143,158,159,160,161,162,163,165,166,167,168,169,170172,173,174,175,176,177,181,185,186,187,188,193,194,195,196,197,198,199,202,203,204,205,206,207,209,210,478,479,481,482,483,488,491,492,502,503,504,505,506,507,508,509,510,511,512,513,514,577,594,595,596,597,598,599,604</t>
  </si>
  <si>
    <t xml:space="preserve">Por la cual se conceden facultades extraordinarias al Presidente de la República
para expedir el Código de Recursos Naturales y protección al medio ambiente y se
dictan otras disposiciones. 
</t>
  </si>
  <si>
    <t>por el cual se adoptan normas sobre construcciones sismo resistentes.</t>
  </si>
  <si>
    <t>TODO</t>
  </si>
  <si>
    <t>Art. 1-2-3-4-26-43-44-45-46-48-49-50</t>
  </si>
  <si>
    <t>Art. 3-4-5-8-9-11-12-15-16-17-18-19-99-100-101-102-103-104-105-106-107-108-109</t>
  </si>
  <si>
    <t>ítulo V. Garantías en la Contratación de la Administración Pública.</t>
  </si>
  <si>
    <t>Art. 1,50</t>
  </si>
  <si>
    <t>Art. 1,2,3,4,5,6,7</t>
  </si>
  <si>
    <t xml:space="preserve">"Por el cual se expide el Código de Comercio" </t>
  </si>
  <si>
    <t>Título V. Del contrato de Seguro.</t>
  </si>
  <si>
    <t>Por medio del cual se expide el Decreto Único Reglamentario del Sector Trabajo</t>
  </si>
  <si>
    <t xml:space="preserve">Artículo 2.2.4.6.38, 2.2.4.6.39, </t>
  </si>
  <si>
    <t>Por medio del cual se actualiza la Cartilla de Andenes adoptada mediante el Decreto Distrital 1003 de 2000, adicionada mediante el Decreto Distrital 379 de 2002 y actualizada mediante el Decreto Distrital 602 de 2007, y se dictan otras disposiciones</t>
  </si>
  <si>
    <t xml:space="preserve">Por el cual se derogan los Decretos Distritales 562 de 2014 y 575 de 2015 y se dictan otras disposiciones
</t>
  </si>
  <si>
    <t>Por el cual se actualiza la "Cartilla de Mobiliario Urbano de Bogotá D.C.", adoptada mediante Decreto Distrital 170 de 1999, y se dictan otras disposiciones.</t>
  </si>
  <si>
    <t>Por el cual se reglamenta el procedimiento para el estudio y aprobación de Planes Directores y se dictan otras disposiciones</t>
  </si>
  <si>
    <t xml:space="preserve"> </t>
  </si>
  <si>
    <t>Art. 4-5-6-7-9-10-13-14</t>
  </si>
  <si>
    <t>Por el cual se modifica y adiciona el Decreto Distrital 621 de 2016 y se dictan otras disposiciones</t>
  </si>
  <si>
    <t xml:space="preserve"> 
Por medio del cual se adopta la Cartilla de Andenes de Bogotá D.C. y se dictan otras disposiciones
</t>
  </si>
  <si>
    <t>DECRETO 845</t>
  </si>
  <si>
    <t>Aprobación proyecto específico de zonas de cesión para parques y equipamientos producto de un desarrollo urbanístico</t>
  </si>
  <si>
    <t>Art. 35, 41, 55, 66, 77, 78, 79, 80, 81</t>
  </si>
  <si>
    <t>Por la cual se establece el procedimiento administrativo para imposición de multas y declaratoria de incumplimiento en los contratos celebrados por el Instituto Distrital de Recreación y Deporte</t>
  </si>
  <si>
    <t>RESOLUCION 472</t>
  </si>
  <si>
    <t>Por el cual Se reglamenta la gestión integral de los residuos generados en las actividades de Construcción y Demolición (RCD) y se dictan otras disposiciones.</t>
  </si>
  <si>
    <t>RESOLUCION 0666</t>
  </si>
  <si>
    <t>Ministerio de Salud y Proteccion Social</t>
  </si>
  <si>
    <t>Por medio de la cual se adopta el protocolo general de bioseguridad para mitigar, controlar y realizar el adecuado manejo de la pandemia del Coronavirus COVID-19</t>
  </si>
  <si>
    <t>DECRETO 804</t>
  </si>
  <si>
    <t>Por el cual se incorporan áreas al Tratamiento Urbanístico de Renovación Urbana sobre los ejes de la Malla Vial Arterial con Sistema de Transporte Público Masivo Transmilenio Avenida Calle 13 y Avenida de las Américas, se adoptan las fichas normativas de los sectores incorporados y se dictan otras disposiciones</t>
  </si>
  <si>
    <t>PRESIDENCIA DE LA REPUBLICA</t>
  </si>
  <si>
    <t xml:space="preserve">POR MEDIO DE LA CUAL SE REFORMA EL CÓDIGO DE PROCEDIMIENTO 
ADMINISTRATIVO Y DE LO CONTENCIOSO ADMINISTRATIVO -LEY 1437 
DE 2011- Y SE DICTAN OTRAS DISPOSICIONES EN MATERIA DE 
DESCONGESTIÓN EN LOS PROCESOS QUE SE TRAM/T AN ANTE LA 
JURISDICCiÓN 
</t>
  </si>
  <si>
    <t xml:space="preserve">Proceso: Fomento de la actividad física, el Deporte y la Recreación </t>
  </si>
  <si>
    <t>Por la cual se dictan disposiciones para el fomento del deporte, la recreación, el aprovechamiento del tiempo libre y la Educación Física y se crea el Sistema Nacional del Deporte.
 Modificada por la Ley 494 de 1999, Reformada por la Ley 582 de 2000</t>
  </si>
  <si>
    <t>por la cual se expide el Código Nacional de Seguridad y Convivencia Ciudadana</t>
  </si>
  <si>
    <t>Ministerio del Deporte</t>
  </si>
  <si>
    <t>Por la cual se transforma el departamento administrativo del deporte, la recreación, la actividad física y el aprovechamiento del tiempo libre (coldeportes) en el ministerio del deporte.</t>
  </si>
  <si>
    <t>Por el cual se modifica la estructura organizacional de la Secretaría de Educación del Distrito y se dictan otras disposiciones</t>
  </si>
  <si>
    <t>“Por medio del cual se modifica el artículo 2 del Decreto Distrital 583 de 2011”</t>
  </si>
  <si>
    <t>Por medio del cual establece estrategias para el control de la obesidad y el sobrepeso en el distrito capital y se dictan otras disposiciones.</t>
  </si>
  <si>
    <t>Articulo 2°</t>
  </si>
  <si>
    <t>Las instituciones educativas distritales, al inicio del año académico en las clases de educación física, realizaran a los niños, niñas y adolescentes, un tamizaje sobre el índice de masa corporal (IMC), con el fin de realizar un seguimiento oportuno del estado real de peso y talla de cada alumno y con ello crear un mecanismo de correlación con los padres en los resultados y tratamientos que correspondan.</t>
  </si>
  <si>
    <t>Por medio de la cual se reglamentan las Prácticas Educativas y el Servicio Social</t>
  </si>
  <si>
    <t xml:space="preserve">N.A: </t>
  </si>
  <si>
    <t>Estudiantil Obligatorio en el Instituto Distrital de Recreación y Deporte lORD</t>
  </si>
  <si>
    <t>por medio de la cual se promueven, organizan y ejecutan los torneos deportivos interbarrios de Bogotá D.C. y se adopta su carta fundamental, instructivos y reglamentos</t>
  </si>
  <si>
    <t>Por la cual se definen los procedimientos y condiciones de inscripción de los prestadores de servicios de salud y de habilitación de los servicios de salud y se adopta el Manual de Inscripción de Prestadores y Habilitación de Servicios de Salud</t>
  </si>
  <si>
    <t>Por la cual se define y adopta la metodologia para incorporar el enfoque poblacional diferencial en los proyectos de inversión del Distrito Capital.</t>
  </si>
  <si>
    <t>Por medio del cual se establece el Calendario Académico para el año 2020 en los establecimientos educativos oficiales de educación preescolar, básica y ,media y jardenes infantiles en convenio SDIS - SED de Bogotá DC.</t>
  </si>
  <si>
    <t>RESOLUCIÓN 489</t>
  </si>
  <si>
    <t>"Por medio de la cual se dictan medidas especiales relacionadas con la Dirección de Fomento y Desarrollo, en el marco del Estado de Emergencia Económica, Social y Ecológica".</t>
  </si>
  <si>
    <t xml:space="preserve">2009 - 2019 </t>
  </si>
  <si>
    <t xml:space="preserve">2012 - 2021 </t>
  </si>
  <si>
    <t>Proceso: Promoción de la Recreación</t>
  </si>
  <si>
    <t>FECHA ÚLTIMA ACTUALIZACIÓN: 10/03/2022</t>
  </si>
  <si>
    <t>Artículo 13,16, 43, 44, 45, 48, 52</t>
  </si>
  <si>
    <t>Art. 13 - Todas las personas nacen libres e iguales ante la ley, recibirán la misma protección y trato de las autoridades y gozarán de los mismos derechos, libertades y oportunidades sin ninguna discriminación por razones de sexo, raza, origen nacional o familiar, lengua, religión, opinión política o filosófica.
Art. 16 - Todas las personas tienen derecho al libre desarrollo de su personalidad sin más limitaciones que las que imponen los derechos de los demás y el orden jurídico.
Art 43 - La mujer y el hombre tienen iguales derechos y oportunidades. La mujer no podrá ser sometida a ninguna clase de discriminación. Durante el embarazo y después del parto gozará de especial asistencia y protección del Estado, y recibirá de éste subsidio alimentario si entonces estuviere desempleada o desamparada.
Art. 44 - Son derechos fundamentales de los niños: la vida, la integridad física, la salud y la seguridad social, la alimentación equilibrada, su nombre y nacionalidad, tener una familia y no ser separados de ella, el cuidado y amor, la educación y la cultura, la recreación y la libre expresión de su opinión.
Artículo 45. El adolescente tiene derecho a la protección y a la formación integral. El Estado y la sociedad garantizan la participación activa de los jóvenes en los organismos públicos y privados que tengan a cargo la protección, educación y progreso de la juventud.
Artículo 48. La Seguridad Social es un servicio público de carácter obligatorio que se prestará bajo la dirección, coordinación y control del Estado, en sujeción a los principios de eficiencia, universalidad y solidaridad, en los términos que establezca la Ley.
Art. 52 - El ejercicio del deporte, sus manifestaciones recreativas, competitivas y autóctonas tienen como función la formación integral de las personas, preservar y desarrollar una mejor salud en el ser humano</t>
  </si>
  <si>
    <r>
      <rPr>
        <sz val="9"/>
        <rFont val="Calibri"/>
      </rPr>
      <t xml:space="preserve">Por la cual se dictan disposiciones para el fomento del deporte, la recreación, el aprovechamiento del tiempo libre y la Educación Física y se crea el Sistema Nacional del Deporte.
</t>
    </r>
    <r>
      <rPr>
        <b/>
        <sz val="9"/>
        <rFont val="Calibri"/>
      </rPr>
      <t>OJO - Modificada por la Ley 494 de 1999, Reformada por la Ley 582 de 2000</t>
    </r>
  </si>
  <si>
    <t>Por medio de la cual se crean algunas normas a favor de la población sorda aprobando el lenguaje de señas como oficial de la comunidad sorda.</t>
  </si>
  <si>
    <t>Por la cual se hacen algunas modificaciones y adiciones al Decreto-ley 1228 de 1995 y a la Ley 181 de 1995.</t>
  </si>
  <si>
    <t xml:space="preserve">N.A. </t>
  </si>
  <si>
    <t>Por la cual se crea la ley de la juventud y se dictan otras disposiones.</t>
  </si>
  <si>
    <t xml:space="preserve">MOTOCICLETAS, MOTOCICLOS Y MOTOTRICICLOS. Los conductores de
bicicletas, triciclos, motocicletas, motociclos y mototriciclos, estarán sujetos a las
siguientes normas:
Deben transitar por la derecha de las vías a distancia no mayor de un (1) metro de
la acera u orilla y nunca utilizar las vías exclusivas para servicio público colectivo.
Los conductores de estos tipos de vehículos y sus acompañantes deben vestir
chalecos o chaquetas reflectivas de identificación que deben ser visibles cuando
se conduzca entre las 18:00 y las 6:00 horas del día siguiente, y siempre que la
visibilidad sea escasa.
Los conductores que transiten en grupo lo harán uno detrás de otro.
No deben sujetarse de otro vehículo o viajar cerca de otro carruaje de mayor
tamaño que lo oculte de la vista de los conductores que transiten en sentido
contrario. 
No deben transitar sobre las aceras, lugares destinados al tránsito de peatones y
por aquellas vías en donde las autoridades competentes lo prohíban. Deben
conducir en las vías públicas permitidas o, donde existan, en aquellas
especialmente diseñadas para ello.
Deben respetar las señales, normas de tránsito y límites de velocidad.
No deben adelantar a otros vehículos por la derecha o entre vehículos que
transiten por sus respectivos carriles. Siempre utilizarán el carril libre a la izquierda
del vehículo a sobrepasar.
Deben usar las señales manuales detalladas en el artículo 69 de este código.
Reglamentado por la Resolución del Min. Transporte 1737 de 2004. Los
conductores y los acompañantes cuando hubieren, deberán utilizar casco de
seguridad, de acuerdo como fije el Ministerio de Transporte.
La no utilización del casco de seguridad cuando corresponda dará lugar a la
inmovilización del vehículo.
Ver Resolución de la S.T.T. 09 de 2002 , Ver el art. 100, Acuerdo Distrital 79 de
2003
ARTÍCULO 95. NORMAS ESPECÍFICAS PARA BICICLETAS Y TRICICLOS. Las
bicicletas y triciclos se sujetarán a las siguientes normas específicas:
No podrán llevar acompañante excepto mediante el uso de dispositivos diseñados
especialmente para ello, ni transportar objetos que disminuyan la visibilidad o que
los incomoden en la conducción.
Cuando circulen en horas nocturnas, deben llevar dispositivos en la parte
delantera que proyecten luz blanca, y en la parte trasera que reflecte luz roja.
PARÁGRAFO. Los Alcaldes Municipales podrán restringir temporalmente los días
domingos y festivos, el tránsito de todo tipo de vehículos por las vías nacionales o
departamentales que pasen por su jurisdicción, a efectos de promover la práctica
de actividades deportivas tales como el ciclismo, el atletismo, el patinaje, las
caminatas y similares, así como, la recreación y el esparcimiento de los habitantes
de su jurisdicción, siempre y cuando haya una vía alterna por donde dichos
vehículos puedan hacer su tránsito normal. 
</t>
  </si>
  <si>
    <t xml:space="preserve">Artículo 30. Derecho a la recreación, participación en la vida cultural y en las artes. Los niños, las niñas y los adolescentes tienen derecho al descanso, esparcimiento, al juego y demás actividades recreativas propias de su ciclo vital y a participar en la vida cultural y las artes.
Igualmente, tienen derecho a que se les reconozca, respete, y fomente el conocimiento y la vivencia de la cultura a la que pertenezcan.
Parágrafo 1°. Para armonizar el ejercicio de este derecho con el desarrollo integral de los niños, las autoridades deberán diseñar mecanismos para prohibir el ingreso a establecimientos destinados a juegos de suerte y azar, venta de licores, cigarrillos o productos derivados del tabaco y que ofrezcan espectáculos con clasificación para mayores de edad.
Parágrafo 2°. Cuando sea permitido el ingreso a niños menores de 14 años a espectáculos y eventos públicos masivos, las autoridades deberán ordenar a los organizadores, la destinación especial de espacios adecuados para garantizar su seguridad personal. </t>
  </si>
  <si>
    <t>“Por medio de la cual se reconocen las enfermedades huérfanas como de especial interés y se adoptan normas tendientes a garantizar la protección social por parte del Estado colombiano a la población que padece de enfermedades huérfanas y sus cuidadores” y Modificado por el artículo 140 de la Ley Nacional 1438 de 2011 sobre su denominación y la periodicidad de actualización del listado de enfermedades huérfanas</t>
  </si>
  <si>
    <t>Por medio de la cual se expide el estatuto de ciudadanía juvenil y se dictan otras disposiciones</t>
  </si>
  <si>
    <t>29/07/ 2016</t>
  </si>
  <si>
    <t>Por la cual se establece la política de Estado para el Desarrollo Integral de la Primera Infancia de Cero a Siempre y se dictan otras disposiciones.</t>
  </si>
  <si>
    <t>Por la cual se transforma el Departamento Administrativo del Deporte, la Recreación, la Actividad física y el Aprovechamiento del Tiempo Libre (Coldeportes) en el Ministerio del Deporte.</t>
  </si>
  <si>
    <t>El sector deporte, recreación, actividad física, y aprovechamiento del tiempo libre está integrado por el Ministerio del Deporte y por las entidades que se le adscriban o vinculen.</t>
  </si>
  <si>
    <t>ARTICULO  5: Eventos Masivos.  Derogado por el art. 16, Decreto Distrital 43 de 2006. Congregación planeada superior a 1000 personas que participan en una actividad de interés común, reunidas en un lugar con capacidad de infraestructura para este fin, con un horario previamente determinado y bajo la responsabilidad de las personas naturales o jurídicas que lo organizan.
ARTICULO  6: Espectáculos Públicos. Derogado por el art. 36, Decreto Distrital 192 de 2011. Constituyen una forma de recreación colectiva que congrega a las personas que asisten a ellos, para expresar sus emociones, disfrutar y compartir las expresiones artísticas, donde la invitación al público sea abierta, general e indiferenciada.</t>
  </si>
  <si>
    <t>05/09/ 2008</t>
  </si>
  <si>
    <t>Por medio del cual se adopta la Política Pública de Infancia y Adolescencia de Bogotá, D. C. (2011 - 2021)</t>
  </si>
  <si>
    <t>Por el cual se adopta la Política Pública Distrital para el grupo étnico Rrom o Gitano en el Distrito Capital y se dictan otras disposiciones</t>
  </si>
  <si>
    <t>Sistema Distrital de Juventud: crea el Sistema Distrital de Juventud, define sus componentes, estructura y funciones.</t>
  </si>
  <si>
    <t>Por el cual se expide un marco normativo para la protección integral de los derechos del grupo étnico Rrom o Gitano</t>
  </si>
  <si>
    <t>Por el cual se modifica, adiciona y reglamenta el Decreto Distrital N.º 627 de 2007, por medio del cual se reformó el Sistema Distrital de Cultura y se establece el Sistema Distrital de Arte, Cultura y Patrimonio</t>
  </si>
  <si>
    <t>Por medio del cual se modifica y adiciona el Decreto Distrital 557 de 2018</t>
  </si>
  <si>
    <t>Por el cual se reglamenta el ejercicio de la profesión de Guía de Turismo 
 de que trata el artículo 94 de la Ley 300 de 1996.</t>
  </si>
  <si>
    <t>Por el cual se adiciona el Título 3, a la Parte 3, del Libro 2 del Decreto 1066 de 2015, Único reglamentario del Sector Administrativo del Interior, denominado de las personas con discapacidad y se adiciona un capítulo sobre medidas para la creación y funcionamiento de las organizaciones de personas con discapacidad que las representen</t>
  </si>
  <si>
    <t>Artículo 2.3.3.1.12</t>
  </si>
  <si>
    <t>Garantía para la plena participación por razón del tipo de discapacidad.</t>
  </si>
  <si>
    <t>Por medio del cual se reglamenta el Acuerdo 6 de 1997</t>
  </si>
  <si>
    <t>por el cual se modifica el artículo 1º del Decreto 604 de agosto 5 de 1997</t>
  </si>
  <si>
    <t>Por el cual se crea una tarjeta de recreación y espectáculos públicos gratuitos a hombres mayores de 60 años y mujeres mayores de 55 años</t>
  </si>
  <si>
    <t>Por el cual se adiciona el Acuerdo 06 de 1997</t>
  </si>
  <si>
    <t>Por el cual se declara de interés cultural el Festival de Verano de Bogotá, D.C.</t>
  </si>
  <si>
    <t>ACUERDO 245</t>
  </si>
  <si>
    <t>Por medio del cual se institucionaliza el mes de las personas en condición de discapacidad y se dictan otras disposiciones</t>
  </si>
  <si>
    <t>Por la cual se conforma y reglamenta el Comité Operativo para las Familias</t>
  </si>
  <si>
    <t>Departamento Administrativo del deporte, la recreación, la
 actividad física y el aprovechamiento del tiempo libre -
 COLDEPORTES, hoy Ministerio del Deporte (Ley 1767 de 2019)</t>
  </si>
  <si>
    <t>Política pública nacional para el desarrollo del deporte la recreación, la actividad física y el aprovechamiento del tiempo libre hacia un territorio de paz (2018-2028)</t>
  </si>
  <si>
    <t>RESOLUCION 391</t>
  </si>
  <si>
    <t>Por la cual se dictan lineamientos para la organización del “Festival de Verano de Bogotá D.C.” por el Instituto  Distrital de Recreación y Deporte y se dictan otras disposiciones</t>
  </si>
  <si>
    <t>"Por la cual se determinan las áreas afines del conocimiento para los profesionales que aspiren a ser reconocidos como guías de turismo, de acuerdo con 10 dispuesto en el articulo 94 de la Ley 300 de 1996, modificado por el articulo 26 de la Ley 1558 de 2012"</t>
  </si>
  <si>
    <t>“Por la cual se expide el Reglamento Técnico para vehículos de Servicio Público de Pasajeros y se dictan otras disposiciones.”</t>
  </si>
  <si>
    <t>Art. 14</t>
  </si>
  <si>
    <t>Considera el numeral 2 del Artículo 14 de la Ley Estatutaria 1618 de 2013 donde se indica que el servicio público de transporte debe ser accesible a todas las personas con discapacidad</t>
  </si>
  <si>
    <t>Por la cual se expide el Reglamento Técnico para Parques de Diversiones, Atracciones o Dispositivos de Entretenimiento Familiar, RETEPARQUES, en Colombia</t>
  </si>
  <si>
    <t>N.A</t>
  </si>
  <si>
    <t>Por la cual se conforma y se reglamenta el Comité Operativo para el Fenómeno de Habitabilidad en Calle, al interior del Consejo Distrital de Política Social</t>
  </si>
  <si>
    <t>“Por la cual se implementa la certificación de discapacidad y el Registro de Localización y Caracterización de Personas con Discapacidad</t>
  </si>
  <si>
    <t xml:space="preserve">RESOLUCIÓN 139 </t>
  </si>
  <si>
    <t xml:space="preserve">“Por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
</t>
  </si>
  <si>
    <t>RESOLUCIÓN 151</t>
  </si>
  <si>
    <t>“Por medio de la cual se adiciona la Resolución No. 139 del 19 de marzo de
2020 “Por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t>
  </si>
  <si>
    <t>Implementación de los lineamientos para Fomentar y Desarrollar la Inclusión de la población con discapacidad en educación física, recreación, actividad física y deporte a través de proyectos de cofinanciación con los Entes Departamentales del Deporte y la Recreación.</t>
  </si>
  <si>
    <t>Art. 18</t>
  </si>
  <si>
    <t>Estados parte de la OEA</t>
  </si>
  <si>
    <t>Convención interamericana para la eliminación de todas formas de discriminación contra las personas con discapacidad</t>
  </si>
  <si>
    <t>Compromiso de los Estados parte para adoptar las medidas de carácter legislativo, social, educativo, laboral o de cualquier otra índole, necesarias para eliminar la discriminación contra las personas con discapacidad y propiciar su plena integración en la sociedad. Aprobada por el Congreso de la República en la Ley 762 de 2002. Declarada constitucional por la Corte Constitucional en la Sentencia C-401 de 2003. Ratificada por Colombia el 11 de febrero de 2004. En vigencia para Colombia a partir del 11 de marzo de 2004.</t>
  </si>
  <si>
    <t>PROGRAMA DE ACCIÓN MUNDIAL PARA LAS PERSONAS CON DISCAPACIDAD -ONU</t>
  </si>
  <si>
    <t>Programa de Acción Mundial para las Personas con Discapacidad</t>
  </si>
  <si>
    <t>El Programa de Acción Mundial es una estrategia global para mejorar la prevención de la discapacidad, la rehabilitación y la igualdad de oportunidades, que busca la plena participación de las personas con discapacidad en la vida social y el desarrollo nacional. En el Programa también se subraya la necesidad de abordar la discapacidad desde una perspectiva de derechos humanos.</t>
  </si>
  <si>
    <t>Proceso: Fomento al Deporte</t>
  </si>
  <si>
    <r>
      <rPr>
        <sz val="9"/>
        <rFont val="Calibri"/>
      </rPr>
      <t xml:space="preserve">Por la cual se dictan disposiciones para el fomento del deporte, la recreación, el aprovechamiento del tiempo libre y la Educación Física y se crea el Sistema Nacional del Deporte.
</t>
    </r>
    <r>
      <rPr>
        <b/>
        <sz val="9"/>
        <rFont val="Calibri"/>
      </rPr>
      <t>OJO - Modificada por la Ley 494 de 1999, Reformada por la Ley 582 de 2000</t>
    </r>
  </si>
  <si>
    <t>FECHA ÚLTIMA ACTUALIZACIÓN: 11/03/2022</t>
  </si>
  <si>
    <t>LEY 35</t>
  </si>
  <si>
    <t>“Por la cual se reglamenta el ejercicio de la profesión de Medicina en Colombia”.</t>
  </si>
  <si>
    <t>LEY 49</t>
  </si>
  <si>
    <t>"Por la cual se establece el régimen disciplinario en el deporte."</t>
  </si>
  <si>
    <t>RESOLUCIÓN 777</t>
  </si>
  <si>
    <t>"Por medio de la cual se actualiza la estructura y se reglamentan los Programas de
Iniciación, Talento y Reserva y Rendimiento Deportivo, y se deroga la resolución No
406 de 2013”</t>
  </si>
  <si>
    <t>FECHA ÚLTIMA ACTUALIZACIÓN: 09/03/2022</t>
  </si>
  <si>
    <r>
      <rPr>
        <sz val="9"/>
        <rFont val="Calibri"/>
      </rPr>
      <t xml:space="preserve">Por la cual se dictan disposiciones para el fomento del deporte, la recreación, el aprovechamiento del tiempo libre y la Educación Física y se crea el Sistema Nacional del Deporte.
</t>
    </r>
    <r>
      <rPr>
        <b/>
        <sz val="9"/>
        <rFont val="Calibri"/>
      </rPr>
      <t>OJO - Modificada por la Ley 494 de 1999, Reformada por la Ley 582 de 2000</t>
    </r>
  </si>
  <si>
    <t>Por la cual se adopta el manual de señalización vial dispositivos uniformes para la regulación del transito en calles carreteras y ciclorutas de Colombia</t>
  </si>
  <si>
    <t>LEY 1967/2019</t>
  </si>
  <si>
    <t>Por el cual se modifica el Decreto Distrital 229 de 2015, 'Por medio del cual se adopta la PolItica Publica de Deporte, Recreación, Actividad FIsica, Parques y Escenarios para
Bogota', y se dictan otras disposiciones.</t>
  </si>
  <si>
    <t>RESOLUCIÓN 2204</t>
  </si>
  <si>
    <t>ESTABLECE EL CALENDARIO ACADÉMICO PARA EL AÑO 2022 EN LOS ESTABLECIMIENTOS EDUCATIVOS OFICIALES DE EDUCACIÓN PREESCOLAR, BÁSICA Y MEDIA Y JARDINES INFANTILES EN EL MARCO DEL CONVENIO (SED-SDIS)</t>
  </si>
  <si>
    <t>Circular 022</t>
  </si>
  <si>
    <t>Secretaría Distrital de Educación</t>
  </si>
  <si>
    <t>Emite orientaciones para el inicio del año escolar 2022.</t>
  </si>
  <si>
    <t>Circular 001</t>
  </si>
  <si>
    <t>Emite orientaciones para el inicio del año escolar 2022.Transformación Pedagógica en la Presencialidad, divididos en cuatro momentos: 1. Presencialidad Total con Autocuidado, Bioseguridad y Corresponsabilidad (P-ABC), 2. Semanas de desarrollo y transformación institucional</t>
  </si>
  <si>
    <t xml:space="preserve">Proceso: Gestión de Asuntos Locales </t>
  </si>
  <si>
    <t>FECHA ÚLTIMA ACTUALIZACIÓN: 09/08/2021</t>
  </si>
  <si>
    <t>Por medio del cual se reglamentan los Consejos Locales de Gobierno, y se dictan otras disposiciones</t>
  </si>
  <si>
    <t>Artículos 4, 5, 8, 9</t>
  </si>
  <si>
    <t>Alcaldía Mayor de Bogotá - Secretaría de Gobierno</t>
  </si>
  <si>
    <t>B.2. Asesoría y asistencia técnica</t>
  </si>
  <si>
    <t>RESOLUCION 496</t>
  </si>
  <si>
    <t>Secretaria de Cultura Recreacion y Deporte</t>
  </si>
  <si>
    <t>Por medio del cual se reglamenta el proceso de elecciònde los/las Representantes a los Consejos locales y designaciòn del Consejo Distrital de participaciòn en deporte,recreacion,actividad fisica,parques,escenarios y equipamientos recreativosy deportivos para BogotàD.C.-DRAFE,para el periodo 2019-2011.</t>
  </si>
  <si>
    <t>RESOLUCIÒN 233</t>
  </si>
  <si>
    <t xml:space="preserve">Alcaldòa Mayor de Bogotà </t>
  </si>
  <si>
    <t>Por la cual se expiden lineamientos para el funcionamiento,operacion,seguimiento e informes de las Instancias de Coordinaciòn del Distrito Capital.</t>
  </si>
  <si>
    <t xml:space="preserve">DECRETO 768 </t>
  </si>
  <si>
    <t>Por medio del cual se reglamenta el Acuerdo 740 de 2019 y se dictan otras disposiciones</t>
  </si>
  <si>
    <t>Artículo 11. Organización de los sectores y/o entidades distritales para el acompañamiento a las Alcaldías Locales.
Artículo 19. Acompañamiento técnico a los presupuestos participativos.
Artículo 29. Conceptos preliminares</t>
  </si>
  <si>
    <t>DECRETO 168</t>
  </si>
  <si>
    <t>Por medio del cual se modifica y adiciona el Decreto Distrital 768 de 2019 'Por medlo del cual se reglam en/a el Acuerdo 740 de 2019 y se dictan otras disposiciones</t>
  </si>
  <si>
    <t>ArtIculo 3-. Modificase el artIculo 12 del Decreto Distrital 768 de 17 de diciembre de 2019</t>
  </si>
  <si>
    <t>Artículo 12. AsesorIa y asistencia técnica de los sectores y/o entidades distritales
competentes para laformulación, ejecución y seguimiento a los proyectos de inversion
local.</t>
  </si>
  <si>
    <t>Proceso: Gestión de Comunicaciones</t>
  </si>
  <si>
    <t xml:space="preserve">Por la cual se definen principios y conceptos sobre la sociedad de la información y la organización de las Tecnologías de la Información y las Comunicaciones ''TIC'', se crea la Agencia Nacional de Espectro y se dictan otras disposiciones </t>
  </si>
  <si>
    <t>TÍTULO II</t>
  </si>
  <si>
    <t>De la publicidad y del contenido de la información</t>
  </si>
  <si>
    <t>Por la cual se crea la Semana Nacional del Blog y otros contenidos creativos digitales y se dictan otras disposiciones</t>
  </si>
  <si>
    <t>Por la cual se moderniza el sector de las Tecnologías de la Información y las Comunicaciones (TIC), se distribuyen competencias, se crea un regulador único y se dictan otras disposiciones</t>
  </si>
  <si>
    <t>El Alcalde Mayor de Bogotá, D.C. (E)</t>
  </si>
  <si>
    <t>Artículo 24.</t>
  </si>
  <si>
    <t>Edición, impresión, reproducción, publicación de avisos</t>
  </si>
  <si>
    <t>Por medio del cual se expide el Decreto Único Reglamentario del Sector de Tecnologías de la Información y las Comunicaciones.</t>
  </si>
  <si>
    <t xml:space="preserve">Por medio del cual se expide el Decreto Reglamentario Único del Sector Presidencia de la República
</t>
  </si>
  <si>
    <t xml:space="preserve">Artículo 14 / 16 </t>
  </si>
  <si>
    <t>Integración a la sede electrónica / Gestión documental electrónica y preservación de la información</t>
  </si>
  <si>
    <t>Artículo 3 / 10 / 27</t>
  </si>
  <si>
    <t>Definiciones:  Accesibilidad / Estrategia de lenguaje claro / Repositorio de Instrumentos Técnicos.</t>
  </si>
  <si>
    <t>Ministerio de Técnologías de la Información y las Comunicaciones</t>
  </si>
  <si>
    <t>Por la cual se expide el glosario de definiciones conforme a lo ordenado por el inciso 2° del artículo 6° de la Ley 1341 de 2009</t>
  </si>
  <si>
    <t>Comisión Distrital de Sistemas(CDS) de Bogotá</t>
  </si>
  <si>
    <t>ARTICULO  2</t>
  </si>
  <si>
    <t>El artículo cuarto del Acuerdo 131 de 2004:  Con antelación no inferior a diez (10) días hábiles a la iniciación de las Audiencias de Rendición de Cuentas, la Administración Distrital publicará a través del Sistema Distrital de Información y en las páginas WEB de las entidades distritales, el texto de los Informes de Rendición de Cuentas que serán presentados por conducto del Alcalde Mayor y de los Alcaldes Locales</t>
  </si>
  <si>
    <t>Por el cual se dictan normas para la adecuación de la información pública, de trámites y servicios en las páginas web de las entidades del Distrito Capital con el fin de garantizar el acceso universal de las personas con y/o en situación de discapacidad</t>
  </si>
  <si>
    <t xml:space="preserve">Por medio del cual se dictan los lineamientos para el uso de la marca ciudad "Bogotá" y se dictan otras disposiciones.
</t>
  </si>
  <si>
    <t>/</t>
  </si>
  <si>
    <t>Alta Consejería Distrital de Tecnologías de Información y Comunicaciones</t>
  </si>
  <si>
    <t>Socialización de la federación de la plataforma de datos abiertos del distrito con la de la nación y publicación de la estrategia de datos del Distrito Capital</t>
  </si>
  <si>
    <t>Guía para el diseño y desarrollo de sitios Web de las entidades y organismos del Distrito Capital (Guía Sitios Web 3.0). Así las cosas, y efectuado un seguimiento sobre las disposiciones normativas enunciadas, se evidenció que algunos organismos y entidades a la fecha no han publicado la información de los servidores principales, respecto a sus nombres, apellidos y dependencias a cargo</t>
  </si>
  <si>
    <t xml:space="preserve">        
Políticas Generales de Tecnologías de Información y Comunicaciones aplicables a las entidades del Distrito Capital</t>
  </si>
  <si>
    <t>Tratamiento de datos personales - autorizaciones, datos sensibles, datos de niños, niñas y adolescentes, cámaras y videos de seguridad, sanciones y recomendaciones</t>
  </si>
  <si>
    <t>Estandarización y publicación de Datos Abiertos</t>
  </si>
  <si>
    <t xml:space="preserve">CÍRCULAR No. 001
</t>
  </si>
  <si>
    <t>Oficina Consejería de Comunicaciones de la Secretaría General
DE LA ALCALDIA MAYOR DE BOGOTA, D. C.</t>
  </si>
  <si>
    <t xml:space="preserve">Manual de Uso de Marca Ciudad Bogotá </t>
  </si>
  <si>
    <t>DIRECTIVA No. 005</t>
  </si>
  <si>
    <t xml:space="preserve">DIRECTRICES SOBRE GOBIERNO ABIERTO DE BOGOTA 
</t>
  </si>
  <si>
    <t xml:space="preserve">CIRCULAR </t>
  </si>
  <si>
    <t>Manual de imagen para parques vecinales y de bolsillo administrados
por las alcaldías locales.</t>
  </si>
  <si>
    <t>CIRCULAR No. 001</t>
  </si>
  <si>
    <t>Consejería de Comunicaciones de la Secretaría General de la Alcaldía Mayor de Bogotá, D.C.</t>
  </si>
  <si>
    <t>Lineamientos para la democratización y participación de los medios comunitarios y alternativos de la ciudad de Bogotá dentro del desarrollo de las acciones de comunicación pública que se adelanten por las diferentes entidades y organismos que integran la Administración Distrital</t>
  </si>
  <si>
    <t>CIRCULAR No. 002</t>
  </si>
  <si>
    <t>Manual estrategico de comunicaciones en el Distrito Capital</t>
  </si>
  <si>
    <t>CIRCULAR No. 011</t>
  </si>
  <si>
    <t>Secretario Jurídico Distrital</t>
  </si>
  <si>
    <t>Almacenamiento, utilización, publicación y distribucióon de obras protegidas por Derechos de Autor</t>
  </si>
  <si>
    <t>Proceso: Gestión de Recursos Físicos</t>
  </si>
  <si>
    <t>CONSTITUCIÓN POLÍTICA DE COLOMBIA</t>
  </si>
  <si>
    <t>La carta política Colombiana tiene un alto contenido en materia ambiental y desarrollo sostenible, por lo cual la Corte Constitucional indicó que en ella se encontraba una verdadera constitución ecológica del mismo rango de las constituciones económica, social y cultural. Dentro de los artículo ambientales encontramos los siguientes: 6, 8, 49, 58, 67, 79, 80, 82, 88, 95(8), 267(inc 3), 277(4), 289, 313(9), 333, 334, 336.</t>
  </si>
  <si>
    <t>1 al 218, 491 al 514: La Ley establece las normas generales que servirán de base a las disposiciones y regalmentaciones necesarias para preservar, restaurar y mejorar las condiciones sanitarias en lo que se relaciona a la salud humana y el ambiente.
 Tambien establece los procedimientos y las medidas que se deben adoptar para la regulación, legalización y control de los residuos y materiales que afectan o pueden afectar las condiciones sanitarias del Ambiente.</t>
  </si>
  <si>
    <t>Artículo 1: No se considera Publicidad Exterior Visual para efectos de la presente Ley, la señalización vial, la nomenclatura urbana o rural, la información sobre sitios históricos, turísticos y culturales, y aquella información temporal de carácter educativo, cultural o deportivo que coloquen las autoridades públicas u otras personas por encargo de éstas, que podrá incluir mensajes comerciales o de otra naturaleza siempre y cuando éstos no ocupen más del 30% del tamaño del respectivo mensaje o aviso. Tampoco se considera Publicidad Exterior Visual las expresiones artísticas como pinturas o murales, siempre que no contengan mensajes comerciales o de otra naturaleza.</t>
  </si>
  <si>
    <t>Artículo 328 al 339: El Código penal en su Título XI trata de los de los delitos contra los recursos naturales y el medio ambiente, sin embargo y pese a las pocas determinaciones de ley para los delitos ambientales, solo hasta el año 2009 se estableció condenas penales por daños al medio ambiente. La expedición del régimen de Procedimiento sancionatorio ambiental mediante la Ley 1333 de 2009 dio una pauta para ejercer mecanismos de mayor coerción tanto para industrias, sector público, como para personas naturales.</t>
  </si>
  <si>
    <t>Artículo 8: El cual modifica el artículo 28 de la Ley 769 de 2002, Condiciones técnico-mecánicas, de emisiones contaminantes y de operación. Artículo 10:El cual modifica el artículo 50 de la Ley 769 de 2002, Condiciones técnico-mecánicas, de emisiones contaminantes y de operación. Artículo 11: El cual modifica el artículo 51 de la Ley 769 de 2002, Revisión periódica de los vehículos, 2.Niveles de emisión de gases y elementos contaminantes acordes con la legislación vigente sobre la materia. Artículo 20: Sanciones. Artículo 21: Multas.</t>
  </si>
  <si>
    <t>Por la cual se expide el Código Nacional de Policía y Conveniencia.</t>
  </si>
  <si>
    <t>Artículo 1: Contenido y objetivo. Artículo 2: Definiciones. Artículo 3: Tipos de contaminantes del aire. Artículo 4: Actividades especialmente controladas, b. La quema de combustibles fósiles utilizados por el parque automotor.Artículo 18: Clasificación de fuentes contaminantes. Artículo 19: Restricción de uso de combustibles contaminantes. Artículo 22: Materiales de desecho en zonas públicas. Artículo 36 al 39: De las emisiones de contaminantes de fuentes móviles. Artículo 90: Clasificación de fuentes móviles. Artículo 92: Evaluación de emisiones de vehículos automotores.</t>
  </si>
  <si>
    <t>Articulo 1: Definiciones. Artículo 2: Obligaciones de los usuarios del recurso agua. Artículo 6: Todos los usuarios Pertenecientes al sector oficial, están obligados a reemplazar, antes del 1o. de Julio de 1.999 los equipos, sistemas e implementos de alto consumo de agua, por los de bajo consumo. Artículo 7: Todos los usuarios pertenecientes al sector institucional, están obligados a reemplazar antes del 1o. de julio de 1999, los equipos, sistemas e implementos de alto consumo actualmente en uso, por unos de bajo consumo.</t>
  </si>
  <si>
    <t>Por el cual se compilan los textos del Acuerdo 01 e 1998 y del Acuerdo 12 de 2000, los cuales reglamentan la publicidad Exterior Visual en el Distrito Capital de Bogotá.</t>
  </si>
  <si>
    <t>DECRETO 1609 (COMPILADO POR EL DECRETO 1079 DE 2015 DECRETO ÚNICO REGLAMENTARIO DEL SECTOR
 TRANSPORTE)</t>
  </si>
  <si>
    <t>Artículo 1 al 7: El presente Decreto tiene por objeto la reglamentación tendiente al eficiente manejo de los residuos sólidos producidos, tanto por las entidades distritales, como por los servidores pertenecientes a ellas, buscando como objetivo central su adecuado aprovechamiento.</t>
  </si>
  <si>
    <t>Artículo 1: Objeto. Artículo 2: Alcance. Artículo 3: Definiciones. Artículo 4: Principios. Artículo 5: Clasificación de los residuos o desechos peligrosos. Artículo 6: Características que confieren a un residuo o desecho la calidad de peligroso. Artículo 7: Procedimiento mediante el cual se puede identificar si un residuo o desecho es peligroso. Artículo 9:De la presentación de los residuos o desechos peligrosos .Artículo 10: Obligaciones del Generador: a) Garantizar la gestión y manejo integral de los residuos o desechos peligrosos que genera. b) Elaborar un plan de gestión integral de los residuos o desechos peligrosos. c) Identificar las características de peligrosidad de cada uno de los residuos peligrosos que genere. d) Garantizar que el envasado o empacado, embalado y etiquetado de sus residuos. e) Dar cumplimiento a lo establecido en el Decreto 1609 de 2002. f) Registrarse ante la autoridad ambiental competente. g) Capacitar al personal encargado de la gestión. h) Contar con un plan de contingencia actualizado. Artículo 11: Responsabilidad del generador. El generador es responsable de los residuos o desechos peligrosos que él genere. La responsabilidad se extiende a sus afluentes, emisiones, productos y subproductos, por todos los efectos ocasionados a la salud y al ambiente. Artículo 12: Subsistencia de la responsabilidad. La responsabilidad integral del generador subsiste hasta que el residuo o desecho peligroso sea aprovechado como insumo o dispuesto con carácter definitivo. Artículo 13: Contenido químico no declarado. El generador continuará siendo responsable en forma integral por los efectos ocasionados a la salud o al ambiente, de un contenido químico o biológico no declarado al receptor y a la autoridad ambiental. Artículo 27: Del registro de generadores. Artículo 32: Prohibiciones. Artículo 33: de los desechos hospitalarios. Artículo 37: régimen sancionatorio.</t>
  </si>
  <si>
    <t>Este decreto tiene por objeto señalar los criterios generales que deberán tener en cuenta las autoridades
 ambientales para la imposición de las sanciones consagradas en el artículo 40 de la Ley 1333 de 2009.</t>
  </si>
  <si>
    <t>DECRETO 2981 (COMPILADO POR EL DECRETO 1077 DE 2015 DECRETO ÚNICO REGLAMENTARIO DEL SECTOR
 VIVIENDA, CIUDAD Y TERRITORIO)</t>
  </si>
  <si>
    <t>Artículo 1: Ámbito de la aplicación Artículo 2: Definiciones. Artículo 17: Obligaciones de los usuarios para el almacenamiento y la presentación de residuos sólidos. Artículo 18: Características de los recipientes retornables para almacenamiento de residuos sólidos. Artículo 19: Características de los recipientes no retornables. Artículo 20: Sistemas de almacenamiento colectivo de residuos sólidos. Artículo 22: Sitios de ubicación para la presentación de los residuos sólidos. Artículo 27: Recolección separada. Artículo 110: De los deberes de los usuarios.</t>
  </si>
  <si>
    <t>Artículo 29: Tipología vehicular. En todos los casos los vehículos que se destinen a la prestación del Servicio Público de Transporte Terrestre Automotor Especial deberán cumplir con las condiciones técnico-mecánicas, de emisiones contaminantes y las especificaciones de tipología vehicular requeridas y homologadas por el Ministerio de Transporte para la prestación del servicio.</t>
  </si>
  <si>
    <t>Artículo 1 al 3: Objeto, Ambito de apicación y definiciones. Artículo 13: Reencauche de llantas usadas generadas por los vehiculos de las entidades que conforman la administración pública del distrito capital. Articulo 14: Informes de cumplimiento de las entidades distritales. Artículo 15: Compras verdes. Artículo 19: Prohibiciones. Artículo 24: Vigencias y derogatorias.</t>
  </si>
  <si>
    <t>DECRETO 265</t>
  </si>
  <si>
    <t>ALCALDE MAYOR DE BOGOTÁ D.C.</t>
  </si>
  <si>
    <t>Por medio del cual se modifica el Decreto Distrital 442 de 2015 y se adoptan otras</t>
  </si>
  <si>
    <t>Artículo 2º. Modificase el artículo 4 del Decreto 442 de 2015, el cual queda así;
 "Artículo 4.- Registro para acopiadores y gestores de llantas. Todo gestor y/o acopiador de llantas; o de subproductos derivados de actividades de tratamiento o aprovechamiento de llantas, localizado en el Distrito Capital, deberá registrarse mediante el aplicativo web diseñado para tal fin por la Secretaria Distrital de Ambiente, que arrojará número de identificación por cada registro".</t>
  </si>
  <si>
    <t>2.3.2.5.4.1., 2.3.2.5.4.2, 2.3.2.5.4.3,</t>
  </si>
  <si>
    <t>SECCIÓN 4 DEBERES Y DERECHOS 
 Artículo 2.3.2.5.4.1. Derechos de los usuarios. 
 1. Recibir capacitación sobre la separación en la fuente de los residuos sólidos aprovechables. 
 2. Recibir el incentivo a la separación en la fuente (DINC) cuando se logren los niveles de rechazo establecidos.
 3.Ser incluido en la ruta de recolección de residuos sólidos aprovechables. 
 Artículo 2.3.2.5.4.2. Deberes de los usuarios. 
 1. Presentar los residuos sólidos aprovechables separados en la fuente a las personas prestadoras de la actividad sin imponer condiciones adicionales a las establecidas en el contrato de condiciones uniformes.
 2. Permitir la realización del aforo de los residuos sólidos aprovechables.
 3. Pagar la tarifa establecida para el servicio prestado. 
 Artículo 2.3.2.5.4.3. Deberes de las personas prestadoras de la actividad de aprovechamiento.
 1. Definir e informar al usuario sobre las condiciones de prestación del servicio.
 2. Definir e informar al usuario sobre los residuos sólidos aprovechables.
 3. Recolectar los residuos sólidos presentados por el usuario como aprovechables, de acuerdo con lo indicado en el contrato de condiciones uniformes del servicio público de aseo (CCU) para la actividad de aprovechamiento. 
 4. Realizar las actividades de clasificación en las Estaciones de Clasificación y Aprovechamiento ECAS.
 5. No dejar residuos sólidos dispersos en las vias públicas que puedan conducir a la generación de puntos críticos.
 6. Realizar campañas de capacitación de separación de en la fuente a sus usuarios de la actividad de aprovechamiento del servicio público de aseo.</t>
  </si>
  <si>
    <t>1. Apagar la luz en las dependencias que no se ocupan de manera continua, tales como salas de juntas, baños, archivos o depósitos.
 2. Encender la iluminación solamente cuando no haya luz natural suficiente.
 3. Verificar que los equipos queden desconectados y la luz apagada al salir de las oficinas.
 4. Ahorrar agua, especialmente en riego de jardines, lavado de vehículos y espacios públicos.
 5. Apagar las luces de los edificios sede de las entidades públicas, a partir de las 8 p. m.
 6. Promover programas de ahorro de energía eléctrica y agua.
 7. En especial, los Gobernadores y Alcaldes adelantarán dentro de la ciudadanía campañas de ahorro de energía eléctrica y agua en cada una de sus jurisdicciones.</t>
  </si>
  <si>
    <t>Artículo 1 al 3: La Administración Distrital promoverá la conversión e instalación de equipos, sistemas e implementos de bajo consumo de agua en las edificaciones ubicadas en el Distrito Capital.</t>
  </si>
  <si>
    <t>Artículo 6: La Administración Distrital impulsará en todas sus dependencias una política de reutilización y aprovechamiento en su parque automotor teniendo como alternativa principal el reencauche y las demás que representen valor agregado.</t>
  </si>
  <si>
    <t>Artículo 1. Objeto. El presente Acuerdo tiene por objeto regular la gestión del Aceite Vegetal Usado (AVU), que comprende las etapas de generación, recolección, transporte, almacenamiento, tratamiento o aprovechamiento en el Distrito Capital. Artículo 2. Campo de Aplicación. El presente Acuerdo se aplicará a quienes ejerzan actividades relacionadas con la generación, recolección, transporte, almacenamiento, tratamiento o aprovechamiento de Aceite Vegetal Usado, en el Distrito Capital. Artículo 3. Definiciones, Artículo 5. Obligaciones del generador, Artículo 6. Prohibiciones del generador, Artículo 12. Responsabilidad. Artículo 13. Sanciones</t>
  </si>
  <si>
    <t>Por la cual se reglamentan los niveles permisibles de emisión de contaminantes producidos por las fuentes móviles con motor a gasolina y diesel.</t>
  </si>
  <si>
    <t>Artículo 4: De conformidad con la Ley 430 del 16 de enero de 1998, es obligación y responsabilidad de los generadores identificar las características de peligrosidad de cada uno de los residuos o desechos peligrosos que genere, para lo cual podrá tomar como referencia cualquiera de las alternativas establecidas en el artículo 7º del Decreto 4741 del 30 de diciembre de 2005. La autoridad ambiental podrá exigir la caracterización fisicoquímica de los residuos o desechos, cuando lo estime conveniente o necesario.</t>
  </si>
  <si>
    <t>Artículo 1: Objeto. Artículo 2: Definiciones. Artículo 6: Registro de la publicidad exterior visual en vehículos automotores. Para la fijación o instalación de la Publicidad Exterior Visual en vehículos automotores de que trata la presente Resolución, deberá contar con el registro previo expedido por la Secretaría Distrital de Ambiente. La solicitud de registro deberá gestionarse de conformidad con lo establecido en el Artículo 6º de la Resolución 931 de 2008, adjuntando los documentos que sean pertinentes, indicados en el artículo 7 de la misma Resolución, Artículo 7: Vigencia del registro. El registro se otorgará por un término de dos (2) años, a partir de la notificación del Acto Administrativo, que así lo resuelva.</t>
  </si>
  <si>
    <t>RESOLUCION 064</t>
  </si>
  <si>
    <t>Por medio de la cual se modifica el artículo tercero de la Resolución 023 del 2003</t>
  </si>
  <si>
    <t>Periodicidad de las reuniones del Comité de Inventarios</t>
  </si>
  <si>
    <t>RESOLUCIÓN 209</t>
  </si>
  <si>
    <t>Artículo 1: Modificar el artículo 3 de la Resolución 1115 de 2012 en el sentido de establecer como Residuos de Construcción y Demolición – RCD, no susceptibles de aprovechamiento los siguientes: 
 * Materiales aprovechables contaminados con residuos peligrosos. 
 * Materiales que por su estado no pueden ser aprovechados. 
 * Residuos peligrosos: este tipo de residuo debe ser identificado y manejado de acuerdo a los protocolos establecidos para cada caso. 
 * Otros residuos con normas específicas como el Amianto, Asbesto Cemento, Electrónicos, Biosanitarios, entre otros.</t>
  </si>
  <si>
    <t>RESOLUCIÓN 51</t>
  </si>
  <si>
    <t>Artículo 1: Objeto y Ámbito de Aplicación. Artículo 2: Definiciones. Artículo 5: Del parámetro de temperatura y de la zona de mezcla térmica. Artículo 16: Vertimientos puntuales de Aguas Residuales no Domésticas (ARnD) al alcantarillado público.</t>
  </si>
  <si>
    <t>1y 2</t>
  </si>
  <si>
    <t>Artículo 1: Modificar el artículo 3 de la Resolución 1115 de 2012 en el sentido de:
 * Obligaciones de los grandes generadores
 *Definición de los aspectos del Plan de Gestión de RCD 
 Artículo 2: Sobre la dispocisión de RCD en espacio público</t>
  </si>
  <si>
    <t>1 al 5
 9</t>
  </si>
  <si>
    <t>RESOLUCIÓN DDC-001</t>
  </si>
  <si>
    <t>Por la cual se expide el Manual de Procedimientos Administrativos y Contables para el manejo y control de los bienes en las Entidades de Gobierno Distritales</t>
  </si>
  <si>
    <t>LEY 80 DE 1993</t>
  </si>
  <si>
    <t>Todos los articulos. La presente Ley tiene por objeto disponer las reglas y principios que rigen los contratos de las entidades estatales</t>
  </si>
  <si>
    <t>LEY 1150 DE 2007</t>
  </si>
  <si>
    <t>Todos los articulos. La presente ley tiene por objeto introducir modificaciones en la Ley 80 de 1993, así como dictar otras disposiciones generales aplicables a toda contratación con recursos públicos.</t>
  </si>
  <si>
    <t>LEY 1474 DE 2011</t>
  </si>
  <si>
    <t>Todos los articulos</t>
  </si>
  <si>
    <t>LEY 1952 de 2021</t>
  </si>
  <si>
    <t>Por medio de la cual se expide el código general disciplinario se derogan la ley 734 de 2002 y algunas disposiciones de la ley 1474 de 2011, relacionadas con el derecho disciplinario.</t>
  </si>
  <si>
    <t>Proceso: Gestión de Talento Humano</t>
  </si>
  <si>
    <t>FECHA ÚLTIMA ACTUALIZACIÓN: 01/08/2022</t>
  </si>
  <si>
    <t>Congreso de la Republica de Colombia</t>
  </si>
  <si>
    <t>Por la cual se dictan Medidas Sanitarias</t>
  </si>
  <si>
    <t>98, 112, 114,116 y 117</t>
  </si>
  <si>
    <t>Condiciones ambientales / Maquinas equipos y herramientas / Equipos sometidos a presión / Riesgo eléctrico</t>
  </si>
  <si>
    <t>Por medio de la cual se dicta la Ley General de Archivos y se dictan otras disposiciones.</t>
  </si>
  <si>
    <t>Por la cual se expiden normas que regulan el empleo público, la carrera administrativa, gerencia pública y se dictan otras disposiciones.</t>
  </si>
  <si>
    <t>Por medio de la cual se adoptan medidas para prevenir, corregir y sancionar el acoso laboral y otros hostigamientos en el marco de las relaciones de trabajo.</t>
  </si>
  <si>
    <t>El Ministerio de Protección Social reglamentará mecanismos para que todas las empresas del país promuevan durante la jornada laboral pausas activas para todos sus empleados, para lo cual contarán con el apoyo y orientación de las Administradoras de Riesgos Profesionales</t>
  </si>
  <si>
    <t>Poder Público - Rama Legislativa</t>
  </si>
  <si>
    <t>Por la cual se reforma la Ley 769 de 2002 - Código Nacional de Tránsito Terrestre y se dictan otras disposiciones</t>
  </si>
  <si>
    <t>31/047/12</t>
  </si>
  <si>
    <t>Por la cual se dictan normas para garantizar la atención integral a personas que consumen sustancias psicoactivas y se crea el premio nacional "entidad comprometida con la prevención del consumo, abuso y
 adicción a sustancias" psicoactivas</t>
  </si>
  <si>
    <t>Por medio de la cual se expide la Ley de salud mental y se dictan otras disposiciones</t>
  </si>
  <si>
    <t>Únicamente aplica artículo 9</t>
  </si>
  <si>
    <t>Por la cual se otorgan incentivos para promover el uso de la bicicleta en el territorio nacional y se modifica el Código Nacional de Tránsito.</t>
  </si>
  <si>
    <t>Por medio de la cual se adopta la estrategia Salas amigas de la familia lactante del entorno laboral en Entidades Públicas Territoriales y empresas privadasy se dictan otras disposiciones</t>
  </si>
  <si>
    <t>Por medio de la cual se modifica la Ley 1361 de 2009 para adicionar y complementar las medidas de protección de la familia y se dictan otras disposiciones</t>
  </si>
  <si>
    <t>Por medio de la cual se establece un marco general para la libranza o descuento directo y se dictan otras disposiciones/modifica la Ley 1527 de 2012</t>
  </si>
  <si>
    <t>Por el cual se modifican la Ley 909 de 2004, el Decreto Ley 1567 de 1998 y se dictan otras disposiciones</t>
  </si>
  <si>
    <t>Por medio de la cual se establece el régimen para el ejercicio de la capacidad legal de las personas con discapacidad mayores de edad</t>
  </si>
  <si>
    <t>Por el cual se establece el Sistema Tipo de Evaluación del Desempeño Laboral de los Empleados Públicos de Carrera Administrativa y en Período de Prueba</t>
  </si>
  <si>
    <t>Parcialmente</t>
  </si>
  <si>
    <t>Por el cual se reglamenta parcialmente el Decreto 1295 de 1994.</t>
  </si>
  <si>
    <t>Presidencia de la República</t>
  </si>
  <si>
    <t>Por el cual se crea el sistema nacional de capacitación y el sistema de estímulos para los empleados del Estado.</t>
  </si>
  <si>
    <t>capítulo II, Artículo 19</t>
  </si>
  <si>
    <t>Las Entidades Públicas que se rigen por las disposiciones contenidas en el presente Decreto-Ley están en la obligación de organizar anualmente, para sus empleados programas de bienestar social e incentivos</t>
  </si>
  <si>
    <t>Por el cual se modifica la Tabla de Clasificación de Actividades Económicas para el
 Sistema General de Riesgos Profesionales y se dictan otras disposiciones.</t>
  </si>
  <si>
    <t>Desacuerdo con el Previo concepto del Consejo Nacionalde Riesgos Profesionales,Ministeriode Trabajo y Seguridad Socialotorgan el grado de riesgo de la entidad.</t>
  </si>
  <si>
    <t>Ministerio de la Protección Social</t>
  </si>
  <si>
    <t>"Por el cual se definen las actividades de alto riesgo para la salud del trabajador y se modifican y señalan las condiciones, requisitos y beneficios del régimen de pensiones de los trabajadores que laboran en dichas actividades".</t>
  </si>
  <si>
    <t>Por el cual se reglamenta parcialmente la Ley 909 de 2004 y el Decreto-ley 1567 de 1998</t>
  </si>
  <si>
    <t>Por el cual se establecen reglas para cancelar la multiafiliación en el Sistema General de Riesgos Profesionales</t>
  </si>
  <si>
    <t>Por el cual se modifica el parágrafo 1º del artículo 40 del Decreto 1406 de 1999, en el sentido de que las prestaciones económicas correspondientes a los tres (3) primeros días de incapacidad por enfermedad general, estarán a cargo del empleador y del tercer día en adelante estarán a cargo de la correspondiente EPS.</t>
  </si>
  <si>
    <t>Por el cual se reglamenta la organización y funcionamiento de las Juntas de Calificación de Invalidez, y se dictan otras disposiciones</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</si>
  <si>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</si>
  <si>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Por la cual se expide la tabla de enfermedades laborales</t>
  </si>
  <si>
    <t>Por medio del cual se expide el Decreto Único Reglamentario del Sector Transporte.</t>
  </si>
  <si>
    <t>Por el cual se modifica y adiciona el Decreto 1079 de 2015, en relación con el Plan Estratégico de Seguridad Vial</t>
  </si>
  <si>
    <t>Por medio de la cual se expide el Decreto Único Reglamentario del Sector Trabajo</t>
  </si>
  <si>
    <t>Por el cual se modifica el Capítulo 9 del Título 4 de la Parte 2 del Libro 2 del Decreto 1072 de 2015, referente al Sistema de Compensación Monetaria en el Sistema General de Riesgos Laborales</t>
  </si>
  <si>
    <t>Por el cual se dictan normas en materia de empleo con el fin de facilitar y asegurar la implementación y desarrollo normativo del Acuerdo Final para la Terminación del Conflicto y la Construcción de una Paz Estable y Duradera.</t>
  </si>
  <si>
    <t>Por el cual se modifica parcialmente el Decreto 1083 de 2015, Único Reglamentario delSector de Función Pública, y se deroga el Decreto 1737 de 2009</t>
  </si>
  <si>
    <t>Talento Humano</t>
  </si>
  <si>
    <t>Por la cual se sustituye el Titulo 3 de la parte 2 del Libro 2 del decreto 780 DE 2016, se reglamenta la incapacidades superiores a 540 días y se dictan otras disposiciones.</t>
  </si>
  <si>
    <t>Por medio del cual se establecen los lineamientos para la formulación, adopción, implementación, seguimiento y actualización de los planes integrales de movilidad sostenible, PIMS, de las entidades del nivel central, descentralizado y el de las localidades del Distrito y se dictan otras disposiciones</t>
  </si>
  <si>
    <t>Por el cual se adiciona el Título 13 a la Parte 8 del Libro 2 del Decreto 780 de 2016 en relación con los Desfibriladores Externos Automáticos</t>
  </si>
  <si>
    <t>Por la cual se establecen algunas disposiciones sobre vivienda, higiene y seguridad en los establecimientos de trabajo.</t>
  </si>
  <si>
    <t>Ministerio de Trabajo y Ministerio de Salud</t>
  </si>
  <si>
    <t>Reglamenta la conformación del COPASST</t>
  </si>
  <si>
    <t>Por la cual se reglamenta la organización, funcionamiento y forma de los Programas de Salud Ocupacional que deben desarrollar los patronos o empleadores en el país.</t>
  </si>
  <si>
    <t>Por la cual se reglamentan actividades en materia de Salud Ocupacional.</t>
  </si>
  <si>
    <t>Artículo 6</t>
  </si>
  <si>
    <t>El Gobierno Nacional en el marco de la Política Pública Nacional de Prevención y Atención a la adicción de sustancias psicoactivas formulará líneas de política, estrategias, programas, acciones y procedimientos integrales para
 prevenir el consumo, abuso y adicción a las sustancias psicoactivas.</t>
  </si>
  <si>
    <t>Por la cual se reglamenta la investigación de incidentes y accidentes de trabajo.</t>
  </si>
  <si>
    <t>El Ministerio de la Protección Social,</t>
  </si>
  <si>
    <t>Por la cual se regula la práctica de evaluaciones médicas ocupacionales y el manejo y contenido de las historias clínicas ocupacionales.</t>
  </si>
  <si>
    <t>El Ministerio de la Protección Social</t>
  </si>
  <si>
    <t>Por la cual se adoptan las Guías de Atención Integral de Salud Ocupacional Basadas en la Evidencia.</t>
  </si>
  <si>
    <t>Articulo 1</t>
  </si>
  <si>
    <t>La presente resolución tiene por objeto adoptar las Guías de Atención Integral de Salud Ocupacional Basadas en la Evidencia GATISO</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</si>
  <si>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</si>
  <si>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Por la cual se adoptan medidas en relación con el consumo de cigarrillo o de tabaco</t>
  </si>
  <si>
    <t>Por la cual se modifican los artículos 11 y 17 de la Resolución 2346 de 2007 y se dictan otras disposiciones.</t>
  </si>
  <si>
    <t>Por la cual se crea la prima secretarial para los empleados públicos que desempeñen el cargo de Secretario Ejecutivo en el Instituto Distrital para la Recreación y el Deporte</t>
  </si>
  <si>
    <t>Por la cual se reglamenta el procedimiento, requisitos para el otorgamiento y renovación de las
 licencias de salud ocupacional y se dictan otras disposiciones</t>
  </si>
  <si>
    <t>La expedición, renovación, vigilancia y control de las licenciasde salud ocupacional a las personas naturales o jurídicas, públicas o privadas que ofertan a nivel nacional, servicios de seguridad y saluden el trabajo estará a cargo de la Secretarias Seccionalesy Distritales de Salud.</t>
  </si>
  <si>
    <t>Reglamenta los Comités de Convivencia Laboral</t>
  </si>
  <si>
    <t>Por la cual se modifica parcialmente la Resolución 652 de 2012.</t>
  </si>
  <si>
    <t>Por la cual se establece el reglamento de Seguridad Para Protección Contra Caídas en Trabajoen Alturas</t>
  </si>
  <si>
    <t>Por la cual se modifica parcialmente laResolución 1409 de 2012 y se dictan otras disposiciones.</t>
  </si>
  <si>
    <t>Por la cual se conforma el comité de seguridad y salud ocupacional - S&amp;SO - del Instituto Distrital de Recreación y Deporte -IDRD, y se establecen sus funciones.</t>
  </si>
  <si>
    <t>Dirección Nacional de Bomberos</t>
  </si>
  <si>
    <t>Por la cual se reglamenta la capacitación y entrenamiento para brigadas contraincendios industriales, comerciales y similares en Colombia</t>
  </si>
  <si>
    <t>Ministerio de transporte</t>
  </si>
  <si>
    <t>Por la cual se expide la Guía metodológica para la elaboración del Plan Estratégico de Seguridad Vial</t>
  </si>
  <si>
    <r>
      <rPr>
        <u/>
        <sz val="9"/>
        <color rgb="FF1155CC"/>
        <rFont val="Calibri, sans-serif"/>
      </rPr>
      <t xml:space="preserve">RESOLUCION 004 </t>
    </r>
    <r>
      <rPr>
        <sz val="9"/>
        <color rgb="FF000000"/>
        <rFont val="Calibri, sans-serif"/>
      </rPr>
      <t xml:space="preserve"> </t>
    </r>
  </si>
  <si>
    <t>Por la cual se establecen los parámetros y requisitos para desarrollar, certificar y desarrollar la capacitación virtual en el Sistema de Gestión de Seguridad y Salud en el Trabajo.</t>
  </si>
  <si>
    <t>Instituto Distrital de Recreación y Deportes</t>
  </si>
  <si>
    <t>Por la cual se designanlos representantes de la Administración al Comité de Convivencia Laboral del Instituto Distrital de Recreación y Deporte - IDRD y se conforma el mismo</t>
  </si>
  <si>
    <t>"Por la cual se adapta el Reglamento de Higiene y seguridad Industrial en el Instituto Distrital de Recreación y Deporte "</t>
  </si>
  <si>
    <t>Por la cual se conforma el Comité Paritario de Seguridad y Salud en el Trabajo - COPASST del Instituto Distrital de Recreación y Deporte, para el periodo comprendido entre el 13 de julio de 2019 al 12 de julio de 2021"</t>
  </si>
  <si>
    <t>Por la cual se adopta la Política Integral para la Prevención y Atención del Consumo de Sustancias Psicoactivas</t>
  </si>
  <si>
    <t>Por el cual se adopta el Sistema Tipo de Evaluación de Desesmpeño Laboral de los Funcionarios de Carrera Aadministrativa y en Período de Prureba del Instituto Distrital de Recreación y Deporte</t>
  </si>
  <si>
    <t>Por la cual se definen los Estándares Mínimos del Sistema de Gestión de la Seguridad y Salud en el Trabajo SG-SST.</t>
  </si>
  <si>
    <t>Por la cual se dictan los lineamientos para la implementación del Teletrabajo en el Instituto Disttital de Recreación y Deporte</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</si>
  <si>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</si>
  <si>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Comisión Nacional del Servicio Civil</t>
  </si>
  <si>
    <t>Medición de la madurez del Sistema de Gestión de Seguridad y Salud en el
 Trabajo — SG-SST.</t>
  </si>
  <si>
    <t>Por la cual se adopta el Plan de Bienestar Laboral del Instituto Distrital de Recreación y Deporte - IDRD para la vigencia 2019</t>
  </si>
  <si>
    <t>Por la cual se adopta el Plan Anual de Incentivos del Instituto Distrital de Recreación y Deporte para la vigencia 2019</t>
  </si>
  <si>
    <t>Por la cual se actualiza el Plan Nacional de Formación y Capacitación</t>
  </si>
  <si>
    <t>Por la cual se adopta el Plan Institucional de Capacitación para el periodo 2019 - 2020 para los Empleados Públicos del Instituto Distrital de Recreación y Deporte y se reglamenta su ejecución</t>
  </si>
  <si>
    <t>Por la cual se definenn los lineamientos generales para la operación del Sistema General de Riesgos Laborales - SGRL en el Sistema de Afiliación Transaccional - SAT y se adopta el formulario de afiliación y traslado del empleador al Sistema General de Riesgos Laborales</t>
  </si>
  <si>
    <t>RESOLUCIÓN 788</t>
  </si>
  <si>
    <t>Por la cual se modifica el Manual Especifico de Funciones y Competencias Laborales para los empleados de la Planta de personal del Instituto Distrital de Recreación y Deporte.</t>
  </si>
  <si>
    <t>Estrategia de Socialización y Capacitación para la actualización del Modelo Integrado de Planeación y Gestión MIPG</t>
  </si>
  <si>
    <t>Precisiones sobre la implementación del teletrabajo</t>
  </si>
  <si>
    <t>Decreto 081 de 2020</t>
  </si>
  <si>
    <t>Medidas sanitarias y acciones transitorias de policía para la preservación de la vida y mitigación del riesgo con ocasión de la situación epidemiológica causada por el Coronavirus (COVID-19) en Bogotá, D.C</t>
  </si>
  <si>
    <t>Decreto 087 de 2020</t>
  </si>
  <si>
    <t>Se declara la calamidad pública con ocasión de la situación epidemiológica causada por el Coronavirus (COVID-1 9) en Bogotá, D.C.</t>
  </si>
  <si>
    <t>Decreto  090 de 2020</t>
  </si>
  <si>
    <t>Se adoptan medidas transitorias para garantizar el orden público en el Distrito Capital, con ocasión de la declaratoria de calamidad pública</t>
  </si>
  <si>
    <t>Decreto  091 de 2020</t>
  </si>
  <si>
    <t>Se modifica Decreto 090 en el cual se adoptan medidas transitorias para garantizar el orden público en el Distrito Capital, con ocasión de la declaratoria de calamidad pública</t>
  </si>
  <si>
    <t>Decreto  092 de 2020</t>
  </si>
  <si>
    <t>Se imparten las ordenes e instrucciones necesarias para la debida ejecuciónde la medida de aislamiento oligatorio ordenada mediante el Decreto 457 de 2020</t>
  </si>
  <si>
    <t>Decreto  093 de 2020</t>
  </si>
  <si>
    <t>Se adoptan medidas adicionales y complementarias con ocasion de la declaratoria de calamidad publica</t>
  </si>
  <si>
    <t>Decreto 106 de 2020</t>
  </si>
  <si>
    <t>Se imparten las ordenes e instrucciones necesarias para dar continuidad a la ejecución de la medida de aislamiento obligatorio en Bogotá D.C.</t>
  </si>
  <si>
    <t>Decreto 121 de 2020</t>
  </si>
  <si>
    <t>Se establecen medidas transitorias con el fin de garantizar la prestación del servicio público de transporte, la movilidad en la ciudad de Bogotá D.C. y el cumplimiento de los protocolos de bioseguridad para mitigar, controlar y realizar el adecuado manejo de la pandemia del Coronavirus COVID-19</t>
  </si>
  <si>
    <t>Circular 043 de 2020</t>
  </si>
  <si>
    <t>Todas las entidades distritales deben retomar al cumplimiento de las funciones y obligaciones de manera presencial a partir del próximo lunes 11 de mayo de 2020, implementando los planes y/o estrategias que permitan de forma segura el regreso de los colaboradores del Distrito a sus sitios habituales de trabajo.</t>
  </si>
  <si>
    <t>Decreto 126 de 2020</t>
  </si>
  <si>
    <t>Se establecen medidas transitorias para el manejo del riesgo derivado de la pandemia por Coronavirus COVID-19 durante el estado de calamidad pública declarado en el distrito capital</t>
  </si>
  <si>
    <t>Decreto 128 de 2020</t>
  </si>
  <si>
    <t>Con el fin de minimizar los riesgos de contagio y propagación de la pandemia del covid-19, contar con información precisa que permita la identificación de personas contagiadas y propender por una reactivación económica segura, las empresas y establecimientos de comercio exceptuados por el Gobierno Nacional deberán cumplir con determinados requisitos</t>
  </si>
  <si>
    <t>Decreto 131 de 2020</t>
  </si>
  <si>
    <t>Dar continuidad al aislamiento preventivo obligatorio de todas las personas habitantes de Bogotá D.C., a partir de las cero horas (00:00 a.m.) del día 1 de junio de 2020, hasta las cero horas (00:00 a.m.) del día 16 de junio de 2020, en el marco de la emergencia sanitaria por causa del Coronavirus COVID-19.</t>
  </si>
  <si>
    <t>Decreto  142 de 2020</t>
  </si>
  <si>
    <t>Limitar totalmente la libre circulación de vehículos y personas en los sectores que se describen a continuación de las localidades de Bosa, Engativá, Suba, y Ciudad Bolívar entre las cero horas (00:00 a.m.) del día 16 de junio de 2020, hasta las horas (00:00 a.m.) del día 30 de junio de 2020.</t>
  </si>
  <si>
    <t>Decreto 143 de 2020</t>
  </si>
  <si>
    <t>Dar continuidad al aislamiento preventivo obligatorio de todas las personas en el territorio de Bogotá D.C., a partir de las cero horas (00:00 a.m.) del día 16 de junio de 2020, hasta las cero horas (00:00 a.m.) del día 01 de julio de 2020, en el marco de la emergencia sanitaria por causa del Coronavirus COVID-19.</t>
  </si>
  <si>
    <t>Decreto 155 de 2020</t>
  </si>
  <si>
    <t>Limitar totalmente la libre circulación de vehículos y personas en los sectores que se describen a continuación de las localidades de Bosa, Kennedy y Ciudad Bolívarentre las cero horas (00:00 a.m.) del día 30 de junio de 2020, hasta las horas (00:00 a.m.) del día 14 de julio de 2020</t>
  </si>
  <si>
    <t>Decreto 162 de 2020</t>
  </si>
  <si>
    <t>Dar continuidad al aislamiento preventivo obligatorio de todas las personas en el territorio de Bogotá D.C., a partir de las cero horas (00:00 a.m.) del día 1 de julio de 2020, hasta las cero horas (00:00 a.m.) del día 16 de julio de 2020, en el marco de la emergencia sanitaria por causa del Coronavirus COVID-19.</t>
  </si>
  <si>
    <t>Decreto 164 de 2020</t>
  </si>
  <si>
    <t>Con el fin de minimizar las aglomeraciones en el transporte público y mitigar la propagación del Coronavirus COVID-19, los sectores económicos exceptuados de la medida de aislamiento preventivo obligatorio deberán funcionar en los horarios descritos, teniendo en cuenta la Clasificación Industrial Internacional Uniforme - CIIU de su actividad</t>
  </si>
  <si>
    <t>Decreto 169 de 2020</t>
  </si>
  <si>
    <t>Dar continuidad al aislamiento preventivo obligatorio de todas las personas en el territorio de Bogotá D.C., a partir de las cero horas (00:00 a.m.) del día 16 de julio de 2020, hasta las once y cincuenta y nueve horas (11:59 p.m.) del día 31 de agosto de 2020, en el marco de la emergencia sanitaria por causa del Coronavirus COVID-19</t>
  </si>
  <si>
    <t>Circular 0009</t>
  </si>
  <si>
    <t>Evaluación del Desempeño Laboral -EDL- (Período de prueba y anual) y Listas de
Elegibles. Decreto Legislativo 491 de 2020</t>
  </si>
  <si>
    <t>Circular 023 de 2020</t>
  </si>
  <si>
    <t>Lineamientos para el uso de tapabocas durante la actividad de conducción de vehículos</t>
  </si>
  <si>
    <t>Decreto 173 de 2020</t>
  </si>
  <si>
    <t>Limitar totalmente la libre circulación de vehículos y personas en las localidades, tanto dentro de la localidad como su salida a cualquiera otra, en las fechas y horas dispuestas</t>
  </si>
  <si>
    <t>Decreto 176 de 2020</t>
  </si>
  <si>
    <t>Con el fin de prevenir la propagación del Covid-19 y reducir su impacto en la población de la ciudad de Bogotá D.C., las personas que presenten diagnósticos positivos para Covid-19, deberán: a) Guardar cuarentena por el término de catorce (14) días en sus hogares, con todo su núcleo familiar con el que convivan. b) Reforzar las medidas de bioseguridad tales como: lavado frecuente de manos, uso del tapabocas y distanciamiento social dentro de su domicilio. c) Restringir la entrada de visitantes a sus domicilios. d) Reportar al equipo de vigilancia epidemiológica de la Secretaría de Salud en la página web</t>
  </si>
  <si>
    <t>Decreto 179 de 2020</t>
  </si>
  <si>
    <t>Dar continuidad al aislamiento preventivo obligatorio de todas las personas en el territorio de Bogotá D.C., a partir de las cero horas (00:00 a.m.) del día 1 de agosto de 2020, hasta las cero horas (00:00 a.m.) del día 1 de septiembre de 2020, en el marco de la emergencia sanitaria por causa del Coronavirus COVID-19.</t>
  </si>
  <si>
    <t>Decreto 186 de 2020</t>
  </si>
  <si>
    <t>Limitar totalmente la libre circulación de vehículos y personas en las localidades de Usaquén, Chapinero, Santa Fe, Teusaquillo, Antonio Nariño, Puente Aranda, La Candelaria, tanto dentro de estas como la salida de sus residentes a cualquiera otra localidad, desde el día 16 de agosto hasta el 31 de agosto de 2020</t>
  </si>
  <si>
    <t>Decreto 192 de 2020</t>
  </si>
  <si>
    <t>Prorrogar la situación de Calamidad Pública en Bogotá, D.C., por el término de seis (6) meses más contados a partir del mes de septiembre del año en curso</t>
  </si>
  <si>
    <t>Decreto 193 de 2020</t>
  </si>
  <si>
    <t>Se adoptan medidas transitorias de policía para garantizar el orden público en el Distrito Capital y mitigar el impacto social y económico causado por la pandemia de Coronavirus SARS-Cov-2 (COVID-19) en el periodo transitorio de nueva realidad</t>
  </si>
  <si>
    <t>Decreto 207 de 2020</t>
  </si>
  <si>
    <t>Se imparten las instrucciones necesarias para preservar el orden público, dar continuidad a la reactivación económica y social de Bogotá D.C., y mitigar el impacto causado por la pandemia de COVID-19 en el periodo transitorio de nueva realidad</t>
  </si>
  <si>
    <t>Decreto 208 de 2020</t>
  </si>
  <si>
    <t>Se establece una medida transitoria de restricción de circulación vehicular en la ciudad de Bogota</t>
  </si>
  <si>
    <t>Decreto 0216 de 2020</t>
  </si>
  <si>
    <t>Dar continuidad a las medidas anteriormente establecidas hasta las cero horas del 1 de noviembre de 2020</t>
  </si>
  <si>
    <t>Decreto 240 de 2020</t>
  </si>
  <si>
    <t>Se da continuidad a las medidas para preservar el orden público, dar continuidad a la reactivación económica y social de Bogotá D.C., y mitigar el impacto causado por la pandemia de Coronavirus SARS-Cov-2 (COVID-19) en el periodo transitorio de nueva realidad</t>
  </si>
  <si>
    <t>Decreto 262 de 2020</t>
  </si>
  <si>
    <t>Se imparten instrucciones para la temporada decembrina del año 2020, para preservar el orden público, para dar continuidad de la reactivación económica y social de Bogotá D.C., y para mitigar el impacto causado por la pandemia de Coronavirus SARS-Cov-2 (COVID-19) en el periodo transitorio de la nueva realidad</t>
  </si>
  <si>
    <t>Decreto 263 de 2020</t>
  </si>
  <si>
    <t>Se modifica el Decreto Por medio del cual se imparten las instrucciones necesarias para preservar el orden público, dar continuidad a la reactivación económica y social de Bogotá D.C., y mitigar el impacto causado por la pandemia de Coronavirus SARS-Cov-2 (COVID-19) en el periodo transitorio de nueva realidad</t>
  </si>
  <si>
    <t>Decreto 293 de 2020</t>
  </si>
  <si>
    <t>Se imparten las instrucciones necesarias para preservar el orden público, y mitigar el impacto causado por la pandemia de Coronavirus SARS-Cov-2 (COVID-19)</t>
  </si>
  <si>
    <t>Decreto 007 de 2021</t>
  </si>
  <si>
    <t>Se adoptan medidas transitorias de policía para garantizar el orden público y mitigar el impacto causado por la pandemia de Coronavirus en las localidades de Usaquén, Engativá y Suba</t>
  </si>
  <si>
    <t>Decreto 10 de 2021</t>
  </si>
  <si>
    <t>Restringir la circulación de las personas y vehículos por vías y lugares públicos en la ciudad de Bogotá desde las 23:59 horas del 7 de enero de 2021 hasta las 4:00 horas del día 12 de enero de 2021</t>
  </si>
  <si>
    <t>Decreto 018 de 2020</t>
  </si>
  <si>
    <t>Se adoptan medidas para conservar la seguridad, preservar el orden público, y mitigar el impacto causado por la pandemia de Coronavirus SARS-Cov-2 (COVID-19)</t>
  </si>
  <si>
    <t>Decreto 021 de 2020</t>
  </si>
  <si>
    <t>Dar inicio a la nueva fase de aislamiento selectivo y distanciamiento individual responsable, ordenado en el Decreto Nacional 039 del 14 de enero de 2021 desde las cero horas (00:00) del día 16 de enero de 2021 hasta las cero horas (00:00 a.m.) del día 1 de marzo de 2021.</t>
  </si>
  <si>
    <t>Decreto 491 de 2020</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</si>
  <si>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</si>
  <si>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Artículo 14</t>
  </si>
  <si>
    <t>Dcreto 1754</t>
  </si>
  <si>
    <t>Por el cual se reglamenta el Decreto Legislativo 491 del 28 de marzo de 2020, en lo relacionado con la reactivación de las etapas de reclutamiento, aplicación de pruebas y periodo de prueba en los procesos de selección para proveer los empleos de carrera del régimen general, especial y específico, en el marco de la Emergencia Sanitaria.</t>
  </si>
  <si>
    <t>Artículo 3</t>
  </si>
  <si>
    <t>Resolución 043</t>
  </si>
  <si>
    <t>“Por la cual se adopta en Plan Anual de Vacantes y el Plan de Previsión de Recursos Humanos del Instituto Distrital de Recreación y Deporte para la vigencia 2021”</t>
  </si>
  <si>
    <t xml:space="preserve">N/A </t>
  </si>
  <si>
    <t>Resolución 051 de 2021</t>
  </si>
  <si>
    <t>“Por la cual se adopta el Plan de Bienestar Laboral e Incentivos para la vigencia 2021 y se
establecen los lineamientos correspondientes”</t>
  </si>
  <si>
    <t>TODOS</t>
  </si>
  <si>
    <t>Plan de Bienestar para la actual vigencia</t>
  </si>
  <si>
    <t>“Por la cual se adopta el Plan Institucional de Capacitación para el periodo 2021 - 2022 para los Empleados Públicos del Instituto Distrital de Recreación y Deporte y se
reglamenta su ejecución”</t>
  </si>
  <si>
    <t>Plan de Capacitación para la actual vigencia</t>
  </si>
  <si>
    <t>Resolución 047 de 2021</t>
  </si>
  <si>
    <t>“Por la cual se adopta el Plan Anual de Seguridad y Salud en el Trabajo - SST del Instituto Distrital de Recreación y Deporte para la vigencia 2021”</t>
  </si>
  <si>
    <t>Plan SGSST para la actual vigencia</t>
  </si>
  <si>
    <t>Resolución 052 de 2021</t>
  </si>
  <si>
    <t>Por la cual se adopta el Plan Estratégico de Talento Humano del Instituto Distrital de Recreación y Deporte – IDRD para la vigencia 2021 – 2022”</t>
  </si>
  <si>
    <t>Plan que consolida la gestión de TH por las vigencias 2021 y 2022</t>
  </si>
  <si>
    <t>DECRETO 2265</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</si>
  <si>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</si>
  <si>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DECRETO 1562</t>
  </si>
  <si>
    <t>Por el cual se adicionan tres parágrafos al artículo 2.2.1.3.3. y se adicionan los artículos 2.2.1.3.15. a 2.2.1.3.26. al Decreto 1072 de 2015, referentes al retiro de cesantías.</t>
  </si>
  <si>
    <t>RESOLUCION 2421</t>
  </si>
  <si>
    <t>Por la cual se modifican los artículos 2 y 4 y los anexos técnicos 2, 3, 4 y 5 de la resolución 2388 de 2016</t>
  </si>
  <si>
    <t>LEY 2088</t>
  </si>
  <si>
    <t>Congreso de la República y Otros</t>
  </si>
  <si>
    <t xml:space="preserve">Por la cual se regula el trabajo en casa </t>
  </si>
  <si>
    <t xml:space="preserve">Decreto 189 </t>
  </si>
  <si>
    <t>21/00872020</t>
  </si>
  <si>
    <t>Lineamientos generales sobre transparencia, Integridad y medidas antixorrupción en las Entidades y organismos del örden Dstrital</t>
  </si>
  <si>
    <t xml:space="preserve">Decreto 159 </t>
  </si>
  <si>
    <t xml:space="preserve">Modifica el Decreto Distrital 189 </t>
  </si>
  <si>
    <t>Por la cual se establecen normas para promover y regular el Teletrabajo</t>
  </si>
  <si>
    <t>Dereto 884</t>
  </si>
  <si>
    <t>Por la cual se reglamenta la Ley 1221 de 2008</t>
  </si>
  <si>
    <t>Ley 2114</t>
  </si>
  <si>
    <t>"Por medio de la cual se amplía la licencia de paternidad, se crea la licencia parental compartida, la licencia parental flexible de tiempo parcial, se modifica el artículos 236 y se adiciona el artículo 241a del código sustantivo del trabajo, y se dictan otras disposiciones",</t>
  </si>
  <si>
    <t>Circular externa 020</t>
  </si>
  <si>
    <t>Departamento Administrativo del Servicio Civil - DASC</t>
  </si>
  <si>
    <t>Lineamientos para la implementación del módulo de Declaración de Conflicto de Interes del SIDEAP</t>
  </si>
  <si>
    <t>Ley 2121 de 2021</t>
  </si>
  <si>
    <t>"Por medio de la cual se crea el régimen de Trabajo Remoto y se establecen normas para promoverlo, regularlo y se dictan otras disposiciones"</t>
  </si>
  <si>
    <t>Ley 2141 de 2021</t>
  </si>
  <si>
    <t>Congreso de colombia</t>
  </si>
  <si>
    <t>por medio de la cual se modifican los artículos 239 y 240 del
cst, con el fin de establecer el fuero de paternidad</t>
  </si>
  <si>
    <t>Modifíquense los numerales 2 y 3 del artículo 239 del Código
Sustantivo del Trabajo y adiciónese 1 numeral nuevo, así:
Artículo 239. Prohibición de despido.</t>
  </si>
  <si>
    <t>Circular 037 de 2021</t>
  </si>
  <si>
    <t>Unidad Nacional para la Gestión del Riesgo de Desastres</t>
  </si>
  <si>
    <t>Simulacro Nacional de Respuesta a Emergencias 2021</t>
  </si>
  <si>
    <t>Resolución 40293 del 2021</t>
  </si>
  <si>
    <t>Mnisterio de minas y energia</t>
  </si>
  <si>
    <t>Por la cual se modifican y derogan algunas disposiciones y requisitos del Anexo General del Reglamento Técnico de Instalaciones Eléctricas — RETIE, adoptado mediante Resolución No. 90708 y se deroga el artículo 1* de la Resolución 4 0259 de 2017.</t>
  </si>
  <si>
    <t>circular 0062 de 2021</t>
  </si>
  <si>
    <t>por la cual se prohibe prácticas que descriminen a las personas en los procesos de selección laboral.</t>
  </si>
  <si>
    <t>Decreto 1252 de 2021</t>
  </si>
  <si>
    <t>«Por el cual se modifica el literal a del artículo 2.3.2.1 del Título 2 de la Parte 3 del Libro 2 y se sustituye el Capítulo 3 del Título 2 de la Parte 3 del Libro 2 del Decreto 1079 de 2015, Único Reglamentario del Sector Transporte, en lo relacionado con los Planes Estratégicos de Seguridad Vial »</t>
  </si>
  <si>
    <t>Resolución No.006 de 2015</t>
  </si>
  <si>
    <t>"Por medio de la cual se modifica Resolución de Junta Directiva No.003 de 21 de diciembre de 2012", que fijo la prima técnica actual para nivel profesional en el IDRD.</t>
  </si>
  <si>
    <t xml:space="preserve"> Resolución No.005 de 2014 </t>
  </si>
  <si>
    <t xml:space="preserve"> “Por medio de la cual se aclara la Resolución 004 del 16 de mayo de 2014", Aclara porcentaje  prima de antigüedad.</t>
  </si>
  <si>
    <t xml:space="preserve">Resolución No.009 de  2014 </t>
  </si>
  <si>
    <t xml:space="preserve">Resolución No.009 de 31 de diciembre de 2014 “Por medio de la cual se modifica el artículo 3 de la Resolución de Junta Directiva 004 de 16 de mayo de 2014" Gastos de Representación.
</t>
  </si>
  <si>
    <t>Ley 115 de 1994</t>
  </si>
  <si>
    <t>"Por la cual se expide la ley general de educación</t>
  </si>
  <si>
    <t>Decreto 055 de 2015</t>
  </si>
  <si>
    <t>" Por el cual se reglamenta la afiliación de estudiantes al Sistema General de Riesgos Laborales y se dictan otras disposiciones"</t>
  </si>
  <si>
    <t>Ley 1322 de 2009</t>
  </si>
  <si>
    <t>"Por la cual se autoriza la prestación del servicio de auxiliar jurídico ad honórem en los organismos y entidades de la Rama Ejecutiva del orden nacional, territorial y sus representaciones en el exterior"</t>
  </si>
  <si>
    <t>Ley 1562 de 2012</t>
  </si>
  <si>
    <t>" Por la cual se modifica el sistem de riesgos laborales y se dictan otras disposiciones en materia de salud ocupacional"</t>
  </si>
  <si>
    <t>LEY 30 DE 1992</t>
  </si>
  <si>
    <t>"Por la cual se organiza el servicio público de la Educación Superior"</t>
  </si>
  <si>
    <t>Resolución 3546 de 2018</t>
  </si>
  <si>
    <t xml:space="preserve">Por la cual se regulan las practicas laborales </t>
  </si>
  <si>
    <t>Resolucion 623 de 2020</t>
  </si>
  <si>
    <t>Por la cual se modifica la Resolucion 3546 de 2018</t>
  </si>
  <si>
    <t>Ley 1780 de 2016</t>
  </si>
  <si>
    <t>“Por medio de la cual se promueve el empleo y el emprendimiento juvenil, se generan medidas para superar barreras de acceso al mercado de trabajo y se dictan otras disposiciones”</t>
  </si>
  <si>
    <t xml:space="preserve">Art 13, 15,16 y 17 </t>
  </si>
  <si>
    <t>Ley 2043 de 2020</t>
  </si>
  <si>
    <t>Por medio de la cual se reconocen las prácticas laborales como experiencia profesional yio relacionada y se dictan otras disposiciones</t>
  </si>
  <si>
    <t>Acuerdo 805 de 2021</t>
  </si>
  <si>
    <t xml:space="preserve">El Concejo de Bogotá Distrito Capital
</t>
  </si>
  <si>
    <t>“Por medio del cual se establece una política de dignificación de las prácticas laborales en el distrito capital de Bogotá”</t>
  </si>
  <si>
    <t xml:space="preserve">Directiva 007 de 2021 </t>
  </si>
  <si>
    <t xml:space="preserve">Secretaria General Alcaldia Mayor </t>
  </si>
  <si>
    <t xml:space="preserve">" Directrices para la   implementación  de la politica de dignificación de practicas laborales en Entidades y organismos publicos de Bogotá en cumplimiento del cumplimiento del acuerdo distrital 805 de 2021. </t>
  </si>
  <si>
    <t>Circular 072 de 2021</t>
  </si>
  <si>
    <t>Registro anual de autoevaluaciones y planes de mejoramiento del sg-sst</t>
  </si>
  <si>
    <t>Decreto 1630 de 2021</t>
  </si>
  <si>
    <t>Ministerio de ambiente y desarrollo sostenible</t>
  </si>
  <si>
    <t>"Por el cual se adiciona el Decreto 1076 de 2015, Único Reglamentario del Sector Ambiente y Desarrollo Sostenible, en lo relacionado con la gestión integral de las sustancias químicas de uso industrial, incluida su gestión del riesgo, y se toman otras determinaciones"</t>
  </si>
  <si>
    <t>Decreto 1650 de 2021</t>
  </si>
  <si>
    <t>Por el cual se adiciona el Capítulo 9 al Título 6 de la Parte 2 del Libro 2 del Decreto 1072 de 2015, Decreto Único Reglamentario del Sector Trabajo, en lo relacionado con el  Subsistema de Formación para el Trabajo y su Aseguramiento de la Calidad</t>
  </si>
  <si>
    <t>Acuerdo 336  de 2008</t>
  </si>
  <si>
    <t>“Por el cual se modifica el Acuerdo 276 de 2007” "Por el cual se crea un Reconocimiento por Permanencia en el Servicio Público para Empleados Públicos del Distrito Capital".</t>
  </si>
  <si>
    <t>Acuerdo 528 de 2013</t>
  </si>
  <si>
    <t>“Por el cual se modifica el acuerdo distrital no. 336 de 2008” Reconocimiento por permanencia.</t>
  </si>
  <si>
    <t>Circular 01 de 2022</t>
  </si>
  <si>
    <t>procuradora delegada para la salud, la protección social y el trabajo decente</t>
  </si>
  <si>
    <t>cumplimiento a la política pública en salud mental y
 el fortalecimiento de acciones de promoción y prevención para mejorar y garantizar la salud mental de los colombianos.</t>
  </si>
  <si>
    <t>Decreto 1562  de 2019</t>
  </si>
  <si>
    <t>PRESIDENCIA DE LA REPÚBLICA DE COLOMBIA</t>
  </si>
  <si>
    <t>“Por el cual se adicionan tres parágrafos al artículo 2.2.1.3.3. y se adicionan los artículos 2.2.1.3.15. a 2.2.1.3.26. al Decreto 1072 de 2015, referentes al retiro de cesantías"</t>
  </si>
  <si>
    <t>Ley 1952</t>
  </si>
  <si>
    <t>Por medio de la cual se expide el Código General Disciplinario</t>
  </si>
  <si>
    <t>Ley 2094</t>
  </si>
  <si>
    <t>Por medio de la cual se establece se reforma la Ley 1952 de 2019</t>
  </si>
  <si>
    <t>Ley 2191</t>
  </si>
  <si>
    <t>Por medio de la cual se establece se regula la desconexión laboral</t>
  </si>
  <si>
    <t>Decreto 344</t>
  </si>
  <si>
    <t>Por el cual se modifica y adiciona el capítulo 5 del Título 2 ed la parte 2 del Libro 2 del Dec.1072 de 2015.</t>
  </si>
  <si>
    <t>Resolución 533</t>
  </si>
  <si>
    <t>“Por la cual se adopta la modalidad de teletrabajo en el Instituto Distrital de Recreación y Deporte</t>
  </si>
  <si>
    <t xml:space="preserve">Ley 1503 de 2011 </t>
  </si>
  <si>
    <t>Por la cual se promueve la formación de hábitos, comportamientos y conductas seguros en la vía y se dictan otras disposiciones.</t>
  </si>
  <si>
    <t xml:space="preserve">Decreto 2851 de 2013 </t>
  </si>
  <si>
    <t>Por el cual se reglamentan los artículos 3°, 4°, 5°, 6°, 7°, 9º, 10, 12, 13, 18 y 19 de la Ley 1503 de 2011 y se dictan otras disposiciones.</t>
  </si>
  <si>
    <t xml:space="preserve">Resolución 1565 de 2014 </t>
  </si>
  <si>
    <t>- Por la cual se expide la Guía metodológica para la elaboración del Plan Estratégico de Seguridad Vial.</t>
  </si>
  <si>
    <t xml:space="preserve"> Ley 2050 de 2020</t>
  </si>
  <si>
    <t>- Por medio de la cual se modifica y adiciona la ley 1503 de 2011 y se dictan otras disposiciones en seguridad vial y tránsito.</t>
  </si>
  <si>
    <t xml:space="preserve">Resolución 312 de 2019 </t>
  </si>
  <si>
    <t>Por la cual se definen los Estándares Mínimos del Sistema de Gestión de la Seguridad y Salud en el Trabajo SG-SST, Artículo 32. Plan Estratégico de Seguridad Vial. Todo empleador y contratante que se encuentre obligado a implementar un Plan Estratégico de Seguridad Vial, deberá articularlo con el Sistema de Gestión de SST.</t>
  </si>
  <si>
    <t>Circular Externa 02</t>
  </si>
  <si>
    <t>Departamento Administrativo del servicio civil</t>
  </si>
  <si>
    <t>“Por el cual se fijan directrices para la Integración de los planes institucionales y estratégicos al Plan de Acción por parte de las entidades del Estado”</t>
  </si>
  <si>
    <t>Circular externa 010 de 2022</t>
  </si>
  <si>
    <t>Ministerio de Salud y proteccion social</t>
  </si>
  <si>
    <t>Orientaciones técnicas para promover prácticas de alimentación saludable y actividad física de los trabajadores de la salud, trabajadores administrativos, pacientes y personas que hagan uso de los diferentes servicios de salud.</t>
  </si>
  <si>
    <t>Circular 015 de 2022</t>
  </si>
  <si>
    <t>Viceministra de relaciones laborales</t>
  </si>
  <si>
    <t>obligacion del empleador de asumir el costo de las evaluaciones medicas ocupacionales y de las pruebas o valoraciones complementarias</t>
  </si>
  <si>
    <t>Circular 003 de 2022</t>
  </si>
  <si>
    <t>modalidades de trabajo y lineamientos de bioseguridad en ambientes laborales.</t>
  </si>
  <si>
    <t>Decreto 555 de 2022</t>
  </si>
  <si>
    <t>Por el cual se adiciona la Sección 6 al Capítulo 6 del Título 1, Parte 2, Libro 2 del Decreto 1072 de 2015, Único Reglamentario del Sector Trabajo, y se reglamenta el artículo 17 de la Ley 2069 de 2020, y la Ley 2121 de 2021 y se regula el trabajo remoto</t>
  </si>
  <si>
    <t>Decreto 649 de 2022</t>
  </si>
  <si>
    <t>Por el cual se adiciona la Sección 7 al Capítulo 6 del Título 1 de la Parte 2 del libro 2 del Decreto 1072 de 2015, Único Reglamentario del SeCtor Trabajo, relacionado con la habilitación del trabajo en casa</t>
  </si>
  <si>
    <t>Decreto 768 de 2022</t>
  </si>
  <si>
    <t>Por el cual se actualiza la Tabla de Clasificación de Actividades Económicas para el Sistema General de Riesgos Laborales y se dictan otras disposiciones</t>
  </si>
  <si>
    <t>Ley 2207 de 2022</t>
  </si>
  <si>
    <t>Por medio del cual se modifica el Decreto Legislativo 491 de 2020”, el cual fue proferido durante la declaración del estado de emergencia económica, social y ecológica por causa de la pandemia de COVID-19. La ley deroga el artículo 5 del Decreto Legislativo, el cual extendía el término de respuesta de los derechos de petición. Ahora, los tiempos de respuesta vuelven a ser los que establece el artículo 14 de la Ley 1437 de 2011, estos son:
 Término general de 15 días a partir de la recepción del derecho de petición.
 Término especial de 10 días a partir de la recepción de las peticiones de documentos y de información.
 Término especial de 30 días a partir de la recepción de las peticiones mediante las cuales se eleva una consulta a las autoridades en relación con las materias a su cargo.</t>
  </si>
  <si>
    <r>
      <rPr>
        <u/>
        <sz val="9"/>
        <color rgb="FF1155CC"/>
        <rFont val="Calibri, sans-serif"/>
      </rPr>
      <t>Ley 2209 de 2022</t>
    </r>
    <r>
      <rPr>
        <u/>
        <sz val="9"/>
        <color rgb="FF1155CC"/>
        <rFont val="Calibri, sans-serif"/>
      </rPr>
      <t xml:space="preserve"> 2021 </t>
    </r>
  </si>
  <si>
    <t>ARTÍCULO 10. Modifíquese el artículo 18 de la Ley 1010 de 2006, el cual
 quedará así: Artículo 18. Caducidad. Las acciones derivadas del acoso laboral caducarán en tres (3) años a partir de la fecha en que hayan ocurrido las conductas a que hace referencia esta Ley.
 ARTÍCULO 20 • La presente ley rige a partir de la fecha de su promulgación.</t>
  </si>
  <si>
    <t xml:space="preserve">Directiva 005 de 2021 </t>
  </si>
  <si>
    <t>Lineamientos para la protección de los derechos de las personas transgénero en el
ámbito de la gestión del talento humano y la vinculación en el Distrito Capital.</t>
  </si>
  <si>
    <t>Resolución 1151 de 2022</t>
  </si>
  <si>
    <t>Mnisterio de salud y proteccion social</t>
  </si>
  <si>
    <t>Por la cual se modifica la resolución 754 de 2021 en el sentido de sustituir su Anexo Técnico No. 1</t>
  </si>
  <si>
    <t xml:space="preserve">nueva inclusion 1de agosto de 2022 </t>
  </si>
  <si>
    <t>Resolucion 20223040040595</t>
  </si>
  <si>
    <t>Por la cual se adopta la metodologia para el diseño, implementacion y verificacion de los planes estrategicos de seguridad vial y se dictan otras disposiciones</t>
  </si>
  <si>
    <t>nueva inclusion 1de agosto de 2023</t>
  </si>
  <si>
    <t>Decreto 1227 de 2022</t>
  </si>
  <si>
    <t>Por el cual se modifican los artículos 2.2.1.5.3, 2.2.1.5.5, 2.2.1.5.8 Y 2.2.1.5.9, Y se adicionan los artículos 2.2.1.5.15 al 2.2.1.5.25 al Decreto 1072 de 2015, Único Reglamentario del Sector Trabajo, relacionados con el Teletrabajo</t>
  </si>
  <si>
    <t>nueva inclusion 1de agosto de 2024</t>
  </si>
  <si>
    <t>Resolucion 3032 de 2022</t>
  </si>
  <si>
    <t>Por el cual se exposne la guia para la identifiacion de activiades de alto riesgo, definidas n el decreto 2090 de 2003</t>
  </si>
  <si>
    <t>nueva inclusion 1de agosto de 2025</t>
  </si>
  <si>
    <t>Resolucion 3050 de 2022</t>
  </si>
  <si>
    <t>Por la cual se adopta el manual de procedimientos del programa de rehabilitacion integral para la reincorporacion laboral y ocupacional en el sistema general de riesgos profesionales y se dictan otras disposiciones</t>
  </si>
  <si>
    <t>nueva inclusion 1de agosto de 2026</t>
  </si>
  <si>
    <t xml:space="preserve">Proceso: Gestión de Teconologías de la Información </t>
  </si>
  <si>
    <t>FECHA ÚLTIMA ACTUALIZACIÓN: 25/07/2022</t>
  </si>
  <si>
    <t xml:space="preserve">  Por medio de la cual se expide el código general disciplinario se derogan la ley 734 de 2002 y algunas disposiciones de la ley 1474 de 2011, relacionadas con el derecho disciplinario.</t>
  </si>
  <si>
    <t>Capítulo III</t>
  </si>
  <si>
    <t>Gobierno en Línea</t>
  </si>
  <si>
    <t>Como manifestación directa de la igualdad
material y con el objetivo de fomentar la vida autónoma e independiente de las
personas con discapacidad, las entidades del orden nacional, departamental,
distrital y local garantizarán el acceso de estas personas, en igualdad de
condiciones, al entorno físico, al transporte, a la información y a las
comunicaciones, incluidos los sistemas y tecnologías de la información y las
comunicaciones, el espacio público, los bienes públicos, los lugares abiertos al
público y los servicios públicos, tanto en zonas urbanas como rurales.</t>
  </si>
  <si>
    <t>Por medio de la cual se aprueba el «convenio sobre la ciberdelincuencia», adoptado el 23 de noviembre de 2001, en budapest</t>
  </si>
  <si>
    <t>POR LA CUAL CREA EL MINISTERIO DE CIENCIA, TECNOLOGÍA E INNOVACIÓN, SE FORTALECE EL SISTEMA NACIONAL DE CIENCIA, TECNOLOGÍA E INNOVACIÓN Y SE DICTAN OTRAS DISPOSICIONES</t>
  </si>
  <si>
    <t>Por el cual se expide el Plan Nacional de Desarrollo 2018-2022.
“Pacto por Colombia, Pacto por la Equidad”.</t>
  </si>
  <si>
    <t>Artículo 147</t>
  </si>
  <si>
    <t>Las entidades territoriales podrán definir estrategias de ciudades y territorios inteligentes</t>
  </si>
  <si>
    <t>Por la cual se moderniza el Sector de las Tecnologías de la Información y las Comunicaciones -TIC, se distribuyen competencias, se crea un Regulador Único y se dictan otras disposiciones</t>
  </si>
  <si>
    <t>LEY 2052</t>
  </si>
  <si>
    <t>Relación con la racionalización de trámites y se dictan otras disposiciones.</t>
  </si>
  <si>
    <t>Por medio de la cual se reforma el Código de Procedimiento Administrativo y de lo Contencioso Administrativo -Ley 1437 de 2011- y se dictan otras disposiciones en materia de descongestión en los procesos que se tramitan ante la jurisdicción</t>
  </si>
  <si>
    <t>"Por el cual se reglamenta la inscripción de soporte lógico (software) en el Registro Nacional del Derecho de Autor".</t>
  </si>
  <si>
    <t>Para la puesta en marcha del teletrabajo, en cada organismo y entidad de la Administración del Distrito Capital se organizará el Comité Coordinador del Teletrabajo, conformado por servidores de los niveles directivo y asesor, pertenecientes a las áreas de informática y sistemas, planeación, jurídica y talento humano.</t>
  </si>
  <si>
    <t>Decreto 492</t>
  </si>
  <si>
    <t>Articulo 15, 18, 21, 22, 27, 28, 29, 31, 35, 36, 38</t>
  </si>
  <si>
    <t>Decreto 620</t>
  </si>
  <si>
    <t xml:space="preserve">Por el cual los lineamientos generales en el uso y operación de los servicios ciudadanos digitales" </t>
  </si>
  <si>
    <t xml:space="preserve">DECRETO 1151 </t>
  </si>
  <si>
    <t>por el cual se establecen los lineamientos generales de la Estrategia de Gobierno en Línea de la República de Colombia, se reglamenta parcialmente la Ley 962 de 2005, y se dictan otras disposiciones.</t>
  </si>
  <si>
    <t>DECRETO 338</t>
  </si>
  <si>
    <t>Por el cual Se establecen los lineamientos generales para fortalecer la gobernanza de la seguridad digital, se crea el Modelo y las instancias de Gobernanza de Seguridad Digital</t>
  </si>
  <si>
    <t>Decreto 767</t>
  </si>
  <si>
    <t xml:space="preserve">"Por el cual se establecen los lineamientos generales de la Política de Gobierno Digital y se subroga el Capítulo 1 del Título 9 de la Parte 2 del Libro 2 del Decreto 1078 de 2015, Decreto Único Reglamentario del Sector de Tecnologías de la Información y las Comunicaciones'" </t>
  </si>
  <si>
    <t>Ministerio de Trabajo y seguridad Social</t>
  </si>
  <si>
    <t>DECRETO 1263</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</si>
  <si>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</si>
  <si>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Por el cual se adaptan lineamientos para la definicion de estrategias de prevencion frente a la ocurrencia de creimenes ciberneticos que amenazan o vulneran los derechos de las niñas y niños, adolecentes y jovenes del distrito capital.</t>
  </si>
  <si>
    <t>Por la cual se modifica la resolución 766 de 2014, del Instituto Distrital de Recreación y Deporte</t>
  </si>
  <si>
    <t>Por la cual se crea el Comité Institucional de Gestión y Desempeño del Instituto Distrital de Recreación y Deporte, IDRD</t>
  </si>
  <si>
    <t>Comisión Distrital de Sistemas - CDS</t>
  </si>
  <si>
    <t>Por la cual se definen los estándares para la captura de huella dactilar, toma de fotografía y digitalización de documentos de identificación de los/as ciudadanos/as en las entidades, los organismos y los órganos de control de Bogotá, Distrito Capital</t>
  </si>
  <si>
    <t>Secretaría Distrital de Hacienda</t>
  </si>
  <si>
    <t>Protocolo de seguridad para las tesorerias de entidades y organos que hacen parte del presupuesto anual del distrito capital y los fondos de desarrollo local</t>
  </si>
  <si>
    <t>Resolucion 1519</t>
  </si>
  <si>
    <t>Resolucion 2893</t>
  </si>
  <si>
    <t>Por la cual se expiden los lineamientos para estandarizar ventanillas únicas, portales específicos de programas transversales, sedes electrónicas, trámites, OPA, y consultas de acceso a información pública, así como en relación con la integración al Portal Único del Estado colombiano, y se dictan otras disposiciones</t>
  </si>
  <si>
    <t>Resolución 746</t>
  </si>
  <si>
    <t>Por el cual se fortalece el Modelo de Seguridad y Privacidad de la Información y se definen lineamientos adicionales a la resolucion 500 de 2021</t>
  </si>
  <si>
    <t>Unidad Administrativa Especial Dirección Nacional de
Derecho de Autor.</t>
  </si>
  <si>
    <t>Alcaldía Mayor de Bogotá
Alta consejeria de TIC</t>
  </si>
  <si>
    <t>Cumplimiento de entrega de claves de ingreso a los sistemas de información por parte de los funcionarios.</t>
  </si>
  <si>
    <t>Lineamientos para la anonimización de datos</t>
  </si>
  <si>
    <t>n/A</t>
  </si>
  <si>
    <t>Socialización de la federación de la plataforma de datos abiertos del distrito con la de la nación y publicación de la estrategia de datos abiertos de la Alcaldía de Bogotá.</t>
  </si>
  <si>
    <t>Estrategias de integración digital de entidades publicas</t>
  </si>
  <si>
    <t>Aseguramiento de la informacion</t>
  </si>
  <si>
    <t>Directiva presidencial 01</t>
  </si>
  <si>
    <t>LINEAMIENTOS FRENTE A CONTRATOS DE PRESTACiÓN DE SERVICIOS PROFESIONALES O APOYO A LA GESTiÓN.</t>
  </si>
  <si>
    <t>Directiva presidencial 02</t>
  </si>
  <si>
    <t>REITERACiÓN DE LA POLfTICA PÚBLICA EN MATERIA DE SEGURIDAD DIGITAL.</t>
  </si>
  <si>
    <t>Directiva presidencial 03</t>
  </si>
  <si>
    <t>Lineamientos para el uso de servicios en la nube, inteligencia artificial, seguridad digital y gestión de datos.</t>
  </si>
  <si>
    <t>DIRECTIVA 05</t>
  </si>
  <si>
    <t>Directrices sobre Gobierno Abierto de Bogota.</t>
  </si>
  <si>
    <t>Politica Nacional para la transormacion digital e inteligencia artificial</t>
  </si>
  <si>
    <t>Acuerdo 822</t>
  </si>
  <si>
    <t>Por medio del cual se dictan los lineamientos para la promoción del ciclo virtuoso de la seguridad, el uso y aprovechamiento de los datos en Bogotá</t>
  </si>
  <si>
    <t>Resolucion 056</t>
  </si>
  <si>
    <t>Instituto Distrital de Recreacion y Deporte IDRD</t>
  </si>
  <si>
    <t>Por la cual se adopta la Política de Seguridad y Privacidad de la Información del Instituto Distrital de Recreación y Deporte</t>
  </si>
  <si>
    <t>Proceso: Gestión Documental</t>
  </si>
  <si>
    <t>Se dictan algunas disposiciones sobre bibliotecas, nuseos y archivos y sobre documentos y objetos de interés públiocs.</t>
  </si>
  <si>
    <t>Articulo 2.</t>
  </si>
  <si>
    <t>Derechos de autor recaen sobre las obras cientificas literarias y artisticas.</t>
  </si>
  <si>
    <t>Ordenan la publicidad de los actos y documentos ofciales.</t>
  </si>
  <si>
    <t>Se modifica y adiciona la Ley 263 de 1982 y se modifica la Ley 29 de 1944</t>
  </si>
  <si>
    <t>Creacion del AGN</t>
  </si>
  <si>
    <t>Artículos: 27 y 79.</t>
  </si>
  <si>
    <t xml:space="preserve">Preservar la moralidad de los servidores públicos. </t>
  </si>
  <si>
    <t>Disposiciones para certificación y mensajes electronicos.</t>
  </si>
  <si>
    <t xml:space="preserve">Ley general del AGN </t>
  </si>
  <si>
    <t>Transparencia de los documentos en el codigo penal.</t>
  </si>
  <si>
    <t>Informe de gestión.</t>
  </si>
  <si>
    <t>Artículos 6, 10 y 28.</t>
  </si>
  <si>
    <t>Tramites y procedimientos.</t>
  </si>
  <si>
    <t>Artículos 3 y 8.</t>
  </si>
  <si>
    <t>Artículos: 53, 54, 55, 56, 57, 58, 59, 60, 61, 62, 63 y 64.</t>
  </si>
  <si>
    <t>Artículos 1 y 14.</t>
  </si>
  <si>
    <t>Artículos: 15, 16, 17, 18, 19, 20, 21, 22 y 23.</t>
  </si>
  <si>
    <t>"Por medio de la cual se expide el Código General Disciplinario, se derogan la Ley 734 de 2002 y algunas disposiciones de la Ley 1474 de 2011, relacionadas con el derecho disciplinario"</t>
  </si>
  <si>
    <t>Articulos: 38 numeral 6; 39 numerales 12 y 18; 55 numeral 6; 149; 187; 192</t>
  </si>
  <si>
    <t>Por el cual se reglamenta el artículo 337 del código de régimen político y municipal y la Ley 57 de 1985 Inventario patrimonio documental y facultad de inspección a los archivos. (Artículos 1 a 5)</t>
  </si>
  <si>
    <t>Artículos 1 a 5</t>
  </si>
  <si>
    <t>Por medio del cual se expide el DECRETO Único Reglamentario del Sector Cultura.
 Compila las normas que reglamentan el patrimonio archivístico contenidas en los DECRETOs números 2578 de 2012, 2609 de 2012 1515 de 2013, entre otros.</t>
  </si>
  <si>
    <t>Departamento Administrativo de laFunción Pública</t>
  </si>
  <si>
    <t xml:space="preserve">ARTÍCULO 2.2.22.3.8. </t>
  </si>
  <si>
    <t>"Por el cual se regula el Sistema Distrital de Archivos y se dictan otras disposiciones"</t>
  </si>
  <si>
    <t>" Por el cual se dictan normas para simplificar, suprimir y reformar trámites, procesos y procedimientos innesarios existentes en la administración pública."</t>
  </si>
  <si>
    <t>Capitulo 2, articulos 8,9 y 16.</t>
  </si>
  <si>
    <t xml:space="preserve">Art. 8: Obligación de uso de los canales digitales entre autoridades.
Art. 9: Eficiencia administrativa pública e interacción con los ciudadanos y usuarios.
Art. 16: Sistemas de gestión documental electronica y de archivo digital, generación de expedientes electronicos con integridad, recepción y gestión de comunicaciones oficiales. Todo mediante estrategías que permitan  tratamiento adecuado de los documentos electronicos y además disponibilidad. </t>
  </si>
  <si>
    <t>31/09/2002</t>
  </si>
  <si>
    <t>Desarrolo de conservación documental estipulada en la Ley 594 de 2000</t>
  </si>
  <si>
    <t>Reconstrucción de expedientes.</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</si>
  <si>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</si>
  <si>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"Por la cual se adoptan y reglamentan las condiciones para la declaratoria de
Bienes de Interés Cultural de Carácter Documental Archivístico -BIC-CDA- y se
dictan otras disposiciones”</t>
  </si>
  <si>
    <t>Secretaría General- Alcaldía</t>
  </si>
  <si>
    <t>"Por la cual se adopta el programa de Gestión Documental- PGD del Instituto Distrtial de Recreación y Deporte- IDRD"</t>
  </si>
  <si>
    <t>"Por la cual se adopta el Sistema Integrado de Conservación- SIC del Instituto Distrital de Recreacion y Deporte- IDRD"</t>
  </si>
  <si>
    <t>Secretaría General- Alcaldía De Bogotá- Archivo Distrital</t>
  </si>
  <si>
    <t>"Por la cual se reglamenta el funcionamiento de las instancias del Sistema Distrital de Archivos de que trata el Articulo N° 5 del decreto distrital 828 de 2018"</t>
  </si>
  <si>
    <t>Parámetros a tener en cuenta para la implementación de nuevas
 Tecnologías en los archivos públicos.</t>
  </si>
  <si>
    <t>Recomendaciones en relación con la adquisición, implementación o desarrollo del Software especializado en la administración integral de documentos.</t>
  </si>
  <si>
    <t>Estrategía Cero Papel para aplicar en las entidades de Distrito.</t>
  </si>
  <si>
    <t>Directrices para las entidades y organismos del distrito capital sobre la adopcion y aplicación de las guias para la gestion normalizada de los docuemntos generados en los procesos transversales y misionales de algunos sectores de la administracion distirtal.</t>
  </si>
  <si>
    <t>Mediante la directivca 002 de 2018 insta a todas las entidades y organismos distritales a utilizar la guía de uso de la propuesta de clasificación y valoración de las series documentales normalizadas en los procesos transversales de las entidades distritales.</t>
  </si>
  <si>
    <t>Proceso: Gestión Financiera</t>
  </si>
  <si>
    <t>FECHA ÚLTIMA ACTUALIZACIÓN: 28/06/2022</t>
  </si>
  <si>
    <t>Por el cual se reglamenta y se establecen directrices y controles en el proceso presupuestal de las Empresas Distritales</t>
  </si>
  <si>
    <t>Por la cual se adopta el Manual de Cobro de Cartera en Mora para el Instituto Distrital de Recreación y Deporte y se dictan otras disposiciones”.</t>
  </si>
  <si>
    <t>Por la cual se modifica la Resolución 354 de 2007, que adoptó el Régimen de Contabilidad Pública, estableció su conformación y definió su ámbito de aplicación</t>
  </si>
  <si>
    <t>DECRETO 328</t>
  </si>
  <si>
    <t>Por el cual se liquida el Presupuesto Anual de Rentas e Ingresos y de Gastos e
Inversiones de Bogota, Distrito Capital, para Ia vigencia fiscal comprendida entre eli de
enero y el 31 de diciembre de 2021 y se dictan otras disposiciones, en cumplimlento del Acuerdo Distrital 788 del 22 de diciembre de 2020</t>
  </si>
  <si>
    <t>CIRCULAR EXTERNA SHD-000015</t>
  </si>
  <si>
    <t>Secretaría de Hacienda Distrital</t>
  </si>
  <si>
    <t xml:space="preserve">BogData-SAP-ERP- Administración de Usuarios externos y roles Módulos TR (Tesorería), PSM (PAC) PSM (BCS Y BPC-Presupuesto)- BP (Terceros) </t>
  </si>
  <si>
    <t>CIRCULAR EXTERNA SHD-000016</t>
  </si>
  <si>
    <t xml:space="preserve">Modificación de fechas de operación tesoral y presupuestal para septiembre 2020, de transferencias de inversión y giros desde la Unidad Ejecutora 02 de la Dirección Distrital de Presupuesto y operaciones relacionadas con la Dirección Distrital de Contabilidad. </t>
  </si>
  <si>
    <t>RESOLUCION SHD 000428</t>
  </si>
  <si>
    <t>Secretaria Distrital de Hacienda</t>
  </si>
  <si>
    <t>Por el cual se modifica la Resolución SHD - 393 de 2016, por la cual establece el procedimiento para el funcionamiento de la Cuenta Unica Distrital CUD</t>
  </si>
  <si>
    <t>CIRCULAR DDT 1</t>
  </si>
  <si>
    <t>Requisitos para tramitar la devolución de Ingresos No Tributarios</t>
  </si>
  <si>
    <t>CIRCULAR DDT 4</t>
  </si>
  <si>
    <t>Por la cual se establece la parametrización en el Sistema de Operación y Gestión de Tesorería para el registro de operaciones del Impuesto y el Aporte Solidario COVID-19 y las donaciones con destino al “Sistema Distrital Bogotá Solidaria en Casa” y entrega a IDIGER - FONDIGER del detalle de los donantes del “Sistema Distrital Bogotá Solidaria en Casa” por parte de las entidades distritales.</t>
  </si>
  <si>
    <t>CIRCULAR DDT 6</t>
  </si>
  <si>
    <t>Vigencia 2021 - Programación y cierre de operaciones de Tesorería</t>
  </si>
  <si>
    <t>CIRCULAR EXTERNA No. 23</t>
  </si>
  <si>
    <t>Contadora General de Bogotá D.C.</t>
  </si>
  <si>
    <t>Lineamientos para el tratamiento contable de las Estampillas Distritales</t>
  </si>
  <si>
    <t xml:space="preserve">CIRCULAR DDT 10 </t>
  </si>
  <si>
    <t>"Programación PAC 2022 y lineamientos generales de PAC". Aplica en su totalidad y expide la Dirección Distrital de Tesorería de la Secretaría de Hacienda Distrital</t>
  </si>
  <si>
    <t>CIRCULAR DDT No. 11 de 2021</t>
  </si>
  <si>
    <t>Vigencia 2022 - Programación de Pagos y Cierre de Operaciones de Tesorería</t>
  </si>
  <si>
    <t>DECRETO 540 DE 2021</t>
  </si>
  <si>
    <t>Por el cual se liquida el Presupuesto Anual de Rentas e Ingresos y de Gastos e Inversiones de Bogota, Distrito Capital, para Ia vigencia fiscal comprendida entre 1 de enero y el 31 de diciembre de 2022 y se dictan otras disposiciones, en cumplimlento del Decreto 518 del 16 de diciembre de 2021, expedido por la Alcaldesa Mayor de Bogotá, Distrito Capital.</t>
  </si>
  <si>
    <t>DECRETO 192 DE 2021</t>
  </si>
  <si>
    <t>Por medio del cual se reglamenta el Estatuto Orgánico del Presupuesto Distrital y se dictan otras disposiciones</t>
  </si>
  <si>
    <t>ACUERDO 788 DE 2020</t>
  </si>
  <si>
    <t>Por el cual se expide el Presupuesto Anual de Rentas e Ingresos y de Gastos e
Inversiones de Bogotá, Distrito Capital, para la vigencia fiscal comprendida entre el 1° de
enero y el 31 de diciembre de 2021 y se dictan otras disposiciones</t>
  </si>
  <si>
    <t>CIRCULAR DDP-000005</t>
  </si>
  <si>
    <t>Direccion Distrital de Presupuesto</t>
  </si>
  <si>
    <t>Guía de ejecución, seguimiento y cierre presupuestal 2022.</t>
  </si>
  <si>
    <t>FECHA ÚLTIMA ACTUALIZACIÓN: 19/05/2021</t>
  </si>
  <si>
    <t>FECHA ÚLTIMA ACTUALIZACIÓN: 04/03/2022</t>
  </si>
  <si>
    <t>LINK</t>
  </si>
  <si>
    <t>26 de May 1887</t>
  </si>
  <si>
    <t>Por medio de la cual se crean mecanismos para descongestionar los Despachos Judiciales, y se dictan otras disposiciones.
 &lt;Reglamentado por el decreto nacional 800 de 1991&gt;</t>
  </si>
  <si>
    <t>Por la cual se dictan normas sobre la organización y funcionamiento de las entidades del orden nacional, se expiden las disposiciones, principios y reglas generales para el ejercicio de la atribuciones previstas en los numerales 15 y 16 del artículo 189 de la Constitución Política y se dictan otras disposiciones.
 &lt;reglamentado por el decreto nacional 910 de 2000&gt;</t>
  </si>
  <si>
    <t>29 de diciekmbre 2003</t>
  </si>
  <si>
    <t>Por el cual se expiden normas que regulan el empleo público, la carrera administrativa, gerencia pública y se dictan otras disposiciones.
 &lt;Reglamentada por el decreto nacional 4500 de 2005 y el decreto nacional 3905 de 2009 y decreto nacional4567 de 2011&gt;</t>
  </si>
  <si>
    <t>por medio de la cual se reglamenta la elección de Presidente de la República, de conformidad con el artículo 152 literal f) de la Constitución Política de Colombia, y de acuerdo con lo establecido en el Acto Legislativo 02 de 2004, y se dictan otras disposiciones. / Ley de Garantías.
 &lt;Reglamentada por el decreto nacional734 de 2012&gt;</t>
  </si>
  <si>
    <t>Por medio de la cual se introducen medidas para la eficiencia y la transparencia en la Ley 80 de 1993 y se dictan otras disposiciones generales sobre la contratación con Recursos Públicos.
 &lt;Reglamentada por el decreto nacional 2473 de 2010&gt;</t>
  </si>
  <si>
    <t>Por la cual se dictan normas orientadas a fortalecer los mecanismos de prevención, investigación y sanción de actos de corrupción y la efectividad del control de la gestión pública.
 &lt;Reglamentado por el decreto nacional734 de 2012&gt;</t>
  </si>
  <si>
    <t>Por el cual se establece el régimen jurídico de las Asociaciones Público Privadas, se dictan normas Orgánicas de presupuesto y se dictan otras disposiciones.
 &lt;Reglamentado por el decreto nacional1467 de 2012&gt;</t>
  </si>
  <si>
    <t>Por el cual se reglamentan los DECRETOs-Leyes 2400 y 3074 de 1968 y otras normas sobre administración del personal civil.
 &lt;Derogado por art 4 de la ley 1821 de 2016&gt;</t>
  </si>
  <si>
    <t>Modificado por el Decreto Nacional 3258 de 2002 y las Leyes 383 de 1997, 488 de 1998 y 863 de 2003
 Reglamentado parcialmente por los Decretos Nacionales: 422 de 1991; 847 , 1333 y 1960 de 1996; 3050 , 700 y 124 de 1997; 841 , 1514 y 2201 de 1998; 558 , 1345 , 1737 y 2577 de 1999; 531 de 2000; 333 y 406 de 2001; 4400 de 2004, 1070, 3026, 3028 y 3032 de 2013, 2193 de 2013, 1966 de 2014. 
 Por el cual se expide el Estatuto Tributario de los impuestos administrados por la Dirección General de Impuesto Nacionales</t>
  </si>
  <si>
    <t>Por el cual se reglamenta la acción de tutela consagrada en el artículo 86 de la Constitución Política.
 &lt;Reglamentado por el decreto 306 de 1992&gt;</t>
  </si>
  <si>
    <t>Por el cual se reglamenta la ley 23 de 1991, sobre descongestión de despachos judiciales.</t>
  </si>
  <si>
    <t>Por el cual se reglamenta parcialmente la Ley 80 de 1993, la Ley 590 de 2000, la Ley 816 de 2003 y la Ley 1150 de 2007.</t>
  </si>
  <si>
    <t>Por el cual se adopta el Modelo de Gerencia Jurídica Pública para las entidades, organismos y órganos de control del Distrito Capital.
 &lt;Modificado por el art 23 de decreto distrital527 de 2014&gt;</t>
  </si>
  <si>
    <t>Por el cual se dictan normas para suprimir o reformar regulaciones, procedimientos y trámites innecesarios existentes en la Administración Pública.
 &lt;Reglamentado por el decreto nacional734 de 2012&gt;</t>
  </si>
  <si>
    <t>Por el cual se reglamenta la Ley 1508 de 2012.
 &lt;Modificado por el articulo 1 de decreto nacional 1553 de 2014&gt;</t>
  </si>
  <si>
    <t>Por medio del cual se crean las instancias de coordinación del Sector Administrativo Mujeres, se determina la participación de la Secretaría Distritalde la Mujer en las instancias de coordinación existentes en el Distrito Capital, y se dictan otras disposiciones.</t>
  </si>
  <si>
    <t>Por medio del cual se modifica el Decretonúmero 1467 de 2012.</t>
  </si>
  <si>
    <t>https://www.alcaldiabogota.gov.co/sisjur/normas/Norma1.jsp?i=3049</t>
  </si>
  <si>
    <t>RESOLUCION 866</t>
  </si>
  <si>
    <t>SECRETARÍA DE HACIENDA</t>
  </si>
  <si>
    <t>Instituto Distrital de Recreacion y Deporte-IDRD</t>
  </si>
  <si>
    <t>Por la cual se adoptan los requisitos para pertenecer al orgaqno de administracion, comision tecnica y de juzgamiento de los organismos deportivos que integran el Sistema Nacional del Deporte.</t>
  </si>
  <si>
    <t>N. A.</t>
  </si>
  <si>
    <t>Oficina Asesora Juridica</t>
  </si>
  <si>
    <t>Por la cual se adopta el Manual de Administración y Cobro de Cartera en el Instituto Distrital para la Recreación y el Deporte.
 &lt;Derogado por el art 4 resolucion IDRD 1031 DE 2015&gt;</t>
  </si>
  <si>
    <t>"Establece parametros para la administración, seguridad, y la gestión de la información Jurídica através de los Sistemas de Información Jurídica"</t>
  </si>
  <si>
    <t>RESOLUCIÓN 181</t>
  </si>
  <si>
    <t>22 de marzó de 2019</t>
  </si>
  <si>
    <t>"Por medio del cual se adopta el reglamento del Comité de Cnciliación del Instituto Distrital de Recreación y Deporte"</t>
  </si>
  <si>
    <t>Por la cual se establece el procedimiento para otorgar, actualizar, renovar y revocar el reconocimiento deportivo de los Clubes Deportivos que integran el Sistema Nacional del Deporte en el Distrito Capital.</t>
  </si>
  <si>
    <t>" Por la cual se suspenden terminos en los trámites que se adelantan en el Instituto Distrital de Recreacion y Deporte "</t>
  </si>
  <si>
    <t>Por la cual se suspenden los términos procesales de las actuaciones administrativas, contractuales, sancionatorias y disciplinarias que se adelantan en el Instituto Distrital de Recreación y Deporte"</t>
  </si>
  <si>
    <t>Parcial</t>
  </si>
  <si>
    <t>Artículo 1°: Suspender los términos procesales de las actuaciones administrativas  Parágrafo 1°: Suspender los términos procesales de todas las actuaciones disciplinarias.</t>
  </si>
  <si>
    <t xml:space="preserve">                                                                   N.A.</t>
  </si>
  <si>
    <t>RESOLUCIÓN 312</t>
  </si>
  <si>
    <t>"Por medio de la cual se adopta manual para la formulación y adopción de la política de prevención del daño antijurídico del Instituto Distrital de Recreación y Deporte IDRD, para la implementación de políticas de prevención del daño antijurídico y se dictan otras disposiciones"</t>
  </si>
  <si>
    <t>RESOLUCIÓN 005</t>
  </si>
  <si>
    <t>“Por la cual se adopta la Política de Prevención del Daño Antijurídico para el Instituto Distrital de Recreación y Deporte.”</t>
  </si>
  <si>
    <t>RESOLUCIÓN 292</t>
  </si>
  <si>
    <t>"Por la cual se constituye y se establece el funcionamiento de la Caja Menor de la Oficina Asesora Jurídica del Instituto Distrital de Recreación y Deporte – IDRD para la vigencia 2021, con cargo al presupuesto asignado a la entidad”.</t>
  </si>
  <si>
    <t>RESOLUCION 03527</t>
  </si>
  <si>
    <t>SUPERINTENDENCIA DE  NOTARIADO Y REGISTRO</t>
  </si>
  <si>
    <t>Por la cual se prorroga la suspensión de términos dispuesta en la Resolución No. 03130 del 24 de marzo de 2020 y se dictan otras disposiciones´</t>
  </si>
  <si>
    <t>PARCIAL</t>
  </si>
  <si>
    <t>Artículo 1°: Prorrogar la suspensión de términos en los trámites, procedimientos, actuaciones administrativas, actuaciones disciplinarias y procesos registrales que se encuentren en curso ante las diferentes dependencias de la Superintendencia de Notariado y Registro</t>
  </si>
  <si>
    <t>RESOLUCION 3659</t>
  </si>
  <si>
    <t>Por la cual se prorroga la suspensión de términos, se adoptan medidas transitorias en la Superintendencia de Notariado y Registro para la prevención y contención del coronavirus (COVID-19), se reanudan los términos para el ejercicio del derecho de preferencia y se derogan las Resoluciones No. 03130 del 24 de marzo de 2020, 03325 del 11 de abril de 2020 y 3527 del 25 de abril de 2020.´</t>
  </si>
  <si>
    <t>ARTÍCULO 1: PRÓRROGA. Suspender términos de los trámites, procedimientos, actuaciones administrativas, disciplinarias y procesos registrales que se adelanten ante la Superintendencia de Notariado y Registro; así como en las Oficinas de Registro de Instrumentos Públicos hasta tanto se emita un acto administrativo particular de habilitación en los términos descritos en el artículo segundo de la presente Resolución.</t>
  </si>
  <si>
    <t>Secretaría de Hacienda</t>
  </si>
  <si>
    <t>Procuradoríala Conciliación Administrativa</t>
  </si>
  <si>
    <t xml:space="preserve">CIRCULAR 019 </t>
  </si>
  <si>
    <t>SECRETARIA JURIDICA DISTRITAL</t>
  </si>
  <si>
    <t>“directrices sobre las intervenciones frente al control de constitucionalidad sobre las medidas adoptadas por el gobierno nacional y para la intervención del distrito capital en dichas en dichas actuaciones y en el trámite de control inmediato de legalidad de los actos propios en virtud de la emergencia sanitaria generada por la pandemia del coronavirus covid-19”</t>
  </si>
  <si>
    <t>junio 28 de2019</t>
  </si>
  <si>
    <t>Estandarizacion y Publicación de Datos Abiertos</t>
  </si>
  <si>
    <t>22/no/2019</t>
  </si>
  <si>
    <t>Departamento Administrativo de la Función Publica</t>
  </si>
  <si>
    <t>Por el cual se dictan normas parasimplificar, suprimir o reformar tramites, procesos y procedimientos  innecesarios, existentes en la administración publica.</t>
  </si>
  <si>
    <t>Alcaldia Mayor</t>
  </si>
  <si>
    <t>Por medio del cual se establecen y unifican lineamientos en materia de servicio a la ciudadania y de implementación de la polirica publica distrital de servicio a la ciudadania y se dictan otras disposiciones.</t>
  </si>
  <si>
    <t>“Por el cual se adoptan medidas adicionales y complementarias con ocasión de la declaratoria de calamidad pública efectuada mediante Decreto Distrital 087 del 2020“</t>
  </si>
  <si>
    <t>Artículo 24</t>
  </si>
  <si>
    <t>Suspender los términos procesales de las actuaciones administrativas, sancionatorias, disciplinarias,</t>
  </si>
  <si>
    <t>Lineamientos para la terminación unilateral anticipada de contratos distritales por causales previstas de nulidad absoluta del articulo 44 y 45 de la ley 80 de 1993</t>
  </si>
  <si>
    <t>Proceso: Planeación de la Gestión</t>
  </si>
  <si>
    <t>artículo 1,2,3, 29 31 , 32,33, capitulo X</t>
  </si>
  <si>
    <t>artículos 1,2,3,4,5,6,7,8,9</t>
  </si>
  <si>
    <t>LEY 2078</t>
  </si>
  <si>
    <t>Por medio del cual se modifica la Ley 1448 de 2011 y los Decretos Ley étnicos 4633  de 2011, 4634 de 2011 y 4635 de 2011, prorrogando por 10 años su vigencia</t>
  </si>
  <si>
    <t>Artículos   73, 74, 77</t>
  </si>
  <si>
    <t>Articulo 73 . 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Articulo 74 . Plan de acción de las entidades públicas. A partir de la vigencia de la presente ley, todas las entidades del Estado a más tardar el 31 de enero de cada año, deberán publicar en su respectiva página web el Plan de Acción para el año siguiente, en el cual se especificarán los objetivos, las estrategias, los proyectos, las metas, los responsables, los planes generales de compras y la distribución presupuestal de sus proyectos de inversión junto a los indicadores de gestión.A partir del año siguiente, el Plan de Acción deberá estar acompañado del informe de gestión del año inmediatamente anterior.
ARTÍCULO 77. Publicación proyectos de inversión. Sin perjuicio de lo ordenado en los artículos 27 y 49 de la Ley 152 de 1994 y como mecanismo de mayor transparencia en la contratación pública, todas las entidades del orden nacional, departamental, municipal y distrital deberán publicar en sus respectivas páginas web cada proyecto de inversión, ordenado según la fecha de inscripción en el Banco de Programas y Proyectos de Inversión nacional, departamental, municipal o distrital, según el caso.</t>
  </si>
  <si>
    <t>Artículos 9 literales( b-d-g) , 11 literales (b-c-e)</t>
  </si>
  <si>
    <t>ARTÍCULO 9. Información mínima obligatoria respecto a la estructura del sujeto obligado. Todo sujeto obligado deberá publicar la siguiente información mínima obligatoria de manera proactiva en los sistemas de información del Estado o herramientas que lo sustituyan:
b) Su presupuesto general, ejecución presupuestal histórica anual y planes de gasto público para cada año fiscal, de conformidad con el artículo 74 de la Ley 1474 de 2011;
d) Todas las normas generales y reglamentarias, políticas, lineamientos o manuales, las metas y objetivos de las unidades administrativas de conformidad con sus programas operativos y los resultados de las auditorías al ejercicio presupuestal e indicadores de desempeño;
g) Publicar el Plan Anticorrupción y de Atención al Ciudadano, de conformidad con el artículo 73 de la Ley 1474 de 2011.
ARTÍCULO 11. Información mínima obligatoria respecto a servicios, procedimientos y funcionamiento del sujeto obligado. Todo sujeto obligado deberá publicar la siguiente información mínima obligatoria de manera proactiva:
b) Toda la información correspondiente a los trámites que se pueden agotar en la entidad, incluyendo la normativa relacionada, el proceso, los costos asociados y los distintos formatos o formularios requeridos;
c) Una descripción de los procedimientos que se siguen para tomar decisiones en las diferentes áreas;
e) Todos los informes de gestión, evaluación y auditoría del sujeto obligado;</t>
  </si>
  <si>
    <t xml:space="preserve"> La presente ley tiene por objeto establecer disposiciones transversales a la Rama Ejecutiva del nivel nacional y territorial y a los particulares que cumplan funciones públicas y/o administrativas, en relación con la racionalización de trámites, con el fin de facilitar, agilizar y garantizar el acceso al ejercicio de los derechos de las personas, el cumplimiento de sus obligaciones, combatir la corrupción y fomentar la competitividad.</t>
  </si>
  <si>
    <t>Artículos 1,2,3,4,5,6,41,54,55,56,57,58,59,60,61,63,125,126,128,129,130,131,135,136,137,138,139,143,174</t>
  </si>
  <si>
    <t>DECRETO LEY 019</t>
  </si>
  <si>
    <t>Artículos 1,2,3,4,5,6,7,8,13,14,15,23,24,37 y 51</t>
  </si>
  <si>
    <t>Artículos 1 , 2</t>
  </si>
  <si>
    <t>Adopta el Plan Maestro de Equipamientos Deportivos y Recreativos para Bogotá. Modificado parcialmente por el Decreto Distrital 484 de 2007</t>
  </si>
  <si>
    <t>Artículos 1,2,3,4,5,6,38,39,40,41</t>
  </si>
  <si>
    <t>Articulos 1,2,3,4,6,7</t>
  </si>
  <si>
    <t>Artículo  1°. Señálese como metodología para diseñar y hacer seguimiento a la estrategia de lucha contra la corrupción y de atención al ciudadano de que trata el artículo 73 de la Ley 1474 de 2011, la establecida en el Plan Anticorrupción y de Atención al Ciudadano contenida en el documento “Estrategias para la Construcción del Plan Anticorrupción y de Atención al Ciudadano”.
Artículo  2°. Señálense como estándares que deben cumplir las entidades públicas para dar cumplimiento a lo establecido en el artículo 76 de la Ley 1474 de 2011, los contenidos en el documento “Estrategias para la Construcción del Plan Anticorrupción y de Atención al Ciudadano”.
Artículo  3°. El documento “Estrategias para la Construcción del Plan Anticorrupción y de Atención al Ciudadano” es parte integrante del presente decreto.
Artículo  4°. La máxima autoridad de la entidad u organismo velará directamente porque se implementen debidamente las disposiciones contenidas en el documento de “Estrategias para la Construcción del Plan Anticorrupción y de Atención al Ciudadano”. La consolidación del plan anticorrupción y de atención al ciudadano, estará a cargo de la oficina de planeación de las entidades o quien haga sus veces, quienes además servirán de facilitadores para todo el proceso de elaboración del mismo.
Artículo  6°. El documento “Estrategias para la Construcción del Plan Anticorrupción y de Atención al Ciudadano” será publicado para su consulta en las páginas web del Departamento Administrativo de la Presidencia de la República, del Departamento Nacional de Planeación y del Departamento Administrativo de la Función Pública.
Artículo  7°. Las entidades del orden nacional, departamental y municipal deberán publicar en un medio de fácil acceso al ciudadano su Plan Anticorrupción y de Atención al Ciudadano a más tardar el 31 de enero de cada año.</t>
  </si>
  <si>
    <t>DEPARTAMENTO ADMINISTRATIVO DE LA FUNCIÓN PÚBLICA</t>
  </si>
  <si>
    <t>Artículo 2.2.23.4</t>
  </si>
  <si>
    <t>Seguimiento a la implementación y operación del Modelo Integrado de Planeación y Gestión – MIPG. La Procuraduría General de la Nación podrá hacer seguimiento a la implementación y operación del Modelo Integrado de Planeación y Gestión – MIPG en las entidades del orden nacional y territorial.</t>
  </si>
  <si>
    <t>“Por medio del cual se expide el Decreto Reglamentario Único del Sector Presidencia de la
 República”</t>
  </si>
  <si>
    <t>ARTÍCULO 2.2.22.3.8,, ARTÍCULO 2.2.22.3.10, ARTÍCULO 2.2.22.3.14.</t>
  </si>
  <si>
    <t>ARTÍCULO 2.2.22.3.8 Comités Institucionales de Gestión y Desempeño. En cada una de las entidades se integrará un Comité Institucional de Gestión y Desempeño encargado de orientar la implementación y operación del Modelo Integrado de Planeación y Gestión - MIPG, el cual sustituirá los demás comités que tengan relación con el Modelo y que no sean obligatorios por mandato legal.
 ARTÍCULO 2.2.22.3.10 Medición de la Gestión y Desempeño Institucional. La recolección de información necesaria para dicha medición se hará a través del Formulario Único de Reporte y Avance de Gestión – FURAG.
 ARTÍCULO 2.2.22.3.14. Integración de los planes institucionales y estratégicos al Plan de Acción. Las entidades del Estado, de acuerdo con el ámbito de aplicación del Modelo Integrado de Planeación y Gestión, al Plan de Acción de que trata el artículo 74 de la Ley 1474 de 2011, deberán integrar los planes institucionales y estratégicos y publicarlos, en su respectiva página web, a más tardar el 31 de enero de cada año</t>
  </si>
  <si>
    <t>Artículos 2.2.22.1.1,2.2.22.1.5, capitulo 2, capitulo 3</t>
  </si>
  <si>
    <t xml:space="preserve">ARTÍCULO  2.2.22.1.1. Sistema de Gestión. El Sistema de Gestión, creado en el artículo 133 de la Ley 1753 de 2015, que integra los Sistemas de Desarrollo Administrativo y de Gestión de la Calidad, es el conjunto de entidades y organismos del Estado, políticas, normas, recursos e información, cuyo objeto es dirigir la gestión pública al mejor desempeño institucional y a la consecución de resultados para la satisfacción de las necesidades y el goce efectivo de los derechos de los ciudadanos, en el marco de la legalidad y la integridad
ARTÍCULO  2.2.22.1.5. Articulación y complementariedad con otros sistemas de gestión. El Sistema de Gestión se complementa y articula, entre otros, con los Sistemas Nacional de Servicio al Ciudadano, de Gestión de la Seguridad y Salud en el Trabajo, de Gestión Ambiental y de Seguridad de la Información.
CAPÍTULO 2 - POLÍTICAS DE GESTIÓN Y DESEMPEÑO INSTITUCIONAL
CAPITULO 3 - MODELO INTEGRADO DE PLANEACIÓN Y GESTIÓN
 </t>
  </si>
  <si>
    <t>Por el cual se modifica el Decreto Distrital 229 de 2015, 'Por medio del cual se adopta la PolItica PUblica de Deporte, Recreación, Actividad FIsica, Parques y Escenarios para Bogota"</t>
  </si>
  <si>
    <t>DECRETO 807</t>
  </si>
  <si>
    <t>Por medio del cual se reglamenta el Sistema de Gestión en el Distrito Capital y se dictan otras disposiciones</t>
  </si>
  <si>
    <t>"Por el cual se dictan normas para simplificar, suprimir y reformar trámites, procesos y procedimientos innecesarios existentes en la administración pública"</t>
  </si>
  <si>
    <t>Artículos 3, 4, 5, 6 y 24</t>
  </si>
  <si>
    <t>Artículos 23</t>
  </si>
  <si>
    <t>Mantener actualizada la información referente a trámites y otros procedimientos administrativos en la Guía de Trámites y Servicios</t>
  </si>
  <si>
    <t>Artículo 7 literal 4</t>
  </si>
  <si>
    <t>Por medio del cual se adoptan los lineamientos de la política pública de mujeres y equidad de género en el Distrito Capital y se dictan otras disposiciones</t>
  </si>
  <si>
    <t>ACUERDO 761</t>
  </si>
  <si>
    <t>Secretaría Distrital de Planeación</t>
  </si>
  <si>
    <t>Lineamientos para presentar modificaciones al presupuesto de inversión</t>
  </si>
  <si>
    <t>CIRCULAR 028</t>
  </si>
  <si>
    <t>uso y aprovechamiento de los datos, servicios y aplicaciones dispuestas en el marco de la infraesttructura de datos especiales para el Distrito Capital - IDECA</t>
  </si>
  <si>
    <t>Secretaría General - Veeduría Distrital</t>
  </si>
  <si>
    <t>Directrices para la implementación del Modelo Integrado de Planeación y Gestión - MIPG en el Distrito Capital</t>
  </si>
  <si>
    <t>Secretaría General - Alcaldía Mayor de Bogotá D.C.</t>
  </si>
  <si>
    <t>Respecto a la obligatoriedad de inscripción de trámites en el SUIT</t>
  </si>
  <si>
    <t>Entrega de insumos para los informes de empalme con la administración distrital entrante.</t>
  </si>
  <si>
    <t>CIRCULAR EXTERNA NO. DDP-000004</t>
  </si>
  <si>
    <t>Guía de ejecución, seguimiento y cierre presupuestal 2021.</t>
  </si>
  <si>
    <t>CIRCULAR EXTERNA NO. SHD-000005</t>
  </si>
  <si>
    <t>Metodologia para la implementación de trazadores</t>
  </si>
  <si>
    <t>CIRCULAR EXTERNA NO. SHAD-000006</t>
  </si>
  <si>
    <t>Guia de programación presupuestal 2022</t>
  </si>
  <si>
    <t>RESOLUCIÓN 1134</t>
  </si>
  <si>
    <t>SecretaríaDistrital de Hacienda</t>
  </si>
  <si>
    <t>Por medio de la cual se modifica parcialmente el Manual de Programación, Ejecución y Cierre Presupuestal del Distrito Capital, adoptado y consolidado mediante Resolución No. SDH-000191 del 22 de septiembre de 2017</t>
  </si>
  <si>
    <t>DIRECTIVA No. 002</t>
  </si>
  <si>
    <t>Lineamientos de política para el presupuesto anual</t>
  </si>
  <si>
    <t>DIRECTIVA N° 005</t>
  </si>
  <si>
    <t xml:space="preserve">Directrices sobre Gobierno Abierto </t>
  </si>
  <si>
    <t>Resolución 525</t>
  </si>
  <si>
    <t>Por medio de la cual se modifica el Comité de Investigaciones y Mediciones de la Secretaría Distrital de Cultura, Recreación y Deporte creado mediante la Resolución 504 de 2012 en adelante el Comité de Gestión del Conocimiento Cultural del Sector Cultura,
Recreación y Deporte y se dictan otras disposiciones</t>
  </si>
  <si>
    <t xml:space="preserve">Circular 026 </t>
  </si>
  <si>
    <t>14 /12/2021</t>
  </si>
  <si>
    <t xml:space="preserve">LINEAMIENTOS PARA LA IDENTIFICACIÓN Y ADMINISTRACIÓN DE LOS RIESGOS DE LA AGENDA 2030 -OBJETIVOS DE DESARROLLO SOSTENIBLE ODS- EN LAS ENTIDADES DISTRITALES". </t>
  </si>
  <si>
    <t xml:space="preserve">DECRETO - LEY 1082 </t>
  </si>
  <si>
    <t>"POR MEDIO DEL CUAL SE EXPIDE EL DECRETO ÚNICO REGLAMENTARIO DEL SECTOR ADMINISTRATIVO DE PLANEACIÓN NACIONAL"</t>
  </si>
  <si>
    <t xml:space="preserve">Capítulo 1, sección 1 y subsección 4 </t>
  </si>
  <si>
    <t xml:space="preserve">Artículo 2.2.1.1.1.4.1. Plan Anual de Adquisiciones. Las Entidades Estatales deben elaborar un Plan Anual de Adquisiciones, el cual debe contener la lista de bienes, obras y servicios que pretenden adquirir durante el año. En el Plan Anual de Adquisiciones, la Entidad Estatal debe la necesidad y cuando conoce el obra o servicio satisface esa necesidad debe identificarlo utilizando el Clasificador de Bienes y Servicios, e indicar el valor estimado del contrato, el tipo de recursos con cargo a los cuales la Entidad pagará el bien, obra o servicio, modalidad de selección del contratista, y la fecha aproximada en la cual la Estatal iniciará el Proceso de Contratación. Colombia Compra Eficiente establecerá los lineamientos y el formato que debe ser utilizado para elaborar Plan Anual de Adquisiciones. (Decreto 1510 de 2013, artículo 4)
Artículo 2.2.1.1.1.4.2. No obligatoriedad de adquirir los bienes, obras y servicios contenidos en el Plan Anual de Adquisiciones. El Plan Anual de Adquisiciones no obliga a Entidades a efectuar los procesos de adquisición que en él se enumeran. (Decreto 1 de 2013, artículo 5) 
Artículo 2.2.1.1.1.4.3. Publicación del Plan Anual de Adquisiciones. La Entidad debe publicar su Plan Anual de Adquisiciones y las actualizaciones del mismo en su página yen el SECOP, en la forma que para el disponga Colombia Compra (Decreto 1510 2013, artículo 6)
Artículo 2.2.1.1.1.4.4. Actualización del Plan Anual de Adquisiciones. La Entidad Estatal debe actualizar el Plan Anual Adquisiciones por lo menos una vez durante su vigencia, en la forma y la oportunidad que el efecto disponga Colombia Compra Eficiente.
La Estatal debe actualizar Plan Anual de Adquisiciones cuando: (i) haya ajustes en cronogramas de adquisición, valores, modalidad selección, origen los recursos; (ii) para incluir nuevas obras, bienes y/o servicios; (iii) excluir obras, bienes y/o servicios; o
(iv) modificar presupuesto anual de adquisiciones.
(Decreto 1510 de 2013, artículo 7) </t>
  </si>
  <si>
    <t xml:space="preserve">Decreto 462 </t>
  </si>
  <si>
    <t>Consolidar la gestión sobre el suelo de protección, como parte integral del ordenamiento territorial del Distrito Capital, en todas las clases de suelo, a las formas más convenientes para el cumplimiento de sus funciones, asegurando su apropiación colectiva.</t>
  </si>
  <si>
    <t xml:space="preserve">Decreto 675 </t>
  </si>
  <si>
    <t>El objetivo general de la Política Pública Distrital de Educación Ambiental es consolidar una ética ambiental en el Distrito Capital, que coadyuve a la mejora de las condiciones ambientales de la ciudad, y que redunde, por lo tanto, en la calidad de vida de quienes transitan, disfrutan y habitan en ella.</t>
  </si>
  <si>
    <t>Decreto 327</t>
  </si>
  <si>
    <t>Garantizar el desarrollo humano sostenible de las comunidades rurales y la protección del patrimonio ambiental del Distrito Capital, a través de una adecuada articulación entre los ciudadanos, la sociedad civil y las entidades del Distrito Capital.</t>
  </si>
  <si>
    <t>Decreto 242</t>
  </si>
  <si>
    <t>La Política Pública Distrital de Protección y Bienestar Animal 2014-2038 tiene como objetivo general transformar en el Distrito Capital la relación entre animales humanos y no humanos, hacia una cultura del buen trato y respeto por estos últimos, basada en su reconocimiento como seres sintientes y en su propia valía, que es independiente de los intereses humanos.</t>
  </si>
  <si>
    <t>Adopta la Política Pública de Deporte, Recreación, Actividad Física, Parques y Escenarios para Bogotá, como instrumento de planeación de la administración para garantizar la realización efectiva de los derechos de las personas al deporte, la recreación, la actividad física, así como al disfrute de parques y escenarios. Dicha política se basa en el enfoque de derechos que propende por el desarrollo humano, la inclusión y participación de todos en la toma de las decisiones, identificando y resolviendo las necesidades de la ciudad, para lo cual la acción pública en estos campos se orienta a la promoción, reconocimiento, restitución y ejercicio pleno de los derechos constitucionales.</t>
  </si>
  <si>
    <t xml:space="preserve">Decreto 483 </t>
  </si>
  <si>
    <t>Modifica el Decreto Distrital 229 de 2015, por medio del cual se adopta la Política Pública de Deporte, Recreación, Actividad Física, Parques y Escenarios para Bogotá.</t>
  </si>
  <si>
    <t xml:space="preserve">Decreto 380 </t>
  </si>
  <si>
    <t>Secretaria de Desarrollo Económico</t>
  </si>
  <si>
    <t>Promover eficazmente el acceso de trabajadores y trabajadoras de Bogotá, D.C., al derecho de tener un trabajo decente y digno como una forma de erradicación de la segregación social, potenciando los efectos sobre el mercado laboral de las políticas macroeconómicas, sectoriales y educativas</t>
  </si>
  <si>
    <t xml:space="preserve">Acuerdo 186 </t>
  </si>
  <si>
    <t>Superar de manera progresiva la inseguridad alimentaria y la malnutrición en los habitantes de Distrito Capital al 2031.</t>
  </si>
  <si>
    <t>CONPES D.C 06</t>
  </si>
  <si>
    <t xml:space="preserve">Secretaría Distrital de Gobierno </t>
  </si>
  <si>
    <t xml:space="preserve">Aumentar la oferta cuantitativa y cualitativa de espacio público de Bogotá, garantizando su uso, goce y disfrute con acceso universal y la igualdad de oportunidades para toda la ciudadanía, reforzando su carácter estructurante como configurador del territorio y su valoración ciudadana. </t>
  </si>
  <si>
    <t xml:space="preserve">Acuerdo 708 </t>
  </si>
  <si>
    <t xml:space="preserve">Mejorar las condiciones físicas, socioeconómicas y culturales de la ciudad para el uso y disfrute de la bicicleta. </t>
  </si>
  <si>
    <t xml:space="preserve">Resolución 0490 </t>
  </si>
  <si>
    <t>Secretaria Distrital de la Mujer</t>
  </si>
  <si>
    <t>Contribuir a la transformación de las condiciones políticas, culturales, sociales y económicas que restringen el goce efectivo de derechos de las personas que realizan actividades sexuales pagadas en el Distrito Capital.</t>
  </si>
  <si>
    <t xml:space="preserve"> Decreto 062 </t>
  </si>
  <si>
    <t xml:space="preserve">La política pública para las personas de los sectores LGBTI del Distrito Capital, pretende garantizar el ejercicio pleno de derechos a las personas de los sectores LGBTI como parte de la producción, gestión social y bienestar colectivo de la ciudad. </t>
  </si>
  <si>
    <t xml:space="preserve">Acuerdo 371 </t>
  </si>
  <si>
    <t xml:space="preserve">Decreto 596 </t>
  </si>
  <si>
    <t>La Política Distrital de Salud Ambiental tiene por objeto orientar la gestión para el mejoramiento de la salud ambiental en el territorio urbano y rural del Distrito Capital, mediante el fortalecimiento institucional, el trabajo articulado de la Administración y la construcción de espacios de coordinación, investigación y acción participativa en las diferentes líneas de intervención, que permitan una alta calidad de vida y de salud para todas las personas que en él habitan.</t>
  </si>
  <si>
    <t xml:space="preserve">Acuerdo 175 </t>
  </si>
  <si>
    <t>Establece los lineamientos de la Política Pública para la Población Afrodescendiente residente en Bogotá, determinado que el Alcalde Mayor será el responsable de la formulación de la política pública, quién liderará la misma con base en el principio de acción afirmativa consagrado en la Constitución Nacional. Señala los principios que regirán su orientación e instituye el 21 de mayo, como el día de la Afrocolombianidad en el Distrito Capital, encargando al IDCT, el IDRD, la Secretaría de Gobierno, y la Secretaría de Educación Distrital, para que en concertación con la Comisión Consultiva Distrital programen las actividades correspondientes para dicha fecha. Fija un plazo de 6 meses para que el Alcalde Mayor expida el Plan Integral de Acciones Afirmativas para la Población Afrodescendiente residente en Bogotá</t>
  </si>
  <si>
    <t xml:space="preserve">Decreto 151 </t>
  </si>
  <si>
    <t>Adopta los Lineamientos de Política Pública Distrital y el Plan Integral de Acciones Afirmativas, para el Reconocimiento de la Diversidad Cultural y la Garantía de los Derechos de los Afrodescendientes residentes en Bogotá D. C, para el período 2008 - 2016.</t>
  </si>
  <si>
    <t>Decreto 403</t>
  </si>
  <si>
    <t>Modifica el Decreto Distrital 151 de 2008, en relación con la orientación y coordinación del Plan de Acciones Afirmativas para los Afrodescendientes residentes en Bogotá, D.C., la cual estará a cargo de la Secretaría Distrital de Planeación.</t>
  </si>
  <si>
    <t>CONPES D.C 08/2019</t>
  </si>
  <si>
    <t>SECRETARÍA DISTRITAL DE INTEGRACIÓN SOCIAL</t>
  </si>
  <si>
    <t>Ampliar las oportunidades, individuales y colectivas, de las y los jóvenes para que puedan elegir lo que quieren ser y hacer hacia la construcción de proyectos de vida, que permitan el ejercicio pleno de su ciudadanía para beneficio personal y de la sociedad, a través del mejoramiento del conjunto de acciones institucionales y el fortalecimiento de sus entornos relacionales.</t>
  </si>
  <si>
    <t xml:space="preserve">Acuerdo 254 </t>
  </si>
  <si>
    <t>Establece los lineamientos para la elaboración y construcción de una política pública integral, concertada y participativa, destinada al envejecimiento y a las personas mayores del Distrito Capital. Señala los fines de la Política establecida, los lineamientos de acción y establece la responsabilidad frente a la misma.</t>
  </si>
  <si>
    <t xml:space="preserve">Decreto 345 </t>
  </si>
  <si>
    <t>Adopta la Política Pública Social para el Envejecimiento y la Vejez en el Distrito Capital, 2010 -2025, la cual se aplicará en el territorio urbano y rural de Bogotá Distrito Capital, también tendrá alcance en la Región Capital, en el marco de los convenios que existan o se firmen para el fortalecimiento de la gestión en los territorios.</t>
  </si>
  <si>
    <t xml:space="preserve">Decreto 470 </t>
  </si>
  <si>
    <t>Tiene dos propósitos: El primero, hacia la inclusión social. Es decir, hacia una cultura que promocione, reconozca, garantice o restituya los derechos y deberes de las personas con discapacidad y sus familias. La inclusión social implica acceder, disponer, aportar y transformar las condiciones que determinan la desigualdad. Implica también, reconocer y hacer uso de los recursos conceptuales, técnicos y metodológicos que contribuyen a reconstruir los lazos sociales y culturales para disfrutar de la vida y de la ciudad.                                                       El segundo propósito, hacia la calidad de vida con dignidad. Es decir, hacia la búsqueda del bienestar de las personas con discapacidad –PCD-, sus familias, cuidadoras y cuidadores, mediante la satisfacción de necesidades que permitan conseguir una vida digna y libre desde las perspectivas: humana, social,
económica, cultural y política.</t>
  </si>
  <si>
    <t>SECRETARÍA GENERAL ALCALDÍA MAYOR DE BOGOTÁ, D.C</t>
  </si>
  <si>
    <t>SOCIALIZACIÓN GUÍA ORIENTADORA CONOCE, PROPONE Y PRIORIZA</t>
  </si>
  <si>
    <t>Circular 002</t>
  </si>
  <si>
    <t>SOCIALIZACIÓN LINEAMIENTO APERTURAS DE AGENDA</t>
  </si>
  <si>
    <t>Circular 000008</t>
  </si>
  <si>
    <t>Dirección Distrital de Presupuesto - DDP</t>
  </si>
  <si>
    <t xml:space="preserve">Informe Semestral de Inversión en Ciencia, Tecnología e Innovación (CT+I) en
Bogotá D.C. </t>
  </si>
  <si>
    <t>Resolución 455</t>
  </si>
  <si>
    <t xml:space="preserve">Departamento Administrativo de la Funciòn Pùblica - DAFP	</t>
  </si>
  <si>
    <t>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t>
  </si>
  <si>
    <t>Ley 2195</t>
  </si>
  <si>
    <t>POR MEDIO DE LA CUAL SE ADOPTAN MEDIDAS EN MATERIA DE TRANSPARENCIA, PREVENCION Y LUCHA CONTRA LA CORRUPCION Y SE DICTAN OTRAS DISPOSICIONES.</t>
  </si>
  <si>
    <t>Artículo 31</t>
  </si>
  <si>
    <t>Adiciónese el Artículo 34-1 a la Ley 1474 de 2011, el cual quedara así:
Artículo 34-1. Las superintendencias o autoridades de inspección, vigilancia y control son las competentes para iniciar de oficio el proceso administrativo sancionatorio referido en el Artículo 34 de la Ley 1474 de 2011, e imponer las sanciones correspondientes a sus vigilados, cuando existan los supuestos descritos en el anterior Artículo.
PARAGRAFO 1. Si existiere conflicto de competencias administrativas, el mismo se resolverá por lo consagrado en el Artículo 39 de la Ley 1437 de 2011.
PARAGRAFO 2. Lo dispuesto en los Artículos 34 y 34-1 de la presente Ley no serán aplicables para la Superintendencia de Industria y Comercio.
PARAGRAFO 3. Cuando la prestación del servicio este a cargo de una entidad pública o se trate de un notario, curador o ente territorial que preste directamente servicios publicos domiciliarios, se aplicaran las normas de responsabilidad propias de los funcionarios publicos por las entidades competentes.</t>
  </si>
  <si>
    <t>LEY 850</t>
  </si>
  <si>
    <t>Por medio de la cual se reglamentan las veedurías ciudadanas</t>
  </si>
  <si>
    <t>Por el cual se adopta la Política Pública de Participación Incidente para el Distrito Capital</t>
  </si>
  <si>
    <t>Decreto 197</t>
  </si>
  <si>
    <t xml:space="preserve">Protocolo para la rendición de cuentas permanente en las entidades del distrito </t>
  </si>
  <si>
    <t>Secretaría General de la Alcaldia Mayor de Bogotá</t>
  </si>
  <si>
    <t>Protocolo para la rendición de cuentas permanente en las entidades del distrtio. Información, diálogo y responsabilidad</t>
  </si>
  <si>
    <t>Proceso: Gestión de Servicio a la Ciudadanía</t>
  </si>
  <si>
    <t>FECHA ÚLTIMA ACTUALIZACIÓN: 13/06/2022</t>
  </si>
  <si>
    <t>26/05/1873</t>
  </si>
  <si>
    <t>DIRECTIVA 004</t>
  </si>
  <si>
    <t>Lineamiento para la atención y gestión de las peticiones ciudadanas recibidas a través de redes sociales</t>
  </si>
  <si>
    <t>Resolución 1519</t>
  </si>
  <si>
    <t>MINISTERIO DE TECNOLOGÍAS DE LA INFORMACIÓN
Y LAS COMUNICACIONES</t>
  </si>
  <si>
    <t>"Por la cual se definen los estándares y directrices para publicar la información señalada en la Ley 1712 del 2014 y se definen los requisitos materia de acceso a la información pública, accesibilidad web, seguridad digital, y datos abiertos”</t>
  </si>
  <si>
    <t>Presidencia de la República.</t>
  </si>
  <si>
    <t>Por medio del cual se expide el Decreto Reglamentario Único del Sector Presidencia de la República."</t>
  </si>
  <si>
    <t>FECHA ÚLTIMA ACTUALIZACIÓN: 31/05/2022</t>
  </si>
  <si>
    <t>NUMERO DE  NORMA</t>
  </si>
  <si>
    <t>CLASE DE NORMA</t>
  </si>
  <si>
    <t>FECHA DE EXPEDICIÓN</t>
  </si>
  <si>
    <t>DESCRIPCIÓN</t>
  </si>
  <si>
    <t>OBSERVACIONES/ARTICULOS ESPECIFICOS QUE AFECTAN A LA ENTIDAD</t>
  </si>
  <si>
    <t>ENLACE NORMA</t>
  </si>
  <si>
    <t>DECRETO DISTRITAL</t>
  </si>
  <si>
    <t>Por medio del cual se adoptan medidas sanitarias</t>
  </si>
  <si>
    <t>Adopta medidas sanitarias y acciones transitorias de policía para la preservación de la vida y mitigación del riesgo con ocasión de la situación epidemiológica causada por el Coronavirus - Covid-19 en Bogotá, D.C., y se dictan otras disposiciones.</t>
  </si>
  <si>
    <t>https://www.alcaldiabogota.gov.co/sisjur/normas/Norma1.jsp?i=91163</t>
  </si>
  <si>
    <t>CIRCULAR DISTRITO</t>
  </si>
  <si>
    <t>Adopcion de acciones preventivas y preparativas contra el COVID</t>
  </si>
  <si>
    <t>NO TIENE RELACIÓN ALGUNA CON EL IDRD, POR LO TANTO, NO LO VINCULA.</t>
  </si>
  <si>
    <t>https://bogota.gov.co/sites/default/files/inline-files/circular0022020.pdf</t>
  </si>
  <si>
    <t>https://drive.google.com/file/d/1sE3Mz-RqGetJemSKuBRYVXWcMPMtJSXc/view</t>
  </si>
  <si>
    <t>Por medio del cual se extiende el horario de trabajo del los ervidores del sector central</t>
  </si>
  <si>
    <t>https://bogota.gov.co/sites/default/files/inline-files/decreto-084-flexibilizacion-del-horario-opra-servidores-publicos.pdf.pdf.pdf</t>
  </si>
  <si>
    <t>RESOLUCIÓN DISTRITAL</t>
  </si>
  <si>
    <t>Medidas para evitar el contafio en aglomeraciones en el Distrito Capital</t>
  </si>
  <si>
    <t>Si vinvula al IDRD ya suspende la autorización para  los eventos o expectaculos por aglomeraciones</t>
  </si>
  <si>
    <t>https://bogota.gov.co/sites/default/files/inline-files/resolucion.pdf.pdf.pdf</t>
  </si>
  <si>
    <t>Mediante la cual se suspende y fija nueva fecha para los dignatarios de las Juntas de Acción Comunal</t>
  </si>
  <si>
    <t>http://www.participacionbogota.gov.co/sites/default/files/2020-03/RESOLUCION%20102%20SUSPENCION%20DE%20ELECCIONES%20JAC.pdf</t>
  </si>
  <si>
    <t>Medidas para prevenir el contagio en carcel de mujeres y varones</t>
  </si>
  <si>
    <t>ogota.gov.co/sites/default/files/inline-files/circular-conjunta-005_visitas-carcel-distrital.pdf</t>
  </si>
  <si>
    <t>Medidas para evitar el contagio de funcionarios y contratistas</t>
  </si>
  <si>
    <t>https://bogota.gov.co/sites/default/files/inline-files/circular_009_2020.pdf</t>
  </si>
  <si>
    <t>Orientación, cuidadoy pritección de los estudiantes</t>
  </si>
  <si>
    <t>https://bogota.gov.co/sites/default/files/inline-files/circular0052020.pdf</t>
  </si>
  <si>
    <t>Liniamientos estrategia Aprende en Casa</t>
  </si>
  <si>
    <t>https://bogota.gov.co/sites/default/files/inline-files/circular-005-del-15-de-marzo-de-2020.pdf</t>
  </si>
  <si>
    <t>Declara la calamidad pública con ocasión de la situación epidemiológica causada por el Coronavirus (COVID-19) en Bogotá, D.C. hasta por el término de seis (6) meses para lo cual se elaborará un plan de acción específico por parte del IDIGER que incluya las actividades para el manejo de las afectaciones presentadas.</t>
  </si>
  <si>
    <t>https://www.alcaldiabogota.gov.co/sisjur/normas/Norma1.jsp?i=91310</t>
  </si>
  <si>
    <t>Por la cual se adoptan medidas para la limitación de los evento sy sitios masivos</t>
  </si>
  <si>
    <t>Vincula al IDRD teniendo en cuenta que administra los eventos y sitios masivos a un máximo de 50 personas Expedida por la secretaria de Gobierno</t>
  </si>
  <si>
    <t>http://www.gobiernobogota.gov.co/sites/gobiernobogota.gov.co/files/imagenes/resolucion_0397_marzo_16_de_2020.pdf</t>
  </si>
  <si>
    <t>Medidas transitorias tomadas por la UAESP</t>
  </si>
  <si>
    <t>https://bogota.gov.co/sites/default/files/inline-files/resolucion-no.187-2020.pdf</t>
  </si>
  <si>
    <t>Suspensión de términos</t>
  </si>
  <si>
    <t>https://bogota.gov.co/sites/default/files/inline-files/res-076-1.pdf</t>
  </si>
  <si>
    <t>Solicita a los jefes de servicio a la ciudadanía de las entidades y organismos distritales indicar cuales de sus trámites se encuentran vinculados en la aplicación móvil "SuperCADE Virtual" y virtualizados al 100% o parcialmente virtualizados, y que no requieran el desplazamiento por parte de la ciudadanía, en el marco de la alerta amarilla emitida por la Alcaldía Mayor de Bogotá D.C. por el virus Covid 19.</t>
  </si>
  <si>
    <t>Sí vincula a la entidad ya que la requiere para obtener información de trámites de la misma.</t>
  </si>
  <si>
    <t>https://www.alcaldiabogota.gov.co/sisjur/normas/Norma1.jsp?i=91350</t>
  </si>
  <si>
    <t>https://drive.google.com/file/d/1GNeBsNiMIhrfb8TqpTHRMyEYZmzkXhNU/view</t>
  </si>
  <si>
    <t>https://bogota.gov.co/sites/default/files/inline-files/resolucion-0769-de-17-de-marzo-de-2020-suspende-terminos-procesales-sda.pdf.pdf</t>
  </si>
  <si>
    <t>Medidas temporales y excepcionales de carácter preventivo para la Atención en la Red CADE</t>
  </si>
  <si>
    <t>https://bogota.gov.co/sites/default/files/inline-files/circular-030-de-2020.pdf</t>
  </si>
  <si>
    <t>Instrucciones educativas Distritales</t>
  </si>
  <si>
    <t>https://bogota.gov.co/sites/default/files/inline-files/circular-06-de-2020-17032020-4-05-pm.pdf</t>
  </si>
  <si>
    <t>Adopta medidas transitorias para garantizar el orden público en el Distrito Capital, con ocasión de la declaratoria de calamidad pública efectuada mediante Decreto Distrital 087 del 2020 "Por el cual se declara la calamidad pública con ocasión de la situación epidemiológica causada por el Coronavirus (COVID-19) en Bogotá, D.C.".</t>
  </si>
  <si>
    <t>El Decreto ya cumplió su vigencia.</t>
  </si>
  <si>
    <t>https://www.alcaldiabogota.gov.co/sisjur/normas/Norma1.jsp?i=91381</t>
  </si>
  <si>
    <t>Por medio de la cual se adoptan medidas extraordinarias para la cordinación logística y operativa de la ciclovía en el marco de las medidas sanitarias y acciones transitorias de policía para la preservación de la vida y mitigación del riesgo con ocasión de la situación epidemiológica causada por el COVID 19</t>
  </si>
  <si>
    <t>Expedida por el IDRD, modifica y amplía el horario de ciclovía</t>
  </si>
  <si>
    <t>https://www.idrd.gov.co/sites/default/files/marco-legal/139_resolucion_ciclovia_rda_2_1.pdf</t>
  </si>
  <si>
    <t>Expedida por el IDRD, suspende términos procesales</t>
  </si>
  <si>
    <t>https://www.idrd.gov.co/sites/default/files/marco-legal/140_suspension_terminos_final_3.pdf</t>
  </si>
  <si>
    <t>https://drive.google.com/file/d/1sLHC9lXSesQGSN3I1lRSnYjSGhoaXxW8/view</t>
  </si>
  <si>
    <t>Habilita los sábados, domingos y festivos como días laborables para los servidores públicos de las Subdirecciones de Servicios Administrativos, Imprenta Distrital, Dirección de Talento Humano y de la Oficina Asesora de Jurídica de la Secretaría General de la Alcaldía Mayor de Bogotá, D.C., mientras dure la declaratoria de calamidad pública en la ciudad de Bogotá D. C.</t>
  </si>
  <si>
    <t>https://www.alcaldiabogota.gov.co/sisjur/normas/Norma1.jsp?i=91507</t>
  </si>
  <si>
    <t>https://drive.google.com/file/d/1jeAz6tGBw7DiYE7rSybIwRgVgdIzh-d0/view</t>
  </si>
  <si>
    <t>Por la cual se suspenden los términos procesales de las actuaciones administrativas, contractuales, sancionatorias y disciplinarias que se adelantan en el Instituto Distrital de Recreación y Deporte”</t>
  </si>
  <si>
    <t>https://www.idrd.gov.co/sites/default/files/marco-legal/141_resolucion_por_la_cual_se_suspenden_terminos.pdf</t>
  </si>
  <si>
    <t>Mediiante la cual se suspenden términos para la empresa Metro de Bogotá.</t>
  </si>
  <si>
    <t>https://bogota.gov.co/sites/default/files/inline-files/resolucion-no.-116-de-2020-por-la-cual-se-suspenden-los-terminos-procesales-en-todas-las-actuaciones-disciplinarias-de-la-emb.pdf</t>
  </si>
  <si>
    <t>Documento Aquí:</t>
  </si>
  <si>
    <t>Adopta medidas adicionales y complementarias con ocasión de la declaratoria de calamidad pública efectuada mediante Decreto Distrital 087 del 2020 en los sectores Integración Social y Hábitat, Salud, Hacienda, Movilidad, Mujer, Cultura e Infraestructura, Desarrollo Económico y suspende términos de las actuaciones administrativas, sancionatorias, disciplinarias.</t>
  </si>
  <si>
    <t>Artículo: 20.</t>
  </si>
  <si>
    <t>https://www.alcaldiabogota.gov.co/sisjur/normas/Norma1.jsp?i=91475</t>
  </si>
  <si>
    <t>https://drive.google.com/file/d/1yv1v48PjYCOH6-DJlkhweEaMPj_uGFo0/view</t>
  </si>
  <si>
    <t>Suspensión de términos disciplinarios y actuaciones en la Secretaría de la Mujer</t>
  </si>
  <si>
    <t>https://bogota.gov.co/sites/default/files/inline-files/resoluion-suspension-terminos-disciplinarios.pdf</t>
  </si>
  <si>
    <t>Lineamientos para procesos contractuales y misionales del IDIPRÓN</t>
  </si>
  <si>
    <t>https://bogota.gov.co/sites/default/files/inline-files/resolucion-195-de-2020-idipron.pdf</t>
  </si>
  <si>
    <t>Concinuidad del servicio del público educativo durante semana santa</t>
  </si>
  <si>
    <t>https://bogota.gov.co/sites/default/files/inline-files/20200403-circular-010-de-2020-sed-vf.pdf</t>
  </si>
  <si>
    <t>Por la cual se le da cumplimiento al artíuclo 20 del Decreto 93 de 2020</t>
  </si>
  <si>
    <t>Si vincula al IDRD Resolución expedida por la Secretaría de Cultura</t>
  </si>
  <si>
    <t>https://www.idrd.gov.co/sites/default/files/marco-legal/20201100054873_resolucion_200_idrd.pdf</t>
  </si>
  <si>
    <t>Por el cual se imparten las órdenes e instrucciones necesariaspara dar continuidad a la ejecución de la medidade asilamiento obligatorio en Bogotá D.C.</t>
  </si>
  <si>
    <t>https://www.alcaldiabogota.gov.co/sisjur/normas/Norma1.jsp?i=91915</t>
  </si>
  <si>
    <t>Prorroga los efectos de la Resolución 141 de 2020</t>
  </si>
  <si>
    <t>https://www.idrd.gov.co/sites/default/files/marco-legal/145_del_13_de_abril_del_2020_por_la_cual_se_prorroga_los_efectos_de_resolucion_141_de_2020.pdf</t>
  </si>
  <si>
    <t>https://drive.google.com/file/d/1ClQ7_KmGO-XE19LoqWikXO7vauErVfcn/view</t>
  </si>
  <si>
    <t>https://drive.google.com/file/d/1haBQh7_1Jfmp0-lhrxktHKhNVQdPDddX/view</t>
  </si>
  <si>
    <t>https://drive.google.com/file/d/1-Sx9c1HFZ0pI1JpEawV65xYingSTQwz9/view</t>
  </si>
  <si>
    <t>CIRCULAR SECRETARIA JURIDICA DISTRITAL</t>
  </si>
  <si>
    <t>directrices sobre las intervenciones frente al control de constitucionalidad sobre las medidas adoptadas por el gobierno nacional y para la intervención del distrito capital en dichas en dichas actuaciones y en el trámite de control inmediato de legalidad de los actos propios en virtud de la emergencia sanitaria generada por la pandemia del coronavirus covid-19”</t>
  </si>
  <si>
    <t>http://sisjur.bogotajuridica.gov.co/sisjur/normas/Norma1.jsp?i=93245</t>
  </si>
  <si>
    <t>DECRETO ALCALDIA MAYOR DE BOGOTA</t>
  </si>
  <si>
    <t>SUSPENSIÓN DE TÉRMINOS. Suspender los términos procesales de las actuaciones administrativas, sancionatorias, disciplinarias, que adelantan las entidades y organismos del sector central, y de localidades, a partir de las cero horas (00:00 a.m.) del lunes 25 de mayo de 2020, hasta las cero horas (00:00 a.m.) del lunes 1 de junio de 2020. Fechas en
las que no correrán los términos para todos los efectos de ley.</t>
  </si>
  <si>
    <t>Articulo 5 y paragrafo 1,2,3</t>
  </si>
  <si>
    <t>https://bogota.gov.co/sites/default/files/inline-files/decreto-128-de-2020-pdf.pdf</t>
  </si>
  <si>
    <t>Resolucion Ministerio de Salud y Protección Social</t>
  </si>
  <si>
    <t>Prórroga de la emergencia sanitaria. Prorróguese la emergencia sanitaria en todo el territorio nacional hasta el 31 de agosto de 2020</t>
  </si>
  <si>
    <t>ARTÍCULO 1º, Articulo 2º y numerales 2.1,2.2,2.3,2.5.</t>
  </si>
  <si>
    <t>https://www.funcionpublica.gov.co/eva/gestornormativo/norma.php?i=125920</t>
  </si>
  <si>
    <t>https://drive.google.com/file/d/1kMz45mkNobyAQNXebUVDRRPsZ8OSXJ9F/view</t>
  </si>
  <si>
    <t>https://drive.google.com/file/d/1NDNx8FnInKizDM5ePKm6yGm-hBx-y2UF/view</t>
  </si>
  <si>
    <t>https://drive.google.com/file/d/1INK-UI0ee3uHFX2FXb2_Tejmbd1aUgLS/view</t>
  </si>
  <si>
    <t>https://drive.google.com/file/d/1w4La_d7Ny7SoNnL_ZOi62dmq1xJD1Kh4/view</t>
  </si>
  <si>
    <t>https://drive.google.com/file/d/1IVfrq-JKESTAcH2z7G0ejzZ8XZ341XFA/view</t>
  </si>
  <si>
    <t>https://drive.google.com/file/d/1FcKCavVsbM5ULwqWgSKTGUzcsmd45FYm/view</t>
  </si>
  <si>
    <t>https://drive.google.com/file/d/1hv-tu2A6kVqhZHLcf1uX_5jlP4efemW4/view</t>
  </si>
  <si>
    <t>https://drive.google.com/file/d/1VOWDuGUWTvaAuRcfy7uM9djUWL-PmCRy/view</t>
  </si>
  <si>
    <t>https://drive.google.com/file/d/1M6jnWZdnF_QNs5k4-IEkHUpC0VnIRew6/view</t>
  </si>
  <si>
    <t>https://drive.google.com/file/d/1sNCss_MOU9O6GWKR732MZOCKvQGeChRk/view</t>
  </si>
  <si>
    <t>https://drive.google.com/file/d/1eVd0bb_xtzAGQUuG4vR8IuXTM84OkgyT/view</t>
  </si>
  <si>
    <t>https://drive.google.com/file/d/1n7VIabV43WD1EN9lIBt9q0GiCY9vn_pS/view</t>
  </si>
  <si>
    <t>https://drive.google.com/file/d/1zXKL7HcP2RHcvSpiuchJ_u-anfJoiDeE/view</t>
  </si>
  <si>
    <t>https://drive.google.com/file/d/1aXUJPTvSsnzirK_rTbpStcSp9T4QfITj/view</t>
  </si>
  <si>
    <t>https://drive.google.com/file/d/1WNcOyijU2ypdrot01Er12ONQ33DRN9K4/view</t>
  </si>
  <si>
    <t>https://drive.google.com/file/d/1qL20E3mQ0ScfNZliYA7QNXbDNtkNI16l/view</t>
  </si>
  <si>
    <t>https://drive.google.com/file/d/1ybA_t3_JzxsnOCf0C4lCswgWron8kRX4/view</t>
  </si>
  <si>
    <t>https://drive.google.com/file/d/1vognVMGCP0E2e5Ksn6CHPMMLyjioyjQZ/view</t>
  </si>
  <si>
    <t>https://drive.google.com/file/d/1hqGN1jjZeQMEnBBoAFrJQIJkDh47Beq9/view</t>
  </si>
  <si>
    <t>https://drive.google.com/file/d/1zeUhPq3E_DEG7lVjCV050Z17-tl48tEe/view</t>
  </si>
  <si>
    <t>https://drive.google.com/file/d/1CFP39ZhUgHPIXpmTaMaXtVbePZ1dffKQ/view</t>
  </si>
  <si>
    <t>https://drive.google.com/file/d/1wiqT1CncvgeMpEXydleHK1fA-BqI28A0/view</t>
  </si>
  <si>
    <t>https://drive.google.com/file/d/1WEzkhiexPm9w35X5O7QpW5f5-s0plwpE/view</t>
  </si>
  <si>
    <t>https://drive.google.com/file/d/1MYx1Eo5uKkd17wO4-PtVRKveKH8T0iqj/view</t>
  </si>
  <si>
    <t>https://drive.google.com/file/d/1mZ0DqpzyZoebxI1aBGu_tTaMdEhLzh72/view</t>
  </si>
  <si>
    <t>Decreto 039 de 2021</t>
  </si>
  <si>
    <t>"Por medio del cual se adoptan medidas para conservar la seguridad, preservar el orden pzThlico, y mitigar el impacto causado por la pandemia de Coronavirus SARS-Cov-2 (COVID- 19)</t>
  </si>
  <si>
    <t>https://bogota.gov.co/sites/default/files/inline-files/decreto-039-de-2021.pdf</t>
  </si>
  <si>
    <t>Resolucion 208 de 2021</t>
  </si>
  <si>
    <t>Por la cual se establecen medidas de mitigación comunitaria y poblacional en la ciudad de Bogotá, acorde a la actualización de la evidencia internacional"</t>
  </si>
  <si>
    <t>https://bogota.gov.co/sites/default/files/inline-files/208-por-la-cual-se-establecen-medidas-de-mitigacion-comunitaria-y-poblacional-en-la-ciudad-acorde-evidencia-internacional.pdf</t>
  </si>
  <si>
    <t>Decreto Distrital 049</t>
  </si>
  <si>
    <t>"Por medio del cual se dictan lineamientos sobre el Plan de Vacunación contra el Covid-19 en la ciudad de Bogota D.C. y se dictan otras disposiciones"</t>
  </si>
  <si>
    <t>https://drive.google.com/drive/u/1/folders/11sM4_e1PXqqe3QtvKnfQpj69vB95Sx2e</t>
  </si>
  <si>
    <t>Decreto 55</t>
  </si>
  <si>
    <t>Medidas de bioseguridad. los habitantes de bogotá d.c. y los titulares de actividades económicas deben cumplir las siguientes medidas de bioseguridad: 
a) uso obligatorio de tapabocas. 
b) ventilación obligatoria. todos 
c) lavado de manos y desinfección. 
d) distanciamiento físico. 
e) medidas de higiene y distanciamiento para el personal, clientes y funcionamiento de los establecimientos y locales que abran al público.</t>
  </si>
  <si>
    <t>https://bogota.gov.co/mi-ciudad/gestion-juridica/decreto-055-nuevas-medidas-de-seguridad-salubridad-y-orden-publico</t>
  </si>
  <si>
    <t>Decreto 61</t>
  </si>
  <si>
    <t>Por medio del cual se prorroga el aislamiento selectivo con distanciamiento individual responsable para los habitantes de la ciudad de Bogotá D.C., se adoptan medidas para la
reactivación económica segura y se dictan otras disposicione</t>
  </si>
  <si>
    <t>https://bogota.gov.co/sites/default/files/inline-files/decreto-61-de-2021-prorroga-aislamiento_0.pdf</t>
  </si>
  <si>
    <t>https://bogota.gov.co/sites/default/files/inline-files/decreto-007-de-2021-version-pdf.pdf</t>
  </si>
  <si>
    <t>http://www.saludcapital.gov.co/Covid_legal/Decreto_10_de_2021.pdf</t>
  </si>
  <si>
    <t>Decreto 018</t>
  </si>
  <si>
    <t>https://bogota.gov.co/sites/default/files/inline-files/decreto-018-de-2021.pdf</t>
  </si>
  <si>
    <t>Decreto 021</t>
  </si>
  <si>
    <t>https://bogota.gov.co/mi-ciudad/gestion-juridica/decreto-21-de-2021-aislamiento-selectivo-y-distanciamiento-individual</t>
  </si>
  <si>
    <t>Decreto 135 de 5 abril de 2021</t>
  </si>
  <si>
    <t>Por medio del cual se adoptan medidas adicionales en el marco del aislamiento selecctivo con distanciemiento individual responsable para los habitantes de la ciudad de Bogota D.C.</t>
  </si>
  <si>
    <t>https://bogota.gov.co/mi-ciudad/gobierno/decreto-135-de-abril-de-2021-nueva-cuarentena-y-pico-y-cedula</t>
  </si>
  <si>
    <t>Decreto 144 de 15 de abril de 2021</t>
  </si>
  <si>
    <t>Por medio del cual se adoptan medidas adicionalespara mitigar el riesgo de econtagio por SARS-CoV-2 COVID-19 en los los habitantes de la ciudad de Bogota D.C. y se dictan otras disposiciones.</t>
  </si>
  <si>
    <t>https://bogota.gov.co/sites/default/files/inline-files/decreto-144-de-2021.pdf</t>
  </si>
  <si>
    <t>Por la cual se establecen medidas de migracion comunitaria y poblacional en la ciudad de Bogota, acorde a la actualizacion de la evidencia Internacional.</t>
  </si>
  <si>
    <t>Decreto  039  de 2021</t>
  </si>
  <si>
    <t>Por medio del cual se adoptan medidas para conservar la seguridad, preservar el orden publico, y mitigar el impacto causado por la pandemia del Coronavirus CORONAVIRUS SARS-Cov-2(covid19)</t>
  </si>
  <si>
    <t>Decreto 055 de 2021</t>
  </si>
  <si>
    <t>Por medio del cual se adoptan medidas para mantener la seguridad, el orden publico y la salubridad como consecuencia de la pandemia de Coronavirus SARS-COV2 (COVID19)</t>
  </si>
  <si>
    <t>Decreto 061</t>
  </si>
  <si>
    <t>Por medio del  cual se prorroga el aislamiento selectivo con distanciamiento individual responsable para los habitantes de la ciudad de Bogota D,C se adoptan medidas para reactivacion economica segura y se dictan otras disposiciones.</t>
  </si>
  <si>
    <t>https://bogota.gov.co/mi-ciudad/gestion-juridica/decreto-061-de-2021</t>
  </si>
  <si>
    <t>Decreto 148 de 30 de abril de 2021</t>
  </si>
  <si>
    <t>https://bogota.gov.co/sites/default/files/inline-files/decreto-148-de-2021-comprimido.pdf</t>
  </si>
  <si>
    <t>Decreto 137 de 5 abril de 2021</t>
  </si>
  <si>
    <t>Por medio del cual se modifica el decreto 135 de 2021 con el que se adoptaron medidas adicionalles en el marco del aislamiento sellectivo con distanciamiento individual responsable para  los habitantes de la ciudad de Bogota D.C.</t>
  </si>
  <si>
    <t>https://bogota.gov.co/sites/default/files/inline-files/decreto-137-de-2021.pdf</t>
  </si>
  <si>
    <t>Decreto 190</t>
  </si>
  <si>
    <t>por medio del cual se adoptan medidas adicionales para mitigar el incremento de contagios de SARS-CoV-19 en los habitantes de la ciudad de Bogota D.C. y se dictan otras disposiciones.</t>
  </si>
  <si>
    <t>http://www.sdp.gov.co/transparencia/marco-legal/normatividad/decreto-190-de-2004</t>
  </si>
  <si>
    <t>Decreto 277</t>
  </si>
  <si>
    <t>Por medio del cual se adoptan medidas de reactivación económica segura con ocasión de la emergencia sanitaria producida por el SA RS-Co V-2 CO VID- 19 en la ciudad de Bogotá D. C. y se dictan otras disposiciones"</t>
  </si>
  <si>
    <t>https://bogota.gov.co/sites/default/files/inline-files/decreto-277-de-2021_0.pdf</t>
  </si>
  <si>
    <t>Decreto 442</t>
  </si>
  <si>
    <t>Por medio del cual se imparten instrucción en virtud de la emergencia sanitaria generada por la pandemia del Coronavirus COVID-19 para el mantenimie»to del orden público en la ciudad de Bogotá D.C., la reactivación económica segura y se dictan otras disposiciones"</t>
  </si>
  <si>
    <t>https://www.alcaldiabogota.gov.co/sisjur/normas/Norma1.jsp?i=118377</t>
  </si>
  <si>
    <t>Decreto 076</t>
  </si>
  <si>
    <t>El presente decreto tiene por objeto adoptar el Plan Nacional de Vacunación contra el COVID-19 y establecer la población objeto, los criterios de priorización, las fases y la ruta para la aplicación de la vacuna, las responsabilidades de cada actor tanto del Sistema General de Seguridad Social en Salud como de los administradores de los regímenes especiales y de excepción, así como el procedimiento
 para el pago de los Costos de su ejecución. ".</t>
  </si>
  <si>
    <t>https://bogota.gov.co/mi-ciudad/gestion-juridica/bogota-el-uso-de-tapabocas-no-sera-obligatorio-en-espacios-abiertos#:~:text=en%20espacios%20abiertos-,Decreto%20076%3A%20Uso%20de%20tapabocas%20no%20ser%C3%A1%20obligatorio%20en%20espacios,obligatoria%2C%20tapabocas%20en%20espacios%20abiertos.</t>
  </si>
  <si>
    <t>Circular 003</t>
  </si>
  <si>
    <t>MODALIDADES DE TRABAJO Y LINEAMIENTOS DE BIOSEGURIDAD EN AMBIENTES: Con ocasión de la emergencia sanitaria ocasionada por la propagación del COVID-191, la
 Administración Distrital ha adoptado medidas que buscan mitigar las condiciones epidemiológicas
 generadas por la pandemia, fomentar los ambientes laborales seguros, así como contribuir a la
 reactivación económica de Bogotá D.C. De acuerdo con lo anterior, la Secretaría General de la
 Alcaldía Mayor de Bogotá D.0 y el Departamento Administrativo del Servicio Civil Distrital en
 ejercicio de sus funciones y atribuciones en materia de orientación a la gestión pública distrital,
 efectúa algunas consideraciones e imparte lineamientos. 
 LABORALES.</t>
  </si>
  <si>
    <t>https://serviciocivil.gov.co/transparencia/marco-legal/lineamientos/003-0</t>
  </si>
  <si>
    <t>Covid-19 Orden IDRD</t>
  </si>
  <si>
    <t>ENLACE DE LA NORMA</t>
  </si>
  <si>
    <t>CIRCULAR NIVEL NACIÓN 18</t>
  </si>
  <si>
    <t>Se imparten instrucciones para que los organismos y entidades del sector público y privado, de acuerdo con las funciones que cumplen y de la naturaleza de la actividad productiva que desarrollan, diseñen medidas específicas y redoblen los esfuerzos en esta nueva fase de contención del COVID-19.</t>
  </si>
  <si>
    <t>Si vincula a  la entidad teniendo en cuenta que es una circualar del Ministerio de Salud, en aras de controlar el contagio del COVID en los lugares de trabajo</t>
  </si>
  <si>
    <t>http://www.regiones.gov.co/Inicio/assets/files/16.pdf</t>
  </si>
  <si>
    <t>DIRECTIVA NACIÓN 2</t>
  </si>
  <si>
    <t>Medidas para atender la contigencia generada por el COVID 19 a partir del uso de las tecnologías de la información y las telecomunicaciones.</t>
  </si>
  <si>
    <t>Si vincula al IDRD porque ordena el uso de tecnologias de la información e invita a las entidades teritoriales a que acojan la directiva</t>
  </si>
  <si>
    <t>https://dapre.presidencia.gov.co/normativa/normativa/DIRECTIVA%20PRESIDENCIAL%20N%C2%B0%2002%20DEL%2012%20DE%20MARZO%20DE%202020.pdf</t>
  </si>
  <si>
    <t>DECRETO NACIÓN 401</t>
  </si>
  <si>
    <t>Por el cual se modifican, sustituyen, y adicionan artículos de la Sección 2 del Capítulo 13 Título 1 Parte 6 Libro 1 del Decreto 1625 de 2016, Único Reglamentario en Materia Tributaria".</t>
  </si>
  <si>
    <t>Artículo 1.6.1.13.2.5. PARAGARFO 1 Y 2</t>
  </si>
  <si>
    <t>https://dapre.presidencia.gov.co/normativa/normativa/DECRETO%20401%20DEL%2013%20DE%20MARZO%20DE%202020.pdf</t>
  </si>
  <si>
    <t>DECRETO NACIÓN 400</t>
  </si>
  <si>
    <t>Por el cual se modifica el Decreto 1068 de 2015, Decreto Único Reglamentario del Sector Hacienda y Crédito Público en lo relacionado con el manejo de los excedentes de liquidez</t>
  </si>
  <si>
    <t>Artículo 2.3.3.2.</t>
  </si>
  <si>
    <t>https://dapre.presidencia.gov.co/normativa/normativa/DECRETO%20400%20DEL%2013%20DE%20MARZO%20DE%202020.pdf</t>
  </si>
  <si>
    <t>RESOLUCIÓN DISTRITAL 392</t>
  </si>
  <si>
    <t>Medidas para evitar el contagio en aglomeraciones en el Distrito Capital</t>
  </si>
  <si>
    <t>RESOLUCIÓN NACIÓN 407</t>
  </si>
  <si>
    <t>Modifica los numerales 2.4 y 2.6 del artículo 2° de la Resolución número 385 de 2020, por la cual se declaró la emergencia sanitaria en todo el territorio nacional. Dicha modificación consiste en prohibir el atraque de naves de pasaje de tráfico marítimo internacional en instalaciones portuarias, así como el desembarque de pasajeros, tripulación y descargue de equipaje de estas naves en dichas instalaciones y ordenar a los jefes, representantes legales, administradores o quienes hagan sus veces a adoptar, en los centros laborales públicos y privados, las medidas de prevención y control sanitario para evitar la propagación del COVID-19. Deberá impulsarse al máximo la prestación del servicio a través del teletrabajo y el trabajo en casa.</t>
  </si>
  <si>
    <t>Resolución del Ministerio de Salud y Protección Social con efectos los jefes de las entidades de cacácter Nacional y Territorial, incluyendo el IDRD. Dispociones sanitarias, de tele trabajo, medidas de prevención al contagio en las entidades y respecto al personal de las mismas.</t>
  </si>
  <si>
    <t>https://dapre.presidencia.gov.co/normativa/normativa/DECRETO%20407%20DEL%2016%20DE%20MARZO%20DE%202020.pdf</t>
  </si>
  <si>
    <t>CIRCULAR DISTRITO 31</t>
  </si>
  <si>
    <t>CIRCULAR NACIÓN 3</t>
  </si>
  <si>
    <t>Recomendaciones para los espacios culturales en el territorio a cargo de municipios.</t>
  </si>
  <si>
    <t>Si vincula al IDRD porque ordena el cierre temporal de los espacios de uso de cultura en el territorio.</t>
  </si>
  <si>
    <t>RESOLUCIÓN DISTRITAL 397</t>
  </si>
  <si>
    <t>Por la cual se adoptan medidas para  la limitación de los eventos en sitios masivos</t>
  </si>
  <si>
    <t>DECRETO NACIÓN 435</t>
  </si>
  <si>
    <t>Por el cual se modifican y adicionan artículos de la Sección 2 del Capítulo 13 Título 1 Parte 6 Libro 1 del Decreto 1625 de 2016, Único Reglamentario en Materia Tributaria</t>
  </si>
  <si>
    <t>Artículo 1</t>
  </si>
  <si>
    <t>https://dapre.presidencia.gov.co/normativa/normativa/DECRETO%20435%20DEL%2019%20DE%20MARZO%20DE%202020.pdf</t>
  </si>
  <si>
    <t>DECRETO DISTRITAL 90</t>
  </si>
  <si>
    <t>El Decreto ya cumplió su vigencia..</t>
  </si>
  <si>
    <t>RESOLUCIÓN DISTRITAL 139</t>
  </si>
  <si>
    <t>RESOLUCIÓN DISTRITAL 140</t>
  </si>
  <si>
    <t>DECRETO NACIÓN 440</t>
  </si>
  <si>
    <t>Por el cual se adoptan medidas de urgencia en materia de contratación estatal, con ocasión del Estado de Emergencia Económica, Social y Ecológica derivada de la Pandemia COV/D-19"</t>
  </si>
  <si>
    <t>Mediante este Decreto se doptan medidas de urgencia en materia de contratación estatal .Artículo 1.</t>
  </si>
  <si>
    <t>https://dapre.presidencia.gov.co/normativa/normativa/DECRETO%20440%20DEL%2020%20DE%20MARZO%20DE%202020.pdf</t>
  </si>
  <si>
    <t>DECRETO NACIÓN 457</t>
  </si>
  <si>
    <t>Por el cual se imparten instrucciones en virtud de la emergencia sanitaria generada por la pandemia del Coronavirus COVID-19 y el mantenimiento del orden público.</t>
  </si>
  <si>
    <t>Artículo 3.</t>
  </si>
  <si>
    <t>https://dapre.presidencia.gov.co/normativa/normativa/DECRETO%20457%20DEL%2022%20DE%20MARZO%20DE%202020.pdf</t>
  </si>
  <si>
    <t>RESOLUCIÓN DISTRITAL 141</t>
  </si>
  <si>
    <t>Por la cual se suspenden los términos procesales de las actuaciones
administrativas, contractuales, sancionatorias y disciplinarias que se adelantan en el
Instituto Distrital de Recreación y Deporte”</t>
  </si>
  <si>
    <t>DECRETO DISTRITAL 93</t>
  </si>
  <si>
    <t>DECRETO NIVEL NACIÓN 475</t>
  </si>
  <si>
    <t>Por el cual se dictan medidas especiales relacionadas con el sector Cultura.</t>
  </si>
  <si>
    <t>Hace referencia a espectáculos pero del sector Cultura, siendo distinto al IDRD. Se hace la salvedad en lo relacionado a los espectáculos con ocasión a la plaza de toros dado que este escenario es administrado por la Entidad.</t>
  </si>
  <si>
    <t>https://dapre.presidencia.gov.co/normativa/normativa/DECRETO%20475%20DEL%2025%20DE%20MARZO%20DE%202020.pdf</t>
  </si>
  <si>
    <t>DECRETO NIVEL NACIÓN 491</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</si>
  <si>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</si>
  <si>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Artículos: 3,4,5,8,9,11,16,18</t>
  </si>
  <si>
    <t>https://dapre.presidencia.gov.co/normativa/normativa/Decreto-491-28-marzo-2020.pdf</t>
  </si>
  <si>
    <t>DECRETO NIVEL NACIÓN 498</t>
  </si>
  <si>
    <t>Por el cual se modifica y adiciona el Decreto 1083 de 2015, Único Reglamentario del Sector de Función Pública</t>
  </si>
  <si>
    <t>Artíuclo 2.2.5.3.2 PARAGRAFOS 1,2,3,4 - Artículo 2.2.2.4.1 Y ART 2.2.14.1.1</t>
  </si>
  <si>
    <t>https://dapre.presidencia.gov.co/normativa/normativa/DECRETO%20498%20DEL%2030%20DE%20MARZO%20DE%202020.pdf</t>
  </si>
  <si>
    <t>RESOLUCIÓN IDRD 200</t>
  </si>
  <si>
    <t>Por la cual se le da cumplimiento al artíuclo 20 del Decreto 93 de 2020 y se  Restringe el uso y utilización de los parques regionales,
metropolitanos y zonales que componen el Sistema Distrital de Parques y los escenarios deportivos administrados por el Instituto Distrital de Recreación y Deporte - IDRD</t>
  </si>
  <si>
    <t>Resolución expedida por la Secretaría de Cultura</t>
  </si>
  <si>
    <t>DECRETO NIVEL NACIÓN 531</t>
  </si>
  <si>
    <t>Por el cual se imparten instrucciones en virtud de la emergencia sanitaria generada por la pandemia del Coronavirus COVID-19, y el mantenimiento del orden público</t>
  </si>
  <si>
    <t>Artículos 1, 2, 3, 4,</t>
  </si>
  <si>
    <t>https://dapre.presidencia.gov.co/normativa/normativa/DECRETO%20531%20DEL%208%20DE%20ABRIL%20DE%202020.pdf</t>
  </si>
  <si>
    <t>DECRETO 106</t>
  </si>
  <si>
    <t>“Por el cual se imparten se imparten las ordenes e instrucciones necesarias para dar continuidad a la ejecución de la medida de aislamiento obligatorio en Bogotá D.C.”</t>
  </si>
  <si>
    <t>Articulos 1,2, paragrafo 30,4,7,8,</t>
  </si>
  <si>
    <t>https://intranet.idrd.gov.co/wp-content/uploads/2020/04/200408_Decreto-106-ampliacio%CC%81n-aislamiento.pdf.pdf</t>
  </si>
  <si>
    <t>DECRETO NIVEL NACIÓN 537</t>
  </si>
  <si>
    <t>Por el cual se adoptan medidas en materia de contratación estatal, en el marco del Estado de Emergencia Económica, Social y Ecológica</t>
  </si>
  <si>
    <t>Artículos 1, 2, 3, 4, 5, 6, 7, 8, 9</t>
  </si>
  <si>
    <t>http://www.suin-juriscol.gov.co/archivo/decretoscovid/DECRETO537DE2020.pdf</t>
  </si>
  <si>
    <t>DECRETO NIVEL NACIÓN 538</t>
  </si>
  <si>
    <t>Por el cual se adoptan medidas de bioseguridad para mitigar, evitar la propagación y realizar el adecuado manejo de la pandemia del Coronavirus COVID-19, en el marco del Estado de Emergencia Económica, Social y Ecológica</t>
  </si>
  <si>
    <t>Decreto que vincula la entidad ya que establece que la entidad encargada de determinar los protocolos en todo el país de bioseguiridad es el Ministerio de Slud y Protección Social, para evitar la duplicidad de esas normas.</t>
  </si>
  <si>
    <t>https://dapre.presidencia.gov.co/normativa/normativa/DECRETO%20538%20DEL%2012%20DE%20ABRIL%20DE%202020.pdf</t>
  </si>
  <si>
    <t>RESOLUCIÓN DISTRITAL 145</t>
  </si>
  <si>
    <t>DECRETO NIVEL NACIÓN 558</t>
  </si>
  <si>
    <t>Por el cual se implementan medidas para disminuir temporalmente la cotización al Sistema General de Pensiones, proteger a los pensionados bajo la modalidad de retiro programado y se dictan otras disposiciones en el marco del Estado de Emergencia Económica, Social y Ecológica.</t>
  </si>
  <si>
    <t>Vincula a la entidad teniendo en cuenta que es un decreto del Ministerio del Trabajo.adoptando medidas para disminuir temporalmente la cotizacion al sistema general de pensiones</t>
  </si>
  <si>
    <t>https://dapre.presidencia.gov.co/normativa/normativa/DECRETO%20558%20DEL%2015%20DE%20ABRIL%20DE%202020.pdf</t>
  </si>
  <si>
    <t>DECRETO NIVEL NACIÓN 568</t>
  </si>
  <si>
    <t>Por el cual se crea el impuesto solidario por el COVID 19, dentro del Estado de Emergencia Econónica, Social y Ecológica, dispuesto en el Decreto Legislativo417 de 2020.</t>
  </si>
  <si>
    <t>Artículos 1, 2, 3, 4, 5, 6, 7, 8, 9, 10, 11, 12, 13, 14.</t>
  </si>
  <si>
    <t>https://dapre.presidencia.gov.co/normativa/normativa/DECRETO%20568%20DEL%2015%20DE%20ABRIL%20DE%202020.pdf</t>
  </si>
  <si>
    <t>DECRETO NIVEL NACIÓN 561</t>
  </si>
  <si>
    <t>Por el cual se adoptan medidas transitorias en materia de cultura en el marco del Estado de Emergencia Económica , Social y Ecológica.</t>
  </si>
  <si>
    <t>https://dapre.presidencia.gov.co/normativa/normativa/DECRETO%20561%20DEL%2015%20DE%20ABRIL%20DE%202020.pdf</t>
  </si>
  <si>
    <t>DECRETO NIVEL NACIÓN 564</t>
  </si>
  <si>
    <t>“Por el cual se adoptan medidas para la garantía de los derechos de los usuarios del sistema de justicia, en el marco del Estado de Emergencia Económica, Social y Ecológica”</t>
  </si>
  <si>
    <t>Articulos 1,2</t>
  </si>
  <si>
    <t>https://dapre.presidencia.gov.co/normativa/normativa/DECRETO%20564%20DEL%2015%20DE%20ABRIL%20DE%202020.pdf</t>
  </si>
  <si>
    <t>RESOLUCION NIVEL NACIÓN 666</t>
  </si>
  <si>
    <t>” Por medio de la cual se adopta el protocolo general de bioseguridad para mitigar, controlar y realizar el adecuado manejo de la pandemia del coronavirus COVID-19.</t>
  </si>
  <si>
    <t>Si vincula a  la entidad teniendo en cuenta que es una  Resolución del Ministerio de Salud y proteccion social, donde se adopta el protocolo general de bioseguridad para mitigar, controlar y realizar el adecuado manejo de la pandemia del coronavirus COVID-19.</t>
  </si>
  <si>
    <t>https://id.presidencia.gov.co/Documents/200424-Resolucion-666-MinSalud.pdf</t>
  </si>
  <si>
    <t>DECRETO NACIÓN 593</t>
  </si>
  <si>
    <t>Articulos  1°, 3° numerales 13,18,20,34, y 37 y el Articulo 4°.</t>
  </si>
  <si>
    <t>https://dapre.presidencia.gov.co/normativa/normativa/DECRETO%20593%20DEL%2024%20DE%20ABRIL%20DE%202020.pdf</t>
  </si>
  <si>
    <t>ACUERDO CONSEJO SUPERIOR DE LA JUDICATURA 11546</t>
  </si>
  <si>
    <t>“Por medio de la cual se prorrogan las medidas de suspensión de términos, se amplían sus excepciones y se adoptan otras medidas por motivo de salubridad pública y fuerza mayor “</t>
  </si>
  <si>
    <t>Articulos 1°, 2° y paragrafo, Articulos 5°, 10°, 11 y paragrafo.</t>
  </si>
  <si>
    <t>https://www.ramajudicial.gov.co/web/consejo-superior-de-la-judicatura/-/consejo-superior-de-la-judicatura-prorroga-la-suspension-de-terminos-judiciales-y-amplia-las-excepciones</t>
  </si>
  <si>
    <t>SUPERINTENDENCIA DE NOTARIADO Y  REGISTRO 3527</t>
  </si>
  <si>
    <t>https://www.supernotariado.gov.co/PortalSNR/ShowProperty?nodeId=%2FSNRContent%2FWLSWCCPORTAL01175504%2F%2FidcPrimaryFile&amp;revision=latestreleased#38;</t>
  </si>
  <si>
    <t>SUPERINTENDENCIA DE NOTARIADO Y  REGISTRO 3659</t>
  </si>
  <si>
    <t>Articulo 1ª: PRÓRROGA. Suspender términos de los trámites, procedimientos, actuaciones administrativas, disciplinarias y procesos registrales que se adelanten ante la Superintendencia de Notariado y Registro; así como en las Oficinas de Registro de Instrumentos Públicos hasta tanto se emita un acto administrativo particular de habilitación en los términos descritos en el artículo segundo de la presente Resolución.</t>
  </si>
  <si>
    <t>https://www.supernotariado.gov.co/PortalSNR/ShowProperty?nodeId=%2FSNRContent%2FWLSWCCPORTAL01175521%2F%2FidcPrimaryFile&amp;revision=latestreleased#38;</t>
  </si>
  <si>
    <t>RESOLUCION IDRD 151</t>
  </si>
  <si>
    <t>“Por medio de la cual se adiciona la Resolución No. 139 del 19 de marzo de 2020 “Por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t>
  </si>
  <si>
    <t>https://drive.google.com/drive/my-drive</t>
  </si>
  <si>
    <t>100-009</t>
  </si>
  <si>
    <t>CIRCULAR EXTERNA NIVEL NACIONAL 100-009</t>
  </si>
  <si>
    <t>Acciones para implementar en la administración pública las medidas establecidas en el protocolo general de bioseguridad adoptado en la resolución 666 del 24 de abril de 2020 del ministerio de salud y protección social .</t>
  </si>
  <si>
    <t>Presenta las acciones para la adopción de las directrices desarrolladas en los decretos  491,  539 y Resolución 666 de 2020 
hasta la vigencia de la Emergencia Sanitaria, con relación al Trabajo en Casa y el  Protocolo General de Bioseguridad.
Aplica al IDRD todo el articulado.</t>
  </si>
  <si>
    <t>https://www.funcionpublica.gov.co/documents/418537/616038/Circular-externa-100-009-2020.pdf/ee5487b8-d474-8b03-2d49-cc7090ebe69a?t=1588877831231</t>
  </si>
  <si>
    <t>DECRETO NIVEL NACIÓN 126</t>
  </si>
  <si>
    <t>“Por medio del cual se establecen medidas transitorias para el manejo del riesgo derivado de la pandemia por Coronavirus COVID-19 durante el estado de calamidad pública declarado en el distrito capital y se toman otras determinaciones”</t>
  </si>
  <si>
    <t>La alcaldía imparte lineamientos para la apertura gradual de los sectores económicos y de algunas actividades sociales que reduzcan los riesgos de contagio y propagación del COVID-19.  
Aplica para el Idrd los artículos 1, 2, 4, numeral 6 y Parágrafo 1, artículo 23 Parágrafo 1, 2 y 3, artículos  20 y 24</t>
  </si>
  <si>
    <t>https://bogota.gov.co/sites/default/files/inline-files/decreto-126-de-2020-version-pdf-final-7p.pdf</t>
  </si>
  <si>
    <t>RESOLUCION IDRD 166</t>
  </si>
  <si>
    <t>“Por la cual se toman medidas en materia de contratos y convenios del Instituto Distrital de Recreación y Deporte -IDRD-, en el marco de la emergencia sanitaria por causa del Coronavirus COVID-19”</t>
  </si>
  <si>
    <t>el reinicio de los contratos de obra se encuentra condicionado a la revisión y aprobación de los protocolos de Bioseguridad, por parte de la Alcaldía Mayor de Bogotá D.C., por tanto no puede definirse una única fecha para todos, lo que significa que el reinicio de cada obra deberá constar en acta suscrita entre el interventor o supervisor y el contratista de obra, previa aprobación de los protocolos de Bioseguridad que garanticen las medidas de bioseguridad e integridad de todo el personal que labora en la ejecución de tales contratos.</t>
  </si>
  <si>
    <t>https://www.idrd.gov.co/sites/default/files/marco-legal/166_reinicio_de_obra.pdf</t>
  </si>
  <si>
    <t>RESOLUCION IDRD 167</t>
  </si>
  <si>
    <t>“Por la cual se adoptan los protocolos de bioseguridad para mitigar, controlar y realizar el adecuado manejo de la pandemia del Coronavirus COVID-19 en el Instituto Distrital de Recreación y Deporte”</t>
  </si>
  <si>
    <t>Adoptar el Protocolo General de Bioseguridad para la Prevención,
Contención y Mitigación del Coronavirus (COVID-19) del Instituto Distrital de Recreación y
Deporte -IDRD-, de acuerdo con los lineamientos de la Resolución No. 666 de 2020 “Por
medio de la cual se adopta el protocolo general de bioseguridad para mitigar, controlar y
realizar el adecuado manejo de la pandemia del Coronavirus COVID-19”, cuyo texto y
contenido se anexa a la presente resolución y hace parte integral de la misma.</t>
  </si>
  <si>
    <t>https://drive.google.com/drive/recent</t>
  </si>
  <si>
    <t>CIRCULAR SECRETARIA JURIDICA DISTRITAL 19</t>
  </si>
  <si>
    <t>CIRCULAR DISTRITAL 47</t>
  </si>
  <si>
    <t>“Lineamientos para uso de documentos electrónicos en ambientes de trabajo en casa</t>
  </si>
  <si>
    <t>http://sisjur.bogotajuridica.gov.co/sisjur/normas/Norma1.jsp?i=93880</t>
  </si>
  <si>
    <t>DECRETO DISTRITAL 131</t>
  </si>
  <si>
    <t>“Por el cual se imparten lineamientos para dar continuidad a la ejecución de la medida de aislamiento obligatorio en Bogotá D.C. y se toman otras determinaciones”</t>
  </si>
  <si>
    <t>Art: 1º y 2º numeral 18.19, 40  , Art 10.</t>
  </si>
  <si>
    <t>https://secretariageneral.gov.co/sites/default/files/archivos-adjuntos/decreto_131_de_2020_para_publicar_pdf.pdf</t>
  </si>
  <si>
    <t>DECRETO DISTRITAL 132</t>
  </si>
  <si>
    <t>Por contingencia generada por la emergencia sanitaria COVID-19”,</t>
  </si>
  <si>
    <t>Articulo: 5º , 6º</t>
  </si>
  <si>
    <t>https://secretariageneral.gov.co/sites/default/files/archivos-adjuntos/decreto_132_de_2020_final_31052020_pdf.pdf</t>
  </si>
  <si>
    <t>RESOLUCION IDRD 184</t>
  </si>
  <si>
    <t>“Por medio de la cual se adiciona la Resolución No. 139 del 19 de marzo de 2020 “Por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t>
  </si>
  <si>
    <t>https://www.idrd.gov.co/sites/default/files/marco-legal/184_resolucion_que_adiciona_paragrafo_al_art._2_de_la_res._139_de_2020.pdf</t>
  </si>
  <si>
    <t>DECRETO NIVEL NACION 806</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</si>
  <si>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t>
  </si>
  <si>
    <t>Articulos del 1º al 13</t>
  </si>
  <si>
    <t>https://dapre.presidencia.gov.co/normativa/normativa/DECRETO%20806%20DEL%204%20DE%20JUNIO%20DE%202020.pdf</t>
  </si>
  <si>
    <t>“Por medio del cual se adoptan medidas para el levantamiento de los términos judiciales y se dictan otras disposiciones por motivos de salubridad pública y fuerza mayor”</t>
  </si>
  <si>
    <t>Articulos 1,2,3,6,8</t>
  </si>
  <si>
    <t>http://actosadministrativos.ramajudicial.gov.co/GetFile.ashx?url=%7e%2fApp_Data%2fUpload%2fPCSJA20-11567.pdf</t>
  </si>
  <si>
    <t>20-55</t>
  </si>
  <si>
    <t>ACUERDO CONSEJO SUPERIOR DE LA JUDICATURA 20-55</t>
  </si>
  <si>
    <t>“Por medio del cual se adoptan unas disposiciones para el Distrito Judicial de Cundinamarca y Amazonas, en los términos del Acuerdo PCSJA20-11567, que estableció medidas para el levantamiento de los términos judiciales y se dictan otras disposiciones por motivos de salubridad pública y fuerza mayor”</t>
  </si>
  <si>
    <t>ACUERDO CONSEJO DE BOGOTA 761</t>
  </si>
  <si>
    <t>“por medio del cual se adopta el plan de desarrollo económico, social, ambiental y de obras públicas del distrito capital 2020- 2024 “un nuevo contrato social y ambiental para la bogotá del siglo xxi”</t>
  </si>
  <si>
    <t>http://concejodebogota.gov.co/cbogota/site/artic/20200613/asocfile/20200613074940/edicion_642_acuerdo_761_de_junio_de_2020.pdf</t>
  </si>
  <si>
    <t>DECRETO  NIVEL NACION 847</t>
  </si>
  <si>
    <t>Por el cual se modifica.el Decreto 749 del 28 de mayo de 2020 "Por el cual se imparten instrucciones en virtud de la emergencia sanitaria generada por la pandemia del, Coronavirus COVID-19, y el mantenimiento del orden público"</t>
  </si>
  <si>
    <t>ART 1º , ART 2º numeral 1,4,6 paragrafo 1</t>
  </si>
  <si>
    <t>https://dapre.presidencia.gov.co/normativa/normativa/DECRETO%20847%20DEL%2014%20DE%20JUNIO%20DE%202020.pdf</t>
  </si>
  <si>
    <t>DECRETO DISTRITAL 143</t>
  </si>
  <si>
    <t>Por el cual se imparten lineamientos para dar continuidad a la ejecución de la medida de aislamiento obligatorio en Bogotá D.C. y se toman otras determinaciones</t>
  </si>
  <si>
    <t>ART 1º y paragrafo Articulo 3º num 1y2 , Articulo 7 y 9º</t>
  </si>
  <si>
    <t>https://www.alcaldiabogota.gov.co/sisjur/normas/Norma1.jsp?i=93802</t>
  </si>
  <si>
    <t>RESOLUCION DISTRITAL 991</t>
  </si>
  <si>
    <t>Por medio de la cual se adopta el protocolo de bioseguridad para el manejo y control del riesgo del coronavirus COVID-19 en las actividades relacionadas con el entrenamiento de los deportistas de alto rendimiento, profesionales y recreativos</t>
  </si>
  <si>
    <t>https://www.alcaldiabogota.gov.co/sisjur/normas/Norma1.jsp?i=93942</t>
  </si>
  <si>
    <t>RESOLUCION DISTRITAL 993</t>
  </si>
  <si>
    <t>Por medio de la cual se adopta el protocolo de bioseguridad para el manejo y control del riesgo del coronavirus COVID-19 en las actividades relacionadas con el entrenamiento y competencia de los futbolistas profesionales.</t>
  </si>
  <si>
    <t>https://www.minsalud.gov.co/Normatividad_Nuevo/Resoluci%C3%B3n%20No.%20993%20de%202020.pdf</t>
  </si>
  <si>
    <t>RESOLUCION MINISTERIO DEL DEPORTE 632</t>
  </si>
  <si>
    <t>“por la cual se adopta el protocolo de bioseguridad para el manejo y control del riesgo del coronavirus covid-19 en las actividades relacionadas con el entrenamiento de los deportistas de alto rendimiento y profesionales, en las disciplinas deportivas de arqueria, ciclismo, esqui nautico y wakeboard, golf, levantamiento de pesas y tenis”</t>
  </si>
  <si>
    <t>https://www.mindeporte.gov.co/recursos_user/2020/Comunicaciones/Junio/RESOLUCION_632__DEL_17_DE_JUNIO_DE_2020.pdf</t>
  </si>
  <si>
    <t>RESOLUCION MINISTERIO DEL DEPORTE 633</t>
  </si>
  <si>
    <t>³por la cual se adopta el protocolo de bioseguridad para el manejo y control del riesgo del coronavirus covid-19 en las actividades relacionadas con el entrenamiento de los deportistas profesionales y de alto rendimiento, para la practica del futbol</t>
  </si>
  <si>
    <t>https://www.mindeporte.gov.co/recursos_user/2020/Comunicaciones/Junio/RESOLUCION_633_DEL_17_DE_JUNIO_DE_2020.pdf</t>
  </si>
  <si>
    <t>RESOLUCION MINISTERIO DEL DEPORTE 643</t>
  </si>
  <si>
    <t>“por la cual se adopta el protocolo de bioseguridad para el manejo y control del riesgo del coronavirus covid-19 en las actividades relacionadas con el entrenamiento de los deportistas de alto rendimiento y profesionales, en las disciplinas deportivas de actividades sub acuaticas, atletismo, canotaje, ecuestre, natación, patinaje carreras, surf, triatlon, tiro, vela”</t>
  </si>
  <si>
    <t>https://www.mindeporte.gov.co/recursos_user/2020/Comunicaciones/Junio/ViYa_Dep/RESOLUCION_000643_DEL_19_DE_JUNIO_DE_2020_%281%29.pdfhttps://www.mindeporte.gov.co/recursos_user/2020/Comunicaciones/Junio/ViYa_Dep/RESOLUCION_000643_DEL_19_DE_JUNIO_DE_2020_%281%29.pdf</t>
  </si>
  <si>
    <t>RESOLUCION DISTRITAL 1003</t>
  </si>
  <si>
    <t>por medio de la cual se adopta una medida en el marco de la emergencia sanitaria declarada por el nuevo coronavirus que causa la covid - 19</t>
  </si>
  <si>
    <t>https://www.alcaldiabogota.gov.co/sisjur/normas/Norma1.jsp?i=94023</t>
  </si>
  <si>
    <t>RESOLUCION DISTRITAL 16503</t>
  </si>
  <si>
    <t>por la cual se establecen las personas jurídicas, el contenido y las características de la información que deben suministrar a la dirección distrital de impuestos de bogotá – dib</t>
  </si>
  <si>
    <t>ARTICULO  4°</t>
  </si>
  <si>
    <t>http://sisjur.bogotajuridica.gov.co/sisjur/normas/Norma1.jsp?i=94042</t>
  </si>
  <si>
    <t>RESOLUCION SUPERINTENDENCIA DE NOTARIADO Y REGISTRO 5020</t>
  </si>
  <si>
    <t>"por medio de la cual se establece la prestación del servicio público notarial durante el aislamiento preventivo obligatorio"</t>
  </si>
  <si>
    <t>https://www.supernotariado.gov.co/PortalSNR/ShowProperty?nodeId=%2FSNRContent%2FWLSWCCPORTAL01176496%2F%2FidcPrimaryFile&amp;revision=latestreleased</t>
  </si>
  <si>
    <t>DECRETO DISTRITAL 155</t>
  </si>
  <si>
    <t>“por el cual se adoptan medidas transitorias de policía para garantizar el orden público en las localidades de bosa, kennedy y ciudad bolívar con ocasión de la declaratoria de calamidad pública efectuada mediante decreto distrital 087 del 2020 por la pandemia de coronavirus covid-19”</t>
  </si>
  <si>
    <t>ARTICULO 2,6 Y 7</t>
  </si>
  <si>
    <t>https://bogota.gov.co/sites/default/files/inline-files/decreto-155-de-2020-pdf.pdf</t>
  </si>
  <si>
    <t>DECRETO DISTRITAL 162</t>
  </si>
  <si>
    <t>por medio del cual se imparten lineamientos para dar continuidad a la ejecución de la medida de aislamiento obligatorio en bogotá d.c. y se toman otras determinaciones</t>
  </si>
  <si>
    <t>ARTICULOS 1 Y 2</t>
  </si>
  <si>
    <t>https://www.alcaldiabogota.gov.co/sisjur/normas/Norma1.jsp?i=94183</t>
  </si>
  <si>
    <t>RESOLUCION DISTRITAL 3818</t>
  </si>
  <si>
    <t>por la cual se reglamenta el permiso de uso temporal de espacio público durante el estado de calamidad pública con ocasión de la situación epidemiológica causada por el covid19 en bogotá, d.c.</t>
  </si>
  <si>
    <t>ARTICULO 2º Numeral 2.3</t>
  </si>
  <si>
    <t>http://sisjur.bogotajuridica.gov.co/sisjur/normas/Norma1.jsp?i=94445</t>
  </si>
  <si>
    <t>SECRETARÍA GENERAL MINDEPORTE 6</t>
  </si>
  <si>
    <t>.” se estipuló la obligatoriedad de la conformación de los archivos públicos,</t>
  </si>
  <si>
    <t>https://www.mindeporte.gov.co/recursos_user/2020/Secretar%C3%ADa_General/Julio/CIRCULAR_EXTERNA_N%C2%B0_6_OBLIGATORIEDAD_ENTREGA_DE_DOCUMENTOS.pdf</t>
  </si>
  <si>
    <t>DECRETO NIVEL NACION 990</t>
  </si>
  <si>
    <t>por el cual se imparten instrucciones en virtud de la emergencia sanitaria generada por la pandemia del coronavirus cqvid-19, y el mantenimiento del orden público / y deroga los decretos 749 del 28 de may de 2020, 847 del 14 de junio de 2020 y 878 de 25 de junio de 2020.</t>
  </si>
  <si>
    <t>ARTICULO 1 , 3 ·# 35,ARTICULO 5 # 4Y6 Y EL PARAGRAFO 1.</t>
  </si>
  <si>
    <t>https://dapre.presidencia.gov.co/normativa/normativa/DECRETO%20990%20DEL%209%20DE%20JULIO%20DE%202020.pdf</t>
  </si>
  <si>
    <t>CIRCULAR 55</t>
  </si>
  <si>
    <t>medidas administrativas y de personal para el cumplimiento del decreto distrital 169 del 12 de julio de 2020</t>
  </si>
  <si>
    <t>https://www.alcaldiabogota.gov.co/sisjur/normas/Norma1.jsp?i=94601</t>
  </si>
  <si>
    <t>DECRETO DISTRITAL 169</t>
  </si>
  <si>
    <t>“por medio del cual se imparten órdenes para dar cumplimiento a la medida de aislamiento preventivo obligatorio y se adoptan medidas transitorias de policía para garantizar el orden público en las diferentes localidades del distrito capital”</t>
  </si>
  <si>
    <t>ARTICULOS 1,3,4,7,8,9,10,16</t>
  </si>
  <si>
    <t>https://secretariageneral.gov.co/sites/default/files/archivos-adjuntos/decreto-169-unificado-aislamiento-y-medidas-adicionales.pdf</t>
  </si>
  <si>
    <t>RESOLUCION IDRD 195</t>
  </si>
  <si>
    <t>“por la cual se autoriza la práctica deportiva de manera individual de las y los deportistas de alto rendimiento en los escenarios deportivos administrados y autorizados por el instituto distrital de recreación y deporte idrd y se dictan otras disposiciones”</t>
  </si>
  <si>
    <t>https://www.idrd.gov.co/sites/default/files/marco-legal/195_resolucion_practica_deportiva_individual_1.pdf</t>
  </si>
  <si>
    <t>LEY 2023</t>
  </si>
  <si>
    <t>"por medio de la cual se crea la tasa pro deporte y recreación"</t>
  </si>
  <si>
    <t>https://dapre.presidencia.gov.co/normativa/normativa/LEY%202023%20DEL%2023%20DE%20JULIO%20DE%202020.pdf</t>
  </si>
  <si>
    <t>DECRETO DISTRITAL 176</t>
  </si>
  <si>
    <t>“por medio del cual se imparten medidas de protección para población en alto riesgo del distrito capital”</t>
  </si>
  <si>
    <t>ARTICULO 2</t>
  </si>
  <si>
    <t>https://bogota.gov.co/sites/default/files/inline-files/decreto_176_2020.pdf</t>
  </si>
  <si>
    <t>LEY  DE LA REPUBLICA 2040</t>
  </si>
  <si>
    <t>"por medio de la cual se adoptan medidas para impulsar el trabajo para adultos mayores y se dictan otras disposiciones"</t>
  </si>
  <si>
    <t>ARTICULO 1° y 5 °</t>
  </si>
  <si>
    <t>https://dapre.presidencia.gov.co/normativa/normativa/LEY%202040%20DEL%2027%20DE%20JULIO%20DE%202020.pdf</t>
  </si>
  <si>
    <t>RESOLUCION DISTRITAL 4108</t>
  </si>
  <si>
    <t>por la cual se adopta el protocolo que reglamenta la actividad de eventos publicitarios susceptibles de aprovechamiento económico en la modalidad de corto plazo, en la ciudad de bogotá d.c.</t>
  </si>
  <si>
    <t>ARETICULO 1º</t>
  </si>
  <si>
    <t>http://sisjur.bogotajuridica.gov.co/sisjur/normas/Norma1.jsp?i=95930</t>
  </si>
  <si>
    <t>DECRETO  NIVEL NACION 1076</t>
  </si>
  <si>
    <t>por el cual se imparten instrucciones en virtud de la emergencia sanitaria generada por
la pandemia del coronavirus covid-19, y el mantenimiento del orden público</t>
  </si>
  <si>
    <t>ARTICULO 1°</t>
  </si>
  <si>
    <t>https://dapre.presidencia.gov.co/normativa/normativa/DECRETO%201076%20DEL%2028%20DE%20JULIO%20DE%202020.pdf</t>
  </si>
  <si>
    <t>CIRCULAR 60</t>
  </si>
  <si>
    <t>directrices en relación con la fiesta distrital del día seis (6) de agosto - fundación de bogotá, d.c</t>
  </si>
  <si>
    <t>https://www.alcaldiabogota.gov.co/sisjur/normas/Norma1.jsp?i=94903</t>
  </si>
  <si>
    <t>DECRETO NIVEL NACION 179</t>
  </si>
  <si>
    <t>"por medio del cual se modfica el articulo 1 y 10 del decreto 169 de 2020 "por medio del cual se imparten órdenes para dar cumplimiento a la medida de aislamiento preventivo obligatorio y se adoptan medidas transitorias de policla para garantizar el orden páblico en las c4ferentes localidades del distrito capital"."</t>
  </si>
  <si>
    <t>articulo 1°,articulo 10,</t>
  </si>
  <si>
    <t>https://www.secretariajuridica.gov.co/sites/default/files/Noticias/Decreto%20179%20de%202020.pdf</t>
  </si>
  <si>
    <t>RESOLUCION DISTRITAL 1313</t>
  </si>
  <si>
    <t>por medio de la cual se adopta el protocolo de bioseguridad para el manejo y control del riesgo del coronavirus covid-19 en las actividades relacionadas con los centros de entrenamiento y acondicionamiento fisico</t>
  </si>
  <si>
    <t>Si vincula a  la entidad teniendo en cuenta que es una  Resolución del Ministerio de Salud y proteccion social, donde se adopta el protocolo general de bioseguridad para mitigar, controlar y realizar el adecuado manejo de la pandemia del coronavirus COVID-19 , en actividades relacionadas con los centros de entrenamiento y acondicionamiento fisico.</t>
  </si>
  <si>
    <t>https://cdn.forbes.co/2020/08/1313-Adopta-Protocolo-de-Bioseguridad-control-riesgo-Coronavirud-Centros-de-Entrenamiento-y-acondicionameinto-Fisico.pdf</t>
  </si>
  <si>
    <t>CIRCULAR DISTRITAL 23</t>
  </si>
  <si>
    <t>“colaborar para la mejora de la transparencia, eficiencia y predictibilidad del entorno regulatorio en colombia, mediante la identificación, implementación y fortalecimiento de buenas prácticas regulatorias”.</t>
  </si>
  <si>
    <t>solicitud de propuestas regulatorias para aplicar el análisis ex post en el marco del convenio para el fortalecimiento de la mejora regulatoria en el distrito capital.</t>
  </si>
  <si>
    <t>http://sisjur.bogotajuridica.gov.co/sisjur/normas/Norma1.jsp?i=95052</t>
  </si>
  <si>
    <t>ACUERDO CONSEJO SUPERIOR DE LA JUDICATURA 11614</t>
  </si>
  <si>
    <t>“por el cual se toma una medida temporal en las sedes judiciales”</t>
  </si>
  <si>
    <t>http://actosadministrativos.ramajudicial.gov.co/GetFile.ashx?url=%7e%2fApp_Data%2fUpload%2fPCSJA20-11614.pdf</t>
  </si>
  <si>
    <t>DECRETO NIVEL NACION 1109</t>
  </si>
  <si>
    <t>por el cual se crea. en el sistema general de seguridad social en salud - sgsss, el programa de pruebas, rastreo y aislamiento selectivo sostenible - prass para el seguimiento de casos y contactos del nuevo coronavirus - covid-19 y se dictan otras disposiciones</t>
  </si>
  <si>
    <t>Si vincula a  la entidad teniendo en cuenta que es una  Resolución del Ministerio de Salud y proteccion social, Por el cual se crea. en el Sistema General de Seguridad Social en Salud - SGSSS, el Programa de Pruebas, Rastreo y Aislamiento Selectivo Sostenible - PRASS para el seguimiento de casos y contactos del nuevo Coronavirus - COVID-19 y se dictan otras disposiciones</t>
  </si>
  <si>
    <t>https://dapre.presidencia.gov.co/normativa/normativa/DECRETO%201109%20DEL%2010%20DE%20AGOSTO%20DE%202020.pdf</t>
  </si>
  <si>
    <t>CIRCULAR CONSEJO SUPERIOR DE LA JUDICATURA 2056</t>
  </si>
  <si>
    <t>“suspensión implementaciones de sistema informático justicia xxi web.”</t>
  </si>
  <si>
    <t>https://www.ramajudicial.gov.co/documents/2314946/32666137/DEAJC20-56+Despacho-Suspensio%CC%81n+implementaciones+de+Sistema+Informa%CC%81tico+Justicia+XXI+Web.+%283%29.pdf/5051aba6-9b7a-45f3-bbea-1966ec3072b3</t>
  </si>
  <si>
    <t>DECRETO DISTRITAL 186</t>
  </si>
  <si>
    <t>“por medio del cual se adoptan medidas transitorias de policía para garantizar el orden público en diferentes localidades del distrito capital y se toman otras determinaciones”.</t>
  </si>
  <si>
    <t>ARTICULO 4º QUEDO SIN EFECTOS CON EL DECRETO 191 DE 2020</t>
  </si>
  <si>
    <t>https://secretariageneral.gov.co/sites/default/files/archivos-adjuntos/decreto_186_de_2020_pdf.pdf</t>
  </si>
  <si>
    <t>CIRCULAR DISTRITAL 25</t>
  </si>
  <si>
    <t>reporte mensual de las observaciones ciudadanas realizadas a los actos regulatorios expedidos por las entidades del distrito capital.</t>
  </si>
  <si>
    <t>http://sisjur.bogotajuridica.gov.co/sisjur/normas/Norma1.jsp?i=96063</t>
  </si>
  <si>
    <t>20-11622</t>
  </si>
  <si>
    <t>ACUERDO CONSEJO SUPERIOR DE LA JUDICATURA 20-11622</t>
  </si>
  <si>
    <t>"por la cual se prorroga una medida temporal en las sedes judiciales"</t>
  </si>
  <si>
    <t>https://drive.google.com/drive/u/0/folders/1NdHZmcGvU6Gpunn9NzpZCJYOwjAI7fGS</t>
  </si>
  <si>
    <t>20-61</t>
  </si>
  <si>
    <t>C I R C U L A R CONSEJO SUPERIOR DE LA JUDICATURA 20-61</t>
  </si>
  <si>
    <t>procedimiento para el ingreso de usuarios a los despachos judiciales, oficinas, centros de servicios y secretarías - alcance circular desajboc20-31.</t>
  </si>
  <si>
    <t>RESOLUCION NIVEL NACIÓN 1421</t>
  </si>
  <si>
    <t>"por medio de la cual se adopta el protocolo de biosegridad para el manejo y control del riesgo del coronavirus covid-19 en las actividades de los parques de diversion, jardines botanicos y reservas naturales.</t>
  </si>
  <si>
    <t>Si vincula a  la entidad teniendo en cuenta que es una  Resolución del Ministerio de Salud "Por medio de la cual se adopta el protocolo de biosegridad para el manejo y control del riesgo del coronavirus COVID-19 en las actividades de los parques de diversion, jardines botanicos y reservas naturales.</t>
  </si>
  <si>
    <t>https://www.rcnradio.com/economia/protocolos-para-los-parques-de-diversiones-jardines-botanicos-y-reservas-naturales</t>
  </si>
  <si>
    <t>CIR2020-106-DMI-1000</t>
  </si>
  <si>
    <t>CIRCULAR CONJUNTA CIR2020-106-DMI-1000</t>
  </si>
  <si>
    <t>inicio de las fases 4 y 5 del protocolo de bioseguridad contenido en la resolucion 993 del 17 de junio de 2020 "por medio de la cual se adopta el protocolo de bioseguridad para el manejo y control del riesgo del coronavirus covid-19 en las actividades relacionadas con el entrenamiento y competencias de los deportistas de futbol de alto rendimiento".</t>
  </si>
  <si>
    <t>Si vincula a  la entidad teniendo en cuenta que es una  circular del Ministerio del interior y del Ministerio de Salud y proteccion social, donde se adopta el protocolo general de bioseguridad para el manejo y control del riesgo  del coronavirus COVID-19 , en actividades relacionadas  con el entrenamiento y competencias de los deportistas de futbol de alto rendimiento".</t>
  </si>
  <si>
    <t>https://www.diariodeportes.com.co/pdfdiariodeportes/futbolcolombiafases4y5protocoloaprobados21082020.pdf</t>
  </si>
  <si>
    <t>RESOLUCION DISTRITAL 1421</t>
  </si>
  <si>
    <t>por medio de la cual se adopta el protocolo de bioseguridad para el manejo y control del riesgo del coronavirus covid-19 en las actividades de los parques de diversión, jardines botánicos y reservas naturales</t>
  </si>
  <si>
    <t>NO VINCULA A LA ENTIDAD</t>
  </si>
  <si>
    <t>http://sisjur.bogotajuridica.gov.co/sisjur/normas/Norma1.jsp?i=96069</t>
  </si>
  <si>
    <t>DECRETO DISTRITAL 191</t>
  </si>
  <si>
    <t>por medio del cual se deja sin efectos parcialmente el decreto distrital 186 de 2020 "por medio del cual se adoptan medidas transitorias de policía para garantizar el orden público en diferentes localidades del distrito capital y se toman otras determinaciones"</t>
  </si>
  <si>
    <t>Art 1º</t>
  </si>
  <si>
    <t>http://sisjur.bogotajuridica.gov.co/sisjur/normas/Norma1.jsp?i=96062</t>
  </si>
  <si>
    <t>RESOLUCION DISTRITAL 413</t>
  </si>
  <si>
    <t>“por medio de la cual se modifica la resolución 200 de 6 de abril de 2020, por la cual se da cumplimiento a lo dispuesto en el artículo 20 del decreto distrital 093 de 2020 y se ordena las restricciones y limitaciones para el uso de la infraestructura recreativa y deportiva a cargo del instituto distrital de recreación y deporte - idrd y se dictan otras disposiciones”</t>
  </si>
  <si>
    <t>https://drive.google.com/drive/folders/1NdHZmcGvU6Gpunn9NzpZCJYOwjAI7fGS</t>
  </si>
  <si>
    <t>DECRETO NIVEL NACION 1168</t>
  </si>
  <si>
    <t>por el cual se imparten instrucciones en virtud de la emergencia sanitaria generada por la pandemia del coronavirus covio - 19, yel mantenimiento del orden público y se decreta el aislamiento selectivo con distanciamiento individual responsable</t>
  </si>
  <si>
    <t>Articulos 5,6 y 8</t>
  </si>
  <si>
    <t>https://dapre.presidencia.gov.co/normativa/normativa/DECRETO%201168%20DEL%2025%20DE%20AGOSTO%20DE%202020.pdf</t>
  </si>
  <si>
    <t>“por medio del cual se deja sin efectos parcialmente el decreto distrital 186 de 2020 "por medio del cual se adoptan medidas transitorias de policía para garantizar el orden público en diferentes localidades del distrito capital y se toman otras determinaciones"</t>
  </si>
  <si>
    <t>NO AFECTA A LA ENTIDAD SOLO LAS LOCALIDADES DE QUE TRATA EL DECRETO</t>
  </si>
  <si>
    <t>LEY DE LA REPUBLICA 2052</t>
  </si>
  <si>
    <t>"por medio de la cual se establecen disposiciones , transversales a la rama ejecutiva del nivel nacional y territorial y a los particulares que cumplan funciones públicas y10 administrativas, en.relación con la racionalización de trámites y se dictan otras disposicion es</t>
  </si>
  <si>
    <t>Ley de Racionalización de Trámites</t>
  </si>
  <si>
    <t>https://dapre.presidencia.gov.co/normativa/normativa/LEY%202052%20DEL%2025%20DE%20AGOSTO%20DE%202020.pdf</t>
  </si>
  <si>
    <t>RESOLUCION NIVEL NACIÓN 1462</t>
  </si>
  <si>
    <t>"por la cual se prorroga la emergencia sanitaria por el nuevo coronavirus que causa la covid-19, se modifican las resoluciones 385 y 844 de 2020 y se dictan otras disposiciones".</t>
  </si>
  <si>
    <t>ARTICULO 2 Numeral 2.1 y 2.2, Ademas del paragrafo 1.</t>
  </si>
  <si>
    <t>https://caracol.com.co/descargables/2020/08/26/a1357e5d452735282432cbec863ce2d8.pdf</t>
  </si>
  <si>
    <t>DECRETO DISTRITAL 1168</t>
  </si>
  <si>
    <t>por el cual se imparten instrucciones en virtud de la emergencia sanitaria generada por la pandemia del coronavirus covid -19, y el mantenimiento del orden público y se decreta el aislamiento selectivo con distanciamiento individual responsable</t>
  </si>
  <si>
    <t>ARTICULOS 2,5 Y 8</t>
  </si>
  <si>
    <t>https://www.alcaldiabogota.gov.co/sisjur/normas/Norma1.jsp?i=96106</t>
  </si>
  <si>
    <t>DECRETO DISTRITAL 193</t>
  </si>
  <si>
    <t>“por medio del cual se adoptan medidas transitorias de policía para garantizar el orden público en el distrito capital y mitigar el impacto social y económico causado por la pandemia de coronavirus sars-cov-2 (covid-19) en el periodo transitorio de nueva realidad”.</t>
  </si>
  <si>
    <t>ARTICULO 3º LITERAL G Y PARAGRAFO, ARTICULO 4º Y 7º</t>
  </si>
  <si>
    <t>https://secretariageneral.gov.co/sites/default/files/archivos-adjuntos/decreto_nueva_realidad_bogota_26_08_2020_final_pdf.pdf</t>
  </si>
  <si>
    <t>DIRECTIVA PRESIDENCIAL 7</t>
  </si>
  <si>
    <t>retorno gradual y progresivo de los servidores públicos y contratistas a las actividades laborales y de prestación de servicios de manera presencial</t>
  </si>
  <si>
    <t>APLICA SOLO A ORGANISMOS Y ENTIDADES DE LA RAMA EJECUTIVA DEL
ORDEN NACIONAL</t>
  </si>
  <si>
    <t>https://dapre.presidencia.gov.co/normativa/normativa/DIRECTIVA%20PRESIDENCIAL%20No%2007%20DEL%2027%20DE%20AGOSTO%20DE%202020.pdf</t>
  </si>
  <si>
    <t>DIRECTIVA CONJUNTA 004 SECRETARIA JURIDICA DISTRITAL 4</t>
  </si>
  <si>
    <t>aplicación artículo 183 de la ley 1801 de 2016 en los procesos de contratación</t>
  </si>
  <si>
    <t>http://sisjur.bogotajuridica.gov.co/sisjur/normas/Norma1.jsp?i=96250</t>
  </si>
  <si>
    <t>RESOLUCIÓN REGLAMENTARÍA 18</t>
  </si>
  <si>
    <t>por la cual se agrupan, clasifican y asignan los sujetos de vigilancia y control fiscal a las direcciones sectoriales de fiscalización de la contraloría de bogotá d.c. y se dictan otras disposiciones</t>
  </si>
  <si>
    <t>ARTICULO 2º</t>
  </si>
  <si>
    <t>http://sisjur.bogotajuridica.gov.co/sisjur/normas/Norma1.jsp?i=96311</t>
  </si>
  <si>
    <t>ACUERDO CONSEJO SUPERIOR DE LA JUDICATURA 11623</t>
  </si>
  <si>
    <t>“por el cual se establecen las reglas para la prestación del servicio de justicia”</t>
  </si>
  <si>
    <t>http://actosadministrativos.ramajudicial.gov.co/GetFile.ashx?url=%7e%2fApp_Data%2fUpload%2fPCSJA20-11623.pdf</t>
  </si>
  <si>
    <t>RESOLUCION NIVEL NACION 1507</t>
  </si>
  <si>
    <t>por medio de la cual se adopta el protocolo de bioseguridad para el manejo y control del riesgo del coronavirus covid-19 en las actividades relacionadas con el futbol profesional en las fases de entrenamiento y competencias nacionales e internacionales y se deroga la resolución 993 del 2020</t>
  </si>
  <si>
    <t>Si vincula a  la entidad teniendo en cuenta que es una  Resolución del Ministerio de Salud y proteccion social, Por medio de la cual se adopta el protocolo de bioseguridad para el manejo y control del riesgo del coronavirus COVID-19 en las actividades relacionadas con el futbol profesional en las fases de entrenamiento y competencias nacionales e internacionales y se deroga la Resolución 993 del 2020</t>
  </si>
  <si>
    <t>https://www.minsalud.gov.co/Normatividad_Nuevo/Resoluci%C3%B3n%20No.%201507%20de%202020.pdf</t>
  </si>
  <si>
    <t>CIRCULAR VEEDURIA DISTRITAL 8</t>
  </si>
  <si>
    <t>expedición y aprobación del manual de política de prevención del daño antijurídico</t>
  </si>
  <si>
    <t>http://sisjur.bogotajuridica.gov.co/sisjur/normas/Norma1.jsp?i=97085http://sisjur.bogotajuridica.gov.co/sisjur/normas/Norma1.jsp?i=97085</t>
  </si>
  <si>
    <t>RESOLUCION NIVEL NACION 1513</t>
  </si>
  <si>
    <t>por medio de la cual se adopta el protocolo de bioseguridad para el manejo y control del riesgo del coronavirus covid-19, en el espacio público por parte de las personas, familias y comunidades.</t>
  </si>
  <si>
    <t>https://www.minsalud.gov.co/Normatividad_Nuevo/Resoluci%C3%B3n%20No.%201513%20de%202020.pdf</t>
  </si>
  <si>
    <t>RESOLUCION  SECRETARIA DE SALUD 1698</t>
  </si>
  <si>
    <t>por la cual se declara la alerta naranja en el sistema hospitalario de bogotá y se adoptan otras medidas</t>
  </si>
  <si>
    <t>ARTICULO 6º</t>
  </si>
  <si>
    <t>DECRETO  NACIONAL 1258</t>
  </si>
  <si>
    <t>"por el cual se crea una instancia de coordinacion y asesoria para el acceso a vacunasseguras y eficaces contra el coronavirus sars-cov-2 (covid-19)"</t>
  </si>
  <si>
    <t>Si vincula a  la entidad teniendo en cuenta que es una  Resolución del Ministerio de Salud y proteccion social, "Por el cual se crea una instancia de Coordinacion y Asesoria para el Acceso a vacunasSeguras y Eficaces contra el Coronavirus Sars-Cov-2 (Covid-19)"</t>
  </si>
  <si>
    <t>DECRETO DISTRITAL 207</t>
  </si>
  <si>
    <t>por medio del cual se imparten las instrucciones necesarias para preservar el orden páblico, dar continuidad a la reactivación económica y social de bogota d.c., y mitigar el impacto causadopor lapandemia de coronavirus sars-cov-2 (co vid-] 9) en el periodo transitorio de nueva realidad</t>
  </si>
  <si>
    <t>https://secretariageneral.gov.co/sites/default/files/archivos-adjuntos/decreto_207_de_2020.pdf</t>
  </si>
  <si>
    <t>DECRETO DISTRITAL 208</t>
  </si>
  <si>
    <t>"por medio del cual se establece una medida transitoria de restricción de circulación vehicular en la ciudad de bogota y se dictan otras disposiciones."</t>
  </si>
  <si>
    <t>ARTICULO 1º Y 2do</t>
  </si>
  <si>
    <t>DECRETO  NACIONAL 1268</t>
  </si>
  <si>
    <t>"por el cual se reglamenta el decreto legislativo 491 del 28 de marzo de 2020, en lo relacionado con la seguridad de los documentos firmados durante el trabajo en casa, en el marco de la emergencia sanitaria".</t>
  </si>
  <si>
    <t>CIRCULAR DE LA UNGRD 70</t>
  </si>
  <si>
    <t>aclaración fecha simulacro nacional de respuesta a emergencias</t>
  </si>
  <si>
    <t>20-11632</t>
  </si>
  <si>
    <t>ACUERDO PCSJA20-11632 20-11632</t>
  </si>
  <si>
    <t>“por el cual se adoptan unas medidas para la prestación del servicio de justicia de administración de justicia para los despachos judiciales y dependencias administrativas en todo el territorio nacional, a partir del 1º de octubre de 2020”</t>
  </si>
  <si>
    <t>http://actosadministrativos.ramajudicial.gov.co/GetFile.ashx?url=%7e%2fApp_Data%2fUpload%2fPCSJA20-11632.pdf</t>
  </si>
  <si>
    <t>Resolución 167 de 2020 167</t>
  </si>
  <si>
    <t>por la cual se adoptan los protocolos de bioseguridad para mitigar, controlar y
realizar el adecuado manejo de la pandemia del coronavirus covid-19 en el instituto
distrital de recreación y deporte</t>
  </si>
  <si>
    <t>https://www.idrd.gov.co/sites/default/files/marco-legal/167_-_resolucion_protocolos_bioseguridad_2.pdf</t>
  </si>
  <si>
    <t>RESOLUCION NIVEL NACIÓN 1513</t>
  </si>
  <si>
    <t>RESOLUCION SECRETARIA DE SALUD 1698</t>
  </si>
  <si>
    <t>http://www.saludcapital.gov.co/DDS/Documentos_I/Res_1698_2020_alerta_naranja_sist_hosp.pdf</t>
  </si>
  <si>
    <t>DECRETO NACIONAL 1258</t>
  </si>
  <si>
    <t>Si vincula a la entidad teniendo en cuenta que es una Resolución del Ministerio de Salud y proteccion social, "Por el cual se crea una instancia de Coordinacion y Asesoria para el Acceso a vacunasSeguras y Eficaces contra el Coronavirus Sars-Cov-2 (Covid-19)"</t>
  </si>
  <si>
    <t>https://www.funcionpublica.gov.co/eva/gestornormativo/norma.php?i=142058</t>
  </si>
  <si>
    <t>https://bogota.gov.co/sites/default/files/inline-files/decreto-208-de-2020-pico-y-placa-en-bogota.pdf</t>
  </si>
  <si>
    <t>DECRETO NACIONAL 1268</t>
  </si>
  <si>
    <t>https://safetya.co/normatividad/circular-070-de-2020/#:~:text=Notas%20a%20la%20Circular%20070%20de%202020&amp;text=Esta%20Circular%20modifica%20la%20Circular,la%20misma%20del%20simulacro%20nacional.</t>
  </si>
  <si>
    <t>https://actosadministrativos.ramajudicial.gov.co/GetFile.ashx?url=%7e%2fApp_Data%2fUpload%2fPCSJA20-11632.pdf</t>
  </si>
  <si>
    <t>por la cual se adoptan los protocolos de bioseguridad para mitigar, controlar y
 realizar el adecuado manejo de la pandemia del coronavirus covid-19 en el instituto
 distrital de recreación y deporte</t>
  </si>
  <si>
    <t>CIRCULAR</t>
  </si>
  <si>
    <t>Lineamientos mínimos a implementar para la preparación, respuesta y atención de casos de enfermedad por Covid-19 (Coronavirus)</t>
  </si>
  <si>
    <t>https://drive.google.com/file/d/1nZyiULvuMK01aY_e16N1aXNmhFZFBC6a/view</t>
  </si>
  <si>
    <t>RESOLUCIÓN NACIÓN</t>
  </si>
  <si>
    <t>Adopta medidas preventivas sanitarias en el país, con el objeto de prevenir y controlar la propagación de la epidemia de coronavirus COVID2019 y establece el aislamiento y cuarentena de las personas que, a partir de la entrada en vigencia del presente acto administrativo, arriben a Colombia de la República Popular China, de Italia, de Francia y de España.</t>
  </si>
  <si>
    <t>https://www.alcaldiabogota.gov.co/sisjur/consulta_tematica.jsp</t>
  </si>
  <si>
    <t>CIRCULAR CONJUNTA EXTERNA</t>
  </si>
  <si>
    <t>Acciones de contención ante el COVID-19 y la prevención de enfermedades asociadas al primer pico epidemiológico de enfermedades respiratorias</t>
  </si>
  <si>
    <t>https://drive.google.com/file/d/1bl9h6R0rYNqqHoKchDwqEi2MTCNH4JVs/view</t>
  </si>
  <si>
    <t>Recomendaciones para la contención de la Epidemía por el nuevo Coronavirus (COVID-19) en los sitios y eventos de alta afluencia de personas.</t>
  </si>
  <si>
    <t>https://drive.google.com/file/d/1R2Y6096Z38TqRURDS5HEul4ePF917WOW/view</t>
  </si>
  <si>
    <t>Directrices para la prevención, detección y atención ante un caso de Coronavirus</t>
  </si>
  <si>
    <t>https://drive.google.com/file/d/1MGMYyO0O5D4Km2ZEqykOCdpTHnDxsmdi/view</t>
  </si>
  <si>
    <t>Transporte terrestre durante el periodo de aislamiento preventivo obligatorio</t>
  </si>
  <si>
    <t>https://drive.google.com/file/d/1V8MPlYqITLo31lQqTHnfjqRv1MYLYKNz/view</t>
  </si>
  <si>
    <t>RESOLUCION</t>
  </si>
  <si>
    <t>adoptar medidas de prevención y control sanitario, la notificación de la impartición de teletrabajo, por emergencia sanitaria</t>
  </si>
  <si>
    <t>ARTICULO 2 , NUMERAL ", 2.6, ARTICULO 4,</t>
  </si>
  <si>
    <t>https://www.minsalud.gov.co/sites/rid/Lists/BibliotecaDigital/RIDE/DE/DIJ/resolucion-385-de-2020.pdf</t>
  </si>
  <si>
    <t>DIRECTIVA NACIÓN</t>
  </si>
  <si>
    <t>Medidas para atender la contigencia generada por el COVIC 19 a partir del uso de las tecnologías de la información y las telecomunicaciones.</t>
  </si>
  <si>
    <t>COMUNICADO 12 DE MARZO DE 2020</t>
  </si>
  <si>
    <t>Adopción de medidas para evitar propagación de Coronavirus durante los servicios religiosos y actos liturgicos</t>
  </si>
  <si>
    <t>https://coronaviruscolombia.gov.co/Covid19/docs/decretos/mininterior/Comunicado_12_de_marzo_de%20_2020.pdf</t>
  </si>
  <si>
    <t>DIRECTIVA PRESIDENCIAL 002 de 2020</t>
  </si>
  <si>
    <t>Medidas para atender la contingencia por COVID-19, a partir del uso de las tecnologías de la información y las telecomunicaciones</t>
  </si>
  <si>
    <t>https://drive.google.com/file/d/1FhDFhfCVIcqIKysSLoLqBDzw2qV0kFnz/view</t>
  </si>
  <si>
    <t>Circular 001 de 2020</t>
  </si>
  <si>
    <t>Suspensión de organización y relización de eventos deportivos en el territorio nacional</t>
  </si>
  <si>
    <t>https://drive.google.com/file/d/1_L0Izb6vNGuUEXV2yIzK-au75e-lcvLg/view</t>
  </si>
  <si>
    <t>Resolución 385 de 2020</t>
  </si>
  <si>
    <t>Se declará la emergencia Sanitaria por causa del coronavirus COVID-19 y se adoptan medidas para hacer frente al virus</t>
  </si>
  <si>
    <t>https://drive.google.com/file/d/1XxwK8BggOmZkBdzhH2t5ikENQpKQ_GVK/view</t>
  </si>
  <si>
    <t>DECRETO NIVEL NACIÓN</t>
  </si>
  <si>
    <t>Adopta medidas para la conservación del orden público, específicamente el cierre de pasos terrestre y fluviales autorizados de frontera con la República Bolivariana de Venezuela a partir del 14 de marzo hasta el 30 de mayo de 2020, en el marco de la emergencia sanitaria declarada a causa del coronavirus - COVID 19.</t>
  </si>
  <si>
    <t>https://dapre.presidencia.gov.co/normativa/normativa/DECRETO%20402%20DEL%2013%20DE%20MARZO%20DE%202020.pdf</t>
  </si>
  <si>
    <t>https://www.minsalud.gov.co/Normatividad_Nuevo/Resoluci%C3%B3n%20No.%20407%20de%202020.pdf</t>
  </si>
  <si>
    <t>CIRCULAR NACIÓN</t>
  </si>
  <si>
    <t>Recomendaciones para la prevención, contención y mitigación del Coronavirus - Covid-19 en Grupos Ètnicos: Pueblos Indígenas, las Comunidades NARP (Negras, Afrocolombianas, Raizales y Palenqueras) y el pueblo Rrom.</t>
  </si>
  <si>
    <t>https://safetya.co/normatividad/circular-externa-015-de-2020/</t>
  </si>
  <si>
    <t>Por el cual se adoptan medidas para la conservación del orden público</t>
  </si>
  <si>
    <t>Artículo 1.6.1.13.2.5. PARAGARFO 1 Y 2.</t>
  </si>
  <si>
    <t>Por el cual se modifica el Decreto 1073 de 2015, "por medio del cual se expide el Decreto Único Reglamentario del Sector Administrativo de Minas y Energía" en relación con la cesión de los derechos de los subsidios causados en materia del servicio público de energía eléctrica.</t>
  </si>
  <si>
    <t>https://dapre.presidencia.gov.co/normativa/normativa/DECRETO%20399%20DEL%2013%20DE%20MARZO%20DE%202020.pdf</t>
  </si>
  <si>
    <t>Por el cual se adiciona el Decreto 1074 de 2015, Decreto Único Reglamentario del Sector Comercio, Industria y Turismo, para reglamentar parcialmente el artículo 19 de la Ley 222 de 1995, en lo referente al desarrollo de las reuniones no presenciales de las juntas de socios, asambleas generales de accionistas o juntas directivas, y se dictan otras disposiciones</t>
  </si>
  <si>
    <t>https://dapre.presidencia.gov.co/normativa/normativa/DECRETO%20398%20DEL%2013%20DE%20MARZO%20DE%202020.pdf</t>
  </si>
  <si>
    <t>Por el cual se establece un beneficio en la presentación y pago de la contribución parafiscal para la promoción del turismo para mitigar los efectos económicos del Coronavirus COVID-19 en el territorio nacional</t>
  </si>
  <si>
    <t>https://dapre.presidencia.gov.co/normativa/normativa/DECRETO%20397%20DEL%2013%20DE%20MARZO%20DE%202020.pdf</t>
  </si>
  <si>
    <t>Decreto 402 de 2020</t>
  </si>
  <si>
    <t>Se adoptan medidas para la conservación del orden público</t>
  </si>
  <si>
    <t>https://drive.google.com/file/d/1Hi7CZFIlqIXb6SwN9wDFbx_tKGLGzGnG/view</t>
  </si>
  <si>
    <t>Recomendaciones para los espacios culturales a cargo del Ministerio de Cultura</t>
  </si>
  <si>
    <t>http://www.regiones.gov.co/Inicio/assets/files/32cultura.pdf</t>
  </si>
  <si>
    <t>Adopta medidas preventivas para el control sanitario de pasajeros provenientes del extranjero, por vía aérea, a causa del nuevo Coronavirus, COVID-2019, por lo tanto suspende el ingreso al territorio colombiano hasta el 30 de mayo de 2020. Así mismo, adopta las medidas sanitarias preventivas de aislamiento y cuarentena de 14 días, para las personas que ingresen al país, por esta vía, provenientes del extranjero. Las aerolíneas, en el marco de sus competencias, serán responsables de efectuar la validación de los documentos de identidad y las condiciones que presenten los pasajeros en su lugar de embarque, y que se refieran a las condiciones de las que trata la presente resolución. Igualmente, los pasajeros deberán reportar, de manera inmediata, a las autoridades sanitarias del lugar en donde se encuentren, si presentan síntomas compatibles con nuevo Coronavirus - COVID-19. Si los síntomas se presentan durante el trayecto, deberán informar de inmediato a la tripulación y atender de forma obligatoria el protocolo que, para el efecto adopte el Ministerio de Salud y Protección Social. El cumplimiento de las medidas preventivas sanitarias establecidas en el presente acto administrativo, será vigilado por las Secretarías de Salud Departamentales o Distritales o quien haga sus veces tanto del lugar del primer desembarque como del lugar de destino en el territorio colombiano. La Unidad Administrativa Especial de Migración Colombia reportará a estas entidades la información del pasajero. La violación e inobservancia de las medidas adoptas mediante el presente acto administrativo, dará lugar a la sanción penal prevista en el artículo 368 del Código Penal y a las multas previstas en el artículo 2.8.8.1.4.21 del DECRETO 780 de 2016.</t>
  </si>
  <si>
    <t>Decreto 412 de 2020</t>
  </si>
  <si>
    <t>Se dictan normas para la conservación del orden público, la salud pública</t>
  </si>
  <si>
    <t>https://drive.google.com/file/d/1IQgs9_-wNwiL4cV0yHNzHrBh2flit668/view</t>
  </si>
  <si>
    <t>Resolución 444 de 2020</t>
  </si>
  <si>
    <t>Se declara la urgencia manifiesta para celebrar la contratación de bienes y servicios necesarios para atender la emergencia sanitaria causada por el COVID-19</t>
  </si>
  <si>
    <t>https://drive.google.com/file/d/1z4en7VOxk4K5Pr2ZngmGkk2Yx8tkmqMe/view</t>
  </si>
  <si>
    <t>Circular 1 de 2020</t>
  </si>
  <si>
    <t>Medidas para la contención del COVID-19, para servidores públicos, contratistas y aprendices del SENA</t>
  </si>
  <si>
    <t>https://drive.google.com/file/d/1QxUI_fH9RldCAhBEYa3pDm8QMv2J-jNq/view</t>
  </si>
  <si>
    <t>Por el cual sedeclara Estado de Emergencia.</t>
  </si>
  <si>
    <t>https://dapre.presidencia.gov.co/normativa/normativa/DECRETO%20417%20DEL%2017%20DE%20MARZO%20DE%202020.pdf</t>
  </si>
  <si>
    <t>Adopta medidas administrativas de carácter transitorio a implementar en el Ministerio de Trabajo, como consecuencia de emergencia sanitaria declarada en atención a la aparición del coronavirus.</t>
  </si>
  <si>
    <t>https://www.alcaldiabogota.gov.co/sisjur/normas/Norma1.jsp?i=91455</t>
  </si>
  <si>
    <t>Establece medidas regulatorias transitorias en el sector de agua potable y saneamiento básico, como consecuencia de la emergencia sanitaria declarada por el gobierno nacional, a causa del COVID-19.</t>
  </si>
  <si>
    <t>https://www.alcaldiabogota.gov.co/sisjur/normas/Norma1.jsp?i=91455&amp;dt=S</t>
  </si>
  <si>
    <t>Por el cual se dictan medidas transitorias orden .</t>
  </si>
  <si>
    <t>https://dapre.presidencia.gov.co/normativa/normativa/DECRETO%20418%20DEL%2018%20DE%20MARZO%20DE%202020.pdf</t>
  </si>
  <si>
    <t>Por el cual se reglamenta. Art 21 Ley. Tributaria</t>
  </si>
  <si>
    <t>https://dapre.presidencia.gov.co/normativa/normativa/DECRETO%20419%20DEL%2018%20DE%20MARZO%20DE%202020.pdf</t>
  </si>
  <si>
    <t>Por el cual se imparte Instrucción …orden público</t>
  </si>
  <si>
    <t>https://dapre.presidencia.gov.co/normativa/normativa/DECRETO%20420%20DEL%2018%20DE%20MARZO%20DE%202020.pdf</t>
  </si>
  <si>
    <t>Por el cual se hace una designación</t>
  </si>
  <si>
    <t>https://dapre.presidencia.gov.co/normativa/normativa/DECRETO%20421%20DEL%2018%20DE%20MARZO%20DE%202020.pdf</t>
  </si>
  <si>
    <t>Adopta como medida sanitaria preventiva y de control en todo el territorio nacional, la clausura de los establecimientos y locales comerciales de esparcimiento y diversión; de baile; ocio y entretenimiento y de juegos de azar y apuestas tales como casinos, bingos y terminales de juegos de video.</t>
  </si>
  <si>
    <t>https://www.minsalud.gov.co/sites/rid/Lists/BibliotecaDigital/RIDE/DE/DIJ/resolucion-453-de-2020.pdf</t>
  </si>
  <si>
    <t>Resolución 453 de 2020</t>
  </si>
  <si>
    <t>Se adoptan medidas sanitarias de control en algunos establecimientos por causa del COVID-19</t>
  </si>
  <si>
    <t>https://drive.google.com/file/d/1RJ64JKUpFBnUc7uGvovI0IkaqBm3_L3-/view</t>
  </si>
  <si>
    <t>Resolución 464 de 2020</t>
  </si>
  <si>
    <t>Se adopta la medida sanitaria obligatoria de aislamiento preventivo, para proteger a los adultos mayores de 70 años</t>
  </si>
  <si>
    <t>https://drive.google.com/file/d/14v6pEwah1d-DoS5Fqcq6xZtGWny_pd88/view</t>
  </si>
  <si>
    <t>Por el cual se adoptan medidas tributarias transitorias dentro del Estado de Emergencia Económica, Social y Ecológica de conformidad con el DECRETO 417 de 2020</t>
  </si>
  <si>
    <t>https://dapre.presidencia.gov.co/normativa/normativa/DECRETO%20438%20DEL%2019%20DE%20MARZO%20DE%202020.pdf</t>
  </si>
  <si>
    <t>Por el cual se reglamenta parcialmente el artículo 103 de la Ley 2008 de 2019, para el reconocimiento y pago como deuda pública de los saldos por menores tarifas del sector eléctrico y de gas de que trata el artículo 297 de la Ley 1955 de 2019</t>
  </si>
  <si>
    <t>https://dapre.presidencia.gov.co/normativa/normativa/DECRETO%20437%20DEL%2019%20DE%20MARZO%20DE%202020.pdf</t>
  </si>
  <si>
    <t>Por el cual se adoptan medidas aduaneras transitorias en relación con los usuarios aduaneros permanentes y usuarios altamente exportadores y se dictan otras disposiciones</t>
  </si>
  <si>
    <t>https://dapre.presidencia.gov.co/normativa/normativa/DECRETO%20436%20DEL%2019%20DE%20MARZO%20DE%202020.pdf</t>
  </si>
  <si>
    <t>Por el cual se modifican y adicionan artículos de la Sección 2 del Capítulo 13 Título 1 Parte 6 Libro 1 del DECRETO 1625 de 2016, Único Reglamentario en Materia Tributaria</t>
  </si>
  <si>
    <t>Por el cual se establecen plazos especiales para la renovación de la matrícula mercantil, el RUNEOL ylos demás registros que integran el Registro Único Empresarial y Social RUES, así como para las reuniones ordinarias de las asambleas y demás cuerpos colegiados, para mitigar los efectos económicos del nuevo coronavirus COVID-19 en el territorio nacional</t>
  </si>
  <si>
    <t>https://dapre.presidencia.gov.co/normativa/normativa/DECRETO%20434%20DEL%2019%20DE%20MARZO%20DE%202020.pdf</t>
  </si>
  <si>
    <t>Por el cual se designa alcalde ad hoc municipio de El Paujil departamento de Caquetá</t>
  </si>
  <si>
    <t>https://dapre.presidencia.gov.co/normativa/normativa/DECRETO%20429%20DEL%2019%20DE%20MARZO%20DE%202020.pdf</t>
  </si>
  <si>
    <t>Por el cual  se hace un nombramiento en la planta de personal del Ministerio de Relaciones Exteriores</t>
  </si>
  <si>
    <t>https://dapre.presidencia.gov.co/normativa/normativa/DECRETO%20432%20DEL%2019%20DE%20MARZO%20DE%202020.pdf</t>
  </si>
  <si>
    <t>Por la cual se acepta una renuncia y se hace un encargo</t>
  </si>
  <si>
    <t>https://dapre.presidencia.gov.co/normativa/normativa/DECRETO%20430%20DEL%2019%20DE%20MARZO%20DE%202020.pdf</t>
  </si>
  <si>
    <t>Por el cual se designa en interinidad a un Notario en el Circulo Notarial del Meta</t>
  </si>
  <si>
    <t>https://dapre.presidencia.gov.co/normativa/normativa/DECRETO%20431%20DEL%2019%20DE%20MARZO%20DE%202020.pdf</t>
  </si>
  <si>
    <t>Por el cual se da por terminado un encargo y se hace un nombramiento</t>
  </si>
  <si>
    <t>https://dapre.presidencia.gov.co/normativa/normativa/DECRETO%20433%20DEL%2019%20DE%20MARZO%20DE%202020.pdf</t>
  </si>
  <si>
    <t>Por el cual se incrementa la bonificación judicial</t>
  </si>
  <si>
    <t>https://dapre.presidencia.gov.co/normativa/normativa/DECRETO%20442%20DEL%2020%20DE%20MARZO%20DE%202020.pdf</t>
  </si>
  <si>
    <t>Por el cual se dictan disposiciones en materia de servicios públicos de acueducto, alcantarillado y aseo para hacer frente al Estado de Emergencia Económica, Social y Ecológica declarado por el DECRETO 417 de 2020</t>
  </si>
  <si>
    <t>https://dapre.presidencia.gov.co/normativa/normativa/DECRETO%20441%20DEL%2020%20DE%20MARZO%20DE%202020.pdf</t>
  </si>
  <si>
    <t>Por el cual se adoptan medidas de urgencia en materia de contratación estatal, con ocasión del Estado de Emergencia Económica, Social y Ecológica derivada de la Pandemia COV/D-19</t>
  </si>
  <si>
    <t>Por el cual se suspende el desembarque con fines de ingreso o conexión en territorio colombiano, de pasajeros procedentes del exterior, por vía aérea</t>
  </si>
  <si>
    <t>file:///C:/Users/Jahdai%20Vela/Downloads/DECRETO%20439%20-%2020%20DE%20MARZO%20DE%202020%20-%20MINTRANSPORTE.pdf</t>
  </si>
  <si>
    <t>Por el cual se crea el Fondo de Mitigación de Emergencias -FOME y se dictan disposiciones en materia de recursos, dentro del Estado de Emergencia Económica, Social y Ecológica</t>
  </si>
  <si>
    <t>https://dapre.presidencia.gov.co/normativa/normativa/DECRETO%20444%20DEL%2021%20DE%20MARZO%20DE%202020.pdf</t>
  </si>
  <si>
    <t>Por el cual se adiciona el Capítulo 3 al Título 12 de la Parle 2 del Libro 2 del DECRETO 1083 de 2015, Reglamentario Único del Sector de Función Pública, en lo relacionado con la paridad en los empleos de nivel directivo"</t>
  </si>
  <si>
    <t>https://dapre.presidencia.gov.co/normativa/normativa/DECRETO%20455%20DEL%2021%20DE%20MARZO%20DE%202020.pdf</t>
  </si>
  <si>
    <t>Por medio del cual se modifica el DECRETO 1083 de 2015, DECRETO Único Reglamentario del Sector Función Pública, con la incorporación de la política de gestión de la información estadística a las políticas de gestión y desempeño institucional</t>
  </si>
  <si>
    <t>https://dapre.presidencia.gov.co/normativa/normativa/DECRETO%20454%20DEL%2021%20DE%20MARZO%20DE%202020.pdf</t>
  </si>
  <si>
    <t>Por la cual se traslada a una funcionaria al cargo al que fue ascendida dentro del escalafón de la Carrera Diplomática y Consular</t>
  </si>
  <si>
    <t>https://dapre.presidencia.gov.co/normativa/normativa/DECRETO%20453%20DEL%2021%20DE%20MARZO%20DE%202020.pdf</t>
  </si>
  <si>
    <t>Por la cual se traslada a un funcionario al cargo al que fue ascendido dentro del escalafón de la Carrera Diplomática y Consular</t>
  </si>
  <si>
    <t>https://dapre.presidencia.gov.co/normativa/normativa/DECRETO%20452%20DEL%2021%20DE%20MARZO%20DE%202020.pdf</t>
  </si>
  <si>
    <t>Por el cual se designan los representantes del Gobierno nacional ante la Comisión de Seguimiento, Impulso y Verificación a la Implementación del Acuerdo Final</t>
  </si>
  <si>
    <t>https://dapre.presidencia.gov.co/normativa/normativa/DECRETO%20451%20DEL%2021%20DE%20MARZO%20DE%202020.pdf</t>
  </si>
  <si>
    <t>https://dapre.presidencia.gov.co/normativa/normativa/DECRETO%20450%20DEL%2021%20DE%20MARZO%20DE%202020.pdf</t>
  </si>
  <si>
    <t>Por el cual se adoptan medidas para los hogares en condición de pobreza en todo el territorio nacional, dentro del Estado de Emergencia Económica, Social y Ecológica</t>
  </si>
  <si>
    <t>https://dapre.presidencia.gov.co/normativa/normativa/DECRETO%20458%20DEL%2022%20DE%20MARZO%20DE%202020.pdf</t>
  </si>
  <si>
    <t>Por medio del cual se autoriza temporalmente a los gobernadores y alcaldes para la reorientación de rentas y la reducción de tarifas de impuestos territoriales, en el marco de la Emergencia Económica, Social y Ecológica declarada mediante el DECRETO 417 de 2020</t>
  </si>
  <si>
    <t>https://dapre.presidencia.gov.co/normativa/normativa/DECRETO%20461%20DEL%2022%20DE%20MARZO%20DE%202020.pdf</t>
  </si>
  <si>
    <t>Por el cual se dictan medidas para garantizar la prestación del servicio a cargo de las comisarías de familia, dentro del Estado de Emergencia Económica, Social y Ecológica</t>
  </si>
  <si>
    <t>https://dapre.presidencia.gov.co/normativa/normativa/DECRETO%20460%20DEL%2022%20DE%20MARZO%20DE%202020.pdf</t>
  </si>
  <si>
    <t>Por el cual se designa ministro de Relaciones Exteriores ad hoc</t>
  </si>
  <si>
    <t>https://dapre.presidencia.gov.co/normativa/normativa/DECRETO%20459%20DEL%2022%20DE%20MARZO%20DE%202020.pdf</t>
  </si>
  <si>
    <t>Faculta a los gobernadores y alcaldes para que reorienten las rentas de destinación especifica de sus entidades territoriales, realicen la adiciones, modificaciones, traslados y demás operaciones presupuestales con el fin de Ilevar a cabo las acciones necesarias para hacer frente a las causas que motivaron la declaratoria del Estado de Emergencia Económica, Social y Ecológica, según Io dispuesto en el Decreto 417 de 2020.</t>
  </si>
  <si>
    <t>El Decreto faculta a los Alcaldes y Gobernadores a disponer de recursos de recaudo territorial sin que se requiera autorización de las Asambleas y Concejos, incluyendo aquellos de destinación específica (lo que podría incluir los especiales como los destinados al deporte) faculta la disposición inclusive de algunos recaudos creados de manera directa por la Constitución Nacional.</t>
  </si>
  <si>
    <t>Por el cual se dicta una medida para garantizar la continuidad de las funciones de la jurisdicción constitucional, en el marco de la Estado de Emergencia Económica, Social y ecológica</t>
  </si>
  <si>
    <t>https://dapre.presidencia.gov.co/normativa/normativa/DECRETO%20469%20DEL%2023%20DE%20MARZO%20DE%202020.pdf</t>
  </si>
  <si>
    <t>Por el cual se modifica el artículo 2.2.11 .1.2 del Capítulo 1 del Título 11 de la Parte 2 del Libro 2 del DECRETO 1076 de 2015, y se adiciona un artículo al Capítulo 1 del Título 11 de la Parte 2 del Libro 2 del DECRETO 1076 de 2015, en lo relacionado con la acreditación de organismos de verificación de reducciones de emisiones y remociones de gases de efecto invernader</t>
  </si>
  <si>
    <t>https://dapre.presidencia.gov.co/normativa/normativa/DECRETO%20446%20DEL%2021%20DE%20MARZO%20DE%202020.pdf</t>
  </si>
  <si>
    <t>Por el cual se autorizan nuevas operaciones a la Financiera de  Desarrollo Territorial S.A - Findeter y el Banco de Comercio Exterior de Colombia S.A. - Bancoldex, en el marco de la Emergencia Económica, Social y Ecológica declarada mediante el DECRETO 417 de 2020</t>
  </si>
  <si>
    <t>https://dapre.presidencia.gov.co/normativa/normativa/DECRETO%20468%20DEL%2023%20DE%20MARZO%20DE%202020.pdf</t>
  </si>
  <si>
    <t>Por el cual se dictan medidas de urgencia en materia de auxilio para beneficiarios del Instituto Colombiano de Crédito Educativo y Estudios Técnicos en el Exterior -ICETEX, dentro del Estado de Emergencia Económica, Social y Ecológica</t>
  </si>
  <si>
    <t>https://dapre.presidencia.gov.co/normativa/normativa/DECRETO%20467%20DEL%2023%20DE%20MARZO%20DE%202020.pdf</t>
  </si>
  <si>
    <t>Por el cual se adiciona el DECRETO 1076 de 2015, DECRETO Único Reglamentario del Sector Ambiente y Desarrollo Sostenible, en lo relacionado con la adopción de disposiciones transitorias en materia de concesiones de agua para la prestación del servicio público esencial de acueducto, y se toman otras determinaciones en el marco de la emergencia sanitaria declarada por el Gobierno nacional a causa de la Pandemia COVID-19</t>
  </si>
  <si>
    <t>https://dapre.presidencia.gov.co/normativa/normativa/DECRETO%20465%20DEL%2023%20DE%20MARZO%20DE%202020.pdf</t>
  </si>
  <si>
    <t>Por el cual se disponen medidas con el fin de atender la situación de emergencia económica, social y ecológica de la que trata el DECRETO 417 de 2020</t>
  </si>
  <si>
    <t>https://dapre.presidencia.gov.co/normativa/normativa/DECRETO%20464%20DEL%2023%20DE%20MARZO%20DE%202020.pdf</t>
  </si>
  <si>
    <t>Por el cual se modifica parcialmente el arancel de aduanas para la importación de medicamentos, dispositivos médicos, reactivos químicos, artículos de higiene y aseo, insumos, equipos y materiales requeridos para el sector agua y saneamiento básico.</t>
  </si>
  <si>
    <t>https://dapre.presidencia.gov.co/normativa/normativa/DECRETO%20463%20DEL%2022%20DE%20MARZO%20DE%202020.pdf</t>
  </si>
  <si>
    <t>Por el cual se prohíbe la exportación y la reexportación de productos necesarios para afrontar la emergencia sanitaria provocada por el coronavirus COVID-19, se dictan medidas sobre su distribución y venta en el mercado interno, y se adiciona el DECRETO 410 de 2020.</t>
  </si>
  <si>
    <t>https://dapre.presidencia.gov.co/normativa/normativa/DECRETO%20462%20DEL%2022%20DE%20MARZO%20DE%202020.pdf</t>
  </si>
  <si>
    <t>Por el cual se dictan medidas que brindan herramientas a las entidades territoriales para garantizar la ejecución del Programa de Alimentación Escolar y la prestación del servicio público de educación preescolar, básica y media, dentro del Estado de Emergencia Económica, Social y Ecológica</t>
  </si>
  <si>
    <t>https://www.mineducacion.gov.co/1759/articles-394502_pdf.pdf</t>
  </si>
  <si>
    <t>Adopta lineamientos en relación a la prestación de servicios de salud durante las etapas de contención y mitigación de la Pandemia por Covid 19, los cuales están dirigidos a los integrantes del Sistema General de Seguridad Social en Salud y los Regímenes Especial y de Excepción.</t>
  </si>
  <si>
    <t>Resolución 500 de 2020</t>
  </si>
  <si>
    <t>Transferencia de presupuesto máximo</t>
  </si>
  <si>
    <t>https://drive.google.com/file/d/1trYogZtVzs0jwXrI3i0ZQK85E8RMxg73/view</t>
  </si>
  <si>
    <t>Por el cual se hace un nombramiento en encargo en el Círculo Notarial de Bogotá D.C.</t>
  </si>
  <si>
    <t>https://dapre.presidencia.gov.co/normativa/normativa/DECRETO%20479%20DEL%2025%20DE%20MARZO%20DE%202020.pdf</t>
  </si>
  <si>
    <t>Por el cual se reglamenta el numeral 5° del artículo 424 del Estatuto Tributario y se modifica el DECRETO 1625 de 2016, Único Reglamentario en Materia Tributaria, para adicionar los artículos 1.3.1.12.21., 1.3.1.12.22. Y 1.3.1.12.23. al capítulo 12 del título 1 parte 3 del libro 1</t>
  </si>
  <si>
    <t>https://dapre.presidencia.gov.co/normativa/normativa/DECRETO%20478%20DEL%2025%20DE%20MARZO%20DE%202020.pdf</t>
  </si>
  <si>
    <t>Por el cual se designa Secretario Jurídico Ad-hoc de la Presidencia de la República</t>
  </si>
  <si>
    <t>https://dapre.presidencia.gov.co/normativa/normativa/DECRETO%20477%20DEL%2025%20DE%20MARZO%20DE%202020.pdf</t>
  </si>
  <si>
    <t>Por el cual se dictan medidas tendientes a garantizar la prevención, diagnóstico y tratamiento del Covid-19 y se dictan otras disposiciones, dentro del Estado de Emergencia Económica, Social y Ecológica</t>
  </si>
  <si>
    <t>https://dapre.presidencia.gov.co/normativa/normativa/DECRETO%20476%20DEL%2025%20DE%20MARZO%20DE%202020.pdf</t>
  </si>
  <si>
    <t>Por el cual se adiciona el DECRETO 1080 de 2015, DECRETO Único Reglamentario del Sector Cultura, reglamentando el artículo 1770 de la ley 1955 de 2019, Ley del Plan Nacional de Desarrollo 2018 - 2022, Pacto por Colombia, Pacto por la Equidad, y el artículo 90 de la ley 1556 de 2012, modificado por el artículo 1780 de la Ley 1955 de 2019</t>
  </si>
  <si>
    <t>https://dapre.presidencia.gov.co/normativa/normativa/DECRETO%20474%20DEL%2025%20DE%20MARZO%20DE%202020.pdf</t>
  </si>
  <si>
    <t>Por el cual se modifica el DECRETO 1068 de 2015, DECRETO Único Reglamentario del Sector Hacienda y Crédito Público, en lo relacionado con operaciones de crédito público cuya celebración no comprenda la financiación de gastos de inversión.</t>
  </si>
  <si>
    <t>https://dapre.presidencia.gov.co/normativa/normativa/DECRETO%20473%20DEL%2025%20DE%20MARZO%20DE%202020.pdf</t>
  </si>
  <si>
    <t>Por el cual se hace la inclusión de unas subpar1:idas arancelarias en la lista de bienes decapital definida en el artículo 10 del DECRETO 676 de 2019</t>
  </si>
  <si>
    <t>https://dapre.presidencia.gov.co/normativa/normativa/DECRETO%20472%20DEL%2025%20DE%20MARZO%20DE%202020.pdf</t>
  </si>
  <si>
    <t>Por el cual se deroga el Titulo 9 de la Parte 13 del Libro 2 del DECRETO 1071 de 2015, DECRETO Único Reglamentario del Sector Administrativo Agropecuario, Pesquero y de Desarrollo Rural, en lo relacionado con la política de precios de insumas agropecuarios</t>
  </si>
  <si>
    <t>https://dapre.presidencia.gov.co/normativa/normativa/DECRETO%20471%20DEL%2025%20DE%20MARZO%20DE%202020.pdf</t>
  </si>
  <si>
    <t>Circular 19 de 2020</t>
  </si>
  <si>
    <t>Detección temprana SARS CoV-2/ COVID-19</t>
  </si>
  <si>
    <t>https://drive.google.com/file/d/16xTuAN-9V7L279_kAXAehJ4i3UJ3_lJw/view</t>
  </si>
  <si>
    <t>Decreto 476 de 2020</t>
  </si>
  <si>
    <t>Medidas tendientes a garantizar la prevención, diagnóstico y tratamiento del Covid-19</t>
  </si>
  <si>
    <t>https://drive.google.com/file/d/1d_ZWHpFrd7fOAY1CAY5tdmRsVuEmmf4c/view</t>
  </si>
  <si>
    <t>Por el cual se designa ministro del Interior ad hoc</t>
  </si>
  <si>
    <t>https://dapre.presidencia.gov.co/normativa/normativa/DECRETO%20480%20DEL%2026%20DE%20MARZO%20DE%202020.pdf</t>
  </si>
  <si>
    <t>Por el cual se modifica el numeral 8 del artículo 3 del DECRETO 1333 de 2019</t>
  </si>
  <si>
    <t>https://dapre.presidencia.gov.co/normativa/normativa/DECRETO%20481%20DEL%2026%20DE%20MARZO%20DE%202020.pdf</t>
  </si>
  <si>
    <t>Por el cual se dictan medidas sobre la prestación del servicio público de transporte y su infraestructura, dentro del Estado de Emergencia, Económica, Social y Ecológica</t>
  </si>
  <si>
    <t>https://dapre.presidencia.gov.co/normativa/normativa/DECRETO%20482%20DEL%2026%20DE%20MARZO%20DE%202020.pdf</t>
  </si>
  <si>
    <t>Por el cual se corrige un yerro en el DECRETO 480 del 26 de marzo de 2020</t>
  </si>
  <si>
    <t>https://dapre.presidencia.gov.co/normativa/normativa/DECRETO%20483%20DEL%2026%20DE%20MARZO%20DE%202020.pdf</t>
  </si>
  <si>
    <t>Decreto 482 de 2020</t>
  </si>
  <si>
    <t>Se dictan medidas sobre la prestación del servicio público de transporte y su infraestructura, dentro del Estado de Emergencia, Económica, Social y Ecológica</t>
  </si>
  <si>
    <t>https://drive.google.com/file/d/1N5FLbmAyEQsoCTdOHEkp_cFlqHiWsGk9/view</t>
  </si>
  <si>
    <t>Resolución 0000624 de 2020</t>
  </si>
  <si>
    <t>Se adopta reglamento interno del centro de logística y transporte</t>
  </si>
  <si>
    <t>Por medio del cual se realiza un nombramiento ordinario</t>
  </si>
  <si>
    <t>https://dapre.presidencia.gov.co/normativa/normativa/DECRETO%20484%20DEL%2027%20DE%20MARZO%20DE%202020.pdf</t>
  </si>
  <si>
    <t>Por el cual se designa un ministro de Relaciones Exteriores ad hoc</t>
  </si>
  <si>
    <t>https://dapre.presidencia.gov.co/normativa/normativa/DECRETO%20485%20DEL%2027%20DE%20MARZO%20DE%202020.pdf</t>
  </si>
  <si>
    <t>Por el cual se crea un incentivo económico para los trabajadores y productores del campo y se adoptan otras medidas para garantizar el permanente funcionamiento del sistema de abastecimiento de productos agropecuarios y seguridad alimentaria en todo el territorio nacional, dentro del Estado de Emergencia Económiqa, Social y Ecológica</t>
  </si>
  <si>
    <t>https://dapre.presidencia.gov.co/normativa/normativa/DECRETO%20486%20DEL%2027%20DE%20MARZO%20DE%202020.pdf</t>
  </si>
  <si>
    <t>Por el cual se dictan medidas especiales relacionadas con el sector Justicia y del Derecho en materia de extradición, con ocasión del "Estado de Emergencia Económica, Social y Ecológica" declarada en todo el territorio nacional, derivada de la Pandemia COVID-19</t>
  </si>
  <si>
    <t>https://dapre.presidencia.gov.co/normativa/normativa/DECRETO%20487%20DEL%2027%20DE%20MARZO%20DE%202020.pdf</t>
  </si>
  <si>
    <t>Por el cual se dictan medidas de orden laboral, dentro del Estado de Emergencia Económica, Social y Ecológica</t>
  </si>
  <si>
    <t>https://dapre.presidencia.gov.co/normativa/normativa/DECRETO%20488%20DEL%2027%20DE%20MARZO%20DE%202020.pdf</t>
  </si>
  <si>
    <t>Decreto 488 de 2020</t>
  </si>
  <si>
    <t>Se dictan medidas de orden laboral, dentro del Estado de Emergencia Económica, Social y Ecológica</t>
  </si>
  <si>
    <t>https://drive.google.com/file/d/1hCVkPi2gGozCbxM9eZm2X_4E_bOc_b9I/view</t>
  </si>
  <si>
    <t>Circular 026 de 2020</t>
  </si>
  <si>
    <t>Capacitación, prevención y elementos de protección al personal de servicios de domicilio por COVID-19</t>
  </si>
  <si>
    <t>https://drive.google.com/file/d/1af6AncFvXH2-RSAy3YCcHdOyylHKPlJB/view</t>
  </si>
  <si>
    <t>Por el cual se establecen medidas para el fortalecimiento del Fondo Nacional de Garantías y se dictan disposiciones en materia de recursos, en el marco de la Emergencia Económica, Social y Ecológica declarada mediante el Decreto 417 de 2020.</t>
  </si>
  <si>
    <t>https://dapre.presidencia.gov.co/normativa/normativa/Decreto-492-28-marzo-2020.pdf</t>
  </si>
  <si>
    <t>https://www.alcaldiabogota.gov.co/sisjur/normas/Norma1.jsp?i=91670</t>
  </si>
  <si>
    <t>Establece requisitos para la importación y fabricación en el territorio nacional de reactivos de diagnóstico in vitro, dispositivos médicos, equipos biomédicos y medicamentos, declarados vitales no disponibles, requeridos para la prevención, diagnóstico y tratamiento, seguimiento del Covid-19.</t>
  </si>
  <si>
    <t>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t>
  </si>
  <si>
    <t>https://drive.google.com/file/d/1UPhIH8xpd-_GRtLkE9WXk8GgOpzMmu9U/view</t>
  </si>
  <si>
    <t>Decreto 522 de 2020</t>
  </si>
  <si>
    <t>Se establecen requisitos para la importación y fabricación en el territorio nacional de reactivos de diagnostico in vitro, dispositivos médicos, equipos biomédicos y medicamentos declarados vitales no disponibles</t>
  </si>
  <si>
    <t>Por el cual se adiciona el Presupuesto General de la Nación para la vigencia fiscal de 2020 y se efectúa la correspondiente liquidación</t>
  </si>
  <si>
    <t>https://dapre.presidencia.gov.co/normativa/normativa/DECRETO%20495%20DEL%2029%20DE%20MARZO%20DE%202020.pdf</t>
  </si>
  <si>
    <t>https://dapre.presidencia.gov.co/normativa/normativa/DECRETO%20494%20DEL%2029%20DE%20MARZO%20DE%202020.pdf</t>
  </si>
  <si>
    <t>Por el cual se adicionan los Decretos 1068 de 2015, Decreto Único Reglamentario del Sector Hacienda y Crédito Público, y 1077 de 2015, Decreto Único Reglamentario del Sector de Vivienda, Ciudad y Territorio, en lo relacionado con la adopción de disposiciones transitorias en materia de causales de terminación anticipada de la cobertura de tasa de interés otorgada a deudores de crédito de vivienda y locatarios en operaciones de leasing habitacional</t>
  </si>
  <si>
    <t>https://dapre.presidencia.gov.co/normativa/normativa/DECRETO%20493%20DEL%2029%20DE%20MARZO%20DE%202020.pdf</t>
  </si>
  <si>
    <t>Artículo 2.2.5.3.2 PARAGRAFOS 1,2,3,4 - Artículo 2.2.2.4.1 Y ART 2.2.14.1.1</t>
  </si>
  <si>
    <t>Por el cual se designa un representante principal del presidente de la República en la Junta Directiva de Metroplús S.A., y se aceptan unas renuncias"</t>
  </si>
  <si>
    <t>https://dapre.presidencia.gov.co/normativa/normativa/DECRETO%20497%20DEL%2030%20DE%20MARZO%20DE%202020.pdf</t>
  </si>
  <si>
    <t>Por el cual se modifica el parágrafo transitorio del artículo 2.5.1.4.7 del Decreto 1066 de 2015, Único Reglamentario del Sector Administrativo del Interior, sobre el período y elección de los delegados ante el Espacio Nacional de Consulta Previa de las medidas legislativas y administrativas de carácter general, susceptibles de afectar directamente a las comunidades negras, afrocolombianas, raizales y palenqueras.</t>
  </si>
  <si>
    <t>https://dapre.presidencia.gov.co/normativa/normativa/DECRETO%20496%20DEL%2030%20DE%20MARZO%20DE%202020.pdf</t>
  </si>
  <si>
    <t>Por el cual se adoptan medidas de orden laboral, relativas a la destinación de los recursos de las cotizaciones a las Administradoras de Riesgos Laborales de carácter público, en el marco del Estado de Emergencia Económica, Social y Ecológica</t>
  </si>
  <si>
    <t>https://dapre.presidencia.gov.co/normativa/normativa/DECRETO%20500%20DEL%2031%20DE%20MARZO%202020.pdf</t>
  </si>
  <si>
    <t>Por el cual se adoptan medidas en materia de contratación estatal para la adquisición en el mercado internacional de dispositivos médicos y elementos de protección personal, en el marco del Estado de Emergencia Económica, Social y Ecológica, atendiendo criterios de inmediatez como consecuencia de las turbulencias del mercado internacional de bienes para mitigar la pandemia Coronavirus Covid 19</t>
  </si>
  <si>
    <t>https://dapre.presidencia.gov.co/normativa/normativa/DECRETO%20499%20DEL%2031%20DE%20MARZO%202020.pdf</t>
  </si>
  <si>
    <t>Circular 003 de 2020</t>
  </si>
  <si>
    <t>Modificación parcial sobre la obligatoriedad del uso del SECOP ll en el  2020</t>
  </si>
  <si>
    <t>Decreto 499 de 2020</t>
  </si>
  <si>
    <t>Se adoptan medidas en materia de contratación estatal para la adquisición en el mercado internacional de dispositivos médicos y elementos de protección personal</t>
  </si>
  <si>
    <t>Decreto 500 de 2020</t>
  </si>
  <si>
    <t>Se adoptan medidas de orden laboral, relativas a la destinación de los recursos de las cotizaciones a las Administradoras de Riesgos Laborales de carácter público</t>
  </si>
  <si>
    <t>https://drive.google.com/file/d/1TVQOwjtWlInsazhGEPKQgU-C8JmzAOA0/view</t>
  </si>
  <si>
    <t>Por el cual se da por terminado un encargo y se efectúa un nombramiento</t>
  </si>
  <si>
    <t>https://dapre.presidencia.gov.co/normativa/normativa/DECRETO%20511%20DEL%201%20DE%20ABRIL%20DE%202020.pdf</t>
  </si>
  <si>
    <t>Por el cual se acepta una renuncia y se hace un nombramiento en el Ministerio de Salud y Protecci6n Social</t>
  </si>
  <si>
    <t>https://dapre.presidencia.gov.co/normativa/normativa/DECRETO%20510%20DEL%201%20DE%20ABRIL%20DE%202020.pdf</t>
  </si>
  <si>
    <t>Por el cual se acepta una renuncia</t>
  </si>
  <si>
    <t>https://dapre.presidencia.gov.co/normativa/normativa/DECRETO%20509%20DEL%201%20DE%20ABRIL%20DE%202020.pdf</t>
  </si>
  <si>
    <t>Por el cual se designa Secretaria Jurídica Ad-hoc de la Presidencia de la República"</t>
  </si>
  <si>
    <t>https://dapre.presidencia.gov.co/normativa/normativa/DECRETO%20508%20DEL%201%20DE%20ABRIL%20DE%202020.pdf</t>
  </si>
  <si>
    <t>Por el cual se adoptan medidas para favorecer el acceso de los hogares más vulnerables a los productos de la canasta básica, medicamentos y dispositivos médicos, en el marco de la Emergencia Económica, Social y Ecológica decretada mediante el Decreto 417 de 2020</t>
  </si>
  <si>
    <t>https://dapre.presidencia.gov.co/normativa/normativa/DECRETO%20507%20DEL%201%20DE%20ABRIL%20DE%202020.pdf</t>
  </si>
  <si>
    <t>Favorecer el acceso a los hogares más vulnerables a los productos de la canasta básica</t>
  </si>
  <si>
    <t>https://www.alcaldiabogota.gov.co/sisjur/normas/Norma1.jsp?i=91811</t>
  </si>
  <si>
    <t>Resolución 2020012645 de 2020</t>
  </si>
  <si>
    <t>Se autoriza procedimiento sobre producto sin registro sanitario, alcohol etílico antiséptico</t>
  </si>
  <si>
    <t>Circular externa 5131 de 2020</t>
  </si>
  <si>
    <t>Implementación de los Decretos 457 Y 482 de 2020 en relación al transporte</t>
  </si>
  <si>
    <t>Por el cual se establecen medidas relacionadas con el ciclo de los proyectos de inversión pública susceptibles de ser financiados con recursos del Sistema General de Regalías, en el marco del Estado de Emergencia Económica, Social y Ecológica</t>
  </si>
  <si>
    <t>https://dapre.presidencia.gov.co/normativa/normativa/DECRETO%20513%20DEL%202%20DE%20ABRIL%20DE%202020.pdf</t>
  </si>
  <si>
    <t>Por el cual se autoriza temporalmente a los gobernadores y alcaldes para realizar movimientos presupuestales, en el marco del Estado de Emergencia Económica, Social y Ecológica</t>
  </si>
  <si>
    <t>https://dapre.presidencia.gov.co/normativa/normativa/DECRETO%20512%20DEL%202%20DE%20ABRIL%20DE%202020.pdf</t>
  </si>
  <si>
    <t>Mediante el cual autoriza a los Gobernadores y Alcaldes para realizar movimientos presupuestales</t>
  </si>
  <si>
    <t>https://www.alcaldiabogota.gov.co/sisjur/normas/Norma1.jsp?i=91820</t>
  </si>
  <si>
    <t>Resolución 0457 de 2020</t>
  </si>
  <si>
    <t>Se establece el mecanismo para priorizar la distribución y venta, al por mayor y al detal, de los productos señalados en los Decretos 462 y 463,</t>
  </si>
  <si>
    <t>Circular 20201010125131 de 2020</t>
  </si>
  <si>
    <t>Implementación de los Decretos 457 y 482 en relación al transporte</t>
  </si>
  <si>
    <t>Circular 029 de 2020</t>
  </si>
  <si>
    <t>Los elementos de protección personal son responsabilidad de las empresas o contratantes; ante la presente emergencia</t>
  </si>
  <si>
    <t>https://drive.google.com/file/d/1Tk5xFq9mfIQCed1oc0lVS0kxBLrnJlk2/view</t>
  </si>
  <si>
    <t>Por el cual se crea el Programa Ingreso Solidario para atender las necesidades de los hogares en situación de pobreza y vulnerabilidad en todo el territorio nacional, en el marco del Estado de Emergencia Económica, Social y Ecológica</t>
  </si>
  <si>
    <t>https://dapre.presidencia.gov.co/normativa/normativa/DECRETO%20518%20DEL%204%20DE%20ABRIL%20DE%202020.pdf</t>
  </si>
  <si>
    <t>Por el cual se dictan disposiciones en materia de los servicios públicos de energía eléctrica y gas combustible, en el marco del Estado de Emergencia Económica, Social y Ecológica declarado por el Decreto 417 de 2020</t>
  </si>
  <si>
    <t>https://dapre.presidencia.gov.co/normativa/normativa/DECRETO%20517%20DEL%204%20DE%20ABRIL%20DE%202020.pdf</t>
  </si>
  <si>
    <t>Por el cual se adoptan medidas para la prestación del servicio de televisión abierta radiodifundida, en el marco del Estado de Emergencia Económica, Social y Ecológica"</t>
  </si>
  <si>
    <t>https://dapre.presidencia.gov.co/normativa/normativa/DECRETO%20516%20DEL%204%20DE%20ABRIL%20DE%202020.pdf</t>
  </si>
  <si>
    <t>Por el cual se designa una ministra de Relaciones Exteriores ad hoc</t>
  </si>
  <si>
    <t>https://dapre.presidencia.gov.co/normativa/normativa/DECRETO%20515%20DEL%204%20DE%20ABRIL%20DE%202020.pdf</t>
  </si>
  <si>
    <t>Por el cual se designa una ministra de Minas y Energía ad hoc</t>
  </si>
  <si>
    <t>https://dapre.presidencia.gov.co/normativa/normativa/DECRETO%20514%20DEL%204%20DE%20ABRIL%20DE%202020.pdf</t>
  </si>
  <si>
    <t>Por el cual se adiciona el Presupuesto General de la Nación de la vigencia fiscal de 2020 y se efectúa su correspondiente liquidación, en el marco del Estado de Emergencia Económica, Social y Ecológica</t>
  </si>
  <si>
    <t>https://dapre.presidencia.gov.co/normativa/normativa/DECRETO%20519%20DEL%205%20DE%20ABRIL%20DE%202020.pdf</t>
  </si>
  <si>
    <t>Por el cual se adiciona el Presupuesto General de la Nación de la vigencia fiscal de 2020 y se efectúa su correspondiente liquidación, en el marco del Estado de Emergencia Eco;hómica, Social y Ecológica</t>
  </si>
  <si>
    <t>https://dapre.presidencia.gov.co/normativa/normativa/DECRETO%20522%20DEL%206%20DE%20ABRIL%20DE%202020.pdf</t>
  </si>
  <si>
    <t>Por el cual se establecen los criterios para la estructuración, operación y seguimiento del saneamiento definitivo de los recobros por concepto de servicios y tecnologías de salud no financiados con cargo a la UPC del régimen contributivo</t>
  </si>
  <si>
    <t>https://dapre.presidencia.gov.co/normativa/normativa/DECRETO%20521%20DEL%206%20DE%20ABRIL%20DE%202020.pdf</t>
  </si>
  <si>
    <t>Por el cual se modifican y adicionan articulos de la Sección 2 del Capítulo 13 Título 1 Parte 6 Libro 1 del Decreto 1625 de 2016, Único Reglamentario en Materia Tributaria</t>
  </si>
  <si>
    <t>https://dapre.presidencia.gov.co/normativa/normativa/DECRETO%20520%20DEL%206%20DE%20ABRIL%20DE%202020.pdf</t>
  </si>
  <si>
    <t>Por el cual se corrige un yerro en el Decreto 525 del 7 de abril de 2020</t>
  </si>
  <si>
    <t>https://dapre.presidencia.gov.co/normativa/normativa/DECRETO%20529%20DEL%207%20DE%20ABRIL%20DE%202020.pdf</t>
  </si>
  <si>
    <t>Por el cual se dictan medidas para los servicios públicos de acueducto, alcantarillado y aseo, en el marco del Estado de Emergencia Económica, Social y Ecológica</t>
  </si>
  <si>
    <t>https://dapre.presidencia.gov.co/normativa/normativa/DECRETO%20528%20DEL%207%20DE%20ABRIL%20DE%202020.pdf</t>
  </si>
  <si>
    <t>Por el cual se regula el exceso de inventarios de alcohol carburante para prevenir el colapso de la producción de azúcar en el marco de la emergencia económica, social y ecológica</t>
  </si>
  <si>
    <t>https://dapre.presidencia.gov.co/normativa/normativa/DECRETO%20527%20DEL%207%20DE%20ABRIL%20DE%202020.pdf</t>
  </si>
  <si>
    <t>Por el cual se designa gobernador ad hoc del departamento de Antioquia</t>
  </si>
  <si>
    <t>https://dapre.presidencia.gov.co/normativa/normativa/DECRETO%20526%20DEL%207%20DE%20ABRIL%20DE%202020.pdf</t>
  </si>
  <si>
    <t>https://dapre.presidencia.gov.co/normativa/normativa/DECRETO%20525%20DEL%207%20DE%20ABRIL%20DE%202020.pdf</t>
  </si>
  <si>
    <t>Por el cual se da por terminado un encargo y se efectúa un nombramiento en el Fondo de Garantías de Instituciones Financieras -FOGAFiN</t>
  </si>
  <si>
    <t>https://dapre.presidencia.gov.co/normativa/normativa/DECRETO%20524%20DEL%207%20DE%20ABRIL%20DE%202020.pdf</t>
  </si>
  <si>
    <t>Por el cual se modifica parcialmente el Arancel de Aduanas en relación con la importación de materias primas como el maíz amarillo duro, el sorgo, la soya y la torta de soya</t>
  </si>
  <si>
    <t>https://dapre.presidencia.gov.co/normativa/normativa/DECRETO%20523%20DEL%207%20DE%20ABRIL%20DE%202020.pdf</t>
  </si>
  <si>
    <t>Por el cual se dictan medidas para el ingreso de estudiantes a los programas de pregrado en instituticiones de educación superior, en el marco del Estado de Emergencia Económica, Social y Ecológica</t>
  </si>
  <si>
    <t>https://dapre.presidencia.gov.co/normativa/normativa/DECRETO%20532%20DEL%208%20DE%20ABRIL%20DE%202020.pdf</t>
  </si>
  <si>
    <t>Por cual se adoptan medidas tributarias transitorias en relación con gravamen a los movimientos financieros a cargo de las entidades sin ánimo de lucro pertenecientes al Régimen Tributario Especial y el impuesto sobre las ventas en las donaciones de ciertos bienes corporales muebles, en el marco del Estado de Emergencia Económica, Social y Ecológica</t>
  </si>
  <si>
    <t>https://dapre.presidencia.gov.co/normativa/normativa/DECRETO%20530%20DEL%208%20DE%20ABRIL%20DE%202020.pdf</t>
  </si>
  <si>
    <t>Circular Conjunta 003 de 2020</t>
  </si>
  <si>
    <t>Medidas preventivas y de mitigación para reducir la exposición y contagio por infección respiratoria aguda causada por el COVID-19</t>
  </si>
  <si>
    <t>https://drive.google.com/file/d/1wjCyTuFAxBNzs9kirqjf8Mo9GJfGZZGC/view</t>
  </si>
  <si>
    <t>Por el cual se adoptan medidas para garantizar la ejecución del Programa de Alimentación Escolar y la prestación del servicio público de educación preescolar, básica y media, en el marco del Estado de Emergencia Económica, Social y Ecológica</t>
  </si>
  <si>
    <t>https://dapre.presidencia.gov.co/normativa/normativa/DECRETO%20533%20DEL%209%20DE%20ABRIL%20DE%202020.pdf</t>
  </si>
  <si>
    <t>Circular Conjunta Externa 0000004 de 2020</t>
  </si>
  <si>
    <t>Medidas preventivas y de mitigación para contener la infección respiratoria aguda por COVlD-19</t>
  </si>
  <si>
    <t>https://drive.google.com/file/d/190YYx63XQLoazso2ghfZpmw0NT5_BhvG/view</t>
  </si>
  <si>
    <t>Por el cual se adoptan medidas para establecer un procedimiento abreviado de devolución y/o compensación de saldos a favor de los contribuyentes del impuesto sobre la renta y complementarios y del impuesto sobre las ventas -IVA, en el marco del Estado de Emergencia Económica, Social y Ecológica</t>
  </si>
  <si>
    <t>https://dapre.presidencia.gov.co/normativa/normativa/DECRETO%20535%20DEL%2010%20DE%20ABRIL%20DE%202020.pdf</t>
  </si>
  <si>
    <t>Circular 20201010134471</t>
  </si>
  <si>
    <t>Coordinación para la prestación del servicio público de transporte terrestre automotor de carga durante la declaratoria de emergencia</t>
  </si>
  <si>
    <t>Por el cual se modifica el Decreto 531 del 8 de abril de 2020 en el marco de la emergencia sanitaria generada por la pandemia del Coronavirus COVID-19, y el mantenimiento del orden público</t>
  </si>
  <si>
    <t>https://dapre.presidencia.gov.co/normativa/normativa/DECRETO%20536%20DEL%2011%20DE%20ABRIL%20DE%202020.pdf</t>
  </si>
  <si>
    <t>Decreto 536 de 2020</t>
  </si>
  <si>
    <t>Se modifica el Decreto 531 del 8 de abril de 2020 en el marco de la emergencia sanitaria generada por la pandemia del Coronavirus COVID-19</t>
  </si>
  <si>
    <t>https://drive.google.com/file/d/1yqOaoAikMXvUEIV6UAPKpSAOO_RmP4n4/view</t>
  </si>
  <si>
    <t>Por el cual se adoptan medidas en el sector salud, para contener y mitigar la pandemia de COVID-19 y garantizar la prestación de los servicios de salud, en el marco del Estado de Emergencia Económica, Social y Ecológica</t>
  </si>
  <si>
    <t>Decreto 537 de 2020</t>
  </si>
  <si>
    <t>Se adoptan medidas en materia de contratación estatal, en el marco del Estado de Emergencia Económica, Social y Ecológica</t>
  </si>
  <si>
    <t>https://drive.google.com/file/d/1p7NIrsp7PWLRjkskxGbUc0Tkox-JLJK_/view</t>
  </si>
  <si>
    <t>Decreto 538 de 2020</t>
  </si>
  <si>
    <t>Se adoptan medidas en el sector salud, para contener y mitigar la pandemia de COVID-19 y garantizar la prestación de los servicios de salud</t>
  </si>
  <si>
    <t>Por medio del cual se adoptan medidas para suspender temporalmente el requisito de insinuación para algunas donaciones, en el marco del Estado de Emergencia Económica, Social y Ecológica</t>
  </si>
  <si>
    <t>https://dapre.presidencia.gov.co/normativa/normativa/DECRETO%20545%20DEL%2013%20DE%20ABRIL%20DE%202020.pdf</t>
  </si>
  <si>
    <t>Por el cual se adoptan medidas en materia de contratación estatal para la adquisición en el mercado internacional de dispositivos médicos y elementos de protección personal, atendiendo criterios de inmediatez como consecuencia de las turbulencias del mercado global de bienes para mitigar la pandemia Coronavirus COVID-19</t>
  </si>
  <si>
    <t>https://dapre.presidencia.gov.co/normativa/normativa/DECRETO%20544%20DEL%2013%20DE%20ABRIL%20DE%202020.pdf</t>
  </si>
  <si>
    <t>Por el cual se adoptan medidas especiales en el Sector Defensa, en el marco del Estado de Emergencia Económica, Social y Ecológica</t>
  </si>
  <si>
    <t>https://dapre.presidencia.gov.co/normativa/normativa/DECRETO%20541%20DEL%2013%20DE%20ABRIL%20DE%202020.pdf</t>
  </si>
  <si>
    <t>Por el cual se adoptan medidas para ampliar el acceso a las telecomunicaciones en el marco del Estado de Emergencia Económica, Social y Ecológica</t>
  </si>
  <si>
    <t>https://dapre.presidencia.gov.co/normativa/normativa/DECRETO%20540%20DEL%2013%20DE%20ABRIL%20DE%202020.pdf</t>
  </si>
  <si>
    <t>https://dapre.presidencia.gov.co/normativa/normativa/DECRETO%20539%20DEL%2013%20DE%20ABRIL%20DE%202020.pdf</t>
  </si>
  <si>
    <t>Decreto 539 de 2020</t>
  </si>
  <si>
    <t>Se adoptan medidas de bioseguridad para mitigar, evitar la propagación y realizar el adecuado manejo de la pandemia del Coronavirus COVID-19</t>
  </si>
  <si>
    <t>Decreto 544 de 2020</t>
  </si>
  <si>
    <t>https://dapre.presidencia.gov.co/normativa/normativa/DECRETO%20550%20DEL%2014%20DE%20ABRIL%20DE%202020.pdf</t>
  </si>
  <si>
    <t>https://dapre.presidencia.gov.co/normativa/normativa/DECRETO%20549%20DEL%2014%20DE%20ABRIL%20DE%202020.pdf</t>
  </si>
  <si>
    <t>Por el cual se designa ministro de Cultura ad hoc</t>
  </si>
  <si>
    <t>https://dapre.presidencia.gov.co/normativa/normativa/DECRETO%20547%20DEL%2014%20DE%20ABRIL%20DE%202020.pdf</t>
  </si>
  <si>
    <t>Por medio del cual se adoptan medidas para sustituir la pena de prisión y la medida de aseguramiento de detención preventiva en establecimientos penitenciarios y carcelarios por la prisión domiciliaria y la detención domiciliaria transitorias en el lugar de residencia a personas que se encuentran en situación de mayor vulnerabilidad frente al COVID-19, y se adoptan otras medidas para combatir el hacinamiento carcelario y prevenir y mitigar el riesgo de propagación, en el marco del Estado de Emergencia Económica, Social y Ecológica</t>
  </si>
  <si>
    <t>https://dapre.presidencia.gov.co/normativa/normativa/DECRETO%20546%20DEL%2014%20DE%20ABRIL%20DE%202020.pdf</t>
  </si>
  <si>
    <t>Por el cual se adoptan medidas para autorizar una nueva opera ión a la Financiera de Desarrollo Territorial S.A -Findeter, en el marco de la Emergencia Económica, Social y Ecológica</t>
  </si>
  <si>
    <t>https://dapre.presidencia.gov.co/normativa/decretos-2020/decretos-abril-2020</t>
  </si>
  <si>
    <t>Por el cual se dictan medidas en materia de los servicios públicos de acueducto, alcantarillado y aseo, en el marco del Estado de Emergencia Económica, Social y Ecológica</t>
  </si>
  <si>
    <t>Por el cual se adoptan medidas transitorias en materia de propiedad horizontal y contratos de arrendamiento, en el marco del Estado de Emergencia Económica, Social y Ecológica</t>
  </si>
  <si>
    <t>https://dapre.presidencia.gov.co/normativa/normativa/DECRETO%20579%20DEL%2015%20DE%20ABRIL%20DE%202020.pdf</t>
  </si>
  <si>
    <t>https://dapre.presidencia.gov.co/normativa/normativa/DECRETO%20578%20DEL%2015%20DE%20ABRIL%20DE%202020.pdf</t>
  </si>
  <si>
    <t>https://dapre.presidencia.gov.co/normativa/normativa/DECRETO%20577%20DEL%2015%20DE%20ABRIL%20DE%202020.pdf</t>
  </si>
  <si>
    <t>Por el cual se adoptan medidas en e sector de juegos de suerte y azar, para impedir la extensión de los efectos de la pandemia de Covid-19, en el marco del Estado de Emergencia Económica, Social y Ecológica</t>
  </si>
  <si>
    <t>https://dapre.presidencia.gov.co/normativa/normativa/DECRETO%20576%20DEL%2015%20DE%20ABRIL%20DE%202020.pdf</t>
  </si>
  <si>
    <t>Por el cual se adoptan medidas para mitigar los efectos económicos generados por la pandemia Coronavirus COVID-19 en el sector transporte e infraestructura, en el marco del Estado de Emergencia, Económica, Social y Ecológica</t>
  </si>
  <si>
    <t>https://dapre.presidencia.gov.co/normativa/normativa/DECRETO%20575%20DEL%2015%20DE%20ABRIL%20DE%202020.pdf</t>
  </si>
  <si>
    <t>Por el cual se adoptan medidas en materia de minas y energía, en el marco del Estado de Emergencia Económica, Social y Ecológica</t>
  </si>
  <si>
    <t>https://dapre.presidencia.gov.co/normativa/normativa/DECRETO%20574%20DEL%2015%20DE%20ABRIL%20DE%202020.pdf</t>
  </si>
  <si>
    <t>Por el cual se establecen medidas de carácter tributario en relación con el Fondo Agropecuario de Garantías, en el marco de la Emergencia Económica, Social y Ecológica declarada mediante el Decreto 417 de 2020.</t>
  </si>
  <si>
    <t>https://dapre.presidencia.gov.co/normativa/normativa/DECRETO%20573%20DEL%2015%20DE%20ABRIL%20DE%202020.pdf</t>
  </si>
  <si>
    <t>Por el cual se adiciona el Presupuesto General de la Nación de la vigencia fiscal de 2020 y se efectúa su correspondiente liquidación, en el marco de la Emergencia Económica, Social y Ecológica declarada mediante el Decreto 417 de 2020</t>
  </si>
  <si>
    <t>https://dapre.presidencia.gov.co/normativa/normativa/DECRETO%20572%20DEL%2015%20DE%20ABRIL%20DE%202020.pdf</t>
  </si>
  <si>
    <t>https://dapre.presidencia.gov.co/normativa/normativa/DECRETO%20571%20DEL%2015%20DE%20ABRIL%20DE%202020.pdf</t>
  </si>
  <si>
    <t>Por el cual se adoptan medidas relacionadas con la creación de un apoyo económico excepcional para la población en proceso de reintegración en el marco del Estado de Emergencia Económica, Social y Ecológica</t>
  </si>
  <si>
    <t>https://dapre.presidencia.gov.co/normativa/normativa/DECRETO%20570%20DEL%2015%20DE%20ABRIL%20DE%202020.pdf</t>
  </si>
  <si>
    <t>Por la cual se adoptan medidas sobre la prestación del servicio público de transporte y su infraestructura, dentro del Estado de Emergencia, Económica, Social y Ecológica</t>
  </si>
  <si>
    <t>https://dapre.presidencia.gov.co/normativa/normativa/DECRETO%20569%20DEL%2015%20DE%20ABRIL%20DE%202020.pdf</t>
  </si>
  <si>
    <t>Decreto 558 de 2020</t>
  </si>
  <si>
    <t>Se implementan medidas para disminuir temporalmente la cotización al Sistema General de Pensiones, proteger a los pensionados bajo la modalidad de retiro programado</t>
  </si>
  <si>
    <t>https://drive.google.com/file/d/1Ju_eS1N2-TcyZ98PvApAo2ODrH-k012N/view</t>
  </si>
  <si>
    <t>Decreto 569 de 2020</t>
  </si>
  <si>
    <t>Se adoptan medidas sobre la prestación del servicio público de transporte y su infraestructura</t>
  </si>
  <si>
    <t>Decreto 575 de 2020</t>
  </si>
  <si>
    <t>Se adoptan medidas para mitigar los efectos económicos generados por la pandemia Coronavirus COVID-19 en el sector transporte e infraestructura</t>
  </si>
  <si>
    <t>Por el cual se implementan medidas para proteger los derechos de los pensionados, los beneficiarios del Servicio Social Complementario BEPS y los beneficiarios del Programa de Subsidio al Aporte a Pensión -PSAP en el marco de la Emergencia Sanitaria declarada por el Ministerio de Salud y Protección Social, con ocasión de la pandemia derivada del Coronavirus COVID-19</t>
  </si>
  <si>
    <t>https://dapre.presidencia.gov.co/normativa/normativa/DECRETO%20582%20DEL%2016%20DE%20ABRIL%20DE%202020.pdf</t>
  </si>
  <si>
    <t>Resolución 000617 de 2020</t>
  </si>
  <si>
    <t>Se establecen disposiciones en relación con la nominación, evaluación, aprobación y condición para la prescripción de medicamentos con Usos No Incluidos en el Registro Sanitario (UNIRS) requeridos para el tratamiento del COVID-19</t>
  </si>
  <si>
    <t>Circular 025 de 2020</t>
  </si>
  <si>
    <t>Instrucciones para formular acciones colectivas y procesos de gestión de la salud pública, en el marco de la emergencia sanitaria por Covid-19</t>
  </si>
  <si>
    <t>Circular 033 de 2020</t>
  </si>
  <si>
    <t>Medidas de protección al empleo en la fase de mitigación del nuevo COVID-19</t>
  </si>
  <si>
    <t>https://drive.google.com/file/d/1KM28ieIu_5BTYQwc2Tx691eiHND8lDSo/view</t>
  </si>
  <si>
    <t>1000-108-20</t>
  </si>
  <si>
    <t>Circular 1000-108-20</t>
  </si>
  <si>
    <t>Declaratoria como vital no disponible de geles y soluciones antibacteriales clasificados como productos cosméticos y desinfectantes de superficies clasificados como productos de higiene doméstica con propiedad desinfectante relacionados con la emergencia sanitaria y que son requeridos para prevenir el COVID-19</t>
  </si>
  <si>
    <t>Circular 0034 de 2020</t>
  </si>
  <si>
    <t>Aplicación en el tiempo de los decretos 488 del 27 de marzo de 2020 y 500 del 31 de marzo de 2020 23 abr 2020</t>
  </si>
  <si>
    <t>https://drive.google.com/file/d/1mI-TUSlFAqVXa8rBtsWBckkUUoIyec0d/view</t>
  </si>
  <si>
    <t>Circular 035 de 2020</t>
  </si>
  <si>
    <t>Se establece que cuando un permiso, autorización, certificado o licencia venza durante el término de vigencia de la Emergencia Sanitaria declarada por el Ministerio de Salud y Protección Social y cuyo trámite de renovación no pueda ser realizado con ocasión de las medidas adoptadas para conjurarla, se entenderá prorrogado automáticamente el permiso, autorización, certificado y licencia hasta un mes (1) más contado a partir de la superación de la Emergencia Sanitaria declarada por el Ministerio de Salud y Protección Social.</t>
  </si>
  <si>
    <t>https://drive.google.com/file/d/1Kg9QeCx3XKGDA8tNgz2Jh1UITMF0qcaC/view</t>
  </si>
  <si>
    <t>RESOLUCION NIVEL NACIÓN</t>
  </si>
  <si>
    <t>DECRETO NIVEL  NACIÓN</t>
  </si>
  <si>
    <t>Resolución 20203040001245 de 2020</t>
  </si>
  <si>
    <t>Concédase permiso especial y transitorio a las empresas habilitadas en las modalidades de servicio público de transporte terrestre automotor de pasajeros por carretera, y/o especial del radio de acción nacional, para ser autorizadas por las autoridades de transporte competentes en su jurisdicción con fines deprestación del servicio público de transporte terrestre automotor colectivo de pasajeros y/o transporte masivo de pasajeros en el radio de acción municipal, distrital y/o metropolitano.</t>
  </si>
  <si>
    <t>ACUERDO CONSEJO SUPERIOR DE LA JUDICATURA</t>
  </si>
  <si>
    <t>SUPERINTENDENCIA DE NOTARIADO Y  REGISTRO</t>
  </si>
  <si>
    <t>Decreto 636 de 2020</t>
  </si>
  <si>
    <t>Ordenar el aislamiento preventivo obligatorio de todas las personas habitantes de la República de Colombia, a partir de las cero horas (00:00 a.m.) del día 11 de mayo de 2020, hasta las cero horas (00:00 a.m.) del día 25 de mayo de 2020, en el marco de la emergencia sanitaria por causa del Coronavirus COVID-19</t>
  </si>
  <si>
    <t>https://drive.google.com/file/d/10iry9yP6p8FnO4QckEQT-ijk12MEp6yT/view</t>
  </si>
  <si>
    <t>Decreto 637 de 2020</t>
  </si>
  <si>
    <t>Declárese el Estado de Emergencia Económica, Social y Ecológica en todo el territorio nacional, por el término de treinta (30) días calendario, contados a partir del 6 de mayo de 2020</t>
  </si>
  <si>
    <t>https://drive.google.com/file/d/17cWDn8JZJweJREegfS64i6V949DGruZ8/view</t>
  </si>
  <si>
    <t>CIRCULAR EXTERNA NIVEL NACIONAL</t>
  </si>
  <si>
    <t>Resolución 000731 de 2020</t>
  </si>
  <si>
    <t>Establecer lineamientos que permitan garantizar el acceso efectivo y la prestación de los servicios de salud que requieran los afiliados al Sistema General de Seguridad Social en Salud y el flujo de recursos a los prestadores de servicios de salud, durante la emergencia sanitaria declarada por el Ministerio de Salud y Protección Social, aplican a las Entidades Promotoras de Salud y Entidades Obligadas a Compensar, Instituciones Prestadoras de Servicios de Salud, proveedores de servicios y tecnologías en salud y a las Entidades Territoriales.</t>
  </si>
  <si>
    <t>https://drive.google.com/file/d/13Aw-qoOy8LBk-Q63Ep0PEI4eINJWVA0d/view</t>
  </si>
  <si>
    <t>Circular externa 030 de 2020</t>
  </si>
  <si>
    <t>Los empleadores y contratantes deben desarrollar e implementar estrategias para la vigilancia de la salud de los trabajadores o contratistas, identificando los mayores de sesenta años y aquellos que con enfermedades preexistentes entre las que se encuentran: diabetes, hipertensión arterial, enfermedad pulmonar, enfermedad cardiaca, enfermedad renal y otras que afectan el estado inmunológico</t>
  </si>
  <si>
    <t>https://drive.google.com/file/d/1mQoHR-SyXgmC7Ed9w7ppkYq8tPwvHuNS/view</t>
  </si>
  <si>
    <t>Por medio del cual se establecen medidas transitorias para el manejo del riesgo derivado de la pandemia por Coronavirus COVID-19 durante el estado de calamidad pública declarado en el distrito capital y se toman otras determinaciones”</t>
  </si>
  <si>
    <t>ARTICULO 5 paragrafo 1Y2 Y ARTICULO 23</t>
  </si>
  <si>
    <t>Circular externa 017 de 2020</t>
  </si>
  <si>
    <t>Todas las entidades y organismos distritales deberán adoptar con carácter obligatorio y vinculante, mediante acto administrativo el Protocolo General de Bioseguridad para mitigar, controlar y realizar el adecuado manejo de la pandemia del Coronavirus COVID-19. El Protocolo de Bioseguridad se debe adaptar a las particularidades, necesidades y a la naturaleza de las funciones que desempeñe cada entidad y organismo del Distrito, con el fin de garantizar la seguridad y salubridad de todos sus colaboradores.</t>
  </si>
  <si>
    <t>https://drive.google.com/file/d/1GuPQiKgXFRVd5TegFLVW9balwRNmO18N/view</t>
  </si>
  <si>
    <t>Resolución 167 de 2020</t>
  </si>
  <si>
    <t>Por la cual se adoptan los protocolos de bioseguridad para mitigar, controlar y realizar el adecuado manejo de la pandemia del Coronavirus COVID-19 en el Instituto Distrital de Recreación y Deporte</t>
  </si>
  <si>
    <t>Decreto  676 de 2020</t>
  </si>
  <si>
    <t>Será considerada como una enfermedad directa la enfermedad COVID-19, la contraída por los trabajadores del sector de la salud, incluyendo al personal administrativo, de aseo, vigilancia y de apoyo que preste servicios en las diferentes actividades de prevención, diagnóstico y atención de esta enfermedad</t>
  </si>
  <si>
    <t>DIRECTIVA PRESIDENCIAL OO3</t>
  </si>
  <si>
    <t>orden de teletrabajo al 20% presencial para funcionarios y contratistas del ministerio.</t>
  </si>
  <si>
    <t>https://dapre.presidencia.gov.co/normativa/normativa/DIRECTIVA%20PRESIDENCIAL%2003%20DEL%2015%20DE%20MARZO%20DE%202021.pdf</t>
  </si>
  <si>
    <t>Decreto 689 de 2020</t>
  </si>
  <si>
    <t>Prorrogar la vigencia hasta el 31 de mayo de 2020, y en tal medida extender las medidas allí establecidas hasta las doce de la noche (12:00 pm) del día 31 de mayo de 2020</t>
  </si>
  <si>
    <t>https://drive.google.com/file/d/1us3_xYPM9ygB-EA5JRrd5EedthLePyM_/view</t>
  </si>
  <si>
    <t>Resolución 844 de 2020</t>
  </si>
  <si>
    <t>Prorróguese la emergencia sanitaria en todo el territorio nacional hasta el 31 de agosto, podrá finalizar antes de la fecha aquí señalada cuando desaparezcan las causas que le dieron origen</t>
  </si>
  <si>
    <t>https://drive.google.com/file/d/1tlqwMrEgKYn8bErl1P-0BcBg9ezcU16a/view</t>
  </si>
  <si>
    <t>Decreto  749 de 2020</t>
  </si>
  <si>
    <t>Ordenar el aislamiento preventivo obligatorio de todas las personas habitantes de la República de Colombia, a partir de las cero horas (00:00 a.m.) del día 1 de junio de 2020,hasta las cero horas (00:001 ael día 1 de julio de 2020, en el marco de la emergencia sanitaria por causa del Coronavirus COVID-19</t>
  </si>
  <si>
    <t>https://drive.google.com/file/d/14JY9M8lPyP8QE-olnLguRzI2NCNwL5id/view</t>
  </si>
  <si>
    <t>Decreto Legislativo 768 de 2020</t>
  </si>
  <si>
    <t>El servicio público de transporte de pasajeros individual tipo taxi podrá ofrecerse por cualquier medio a partir de las cero horas (00:00) del 1 de junio de 2020. Servicio que habrá de ofrecerse en cumplimiento de los protocolos de bioseguridad establecidos para el efecto por el Ministerio de Salud y Protección Social.</t>
  </si>
  <si>
    <t>Decreto Legislativo 770 de 2020</t>
  </si>
  <si>
    <t>Durante la vigencia de la Emergencia Sanitaria declarada por el Ministerio de Salud y Protección Social, con ocasión de la pandemia derivada del Coronavirus COVID-19, establézcase como una alternativa adicional a lo dispuesto en el literal c) del artículo 161 del Código Sustantivo de Trabajo, y entre tanto se encuentre vigente la Emergencia Sanitaria, de manera excepcional y de mutuo acuerdo entre el trabajador y empleador, con el objeto de prevenir la circulación masiva de los trabajadores en los medios de transporte, la aglomeración en los centros de trabajo y con el fin de contener la propagación del Coronavirus COVID-19 y permitir un mayor número de días de descanso para el trabajador durante la semana, se podrá definir la organización de turnos de trabajo sucesivos, que permitan operar a la empresa o secciones de la misma sin solución de continuidad durante todos los dlas de la semana, siempre y cuando el respectivo turno no exceda de ocho (8) horas al día y treinta y seis (36) horas a la semana, sin que sea necesario modificar el reglamento interno de trabajo</t>
  </si>
  <si>
    <t>Aplica solo para el sector privado</t>
  </si>
  <si>
    <t>Resolución 894 de 2020</t>
  </si>
  <si>
    <t>Las instituciones prestadoras de servicios de salud, a través del personal que autoricen podrán reportar en la herramienta tecnológica MIPRES, las pruebas rápidas de búsqueda y tamizaje, así como las diagnósticadas moleculares para COVID-19 prescritas en el ámbito ambulatorio desde el 2 de abril de 2020 y durante el período que dure la emergencia sanitaria</t>
  </si>
  <si>
    <t>Resolución 1003 de 2020</t>
  </si>
  <si>
    <t>No se podrán habilitar eventos de carácter público o privado que impliquen aglomeración de personas, durante el término de la emergencia sanitaria, se entiende por aglomeración toda concurrencia de personas en espacios cerrados y abiertos en los cuales no se pueda guardar el distanciamiento físico de dos (2) metros como mínimo, entre persona y persona</t>
  </si>
  <si>
    <t>https://drive.google.com/file/d/1r1VjMjZYTNEejDUafngvyY1TnqRnEVxU/view</t>
  </si>
  <si>
    <t>Resolución 1248 de 2020</t>
  </si>
  <si>
    <t>Dictar medidas transitorias, relacionadas con la capacitación y entrenamiento para trabajo seguro en alturas, en el marco de la emergencia sanitaria declarada con ocasión de la pandemia derivada del COVID-19; aplica para los trabajadores y proveedores de capacitación y entrenamiento en trabajo seguro en alturas que obtengan la autorización por parte de las alcaldías o gobernaciones de su jurisdicción, para su operación en el marco del aislamiento preventivo obligatorio.</t>
  </si>
  <si>
    <t>2 y 4</t>
  </si>
  <si>
    <t>DECRETO NIVEL NACION</t>
  </si>
  <si>
    <t>Por el cual se reglamentan los artículos 850 y 855 del Estatuto Tributario, 3 del Decreto Legislativo 807 de 2020, y se sustituyen unos artículos del Decreto 1625 de 2016, Único Reglamentario en Materia Tributaria</t>
  </si>
  <si>
    <t>ArtículoS: 1.6.1.29.1./Artículo 1.6.1.29.2./Artículo 1.6.1.29.3</t>
  </si>
  <si>
    <t>https://dapre.presidencia.gov.co/normativa/normativa/DECRETO%20963%20DEL%207%20DE%20JULIO%20DE%202020.pdf</t>
  </si>
  <si>
    <t>Decreto 990 de 2020</t>
  </si>
  <si>
    <t>Ordenar el aislamiento preventivo obligatorio de todas las personas habitantes de la República de Colombia, a partir de las cero horas (OO:OO a.m.) del día 16 de julio de 2020, hasta las cero horas (OO:OO) del día 1 de agosto de 2020, en el marco de la emergencia sanitaria por causa del Coronavirus COVID-19</t>
  </si>
  <si>
    <t>https://drive.google.com/file/d/1SsJulqmhQoOS40DHyDWupTIqGcEfCeBI/view</t>
  </si>
  <si>
    <t>“Por medio del cual se imparten órdenes para dar cumplimiento a la medida de aislamiento preventivo obligatorio y se adoptan medidas transitorias de policía para garantizar el orden público en las diferentes localidades del Distrito Capital”</t>
  </si>
  <si>
    <t>ARTICULO  9 , ARTICULO 10 y  paragrafo</t>
  </si>
  <si>
    <t>Resolución 1172 de 2020</t>
  </si>
  <si>
    <t>Se definen los términos y condiciones del reporte de información del talento humano en salud que presta sus servicios a pacientes con sospecha o diagnóstico de  COVID-19 o que se realiza vigilancia epidemiológica con el objeto de determinar el reconocimiento económico temporal</t>
  </si>
  <si>
    <t>ACTO LEGISLATIVO</t>
  </si>
  <si>
    <t>"POR MEDIO DEL CUAL SE MODIFICA EL ARTÍCULO 34 DE LA CONSTITUCIÓN POLÍTICA, SUPRIMIENDO LA PROHIBICI.ÓN DE LA PENA DE PRISIÓN PERPETUA Y ESTABLECIENDO LA PRISIÓN PERPETUA REVISABLE</t>
  </si>
  <si>
    <t>https://dapre.presidencia.gov.co/normativa/normativa/ACTO%20LEGISLATIVO%2001%20DEL%2022%20DE%20JULIO%20DE%202020.pdf</t>
  </si>
  <si>
    <t>LEY</t>
  </si>
  <si>
    <t>"POR MEDIO DE LA CUAL SE CREA LA TASA PRO DEPORTE Y RECREACIÓN"</t>
  </si>
  <si>
    <t>DECRETO NIVEL  NACION</t>
  </si>
  <si>
    <t>"Por medio del cual se modfica el artIculo 1 y 10 del Decreto 169 de 2020 "Por medio del cual se imparten órdenes para dar cumplimiento a la medida de aislamiento preventivo obligatorio y se adoptan medidas transitorias de policla para garantizar el orden páblico en las c4ferentes localidades del Distrito Capital"."</t>
  </si>
  <si>
    <t>Por el cual se crea. en el Sistema General de Seguridad Social en Salud - SGSSS, el Programa de Pruebas, Rastreo y Aislamiento Selectivo Sostenible - PRASS para el seguimiento de casos y contactos del nuevo Coronavirus - COVID-19 y se dictan otras disposiciones</t>
  </si>
  <si>
    <t>Decreto 1148 de 2020</t>
  </si>
  <si>
    <t>Se establecen los requisitos sanitarios que faciliten la fabricación e importación de productos y servicios para atender la pandemia por el COVID-19</t>
  </si>
  <si>
    <t>Circular Externa</t>
  </si>
  <si>
    <t>Recolección y tratamiento de datos para dar cumplimiento a protocolos de bioseguridad para mitigar, controlar y realizar el adecuado manejo del riesgo de la pandemia por el COVID-19</t>
  </si>
  <si>
    <t>2 -4 -6 -7 -8</t>
  </si>
  <si>
    <t>https://www.sic.gov.co/sites/default/files/normatividad/082020/CIRCULAR%20DATOS%2018%20DE%20AGOSTO.pdf</t>
  </si>
  <si>
    <t>LEY DE LA REPUBLICA</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</si>
  <si>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</si>
  <si>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ARTICULOS: 4,5,6 Y 7.</t>
  </si>
  <si>
    <t>Decreto 1168 de 2020</t>
  </si>
  <si>
    <t>Se imparten instrucciones en virtud de la emergencia sanitariagenerada por la pandemia del Coronavirus COVID - 19, y el mantenimiento del orden público y se decreta el aislamiento selectivo con distanciamiento individual responsable</t>
  </si>
  <si>
    <t>https://drive.google.com/file/d/1n12Rsfw7yhPIiKfZe3oZ_Hv4Ip0XGxG-/view</t>
  </si>
  <si>
    <t>Resolución 1462 de 2020</t>
  </si>
  <si>
    <t>Prorrogar la emergencia sanitaria en todo el territorio nacional hasta el 30 de noviembre de 2020. Dicha prórroga podrá finalizar antes de la fecha aquí señalada cuando desaparezcan las causas que le dieron origen o, si estas persisten o se incrementan, el término podrá prorrogarse nuevamente.</t>
  </si>
  <si>
    <t>https://drive.google.com/file/d/1GxJq-hKNWGOX7f_daLte_xlVmwSa-iQY/view</t>
  </si>
  <si>
    <t>retorno gradual y progresivo de los servidores publicos y contratistas a las actividades laborales y de prestacion de servicios de manera presencial.</t>
  </si>
  <si>
    <t>https://www.funcionpublica.gov.co/eva/gestornormativo/norma.php?i=140451#:~:text=ESTADO%20DE%20EMERGENCIA%20ECON%C3%93MICA%2C%20SOCIAL%20Y%20ECOL%C3%93GICA&amp;text=Subtema%3A%20COVID%2D19-,Imparte%20instrucciones%20en%20relaci%C3%B3n%20con%20el%20retorno%20gradual%20y%20progresivo,de%20servicio%20de%20manera%20presencial.</t>
  </si>
  <si>
    <t>RESOLUCIÓN 1537</t>
  </si>
  <si>
    <t>por medio de la cual se modifica la resolución 677 de 2020 en el sentido de sustituir el anexo técnico que adopta el protocolo de bioseguridad para el manejo y control del riesgo y de la enfermedad covid 19 en el sector transporte</t>
  </si>
  <si>
    <t>https://www.minsalud.gov.co/Normatividad_Nuevo/Forms/DispForm.aspx?ID=6228</t>
  </si>
  <si>
    <t>Decreto 1258 de 2020</t>
  </si>
  <si>
    <t>Se crea una Instancia de Coordinación y Asesoría para el Acceso a Vacunas Seguras y Eficaces contra el Coronavirus Sars-cov-2 (Covid-19)</t>
  </si>
  <si>
    <t>Resolución 1630 de 2020</t>
  </si>
  <si>
    <t>Se modifica el valor máximo para el reconocimiento y pago de pruebas de búsqueda, tamizaje y diagnóstico para Covid-19</t>
  </si>
  <si>
    <t>Decreto 1297 de 2020</t>
  </si>
  <si>
    <t>Prorrogar la vigencia del Decreto por el cual se imparten instrucciones en virtud de la emergencia sanitaria generada por la pandemia del Coronavirus COVID -19, Y el mantenimiento del orden público y se decreta el aislamiento selectivo con distanciamiento individual responsable", hasta las cero horas (00:00 a.m) del día 1 de noviembre de 2020.</t>
  </si>
  <si>
    <t>https://drive.google.com/file/d/1cIY10W3mSDpHCMoJgRgGwf09L8yNbP2g/view</t>
  </si>
  <si>
    <t>"ordena a todos los responsables y encargados de naturaleza pública o privada abstenerse de recolectar o tratar datos biométricos utilizando huelleros físicos, electrónicos, o cualquier otro mecanismo que permita el contagio del coronavirus a través de contacto indirecto.
esta instrucción no aplica para el caso de los sistemas de identificación biométrica en los que el dispositivo es de uso personal e individual.
estas instrucciones son de inmediata ejecución, tienen carácter preventivo, obligatorio y aplican sin perjuicio de las demás obligaciones legales que le corresponde cumplir a cualquier responsable o encargado del tratamiento de datos personales, o de las instrucciones que emitan otras autoridades en el marco de sus atribuciones constitucionales y legales.
adicionalmente, deben aplicarse de manera armónica e integral con lo dispuesto en la constitución y la regulación sobre tratamiento de datos personales."</t>
  </si>
  <si>
    <t>https://www.sic.gov.co/sites/default/files/normatividad/102020/Circular%20%20010%20de%202020.pdf</t>
  </si>
  <si>
    <t>Decreto 1374 de 2020</t>
  </si>
  <si>
    <t>Se optimiza el Programa de Pruebas,rastreo y Aislamiento Selectivo Sostenible -PRASS, para el monitoreo y seguimiento de casos y contactos de COVID-19 en Colombia</t>
  </si>
  <si>
    <t>Decreto 1408 de 2020</t>
  </si>
  <si>
    <t>Se prorroga la vigencia del Decreto Por el cual se imparten instrucciones en virtud de la emergencia sanitaria generada por la pandemia del Coronavirus COVID -19, y el mantenimiento del orden público y se decreta el aislamiento selectivo con distanciamiento individual responsable</t>
  </si>
  <si>
    <t>https://drive.google.com/file/d/1MqiKJR5qZwpOVvG2c4ytQ6LUA1ekFo0y/view</t>
  </si>
  <si>
    <t>Circular Conjunta Externa 045 de 2020</t>
  </si>
  <si>
    <t>Lineamientos para la preparación y respuesta sectorial, frente a los posibles efectos en salud, incluyendo la COVID-19, durante la segunda temporada de lluvias 2020 y posible aparición del fenómeno de variabilidad climática “la Niña 2020-2021”</t>
  </si>
  <si>
    <t>Resolución 2230 de 2020</t>
  </si>
  <si>
    <t>Se prorroga nuevamente la emergencia sanitaria por el nuevo Coronavirus que causa la COVID-19</t>
  </si>
  <si>
    <t>https://drive.google.com/file/d/1_3eHfOJnWy9jvRtgZihgmhCXEAxj3olN/view</t>
  </si>
  <si>
    <t>Decreto 1550 de 2020</t>
  </si>
  <si>
    <t>Se modifica y prorroga la vigencia del Decreto por el cual se imparten instrucciones en virtud de la emergencia sanitaria generada por la pandemia del Coronavirus COVID-19, y el mantenimiento del orden público y se decreta el aislamiento selectivo con distanciamiento individual responsable</t>
  </si>
  <si>
    <t>https://drive.google.com/file/d/10FfkXp97t6h78ZADbiIQIura5EBtiq-H/view</t>
  </si>
  <si>
    <t>Ley 2064 de 2020</t>
  </si>
  <si>
    <t>Se declara de interés general la estrategia para la inmunización de la población colombiana contra la Covid-19 y la lucha contra cualquier pandemia</t>
  </si>
  <si>
    <t>https://drive.google.com/file/d/15LBVPxZbKoblv5Wnzz4YPtwTWnLCbk7x/view</t>
  </si>
  <si>
    <t>Circular Conjunta</t>
  </si>
  <si>
    <t>Se recomiendan medidas diferenciales para los grupos de ciudades-regiones que se encuentran con ocupaciones mayores al 70%, 80% y 90% de unidades de cuidados intensivos.
Adicional a las anteriores medidas, se recomienda el reforzamiento de campañas educativas y de comunicación a la población sobre:
Inconveniencia de las reuniones familiares extendidas en el marco de la protección de la población de alto riesgo, es especial el adulo mayor. Solo reunirse con las personas que convive.
Evitar frecuentar todo sitio que sea cerrado y no garantice una ventilación natural.
La necesidad de mayor cuidado individual como la higiene de manos, el distanciamiento social y uso de tapabocas.
Consultar a los servicios de salud ante la presencia de síntomas, a través de los canales de comunicación dispuestos para ello.
Invitar a la comunidad a practicar un autoaislamiento responsable. Si no es necesario salir de casa, permanezca junto a su familia.</t>
  </si>
  <si>
    <t>https://www.mininterior.gov.co/sites/default/files/medidas_focalizadas_para_municipios_con_alta_afectacion.pdf</t>
  </si>
  <si>
    <t>Se imparten instrucciones en virtud de la emergencia sanitaria generada por la pandemia del Coronavirus COVID-19, y el mantenimiento del orden público, y se decreta el aislamiento selectivo con distanciamiento individual responsable</t>
  </si>
  <si>
    <t>Decreto 109 de 2021</t>
  </si>
  <si>
    <t>Por el cual se adopta el Plan Nacional de Vacunación contra el COVID - 19 Y se dictan otras disposiciones</t>
  </si>
  <si>
    <t>https://dapre.presidencia.gov.co/normativa/normativa/DECRETO-109-29-ENERO-2021.pdf</t>
  </si>
  <si>
    <t>Resolución 222</t>
  </si>
  <si>
    <t>Prorrogar has el 31 de mayo de 2021 la emergencia sanitaria en todo el territorio nacinal declarada mediante la Resolución 385 de 2020 y prorrogada, a su vez, por las Resoluciones 844, 1465 y 2230 de 2020</t>
  </si>
  <si>
    <t>https://www.minsalud.gov.co/Normatividad_Nuevo/Resoluci%C3%B3n%20No.%20222%20de%202021.pdf</t>
  </si>
  <si>
    <t>Resolución 223</t>
  </si>
  <si>
    <t>Por medio del cual, se modifica la. Resolución 666 de 2020 en el sentido de sustituir su anexo técnico.</t>
  </si>
  <si>
    <t>https://www.minsalud.gov.co/Normatividad_Nuevo/Resoluci%C3%B3n%20No.%20223%20%20de%202021.pdf</t>
  </si>
  <si>
    <t>Decreto 206</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</si>
  <si>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</si>
  <si>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https://www.mininterior.gov.co/la-institucion/normatividad/decreto-206-del-26-de-febrero-de-2021</t>
  </si>
  <si>
    <t>Circular 22</t>
  </si>
  <si>
    <t>Sobre la no exigencia de prueba de sars-cov-2 (covid-19) por parte del empleador a trabajadores y aspirantes a un puesto de trabajo</t>
  </si>
  <si>
    <t>https://www.mintrabajo.gov.co/documents/20147/61442826/Circular+0022.PDF/a858d468-707f-8d13-2790-2b43839a7ea7?t=1615235618146</t>
  </si>
  <si>
    <t>Resolución 392</t>
  </si>
  <si>
    <t>Por medio de la cual se modifica el artículo 2 de la Resolución 666 de 2020 y los numerales 4,1 y 5 de su anexo técnico</t>
  </si>
  <si>
    <t>https://www.minsalud.gov.co/Normatividad_Nuevo/Resoluci%C3%B3n%20No.%20392%20de%202021.pdf</t>
  </si>
  <si>
    <t>Circular Conjunta 025 de 2021</t>
  </si>
  <si>
    <t>Recomendaciones para actividades académicas presenciales en la totalidad de instituciones educativas</t>
  </si>
  <si>
    <t>https://www.minsalud.gov.co/sites/rid/Lists/BibliotecaDigital/RIDE/DE/DIJ/circular-conjunta-025-de-2021.pdf</t>
  </si>
  <si>
    <t>Resolución 773</t>
  </si>
  <si>
    <t>Por la cual se definen las acciones que deben desarrollar los empleadores para la aplicación del Sistema Globalmente Armonizado (SGA) de Clasificación y Etiquetado de Productos Químicos en los lugares de trabajo y se dictan otras disposiciones en materia de seguridad química</t>
  </si>
  <si>
    <t>https://www.mintrabajo.gov.co/documents/20147/61442826/0773.PDF/3047cc2b-eae1-e021-e9bf-d8c0eac23e05?t=1617984928238</t>
  </si>
  <si>
    <t>Decreto 376 de 2021</t>
  </si>
  <si>
    <t>Medidas para realizar el pago de las cotizaciones al Sistema General de Pensiones por los períodos correspondientes a abril y mayo de 2020, de los que fueron exonerados los empleadores y trabajadores independientes</t>
  </si>
  <si>
    <t>https://www.funcionpublica.gov.co/eva/gestornormativo/norma.php?i=161426</t>
  </si>
  <si>
    <t>Resolución 507</t>
  </si>
  <si>
    <t>Por la cual se establecen los requisitos para la importación, adquisición y aplicación de vacunas contra el SARS-CoV-2 por personas jurídicas de derecho privado o personas jurídicas con participación pública que se rijan por el derecho privado.</t>
  </si>
  <si>
    <t>Informativa</t>
  </si>
  <si>
    <t>https://www.minsalud.gov.co/sites/rid/Lists/BibliotecaDigital/RIDE/DE/DIJ/resolucion-507-de-2021.pdf</t>
  </si>
  <si>
    <t>Resolucion 223</t>
  </si>
  <si>
    <t>Por medio de la cual se Modifica la resolución 666 de 2020 en el sentido de sustituir su anexo tecnico.</t>
  </si>
  <si>
    <t>https://funcionpublica.gov.co/eva/gestornormativo/norma_pdf.php?i=159688</t>
  </si>
  <si>
    <t>Resolucion 392</t>
  </si>
  <si>
    <t>https://normograma.mintic.gov.co/mintic/docs/pdf/resolucion_minsaludps_0392_2021.pdf</t>
  </si>
  <si>
    <t>RESOLUCIÓN</t>
  </si>
  <si>
    <t>Por medio de la cual se adopta el protocolo de bioseguridad para el manejo y control del riesgo del coronavirus COVID-19 en el Sector Transporte</t>
  </si>
  <si>
    <t>3.1, 3.2, 3.3</t>
  </si>
  <si>
    <t>https://www.minsalud.gov.co/Normatividad_Nuevo/Forms/DispForm.aspx?ID=6013</t>
  </si>
  <si>
    <t>Decreto 109</t>
  </si>
  <si>
    <t>Por el cual se adopta el Plan Nacional de Vacunacion contra el COVID-19 y se dictan otra disposiciones</t>
  </si>
  <si>
    <t>https://funcionpublica.gov.co/eva/gestornormativo/norma_pdf.php?i=157252</t>
  </si>
  <si>
    <t>Resolucion 129</t>
  </si>
  <si>
    <t>Por la cual se adoptan las herramientas para el reporte de información de la población que será priorizada en la Etapas 1 y 2 de la Fase 1 del Plan Nacional de Vacunación contra la COVID – 19 y se dictan otras disposiciones</t>
  </si>
  <si>
    <t>https://normograma.mintic.gov.co/docs/pdf/resolucion_minsaludps_0129_2021.pdf</t>
  </si>
  <si>
    <t>Resolucion 0000599</t>
  </si>
  <si>
    <t>Por la cual se establecen tanto responsables de la  generación de la informacion como los responsables del reporte de la informacion de la población perteneciente a las etapas 2,3,y 4 de que trata el articulo 7 del Decreto 109 de 2021, modificado por los decretos 404 y 466 de 2021 y se dictan otras disposiciones</t>
  </si>
  <si>
    <t>https://safetya.co/normatividad/resolucion-599-de-2021/</t>
  </si>
  <si>
    <t>Resolucion 0000738</t>
  </si>
  <si>
    <t>Por la cual se prorroga la emergencia Snitaria por el nuevo coronavirus COVID-19 declarada mediante Resolucion 385 de 2020 y prorrogada por las Resoluciones 844, 1462, y 2230 de 2020 y 222 de 2021.</t>
  </si>
  <si>
    <t>https://www.funcionpublica.gov.co/eva/gestornormativo/norma.php?i=163720</t>
  </si>
  <si>
    <t>Decreto 580</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</si>
  <si>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</si>
  <si>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https://www.funcionpublica.gov.co/eva/gestornormativo/norma.php?i=163906#0</t>
  </si>
  <si>
    <t>Resolucion 777</t>
  </si>
  <si>
    <t>Por medio del cual se define los criterios y condiciones para el desarrollo de las actividades economicas, sociales y del estado y se adopta el protocolo de Bioseguridad para la ejecucion de estas.</t>
  </si>
  <si>
    <t>https://www.funcionpublica.gov.co/eva/gestornormativo/norma.php?i=163987</t>
  </si>
  <si>
    <t>Directiva PRESIDENCIAL 04</t>
  </si>
  <si>
    <t>retorno de servidores y demás colaboradores del estado de las entidades públicas de la rama ejecutiva del orden nacional a trabajo presencial</t>
  </si>
  <si>
    <t>https://www.funcionpublica.gov.co/eva/gestornormativo/norma.php?i=164248#0</t>
  </si>
  <si>
    <t>Resolución 800 de 2021</t>
  </si>
  <si>
    <t>Por la cual se modifican los artículos 2o, 3o, 4o y 5o, de la Resolución 599 de 2021 en relación con el reporte de información de la población priorizada para recibir la vacuna contra el Covid-19 que pertenece a las etapas 2, 3 y 4 de que trata el artículo 7o del Decreto 109 de 2021, modificado por los Decretos 404 y 466 de 2021.</t>
  </si>
  <si>
    <t>https://www.minsalud.gov.co/Normatividad_Nuevo/Resoluci%C3%B3n%20No.800%20de%202021.pdf</t>
  </si>
  <si>
    <t>Resolución 816 de 2021</t>
  </si>
  <si>
    <t>or la cual se da inicio a la Fase 2 Etapa 4 de que trata el artículo 7° del Decreto número 109 de 2021, mediante el cual se adopta el Plan Nacional de Vacunación contra el COVID-19 y se deroga la Resolución número 813 de 2021.</t>
  </si>
  <si>
    <t>https://www.minsalud.gov.co/Normatividad_Nuevo/Resoluci%C3%B3n%20NO.%20816%20de%202021.pdf</t>
  </si>
  <si>
    <t>Ley 2096 de 2021</t>
  </si>
  <si>
    <t>por medio de la cual se promueve el uso de tapabocas
inclusivos y/o demás elementos transparentes y se dictan
otras disposiciones.</t>
  </si>
  <si>
    <t>https://dapre.presidencia.gov.co/normativa/normativa/LEY%202096%20DEL%2002%20DE%20JULIO%20DE%202021.pdf</t>
  </si>
  <si>
    <t>RESOLUCIÓN NÚMERO 0001022 DE 2021</t>
  </si>
  <si>
    <t>por la cual se da apertura a la Etapa 5 de que trata el artículo 7 del Decreto 109 de 2021, modificado por los Decretos 466 y 630 de 2021, mediante el cual se adopta el Plan Nacional de Vacunación contra el COVID —19</t>
  </si>
  <si>
    <t>https://safetya.co/normatividad/resolucion-1022-de-2021/</t>
  </si>
  <si>
    <t>Resolucion 00001315</t>
  </si>
  <si>
    <t>Por la cual se prorroga la emergencia Snitaria por el nuevo coronavirus COVID-19 declarada mediante Resolucion 385 de 2020 y prorrogada por las Resoluciones 844, 1462, y 2230 de 2020, 222  y 738 de 2021.</t>
  </si>
  <si>
    <t>https://www.alcaldiabogota.gov.co/sisjur/normas/Norma1.jsp?i=116162</t>
  </si>
  <si>
    <t>Decreto 1026 de 2021</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</si>
  <si>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</si>
  <si>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https://www.funcionpublica.gov.co/eva/gestornormativo/norma.php?i=169587</t>
  </si>
  <si>
    <t>Resolucion 1687 de 2021</t>
  </si>
  <si>
    <t>Por medio de la cual se modifica la Resolución 777 de 2021 en el sentido de incrementar el aforo permitido en lugares o eventos masivos, públicos o privados</t>
  </si>
  <si>
    <t>https://www.minsalud.gov.co/Normatividad_Nuevo/Resoluci%C3%B3n%20No.%201687%20de%202021.pdf</t>
  </si>
  <si>
    <t>Decreto 1408 de 2021</t>
  </si>
  <si>
    <t>Por medio del cual se imparten instrucciones en virtud de la emergencia sanitaria sanitaria generada por la pandemia del coronavirus COVID - 19 y el mantenimiento del orden publico</t>
  </si>
  <si>
    <t>https://dapre.presidencia.gov.co/normativa/normativa/DECRETO%201408%20DEL%2003%20DE%20NOVIEMBRE%20DE%202021.pdf</t>
  </si>
  <si>
    <t>Resolución 1913 de 2021</t>
  </si>
  <si>
    <t>Por la cual se prorroga la emergencia sanitaria por el coronavirus COVID-19, declarada mediante Resolución 385 de 2020, prorrogada por las Resoluciones 844, 1462, 2230 de 2020 y222, 738y 1315 de 202</t>
  </si>
  <si>
    <t>https://www.minsalud.gov.co/Normatividad_Nuevo/Resolución%20No.%201913%20de%202021.pdf</t>
  </si>
  <si>
    <t>Boletin 140 de 2022</t>
  </si>
  <si>
    <t>Territorios con más de 70 % de vacunación podrán dejar de usar tapabocas en espacio público</t>
  </si>
  <si>
    <t>https://www.minsalud.gov.co/Paginas/Territorios-con-mas-de-70-de-vacunacion-podran-dejar-de-usar-tapabocas-en-espacio-publico.aspx</t>
  </si>
  <si>
    <t>Resolucion 304 de 2022</t>
  </si>
  <si>
    <t>Por la cual se prorroga la emergencia sanitaria por el coronavirus COVID-19, declarada mediante Resolución 385 de 2020 y prorrogada por las Resoluciones 844, 1462, 2230 de
 2020 y 222, 7381 1315 y 1913 de 2021</t>
  </si>
  <si>
    <t>https://www.minsalud.gov.co/Normatividad_Nuevo/Resoluci%C3%B3n%20No.%20304%20de%202022.pdf</t>
  </si>
  <si>
    <t>Decreto 298 de 2022</t>
  </si>
  <si>
    <t>El presente Decreto tiene por objeto regular la fase de Aislamiento Selectivo, Distanciamiento Individual Responsable y Reactivación Económica Segura, que regirá en la República de Colombia, en el marco de la emergencia sanitaria por causa del Coronavirus COVID-19.</t>
  </si>
  <si>
    <t>https://dapre.presidencia.gov.co/normativa/normativa/DECRETO%20298%20DEL%2028%20DE%20FEBRERO%20DE%202022.pdf</t>
  </si>
  <si>
    <t>Resolucion 350 de 2022</t>
  </si>
  <si>
    <t>Por medio de la cual se adopta el protocolo general de bioseguridad para el desarrollo de las actividades económicas, sociales, culturales y del Estado</t>
  </si>
  <si>
    <t>www.minsalud.gov.co%2FNormatividad_Nuevo%2FResoluci%25C3%25B3n%2520No.%2520350%2520de%25202022.pdf&amp;clen=618371</t>
  </si>
  <si>
    <t>Circular externa conjunta 016 de 2022</t>
  </si>
  <si>
    <t>instrucciones para la gestión y mitigación del riesgo en los ambientes de trabajo, en el marco del sistema de gestión de la seguridad y salud en el trabajo, por el contagio de la covid-19.</t>
  </si>
  <si>
    <t>https://www.minsalud.gov.co/Normatividad_Nuevo/Circular%20Externa%20y%20Conjunta%20No.16%20de%202022.pdf</t>
  </si>
  <si>
    <t>Resolucion No 666 de 2022</t>
  </si>
  <si>
    <t>Por la cual se prorroga la emergencia sanitaria por el coronavirus COVID-19, declarada mediante Resolución 385 de 2020, prorrogada por las Resoluciones 844, 1462, 2230 de
 2020, 222, 738, 1315, 1913 de 2021 y304 de 2022</t>
  </si>
  <si>
    <t>https://www.funcionpublica.gov.co/eva/gestornormativo/norma.php?i=186026</t>
  </si>
  <si>
    <t>Decreto 655 de 2022</t>
  </si>
  <si>
    <t>El presente Decreto tiene por objeto regular la fase de
 Aislamiento Selectivo, Distanciamiento Individual Responsable y Reactivación Económica Segura, que regirá en la República de Colombia, en el marco de la emergencia sanitaria por causa del Coronavirus COVID-19.</t>
  </si>
  <si>
    <t>https://dapre.presidencia.gov.co/normativa/normativa/DECRETO%20655%20DEL%2028%20DE%20ABRIL%20DE%202022.pdf</t>
  </si>
  <si>
    <t>Resolucion No 692 de 2022</t>
  </si>
  <si>
    <t>Por medio de la cual se adopta el protocolo general de bioseguridad</t>
  </si>
  <si>
    <t>https://www.minsalud.gov.co/Normatividad_Nuevo/Resoluci%C3%B3n%20692%20de%202022.pdf</t>
  </si>
  <si>
    <t>Circular 030 de 2022</t>
  </si>
  <si>
    <t>Régimen de Transición para la entrega de elementos de protección personal para Covid-19, culminada la emergencia sanitaria</t>
  </si>
  <si>
    <t>https://www.cerlatam.com/normatividad/mintrabajo-circular-030-de-2022/</t>
  </si>
  <si>
    <t>Proceso: PIGA</t>
  </si>
  <si>
    <t>Artículo 5: Conceptos generales. Para efectos de los lineamientos ambientales para el manejo, conservación y aprovechamiento del paisaje con publicidad exterior visual, se desarrollan las siguientes definiciones: 2) Elementos que no son publicidad exterior visual: Aún conservando las características anteriormente mencionadas, no son considerados como elementos de publicidad exterior visual los siguientes:
  * las señales viales
  * la nomenclatura urbana
  * la información sobre sitios de interés histórico, turístico o cultural, o institucional de la ciudad.
  * la información temporal de carácter educativo, cultural o deportivo que coloquen las autoridades públicas u otras personas por encargo de éstas, que podrá incluir mensajes comerciales o de otra naturaleza siempre y cuando éstos no ocupen más del 30% del tamaño del respectivo mensaje o aviso.</t>
  </si>
  <si>
    <t>Artículo 7: Infracciones. Artículo 8: Sanciones.</t>
  </si>
  <si>
    <t>RESOLUCIÓN IDRD 104</t>
  </si>
  <si>
    <t>RESOLUCIÓN IDRD 105</t>
  </si>
  <si>
    <t>Artículo 1: Objeto. Artículo 2: Ambito de aplicación. Artículo 3:Definiciones. Artículo 11: Medidas preventivas y sancionatorias.</t>
  </si>
  <si>
    <t>Artículo 1: Modificar el artículo 3 de la Resolución 1115 de 2012 en el sentido de:
  * Obligaciones de los grandes generadores
  *Definición de los aspectos del Plan de Gestión de RCD 
  Artículo 2: Sobre la dispocisión de RCD en espacio público</t>
  </si>
  <si>
    <t>Ministerio Ambiente y Desarrollo Sostenible</t>
  </si>
  <si>
    <t>Decreto Único del Sector Ambiente y Desarrollo Sostenible.</t>
  </si>
  <si>
    <t>Por la cual se adoptan los lineamientos para la formulación, concertación, implementación, evaluación, control y seguimiento del Plan Institucional de Gestión Ambiental - PIGA.</t>
  </si>
  <si>
    <t>Artículo 1 al 24:La presente Resolución adopta los lineamientos para la formulación, concertación, implementación, evaluación, control y seguimiento del Plan Institucional de Gestión Ambiental - PIGA. Ámbito de aplicación. El Plan Institucional de Gestión Ambiental –PIGA deberá ser implementado por las entidades del Sector Central, el Sector Descentralizado, funcionalmente o por servicios, y el Sector de las Localidades del Distrito Capital, y deberá estar armonizado con el Subsistema de Gestión Ambiental en las Entidades y Organismos Distritales. Las entidades de otros niveles de la Administración Pública así como entidades privadas, que se localicen en el territorio Distrital, y que estén interesadas en mejorar su gestión ambiental, podrán adoptar los lineamientos establecidos por esta Resolución.</t>
  </si>
  <si>
    <t>Acuerdo 347</t>
  </si>
  <si>
    <t>Por el cual se establece los lineamientos de la política publica del agua en Bogotá</t>
  </si>
  <si>
    <t>Acuerdo 808</t>
  </si>
  <si>
    <t>Por el cual se prohíben progresivamente los plásticos de un solo uso en las entidades del Distrito Capital que hacen parte del sector central, descentralizado y localidades y se dictan otras disposiciones</t>
  </si>
  <si>
    <t>Objeto: Prohibir de manera gradual y progresiva en las entidades del Distrito Capital que hacen parte del sector central, descentralizado y localidades, la adquisición y consumo de plásticos de un solo uso, incentivando su sustitución y cierre de ciclos, buscando controlar la contaminación y proteger el ambiente y la salud de los seres vivos.</t>
  </si>
  <si>
    <t>Resolución 2184</t>
  </si>
  <si>
    <t>or la cual se modifica la Resolución 668 de 2016 sobre uso racional de bolsas plásticas y se adoptan otras disposiciones</t>
  </si>
  <si>
    <t>Adóptese en el territorio nacional, el código de colores para la separación de residuos sólidos en la fuente, así:
 a) Color verde para depositar residuos orgánicos aprovechables.
 b) Color Blanco para depositar los residuos aprovechables como plástico, vidrio, metales, multicapa, papel y cartón. 
 c) Color negro para depositar los residuos no aprovechables.</t>
  </si>
  <si>
    <t>Decreto 555</t>
  </si>
  <si>
    <t>Por el cual se adopta la revisión general del Plan de Ordenamiento Territorial de Bogotá D.C.</t>
  </si>
  <si>
    <t>El presente Decreto adopta la revisión general de los contenidos del Plan de Ordenamiento Territorial de Bogotá Distrito Capital. Los documentos anexos y la cartografía se encuentran integrados en este acto administrativo.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</si>
</sst>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d/m/yyyy"/>
    <numFmt numFmtId="165" formatCode="d\,\ m\,\ yy"/>
    <numFmt numFmtId="166" formatCode="dd\-mm\-yyyy"/>
    <numFmt numFmtId="167" formatCode="d\-m\-yyyy"/>
    <numFmt numFmtId="168" formatCode="&quot;$ &quot;#,##0.00"/>
    <numFmt numFmtId="169" formatCode="dd/mm/yy"/>
    <numFmt numFmtId="170" formatCode="d/m/yy"/>
    <numFmt numFmtId="171" formatCode="d&quot; de &quot;mmmm\ yyyy"/>
    <numFmt numFmtId="172" formatCode="d&quot; de &quot;mmmmyyyy"/>
    <numFmt numFmtId="173" formatCode="mmmm\ d&quot; de &quot;yyyy"/>
    <numFmt numFmtId="174" formatCode="d&quot; de &quot;mmmm&quot; de &quot;yyyy"/>
    <numFmt numFmtId="175" formatCode="mmmm\ dd\ yyyy"/>
    <numFmt numFmtId="176" formatCode="dd&quot; de &quot;mmmm&quot; de &quot;yyyy"/>
    <numFmt numFmtId="177" formatCode="dd&quot; de &quot;mmmm\ yyyy"/>
    <numFmt numFmtId="178" formatCode="d&quot; DE &quot;mmmm\ yyyy"/>
    <numFmt numFmtId="179" formatCode="d&quot; DE &quot;mmmm&quot; de &quot;yyyy"/>
    <numFmt numFmtId="180" formatCode="dd&quot; DE &quot;mmmm\ yyyy"/>
    <numFmt numFmtId="181" formatCode="d&quot; DE &quot;mmmm&quot; DE &quot;yyyy"/>
    <numFmt numFmtId="182" formatCode="d/mmm/yyyy"/>
  </numFmts>
  <fonts count="179">
    <font>
      <sz val="11"/>
      <color rgb="FF000000"/>
      <name val="Calibri"/>
    </font>
    <font>
      <sz val="11"/>
      <name val="Calibri"/>
    </font>
    <font>
      <sz val="11"/>
      <color rgb="FFFFFFFF"/>
      <name val="Calibri"/>
    </font>
    <font>
      <u/>
      <sz val="11"/>
      <color rgb="FF000000"/>
      <name val="Calibri"/>
    </font>
    <font>
      <sz val="11"/>
      <color rgb="FF000000"/>
      <name val="Arial"/>
    </font>
    <font>
      <u/>
      <sz val="11"/>
      <color rgb="FF000000"/>
      <name val="Arial"/>
    </font>
    <font>
      <b/>
      <sz val="20"/>
      <name val="Calibri"/>
    </font>
    <font>
      <b/>
      <u/>
      <sz val="20"/>
      <color rgb="FFFFFFFF"/>
      <name val="Calibri"/>
    </font>
    <font>
      <b/>
      <sz val="12"/>
      <name val="Calibri"/>
    </font>
    <font>
      <b/>
      <sz val="10"/>
      <name val="Calibri"/>
    </font>
    <font>
      <b/>
      <sz val="9"/>
      <name val="Calibri"/>
    </font>
    <font>
      <u/>
      <sz val="11"/>
      <color rgb="FF0000FF"/>
      <name val="Calibri"/>
    </font>
    <font>
      <sz val="9"/>
      <name val="Calibri"/>
    </font>
    <font>
      <u/>
      <sz val="11"/>
      <color rgb="FF1155CC"/>
      <name val="Calibri"/>
    </font>
    <font>
      <sz val="11"/>
      <name val="Calibri"/>
    </font>
    <font>
      <u/>
      <sz val="11"/>
      <color rgb="FF0000FF"/>
      <name val="Calibri"/>
    </font>
    <font>
      <u/>
      <sz val="11"/>
      <color rgb="FF0000FF"/>
      <name val="Calibri"/>
    </font>
    <font>
      <u/>
      <sz val="11"/>
      <color rgb="FF000000"/>
      <name val="Calibri"/>
    </font>
    <font>
      <u/>
      <sz val="11"/>
      <color rgb="FF000000"/>
      <name val="Calibri"/>
    </font>
    <font>
      <sz val="9"/>
      <color rgb="FF000000"/>
      <name val="Calibri"/>
    </font>
    <font>
      <u/>
      <sz val="11"/>
      <color rgb="FF0563C1"/>
      <name val="Calibri"/>
    </font>
    <font>
      <u/>
      <sz val="11"/>
      <color rgb="FF0000FF"/>
      <name val="Calibri"/>
    </font>
    <font>
      <u/>
      <sz val="11"/>
      <color rgb="FF1155CC"/>
      <name val="Calibri"/>
    </font>
    <font>
      <u/>
      <sz val="11"/>
      <color rgb="FF000000"/>
      <name val="Calibri"/>
    </font>
    <font>
      <u/>
      <sz val="11"/>
      <color rgb="FF000000"/>
      <name val="Calibri"/>
    </font>
    <font>
      <u/>
      <sz val="11"/>
      <color rgb="FF1155CC"/>
      <name val="Calibri"/>
    </font>
    <font>
      <sz val="20"/>
      <name val="Calibri"/>
    </font>
    <font>
      <b/>
      <sz val="20"/>
      <color rgb="FF000000"/>
      <name val="Calibri"/>
    </font>
    <font>
      <u/>
      <sz val="11"/>
      <color rgb="FF0000FF"/>
      <name val="Calibri"/>
    </font>
    <font>
      <u/>
      <sz val="11"/>
      <color rgb="FF0000FF"/>
      <name val="Calibri"/>
    </font>
    <font>
      <sz val="9"/>
      <color rgb="FF333333"/>
      <name val="Calibri"/>
    </font>
    <font>
      <u/>
      <sz val="11"/>
      <color rgb="FF1155CC"/>
      <name val="Calibri"/>
    </font>
    <font>
      <u/>
      <sz val="11"/>
      <color rgb="FF0000FF"/>
      <name val="Calibri"/>
    </font>
    <font>
      <u/>
      <sz val="11"/>
      <color rgb="FF0000FF"/>
      <name val="Calibri"/>
    </font>
    <font>
      <u/>
      <sz val="11"/>
      <color rgb="FF1155CC"/>
      <name val="Calibri"/>
    </font>
    <font>
      <u/>
      <sz val="9"/>
      <color rgb="FF000000"/>
      <name val="Calibri"/>
    </font>
    <font>
      <u/>
      <sz val="9"/>
      <color rgb="FF000000"/>
      <name val="Calibri"/>
    </font>
    <font>
      <u/>
      <sz val="9"/>
      <color rgb="FF0000FF"/>
      <name val="Calibri"/>
    </font>
    <font>
      <u/>
      <sz val="9"/>
      <color rgb="FF0000FF"/>
      <name val="Calibri"/>
    </font>
    <font>
      <u/>
      <sz val="9"/>
      <color rgb="FF0000FF"/>
      <name val="Calibri"/>
    </font>
    <font>
      <sz val="9"/>
      <color rgb="FF666666"/>
      <name val="Calibri"/>
    </font>
    <font>
      <sz val="9"/>
      <color rgb="FF666666"/>
      <name val="Robotolight"/>
    </font>
    <font>
      <sz val="9"/>
      <color rgb="FF666666"/>
      <name val="Arial"/>
    </font>
    <font>
      <u/>
      <sz val="11"/>
      <color rgb="FF0000FF"/>
      <name val="Calibri"/>
    </font>
    <font>
      <sz val="8"/>
      <color rgb="FF333333"/>
      <name val="Arial"/>
    </font>
    <font>
      <sz val="8"/>
      <color rgb="FF666666"/>
      <name val="Robotolight"/>
    </font>
    <font>
      <sz val="8"/>
      <color rgb="FF000000"/>
      <name val="Arial"/>
    </font>
    <font>
      <b/>
      <sz val="9"/>
      <color rgb="FF333333"/>
      <name val="Calibri"/>
    </font>
    <font>
      <b/>
      <sz val="11"/>
      <color rgb="FF000000"/>
      <name val="Calibri"/>
    </font>
    <font>
      <sz val="9"/>
      <color rgb="FFFF0000"/>
      <name val="Calibri"/>
    </font>
    <font>
      <u/>
      <sz val="11"/>
      <color rgb="FF0563C1"/>
      <name val="Calibri"/>
    </font>
    <font>
      <sz val="10"/>
      <name val="Calibri"/>
    </font>
    <font>
      <u/>
      <sz val="9"/>
      <color rgb="FF0000FF"/>
      <name val="Calibri"/>
    </font>
    <font>
      <sz val="9"/>
      <color rgb="FF000000"/>
      <name val="Arial"/>
    </font>
    <font>
      <sz val="9"/>
      <color rgb="FF000000"/>
      <name val="&quot;Open Sans&quot;"/>
    </font>
    <font>
      <sz val="9"/>
      <name val="Calibri"/>
    </font>
    <font>
      <u/>
      <sz val="9"/>
      <color rgb="FF000000"/>
      <name val="Calibri"/>
    </font>
    <font>
      <sz val="9"/>
      <color rgb="FF333333"/>
      <name val="&quot;Times New Roman&quot;"/>
    </font>
    <font>
      <sz val="9"/>
      <color rgb="FFCC0000"/>
      <name val="Calibri"/>
    </font>
    <font>
      <u/>
      <sz val="11"/>
      <color rgb="FF000000"/>
      <name val="Calibri"/>
    </font>
    <font>
      <u/>
      <sz val="11"/>
      <color rgb="FF000000"/>
      <name val="Calibri"/>
    </font>
    <font>
      <u/>
      <sz val="11"/>
      <color rgb="FF0563C1"/>
      <name val="Calibri"/>
    </font>
    <font>
      <u/>
      <sz val="11"/>
      <color rgb="FF0563C1"/>
      <name val="Calibri"/>
    </font>
    <font>
      <u/>
      <sz val="11"/>
      <color rgb="FF0563C1"/>
      <name val="Calibri"/>
    </font>
    <font>
      <u/>
      <sz val="11"/>
      <color rgb="FF0000FF"/>
      <name val="Calibri"/>
    </font>
    <font>
      <sz val="9"/>
      <color rgb="FF000000"/>
      <name val="Docs-Calibri"/>
    </font>
    <font>
      <b/>
      <u/>
      <sz val="11"/>
      <color rgb="FF0000FF"/>
      <name val="Calibri"/>
    </font>
    <font>
      <u/>
      <sz val="9"/>
      <color rgb="FF1155CC"/>
      <name val="Calibri"/>
    </font>
    <font>
      <u/>
      <sz val="11"/>
      <color rgb="FF0000FF"/>
      <name val="Calibri"/>
    </font>
    <font>
      <b/>
      <u/>
      <sz val="20"/>
      <color rgb="FFFFFFFF"/>
      <name val="Calibri"/>
    </font>
    <font>
      <u/>
      <sz val="11"/>
      <color rgb="FF0000FF"/>
      <name val="Calibri"/>
    </font>
    <font>
      <b/>
      <u/>
      <sz val="11"/>
      <color rgb="FF0000FF"/>
      <name val="Calibri"/>
    </font>
    <font>
      <b/>
      <u/>
      <sz val="11"/>
      <color rgb="FF0000FF"/>
      <name val="Calibri"/>
    </font>
    <font>
      <b/>
      <u/>
      <sz val="11"/>
      <color rgb="FF000000"/>
      <name val="Calibri"/>
    </font>
    <font>
      <b/>
      <sz val="20"/>
      <color rgb="FFFFFFFF"/>
      <name val="Calibri"/>
    </font>
    <font>
      <u/>
      <sz val="9"/>
      <color rgb="FF0000FF"/>
      <name val="Calibri"/>
    </font>
    <font>
      <sz val="9"/>
      <color rgb="FF0000FF"/>
      <name val="Calibri"/>
    </font>
    <font>
      <b/>
      <u/>
      <sz val="20"/>
      <color rgb="FFFFFFFF"/>
      <name val="Calibri"/>
    </font>
    <font>
      <b/>
      <sz val="14"/>
      <name val="Calibri"/>
    </font>
    <font>
      <u/>
      <sz val="11"/>
      <color rgb="FF0000FF"/>
      <name val="Calibri"/>
    </font>
    <font>
      <u/>
      <sz val="11"/>
      <color rgb="FF0000FF"/>
      <name val="Calibri"/>
    </font>
    <font>
      <u/>
      <sz val="11"/>
      <color rgb="FF0000FF"/>
      <name val="Calibri"/>
    </font>
    <font>
      <b/>
      <u/>
      <sz val="11"/>
      <color rgb="FF0000FF"/>
      <name val="Calibri"/>
    </font>
    <font>
      <u/>
      <sz val="9"/>
      <color rgb="FF1155CC"/>
      <name val="Calibri"/>
    </font>
    <font>
      <b/>
      <u/>
      <sz val="20"/>
      <color rgb="FFFFFFFF"/>
      <name val="Calibri"/>
    </font>
    <font>
      <u/>
      <sz val="11"/>
      <color rgb="FF000000"/>
      <name val="Calibri"/>
    </font>
    <font>
      <u/>
      <sz val="9"/>
      <color rgb="FF000000"/>
      <name val="Calibri"/>
    </font>
    <font>
      <u/>
      <sz val="9"/>
      <color rgb="FF1155CC"/>
      <name val="Calibri"/>
    </font>
    <font>
      <u/>
      <sz val="11"/>
      <color rgb="FF1155CC"/>
      <name val="Calibri"/>
    </font>
    <font>
      <u/>
      <sz val="9"/>
      <color rgb="FF1155CC"/>
      <name val="Calibri"/>
    </font>
    <font>
      <u/>
      <sz val="11"/>
      <color rgb="FF1155CC"/>
      <name val="Calibri"/>
    </font>
    <font>
      <u/>
      <sz val="9"/>
      <color rgb="FF1155CC"/>
      <name val="Calibri"/>
    </font>
    <font>
      <sz val="20"/>
      <color rgb="FF000000"/>
      <name val="Calibri"/>
    </font>
    <font>
      <sz val="14"/>
      <name val="Calibri"/>
    </font>
    <font>
      <sz val="10"/>
      <name val="Calibri"/>
    </font>
    <font>
      <u/>
      <sz val="9"/>
      <color rgb="FF000000"/>
      <name val="Calibri"/>
    </font>
    <font>
      <b/>
      <sz val="9"/>
      <color rgb="FF000000"/>
      <name val="Calibri"/>
    </font>
    <font>
      <u/>
      <sz val="9"/>
      <color rgb="FF000000"/>
      <name val="Calibri"/>
    </font>
    <font>
      <u/>
      <sz val="9"/>
      <color rgb="FF1155CC"/>
      <name val="Calibri"/>
    </font>
    <font>
      <u/>
      <sz val="9"/>
      <color rgb="FF1155CC"/>
      <name val="Calibri"/>
    </font>
    <font>
      <u/>
      <sz val="9"/>
      <color rgb="FF1155CC"/>
      <name val="Calibri"/>
    </font>
    <font>
      <u/>
      <sz val="9"/>
      <color rgb="FF1155CC"/>
      <name val="Calibri"/>
    </font>
    <font>
      <u/>
      <sz val="9"/>
      <color rgb="FF1155CC"/>
      <name val="Calibri"/>
    </font>
    <font>
      <sz val="11"/>
      <name val="Calibri"/>
    </font>
    <font>
      <sz val="11"/>
      <color rgb="FF000000"/>
      <name val="Calibri"/>
    </font>
    <font>
      <u/>
      <sz val="11"/>
      <color rgb="FF0563C1"/>
      <name val="Calibri"/>
    </font>
    <font>
      <u/>
      <sz val="9"/>
      <color rgb="FF1155CC"/>
      <name val="Calibri"/>
    </font>
    <font>
      <u/>
      <sz val="9"/>
      <color rgb="FF1155CC"/>
      <name val="Calibri"/>
    </font>
    <font>
      <u/>
      <sz val="9"/>
      <color rgb="FF1155CC"/>
      <name val="Calibri"/>
    </font>
    <font>
      <u/>
      <sz val="9"/>
      <color rgb="FF1155CC"/>
      <name val="Calibri"/>
    </font>
    <font>
      <u/>
      <sz val="9"/>
      <color rgb="FF1155CC"/>
      <name val="Calibri"/>
    </font>
    <font>
      <u/>
      <sz val="9"/>
      <color rgb="FF1155CC"/>
      <name val="Calibri"/>
    </font>
    <font>
      <u/>
      <sz val="9"/>
      <color rgb="FF000000"/>
      <name val="Calibri"/>
    </font>
    <font>
      <u/>
      <sz val="9"/>
      <color rgb="FF000000"/>
      <name val="Calibri"/>
    </font>
    <font>
      <u/>
      <sz val="9"/>
      <color rgb="FF000000"/>
      <name val="Calibri"/>
    </font>
    <font>
      <u/>
      <sz val="9"/>
      <color rgb="FF1155CC"/>
      <name val="Calibri"/>
    </font>
    <font>
      <u/>
      <sz val="11"/>
      <color rgb="FF000000"/>
      <name val="Calibri"/>
    </font>
    <font>
      <u/>
      <sz val="11"/>
      <color rgb="FF000000"/>
      <name val="Calibri"/>
    </font>
    <font>
      <u/>
      <sz val="11"/>
      <color rgb="FF000000"/>
      <name val="Calibri"/>
    </font>
    <font>
      <b/>
      <sz val="14"/>
      <name val="Arial"/>
    </font>
    <font>
      <u/>
      <sz val="9"/>
      <color rgb="FF0000FF"/>
      <name val="Calibri"/>
    </font>
    <font>
      <u/>
      <sz val="9"/>
      <color rgb="FF0000FF"/>
      <name val="Calibri"/>
    </font>
    <font>
      <u/>
      <sz val="9"/>
      <color rgb="FF0000FF"/>
      <name val="Calibri"/>
    </font>
    <font>
      <u/>
      <sz val="9"/>
      <color rgb="FF000000"/>
      <name val="Calibri"/>
    </font>
    <font>
      <u/>
      <sz val="9"/>
      <color rgb="FF000000"/>
      <name val="Calibri"/>
    </font>
    <font>
      <u/>
      <sz val="9"/>
      <color rgb="FF000000"/>
      <name val="Calibri"/>
    </font>
    <font>
      <u/>
      <sz val="9"/>
      <color rgb="FF000000"/>
      <name val="Calibri"/>
    </font>
    <font>
      <u/>
      <sz val="9"/>
      <color rgb="FF000000"/>
      <name val="Calibri"/>
    </font>
    <font>
      <u/>
      <sz val="9"/>
      <color rgb="FF000000"/>
      <name val="Calibri"/>
    </font>
    <font>
      <u/>
      <sz val="9"/>
      <color rgb="FF0000FF"/>
      <name val="Calibri"/>
    </font>
    <font>
      <u/>
      <sz val="9"/>
      <color rgb="FF1155CC"/>
      <name val="Calibri"/>
    </font>
    <font>
      <i/>
      <sz val="9"/>
      <name val="Calibri"/>
    </font>
    <font>
      <u/>
      <sz val="9"/>
      <color rgb="FF1155CC"/>
      <name val="Calibri"/>
    </font>
    <font>
      <u/>
      <sz val="11"/>
      <color rgb="FF1155CC"/>
      <name val="Calibri"/>
    </font>
    <font>
      <u/>
      <sz val="9"/>
      <color rgb="FF1155CC"/>
      <name val="Calibri"/>
    </font>
    <font>
      <u/>
      <sz val="9"/>
      <color rgb="FF1155CC"/>
      <name val="Calibri"/>
    </font>
    <font>
      <u/>
      <sz val="9"/>
      <color rgb="FF1155CC"/>
      <name val="Calibri"/>
    </font>
    <font>
      <u/>
      <sz val="9"/>
      <color rgb="FF1155CC"/>
      <name val="Calibri"/>
    </font>
    <font>
      <b/>
      <u/>
      <sz val="20"/>
      <color rgb="FFFFFFFF"/>
      <name val="Calibri"/>
    </font>
    <font>
      <u/>
      <sz val="11"/>
      <color rgb="FF305496"/>
      <name val="Calibri"/>
    </font>
    <font>
      <u/>
      <sz val="11"/>
      <color rgb="FF305496"/>
      <name val="Calibri"/>
    </font>
    <font>
      <sz val="11"/>
      <color rgb="FF305496"/>
      <name val="Calibri"/>
    </font>
    <font>
      <u/>
      <sz val="11"/>
      <color rgb="FF0563C1"/>
      <name val="Calibri"/>
    </font>
    <font>
      <u/>
      <sz val="11"/>
      <color rgb="FF0563C1"/>
      <name val="Calibri"/>
    </font>
    <font>
      <u/>
      <sz val="11"/>
      <color rgb="FF0563C1"/>
      <name val="Calibri"/>
    </font>
    <font>
      <u/>
      <sz val="11"/>
      <name val="Calibri"/>
    </font>
    <font>
      <u/>
      <sz val="11"/>
      <color rgb="FF0563C1"/>
      <name val="Calibri"/>
    </font>
    <font>
      <u/>
      <sz val="11"/>
      <color rgb="FF0563C1"/>
      <name val="Calibri"/>
    </font>
    <font>
      <b/>
      <u/>
      <sz val="20"/>
      <color rgb="FFFFFFFF"/>
      <name val="Calibri"/>
    </font>
    <font>
      <u/>
      <sz val="10"/>
      <color rgb="FF0000FF"/>
      <name val="Calibri"/>
    </font>
    <font>
      <sz val="11"/>
      <color rgb="FF000000"/>
      <name val="Docs-Calibri"/>
    </font>
    <font>
      <u/>
      <sz val="11"/>
      <color rgb="FF0000FF"/>
      <name val="Calibri"/>
    </font>
    <font>
      <u/>
      <sz val="11"/>
      <color rgb="FF1155CC"/>
      <name val="Calibri"/>
    </font>
    <font>
      <u/>
      <sz val="11"/>
      <color rgb="FF1155CC"/>
      <name val="Calibri"/>
    </font>
    <font>
      <u/>
      <sz val="11"/>
      <color rgb="FF0000FF"/>
      <name val="Calibri"/>
    </font>
    <font>
      <u/>
      <sz val="11"/>
      <color rgb="FF1155CC"/>
      <name val="Calibri"/>
    </font>
    <font>
      <u/>
      <sz val="11"/>
      <color rgb="FF1155CC"/>
      <name val="Calibri"/>
    </font>
    <font>
      <u/>
      <sz val="11"/>
      <color rgb="FF1155CC"/>
      <name val="Calibri"/>
    </font>
    <font>
      <u/>
      <sz val="11"/>
      <color rgb="FF0563C1"/>
      <name val="Calibri"/>
    </font>
    <font>
      <u/>
      <sz val="11"/>
      <color rgb="FF0000FF"/>
      <name val="Calibri"/>
    </font>
    <font>
      <u/>
      <sz val="11"/>
      <color rgb="FFFF0000"/>
      <name val="Calibri"/>
    </font>
    <font>
      <u/>
      <sz val="11"/>
      <color rgb="FF0563C1"/>
      <name val="Calibri"/>
    </font>
    <font>
      <u/>
      <sz val="11"/>
      <color rgb="FF0563C1"/>
      <name val="Calibri"/>
    </font>
    <font>
      <u/>
      <sz val="11"/>
      <color rgb="FF0563C1"/>
      <name val="Calibri"/>
    </font>
    <font>
      <u/>
      <sz val="11"/>
      <color rgb="FF0563C1"/>
      <name val="Calibri"/>
    </font>
    <font>
      <b/>
      <u/>
      <sz val="20"/>
      <color rgb="FFFFFFFF"/>
      <name val="Calibri"/>
    </font>
    <font>
      <b/>
      <sz val="14"/>
      <color rgb="FF000000"/>
      <name val="Calibri"/>
    </font>
    <font>
      <b/>
      <sz val="10"/>
      <color rgb="FF000000"/>
      <name val="Calibri"/>
    </font>
    <font>
      <u/>
      <sz val="11"/>
      <color rgb="FF000000"/>
      <name val="Calibri"/>
    </font>
    <font>
      <u/>
      <sz val="11"/>
      <color rgb="FF000000"/>
      <name val="Calibri"/>
    </font>
    <font>
      <u/>
      <sz val="11"/>
      <color rgb="FF000000"/>
      <name val="Calibri"/>
    </font>
    <font>
      <u/>
      <sz val="11"/>
      <color rgb="FF000000"/>
      <name val="Calibri"/>
    </font>
    <font>
      <u/>
      <sz val="11"/>
      <color rgb="FF000000"/>
      <name val="Calibri"/>
    </font>
    <font>
      <u/>
      <sz val="11"/>
      <color rgb="FF000000"/>
      <name val="Calibri"/>
    </font>
    <font>
      <u/>
      <sz val="11"/>
      <color rgb="FF000000"/>
      <name val="Calibri"/>
    </font>
    <font>
      <i/>
      <u/>
      <sz val="9"/>
      <color rgb="FF954F72"/>
      <name val="Arial Narrow"/>
    </font>
    <font>
      <i/>
      <sz val="9"/>
      <color rgb="FF000000"/>
      <name val="Arial Narrow"/>
    </font>
    <font>
      <u/>
      <sz val="9"/>
      <color rgb="FF1155CC"/>
      <name val="Calibri, sans-serif"/>
    </font>
    <font>
      <sz val="9"/>
      <color rgb="FF000000"/>
      <name val="Calibri, sans-serif"/>
    </font>
  </fonts>
  <fills count="10">
    <fill>
      <patternFill patternType="none"/>
    </fill>
    <fill>
      <patternFill patternType="gray125"/>
    </fill>
    <fill>
      <patternFill patternType="solid">
        <fgColor rgb="FFF3F3F3"/>
        <bgColor rgb="FFF3F3F3"/>
      </patternFill>
    </fill>
    <fill>
      <patternFill patternType="solid">
        <fgColor rgb="FF1155CC"/>
        <bgColor rgb="FF1155CC"/>
      </patternFill>
    </fill>
    <fill>
      <patternFill patternType="solid">
        <fgColor rgb="FFFFFFFF"/>
        <bgColor rgb="FFFFFFFF"/>
      </patternFill>
    </fill>
    <fill>
      <patternFill patternType="solid">
        <fgColor rgb="FF0000FF"/>
        <bgColor rgb="FF0000FF"/>
      </patternFill>
    </fill>
    <fill>
      <patternFill patternType="solid">
        <fgColor rgb="FFFFFFCC"/>
        <bgColor rgb="FFFFFFCC"/>
      </patternFill>
    </fill>
    <fill>
      <patternFill patternType="solid">
        <fgColor rgb="FFFFFF00"/>
        <bgColor rgb="FFFFFF00"/>
      </patternFill>
    </fill>
    <fill>
      <patternFill patternType="solid">
        <fgColor rgb="FFFDF8F8"/>
        <bgColor rgb="FFFDF8F8"/>
      </patternFill>
    </fill>
    <fill>
      <patternFill patternType="solid">
        <fgColor rgb="FFFFC000"/>
        <bgColor rgb="FFFFC000"/>
      </patternFill>
    </fill>
  </fills>
  <borders count="3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style="medium">
        <color rgb="FF000000"/>
      </right>
      <top/>
      <bottom/>
      <diagonal/>
    </border>
    <border>
      <left/>
      <right/>
      <top style="medium">
        <color rgb="FF000000"/>
      </top>
      <bottom style="medium">
        <color rgb="FF000000"/>
      </bottom>
      <diagonal/>
    </border>
    <border>
      <left/>
      <right style="thin">
        <color rgb="FF000000"/>
      </right>
      <top/>
      <bottom/>
      <diagonal/>
    </border>
    <border>
      <left/>
      <right style="thin">
        <color rgb="FF000000"/>
      </right>
      <top/>
      <bottom style="medium">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diagonal/>
    </border>
    <border>
      <left style="medium">
        <color rgb="FF000000"/>
      </left>
      <right style="medium">
        <color rgb="FF000000"/>
      </right>
      <top/>
      <bottom/>
      <diagonal/>
    </border>
    <border>
      <left/>
      <right style="medium">
        <color rgb="FF000000"/>
      </right>
      <top/>
      <bottom/>
      <diagonal/>
    </border>
  </borders>
  <cellStyleXfs count="1">
    <xf numFmtId="0" fontId="0" fillId="0" borderId="0"/>
  </cellStyleXfs>
  <cellXfs count="794">
    <xf numFmtId="0" fontId="0" fillId="0" borderId="0" xfId="0" applyFont="1" applyAlignment="1"/>
    <xf numFmtId="0" fontId="1" fillId="2" borderId="0" xfId="0" applyFont="1" applyFill="1" applyAlignment="1">
      <alignment horizontal="center"/>
    </xf>
    <xf numFmtId="0" fontId="1" fillId="2" borderId="0" xfId="0" applyFont="1" applyFill="1"/>
    <xf numFmtId="0" fontId="1" fillId="2" borderId="0" xfId="0" applyFont="1" applyFill="1" applyAlignment="1">
      <alignment horizontal="left"/>
    </xf>
    <xf numFmtId="14" fontId="1" fillId="2" borderId="0" xfId="0" applyNumberFormat="1" applyFont="1" applyFill="1" applyAlignment="1">
      <alignment horizontal="center"/>
    </xf>
    <xf numFmtId="0" fontId="2" fillId="3" borderId="4" xfId="0" applyFont="1" applyFill="1" applyBorder="1" applyAlignment="1">
      <alignment horizontal="center" vertical="center"/>
    </xf>
    <xf numFmtId="0" fontId="2" fillId="3" borderId="4" xfId="0" applyFont="1" applyFill="1" applyBorder="1" applyAlignment="1">
      <alignment horizontal="left" vertical="center"/>
    </xf>
    <xf numFmtId="0" fontId="1" fillId="2" borderId="4" xfId="0" applyFont="1" applyFill="1" applyBorder="1" applyAlignment="1">
      <alignment horizontal="center"/>
    </xf>
    <xf numFmtId="0" fontId="3" fillId="0" borderId="4" xfId="0" applyFont="1" applyBorder="1" applyAlignment="1"/>
    <xf numFmtId="0" fontId="4" fillId="2" borderId="4" xfId="0" applyFont="1" applyFill="1" applyBorder="1" applyAlignment="1">
      <alignment horizontal="left"/>
    </xf>
    <xf numFmtId="0" fontId="1" fillId="2" borderId="4" xfId="0" applyFont="1" applyFill="1" applyBorder="1" applyAlignment="1">
      <alignment horizontal="center"/>
    </xf>
    <xf numFmtId="0" fontId="4" fillId="2" borderId="4" xfId="0" applyFont="1" applyFill="1" applyBorder="1" applyAlignment="1">
      <alignment horizontal="left"/>
    </xf>
    <xf numFmtId="0" fontId="4" fillId="4" borderId="4" xfId="0" applyFont="1" applyFill="1" applyBorder="1" applyAlignment="1">
      <alignment horizontal="left"/>
    </xf>
    <xf numFmtId="0" fontId="4" fillId="4" borderId="4" xfId="0" applyFont="1" applyFill="1" applyBorder="1" applyAlignment="1">
      <alignment horizontal="left"/>
    </xf>
    <xf numFmtId="0" fontId="5" fillId="4" borderId="4" xfId="0" applyFont="1" applyFill="1" applyBorder="1" applyAlignment="1">
      <alignment horizontal="left"/>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0" fillId="0" borderId="0" xfId="0" applyFont="1" applyAlignment="1">
      <alignment horizontal="center" vertical="center" wrapText="1"/>
    </xf>
    <xf numFmtId="0" fontId="0" fillId="4" borderId="7" xfId="0" applyFont="1" applyFill="1" applyBorder="1" applyAlignment="1">
      <alignment horizontal="center" vertical="center" wrapText="1"/>
    </xf>
    <xf numFmtId="0" fontId="6" fillId="0" borderId="0" xfId="0" applyFont="1" applyAlignment="1">
      <alignment horizontal="center" vertical="center"/>
    </xf>
    <xf numFmtId="0" fontId="7" fillId="5" borderId="4" xfId="0" applyFont="1" applyFill="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9" fillId="6" borderId="4" xfId="0" applyFont="1" applyFill="1" applyBorder="1" applyAlignment="1">
      <alignment horizontal="left" vertical="center" wrapText="1"/>
    </xf>
    <xf numFmtId="0" fontId="9" fillId="6" borderId="4" xfId="0" applyFont="1" applyFill="1" applyBorder="1" applyAlignment="1">
      <alignment horizontal="center" vertical="center" wrapText="1"/>
    </xf>
    <xf numFmtId="0" fontId="9" fillId="6" borderId="4" xfId="0" applyFont="1" applyFill="1" applyBorder="1" applyAlignment="1">
      <alignment horizontal="center" vertical="center" wrapText="1"/>
    </xf>
    <xf numFmtId="0" fontId="9" fillId="6" borderId="11" xfId="0" applyFont="1" applyFill="1" applyBorder="1" applyAlignment="1">
      <alignment horizontal="center" vertical="center" wrapText="1"/>
    </xf>
    <xf numFmtId="0" fontId="9" fillId="6" borderId="12" xfId="0" applyFont="1" applyFill="1" applyBorder="1" applyAlignment="1">
      <alignment horizontal="center" vertical="center" wrapText="1"/>
    </xf>
    <xf numFmtId="0" fontId="10" fillId="0" borderId="0" xfId="0" applyFont="1" applyAlignment="1">
      <alignment horizontal="center" vertical="center" wrapText="1"/>
    </xf>
    <xf numFmtId="0" fontId="10" fillId="4" borderId="7" xfId="0" applyFont="1" applyFill="1" applyBorder="1" applyAlignment="1">
      <alignment horizontal="center" vertical="center" wrapText="1"/>
    </xf>
    <xf numFmtId="0" fontId="11" fillId="4" borderId="4" xfId="0" applyFont="1" applyFill="1" applyBorder="1" applyAlignment="1">
      <alignment horizontal="left" vertical="center" wrapText="1"/>
    </xf>
    <xf numFmtId="14" fontId="12" fillId="4" borderId="4" xfId="0" applyNumberFormat="1" applyFont="1" applyFill="1" applyBorder="1" applyAlignment="1">
      <alignment horizontal="center" vertical="center"/>
    </xf>
    <xf numFmtId="0" fontId="12" fillId="4" borderId="4" xfId="0" applyFont="1" applyFill="1" applyBorder="1" applyAlignment="1">
      <alignment horizontal="center" vertical="center" wrapText="1"/>
    </xf>
    <xf numFmtId="0" fontId="12" fillId="4" borderId="4" xfId="0" applyFont="1" applyFill="1" applyBorder="1" applyAlignment="1">
      <alignment horizontal="left" vertical="center" wrapText="1"/>
    </xf>
    <xf numFmtId="0" fontId="12" fillId="4" borderId="4" xfId="0" applyFont="1" applyFill="1" applyBorder="1" applyAlignment="1">
      <alignment horizontal="center"/>
    </xf>
    <xf numFmtId="0" fontId="12" fillId="0" borderId="0" xfId="0" applyFont="1" applyAlignment="1">
      <alignment vertical="center"/>
    </xf>
    <xf numFmtId="0" fontId="12" fillId="4" borderId="7" xfId="0" applyFont="1" applyFill="1" applyBorder="1" applyAlignment="1">
      <alignment vertical="center"/>
    </xf>
    <xf numFmtId="0" fontId="13" fillId="4" borderId="4" xfId="0" applyFont="1" applyFill="1" applyBorder="1" applyAlignment="1">
      <alignment horizontal="left" vertical="center" wrapText="1"/>
    </xf>
    <xf numFmtId="164" fontId="12" fillId="4" borderId="4" xfId="0" applyNumberFormat="1" applyFont="1" applyFill="1" applyBorder="1" applyAlignment="1">
      <alignment horizontal="center" vertical="center"/>
    </xf>
    <xf numFmtId="0" fontId="12" fillId="4" borderId="4" xfId="0" applyFont="1" applyFill="1" applyBorder="1" applyAlignment="1">
      <alignment horizontal="left" vertical="center" wrapText="1"/>
    </xf>
    <xf numFmtId="0" fontId="12" fillId="4" borderId="4" xfId="0" applyFont="1" applyFill="1" applyBorder="1" applyAlignment="1">
      <alignment horizontal="center" vertical="center" wrapText="1"/>
    </xf>
    <xf numFmtId="14" fontId="12" fillId="4" borderId="4" xfId="0" applyNumberFormat="1" applyFont="1" applyFill="1" applyBorder="1" applyAlignment="1">
      <alignment horizontal="center" vertical="center" wrapText="1"/>
    </xf>
    <xf numFmtId="0" fontId="14" fillId="4" borderId="4" xfId="0" applyFont="1" applyFill="1" applyBorder="1" applyAlignment="1">
      <alignment horizontal="left" vertical="center" wrapText="1"/>
    </xf>
    <xf numFmtId="0" fontId="15" fillId="4" borderId="4" xfId="0" applyFont="1" applyFill="1" applyBorder="1" applyAlignment="1">
      <alignment horizontal="left" vertical="center" wrapText="1"/>
    </xf>
    <xf numFmtId="0" fontId="16" fillId="4" borderId="4" xfId="0" applyFont="1" applyFill="1" applyBorder="1" applyAlignment="1">
      <alignment horizontal="left"/>
    </xf>
    <xf numFmtId="14" fontId="12" fillId="4" borderId="3" xfId="0" applyNumberFormat="1" applyFont="1" applyFill="1" applyBorder="1" applyAlignment="1">
      <alignment horizontal="center"/>
    </xf>
    <xf numFmtId="0" fontId="12" fillId="4" borderId="3" xfId="0" applyFont="1" applyFill="1" applyBorder="1" applyAlignment="1">
      <alignment horizontal="center"/>
    </xf>
    <xf numFmtId="0" fontId="12" fillId="4" borderId="3" xfId="0" applyFont="1" applyFill="1" applyBorder="1" applyAlignment="1">
      <alignment horizontal="left"/>
    </xf>
    <xf numFmtId="0" fontId="17" fillId="4" borderId="4" xfId="0" applyFont="1" applyFill="1" applyBorder="1" applyAlignment="1">
      <alignment horizontal="left" vertical="center" wrapText="1"/>
    </xf>
    <xf numFmtId="0" fontId="18" fillId="4" borderId="4" xfId="0" applyFont="1" applyFill="1" applyBorder="1" applyAlignment="1">
      <alignment horizontal="left" vertical="center" wrapText="1"/>
    </xf>
    <xf numFmtId="14" fontId="19" fillId="0" borderId="4" xfId="0" applyNumberFormat="1" applyFont="1" applyBorder="1" applyAlignment="1">
      <alignment horizontal="center" vertical="center"/>
    </xf>
    <xf numFmtId="0" fontId="12" fillId="0" borderId="4" xfId="0" applyFont="1" applyBorder="1" applyAlignment="1">
      <alignment horizontal="center" vertical="center" wrapText="1"/>
    </xf>
    <xf numFmtId="0" fontId="12" fillId="0" borderId="4" xfId="0" applyFont="1" applyBorder="1" applyAlignment="1">
      <alignment horizontal="left" vertical="center" wrapText="1"/>
    </xf>
    <xf numFmtId="0" fontId="12" fillId="0" borderId="4" xfId="0" applyFont="1" applyBorder="1" applyAlignment="1">
      <alignment horizontal="center"/>
    </xf>
    <xf numFmtId="0" fontId="12" fillId="0" borderId="4" xfId="0" applyFont="1" applyBorder="1" applyAlignment="1">
      <alignment horizontal="left" vertical="center" wrapText="1"/>
    </xf>
    <xf numFmtId="0" fontId="12" fillId="0" borderId="4" xfId="0" applyFont="1" applyBorder="1" applyAlignment="1">
      <alignment horizontal="center" vertical="center" wrapText="1"/>
    </xf>
    <xf numFmtId="0" fontId="20" fillId="0" borderId="4" xfId="0" applyFont="1" applyBorder="1" applyAlignment="1"/>
    <xf numFmtId="164" fontId="19" fillId="0" borderId="4" xfId="0" applyNumberFormat="1" applyFont="1" applyBorder="1" applyAlignment="1">
      <alignment horizontal="center"/>
    </xf>
    <xf numFmtId="0" fontId="19" fillId="0" borderId="4" xfId="0" applyFont="1" applyBorder="1" applyAlignment="1">
      <alignment horizontal="center" wrapText="1"/>
    </xf>
    <xf numFmtId="0" fontId="19" fillId="0" borderId="4" xfId="0" applyFont="1" applyBorder="1" applyAlignment="1"/>
    <xf numFmtId="0" fontId="19" fillId="0" borderId="4" xfId="0" applyFont="1" applyBorder="1" applyAlignment="1">
      <alignment horizontal="center"/>
    </xf>
    <xf numFmtId="0" fontId="0" fillId="0" borderId="0" xfId="0" applyFont="1" applyAlignment="1"/>
    <xf numFmtId="0" fontId="0" fillId="0" borderId="0" xfId="0" applyFont="1" applyAlignment="1"/>
    <xf numFmtId="0" fontId="14" fillId="4" borderId="4" xfId="0" applyFont="1" applyFill="1" applyBorder="1" applyAlignment="1">
      <alignment horizontal="left" vertical="center" wrapText="1"/>
    </xf>
    <xf numFmtId="0" fontId="12" fillId="4" borderId="4" xfId="0" applyFont="1" applyFill="1" applyBorder="1" applyAlignment="1">
      <alignment horizontal="center" vertical="center"/>
    </xf>
    <xf numFmtId="0" fontId="21" fillId="4" borderId="4" xfId="0" applyFont="1" applyFill="1" applyBorder="1" applyAlignment="1">
      <alignment horizontal="left" vertical="center" wrapText="1"/>
    </xf>
    <xf numFmtId="0" fontId="22" fillId="0" borderId="4" xfId="0" applyFont="1" applyBorder="1" applyAlignment="1">
      <alignment horizontal="left" vertical="center" wrapText="1"/>
    </xf>
    <xf numFmtId="0" fontId="23" fillId="0" borderId="4" xfId="0" applyFont="1" applyBorder="1" applyAlignment="1">
      <alignment horizontal="left" vertical="center" wrapText="1"/>
    </xf>
    <xf numFmtId="0" fontId="24" fillId="0" borderId="4" xfId="0" applyFont="1" applyBorder="1" applyAlignment="1">
      <alignment horizontal="left" vertical="center" wrapText="1"/>
    </xf>
    <xf numFmtId="0" fontId="0" fillId="0" borderId="4" xfId="0" applyFont="1" applyBorder="1" applyAlignment="1">
      <alignment horizontal="left" vertical="center" wrapText="1"/>
    </xf>
    <xf numFmtId="0" fontId="14" fillId="4" borderId="4" xfId="0" applyFont="1" applyFill="1" applyBorder="1" applyAlignment="1">
      <alignment horizontal="left" vertical="center" wrapText="1"/>
    </xf>
    <xf numFmtId="14" fontId="19" fillId="0" borderId="4" xfId="0" applyNumberFormat="1" applyFont="1" applyBorder="1" applyAlignment="1">
      <alignment horizontal="center"/>
    </xf>
    <xf numFmtId="0" fontId="25" fillId="0" borderId="4" xfId="0" applyFont="1" applyBorder="1" applyAlignment="1"/>
    <xf numFmtId="0" fontId="19" fillId="0" borderId="4" xfId="0" applyFont="1" applyBorder="1" applyAlignment="1">
      <alignment vertical="center" wrapText="1"/>
    </xf>
    <xf numFmtId="0" fontId="12" fillId="4" borderId="0" xfId="0" applyFont="1" applyFill="1" applyAlignment="1">
      <alignment vertical="center"/>
    </xf>
    <xf numFmtId="0" fontId="27" fillId="4" borderId="0" xfId="0" applyFont="1" applyFill="1" applyAlignment="1">
      <alignment horizontal="left"/>
    </xf>
    <xf numFmtId="0" fontId="9" fillId="6" borderId="4" xfId="0" applyFont="1" applyFill="1" applyBorder="1" applyAlignment="1">
      <alignment horizontal="left" vertical="center" wrapText="1"/>
    </xf>
    <xf numFmtId="0" fontId="28" fillId="0" borderId="4" xfId="0" applyFont="1" applyBorder="1" applyAlignment="1">
      <alignment horizontal="left" vertical="center"/>
    </xf>
    <xf numFmtId="14" fontId="12" fillId="4" borderId="4" xfId="0" applyNumberFormat="1" applyFont="1" applyFill="1" applyBorder="1" applyAlignment="1">
      <alignment horizontal="center" vertical="center"/>
    </xf>
    <xf numFmtId="0" fontId="12" fillId="4" borderId="4" xfId="0" applyFont="1" applyFill="1" applyBorder="1" applyAlignment="1">
      <alignment horizontal="center" vertical="center" wrapText="1"/>
    </xf>
    <xf numFmtId="0" fontId="12" fillId="4" borderId="4" xfId="0" applyFont="1" applyFill="1" applyBorder="1" applyAlignment="1">
      <alignment horizontal="left" vertical="center" wrapText="1"/>
    </xf>
    <xf numFmtId="0" fontId="12" fillId="4" borderId="4" xfId="0" applyFont="1" applyFill="1" applyBorder="1" applyAlignment="1">
      <alignment horizontal="center" vertical="center"/>
    </xf>
    <xf numFmtId="0" fontId="12" fillId="0" borderId="0" xfId="0" applyFont="1" applyAlignment="1">
      <alignment vertical="center"/>
    </xf>
    <xf numFmtId="0" fontId="12" fillId="0" borderId="0" xfId="0" applyFont="1" applyAlignment="1">
      <alignment vertical="center"/>
    </xf>
    <xf numFmtId="14" fontId="12" fillId="4" borderId="4" xfId="0" applyNumberFormat="1" applyFont="1" applyFill="1" applyBorder="1" applyAlignment="1">
      <alignment horizontal="center" vertical="center"/>
    </xf>
    <xf numFmtId="164" fontId="12" fillId="4" borderId="4" xfId="0" applyNumberFormat="1" applyFont="1" applyFill="1" applyBorder="1" applyAlignment="1">
      <alignment horizontal="center" vertical="center"/>
    </xf>
    <xf numFmtId="164" fontId="12" fillId="4" borderId="4" xfId="0" applyNumberFormat="1" applyFont="1" applyFill="1" applyBorder="1" applyAlignment="1">
      <alignment horizontal="center" vertical="center"/>
    </xf>
    <xf numFmtId="0" fontId="12" fillId="4" borderId="0" xfId="0" applyFont="1" applyFill="1" applyAlignment="1">
      <alignment horizontal="left" vertical="center" wrapText="1"/>
    </xf>
    <xf numFmtId="0" fontId="29" fillId="0" borderId="4" xfId="0" applyFont="1" applyBorder="1" applyAlignment="1">
      <alignment horizontal="left" vertical="center"/>
    </xf>
    <xf numFmtId="0" fontId="30" fillId="4" borderId="4" xfId="0" applyFont="1" applyFill="1" applyBorder="1" applyAlignment="1"/>
    <xf numFmtId="0" fontId="12" fillId="0" borderId="0" xfId="0" applyFont="1" applyAlignment="1">
      <alignment vertical="center"/>
    </xf>
    <xf numFmtId="0" fontId="12" fillId="0" borderId="4" xfId="0" applyFont="1" applyBorder="1" applyAlignment="1">
      <alignment horizontal="center" vertical="center"/>
    </xf>
    <xf numFmtId="0" fontId="31" fillId="0" borderId="4" xfId="0" applyFont="1" applyBorder="1" applyAlignment="1">
      <alignment horizontal="left" vertical="center"/>
    </xf>
    <xf numFmtId="0" fontId="32" fillId="0" borderId="4" xfId="0" applyFont="1" applyBorder="1" applyAlignment="1">
      <alignment horizontal="left" vertical="center"/>
    </xf>
    <xf numFmtId="0" fontId="12" fillId="4" borderId="4" xfId="0" applyFont="1" applyFill="1" applyBorder="1" applyAlignment="1">
      <alignment horizontal="center" vertical="center"/>
    </xf>
    <xf numFmtId="0" fontId="12" fillId="4" borderId="4" xfId="0" applyFont="1" applyFill="1" applyBorder="1" applyAlignment="1">
      <alignment horizontal="center" vertical="center"/>
    </xf>
    <xf numFmtId="0" fontId="12" fillId="0" borderId="4" xfId="0" applyFont="1" applyBorder="1" applyAlignment="1">
      <alignment vertical="center" wrapText="1"/>
    </xf>
    <xf numFmtId="14" fontId="12" fillId="0" borderId="4" xfId="0" applyNumberFormat="1" applyFont="1" applyBorder="1" applyAlignment="1">
      <alignment horizontal="center" vertical="center"/>
    </xf>
    <xf numFmtId="0" fontId="12" fillId="0" borderId="4" xfId="0" applyFont="1" applyBorder="1" applyAlignment="1">
      <alignment horizontal="center" vertical="center" wrapText="1"/>
    </xf>
    <xf numFmtId="0" fontId="12" fillId="0" borderId="4" xfId="0" applyFont="1" applyBorder="1" applyAlignment="1">
      <alignment horizontal="left" vertical="center" wrapText="1"/>
    </xf>
    <xf numFmtId="0" fontId="12" fillId="0" borderId="4" xfId="0" applyFont="1" applyBorder="1" applyAlignment="1">
      <alignment horizontal="center" vertical="center"/>
    </xf>
    <xf numFmtId="0" fontId="12" fillId="4" borderId="0" xfId="0" applyFont="1" applyFill="1" applyAlignment="1">
      <alignment horizontal="center" vertical="center"/>
    </xf>
    <xf numFmtId="0" fontId="33" fillId="0" borderId="4" xfId="0" applyFont="1" applyBorder="1" applyAlignment="1">
      <alignment horizontal="left" vertical="center" wrapText="1"/>
    </xf>
    <xf numFmtId="164" fontId="12" fillId="0" borderId="4" xfId="0" applyNumberFormat="1" applyFont="1" applyBorder="1" applyAlignment="1">
      <alignment horizontal="center" vertical="center" wrapText="1"/>
    </xf>
    <xf numFmtId="0" fontId="12" fillId="0" borderId="0" xfId="0" applyFont="1" applyAlignment="1">
      <alignment horizontal="center" vertical="center" wrapText="1"/>
    </xf>
    <xf numFmtId="0" fontId="34" fillId="0" borderId="0" xfId="0" applyFont="1" applyAlignment="1">
      <alignment horizontal="left" vertical="center" wrapText="1"/>
    </xf>
    <xf numFmtId="164"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left" vertical="center" wrapText="1"/>
    </xf>
    <xf numFmtId="0" fontId="26" fillId="0" borderId="0" xfId="0" applyFont="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0" xfId="0" applyFont="1" applyAlignment="1">
      <alignment horizontal="center" vertical="center"/>
    </xf>
    <xf numFmtId="0" fontId="6" fillId="0" borderId="9" xfId="0" applyFont="1" applyBorder="1" applyAlignment="1">
      <alignment horizontal="center" vertical="center"/>
    </xf>
    <xf numFmtId="0" fontId="35" fillId="0" borderId="4" xfId="0" applyFont="1" applyBorder="1" applyAlignment="1">
      <alignment vertical="center"/>
    </xf>
    <xf numFmtId="0" fontId="12" fillId="4" borderId="4" xfId="0" applyFont="1" applyFill="1" applyBorder="1" applyAlignment="1">
      <alignment horizontal="left" vertical="center"/>
    </xf>
    <xf numFmtId="0" fontId="12" fillId="4" borderId="14" xfId="0" applyFont="1" applyFill="1" applyBorder="1" applyAlignment="1">
      <alignment horizontal="center" vertical="center" wrapText="1"/>
    </xf>
    <xf numFmtId="0" fontId="12" fillId="4" borderId="12" xfId="0" applyFont="1" applyFill="1" applyBorder="1" applyAlignment="1">
      <alignment horizontal="center" vertical="center" wrapText="1"/>
    </xf>
    <xf numFmtId="165" fontId="12" fillId="4" borderId="4" xfId="0" applyNumberFormat="1" applyFont="1" applyFill="1" applyBorder="1" applyAlignment="1">
      <alignment horizontal="center" vertical="center"/>
    </xf>
    <xf numFmtId="0" fontId="12" fillId="4" borderId="11" xfId="0" applyFont="1" applyFill="1" applyBorder="1" applyAlignment="1">
      <alignment horizontal="center" vertical="center" wrapText="1"/>
    </xf>
    <xf numFmtId="0" fontId="36" fillId="4" borderId="4" xfId="0" applyFont="1" applyFill="1" applyBorder="1" applyAlignment="1">
      <alignment vertical="center"/>
    </xf>
    <xf numFmtId="14" fontId="19" fillId="4" borderId="4" xfId="0" applyNumberFormat="1" applyFont="1" applyFill="1" applyBorder="1" applyAlignment="1">
      <alignment horizontal="center" vertical="center"/>
    </xf>
    <xf numFmtId="0" fontId="37" fillId="4" borderId="4" xfId="0" applyFont="1" applyFill="1" applyBorder="1" applyAlignment="1">
      <alignment vertical="center"/>
    </xf>
    <xf numFmtId="0" fontId="12" fillId="4" borderId="4" xfId="0" applyFont="1" applyFill="1" applyBorder="1" applyAlignment="1">
      <alignment horizontal="center" vertical="center" shrinkToFit="1"/>
    </xf>
    <xf numFmtId="0" fontId="12" fillId="4" borderId="4" xfId="0" applyFont="1" applyFill="1" applyBorder="1" applyAlignment="1">
      <alignment horizontal="center" vertical="center"/>
    </xf>
    <xf numFmtId="0" fontId="38" fillId="0" borderId="4" xfId="0" applyFont="1" applyBorder="1" applyAlignment="1">
      <alignment horizontal="left" vertical="center" wrapText="1"/>
    </xf>
    <xf numFmtId="0" fontId="39" fillId="0" borderId="4" xfId="0" applyFont="1" applyBorder="1" applyAlignment="1">
      <alignment horizontal="left" vertical="center" wrapText="1"/>
    </xf>
    <xf numFmtId="14" fontId="12" fillId="0" borderId="4" xfId="0" applyNumberFormat="1" applyFont="1" applyBorder="1" applyAlignment="1">
      <alignment horizontal="center" vertical="center" wrapText="1"/>
    </xf>
    <xf numFmtId="0" fontId="40" fillId="4" borderId="4" xfId="0" applyFont="1" applyFill="1" applyBorder="1" applyAlignment="1">
      <alignment wrapText="1"/>
    </xf>
    <xf numFmtId="0" fontId="41" fillId="4" borderId="4" xfId="0" applyFont="1" applyFill="1" applyBorder="1" applyAlignment="1">
      <alignment wrapText="1"/>
    </xf>
    <xf numFmtId="0" fontId="42" fillId="4" borderId="4" xfId="0" applyFont="1" applyFill="1" applyBorder="1" applyAlignment="1">
      <alignment wrapText="1"/>
    </xf>
    <xf numFmtId="0" fontId="43" fillId="0" borderId="0" xfId="0" applyFont="1" applyAlignment="1"/>
    <xf numFmtId="0" fontId="44" fillId="0" borderId="4" xfId="0" applyFont="1" applyBorder="1" applyAlignment="1">
      <alignment wrapText="1"/>
    </xf>
    <xf numFmtId="0" fontId="45" fillId="4" borderId="4" xfId="0" applyFont="1" applyFill="1" applyBorder="1" applyAlignment="1">
      <alignment wrapText="1"/>
    </xf>
    <xf numFmtId="0" fontId="46" fillId="4" borderId="4" xfId="0" applyFont="1" applyFill="1" applyBorder="1" applyAlignment="1">
      <alignment wrapText="1"/>
    </xf>
    <xf numFmtId="166" fontId="12" fillId="0" borderId="4" xfId="0" applyNumberFormat="1" applyFont="1" applyBorder="1" applyAlignment="1">
      <alignment horizontal="center" vertical="center" wrapText="1"/>
    </xf>
    <xf numFmtId="0" fontId="47" fillId="4" borderId="0" xfId="0" applyFont="1" applyFill="1" applyAlignment="1">
      <alignment wrapText="1"/>
    </xf>
    <xf numFmtId="167" fontId="12" fillId="0" borderId="4" xfId="0" applyNumberFormat="1" applyFont="1" applyBorder="1" applyAlignment="1">
      <alignment horizontal="center" vertical="center" wrapText="1"/>
    </xf>
    <xf numFmtId="0" fontId="12" fillId="0" borderId="0" xfId="0" applyFont="1" applyAlignment="1">
      <alignment wrapText="1"/>
    </xf>
    <xf numFmtId="0" fontId="12" fillId="0" borderId="4" xfId="0" applyFont="1" applyBorder="1" applyAlignment="1"/>
    <xf numFmtId="0" fontId="12" fillId="0" borderId="4" xfId="0" applyFont="1" applyBorder="1" applyAlignment="1">
      <alignment vertical="center"/>
    </xf>
    <xf numFmtId="0" fontId="48" fillId="0" borderId="0" xfId="0" applyFont="1" applyAlignment="1">
      <alignment horizontal="center" vertical="center" wrapText="1"/>
    </xf>
    <xf numFmtId="0" fontId="12" fillId="4" borderId="4" xfId="0" applyFont="1" applyFill="1" applyBorder="1" applyAlignment="1">
      <alignment horizontal="center" vertical="center" shrinkToFit="1"/>
    </xf>
    <xf numFmtId="0" fontId="10" fillId="4" borderId="4" xfId="0" applyFont="1" applyFill="1" applyBorder="1" applyAlignment="1">
      <alignment horizontal="center" vertical="center" shrinkToFit="1"/>
    </xf>
    <xf numFmtId="0" fontId="49" fillId="4" borderId="4" xfId="0" applyFont="1" applyFill="1" applyBorder="1" applyAlignment="1">
      <alignment horizontal="left" vertical="center" wrapText="1"/>
    </xf>
    <xf numFmtId="0" fontId="0" fillId="0" borderId="4" xfId="0" applyFont="1" applyBorder="1" applyAlignment="1">
      <alignment horizontal="left" vertical="center" wrapText="1"/>
    </xf>
    <xf numFmtId="0" fontId="49" fillId="4" borderId="4" xfId="0" applyFont="1" applyFill="1" applyBorder="1" applyAlignment="1">
      <alignment horizontal="left" vertical="center" wrapText="1"/>
    </xf>
    <xf numFmtId="0" fontId="12" fillId="4" borderId="14" xfId="0" applyFont="1" applyFill="1" applyBorder="1" applyAlignment="1">
      <alignment horizontal="center" vertical="center"/>
    </xf>
    <xf numFmtId="0" fontId="0" fillId="0" borderId="4" xfId="0" applyFont="1" applyBorder="1" applyAlignment="1">
      <alignment horizontal="left" vertical="center" wrapText="1"/>
    </xf>
    <xf numFmtId="0" fontId="50" fillId="4" borderId="4" xfId="0" applyFont="1" applyFill="1" applyBorder="1" applyAlignment="1">
      <alignment horizontal="left" vertical="center" wrapText="1"/>
    </xf>
    <xf numFmtId="0" fontId="12" fillId="4" borderId="15" xfId="0" applyFont="1" applyFill="1" applyBorder="1" applyAlignment="1">
      <alignment horizontal="center" vertical="center" wrapText="1"/>
    </xf>
    <xf numFmtId="0" fontId="0" fillId="4" borderId="4" xfId="0" applyFont="1" applyFill="1" applyBorder="1" applyAlignment="1">
      <alignment horizontal="left" vertical="center" wrapText="1"/>
    </xf>
    <xf numFmtId="0" fontId="51" fillId="0" borderId="0" xfId="0" applyFont="1" applyAlignment="1">
      <alignment vertical="center" wrapText="1"/>
    </xf>
    <xf numFmtId="0" fontId="30" fillId="4" borderId="4" xfId="0" applyFont="1" applyFill="1" applyBorder="1" applyAlignment="1">
      <alignment vertical="center" wrapText="1"/>
    </xf>
    <xf numFmtId="0" fontId="30" fillId="4" borderId="0" xfId="0" applyFont="1" applyFill="1" applyAlignment="1">
      <alignment vertical="center" wrapText="1"/>
    </xf>
    <xf numFmtId="0" fontId="52" fillId="4" borderId="4" xfId="0" applyFont="1" applyFill="1" applyBorder="1" applyAlignment="1">
      <alignment horizontal="left" vertical="center" wrapText="1"/>
    </xf>
    <xf numFmtId="0" fontId="1" fillId="4" borderId="0" xfId="0" applyFont="1" applyFill="1" applyAlignment="1">
      <alignment wrapText="1"/>
    </xf>
    <xf numFmtId="14" fontId="19" fillId="4" borderId="4" xfId="0" applyNumberFormat="1" applyFont="1" applyFill="1" applyBorder="1" applyAlignment="1">
      <alignment horizontal="center" wrapText="1"/>
    </xf>
    <xf numFmtId="0" fontId="19" fillId="4" borderId="4" xfId="0" applyFont="1" applyFill="1" applyBorder="1" applyAlignment="1">
      <alignment horizontal="center" vertical="center" wrapText="1"/>
    </xf>
    <xf numFmtId="0" fontId="19" fillId="4" borderId="4" xfId="0" applyFont="1" applyFill="1" applyBorder="1" applyAlignment="1">
      <alignment wrapText="1"/>
    </xf>
    <xf numFmtId="14" fontId="19" fillId="4" borderId="0" xfId="0" applyNumberFormat="1" applyFont="1" applyFill="1" applyAlignment="1">
      <alignment horizontal="center" wrapText="1"/>
    </xf>
    <xf numFmtId="0" fontId="19" fillId="4" borderId="4" xfId="0" applyFont="1" applyFill="1" applyBorder="1" applyAlignment="1">
      <alignment horizontal="center" wrapText="1"/>
    </xf>
    <xf numFmtId="0" fontId="53" fillId="4" borderId="0" xfId="0" applyFont="1" applyFill="1" applyAlignment="1">
      <alignment horizontal="left" wrapText="1"/>
    </xf>
    <xf numFmtId="14" fontId="19" fillId="4" borderId="4" xfId="0" applyNumberFormat="1" applyFont="1" applyFill="1" applyBorder="1" applyAlignment="1">
      <alignment horizontal="center" vertical="center" wrapText="1"/>
    </xf>
    <xf numFmtId="0" fontId="53" fillId="4" borderId="0" xfId="0" applyFont="1" applyFill="1" applyAlignment="1">
      <alignment horizontal="left" vertical="center" wrapText="1"/>
    </xf>
    <xf numFmtId="0" fontId="54" fillId="4" borderId="0" xfId="0" applyFont="1" applyFill="1" applyAlignment="1">
      <alignment vertical="center" wrapText="1"/>
    </xf>
    <xf numFmtId="0" fontId="53" fillId="4" borderId="4" xfId="0" applyFont="1" applyFill="1" applyBorder="1" applyAlignment="1">
      <alignment horizontal="left" vertical="center" wrapText="1"/>
    </xf>
    <xf numFmtId="0" fontId="55" fillId="0" borderId="0" xfId="0" applyFont="1" applyAlignment="1">
      <alignment wrapText="1"/>
    </xf>
    <xf numFmtId="0" fontId="55" fillId="0" borderId="0" xfId="0" applyFont="1" applyAlignment="1">
      <alignment vertical="center" wrapText="1"/>
    </xf>
    <xf numFmtId="0" fontId="19" fillId="4" borderId="4" xfId="0" applyFont="1" applyFill="1" applyBorder="1" applyAlignment="1">
      <alignment horizontal="center" vertical="center" wrapText="1"/>
    </xf>
    <xf numFmtId="0" fontId="0" fillId="4" borderId="4" xfId="0" applyFont="1" applyFill="1" applyBorder="1" applyAlignment="1">
      <alignment horizontal="left" vertical="center" wrapText="1"/>
    </xf>
    <xf numFmtId="0" fontId="55" fillId="4" borderId="0" xfId="0" applyFont="1" applyFill="1" applyAlignment="1">
      <alignment wrapText="1"/>
    </xf>
    <xf numFmtId="0" fontId="19" fillId="0" borderId="0" xfId="0" applyFont="1" applyAlignment="1">
      <alignment wrapText="1"/>
    </xf>
    <xf numFmtId="0" fontId="56" fillId="0" borderId="0" xfId="0" applyFont="1" applyAlignment="1">
      <alignment horizontal="left" vertical="center" wrapText="1"/>
    </xf>
    <xf numFmtId="0" fontId="19" fillId="4" borderId="0" xfId="0" applyFont="1" applyFill="1" applyAlignment="1">
      <alignment wrapText="1"/>
    </xf>
    <xf numFmtId="0" fontId="19" fillId="4" borderId="4" xfId="0" applyFont="1" applyFill="1" applyBorder="1" applyAlignment="1">
      <alignment vertical="center" wrapText="1"/>
    </xf>
    <xf numFmtId="0" fontId="19" fillId="4" borderId="4" xfId="0" applyFont="1" applyFill="1" applyBorder="1" applyAlignment="1">
      <alignment vertical="center" wrapText="1"/>
    </xf>
    <xf numFmtId="0" fontId="19" fillId="4" borderId="0" xfId="0" applyFont="1" applyFill="1" applyAlignment="1">
      <alignment vertical="center" wrapText="1"/>
    </xf>
    <xf numFmtId="0" fontId="30" fillId="4" borderId="4" xfId="0" applyFont="1" applyFill="1" applyBorder="1" applyAlignment="1">
      <alignment horizontal="left" vertical="center"/>
    </xf>
    <xf numFmtId="0" fontId="44" fillId="4" borderId="0" xfId="0" applyFont="1" applyFill="1" applyAlignment="1">
      <alignment vertical="center" wrapText="1"/>
    </xf>
    <xf numFmtId="0" fontId="57" fillId="4" borderId="0" xfId="0" applyFont="1" applyFill="1" applyAlignment="1">
      <alignment vertical="center" wrapText="1"/>
    </xf>
    <xf numFmtId="0" fontId="58" fillId="4" borderId="4" xfId="0" applyFont="1" applyFill="1" applyBorder="1" applyAlignment="1">
      <alignment horizontal="left" vertical="center" wrapText="1"/>
    </xf>
    <xf numFmtId="14" fontId="19" fillId="4" borderId="4" xfId="0" applyNumberFormat="1" applyFont="1" applyFill="1" applyBorder="1" applyAlignment="1">
      <alignment horizontal="center" vertical="center"/>
    </xf>
    <xf numFmtId="0" fontId="12" fillId="4" borderId="16" xfId="0" applyFont="1" applyFill="1" applyBorder="1" applyAlignment="1">
      <alignment horizontal="center" vertical="center" wrapText="1"/>
    </xf>
    <xf numFmtId="0" fontId="12" fillId="4" borderId="17" xfId="0" applyFont="1" applyFill="1" applyBorder="1" applyAlignment="1">
      <alignment horizontal="center" vertical="center" wrapText="1"/>
    </xf>
    <xf numFmtId="14" fontId="19" fillId="4" borderId="0" xfId="0" applyNumberFormat="1" applyFont="1" applyFill="1" applyAlignment="1">
      <alignment horizontal="center" vertical="center"/>
    </xf>
    <xf numFmtId="0" fontId="12" fillId="4" borderId="13" xfId="0" applyFont="1" applyFill="1" applyBorder="1" applyAlignment="1">
      <alignment horizontal="center" vertical="center" wrapText="1"/>
    </xf>
    <xf numFmtId="0" fontId="12" fillId="4" borderId="18" xfId="0" applyFont="1" applyFill="1" applyBorder="1" applyAlignment="1">
      <alignment horizontal="center" vertical="center" wrapText="1"/>
    </xf>
    <xf numFmtId="0" fontId="59" fillId="0" borderId="19" xfId="0" applyFont="1" applyBorder="1" applyAlignment="1">
      <alignment horizontal="left" vertical="center" wrapText="1"/>
    </xf>
    <xf numFmtId="0" fontId="12" fillId="4" borderId="20" xfId="0" applyFont="1" applyFill="1" applyBorder="1" applyAlignment="1">
      <alignment horizontal="center" vertical="center"/>
    </xf>
    <xf numFmtId="0" fontId="12" fillId="4" borderId="19" xfId="0" applyFont="1" applyFill="1" applyBorder="1" applyAlignment="1">
      <alignment horizontal="center" vertical="center" wrapText="1"/>
    </xf>
    <xf numFmtId="0" fontId="12" fillId="4" borderId="19" xfId="0" applyFont="1" applyFill="1" applyBorder="1" applyAlignment="1">
      <alignment horizontal="left" vertical="center" wrapText="1"/>
    </xf>
    <xf numFmtId="0" fontId="30" fillId="4" borderId="19" xfId="0" applyFont="1" applyFill="1" applyBorder="1" applyAlignment="1">
      <alignment horizontal="left" vertical="center" wrapText="1"/>
    </xf>
    <xf numFmtId="0" fontId="12" fillId="4" borderId="21" xfId="0" applyFont="1" applyFill="1" applyBorder="1" applyAlignment="1">
      <alignment horizontal="center" vertical="center" wrapText="1"/>
    </xf>
    <xf numFmtId="0" fontId="12" fillId="4" borderId="22" xfId="0" applyFont="1" applyFill="1" applyBorder="1" applyAlignment="1">
      <alignment horizontal="center" vertical="center"/>
    </xf>
    <xf numFmtId="0" fontId="12" fillId="4" borderId="12" xfId="0" applyFont="1" applyFill="1" applyBorder="1" applyAlignment="1">
      <alignment horizontal="left" vertical="center" wrapText="1"/>
    </xf>
    <xf numFmtId="0" fontId="60" fillId="0" borderId="12" xfId="0" applyFont="1" applyBorder="1" applyAlignment="1">
      <alignment horizontal="left" vertical="center" wrapText="1"/>
    </xf>
    <xf numFmtId="0" fontId="12" fillId="4" borderId="12" xfId="0" applyFont="1" applyFill="1" applyBorder="1" applyAlignment="1">
      <alignment horizontal="center" vertical="center" shrinkToFit="1"/>
    </xf>
    <xf numFmtId="0" fontId="12" fillId="4" borderId="22" xfId="0" applyFont="1" applyFill="1" applyBorder="1" applyAlignment="1">
      <alignment horizontal="center" vertical="center" wrapText="1"/>
    </xf>
    <xf numFmtId="0" fontId="0" fillId="0" borderId="12" xfId="0" applyFont="1" applyBorder="1" applyAlignment="1">
      <alignment horizontal="left" vertical="center" wrapText="1"/>
    </xf>
    <xf numFmtId="0" fontId="12" fillId="0" borderId="1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2" xfId="0" applyFont="1" applyBorder="1" applyAlignment="1">
      <alignment horizontal="left" vertical="center" wrapText="1"/>
    </xf>
    <xf numFmtId="0" fontId="12" fillId="0" borderId="12" xfId="0" applyFont="1" applyBorder="1" applyAlignment="1">
      <alignment horizontal="center" vertical="center" wrapText="1"/>
    </xf>
    <xf numFmtId="0" fontId="12" fillId="0" borderId="12" xfId="0" applyFont="1" applyBorder="1" applyAlignment="1">
      <alignment horizontal="center" vertical="center"/>
    </xf>
    <xf numFmtId="0" fontId="14" fillId="4" borderId="23" xfId="0" applyFont="1" applyFill="1" applyBorder="1" applyAlignment="1">
      <alignment horizontal="left" vertical="center" wrapText="1"/>
    </xf>
    <xf numFmtId="0" fontId="12" fillId="4" borderId="12" xfId="0" applyFont="1" applyFill="1" applyBorder="1" applyAlignment="1">
      <alignment horizontal="center" vertical="center"/>
    </xf>
    <xf numFmtId="0" fontId="14" fillId="4" borderId="12" xfId="0" applyFont="1" applyFill="1" applyBorder="1" applyAlignment="1">
      <alignment horizontal="left" vertical="center" wrapText="1"/>
    </xf>
    <xf numFmtId="0" fontId="14" fillId="4" borderId="15" xfId="0" applyFont="1" applyFill="1" applyBorder="1" applyAlignment="1">
      <alignment horizontal="left" vertical="center" wrapText="1"/>
    </xf>
    <xf numFmtId="0" fontId="12" fillId="0" borderId="24" xfId="0" applyFont="1" applyBorder="1" applyAlignment="1">
      <alignment horizontal="center" vertical="center"/>
    </xf>
    <xf numFmtId="0" fontId="12" fillId="4" borderId="12" xfId="0" applyFont="1" applyFill="1" applyBorder="1" applyAlignment="1">
      <alignment vertical="center"/>
    </xf>
    <xf numFmtId="0" fontId="12" fillId="4" borderId="21" xfId="0" applyFont="1" applyFill="1" applyBorder="1" applyAlignment="1">
      <alignment horizontal="center" vertical="center"/>
    </xf>
    <xf numFmtId="0" fontId="14" fillId="4" borderId="25" xfId="0" applyFont="1" applyFill="1" applyBorder="1" applyAlignment="1">
      <alignment horizontal="left" vertical="center" wrapText="1"/>
    </xf>
    <xf numFmtId="0" fontId="61" fillId="4" borderId="23" xfId="0" applyFont="1" applyFill="1" applyBorder="1" applyAlignment="1">
      <alignment horizontal="left" vertical="center" wrapText="1"/>
    </xf>
    <xf numFmtId="0" fontId="14" fillId="4" borderId="12" xfId="0" applyFont="1" applyFill="1" applyBorder="1" applyAlignment="1">
      <alignment horizontal="left" vertical="center" shrinkToFit="1"/>
    </xf>
    <xf numFmtId="0" fontId="14" fillId="0" borderId="12" xfId="0" applyFont="1" applyBorder="1" applyAlignment="1">
      <alignment horizontal="left" vertical="center" wrapText="1"/>
    </xf>
    <xf numFmtId="0" fontId="12" fillId="0" borderId="24" xfId="0" applyFont="1" applyBorder="1" applyAlignment="1">
      <alignment horizontal="center" vertical="center" wrapText="1"/>
    </xf>
    <xf numFmtId="0" fontId="14" fillId="0" borderId="10" xfId="0" applyFont="1" applyBorder="1" applyAlignment="1">
      <alignment horizontal="left" vertical="center" wrapText="1"/>
    </xf>
    <xf numFmtId="0" fontId="12" fillId="0" borderId="12" xfId="0" applyFont="1" applyBorder="1" applyAlignment="1">
      <alignment horizontal="center" vertical="center" shrinkToFit="1"/>
    </xf>
    <xf numFmtId="0" fontId="12" fillId="0" borderId="11" xfId="0" applyFont="1" applyBorder="1" applyAlignment="1">
      <alignment horizontal="center" vertical="center"/>
    </xf>
    <xf numFmtId="0" fontId="14" fillId="0" borderId="19" xfId="0" applyFont="1" applyBorder="1" applyAlignment="1">
      <alignment horizontal="left" vertical="center" wrapText="1"/>
    </xf>
    <xf numFmtId="0" fontId="14" fillId="0" borderId="0" xfId="0" applyFont="1" applyAlignment="1">
      <alignment horizontal="left" vertical="center" wrapText="1"/>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12" fillId="0" borderId="10" xfId="0" applyFont="1" applyBorder="1" applyAlignment="1">
      <alignment horizontal="left" vertical="center" wrapText="1"/>
    </xf>
    <xf numFmtId="0" fontId="12" fillId="0" borderId="26" xfId="0" applyFont="1" applyBorder="1" applyAlignment="1">
      <alignment horizontal="center" vertical="center" wrapText="1"/>
    </xf>
    <xf numFmtId="0" fontId="12" fillId="0" borderId="19" xfId="0" applyFont="1" applyBorder="1" applyAlignment="1">
      <alignment horizontal="center" vertical="center"/>
    </xf>
    <xf numFmtId="0" fontId="12" fillId="0" borderId="19" xfId="0" applyFont="1" applyBorder="1" applyAlignment="1">
      <alignment horizontal="center" vertical="center" wrapText="1"/>
    </xf>
    <xf numFmtId="0" fontId="12" fillId="0" borderId="19" xfId="0" applyFont="1" applyBorder="1" applyAlignment="1">
      <alignment horizontal="left" vertical="center" wrapText="1"/>
    </xf>
    <xf numFmtId="0" fontId="12" fillId="0" borderId="27" xfId="0" applyFont="1" applyBorder="1" applyAlignment="1">
      <alignment horizontal="center" vertical="center" wrapText="1"/>
    </xf>
    <xf numFmtId="0" fontId="12" fillId="0" borderId="12" xfId="0" applyFont="1" applyBorder="1" applyAlignment="1">
      <alignment vertical="center"/>
    </xf>
    <xf numFmtId="0" fontId="12" fillId="0" borderId="12" xfId="0" applyFont="1" applyBorder="1" applyAlignment="1">
      <alignment vertical="center" wrapText="1"/>
    </xf>
    <xf numFmtId="0" fontId="0" fillId="4" borderId="12" xfId="0" applyFont="1" applyFill="1" applyBorder="1" applyAlignment="1">
      <alignment horizontal="left" vertical="center" wrapText="1"/>
    </xf>
    <xf numFmtId="0" fontId="19" fillId="0" borderId="18" xfId="0" applyFont="1" applyBorder="1" applyAlignment="1">
      <alignment horizontal="center" vertical="center"/>
    </xf>
    <xf numFmtId="0" fontId="12" fillId="0" borderId="18" xfId="0" applyFont="1" applyBorder="1" applyAlignment="1">
      <alignment horizontal="center" vertical="center" wrapText="1"/>
    </xf>
    <xf numFmtId="0" fontId="12" fillId="0" borderId="18" xfId="0" applyFont="1" applyBorder="1" applyAlignment="1">
      <alignment horizontal="left" vertical="center" wrapText="1"/>
    </xf>
    <xf numFmtId="0" fontId="0" fillId="4" borderId="15" xfId="0" applyFont="1" applyFill="1" applyBorder="1" applyAlignment="1">
      <alignment horizontal="left" vertical="center" wrapText="1"/>
    </xf>
    <xf numFmtId="0" fontId="19" fillId="0" borderId="10" xfId="0" applyFont="1" applyBorder="1" applyAlignment="1">
      <alignment horizontal="center" vertical="center"/>
    </xf>
    <xf numFmtId="0" fontId="12" fillId="0" borderId="9" xfId="0" applyFont="1" applyBorder="1" applyAlignment="1">
      <alignment horizontal="left" vertical="center" wrapText="1"/>
    </xf>
    <xf numFmtId="0" fontId="0" fillId="0" borderId="0" xfId="0" applyFont="1" applyAlignment="1">
      <alignment horizontal="left" vertical="center" wrapText="1"/>
    </xf>
    <xf numFmtId="168" fontId="12" fillId="0" borderId="0" xfId="0" applyNumberFormat="1" applyFont="1" applyAlignment="1">
      <alignment vertical="center"/>
    </xf>
    <xf numFmtId="168" fontId="12" fillId="4" borderId="7" xfId="0" applyNumberFormat="1" applyFont="1" applyFill="1" applyBorder="1" applyAlignment="1">
      <alignment vertical="center"/>
    </xf>
    <xf numFmtId="9" fontId="12" fillId="4" borderId="7" xfId="0" applyNumberFormat="1" applyFont="1" applyFill="1" applyBorder="1" applyAlignment="1">
      <alignment vertical="center"/>
    </xf>
    <xf numFmtId="9" fontId="12" fillId="0" borderId="0" xfId="0" applyNumberFormat="1" applyFont="1" applyAlignment="1">
      <alignment vertical="center"/>
    </xf>
    <xf numFmtId="0" fontId="14" fillId="4" borderId="7" xfId="0" applyFont="1" applyFill="1" applyBorder="1" applyAlignment="1">
      <alignment horizontal="left" vertical="center" wrapText="1"/>
    </xf>
    <xf numFmtId="0" fontId="14" fillId="4" borderId="28" xfId="0" applyFont="1" applyFill="1" applyBorder="1" applyAlignment="1">
      <alignment horizontal="left" vertical="center" wrapText="1"/>
    </xf>
    <xf numFmtId="0" fontId="49" fillId="0" borderId="11" xfId="0" applyFont="1" applyBorder="1" applyAlignment="1">
      <alignment horizontal="center" vertical="center" wrapText="1"/>
    </xf>
    <xf numFmtId="16" fontId="12" fillId="4" borderId="12" xfId="0" applyNumberFormat="1" applyFont="1" applyFill="1" applyBorder="1" applyAlignment="1">
      <alignment horizontal="center" vertical="center"/>
    </xf>
    <xf numFmtId="0" fontId="49" fillId="0" borderId="0" xfId="0" applyFont="1" applyAlignment="1">
      <alignment horizontal="center" vertical="center" wrapText="1"/>
    </xf>
    <xf numFmtId="0" fontId="12" fillId="0" borderId="4" xfId="0" applyFont="1" applyBorder="1" applyAlignment="1">
      <alignment horizontal="center" vertical="center"/>
    </xf>
    <xf numFmtId="0" fontId="0" fillId="0" borderId="19" xfId="0" applyFont="1" applyBorder="1" applyAlignment="1">
      <alignment horizontal="left" vertical="center" wrapText="1"/>
    </xf>
    <xf numFmtId="0" fontId="62" fillId="4" borderId="12" xfId="0" applyFont="1" applyFill="1" applyBorder="1" applyAlignment="1">
      <alignment horizontal="left" vertical="center" wrapText="1"/>
    </xf>
    <xf numFmtId="0" fontId="14" fillId="0" borderId="12" xfId="0" applyFont="1" applyBorder="1" applyAlignment="1">
      <alignment horizontal="left" vertical="center" shrinkToFit="1"/>
    </xf>
    <xf numFmtId="0" fontId="63" fillId="0" borderId="12" xfId="0" applyFont="1" applyBorder="1" applyAlignment="1">
      <alignment horizontal="left" vertical="center" wrapText="1"/>
    </xf>
    <xf numFmtId="0" fontId="12" fillId="4" borderId="15" xfId="0" applyFont="1" applyFill="1" applyBorder="1" applyAlignment="1">
      <alignment horizontal="left" vertical="center" wrapText="1"/>
    </xf>
    <xf numFmtId="0" fontId="19" fillId="4" borderId="12" xfId="0" applyFont="1" applyFill="1" applyBorder="1" applyAlignment="1">
      <alignment horizontal="left" vertical="center" wrapText="1"/>
    </xf>
    <xf numFmtId="0" fontId="12" fillId="4" borderId="7" xfId="0" applyFont="1" applyFill="1" applyBorder="1" applyAlignment="1">
      <alignment horizontal="left" vertical="center" wrapText="1"/>
    </xf>
    <xf numFmtId="0" fontId="19" fillId="4" borderId="12" xfId="0" applyFont="1" applyFill="1" applyBorder="1" applyAlignment="1">
      <alignment horizontal="center" vertical="center" wrapText="1"/>
    </xf>
    <xf numFmtId="0" fontId="19" fillId="4" borderId="12" xfId="0" applyFont="1" applyFill="1" applyBorder="1" applyAlignment="1">
      <alignment horizontal="center" vertical="center"/>
    </xf>
    <xf numFmtId="0" fontId="19" fillId="0" borderId="0" xfId="0" applyFont="1" applyAlignment="1">
      <alignment vertical="center" wrapText="1"/>
    </xf>
    <xf numFmtId="0" fontId="12" fillId="0" borderId="0" xfId="0" applyFont="1" applyAlignment="1">
      <alignment horizontal="left" vertical="center" wrapText="1"/>
    </xf>
    <xf numFmtId="0" fontId="12" fillId="7" borderId="14" xfId="0" applyFont="1" applyFill="1" applyBorder="1" applyAlignment="1">
      <alignment horizontal="center" vertical="center" wrapText="1"/>
    </xf>
    <xf numFmtId="0" fontId="12" fillId="7" borderId="12" xfId="0" applyFont="1" applyFill="1" applyBorder="1" applyAlignment="1">
      <alignment horizontal="center" vertical="center" wrapText="1"/>
    </xf>
    <xf numFmtId="0" fontId="64" fillId="4" borderId="4" xfId="0" applyFont="1" applyFill="1" applyBorder="1" applyAlignment="1">
      <alignment horizontal="left" vertical="center" shrinkToFit="1"/>
    </xf>
    <xf numFmtId="0" fontId="12" fillId="4" borderId="4" xfId="0" applyFont="1" applyFill="1" applyBorder="1" applyAlignment="1">
      <alignment horizontal="center" vertical="center" wrapText="1"/>
    </xf>
    <xf numFmtId="0" fontId="0" fillId="4" borderId="4" xfId="0" applyFont="1" applyFill="1" applyBorder="1" applyAlignment="1">
      <alignment horizontal="left" vertical="center" wrapText="1"/>
    </xf>
    <xf numFmtId="0" fontId="19" fillId="4" borderId="0" xfId="0" applyFont="1" applyFill="1" applyAlignment="1">
      <alignment horizontal="center"/>
    </xf>
    <xf numFmtId="0" fontId="65" fillId="4" borderId="0" xfId="0" applyFont="1" applyFill="1" applyAlignment="1">
      <alignment horizontal="left"/>
    </xf>
    <xf numFmtId="0" fontId="12" fillId="4" borderId="4" xfId="0" applyFont="1" applyFill="1" applyBorder="1" applyAlignment="1">
      <alignment horizontal="left" vertical="center" wrapText="1"/>
    </xf>
    <xf numFmtId="0" fontId="66" fillId="4" borderId="4" xfId="0" applyFont="1" applyFill="1" applyBorder="1" applyAlignment="1">
      <alignment horizontal="left" vertical="center" wrapText="1"/>
    </xf>
    <xf numFmtId="0" fontId="12" fillId="7" borderId="29" xfId="0" applyFont="1" applyFill="1" applyBorder="1" applyAlignment="1">
      <alignment horizontal="center" vertical="center" wrapText="1"/>
    </xf>
    <xf numFmtId="0" fontId="1" fillId="4" borderId="0" xfId="0" applyFont="1" applyFill="1"/>
    <xf numFmtId="0" fontId="12" fillId="0" borderId="29" xfId="0" applyFont="1" applyBorder="1" applyAlignment="1">
      <alignment horizontal="center" vertical="center" wrapText="1"/>
    </xf>
    <xf numFmtId="0" fontId="0" fillId="4" borderId="4" xfId="0" applyFont="1" applyFill="1" applyBorder="1" applyAlignment="1">
      <alignment horizontal="left" vertical="center" wrapText="1"/>
    </xf>
    <xf numFmtId="0" fontId="0" fillId="4" borderId="4" xfId="0" applyFont="1" applyFill="1" applyBorder="1" applyAlignment="1">
      <alignment horizontal="left" vertical="center" wrapText="1"/>
    </xf>
    <xf numFmtId="0" fontId="14" fillId="4" borderId="4" xfId="0" applyFont="1" applyFill="1" applyBorder="1" applyAlignment="1">
      <alignment horizontal="left" vertical="center" wrapText="1"/>
    </xf>
    <xf numFmtId="0" fontId="1" fillId="4" borderId="0" xfId="0" applyFont="1" applyFill="1" applyAlignment="1"/>
    <xf numFmtId="0" fontId="12" fillId="0" borderId="5" xfId="0" applyFont="1" applyBorder="1" applyAlignment="1">
      <alignment horizontal="center" vertical="center" wrapText="1"/>
    </xf>
    <xf numFmtId="0" fontId="12" fillId="0" borderId="13" xfId="0" applyFont="1" applyBorder="1" applyAlignment="1">
      <alignment horizontal="center" vertical="center" wrapText="1"/>
    </xf>
    <xf numFmtId="0" fontId="12" fillId="4" borderId="29"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12" fillId="4" borderId="4" xfId="0" applyFont="1" applyFill="1" applyBorder="1" applyAlignment="1">
      <alignment vertical="center" wrapText="1"/>
    </xf>
    <xf numFmtId="0" fontId="12" fillId="4" borderId="4" xfId="0" applyFont="1" applyFill="1" applyBorder="1" applyAlignment="1">
      <alignment vertical="center"/>
    </xf>
    <xf numFmtId="0" fontId="67" fillId="4" borderId="4" xfId="0" applyFont="1" applyFill="1" applyBorder="1" applyAlignment="1">
      <alignment horizontal="left" vertical="center" wrapText="1"/>
    </xf>
    <xf numFmtId="0" fontId="12" fillId="4" borderId="0" xfId="0" applyFont="1" applyFill="1" applyAlignment="1">
      <alignment horizontal="center" vertical="center" wrapText="1"/>
    </xf>
    <xf numFmtId="164" fontId="12" fillId="4" borderId="4" xfId="0" applyNumberFormat="1" applyFont="1" applyFill="1" applyBorder="1" applyAlignment="1">
      <alignment horizontal="center" vertical="center" wrapText="1"/>
    </xf>
    <xf numFmtId="0" fontId="68" fillId="0" borderId="4" xfId="0" applyFont="1" applyBorder="1" applyAlignment="1">
      <alignment horizontal="left" vertical="center" wrapText="1"/>
    </xf>
    <xf numFmtId="0" fontId="14" fillId="0" borderId="4" xfId="0" applyFont="1" applyBorder="1" applyAlignment="1">
      <alignment horizontal="left" vertical="center" wrapText="1"/>
    </xf>
    <xf numFmtId="0" fontId="14" fillId="0" borderId="0" xfId="0" applyFont="1"/>
    <xf numFmtId="0" fontId="69" fillId="5" borderId="30" xfId="0" applyFont="1" applyFill="1" applyBorder="1" applyAlignment="1">
      <alignment horizontal="center"/>
    </xf>
    <xf numFmtId="0" fontId="70" fillId="4" borderId="4" xfId="0" applyFont="1" applyFill="1" applyBorder="1" applyAlignment="1">
      <alignment horizontal="left" vertical="center" wrapText="1"/>
    </xf>
    <xf numFmtId="0" fontId="71" fillId="4" borderId="4" xfId="0" applyFont="1" applyFill="1" applyBorder="1" applyAlignment="1">
      <alignment horizontal="left" vertical="center" wrapText="1"/>
    </xf>
    <xf numFmtId="0" fontId="72" fillId="4" borderId="4" xfId="0" applyFont="1" applyFill="1" applyBorder="1" applyAlignment="1">
      <alignment horizontal="left" vertical="center" wrapText="1"/>
    </xf>
    <xf numFmtId="0" fontId="73" fillId="0" borderId="4" xfId="0" applyFont="1" applyBorder="1" applyAlignment="1">
      <alignment horizontal="left" vertical="center" wrapText="1"/>
    </xf>
    <xf numFmtId="0" fontId="0" fillId="0" borderId="4" xfId="0" applyFont="1" applyBorder="1" applyAlignment="1">
      <alignment horizontal="left" vertical="center" wrapText="1"/>
    </xf>
    <xf numFmtId="0" fontId="12" fillId="4" borderId="4" xfId="0" applyFont="1" applyFill="1" applyBorder="1" applyAlignment="1">
      <alignment horizontal="center" vertical="center" shrinkToFit="1"/>
    </xf>
    <xf numFmtId="0" fontId="14" fillId="4" borderId="4" xfId="0" applyFont="1" applyFill="1" applyBorder="1" applyAlignment="1">
      <alignment horizontal="left" vertical="center" wrapText="1"/>
    </xf>
    <xf numFmtId="0" fontId="74" fillId="5" borderId="4" xfId="0" applyFont="1" applyFill="1" applyBorder="1" applyAlignment="1">
      <alignment horizontal="center" vertical="center"/>
    </xf>
    <xf numFmtId="0" fontId="14" fillId="7" borderId="4" xfId="0" applyFont="1" applyFill="1" applyBorder="1" applyAlignment="1">
      <alignment horizontal="left" vertical="center" wrapText="1"/>
    </xf>
    <xf numFmtId="164" fontId="12" fillId="7" borderId="4" xfId="0" applyNumberFormat="1" applyFont="1" applyFill="1" applyBorder="1" applyAlignment="1">
      <alignment horizontal="center" vertical="center" wrapText="1"/>
    </xf>
    <xf numFmtId="0" fontId="12" fillId="7" borderId="4" xfId="0" applyFont="1" applyFill="1" applyBorder="1" applyAlignment="1">
      <alignment horizontal="center" vertical="center" wrapText="1"/>
    </xf>
    <xf numFmtId="0" fontId="12" fillId="7" borderId="4" xfId="0" applyFont="1" applyFill="1" applyBorder="1" applyAlignment="1">
      <alignment horizontal="left" vertical="center" wrapText="1"/>
    </xf>
    <xf numFmtId="0" fontId="12" fillId="7" borderId="4" xfId="0" applyFont="1" applyFill="1" applyBorder="1" applyAlignment="1">
      <alignment horizontal="center" vertical="center"/>
    </xf>
    <xf numFmtId="0" fontId="12" fillId="7" borderId="11" xfId="0" applyFont="1" applyFill="1" applyBorder="1" applyAlignment="1">
      <alignment horizontal="center" vertical="center" wrapText="1"/>
    </xf>
    <xf numFmtId="0" fontId="12" fillId="7" borderId="7" xfId="0" applyFont="1" applyFill="1" applyBorder="1" applyAlignment="1">
      <alignment vertical="center"/>
    </xf>
    <xf numFmtId="0" fontId="75" fillId="4" borderId="4" xfId="0" applyFont="1" applyFill="1" applyBorder="1" applyAlignment="1">
      <alignment vertical="center" wrapText="1"/>
    </xf>
    <xf numFmtId="14" fontId="12" fillId="4" borderId="4" xfId="0" applyNumberFormat="1" applyFont="1" applyFill="1" applyBorder="1" applyAlignment="1">
      <alignment horizontal="center" vertical="center" wrapText="1"/>
    </xf>
    <xf numFmtId="0" fontId="12" fillId="4" borderId="4" xfId="0" applyFont="1" applyFill="1" applyBorder="1" applyAlignment="1">
      <alignment vertical="center" wrapText="1"/>
    </xf>
    <xf numFmtId="0" fontId="12" fillId="0" borderId="0" xfId="0" applyFont="1" applyAlignment="1">
      <alignment vertical="center" wrapText="1"/>
    </xf>
    <xf numFmtId="0" fontId="12" fillId="4" borderId="7" xfId="0" applyFont="1" applyFill="1" applyBorder="1" applyAlignment="1">
      <alignment vertical="center" wrapText="1"/>
    </xf>
    <xf numFmtId="164" fontId="12" fillId="4" borderId="4" xfId="0" applyNumberFormat="1" applyFont="1" applyFill="1" applyBorder="1" applyAlignment="1">
      <alignment horizontal="center" vertical="center" wrapText="1"/>
    </xf>
    <xf numFmtId="0" fontId="76" fillId="0" borderId="4" xfId="0" applyFont="1" applyBorder="1" applyAlignment="1">
      <alignment horizontal="left" vertical="center" wrapText="1"/>
    </xf>
    <xf numFmtId="0" fontId="76" fillId="0" borderId="0" xfId="0" applyFont="1" applyAlignment="1">
      <alignment horizontal="left" vertical="center" wrapText="1"/>
    </xf>
    <xf numFmtId="14" fontId="12" fillId="0" borderId="0" xfId="0" applyNumberFormat="1" applyFont="1" applyAlignment="1">
      <alignment horizontal="center" vertical="center" wrapText="1"/>
    </xf>
    <xf numFmtId="0" fontId="14" fillId="0" borderId="13" xfId="0" applyFont="1" applyBorder="1"/>
    <xf numFmtId="0" fontId="0" fillId="0" borderId="13" xfId="0" applyFont="1" applyBorder="1" applyAlignment="1"/>
    <xf numFmtId="0" fontId="77" fillId="5" borderId="31" xfId="0" applyFont="1" applyFill="1" applyBorder="1" applyAlignment="1">
      <alignment horizontal="center"/>
    </xf>
    <xf numFmtId="0" fontId="9" fillId="6" borderId="12" xfId="0" applyFont="1" applyFill="1" applyBorder="1" applyAlignment="1">
      <alignment horizontal="left" vertical="center" wrapText="1"/>
    </xf>
    <xf numFmtId="0" fontId="9" fillId="6" borderId="22" xfId="0" applyFont="1" applyFill="1" applyBorder="1" applyAlignment="1">
      <alignment horizontal="center" vertical="center" wrapText="1"/>
    </xf>
    <xf numFmtId="0" fontId="79" fillId="4" borderId="12" xfId="0" applyFont="1" applyFill="1" applyBorder="1" applyAlignment="1">
      <alignment horizontal="left" vertical="center" wrapText="1"/>
    </xf>
    <xf numFmtId="164" fontId="12" fillId="4" borderId="12" xfId="0" applyNumberFormat="1" applyFont="1" applyFill="1" applyBorder="1" applyAlignment="1">
      <alignment horizontal="center" vertical="center"/>
    </xf>
    <xf numFmtId="0" fontId="12" fillId="4" borderId="12" xfId="0" applyFont="1" applyFill="1" applyBorder="1" applyAlignment="1">
      <alignment horizontal="left" vertical="center" wrapText="1"/>
    </xf>
    <xf numFmtId="14" fontId="12" fillId="4" borderId="12" xfId="0" applyNumberFormat="1" applyFont="1" applyFill="1" applyBorder="1" applyAlignment="1">
      <alignment horizontal="center" vertical="center"/>
    </xf>
    <xf numFmtId="0" fontId="12" fillId="4" borderId="12" xfId="0" applyFont="1" applyFill="1" applyBorder="1" applyAlignment="1">
      <alignment horizontal="center" vertical="center" wrapText="1"/>
    </xf>
    <xf numFmtId="0" fontId="80" fillId="4" borderId="12" xfId="0" applyFont="1" applyFill="1" applyBorder="1" applyAlignment="1">
      <alignment horizontal="left" vertical="center" wrapText="1"/>
    </xf>
    <xf numFmtId="0" fontId="81" fillId="4" borderId="0" xfId="0" applyFont="1" applyFill="1" applyAlignment="1">
      <alignment horizontal="left" vertical="center" wrapText="1"/>
    </xf>
    <xf numFmtId="0" fontId="82" fillId="4" borderId="12" xfId="0" applyFont="1" applyFill="1" applyBorder="1" applyAlignment="1">
      <alignment horizontal="left" vertical="center" wrapText="1"/>
    </xf>
    <xf numFmtId="0" fontId="12" fillId="4" borderId="12" xfId="0" applyFont="1" applyFill="1" applyBorder="1" applyAlignment="1">
      <alignment horizontal="center" vertical="center"/>
    </xf>
    <xf numFmtId="0" fontId="14" fillId="4" borderId="12" xfId="0" applyFont="1" applyFill="1" applyBorder="1" applyAlignment="1">
      <alignment horizontal="left" vertical="center" wrapText="1"/>
    </xf>
    <xf numFmtId="0" fontId="83" fillId="0" borderId="0" xfId="0" applyFont="1" applyAlignment="1">
      <alignment horizontal="left" vertical="center" wrapText="1"/>
    </xf>
    <xf numFmtId="0" fontId="14" fillId="0" borderId="0" xfId="0" applyFont="1" applyAlignment="1">
      <alignment vertical="center" wrapText="1"/>
    </xf>
    <xf numFmtId="0" fontId="84" fillId="5" borderId="30" xfId="0" applyFont="1" applyFill="1" applyBorder="1" applyAlignment="1">
      <alignment horizontal="center" wrapText="1"/>
    </xf>
    <xf numFmtId="0" fontId="85" fillId="4" borderId="4" xfId="0" applyFont="1" applyFill="1" applyBorder="1" applyAlignment="1"/>
    <xf numFmtId="169" fontId="19" fillId="4" borderId="4" xfId="0" applyNumberFormat="1" applyFont="1" applyFill="1" applyBorder="1" applyAlignment="1">
      <alignment horizontal="center" vertical="center"/>
    </xf>
    <xf numFmtId="0" fontId="19" fillId="4" borderId="4" xfId="0" applyFont="1" applyFill="1" applyBorder="1" applyAlignment="1">
      <alignment horizontal="center" vertical="center"/>
    </xf>
    <xf numFmtId="0" fontId="19" fillId="4" borderId="4" xfId="0" applyFont="1" applyFill="1" applyBorder="1" applyAlignment="1">
      <alignment horizontal="center" wrapText="1"/>
    </xf>
    <xf numFmtId="0" fontId="86" fillId="4" borderId="4" xfId="0" applyFont="1" applyFill="1" applyBorder="1" applyAlignment="1"/>
    <xf numFmtId="170" fontId="19" fillId="4" borderId="4" xfId="0" applyNumberFormat="1" applyFont="1" applyFill="1" applyBorder="1" applyAlignment="1">
      <alignment horizontal="center" vertical="center"/>
    </xf>
    <xf numFmtId="0" fontId="12" fillId="7" borderId="14" xfId="0" applyFont="1" applyFill="1" applyBorder="1" applyAlignment="1">
      <alignment horizontal="center" vertical="center"/>
    </xf>
    <xf numFmtId="0" fontId="87" fillId="4" borderId="4" xfId="0" applyFont="1" applyFill="1" applyBorder="1" applyAlignment="1"/>
    <xf numFmtId="0" fontId="19" fillId="4" borderId="4" xfId="0" applyFont="1" applyFill="1" applyBorder="1" applyAlignment="1"/>
    <xf numFmtId="0" fontId="88" fillId="4" borderId="4" xfId="0" applyFont="1" applyFill="1" applyBorder="1" applyAlignment="1">
      <alignment horizontal="left"/>
    </xf>
    <xf numFmtId="169" fontId="12" fillId="4" borderId="4" xfId="0" applyNumberFormat="1" applyFont="1" applyFill="1" applyBorder="1" applyAlignment="1">
      <alignment horizontal="center" vertical="center"/>
    </xf>
    <xf numFmtId="0" fontId="12" fillId="4" borderId="4" xfId="0" applyFont="1" applyFill="1" applyBorder="1" applyAlignment="1">
      <alignment horizontal="center" vertical="center"/>
    </xf>
    <xf numFmtId="0" fontId="12" fillId="4" borderId="4" xfId="0" applyFont="1" applyFill="1" applyBorder="1" applyAlignment="1">
      <alignment horizontal="left" vertical="center"/>
    </xf>
    <xf numFmtId="0" fontId="12" fillId="4" borderId="4" xfId="0" applyFont="1" applyFill="1" applyBorder="1" applyAlignment="1">
      <alignment horizontal="center" wrapText="1"/>
    </xf>
    <xf numFmtId="0" fontId="89" fillId="4" borderId="4" xfId="0" applyFont="1" applyFill="1" applyBorder="1" applyAlignment="1">
      <alignment horizontal="left"/>
    </xf>
    <xf numFmtId="170" fontId="12" fillId="4" borderId="4" xfId="0" applyNumberFormat="1" applyFont="1" applyFill="1" applyBorder="1" applyAlignment="1">
      <alignment horizontal="center" vertical="center"/>
    </xf>
    <xf numFmtId="0" fontId="12" fillId="4" borderId="4" xfId="0" applyFont="1" applyFill="1" applyBorder="1" applyAlignment="1">
      <alignment horizontal="center" wrapText="1"/>
    </xf>
    <xf numFmtId="0" fontId="90" fillId="4" borderId="4" xfId="0" applyFont="1" applyFill="1" applyBorder="1" applyAlignment="1"/>
    <xf numFmtId="169" fontId="0" fillId="4" borderId="4" xfId="0" applyNumberFormat="1" applyFont="1" applyFill="1" applyBorder="1" applyAlignment="1">
      <alignment horizontal="right" vertical="center"/>
    </xf>
    <xf numFmtId="0" fontId="0" fillId="4" borderId="4" xfId="0" applyFont="1" applyFill="1" applyBorder="1" applyAlignment="1">
      <alignment vertical="center"/>
    </xf>
    <xf numFmtId="0" fontId="91" fillId="4" borderId="4" xfId="0" applyFont="1" applyFill="1" applyBorder="1" applyAlignment="1">
      <alignment horizontal="left"/>
    </xf>
    <xf numFmtId="14" fontId="12" fillId="4" borderId="4" xfId="0" applyNumberFormat="1" applyFont="1" applyFill="1" applyBorder="1" applyAlignment="1">
      <alignment horizontal="center" vertical="center"/>
    </xf>
    <xf numFmtId="0" fontId="92" fillId="4" borderId="0" xfId="0" applyFont="1" applyFill="1" applyAlignment="1">
      <alignment horizontal="left"/>
    </xf>
    <xf numFmtId="0" fontId="14" fillId="0" borderId="13" xfId="0" applyFont="1" applyBorder="1" applyAlignment="1">
      <alignment wrapText="1"/>
    </xf>
    <xf numFmtId="0" fontId="94" fillId="6" borderId="4" xfId="0" applyFont="1" applyFill="1" applyBorder="1" applyAlignment="1">
      <alignment horizontal="left" vertical="center" wrapText="1"/>
    </xf>
    <xf numFmtId="0" fontId="95" fillId="4" borderId="4" xfId="0" applyFont="1" applyFill="1" applyBorder="1" applyAlignment="1">
      <alignment horizontal="center" vertical="center" wrapText="1"/>
    </xf>
    <xf numFmtId="169" fontId="19" fillId="4" borderId="4" xfId="0" applyNumberFormat="1" applyFont="1" applyFill="1" applyBorder="1" applyAlignment="1">
      <alignment horizontal="center" vertical="center" wrapText="1"/>
    </xf>
    <xf numFmtId="0" fontId="19" fillId="4" borderId="14" xfId="0" applyFont="1" applyFill="1" applyBorder="1" applyAlignment="1">
      <alignment horizontal="center" vertical="center" wrapText="1"/>
    </xf>
    <xf numFmtId="170" fontId="19" fillId="4" borderId="4" xfId="0" applyNumberFormat="1" applyFont="1" applyFill="1" applyBorder="1" applyAlignment="1">
      <alignment horizontal="center" vertical="center" wrapText="1"/>
    </xf>
    <xf numFmtId="0" fontId="19" fillId="4" borderId="32" xfId="0" applyFont="1" applyFill="1" applyBorder="1" applyAlignment="1">
      <alignment horizontal="center" vertical="center" wrapText="1"/>
    </xf>
    <xf numFmtId="0" fontId="96" fillId="4" borderId="4" xfId="0" applyFont="1" applyFill="1" applyBorder="1" applyAlignment="1">
      <alignment horizontal="center" vertical="center" wrapText="1"/>
    </xf>
    <xf numFmtId="0" fontId="19" fillId="0" borderId="29" xfId="0" applyFont="1" applyBorder="1" applyAlignment="1">
      <alignment horizontal="center" vertical="center" wrapText="1"/>
    </xf>
    <xf numFmtId="0" fontId="19" fillId="0" borderId="12" xfId="0" applyFont="1" applyBorder="1" applyAlignment="1">
      <alignment horizontal="center" vertical="center" wrapText="1"/>
    </xf>
    <xf numFmtId="0" fontId="19" fillId="4" borderId="0" xfId="0" applyFont="1" applyFill="1" applyAlignment="1">
      <alignment horizontal="center" vertical="center" wrapText="1"/>
    </xf>
    <xf numFmtId="0" fontId="19" fillId="7" borderId="0" xfId="0" applyFont="1" applyFill="1" applyAlignment="1">
      <alignment horizontal="center" vertical="center" wrapText="1"/>
    </xf>
    <xf numFmtId="169" fontId="19" fillId="4" borderId="0" xfId="0" applyNumberFormat="1" applyFont="1" applyFill="1" applyAlignment="1">
      <alignment horizontal="center" vertical="center" wrapText="1"/>
    </xf>
    <xf numFmtId="0" fontId="19" fillId="0" borderId="0" xfId="0" applyFont="1" applyAlignment="1">
      <alignment horizontal="center" vertical="center" wrapText="1"/>
    </xf>
    <xf numFmtId="0" fontId="97" fillId="7" borderId="4" xfId="0" applyFont="1" applyFill="1" applyBorder="1" applyAlignment="1">
      <alignment horizontal="center" vertical="center" wrapText="1"/>
    </xf>
    <xf numFmtId="0" fontId="19" fillId="0" borderId="32" xfId="0" applyFont="1" applyBorder="1" applyAlignment="1">
      <alignment horizontal="center" vertical="center" wrapText="1"/>
    </xf>
    <xf numFmtId="0" fontId="19" fillId="0" borderId="4" xfId="0" applyFont="1" applyBorder="1" applyAlignment="1">
      <alignment horizontal="center" vertical="center" wrapText="1"/>
    </xf>
    <xf numFmtId="0" fontId="98" fillId="4" borderId="4" xfId="0" applyFont="1" applyFill="1" applyBorder="1" applyAlignment="1">
      <alignment horizontal="center" vertical="center" wrapText="1"/>
    </xf>
    <xf numFmtId="0" fontId="19" fillId="0" borderId="0" xfId="0" applyFont="1" applyAlignment="1">
      <alignment vertical="center"/>
    </xf>
    <xf numFmtId="0" fontId="19" fillId="0" borderId="0" xfId="0" applyFont="1" applyAlignment="1">
      <alignment horizontal="center" vertical="center" wrapText="1"/>
    </xf>
    <xf numFmtId="0" fontId="19" fillId="4" borderId="0" xfId="0" applyFont="1" applyFill="1" applyAlignment="1">
      <alignment vertical="center"/>
    </xf>
    <xf numFmtId="0" fontId="19" fillId="4" borderId="0" xfId="0" applyFont="1" applyFill="1" applyAlignment="1">
      <alignment horizontal="center" vertical="center" wrapText="1"/>
    </xf>
    <xf numFmtId="0" fontId="19" fillId="7" borderId="0" xfId="0" applyFont="1" applyFill="1" applyAlignment="1">
      <alignment horizontal="center" vertical="center" wrapText="1"/>
    </xf>
    <xf numFmtId="0" fontId="19" fillId="4" borderId="0" xfId="0" applyFont="1" applyFill="1" applyAlignment="1">
      <alignment horizontal="center" vertical="center" wrapText="1"/>
    </xf>
    <xf numFmtId="0" fontId="99" fillId="8" borderId="4" xfId="0" applyFont="1" applyFill="1" applyBorder="1" applyAlignment="1">
      <alignment horizontal="center" vertical="center" wrapText="1"/>
    </xf>
    <xf numFmtId="169" fontId="19" fillId="8" borderId="4" xfId="0" applyNumberFormat="1" applyFont="1" applyFill="1" applyBorder="1" applyAlignment="1">
      <alignment horizontal="center" vertical="center" wrapText="1"/>
    </xf>
    <xf numFmtId="0" fontId="19" fillId="8" borderId="4" xfId="0" applyFont="1" applyFill="1" applyBorder="1" applyAlignment="1">
      <alignment horizontal="center" vertical="center" wrapText="1"/>
    </xf>
    <xf numFmtId="0" fontId="19" fillId="8" borderId="0" xfId="0" applyFont="1" applyFill="1" applyAlignment="1">
      <alignment horizontal="center" vertical="center" wrapText="1"/>
    </xf>
    <xf numFmtId="0" fontId="12" fillId="8" borderId="0" xfId="0" applyFont="1" applyFill="1" applyAlignment="1">
      <alignment vertical="center"/>
    </xf>
    <xf numFmtId="0" fontId="100" fillId="4" borderId="4" xfId="0" applyFont="1" applyFill="1" applyBorder="1" applyAlignment="1">
      <alignment horizontal="center" vertical="center"/>
    </xf>
    <xf numFmtId="169" fontId="96" fillId="4" borderId="4" xfId="0" applyNumberFormat="1" applyFont="1" applyFill="1" applyBorder="1" applyAlignment="1">
      <alignment horizontal="center" vertical="center"/>
    </xf>
    <xf numFmtId="0" fontId="19" fillId="4" borderId="4" xfId="0" applyFont="1" applyFill="1" applyBorder="1" applyAlignment="1">
      <alignment horizontal="left" vertical="top" wrapText="1"/>
    </xf>
    <xf numFmtId="0" fontId="19" fillId="4" borderId="4" xfId="0" applyFont="1" applyFill="1" applyBorder="1" applyAlignment="1">
      <alignment horizontal="center"/>
    </xf>
    <xf numFmtId="0" fontId="19" fillId="4" borderId="0" xfId="0" applyFont="1" applyFill="1" applyAlignment="1">
      <alignment horizontal="center" vertical="center"/>
    </xf>
    <xf numFmtId="0" fontId="101" fillId="4" borderId="0" xfId="0" applyFont="1" applyFill="1" applyAlignment="1">
      <alignment horizontal="center" vertical="center"/>
    </xf>
    <xf numFmtId="0" fontId="19" fillId="4" borderId="4" xfId="0" applyFont="1" applyFill="1" applyBorder="1" applyAlignment="1">
      <alignment horizontal="center" vertical="center" wrapText="1"/>
    </xf>
    <xf numFmtId="0" fontId="102" fillId="4" borderId="3" xfId="0" applyFont="1" applyFill="1" applyBorder="1" applyAlignment="1">
      <alignment horizontal="center" vertical="center"/>
    </xf>
    <xf numFmtId="169" fontId="19" fillId="4" borderId="3" xfId="0" applyNumberFormat="1" applyFont="1" applyFill="1" applyBorder="1" applyAlignment="1">
      <alignment horizontal="center" vertical="center"/>
    </xf>
    <xf numFmtId="0" fontId="12" fillId="4" borderId="3"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03" fillId="9" borderId="3" xfId="0" applyFont="1" applyFill="1" applyBorder="1" applyAlignment="1">
      <alignment horizontal="left"/>
    </xf>
    <xf numFmtId="0" fontId="103" fillId="9" borderId="2" xfId="0" applyFont="1" applyFill="1" applyBorder="1" applyAlignment="1">
      <alignment horizontal="left"/>
    </xf>
    <xf numFmtId="0" fontId="103" fillId="4" borderId="0" xfId="0" applyFont="1" applyFill="1" applyAlignment="1">
      <alignment horizontal="left"/>
    </xf>
    <xf numFmtId="0" fontId="104" fillId="7" borderId="3" xfId="0" applyFont="1" applyFill="1" applyBorder="1" applyAlignment="1">
      <alignment horizontal="left"/>
    </xf>
    <xf numFmtId="0" fontId="104" fillId="7" borderId="2" xfId="0" applyFont="1" applyFill="1" applyBorder="1" applyAlignment="1">
      <alignment horizontal="left"/>
    </xf>
    <xf numFmtId="0" fontId="104" fillId="4" borderId="0" xfId="0" applyFont="1" applyFill="1" applyAlignment="1">
      <alignment horizontal="left"/>
    </xf>
    <xf numFmtId="0" fontId="105" fillId="4" borderId="4" xfId="0" applyFont="1" applyFill="1" applyBorder="1" applyAlignment="1">
      <alignment horizontal="center" vertical="center"/>
    </xf>
    <xf numFmtId="0" fontId="19" fillId="4" borderId="3" xfId="0" applyFont="1" applyFill="1" applyBorder="1" applyAlignment="1">
      <alignment horizontal="center" vertical="center"/>
    </xf>
    <xf numFmtId="0" fontId="106" fillId="4" borderId="4" xfId="0" applyFont="1" applyFill="1" applyBorder="1" applyAlignment="1">
      <alignment horizontal="center" vertical="center"/>
    </xf>
    <xf numFmtId="0" fontId="107" fillId="4" borderId="33" xfId="0" applyFont="1" applyFill="1" applyBorder="1" applyAlignment="1">
      <alignment horizontal="center" vertical="center"/>
    </xf>
    <xf numFmtId="169" fontId="19" fillId="4" borderId="34" xfId="0" applyNumberFormat="1" applyFont="1" applyFill="1" applyBorder="1" applyAlignment="1">
      <alignment horizontal="center" vertical="center"/>
    </xf>
    <xf numFmtId="0" fontId="19" fillId="4" borderId="34" xfId="0" applyFont="1" applyFill="1" applyBorder="1" applyAlignment="1">
      <alignment horizontal="center" vertical="center"/>
    </xf>
    <xf numFmtId="0" fontId="19" fillId="4" borderId="32" xfId="0" applyFont="1" applyFill="1" applyBorder="1" applyAlignment="1">
      <alignment horizontal="center" vertical="center"/>
    </xf>
    <xf numFmtId="0" fontId="19" fillId="4" borderId="32" xfId="0" applyFont="1" applyFill="1" applyBorder="1" applyAlignment="1">
      <alignment horizontal="center" vertical="center" wrapText="1"/>
    </xf>
    <xf numFmtId="14" fontId="19" fillId="4" borderId="3" xfId="0" applyNumberFormat="1" applyFont="1" applyFill="1" applyBorder="1" applyAlignment="1">
      <alignment horizontal="center" vertical="center" wrapText="1"/>
    </xf>
    <xf numFmtId="0" fontId="12" fillId="4" borderId="3"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08" fillId="4" borderId="33" xfId="0" applyFont="1" applyFill="1" applyBorder="1" applyAlignment="1">
      <alignment horizontal="center" vertical="center" wrapText="1"/>
    </xf>
    <xf numFmtId="14" fontId="19" fillId="4" borderId="34" xfId="0" applyNumberFormat="1" applyFont="1" applyFill="1" applyBorder="1" applyAlignment="1">
      <alignment horizontal="center" vertical="center" wrapText="1"/>
    </xf>
    <xf numFmtId="0" fontId="12" fillId="4" borderId="34" xfId="0" applyFont="1" applyFill="1" applyBorder="1" applyAlignment="1">
      <alignment horizontal="center" vertical="center" wrapText="1"/>
    </xf>
    <xf numFmtId="0" fontId="19" fillId="4" borderId="34" xfId="0" applyFont="1" applyFill="1" applyBorder="1" applyAlignment="1">
      <alignment horizontal="center" vertical="center" wrapText="1"/>
    </xf>
    <xf numFmtId="169" fontId="19" fillId="4" borderId="34" xfId="0" applyNumberFormat="1" applyFont="1" applyFill="1" applyBorder="1" applyAlignment="1">
      <alignment horizontal="center" vertical="center" wrapText="1"/>
    </xf>
    <xf numFmtId="0" fontId="109" fillId="4" borderId="4" xfId="0" applyFont="1" applyFill="1" applyBorder="1" applyAlignment="1">
      <alignment horizontal="left"/>
    </xf>
    <xf numFmtId="169" fontId="19" fillId="4" borderId="3" xfId="0" applyNumberFormat="1" applyFont="1" applyFill="1" applyBorder="1" applyAlignment="1">
      <alignment horizontal="left"/>
    </xf>
    <xf numFmtId="0" fontId="19" fillId="4" borderId="3" xfId="0" applyFont="1" applyFill="1" applyBorder="1" applyAlignment="1">
      <alignment horizontal="center"/>
    </xf>
    <xf numFmtId="0" fontId="19" fillId="4" borderId="3" xfId="0" applyFont="1" applyFill="1" applyBorder="1" applyAlignment="1">
      <alignment horizontal="center" wrapText="1"/>
    </xf>
    <xf numFmtId="0" fontId="103" fillId="4" borderId="3" xfId="0" applyFont="1" applyFill="1" applyBorder="1" applyAlignment="1">
      <alignment horizontal="left"/>
    </xf>
    <xf numFmtId="0" fontId="19" fillId="7" borderId="0" xfId="0" applyFont="1" applyFill="1" applyAlignment="1">
      <alignment horizontal="center" vertical="center" wrapText="1"/>
    </xf>
    <xf numFmtId="0" fontId="110" fillId="4" borderId="33" xfId="0" applyFont="1" applyFill="1" applyBorder="1" applyAlignment="1">
      <alignment horizontal="left"/>
    </xf>
    <xf numFmtId="169" fontId="19" fillId="4" borderId="34" xfId="0" applyNumberFormat="1" applyFont="1" applyFill="1" applyBorder="1" applyAlignment="1">
      <alignment horizontal="left"/>
    </xf>
    <xf numFmtId="0" fontId="19" fillId="4" borderId="34" xfId="0" applyFont="1" applyFill="1" applyBorder="1" applyAlignment="1">
      <alignment horizontal="center"/>
    </xf>
    <xf numFmtId="0" fontId="19" fillId="4" borderId="34" xfId="0" applyFont="1" applyFill="1" applyBorder="1" applyAlignment="1">
      <alignment horizontal="center" wrapText="1"/>
    </xf>
    <xf numFmtId="0" fontId="103" fillId="4" borderId="34" xfId="0" applyFont="1" applyFill="1" applyBorder="1" applyAlignment="1">
      <alignment horizontal="left"/>
    </xf>
    <xf numFmtId="0" fontId="19" fillId="4" borderId="4" xfId="0" applyFont="1" applyFill="1" applyBorder="1" applyAlignment="1">
      <alignment horizontal="center" vertical="center" wrapText="1"/>
    </xf>
    <xf numFmtId="0" fontId="19" fillId="7" borderId="32" xfId="0" applyFont="1" applyFill="1" applyBorder="1" applyAlignment="1">
      <alignment horizontal="center" vertical="center" wrapText="1"/>
    </xf>
    <xf numFmtId="0" fontId="111" fillId="4" borderId="4" xfId="0" applyFont="1" applyFill="1" applyBorder="1" applyAlignment="1">
      <alignment horizontal="center"/>
    </xf>
    <xf numFmtId="169" fontId="19" fillId="4" borderId="4" xfId="0" applyNumberFormat="1" applyFont="1" applyFill="1" applyBorder="1" applyAlignment="1">
      <alignment horizontal="center"/>
    </xf>
    <xf numFmtId="0" fontId="19" fillId="7" borderId="0" xfId="0" applyFont="1" applyFill="1" applyAlignment="1">
      <alignment horizontal="center" vertical="center"/>
    </xf>
    <xf numFmtId="0" fontId="19" fillId="4" borderId="0" xfId="0" applyFont="1" applyFill="1" applyAlignment="1">
      <alignment horizontal="center" vertical="center" wrapText="1"/>
    </xf>
    <xf numFmtId="169" fontId="19" fillId="0" borderId="0" xfId="0" applyNumberFormat="1" applyFont="1" applyAlignment="1">
      <alignment horizontal="center" vertical="center" wrapText="1"/>
    </xf>
    <xf numFmtId="0" fontId="112" fillId="4" borderId="4" xfId="0" applyFont="1" applyFill="1" applyBorder="1" applyAlignment="1">
      <alignment vertical="center" wrapText="1"/>
    </xf>
    <xf numFmtId="0" fontId="19" fillId="4" borderId="4" xfId="0" applyFont="1" applyFill="1" applyBorder="1" applyAlignment="1">
      <alignment horizontal="center" vertical="center" wrapText="1"/>
    </xf>
    <xf numFmtId="0" fontId="19" fillId="4" borderId="4" xfId="0" applyFont="1" applyFill="1" applyBorder="1" applyAlignment="1">
      <alignment horizontal="left" vertical="center" wrapText="1"/>
    </xf>
    <xf numFmtId="0" fontId="113" fillId="4" borderId="4" xfId="0" applyFont="1" applyFill="1" applyBorder="1" applyAlignment="1">
      <alignment vertical="center" wrapText="1"/>
    </xf>
    <xf numFmtId="14" fontId="19" fillId="4" borderId="4" xfId="0" applyNumberFormat="1" applyFont="1" applyFill="1" applyBorder="1" applyAlignment="1">
      <alignment horizontal="center" vertical="center" wrapText="1"/>
    </xf>
    <xf numFmtId="0" fontId="19" fillId="4" borderId="4" xfId="0" applyFont="1" applyFill="1" applyBorder="1" applyAlignment="1">
      <alignment vertical="center" wrapText="1"/>
    </xf>
    <xf numFmtId="0" fontId="19" fillId="4" borderId="4" xfId="0" applyFont="1" applyFill="1" applyBorder="1" applyAlignment="1">
      <alignment horizontal="left" vertical="center" wrapText="1"/>
    </xf>
    <xf numFmtId="0" fontId="12" fillId="7" borderId="0" xfId="0" applyFont="1" applyFill="1" applyAlignment="1">
      <alignment vertical="center"/>
    </xf>
    <xf numFmtId="164" fontId="19" fillId="4" borderId="4" xfId="0" applyNumberFormat="1" applyFont="1" applyFill="1" applyBorder="1" applyAlignment="1">
      <alignment horizontal="center" vertical="center" wrapText="1"/>
    </xf>
    <xf numFmtId="0" fontId="114" fillId="4" borderId="4" xfId="0" applyFont="1" applyFill="1" applyBorder="1" applyAlignment="1">
      <alignment vertical="center" wrapText="1"/>
    </xf>
    <xf numFmtId="0" fontId="19" fillId="4" borderId="4" xfId="0" applyFont="1" applyFill="1" applyBorder="1" applyAlignment="1">
      <alignment vertical="center" wrapText="1"/>
    </xf>
    <xf numFmtId="0" fontId="115" fillId="4" borderId="4" xfId="0" applyFont="1" applyFill="1" applyBorder="1" applyAlignment="1">
      <alignment vertical="center" wrapText="1"/>
    </xf>
    <xf numFmtId="0" fontId="116" fillId="4" borderId="4" xfId="0" applyFont="1" applyFill="1" applyBorder="1" applyAlignment="1">
      <alignment vertical="center" wrapText="1"/>
    </xf>
    <xf numFmtId="0" fontId="19" fillId="4" borderId="4" xfId="0" applyFont="1" applyFill="1" applyBorder="1" applyAlignment="1">
      <alignment vertical="center" wrapText="1"/>
    </xf>
    <xf numFmtId="0" fontId="117" fillId="4" borderId="4" xfId="0" applyFont="1" applyFill="1" applyBorder="1" applyAlignment="1">
      <alignment vertical="center" wrapText="1"/>
    </xf>
    <xf numFmtId="0" fontId="118" fillId="4" borderId="4" xfId="0" applyFont="1" applyFill="1" applyBorder="1" applyAlignment="1">
      <alignment vertical="center" wrapText="1"/>
    </xf>
    <xf numFmtId="0" fontId="12" fillId="0" borderId="0" xfId="0" applyFont="1" applyAlignment="1">
      <alignment wrapText="1"/>
    </xf>
    <xf numFmtId="0" fontId="12" fillId="0" borderId="0" xfId="0" applyFont="1" applyAlignment="1">
      <alignment horizontal="center"/>
    </xf>
    <xf numFmtId="0" fontId="12" fillId="0" borderId="0" xfId="0" applyFont="1"/>
    <xf numFmtId="0" fontId="12" fillId="0" borderId="0" xfId="0" applyFont="1" applyAlignment="1">
      <alignment wrapText="1"/>
    </xf>
    <xf numFmtId="0" fontId="12" fillId="0" borderId="0" xfId="0" applyFont="1" applyAlignment="1">
      <alignment horizontal="center" wrapText="1"/>
    </xf>
    <xf numFmtId="0" fontId="12" fillId="4" borderId="0" xfId="0" applyFont="1" applyFill="1" applyAlignment="1">
      <alignment horizontal="center" wrapText="1"/>
    </xf>
    <xf numFmtId="0" fontId="9" fillId="6" borderId="24"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12" fillId="4" borderId="4" xfId="0" applyFont="1" applyFill="1" applyBorder="1" applyAlignment="1">
      <alignment vertical="center"/>
    </xf>
    <xf numFmtId="0" fontId="12" fillId="4" borderId="35" xfId="0" applyFont="1" applyFill="1" applyBorder="1" applyAlignment="1">
      <alignment vertical="center"/>
    </xf>
    <xf numFmtId="0" fontId="120" fillId="0" borderId="4" xfId="0" applyFont="1" applyBorder="1" applyAlignment="1">
      <alignment vertical="center"/>
    </xf>
    <xf numFmtId="0" fontId="12" fillId="0" borderId="4" xfId="0" applyFont="1" applyBorder="1" applyAlignment="1">
      <alignment horizontal="center" vertical="center"/>
    </xf>
    <xf numFmtId="0" fontId="12" fillId="0" borderId="35" xfId="0" applyFont="1" applyBorder="1" applyAlignment="1">
      <alignment vertical="center"/>
    </xf>
    <xf numFmtId="0" fontId="12" fillId="0" borderId="7" xfId="0" applyFont="1" applyBorder="1" applyAlignment="1">
      <alignment vertical="center"/>
    </xf>
    <xf numFmtId="0" fontId="19" fillId="4" borderId="4" xfId="0" applyFont="1" applyFill="1" applyBorder="1" applyAlignment="1">
      <alignment vertical="center"/>
    </xf>
    <xf numFmtId="0" fontId="12" fillId="4" borderId="4" xfId="0" applyFont="1" applyFill="1" applyBorder="1" applyAlignment="1">
      <alignment vertical="center"/>
    </xf>
    <xf numFmtId="0" fontId="30" fillId="4" borderId="0" xfId="0" applyFont="1" applyFill="1" applyAlignment="1">
      <alignment horizontal="left"/>
    </xf>
    <xf numFmtId="0" fontId="121" fillId="4" borderId="4" xfId="0" applyFont="1" applyFill="1" applyBorder="1" applyAlignment="1">
      <alignment vertical="center"/>
    </xf>
    <xf numFmtId="164" fontId="12" fillId="4" borderId="4" xfId="0" applyNumberFormat="1" applyFont="1" applyFill="1" applyBorder="1" applyAlignment="1">
      <alignment horizontal="center" vertical="center"/>
    </xf>
    <xf numFmtId="0" fontId="12" fillId="4" borderId="4" xfId="0" applyFont="1" applyFill="1" applyBorder="1" applyAlignment="1">
      <alignment vertical="center" wrapText="1"/>
    </xf>
    <xf numFmtId="0" fontId="122" fillId="0" borderId="4" xfId="0" applyFont="1" applyBorder="1" applyAlignment="1">
      <alignment vertical="center"/>
    </xf>
    <xf numFmtId="0" fontId="12" fillId="0" borderId="4" xfId="0" applyFont="1" applyBorder="1" applyAlignment="1">
      <alignment vertical="center" wrapText="1"/>
    </xf>
    <xf numFmtId="0" fontId="12" fillId="4" borderId="35" xfId="0" applyFont="1" applyFill="1" applyBorder="1" applyAlignment="1">
      <alignment vertical="center"/>
    </xf>
    <xf numFmtId="14" fontId="19" fillId="4" borderId="4" xfId="0" applyNumberFormat="1" applyFont="1" applyFill="1" applyBorder="1" applyAlignment="1">
      <alignment horizontal="center" vertical="center"/>
    </xf>
    <xf numFmtId="0" fontId="19" fillId="4" borderId="4" xfId="0" applyFont="1" applyFill="1" applyBorder="1" applyAlignment="1">
      <alignment horizontal="center" vertical="center"/>
    </xf>
    <xf numFmtId="0" fontId="19" fillId="4" borderId="4" xfId="0" applyFont="1" applyFill="1" applyBorder="1" applyAlignment="1">
      <alignment horizontal="center" vertical="center"/>
    </xf>
    <xf numFmtId="0" fontId="19" fillId="4" borderId="4" xfId="0" applyFont="1" applyFill="1" applyBorder="1" applyAlignment="1">
      <alignment horizontal="left" vertical="center"/>
    </xf>
    <xf numFmtId="0" fontId="123" fillId="0" borderId="4" xfId="0" applyFont="1" applyBorder="1" applyAlignment="1">
      <alignment vertical="center" wrapText="1"/>
    </xf>
    <xf numFmtId="170" fontId="19" fillId="4" borderId="4" xfId="0" applyNumberFormat="1" applyFont="1" applyFill="1" applyBorder="1" applyAlignment="1">
      <alignment horizontal="center" vertical="center" wrapText="1"/>
    </xf>
    <xf numFmtId="169" fontId="19" fillId="4" borderId="4" xfId="0" applyNumberFormat="1" applyFont="1" applyFill="1" applyBorder="1" applyAlignment="1">
      <alignment horizontal="center" vertical="center" wrapText="1"/>
    </xf>
    <xf numFmtId="170" fontId="19" fillId="0" borderId="4" xfId="0" applyNumberFormat="1" applyFont="1" applyBorder="1" applyAlignment="1">
      <alignment horizontal="center" vertical="center" wrapText="1"/>
    </xf>
    <xf numFmtId="0" fontId="19" fillId="0" borderId="4" xfId="0" applyFont="1" applyBorder="1" applyAlignment="1">
      <alignment horizontal="center" vertical="center" wrapText="1"/>
    </xf>
    <xf numFmtId="0" fontId="19" fillId="0" borderId="4" xfId="0" applyFont="1" applyBorder="1" applyAlignment="1">
      <alignment horizontal="left" vertical="center" wrapText="1"/>
    </xf>
    <xf numFmtId="0" fontId="19" fillId="0" borderId="4" xfId="0" applyFont="1" applyBorder="1" applyAlignment="1">
      <alignment horizontal="center" vertical="center" wrapText="1"/>
    </xf>
    <xf numFmtId="0" fontId="19" fillId="0" borderId="4" xfId="0" applyFont="1" applyBorder="1" applyAlignment="1">
      <alignment horizontal="left" vertical="center" wrapText="1"/>
    </xf>
    <xf numFmtId="0" fontId="12" fillId="0" borderId="29" xfId="0" applyFont="1" applyBorder="1" applyAlignment="1">
      <alignment horizontal="center" vertical="center"/>
    </xf>
    <xf numFmtId="169" fontId="19" fillId="0" borderId="4" xfId="0" applyNumberFormat="1" applyFont="1" applyBorder="1" applyAlignment="1">
      <alignment horizontal="center" vertical="center" wrapText="1"/>
    </xf>
    <xf numFmtId="0" fontId="124" fillId="4" borderId="4" xfId="0" applyFont="1" applyFill="1" applyBorder="1" applyAlignment="1">
      <alignment horizontal="left" vertical="center" wrapText="1"/>
    </xf>
    <xf numFmtId="164" fontId="12" fillId="0" borderId="3" xfId="0" applyNumberFormat="1" applyFont="1" applyBorder="1" applyAlignment="1">
      <alignment horizontal="center" vertical="center"/>
    </xf>
    <xf numFmtId="0" fontId="12" fillId="0" borderId="3" xfId="0" applyFont="1" applyBorder="1" applyAlignment="1">
      <alignment horizontal="center" vertical="center"/>
    </xf>
    <xf numFmtId="0" fontId="12" fillId="0" borderId="3" xfId="0" applyFont="1" applyBorder="1" applyAlignment="1">
      <alignment vertical="center" wrapText="1"/>
    </xf>
    <xf numFmtId="0" fontId="125" fillId="4" borderId="33" xfId="0" applyFont="1" applyFill="1" applyBorder="1" applyAlignment="1">
      <alignment vertical="center"/>
    </xf>
    <xf numFmtId="14" fontId="12" fillId="0" borderId="34" xfId="0" applyNumberFormat="1" applyFont="1" applyBorder="1" applyAlignment="1">
      <alignment horizontal="center" vertical="center"/>
    </xf>
    <xf numFmtId="0" fontId="12" fillId="0" borderId="34" xfId="0" applyFont="1" applyBorder="1" applyAlignment="1">
      <alignment horizontal="center" vertical="center"/>
    </xf>
    <xf numFmtId="0" fontId="12" fillId="0" borderId="34" xfId="0" applyFont="1" applyBorder="1" applyAlignment="1">
      <alignment vertical="center" wrapText="1"/>
    </xf>
    <xf numFmtId="14" fontId="19" fillId="0" borderId="34" xfId="0" applyNumberFormat="1" applyFont="1" applyBorder="1" applyAlignment="1">
      <alignment horizontal="center" vertical="center"/>
    </xf>
    <xf numFmtId="0" fontId="19" fillId="0" borderId="34" xfId="0" applyFont="1" applyBorder="1" applyAlignment="1">
      <alignment horizontal="center" vertical="center"/>
    </xf>
    <xf numFmtId="0" fontId="19" fillId="0" borderId="34" xfId="0" applyFont="1" applyBorder="1" applyAlignment="1">
      <alignment vertical="center" wrapText="1"/>
    </xf>
    <xf numFmtId="164" fontId="19" fillId="0" borderId="4" xfId="0" applyNumberFormat="1" applyFont="1" applyBorder="1" applyAlignment="1">
      <alignment horizontal="center" vertical="center"/>
    </xf>
    <xf numFmtId="0" fontId="19" fillId="0" borderId="4" xfId="0" applyFont="1" applyBorder="1" applyAlignment="1">
      <alignment horizontal="center" vertical="center"/>
    </xf>
    <xf numFmtId="0" fontId="126" fillId="4" borderId="4" xfId="0" applyFont="1" applyFill="1" applyBorder="1" applyAlignment="1"/>
    <xf numFmtId="164" fontId="19" fillId="0" borderId="3" xfId="0" applyNumberFormat="1" applyFont="1" applyBorder="1" applyAlignment="1">
      <alignment horizontal="center"/>
    </xf>
    <xf numFmtId="0" fontId="19" fillId="0" borderId="3" xfId="0" applyFont="1" applyBorder="1" applyAlignment="1">
      <alignment horizontal="center"/>
    </xf>
    <xf numFmtId="0" fontId="19" fillId="0" borderId="3" xfId="0" applyFont="1" applyBorder="1" applyAlignment="1"/>
    <xf numFmtId="0" fontId="19" fillId="0" borderId="3" xfId="0" applyFont="1" applyBorder="1" applyAlignment="1">
      <alignment horizontal="center"/>
    </xf>
    <xf numFmtId="164" fontId="19" fillId="0" borderId="0" xfId="0" applyNumberFormat="1" applyFont="1" applyAlignment="1">
      <alignment horizontal="center" vertical="center"/>
    </xf>
    <xf numFmtId="0" fontId="19" fillId="0" borderId="0" xfId="0" applyFont="1" applyAlignment="1">
      <alignment vertical="center" wrapText="1"/>
    </xf>
    <xf numFmtId="0" fontId="127" fillId="4" borderId="4" xfId="0" applyFont="1" applyFill="1" applyBorder="1" applyAlignment="1">
      <alignment horizontal="left"/>
    </xf>
    <xf numFmtId="14" fontId="19" fillId="0" borderId="3" xfId="0" applyNumberFormat="1" applyFont="1" applyBorder="1" applyAlignment="1">
      <alignment horizontal="center"/>
    </xf>
    <xf numFmtId="0" fontId="19" fillId="0" borderId="3" xfId="0" applyFont="1" applyBorder="1" applyAlignment="1">
      <alignment horizontal="left"/>
    </xf>
    <xf numFmtId="0" fontId="128" fillId="4" borderId="33" xfId="0" applyFont="1" applyFill="1" applyBorder="1" applyAlignment="1">
      <alignment horizontal="left"/>
    </xf>
    <xf numFmtId="14" fontId="19" fillId="0" borderId="34" xfId="0" applyNumberFormat="1" applyFont="1" applyBorder="1" applyAlignment="1">
      <alignment horizontal="center"/>
    </xf>
    <xf numFmtId="0" fontId="19" fillId="0" borderId="34" xfId="0" applyFont="1" applyBorder="1" applyAlignment="1">
      <alignment horizontal="center"/>
    </xf>
    <xf numFmtId="0" fontId="19" fillId="0" borderId="34" xfId="0" applyFont="1" applyBorder="1" applyAlignment="1">
      <alignment horizontal="left"/>
    </xf>
    <xf numFmtId="0" fontId="19" fillId="0" borderId="34" xfId="0" applyFont="1" applyBorder="1" applyAlignment="1">
      <alignment horizontal="center"/>
    </xf>
    <xf numFmtId="0" fontId="19" fillId="0" borderId="34" xfId="0" applyFont="1" applyBorder="1" applyAlignment="1">
      <alignment horizontal="left"/>
    </xf>
    <xf numFmtId="164" fontId="19" fillId="4" borderId="4" xfId="0" applyNumberFormat="1" applyFont="1" applyFill="1" applyBorder="1" applyAlignment="1">
      <alignment horizontal="center"/>
    </xf>
    <xf numFmtId="0" fontId="19" fillId="4" borderId="4" xfId="0" applyFont="1" applyFill="1" applyBorder="1" applyAlignment="1">
      <alignment horizontal="center"/>
    </xf>
    <xf numFmtId="0" fontId="19" fillId="4" borderId="4" xfId="0" applyFont="1" applyFill="1" applyBorder="1" applyAlignment="1">
      <alignment horizontal="left"/>
    </xf>
    <xf numFmtId="14" fontId="19" fillId="4" borderId="4" xfId="0" applyNumberFormat="1" applyFont="1" applyFill="1" applyBorder="1" applyAlignment="1">
      <alignment horizontal="center"/>
    </xf>
    <xf numFmtId="0" fontId="19" fillId="4" borderId="4" xfId="0" applyFont="1" applyFill="1" applyBorder="1" applyAlignment="1"/>
    <xf numFmtId="0" fontId="49" fillId="4" borderId="0" xfId="0" applyFont="1" applyFill="1" applyAlignment="1">
      <alignment horizontal="left"/>
    </xf>
    <xf numFmtId="0" fontId="49" fillId="0" borderId="0" xfId="0" applyFont="1" applyAlignment="1">
      <alignment horizontal="center"/>
    </xf>
    <xf numFmtId="0" fontId="49" fillId="0" borderId="0" xfId="0" applyFont="1" applyAlignment="1">
      <alignment horizontal="left"/>
    </xf>
    <xf numFmtId="0" fontId="49" fillId="0" borderId="0" xfId="0" applyFont="1" applyAlignment="1">
      <alignment horizontal="center"/>
    </xf>
    <xf numFmtId="0" fontId="0" fillId="0" borderId="4" xfId="0" applyFont="1" applyBorder="1" applyAlignment="1">
      <alignment horizontal="center" vertical="center" wrapText="1"/>
    </xf>
    <xf numFmtId="0" fontId="0" fillId="4" borderId="35" xfId="0" applyFont="1" applyFill="1" applyBorder="1" applyAlignment="1">
      <alignment horizontal="center" vertical="center" wrapText="1"/>
    </xf>
    <xf numFmtId="0" fontId="6" fillId="0" borderId="26" xfId="0" applyFont="1" applyBorder="1" applyAlignment="1">
      <alignment horizontal="center" vertical="center"/>
    </xf>
    <xf numFmtId="171" fontId="12" fillId="4" borderId="4" xfId="0" applyNumberFormat="1" applyFont="1" applyFill="1" applyBorder="1" applyAlignment="1">
      <alignment horizontal="center" vertical="center"/>
    </xf>
    <xf numFmtId="169" fontId="12" fillId="4" borderId="4" xfId="0" applyNumberFormat="1" applyFont="1" applyFill="1" applyBorder="1" applyAlignment="1">
      <alignment horizontal="center" vertical="center"/>
    </xf>
    <xf numFmtId="172" fontId="12" fillId="4" borderId="4" xfId="0" applyNumberFormat="1" applyFont="1" applyFill="1" applyBorder="1" applyAlignment="1">
      <alignment horizontal="center" vertical="center"/>
    </xf>
    <xf numFmtId="173" fontId="12" fillId="4" borderId="4" xfId="0" applyNumberFormat="1" applyFont="1" applyFill="1" applyBorder="1" applyAlignment="1">
      <alignment horizontal="center" vertical="center"/>
    </xf>
    <xf numFmtId="174" fontId="12" fillId="4" borderId="4" xfId="0" applyNumberFormat="1" applyFont="1" applyFill="1" applyBorder="1" applyAlignment="1">
      <alignment horizontal="center" vertical="center"/>
    </xf>
    <xf numFmtId="0" fontId="49" fillId="0" borderId="4" xfId="0" applyFont="1" applyBorder="1" applyAlignment="1">
      <alignment horizontal="center" vertical="center" wrapText="1"/>
    </xf>
    <xf numFmtId="174" fontId="12" fillId="4" borderId="4" xfId="0" applyNumberFormat="1" applyFont="1" applyFill="1" applyBorder="1" applyAlignment="1">
      <alignment horizontal="center" vertical="center"/>
    </xf>
    <xf numFmtId="0" fontId="129" fillId="4" borderId="4" xfId="0" applyFont="1" applyFill="1" applyBorder="1" applyAlignment="1">
      <alignment horizontal="left" vertical="center"/>
    </xf>
    <xf numFmtId="172" fontId="12" fillId="4" borderId="4" xfId="0" applyNumberFormat="1" applyFont="1" applyFill="1" applyBorder="1" applyAlignment="1">
      <alignment horizontal="center" vertical="center"/>
    </xf>
    <xf numFmtId="171" fontId="12" fillId="4" borderId="4" xfId="0" applyNumberFormat="1" applyFont="1" applyFill="1" applyBorder="1" applyAlignment="1">
      <alignment horizontal="center" vertical="center"/>
    </xf>
    <xf numFmtId="175" fontId="12" fillId="4" borderId="4" xfId="0" applyNumberFormat="1" applyFont="1" applyFill="1" applyBorder="1" applyAlignment="1">
      <alignment horizontal="center" vertical="center"/>
    </xf>
    <xf numFmtId="176" fontId="12" fillId="4" borderId="4" xfId="0" applyNumberFormat="1" applyFont="1" applyFill="1" applyBorder="1" applyAlignment="1">
      <alignment horizontal="center" vertical="center"/>
    </xf>
    <xf numFmtId="177" fontId="12" fillId="4" borderId="4" xfId="0" applyNumberFormat="1" applyFont="1" applyFill="1" applyBorder="1" applyAlignment="1">
      <alignment horizontal="center" vertical="center"/>
    </xf>
    <xf numFmtId="0" fontId="130" fillId="4" borderId="4" xfId="0" applyFont="1" applyFill="1" applyBorder="1" applyAlignment="1">
      <alignment vertical="center"/>
    </xf>
    <xf numFmtId="173" fontId="12" fillId="4" borderId="4" xfId="0" applyNumberFormat="1" applyFont="1" applyFill="1" applyBorder="1" applyAlignment="1">
      <alignment horizontal="center" vertical="center"/>
    </xf>
    <xf numFmtId="178" fontId="12" fillId="4" borderId="4" xfId="0" applyNumberFormat="1" applyFont="1" applyFill="1" applyBorder="1" applyAlignment="1">
      <alignment horizontal="center" vertical="center"/>
    </xf>
    <xf numFmtId="0" fontId="12" fillId="4" borderId="4"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4" xfId="0" applyFont="1" applyFill="1" applyBorder="1" applyAlignment="1">
      <alignment wrapText="1"/>
    </xf>
    <xf numFmtId="0" fontId="12" fillId="0" borderId="0" xfId="0" applyFont="1" applyAlignment="1">
      <alignment vertical="center"/>
    </xf>
    <xf numFmtId="0" fontId="12" fillId="4" borderId="0" xfId="0" applyFont="1" applyFill="1" applyAlignment="1">
      <alignment wrapText="1"/>
    </xf>
    <xf numFmtId="0" fontId="12" fillId="0" borderId="4" xfId="0" applyFont="1" applyBorder="1" applyAlignment="1">
      <alignment vertical="center"/>
    </xf>
    <xf numFmtId="179" fontId="12" fillId="4" borderId="4" xfId="0" applyNumberFormat="1" applyFont="1" applyFill="1" applyBorder="1" applyAlignment="1">
      <alignment horizontal="center" vertical="center"/>
    </xf>
    <xf numFmtId="0" fontId="131" fillId="0" borderId="4" xfId="0" applyFont="1" applyBorder="1" applyAlignment="1">
      <alignment vertical="center" wrapText="1"/>
    </xf>
    <xf numFmtId="0" fontId="1" fillId="0" borderId="0" xfId="0" applyFont="1" applyAlignment="1">
      <alignment vertical="center" wrapText="1"/>
    </xf>
    <xf numFmtId="180" fontId="12" fillId="4" borderId="4" xfId="0" applyNumberFormat="1" applyFont="1" applyFill="1" applyBorder="1" applyAlignment="1">
      <alignment horizontal="center" vertical="center"/>
    </xf>
    <xf numFmtId="181" fontId="12" fillId="4" borderId="4" xfId="0" applyNumberFormat="1" applyFont="1" applyFill="1" applyBorder="1" applyAlignment="1">
      <alignment horizontal="center" vertical="center"/>
    </xf>
    <xf numFmtId="180" fontId="12" fillId="4" borderId="4" xfId="0" applyNumberFormat="1" applyFont="1" applyFill="1" applyBorder="1" applyAlignment="1">
      <alignment horizontal="center" vertical="center"/>
    </xf>
    <xf numFmtId="182" fontId="12" fillId="0" borderId="4" xfId="0" applyNumberFormat="1" applyFont="1" applyBorder="1" applyAlignment="1">
      <alignment horizontal="center" vertical="center" wrapText="1"/>
    </xf>
    <xf numFmtId="0" fontId="12" fillId="0" borderId="0" xfId="0" applyFont="1" applyAlignment="1">
      <alignment vertical="center" wrapText="1"/>
    </xf>
    <xf numFmtId="0" fontId="12" fillId="4" borderId="4" xfId="0" applyFont="1" applyFill="1" applyBorder="1" applyAlignment="1">
      <alignment horizontal="left" vertical="center"/>
    </xf>
    <xf numFmtId="0" fontId="12" fillId="0" borderId="2" xfId="0" applyFont="1" applyBorder="1" applyAlignment="1">
      <alignment vertical="center"/>
    </xf>
    <xf numFmtId="0" fontId="12" fillId="0" borderId="2" xfId="0" applyFont="1" applyBorder="1" applyAlignment="1">
      <alignment horizontal="center" vertical="center" wrapText="1"/>
    </xf>
    <xf numFmtId="0" fontId="12" fillId="4" borderId="2" xfId="0" applyFont="1" applyFill="1" applyBorder="1" applyAlignment="1">
      <alignment vertical="center"/>
    </xf>
    <xf numFmtId="0" fontId="12" fillId="4" borderId="3" xfId="0" applyFont="1" applyFill="1" applyBorder="1" applyAlignment="1">
      <alignment vertical="center"/>
    </xf>
    <xf numFmtId="0" fontId="12" fillId="0" borderId="0" xfId="0" applyFont="1" applyAlignment="1">
      <alignment horizontal="left" vertical="center" wrapText="1"/>
    </xf>
    <xf numFmtId="0" fontId="27" fillId="4" borderId="0" xfId="0" applyFont="1" applyFill="1" applyAlignment="1">
      <alignment horizontal="left" vertical="center"/>
    </xf>
    <xf numFmtId="0" fontId="132" fillId="0" borderId="4" xfId="0" applyFont="1" applyBorder="1" applyAlignment="1">
      <alignment vertical="center"/>
    </xf>
    <xf numFmtId="0" fontId="133" fillId="0" borderId="4" xfId="0" applyFont="1" applyBorder="1" applyAlignment="1">
      <alignment vertical="center"/>
    </xf>
    <xf numFmtId="0" fontId="134" fillId="0" borderId="0" xfId="0" applyFont="1" applyAlignment="1">
      <alignment vertical="center"/>
    </xf>
    <xf numFmtId="0" fontId="135" fillId="0" borderId="4" xfId="0" applyFont="1" applyBorder="1" applyAlignment="1">
      <alignment horizontal="center" vertical="center"/>
    </xf>
    <xf numFmtId="0" fontId="12" fillId="4" borderId="4" xfId="0" applyFont="1" applyFill="1" applyBorder="1" applyAlignment="1">
      <alignment vertical="top"/>
    </xf>
    <xf numFmtId="0" fontId="12" fillId="4" borderId="4" xfId="0" applyFont="1" applyFill="1" applyBorder="1" applyAlignment="1">
      <alignment vertical="center"/>
    </xf>
    <xf numFmtId="0" fontId="136" fillId="4" borderId="4" xfId="0" applyFont="1" applyFill="1" applyBorder="1" applyAlignment="1">
      <alignment vertical="center" wrapText="1"/>
    </xf>
    <xf numFmtId="14" fontId="12" fillId="4" borderId="0" xfId="0" applyNumberFormat="1" applyFont="1" applyFill="1" applyAlignment="1">
      <alignment horizontal="center" vertical="center"/>
    </xf>
    <xf numFmtId="0" fontId="12" fillId="4" borderId="0" xfId="0" applyFont="1" applyFill="1" applyAlignment="1">
      <alignment horizontal="left" vertical="center"/>
    </xf>
    <xf numFmtId="0" fontId="12" fillId="4" borderId="0" xfId="0" applyFont="1" applyFill="1" applyAlignment="1">
      <alignment vertical="center"/>
    </xf>
    <xf numFmtId="0" fontId="12" fillId="4" borderId="1" xfId="0" applyFont="1" applyFill="1" applyBorder="1" applyAlignment="1">
      <alignment horizontal="center" vertical="center" wrapText="1"/>
    </xf>
    <xf numFmtId="0" fontId="9" fillId="6" borderId="36" xfId="0" applyFont="1" applyFill="1" applyBorder="1" applyAlignment="1">
      <alignment horizontal="left" vertical="center" wrapText="1"/>
    </xf>
    <xf numFmtId="0" fontId="9" fillId="6" borderId="37" xfId="0" applyFont="1" applyFill="1" applyBorder="1" applyAlignment="1">
      <alignment horizontal="center" vertical="center" wrapText="1"/>
    </xf>
    <xf numFmtId="0" fontId="9" fillId="6" borderId="36" xfId="0" applyFont="1" applyFill="1" applyBorder="1" applyAlignment="1">
      <alignment horizontal="center" vertical="center" wrapText="1"/>
    </xf>
    <xf numFmtId="0" fontId="137" fillId="0" borderId="4" xfId="0" applyFont="1" applyBorder="1" applyAlignment="1">
      <alignment horizontal="left" vertical="center" wrapText="1"/>
    </xf>
    <xf numFmtId="0" fontId="6" fillId="0" borderId="1" xfId="0" applyFont="1" applyBorder="1" applyAlignment="1">
      <alignment horizontal="center" vertical="center"/>
    </xf>
    <xf numFmtId="0" fontId="14" fillId="0" borderId="8" xfId="0" applyFont="1" applyBorder="1" applyAlignment="1">
      <alignment horizontal="center" vertical="center"/>
    </xf>
    <xf numFmtId="0" fontId="14" fillId="0" borderId="0" xfId="0" applyFont="1" applyAlignment="1">
      <alignment vertical="center"/>
    </xf>
    <xf numFmtId="0" fontId="14" fillId="0" borderId="0" xfId="0" applyFont="1" applyAlignment="1">
      <alignment horizontal="center" vertical="center"/>
    </xf>
    <xf numFmtId="0" fontId="14" fillId="0" borderId="30" xfId="0" applyFont="1" applyBorder="1" applyAlignment="1">
      <alignment horizontal="left" vertical="top" wrapText="1"/>
    </xf>
    <xf numFmtId="0" fontId="138" fillId="5" borderId="30" xfId="0" applyFont="1" applyFill="1" applyBorder="1" applyAlignment="1">
      <alignment horizontal="left" vertical="top" wrapText="1"/>
    </xf>
    <xf numFmtId="0" fontId="9" fillId="6" borderId="4" xfId="0" applyFont="1" applyFill="1" applyBorder="1" applyAlignment="1">
      <alignment horizontal="left" vertical="top" wrapText="1"/>
    </xf>
    <xf numFmtId="0" fontId="103" fillId="4" borderId="4" xfId="0" applyFont="1" applyFill="1" applyBorder="1" applyAlignment="1">
      <alignment horizontal="left" vertical="center"/>
    </xf>
    <xf numFmtId="164" fontId="103" fillId="4" borderId="4" xfId="0" applyNumberFormat="1" applyFont="1" applyFill="1" applyBorder="1" applyAlignment="1">
      <alignment horizontal="left" vertical="center"/>
    </xf>
    <xf numFmtId="0" fontId="103" fillId="4" borderId="4" xfId="0" applyFont="1" applyFill="1" applyBorder="1" applyAlignment="1">
      <alignment horizontal="left" wrapText="1"/>
    </xf>
    <xf numFmtId="0" fontId="103" fillId="4" borderId="4" xfId="0" applyFont="1" applyFill="1" applyBorder="1" applyAlignment="1">
      <alignment horizontal="left"/>
    </xf>
    <xf numFmtId="0" fontId="139" fillId="4" borderId="4" xfId="0" applyFont="1" applyFill="1" applyBorder="1" applyAlignment="1">
      <alignment horizontal="left" wrapText="1"/>
    </xf>
    <xf numFmtId="0" fontId="140" fillId="4" borderId="4" xfId="0" applyFont="1" applyFill="1" applyBorder="1" applyAlignment="1">
      <alignment horizontal="left" wrapText="1"/>
    </xf>
    <xf numFmtId="0" fontId="103" fillId="4" borderId="4" xfId="0" applyFont="1" applyFill="1" applyBorder="1" applyAlignment="1">
      <alignment horizontal="left" vertical="center"/>
    </xf>
    <xf numFmtId="164" fontId="103" fillId="4" borderId="4" xfId="0" applyNumberFormat="1" applyFont="1" applyFill="1" applyBorder="1" applyAlignment="1">
      <alignment horizontal="left" vertical="center"/>
    </xf>
    <xf numFmtId="0" fontId="141" fillId="4" borderId="4" xfId="0" applyFont="1" applyFill="1" applyBorder="1" applyAlignment="1">
      <alignment horizontal="left" wrapText="1"/>
    </xf>
    <xf numFmtId="169" fontId="103" fillId="4" borderId="4" xfId="0" applyNumberFormat="1" applyFont="1" applyFill="1" applyBorder="1" applyAlignment="1">
      <alignment horizontal="left" vertical="center"/>
    </xf>
    <xf numFmtId="0" fontId="103" fillId="4" borderId="0" xfId="0" applyFont="1" applyFill="1" applyAlignment="1">
      <alignment horizontal="left" wrapText="1"/>
    </xf>
    <xf numFmtId="169" fontId="103" fillId="4" borderId="4" xfId="0" applyNumberFormat="1" applyFont="1" applyFill="1" applyBorder="1" applyAlignment="1">
      <alignment horizontal="left" vertical="center"/>
    </xf>
    <xf numFmtId="0" fontId="103" fillId="4" borderId="4" xfId="0" applyFont="1" applyFill="1" applyBorder="1" applyAlignment="1">
      <alignment horizontal="left"/>
    </xf>
    <xf numFmtId="0" fontId="142" fillId="4" borderId="4" xfId="0" applyFont="1" applyFill="1" applyBorder="1" applyAlignment="1">
      <alignment horizontal="left" wrapText="1"/>
    </xf>
    <xf numFmtId="170" fontId="103" fillId="4" borderId="4" xfId="0" applyNumberFormat="1" applyFont="1" applyFill="1" applyBorder="1" applyAlignment="1">
      <alignment horizontal="left" vertical="center"/>
    </xf>
    <xf numFmtId="0" fontId="103" fillId="4" borderId="4" xfId="0" applyFont="1" applyFill="1" applyBorder="1" applyAlignment="1">
      <alignment horizontal="left" vertical="center" wrapText="1"/>
    </xf>
    <xf numFmtId="0" fontId="103" fillId="4" borderId="3" xfId="0" applyFont="1" applyFill="1" applyBorder="1" applyAlignment="1">
      <alignment horizontal="left" vertical="center" wrapText="1"/>
    </xf>
    <xf numFmtId="14" fontId="103" fillId="4" borderId="3" xfId="0" applyNumberFormat="1" applyFont="1" applyFill="1" applyBorder="1" applyAlignment="1">
      <alignment horizontal="left" vertical="center" wrapText="1"/>
    </xf>
    <xf numFmtId="0" fontId="103" fillId="4" borderId="3" xfId="0" applyFont="1" applyFill="1" applyBorder="1" applyAlignment="1">
      <alignment horizontal="left" wrapText="1"/>
    </xf>
    <xf numFmtId="0" fontId="143" fillId="4" borderId="3" xfId="0" applyFont="1" applyFill="1" applyBorder="1" applyAlignment="1">
      <alignment horizontal="left" wrapText="1"/>
    </xf>
    <xf numFmtId="0" fontId="103" fillId="4" borderId="33" xfId="0" applyFont="1" applyFill="1" applyBorder="1" applyAlignment="1">
      <alignment horizontal="left" vertical="center" wrapText="1"/>
    </xf>
    <xf numFmtId="0" fontId="103" fillId="4" borderId="34" xfId="0" applyFont="1" applyFill="1" applyBorder="1" applyAlignment="1">
      <alignment horizontal="left" vertical="center" wrapText="1"/>
    </xf>
    <xf numFmtId="14" fontId="103" fillId="4" borderId="34" xfId="0" applyNumberFormat="1" applyFont="1" applyFill="1" applyBorder="1" applyAlignment="1">
      <alignment horizontal="left" vertical="center" wrapText="1"/>
    </xf>
    <xf numFmtId="0" fontId="103" fillId="4" borderId="34" xfId="0" applyFont="1" applyFill="1" applyBorder="1" applyAlignment="1">
      <alignment horizontal="left" wrapText="1"/>
    </xf>
    <xf numFmtId="0" fontId="103" fillId="4" borderId="34" xfId="0" applyFont="1" applyFill="1" applyBorder="1" applyAlignment="1">
      <alignment horizontal="left" wrapText="1"/>
    </xf>
    <xf numFmtId="0" fontId="144" fillId="4" borderId="34" xfId="0" applyFont="1" applyFill="1" applyBorder="1" applyAlignment="1">
      <alignment horizontal="left" wrapText="1"/>
    </xf>
    <xf numFmtId="0" fontId="103" fillId="4" borderId="4" xfId="0" applyFont="1" applyFill="1" applyBorder="1" applyAlignment="1">
      <alignment horizontal="center" vertical="center"/>
    </xf>
    <xf numFmtId="0" fontId="103" fillId="4" borderId="4" xfId="0" applyFont="1" applyFill="1" applyBorder="1" applyAlignment="1">
      <alignment horizontal="left" wrapText="1"/>
    </xf>
    <xf numFmtId="0" fontId="103" fillId="4" borderId="4" xfId="0" applyFont="1" applyFill="1" applyBorder="1" applyAlignment="1">
      <alignment horizontal="left" vertical="top" wrapText="1"/>
    </xf>
    <xf numFmtId="0" fontId="145" fillId="4" borderId="4" xfId="0" applyFont="1" applyFill="1" applyBorder="1" applyAlignment="1">
      <alignment horizontal="center" vertical="center"/>
    </xf>
    <xf numFmtId="0" fontId="0" fillId="0" borderId="4" xfId="0" applyFont="1" applyBorder="1" applyAlignment="1">
      <alignment horizontal="center" vertical="center"/>
    </xf>
    <xf numFmtId="0" fontId="12" fillId="4" borderId="4" xfId="0" applyFont="1" applyFill="1" applyBorder="1" applyAlignment="1">
      <alignment horizontal="left" vertical="top" wrapText="1"/>
    </xf>
    <xf numFmtId="0" fontId="146" fillId="4" borderId="4" xfId="0" applyFont="1" applyFill="1" applyBorder="1" applyAlignment="1">
      <alignment horizontal="center" vertical="center"/>
    </xf>
    <xf numFmtId="165" fontId="12" fillId="4" borderId="4" xfId="0" applyNumberFormat="1" applyFont="1" applyFill="1" applyBorder="1" applyAlignment="1">
      <alignment horizontal="left" vertical="center" wrapText="1"/>
    </xf>
    <xf numFmtId="0" fontId="76" fillId="4" borderId="4"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4" xfId="0" applyFont="1" applyFill="1" applyBorder="1" applyAlignment="1">
      <alignment horizontal="center" vertical="center"/>
    </xf>
    <xf numFmtId="0" fontId="30" fillId="4" borderId="4" xfId="0" applyFont="1" applyFill="1" applyBorder="1" applyAlignment="1">
      <alignment horizontal="left" vertical="center" wrapText="1"/>
    </xf>
    <xf numFmtId="0" fontId="12" fillId="0" borderId="4" xfId="0" applyFont="1" applyBorder="1" applyAlignment="1">
      <alignment horizontal="left" vertical="top" wrapText="1"/>
    </xf>
    <xf numFmtId="0" fontId="12" fillId="4" borderId="4" xfId="0" applyFont="1" applyFill="1" applyBorder="1" applyAlignment="1">
      <alignment horizontal="left" vertical="top" wrapText="1"/>
    </xf>
    <xf numFmtId="0" fontId="12" fillId="4" borderId="4" xfId="0" applyFont="1" applyFill="1" applyBorder="1" applyAlignment="1">
      <alignment horizontal="left" vertical="center" wrapText="1"/>
    </xf>
    <xf numFmtId="0" fontId="12" fillId="0" borderId="4" xfId="0" applyFont="1" applyBorder="1" applyAlignment="1">
      <alignment horizontal="center" vertical="center"/>
    </xf>
    <xf numFmtId="0" fontId="12" fillId="0" borderId="4" xfId="0" applyFont="1" applyBorder="1" applyAlignment="1">
      <alignment horizontal="right" vertical="center"/>
    </xf>
    <xf numFmtId="0" fontId="12" fillId="0" borderId="4" xfId="0" applyFont="1" applyBorder="1" applyAlignment="1">
      <alignment vertical="center"/>
    </xf>
    <xf numFmtId="0" fontId="0" fillId="0" borderId="4" xfId="0" applyFont="1" applyBorder="1" applyAlignment="1">
      <alignment horizontal="center" vertical="center"/>
    </xf>
    <xf numFmtId="0" fontId="12" fillId="4" borderId="4" xfId="0" applyFont="1" applyFill="1" applyBorder="1" applyAlignment="1">
      <alignment horizontal="center" vertical="center"/>
    </xf>
    <xf numFmtId="0" fontId="147" fillId="0" borderId="4" xfId="0" applyFont="1" applyBorder="1" applyAlignment="1">
      <alignment horizontal="center" vertical="center"/>
    </xf>
    <xf numFmtId="0" fontId="19" fillId="4" borderId="4" xfId="0" applyFont="1" applyFill="1" applyBorder="1" applyAlignment="1">
      <alignment horizontal="left" vertical="center" wrapText="1"/>
    </xf>
    <xf numFmtId="0" fontId="14" fillId="0" borderId="30" xfId="0" applyFont="1" applyBorder="1" applyAlignment="1">
      <alignment horizontal="left" vertical="center" wrapText="1"/>
    </xf>
    <xf numFmtId="0" fontId="148" fillId="5" borderId="30" xfId="0" applyFont="1" applyFill="1" applyBorder="1" applyAlignment="1">
      <alignment horizontal="left" vertical="center" wrapText="1"/>
    </xf>
    <xf numFmtId="0" fontId="0" fillId="0" borderId="4" xfId="0" applyFont="1" applyBorder="1" applyAlignment="1">
      <alignment horizontal="center" vertical="center"/>
    </xf>
    <xf numFmtId="0" fontId="103" fillId="0" borderId="4" xfId="0" applyFont="1" applyBorder="1" applyAlignment="1">
      <alignment horizontal="left" vertical="center"/>
    </xf>
    <xf numFmtId="0" fontId="103" fillId="4" borderId="4" xfId="0" applyFont="1" applyFill="1" applyBorder="1" applyAlignment="1">
      <alignment horizontal="left" vertical="top" wrapText="1"/>
    </xf>
    <xf numFmtId="0" fontId="149" fillId="4" borderId="4" xfId="0" applyFont="1" applyFill="1" applyBorder="1" applyAlignment="1">
      <alignment horizontal="left" vertical="top" wrapText="1"/>
    </xf>
    <xf numFmtId="0" fontId="103" fillId="4" borderId="4" xfId="0" applyFont="1" applyFill="1" applyBorder="1" applyAlignment="1">
      <alignment horizontal="left"/>
    </xf>
    <xf numFmtId="14" fontId="103" fillId="4" borderId="4" xfId="0" applyNumberFormat="1" applyFont="1" applyFill="1" applyBorder="1" applyAlignment="1">
      <alignment horizontal="left" vertical="center"/>
    </xf>
    <xf numFmtId="0" fontId="14" fillId="0" borderId="4" xfId="0" applyFont="1" applyBorder="1" applyAlignment="1">
      <alignment horizontal="center" vertical="center"/>
    </xf>
    <xf numFmtId="0" fontId="12" fillId="4" borderId="0" xfId="0" applyFont="1" applyFill="1" applyAlignment="1">
      <alignment horizontal="center" vertical="center"/>
    </xf>
    <xf numFmtId="0" fontId="65" fillId="4" borderId="0" xfId="0" applyFont="1" applyFill="1" applyAlignment="1">
      <alignment horizontal="center" vertical="center"/>
    </xf>
    <xf numFmtId="0" fontId="14" fillId="0" borderId="0" xfId="0" applyFont="1" applyAlignment="1">
      <alignment horizontal="center" vertical="center"/>
    </xf>
    <xf numFmtId="0" fontId="30" fillId="4" borderId="0" xfId="0" applyFont="1" applyFill="1" applyAlignment="1">
      <alignment horizontal="center" vertical="center"/>
    </xf>
    <xf numFmtId="0" fontId="150" fillId="4" borderId="4" xfId="0" applyFont="1" applyFill="1" applyBorder="1" applyAlignment="1">
      <alignment horizontal="center" vertical="center"/>
    </xf>
    <xf numFmtId="0" fontId="103" fillId="4" borderId="4" xfId="0" applyFont="1" applyFill="1" applyBorder="1" applyAlignment="1">
      <alignment horizontal="left"/>
    </xf>
    <xf numFmtId="0" fontId="104" fillId="4" borderId="4" xfId="0" applyFont="1" applyFill="1" applyBorder="1" applyAlignment="1">
      <alignment horizontal="center"/>
    </xf>
    <xf numFmtId="0" fontId="103" fillId="4" borderId="3" xfId="0" applyFont="1" applyFill="1" applyBorder="1" applyAlignment="1">
      <alignment horizontal="center"/>
    </xf>
    <xf numFmtId="14" fontId="103" fillId="4" borderId="3" xfId="0" applyNumberFormat="1" applyFont="1" applyFill="1" applyBorder="1" applyAlignment="1">
      <alignment horizontal="left"/>
    </xf>
    <xf numFmtId="0" fontId="151" fillId="4" borderId="3" xfId="0" applyFont="1" applyFill="1" applyBorder="1" applyAlignment="1">
      <alignment horizontal="left" wrapText="1"/>
    </xf>
    <xf numFmtId="0" fontId="152" fillId="4" borderId="3" xfId="0" applyFont="1" applyFill="1" applyBorder="1" applyAlignment="1">
      <alignment horizontal="left"/>
    </xf>
    <xf numFmtId="0" fontId="103" fillId="4" borderId="3" xfId="0" applyFont="1" applyFill="1" applyBorder="1" applyAlignment="1">
      <alignment horizontal="left"/>
    </xf>
    <xf numFmtId="0" fontId="103" fillId="4" borderId="3" xfId="0" applyFont="1" applyFill="1" applyBorder="1" applyAlignment="1">
      <alignment horizontal="left"/>
    </xf>
    <xf numFmtId="0" fontId="153" fillId="9" borderId="3" xfId="0" applyFont="1" applyFill="1" applyBorder="1" applyAlignment="1">
      <alignment horizontal="left"/>
    </xf>
    <xf numFmtId="0" fontId="104" fillId="4" borderId="33" xfId="0" applyFont="1" applyFill="1" applyBorder="1" applyAlignment="1">
      <alignment horizontal="center"/>
    </xf>
    <xf numFmtId="0" fontId="103" fillId="4" borderId="34" xfId="0" applyFont="1" applyFill="1" applyBorder="1" applyAlignment="1">
      <alignment horizontal="center"/>
    </xf>
    <xf numFmtId="14" fontId="103" fillId="4" borderId="34" xfId="0" applyNumberFormat="1" applyFont="1" applyFill="1" applyBorder="1" applyAlignment="1">
      <alignment horizontal="left"/>
    </xf>
    <xf numFmtId="0" fontId="154" fillId="4" borderId="34" xfId="0" applyFont="1" applyFill="1" applyBorder="1" applyAlignment="1">
      <alignment horizontal="left" wrapText="1"/>
    </xf>
    <xf numFmtId="0" fontId="155" fillId="9" borderId="34" xfId="0" applyFont="1" applyFill="1" applyBorder="1" applyAlignment="1">
      <alignment horizontal="left"/>
    </xf>
    <xf numFmtId="0" fontId="104" fillId="4" borderId="34" xfId="0" applyFont="1" applyFill="1" applyBorder="1" applyAlignment="1">
      <alignment horizontal="center"/>
    </xf>
    <xf numFmtId="0" fontId="104" fillId="4" borderId="4" xfId="0" applyFont="1" applyFill="1" applyBorder="1" applyAlignment="1">
      <alignment horizontal="center" wrapText="1"/>
    </xf>
    <xf numFmtId="0" fontId="103" fillId="4" borderId="3" xfId="0" applyFont="1" applyFill="1" applyBorder="1" applyAlignment="1">
      <alignment horizontal="center" wrapText="1"/>
    </xf>
    <xf numFmtId="14" fontId="103" fillId="4" borderId="3" xfId="0" applyNumberFormat="1" applyFont="1" applyFill="1" applyBorder="1" applyAlignment="1">
      <alignment horizontal="left" wrapText="1"/>
    </xf>
    <xf numFmtId="0" fontId="156" fillId="4" borderId="3" xfId="0" applyFont="1" applyFill="1" applyBorder="1" applyAlignment="1">
      <alignment horizontal="left" wrapText="1"/>
    </xf>
    <xf numFmtId="0" fontId="12" fillId="4" borderId="4" xfId="0" applyFont="1" applyFill="1" applyBorder="1" applyAlignment="1">
      <alignment horizontal="center"/>
    </xf>
    <xf numFmtId="0" fontId="103" fillId="4" borderId="34" xfId="0" applyFont="1" applyFill="1" applyBorder="1" applyAlignment="1">
      <alignment horizontal="center" wrapText="1"/>
    </xf>
    <xf numFmtId="14" fontId="103" fillId="4" borderId="34" xfId="0" applyNumberFormat="1" applyFont="1" applyFill="1" applyBorder="1" applyAlignment="1">
      <alignment horizontal="left" wrapText="1"/>
    </xf>
    <xf numFmtId="0" fontId="103" fillId="4" borderId="33" xfId="0" applyFont="1" applyFill="1" applyBorder="1" applyAlignment="1">
      <alignment horizontal="left" wrapText="1"/>
    </xf>
    <xf numFmtId="0" fontId="157" fillId="4" borderId="34" xfId="0" applyFont="1" applyFill="1" applyBorder="1" applyAlignment="1">
      <alignment horizontal="left" wrapText="1"/>
    </xf>
    <xf numFmtId="0" fontId="104" fillId="4" borderId="34" xfId="0" applyFont="1" applyFill="1" applyBorder="1" applyAlignment="1">
      <alignment horizontal="center" wrapText="1"/>
    </xf>
    <xf numFmtId="0" fontId="12" fillId="4" borderId="4" xfId="0" applyFont="1" applyFill="1" applyBorder="1" applyAlignment="1">
      <alignment horizontal="left"/>
    </xf>
    <xf numFmtId="0" fontId="26" fillId="0" borderId="0" xfId="0" applyFont="1" applyAlignment="1">
      <alignment horizontal="center" vertical="center" wrapText="1"/>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4" fillId="0" borderId="0" xfId="0" applyFont="1" applyAlignment="1">
      <alignment horizontal="left" vertical="top" wrapText="1"/>
    </xf>
    <xf numFmtId="164" fontId="103" fillId="4" borderId="4" xfId="0" applyNumberFormat="1" applyFont="1" applyFill="1" applyBorder="1" applyAlignment="1">
      <alignment horizontal="left"/>
    </xf>
    <xf numFmtId="0" fontId="158" fillId="4" borderId="4" xfId="0" applyFont="1" applyFill="1" applyBorder="1" applyAlignment="1">
      <alignment horizontal="left" wrapText="1"/>
    </xf>
    <xf numFmtId="0" fontId="159" fillId="4" borderId="4" xfId="0" applyFont="1" applyFill="1" applyBorder="1" applyAlignment="1">
      <alignment horizontal="left" wrapText="1"/>
    </xf>
    <xf numFmtId="164" fontId="103" fillId="4" borderId="4" xfId="0" applyNumberFormat="1" applyFont="1" applyFill="1" applyBorder="1" applyAlignment="1">
      <alignment horizontal="left"/>
    </xf>
    <xf numFmtId="2" fontId="103" fillId="4" borderId="4" xfId="0" applyNumberFormat="1" applyFont="1" applyFill="1" applyBorder="1" applyAlignment="1">
      <alignment horizontal="left"/>
    </xf>
    <xf numFmtId="169" fontId="103" fillId="4" borderId="4" xfId="0" applyNumberFormat="1" applyFont="1" applyFill="1" applyBorder="1" applyAlignment="1">
      <alignment horizontal="left"/>
    </xf>
    <xf numFmtId="0" fontId="160" fillId="4" borderId="4" xfId="0" applyFont="1" applyFill="1" applyBorder="1" applyAlignment="1">
      <alignment horizontal="left" wrapText="1"/>
    </xf>
    <xf numFmtId="169" fontId="103" fillId="4" borderId="4" xfId="0" applyNumberFormat="1" applyFont="1" applyFill="1" applyBorder="1" applyAlignment="1">
      <alignment horizontal="left"/>
    </xf>
    <xf numFmtId="0" fontId="103" fillId="4" borderId="4" xfId="0" applyFont="1" applyFill="1" applyBorder="1" applyAlignment="1">
      <alignment horizontal="left"/>
    </xf>
    <xf numFmtId="14" fontId="103" fillId="4" borderId="4" xfId="0" applyNumberFormat="1" applyFont="1" applyFill="1" applyBorder="1" applyAlignment="1">
      <alignment horizontal="left"/>
    </xf>
    <xf numFmtId="170" fontId="103" fillId="4" borderId="4" xfId="0" applyNumberFormat="1" applyFont="1" applyFill="1" applyBorder="1" applyAlignment="1">
      <alignment horizontal="left"/>
    </xf>
    <xf numFmtId="0" fontId="161" fillId="4" borderId="4" xfId="0" applyFont="1" applyFill="1" applyBorder="1" applyAlignment="1">
      <alignment wrapText="1"/>
    </xf>
    <xf numFmtId="170" fontId="103" fillId="4" borderId="4" xfId="0" applyNumberFormat="1" applyFont="1" applyFill="1" applyBorder="1" applyAlignment="1">
      <alignment horizontal="left"/>
    </xf>
    <xf numFmtId="0" fontId="12" fillId="4" borderId="4" xfId="0" applyFont="1" applyFill="1" applyBorder="1" applyAlignment="1">
      <alignment horizontal="center"/>
    </xf>
    <xf numFmtId="0" fontId="12" fillId="4" borderId="4" xfId="0" applyFont="1" applyFill="1" applyBorder="1" applyAlignment="1">
      <alignment horizontal="left"/>
    </xf>
    <xf numFmtId="170" fontId="12" fillId="4" borderId="4" xfId="0" applyNumberFormat="1" applyFont="1" applyFill="1" applyBorder="1" applyAlignment="1">
      <alignment horizontal="center"/>
    </xf>
    <xf numFmtId="0" fontId="12" fillId="4" borderId="4" xfId="0" applyFont="1" applyFill="1" applyBorder="1" applyAlignment="1">
      <alignment horizontal="center" wrapText="1"/>
    </xf>
    <xf numFmtId="0" fontId="162" fillId="4" borderId="4" xfId="0" applyFont="1" applyFill="1" applyBorder="1" applyAlignment="1">
      <alignment wrapText="1"/>
    </xf>
    <xf numFmtId="0" fontId="12" fillId="4" borderId="3" xfId="0" applyFont="1" applyFill="1" applyBorder="1" applyAlignment="1">
      <alignment horizontal="center" wrapText="1"/>
    </xf>
    <xf numFmtId="0" fontId="12" fillId="4" borderId="3" xfId="0" applyFont="1" applyFill="1" applyBorder="1" applyAlignment="1">
      <alignment horizontal="left" wrapText="1"/>
    </xf>
    <xf numFmtId="14" fontId="12" fillId="4" borderId="3" xfId="0" applyNumberFormat="1" applyFont="1" applyFill="1" applyBorder="1" applyAlignment="1">
      <alignment horizontal="center" wrapText="1"/>
    </xf>
    <xf numFmtId="0" fontId="163" fillId="4" borderId="3" xfId="0" applyFont="1" applyFill="1" applyBorder="1" applyAlignment="1">
      <alignment wrapText="1"/>
    </xf>
    <xf numFmtId="0" fontId="12" fillId="4" borderId="33" xfId="0" applyFont="1" applyFill="1" applyBorder="1" applyAlignment="1">
      <alignment horizontal="center"/>
    </xf>
    <xf numFmtId="0" fontId="12" fillId="4" borderId="34" xfId="0" applyFont="1" applyFill="1" applyBorder="1" applyAlignment="1">
      <alignment horizontal="center" wrapText="1"/>
    </xf>
    <xf numFmtId="0" fontId="12" fillId="4" borderId="34" xfId="0" applyFont="1" applyFill="1" applyBorder="1" applyAlignment="1">
      <alignment horizontal="left" wrapText="1"/>
    </xf>
    <xf numFmtId="14" fontId="12" fillId="4" borderId="34" xfId="0" applyNumberFormat="1" applyFont="1" applyFill="1" applyBorder="1" applyAlignment="1">
      <alignment horizontal="center" wrapText="1"/>
    </xf>
    <xf numFmtId="0" fontId="164" fillId="4" borderId="34" xfId="0" applyFont="1" applyFill="1" applyBorder="1" applyAlignment="1">
      <alignment wrapText="1"/>
    </xf>
    <xf numFmtId="0" fontId="12" fillId="4" borderId="3" xfId="0" applyFont="1" applyFill="1" applyBorder="1" applyAlignment="1">
      <alignment horizontal="center"/>
    </xf>
    <xf numFmtId="0" fontId="12" fillId="4" borderId="3" xfId="0" applyFont="1" applyFill="1" applyBorder="1" applyAlignment="1">
      <alignment horizontal="left"/>
    </xf>
    <xf numFmtId="14" fontId="12" fillId="4" borderId="3" xfId="0" applyNumberFormat="1" applyFont="1" applyFill="1" applyBorder="1" applyAlignment="1">
      <alignment horizontal="center"/>
    </xf>
    <xf numFmtId="0" fontId="12" fillId="4" borderId="3" xfId="0" applyFont="1" applyFill="1" applyBorder="1" applyAlignment="1">
      <alignment horizontal="center"/>
    </xf>
    <xf numFmtId="0" fontId="103" fillId="4" borderId="3" xfId="0" applyFont="1" applyFill="1" applyBorder="1" applyAlignment="1">
      <alignment horizontal="left"/>
    </xf>
    <xf numFmtId="0" fontId="12" fillId="4" borderId="34" xfId="0" applyFont="1" applyFill="1" applyBorder="1" applyAlignment="1">
      <alignment horizontal="center"/>
    </xf>
    <xf numFmtId="0" fontId="12" fillId="4" borderId="34" xfId="0" applyFont="1" applyFill="1" applyBorder="1" applyAlignment="1">
      <alignment horizontal="left"/>
    </xf>
    <xf numFmtId="14" fontId="12" fillId="4" borderId="34" xfId="0" applyNumberFormat="1" applyFont="1" applyFill="1" applyBorder="1" applyAlignment="1">
      <alignment horizontal="center"/>
    </xf>
    <xf numFmtId="0" fontId="12" fillId="4" borderId="34" xfId="0" applyFont="1" applyFill="1" applyBorder="1" applyAlignment="1">
      <alignment horizontal="center"/>
    </xf>
    <xf numFmtId="0" fontId="103" fillId="4" borderId="34" xfId="0" applyFont="1" applyFill="1" applyBorder="1" applyAlignment="1">
      <alignment horizontal="left"/>
    </xf>
    <xf numFmtId="0" fontId="165" fillId="5" borderId="30" xfId="0" applyFont="1" applyFill="1" applyBorder="1" applyAlignment="1">
      <alignment horizontal="center" vertical="center" wrapText="1"/>
    </xf>
    <xf numFmtId="0" fontId="167" fillId="4" borderId="4" xfId="0" applyFont="1" applyFill="1" applyBorder="1" applyAlignment="1">
      <alignment horizontal="left" vertical="center" wrapText="1"/>
    </xf>
    <xf numFmtId="0" fontId="168" fillId="4" borderId="4" xfId="0" applyFont="1" applyFill="1" applyBorder="1" applyAlignment="1"/>
    <xf numFmtId="14" fontId="0" fillId="0" borderId="3" xfId="0" applyNumberFormat="1" applyFont="1" applyBorder="1" applyAlignment="1">
      <alignment horizontal="right"/>
    </xf>
    <xf numFmtId="0" fontId="0" fillId="0" borderId="3" xfId="0" applyFont="1" applyBorder="1" applyAlignment="1"/>
    <xf numFmtId="0" fontId="0" fillId="0" borderId="3" xfId="0" applyFont="1" applyBorder="1" applyAlignment="1"/>
    <xf numFmtId="0" fontId="0" fillId="0" borderId="3" xfId="0" applyFont="1" applyBorder="1" applyAlignment="1">
      <alignment wrapText="1"/>
    </xf>
    <xf numFmtId="0" fontId="169" fillId="4" borderId="33" xfId="0" applyFont="1" applyFill="1" applyBorder="1" applyAlignment="1"/>
    <xf numFmtId="14" fontId="0" fillId="0" borderId="34" xfId="0" applyNumberFormat="1" applyFont="1" applyBorder="1" applyAlignment="1">
      <alignment horizontal="right"/>
    </xf>
    <xf numFmtId="0" fontId="0" fillId="0" borderId="34" xfId="0" applyFont="1" applyBorder="1" applyAlignment="1"/>
    <xf numFmtId="0" fontId="0" fillId="0" borderId="34" xfId="0" applyFont="1" applyBorder="1" applyAlignment="1"/>
    <xf numFmtId="0" fontId="0" fillId="0" borderId="34" xfId="0" applyFont="1" applyBorder="1" applyAlignment="1">
      <alignment wrapText="1"/>
    </xf>
    <xf numFmtId="164" fontId="0" fillId="0" borderId="34" xfId="0" applyNumberFormat="1" applyFont="1" applyBorder="1" applyAlignment="1">
      <alignment horizontal="right"/>
    </xf>
    <xf numFmtId="0" fontId="170" fillId="4" borderId="0" xfId="0" applyFont="1" applyFill="1" applyAlignment="1"/>
    <xf numFmtId="164" fontId="0" fillId="0" borderId="33" xfId="0" applyNumberFormat="1" applyFont="1" applyBorder="1" applyAlignment="1">
      <alignment horizontal="right"/>
    </xf>
    <xf numFmtId="0" fontId="171" fillId="4" borderId="33" xfId="0" applyFont="1" applyFill="1" applyBorder="1" applyAlignment="1"/>
    <xf numFmtId="0" fontId="0" fillId="4" borderId="33" xfId="0" applyFont="1" applyFill="1" applyBorder="1" applyAlignment="1"/>
    <xf numFmtId="0" fontId="0" fillId="0" borderId="34" xfId="0" applyFont="1" applyBorder="1" applyAlignment="1">
      <alignment horizontal="right"/>
    </xf>
    <xf numFmtId="0" fontId="172" fillId="4" borderId="0" xfId="0" applyFont="1" applyFill="1" applyAlignment="1"/>
    <xf numFmtId="14" fontId="0" fillId="4" borderId="33" xfId="0" applyNumberFormat="1" applyFont="1" applyFill="1" applyBorder="1" applyAlignment="1">
      <alignment horizontal="right"/>
    </xf>
    <xf numFmtId="0" fontId="0" fillId="4" borderId="34" xfId="0" applyFont="1" applyFill="1" applyBorder="1" applyAlignment="1"/>
    <xf numFmtId="0" fontId="0" fillId="4" borderId="34" xfId="0" applyFont="1" applyFill="1" applyBorder="1" applyAlignment="1"/>
    <xf numFmtId="0" fontId="0" fillId="4" borderId="34" xfId="0" applyFont="1" applyFill="1" applyBorder="1" applyAlignment="1">
      <alignment wrapText="1"/>
    </xf>
    <xf numFmtId="164" fontId="0" fillId="4" borderId="34" xfId="0" applyNumberFormat="1" applyFont="1" applyFill="1" applyBorder="1" applyAlignment="1">
      <alignment horizontal="right"/>
    </xf>
    <xf numFmtId="14" fontId="0" fillId="4" borderId="34" xfId="0" applyNumberFormat="1" applyFont="1" applyFill="1" applyBorder="1" applyAlignment="1">
      <alignment horizontal="right"/>
    </xf>
    <xf numFmtId="0" fontId="173" fillId="4" borderId="33" xfId="0" applyFont="1" applyFill="1" applyBorder="1" applyAlignment="1">
      <alignment horizontal="center"/>
    </xf>
    <xf numFmtId="0" fontId="0" fillId="4" borderId="34" xfId="0" applyFont="1" applyFill="1" applyBorder="1" applyAlignment="1"/>
    <xf numFmtId="0" fontId="0" fillId="4" borderId="34" xfId="0" applyFont="1" applyFill="1" applyBorder="1" applyAlignment="1"/>
    <xf numFmtId="0" fontId="0" fillId="4" borderId="34" xfId="0" applyFont="1" applyFill="1" applyBorder="1" applyAlignment="1">
      <alignment wrapText="1"/>
    </xf>
    <xf numFmtId="0" fontId="174" fillId="4" borderId="0" xfId="0" applyFont="1" applyFill="1" applyAlignment="1">
      <alignment horizontal="center"/>
    </xf>
    <xf numFmtId="169" fontId="19" fillId="4" borderId="33" xfId="0" applyNumberFormat="1" applyFont="1" applyFill="1" applyBorder="1" applyAlignment="1">
      <alignment horizontal="center"/>
    </xf>
    <xf numFmtId="0" fontId="19" fillId="4" borderId="34" xfId="0" applyFont="1" applyFill="1" applyBorder="1" applyAlignment="1">
      <alignment horizontal="left" wrapText="1"/>
    </xf>
    <xf numFmtId="169" fontId="0" fillId="4" borderId="3" xfId="0" applyNumberFormat="1" applyFont="1" applyFill="1" applyBorder="1" applyAlignment="1">
      <alignment horizontal="right"/>
    </xf>
    <xf numFmtId="0" fontId="0" fillId="4" borderId="3" xfId="0" applyFont="1" applyFill="1" applyBorder="1" applyAlignment="1"/>
    <xf numFmtId="0" fontId="0" fillId="4" borderId="3" xfId="0" applyFont="1" applyFill="1" applyBorder="1" applyAlignment="1"/>
    <xf numFmtId="0" fontId="0" fillId="4" borderId="3" xfId="0" applyFont="1" applyFill="1" applyBorder="1" applyAlignment="1">
      <alignment wrapText="1"/>
    </xf>
    <xf numFmtId="0" fontId="0" fillId="4" borderId="33" xfId="0" applyFont="1" applyFill="1" applyBorder="1"/>
    <xf numFmtId="169" fontId="19" fillId="4" borderId="34" xfId="0" applyNumberFormat="1" applyFont="1" applyFill="1" applyBorder="1" applyAlignment="1">
      <alignment horizontal="center"/>
    </xf>
    <xf numFmtId="0" fontId="19" fillId="4" borderId="34" xfId="0" applyFont="1" applyFill="1" applyBorder="1" applyAlignment="1">
      <alignment horizontal="center"/>
    </xf>
    <xf numFmtId="0" fontId="19" fillId="4" borderId="34" xfId="0" applyFont="1" applyFill="1" applyBorder="1" applyAlignment="1">
      <alignment horizontal="center" wrapText="1"/>
    </xf>
    <xf numFmtId="0" fontId="19" fillId="4" borderId="34" xfId="0" applyFont="1" applyFill="1" applyBorder="1" applyAlignment="1">
      <alignment horizontal="center"/>
    </xf>
    <xf numFmtId="0" fontId="12" fillId="4" borderId="11" xfId="0" applyFont="1" applyFill="1" applyBorder="1" applyAlignment="1">
      <alignment horizontal="center" vertical="center"/>
    </xf>
    <xf numFmtId="0" fontId="0" fillId="4" borderId="4" xfId="0" applyFont="1" applyFill="1" applyBorder="1" applyAlignment="1">
      <alignment vertical="center" wrapText="1"/>
    </xf>
    <xf numFmtId="0" fontId="12" fillId="7" borderId="0" xfId="0" applyFont="1" applyFill="1" applyAlignment="1">
      <alignment horizontal="center" vertical="center" wrapText="1"/>
    </xf>
    <xf numFmtId="0" fontId="19" fillId="4" borderId="0" xfId="0" applyFont="1" applyFill="1" applyAlignment="1">
      <alignment horizontal="left" vertical="center" wrapText="1"/>
    </xf>
    <xf numFmtId="0" fontId="2" fillId="3" borderId="1" xfId="0" applyFont="1" applyFill="1" applyBorder="1" applyAlignment="1">
      <alignment horizontal="center" vertical="center"/>
    </xf>
    <xf numFmtId="0" fontId="1" fillId="0" borderId="2" xfId="0" applyFont="1" applyBorder="1"/>
    <xf numFmtId="0" fontId="1" fillId="0" borderId="3" xfId="0" applyFont="1" applyBorder="1"/>
    <xf numFmtId="0" fontId="6" fillId="0" borderId="1" xfId="0" applyFont="1" applyBorder="1" applyAlignment="1">
      <alignment horizontal="center" vertical="center"/>
    </xf>
    <xf numFmtId="0" fontId="6" fillId="0" borderId="8" xfId="0" applyFont="1" applyBorder="1" applyAlignment="1">
      <alignment horizontal="left" vertical="center"/>
    </xf>
    <xf numFmtId="0" fontId="0" fillId="0" borderId="0" xfId="0" applyFont="1" applyAlignment="1"/>
    <xf numFmtId="0" fontId="8" fillId="0" borderId="1" xfId="0" applyFont="1" applyBorder="1" applyAlignment="1">
      <alignment horizontal="left" vertical="center"/>
    </xf>
    <xf numFmtId="0" fontId="26" fillId="0" borderId="13" xfId="0" applyFont="1" applyBorder="1" applyAlignment="1">
      <alignment horizontal="center" vertical="center"/>
    </xf>
    <xf numFmtId="0" fontId="1" fillId="0" borderId="13" xfId="0" applyFont="1" applyBorder="1"/>
    <xf numFmtId="0" fontId="26" fillId="0" borderId="0" xfId="0" applyFont="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left" vertical="center"/>
    </xf>
    <xf numFmtId="0" fontId="6" fillId="0" borderId="26" xfId="0" applyFont="1" applyBorder="1" applyAlignment="1">
      <alignment horizontal="left" vertical="center"/>
    </xf>
    <xf numFmtId="0" fontId="1" fillId="0" borderId="5" xfId="0" applyFont="1" applyBorder="1"/>
    <xf numFmtId="0" fontId="1" fillId="0" borderId="6" xfId="0" applyFont="1" applyBorder="1"/>
    <xf numFmtId="0" fontId="6" fillId="0" borderId="1" xfId="0" applyFont="1" applyBorder="1" applyAlignment="1">
      <alignment horizontal="center"/>
    </xf>
    <xf numFmtId="0" fontId="78" fillId="0" borderId="26" xfId="0" applyFont="1" applyBorder="1" applyAlignment="1">
      <alignment horizontal="left" vertical="center"/>
    </xf>
    <xf numFmtId="0" fontId="78" fillId="0" borderId="1" xfId="0" applyFont="1" applyBorder="1" applyAlignment="1">
      <alignment horizontal="left" vertical="center"/>
    </xf>
    <xf numFmtId="0" fontId="26" fillId="0" borderId="1" xfId="0" applyFont="1" applyBorder="1" applyAlignment="1">
      <alignment horizontal="center"/>
    </xf>
    <xf numFmtId="0" fontId="93" fillId="0" borderId="26" xfId="0" applyFont="1" applyBorder="1" applyAlignment="1">
      <alignment horizontal="left" vertical="center"/>
    </xf>
    <xf numFmtId="0" fontId="26" fillId="0" borderId="0" xfId="0" applyFont="1" applyAlignment="1">
      <alignment horizontal="left" vertical="center"/>
    </xf>
    <xf numFmtId="0" fontId="119" fillId="0" borderId="26" xfId="0" applyFont="1" applyBorder="1" applyAlignment="1">
      <alignment horizontal="left" vertical="center"/>
    </xf>
    <xf numFmtId="0" fontId="8" fillId="0" borderId="26" xfId="0" applyFont="1" applyBorder="1" applyAlignment="1">
      <alignment horizontal="left" vertical="center"/>
    </xf>
    <xf numFmtId="0" fontId="26" fillId="0" borderId="1" xfId="0" applyFont="1" applyBorder="1" applyAlignment="1">
      <alignment horizontal="left" vertical="center"/>
    </xf>
    <xf numFmtId="0" fontId="6" fillId="0" borderId="13" xfId="0" applyFont="1" applyBorder="1" applyAlignment="1">
      <alignment horizontal="center" vertical="center"/>
    </xf>
    <xf numFmtId="0" fontId="9" fillId="0" borderId="26" xfId="0" applyFont="1" applyBorder="1" applyAlignment="1">
      <alignment horizontal="left" vertical="center"/>
    </xf>
    <xf numFmtId="0" fontId="12" fillId="4" borderId="1" xfId="0" applyFont="1" applyFill="1" applyBorder="1" applyAlignment="1">
      <alignment horizontal="center" vertical="center" wrapText="1"/>
    </xf>
    <xf numFmtId="0" fontId="92" fillId="4" borderId="0" xfId="0" applyFont="1" applyFill="1" applyAlignment="1">
      <alignment horizontal="center" vertical="center"/>
    </xf>
    <xf numFmtId="0" fontId="27" fillId="4" borderId="1" xfId="0" applyFont="1" applyFill="1" applyBorder="1" applyAlignment="1">
      <alignment horizontal="center" vertical="center"/>
    </xf>
    <xf numFmtId="0" fontId="166" fillId="4" borderId="1" xfId="0" applyFont="1" applyFill="1" applyBorder="1" applyAlignment="1">
      <alignment horizontal="left" vertical="center"/>
    </xf>
  </cellXfs>
  <cellStyles count="1">
    <cellStyle name="Normal" xfId="0" builtinId="0"/>
  </cellStyles>
  <dxfs count="3">
    <dxf>
      <fill>
        <patternFill patternType="solid">
          <fgColor rgb="FFFFFF00"/>
          <bgColor rgb="FFFFFF00"/>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676275</xdr:colOff>
      <xdr:row>0</xdr:row>
      <xdr:rowOff>0</xdr:rowOff>
    </xdr:from>
    <xdr:ext cx="809625" cy="46672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7.png" title="Image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8.png" title="Image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1085850</xdr:colOff>
      <xdr:row>3</xdr:row>
      <xdr:rowOff>0</xdr:rowOff>
    </xdr:from>
    <xdr:ext cx="1228725" cy="704850"/>
    <xdr:pic>
      <xdr:nvPicPr>
        <xdr:cNvPr id="2" name="image7.png" title="Imagen">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7.png" title="Image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0.png" title="Image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9.png" title="Imagen">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1.png" title="Imagen">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2.png" title="Imagen">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4.png" title="Imagen">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3.png" title="Imagen">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4.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6.png" title="Imagen">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5.png" title="Imagen">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7.png" title="Imagen">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8.png" title="Imagen">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8.png" title="Imagen">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228725" cy="704850"/>
    <xdr:pic>
      <xdr:nvPicPr>
        <xdr:cNvPr id="2" name="image18.png" title="Imagen">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8.png" title="Imagen">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1.png" title="Imagen">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3.pn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6.pn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2.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5.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7.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8.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7.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hyperlink" Target="https://www.mindeporte.gov.co/recursos_user/2020/Jur%C3%ADdica/Abril/Resolucion_No_000489_de_31_de_marzo_de_2020__FIRMADA.pdf.pdf" TargetMode="Externa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hyperlink" Target="https://www.mindeporte.gov.co/recursos_user/2020/Jur%C3%ADdica/Abril/Resolucion_No_000489_de_31_de_marzo_de_2020__FIRMADA.pdf.pdf" TargetMode="Externa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hyperlink" Target="https://www.mindeporte.gov.co/recursos_user/2020/Jur%C3%ADdica/Abril/Resolucion_No_000489_de_31_de_marzo_de_2020__FIRMADA.pdf.pdf" TargetMode="Externa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hyperlink" Target="https://www.mindeporte.gov.co/recursos_user/2020/Jur%C3%ADdica/Abril/Resolucion_No_000489_de_31_de_marzo_de_2020__FIRMADA.pdf.pdf" TargetMode="Externa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hyperlink" Target="https://secretariageneral.gov.co/transparencia/normatividad/lineamientos/directiva-005-2020" TargetMode="External"/><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26" Type="http://schemas.openxmlformats.org/officeDocument/2006/relationships/hyperlink" Target="http://www.secretariasenado.gov.co/senado/basedoc/decreto_0019_2012.html" TargetMode="External"/><Relationship Id="rId21" Type="http://schemas.openxmlformats.org/officeDocument/2006/relationships/hyperlink" Target="https://www.funcionpublica.gov.co/eva/gestornormativo/norma.php?i=29344" TargetMode="External"/><Relationship Id="rId34" Type="http://schemas.openxmlformats.org/officeDocument/2006/relationships/hyperlink" Target="https://www.serviciocivil.gov.co/portal/transparencia/marco-legal/normatividad/directiva-presidencial-8-de-2009" TargetMode="External"/><Relationship Id="rId42" Type="http://schemas.openxmlformats.org/officeDocument/2006/relationships/hyperlink" Target="http://concejodebogota.gov.co/acuerdos-aprobados-2015/concejo/2015-03-11/112214.php" TargetMode="External"/><Relationship Id="rId47" Type="http://schemas.openxmlformats.org/officeDocument/2006/relationships/hyperlink" Target="https://www.alcaldiabogota.gov.co/sisjur/normas/Norma1.jsp?i=30118" TargetMode="External"/><Relationship Id="rId50" Type="http://schemas.openxmlformats.org/officeDocument/2006/relationships/hyperlink" Target="https://www.alcaldiabogota.gov.co/sisjur/normas/Norma1.jsp?i=31146&amp;dt=S" TargetMode="External"/><Relationship Id="rId55" Type="http://schemas.openxmlformats.org/officeDocument/2006/relationships/hyperlink" Target="https://drive.google.com/drive/folders/1Zu7kE0crCuz6q5zfofodD9DQJ1cYBtPb" TargetMode="External"/><Relationship Id="rId63" Type="http://schemas.openxmlformats.org/officeDocument/2006/relationships/hyperlink" Target="https://www.alcaldiabogota.gov.co/sisjur/normas/Norma1.jsp?i=25678&amp;dt=S" TargetMode="External"/><Relationship Id="rId68" Type="http://schemas.openxmlformats.org/officeDocument/2006/relationships/comments" Target="../comments15.xml"/><Relationship Id="rId7" Type="http://schemas.openxmlformats.org/officeDocument/2006/relationships/hyperlink" Target="http://www.secretariasenado.gov.co/senado/basedoc/ley_1672_2013.html" TargetMode="External"/><Relationship Id="rId2" Type="http://schemas.openxmlformats.org/officeDocument/2006/relationships/hyperlink" Target="http://www.secretariasenado.gov.co/senado/basedoc/ley_0009_1979.html" TargetMode="External"/><Relationship Id="rId16" Type="http://schemas.openxmlformats.org/officeDocument/2006/relationships/hyperlink" Target="https://www.alcaldiabogota.gov.co/sisjur/normas/Norma1.jsp?i=11056" TargetMode="External"/><Relationship Id="rId29" Type="http://schemas.openxmlformats.org/officeDocument/2006/relationships/hyperlink" Target="https://www.funcionpublica.gov.co/eva/gestornormativo/norma.php?i=60962" TargetMode="External"/><Relationship Id="rId11" Type="http://schemas.openxmlformats.org/officeDocument/2006/relationships/hyperlink" Target="https://www.alcaldiabogota.gov.co/sisjur/normas/Norma1.jsp?i=3333" TargetMode="External"/><Relationship Id="rId24" Type="http://schemas.openxmlformats.org/officeDocument/2006/relationships/hyperlink" Target="https://www.funcionpublica.gov.co/eva/gestornormativo/norma.php?i=40620" TargetMode="External"/><Relationship Id="rId32" Type="http://schemas.openxmlformats.org/officeDocument/2006/relationships/hyperlink" Target="https://www.funcionpublica.gov.co/eva/gestornormativo/norma.php?i=69038" TargetMode="External"/><Relationship Id="rId37" Type="http://schemas.openxmlformats.org/officeDocument/2006/relationships/hyperlink" Target="https://www.alcaldiabogota.gov.co/sisjur/normas/Norma1.jsp?i=25613" TargetMode="External"/><Relationship Id="rId40" Type="http://schemas.openxmlformats.org/officeDocument/2006/relationships/hyperlink" Target="https://www.alcaldiabogota.gov.co/sisjur/normas/Norma1.jsp?i=56074" TargetMode="External"/><Relationship Id="rId45" Type="http://schemas.openxmlformats.org/officeDocument/2006/relationships/hyperlink" Target="https://drive.google.com/drive/folders/13eKSw5X91uyydI1Q-oQ_YoOhIHE7m77K" TargetMode="External"/><Relationship Id="rId53" Type="http://schemas.openxmlformats.org/officeDocument/2006/relationships/hyperlink" Target="https://www.alcaldiabogota.gov.co/sisjur/normas/Norma1.jsp?i=37618" TargetMode="External"/><Relationship Id="rId58" Type="http://schemas.openxmlformats.org/officeDocument/2006/relationships/hyperlink" Target="https://www.minambiente.gov.co/images/normativa/app/resoluciones/d1-res_631_marz_2015.pdf" TargetMode="External"/><Relationship Id="rId66" Type="http://schemas.openxmlformats.org/officeDocument/2006/relationships/drawing" Target="../drawings/drawing16.xml"/><Relationship Id="rId5" Type="http://schemas.openxmlformats.org/officeDocument/2006/relationships/hyperlink" Target="http://www.secretariasenado.gov.co/senado/basedoc/ley_0769_2002.html" TargetMode="External"/><Relationship Id="rId61" Type="http://schemas.openxmlformats.org/officeDocument/2006/relationships/hyperlink" Target="https://www.shd.gov.co/shd/node/36744" TargetMode="External"/><Relationship Id="rId19" Type="http://schemas.openxmlformats.org/officeDocument/2006/relationships/hyperlink" Target="https://www.funcionpublica.gov.co/eva/gestornormativo/norma.php?i=25479" TargetMode="External"/><Relationship Id="rId14" Type="http://schemas.openxmlformats.org/officeDocument/2006/relationships/hyperlink" Target="http://www.minambiente.gov.co/images/BosquesBiodiversidadyServiciosEcosistemicos/pdf/Normativa/Decretos/dec_1552_150800.pdf" TargetMode="External"/><Relationship Id="rId22" Type="http://schemas.openxmlformats.org/officeDocument/2006/relationships/hyperlink" Target="https://www.funcionpublica.gov.co/eva/gestornormativo/norma.php?i=32715" TargetMode="External"/><Relationship Id="rId27" Type="http://schemas.openxmlformats.org/officeDocument/2006/relationships/hyperlink" Target="https://www.alcaldiabogota.gov.co/sisjur/normas/Norma1.jsp?i=56035" TargetMode="External"/><Relationship Id="rId30" Type="http://schemas.openxmlformats.org/officeDocument/2006/relationships/hyperlink" Target="https://www.alcaldiabogota.gov.co/sisjur/normas/Norma1.jsp?i=63644" TargetMode="External"/><Relationship Id="rId35" Type="http://schemas.openxmlformats.org/officeDocument/2006/relationships/hyperlink" Target="http://wp.presidencia.gov.co/sitios/normativa/directivas/Documents/Directiva-Presidencial-02-de-diciembre-2015.pdf" TargetMode="External"/><Relationship Id="rId43" Type="http://schemas.openxmlformats.org/officeDocument/2006/relationships/hyperlink" Target="https://www.alcaldiabogota.gov.co/sisjur/normas/Norma1.jsp?i=662&amp;dt=S" TargetMode="External"/><Relationship Id="rId48" Type="http://schemas.openxmlformats.org/officeDocument/2006/relationships/hyperlink" Target="https://www.alcaldiabogota.gov.co/sisjur/normas/Norma1.jsp?i=20837" TargetMode="External"/><Relationship Id="rId56" Type="http://schemas.openxmlformats.org/officeDocument/2006/relationships/hyperlink" Target="https://www.alcaldiabogota.gov.co/sisjur/normas/Norma1.jsp?i=53348" TargetMode="External"/><Relationship Id="rId64" Type="http://schemas.openxmlformats.org/officeDocument/2006/relationships/hyperlink" Target="http://wp.presidencia.gov.co/sitios/normativa/leyes/Documents/Juridica/Ley%201474%20de%2012%20de%20Julio%20de%202011.pdf" TargetMode="External"/><Relationship Id="rId8" Type="http://schemas.openxmlformats.org/officeDocument/2006/relationships/hyperlink" Target="http://www.secretariasenado.gov.co/senado/basedoc/ley_1801_2016.html" TargetMode="External"/><Relationship Id="rId51" Type="http://schemas.openxmlformats.org/officeDocument/2006/relationships/hyperlink" Target="https://www.alcaldiabogota.gov.co/sisjur/normas/Norma1.jsp?i=33005" TargetMode="External"/><Relationship Id="rId3" Type="http://schemas.openxmlformats.org/officeDocument/2006/relationships/hyperlink" Target="http://www.secretariasenado.gov.co/senado/basedoc/ley_0140_1994.html" TargetMode="External"/><Relationship Id="rId12" Type="http://schemas.openxmlformats.org/officeDocument/2006/relationships/hyperlink" Target="https://www.alcaldiabogota.gov.co/sisjur/normas/Norma1.jsp?i=1838" TargetMode="External"/><Relationship Id="rId17" Type="http://schemas.openxmlformats.org/officeDocument/2006/relationships/hyperlink" Target="https://www.alcaldiabogota.gov.co/sisjur/normas/Norma1.jsp?i=15484" TargetMode="External"/><Relationship Id="rId25" Type="http://schemas.openxmlformats.org/officeDocument/2006/relationships/hyperlink" Target="http://www.minambiente.gov.co/images/normativa/decretos/2010/dec_3678_2010.pdf" TargetMode="External"/><Relationship Id="rId33" Type="http://schemas.openxmlformats.org/officeDocument/2006/relationships/hyperlink" Target="https://www.alcaldiabogota.gov.co/sisjur/normas/Norma1.jsp?i=22063&amp;dt=S" TargetMode="External"/><Relationship Id="rId38" Type="http://schemas.openxmlformats.org/officeDocument/2006/relationships/hyperlink" Target="https://www.alcaldiabogota.gov.co/sisjur/normas/Norma1.jsp?i=38067&amp;dt=S" TargetMode="External"/><Relationship Id="rId46" Type="http://schemas.openxmlformats.org/officeDocument/2006/relationships/hyperlink" Target="https://www.alcaldiabogota.gov.co/sisjur/normas/Norma1.jsp?i=9846" TargetMode="External"/><Relationship Id="rId59" Type="http://schemas.openxmlformats.org/officeDocument/2006/relationships/hyperlink" Target="https://www.alcaldiabogota.gov.co/sisjur/normas/Norma1.jsp?i=62579&amp;dt=S" TargetMode="External"/><Relationship Id="rId67" Type="http://schemas.openxmlformats.org/officeDocument/2006/relationships/vmlDrawing" Target="../drawings/vmlDrawing15.vml"/><Relationship Id="rId20" Type="http://schemas.openxmlformats.org/officeDocument/2006/relationships/hyperlink" Target="https://www.alcaldiabogota.gov.co/sisjur/normas/Norma1.jsp?i=30007" TargetMode="External"/><Relationship Id="rId41" Type="http://schemas.openxmlformats.org/officeDocument/2006/relationships/hyperlink" Target="http://concejodebogota.gov.co/acuerdos-aprobados-2015/concejo/2015-03-11/112214.php" TargetMode="External"/><Relationship Id="rId54" Type="http://schemas.openxmlformats.org/officeDocument/2006/relationships/hyperlink" Target="http://www.uaesp.gov.co/uaesp_jo/images/SubdAprovechamiento/Resolucion799.PDF" TargetMode="External"/><Relationship Id="rId62" Type="http://schemas.openxmlformats.org/officeDocument/2006/relationships/hyperlink" Target="https://www.alcaldiabogota.gov.co/sisjur/normas/Norma1.jsp?i=304"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1383_2010.html" TargetMode="External"/><Relationship Id="rId15" Type="http://schemas.openxmlformats.org/officeDocument/2006/relationships/hyperlink" Target="https://www.funcionpublica.gov.co/eva/gestornormativo/norma.php?i=6101" TargetMode="External"/><Relationship Id="rId23" Type="http://schemas.openxmlformats.org/officeDocument/2006/relationships/hyperlink" Target="https://www.funcionpublica.gov.co/eva/gestornormativo/norma.php?i=37494" TargetMode="External"/><Relationship Id="rId28" Type="http://schemas.openxmlformats.org/officeDocument/2006/relationships/hyperlink" Target="https://www.alcaldiabogota.gov.co/sisjur/normas/Norma1.jsp?i=56755" TargetMode="External"/><Relationship Id="rId36" Type="http://schemas.openxmlformats.org/officeDocument/2006/relationships/hyperlink" Target="https://www.alcaldiabogota.gov.co/sisjur/normas/Norma1.jsp?i=11024&amp;dt=S" TargetMode="External"/><Relationship Id="rId49" Type="http://schemas.openxmlformats.org/officeDocument/2006/relationships/hyperlink" Target="https://www.alcaldiabogota.gov.co/sisjur/normas/Norma1.jsp?i=26053" TargetMode="External"/><Relationship Id="rId57" Type="http://schemas.openxmlformats.org/officeDocument/2006/relationships/hyperlink" Target="https://www.alcaldiabogota.gov.co/sisjur/normas/Norma1.jsp?i=56692" TargetMode="External"/><Relationship Id="rId10" Type="http://schemas.openxmlformats.org/officeDocument/2006/relationships/hyperlink" Target="http://www.minambiente.gov.co/images/BosquesBiodiversidadyServiciosEcosistemicos/pdf/Normativa/Decretos/dec_2107_301195.pdf" TargetMode="External"/><Relationship Id="rId31" Type="http://schemas.openxmlformats.org/officeDocument/2006/relationships/hyperlink" Target="https://www.alcaldiabogota.gov.co/sisjur/normas/Norma1.jsp?i=66474&amp;dt=S" TargetMode="External"/><Relationship Id="rId44" Type="http://schemas.openxmlformats.org/officeDocument/2006/relationships/hyperlink" Target="https://www.alcaldiabogota.gov.co/sisjur/normas/Norma1.jsp?i=1002" TargetMode="External"/><Relationship Id="rId52" Type="http://schemas.openxmlformats.org/officeDocument/2006/relationships/hyperlink" Target="https://www.alcaldiabogota.gov.co/sisjur/normas/Norma1.jsp?i=37051" TargetMode="External"/><Relationship Id="rId60" Type="http://schemas.openxmlformats.org/officeDocument/2006/relationships/hyperlink" Target="http://www.andi.com.co/Uploads/Resoluci%C3%B3n%20316%20de%202018-.pdf" TargetMode="External"/><Relationship Id="rId65" Type="http://schemas.openxmlformats.org/officeDocument/2006/relationships/hyperlink" Target="https://www.funcionpublica.gov.co/eva/gestornormativo/norma.php?i=90324" TargetMode="External"/><Relationship Id="rId4" Type="http://schemas.openxmlformats.org/officeDocument/2006/relationships/hyperlink" Target="http://www.secretariasenado.gov.co/senado/basedoc/ley_0599_2000.html" TargetMode="External"/><Relationship Id="rId9" Type="http://schemas.openxmlformats.org/officeDocument/2006/relationships/hyperlink" Target="https://www.alcaldiabogota.gov.co/sisjur/normas/Norma1.jsp?i=1479" TargetMode="External"/><Relationship Id="rId13" Type="http://schemas.openxmlformats.org/officeDocument/2006/relationships/hyperlink" Target="https://www.alcaldiabogota.gov.co/sisjur/normas/Norma1.jsp?i=4718" TargetMode="External"/><Relationship Id="rId18" Type="http://schemas.openxmlformats.org/officeDocument/2006/relationships/hyperlink" Target="https://www.funcionpublica.gov.co/eva/gestornormativo/norma.php?i=18718" TargetMode="External"/><Relationship Id="rId39" Type="http://schemas.openxmlformats.org/officeDocument/2006/relationships/hyperlink" Target="http://concejodebogota.gov.co/acuerdos-aprobados-2012/cbogota/2016-08-03/160947.ph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cerlatam.com/wp-content/uploads/2020/07/Decreto-173-de-2020-Alcald%C3%ADa-Mayor-de-Bogot%C3%A1-D.C..html" TargetMode="External"/><Relationship Id="rId21" Type="http://schemas.openxmlformats.org/officeDocument/2006/relationships/hyperlink" Target="https://secretariageneral.gov.co/sites/default/files/archivos-adjuntos/decreto_162_junio_30_ampliacion_aislamiento_w.pdf" TargetMode="External"/><Relationship Id="rId42" Type="http://schemas.openxmlformats.org/officeDocument/2006/relationships/hyperlink" Target="https://safetya.co/medidas-de-proteccion-al-empleo-en-colombia/" TargetMode="External"/><Relationship Id="rId47" Type="http://schemas.openxmlformats.org/officeDocument/2006/relationships/hyperlink" Target="https://drive.google.com/open?id=1_El9Nx0MuXgMssnSWNSXCQZLWzhMkhD7" TargetMode="External"/><Relationship Id="rId63" Type="http://schemas.openxmlformats.org/officeDocument/2006/relationships/hyperlink" Target="https://gestornormativo.creg.gov.co/gestor/entorno/docs/resolucion_minminas_40293_2021.htm" TargetMode="External"/><Relationship Id="rId68" Type="http://schemas.openxmlformats.org/officeDocument/2006/relationships/hyperlink" Target="https://drive.google.com/file/d/1oj4T90fpkk95lwYJNHY_rk-hfg3X90Zd/view?usp=sharing" TargetMode="External"/><Relationship Id="rId84" Type="http://schemas.openxmlformats.org/officeDocument/2006/relationships/hyperlink" Target="https://intranet.secretariajuridica.gov.co/transparencia/marco-legal/normatividad/acuerdo-528-2013" TargetMode="External"/><Relationship Id="rId89" Type="http://schemas.openxmlformats.org/officeDocument/2006/relationships/hyperlink" Target="https://www.pwc.com/co/es/prensa/Articulos/ley-2191-de-2022.pdf" TargetMode="External"/><Relationship Id="rId112" Type="http://schemas.openxmlformats.org/officeDocument/2006/relationships/hyperlink" Target="https://sst-safework.com/resolucion-3050-julio-28-2022-programa-rehabilitacion-integral-ocupacional/" TargetMode="External"/><Relationship Id="rId16" Type="http://schemas.openxmlformats.org/officeDocument/2006/relationships/hyperlink" Target="https://bogota.gov.co/mi-ciudad/ambiente/conoce-y-descarga-el-decreto-128-de-2020" TargetMode="External"/><Relationship Id="rId107" Type="http://schemas.openxmlformats.org/officeDocument/2006/relationships/hyperlink" Target="https://secretariageneral.gov.co/transparencia/normatividad/normatividad/directiva-005-de-2021" TargetMode="External"/><Relationship Id="rId11" Type="http://schemas.openxmlformats.org/officeDocument/2006/relationships/hyperlink" Target="https://bogota.gov.co/sites/default/files/inline-files/decreto-093-bogota-colombia.pdf" TargetMode="External"/><Relationship Id="rId32" Type="http://schemas.openxmlformats.org/officeDocument/2006/relationships/hyperlink" Target="https://secretariageneral.gov.co/sites/default/files/archivos-adjuntos/decreto_207_de_2020.pdf" TargetMode="External"/><Relationship Id="rId37" Type="http://schemas.openxmlformats.org/officeDocument/2006/relationships/hyperlink" Target="https://www.alcaldiabogota.gov.co/sisjur/listados/tematica2.jsp?subtema=20349" TargetMode="External"/><Relationship Id="rId53" Type="http://schemas.openxmlformats.org/officeDocument/2006/relationships/hyperlink" Target="https://www.funcionpublica.gov.co/eva/gestornormativo/norma.php?i=162970" TargetMode="External"/><Relationship Id="rId58" Type="http://schemas.openxmlformats.org/officeDocument/2006/relationships/hyperlink" Target="https://dapre.presidencia.gov.co/normativa/normativa/LEY%202114%20DEL%2029%20DE%20JULIO%20DE%202021.pdf?TSPD_101_R0=08394a21d4ab2000b1b304cfa619751a652532ee19d12ab9215fbbd311df823a7831a73b417952b508f6baf51c145000a062825a0011ac938af832dceaf69ce6e37d42702ac3bf1c381fe45dba18712bc958c1a81908915945042f9ccfd009e1cf55658e1a77addfe04b1a39456dde73ea8f14b59c145f6b967a61226d8ad23e" TargetMode="External"/><Relationship Id="rId74" Type="http://schemas.openxmlformats.org/officeDocument/2006/relationships/hyperlink" Target="https://www.cancilleria.gov.co/sites/default/files/resolucion3546del3deagostode2018.pdf" TargetMode="External"/><Relationship Id="rId79" Type="http://schemas.openxmlformats.org/officeDocument/2006/relationships/hyperlink" Target="https://www.alcaldiabogota.gov.co/sisjur/listados/tematica2.jsp?subtema=30579&amp;cadena=s" TargetMode="External"/><Relationship Id="rId102" Type="http://schemas.openxmlformats.org/officeDocument/2006/relationships/hyperlink" Target="https://dapre.presidencia.gov.co/normativa/normativa/DECRETO%20555%20DEL%209%20DE%20ABRIL%20DE%202022.pdf" TargetMode="External"/><Relationship Id="rId5" Type="http://schemas.openxmlformats.org/officeDocument/2006/relationships/hyperlink" Target="https://scj.gov.co/es/transparencia/marco-legal/normatividad/resoluci%C3%B3n-788-2019-0" TargetMode="External"/><Relationship Id="rId90" Type="http://schemas.openxmlformats.org/officeDocument/2006/relationships/hyperlink" Target="https://dapre.presidencia.gov.co/normativa/normativa/DECRETO%20344%20DEL%206%20DE%20ABRIL%20DE%202021.pdf" TargetMode="External"/><Relationship Id="rId95" Type="http://schemas.openxmlformats.org/officeDocument/2006/relationships/hyperlink" Target="https://www.alcaldiabogota.gov.co/sisjur/normas/Norma1.jsp?i=95565" TargetMode="External"/><Relationship Id="rId22" Type="http://schemas.openxmlformats.org/officeDocument/2006/relationships/hyperlink" Target="https://bogota.gov.co/sites/default/files/inline-files/decreto-164-de-2020.pdf.pdf" TargetMode="External"/><Relationship Id="rId27" Type="http://schemas.openxmlformats.org/officeDocument/2006/relationships/hyperlink" Target="https://secretariageneral.gov.co/noticias/decreto-176-del-27-julio-del-2020" TargetMode="External"/><Relationship Id="rId43" Type="http://schemas.openxmlformats.org/officeDocument/2006/relationships/hyperlink" Target="https://dapre.presidencia.gov.co/normativa/normativa/Decreto-491-28-marzo-2020.pdf" TargetMode="External"/><Relationship Id="rId48" Type="http://schemas.openxmlformats.org/officeDocument/2006/relationships/hyperlink" Target="https://safetya.co/normatividad/circular-047-de-2021/" TargetMode="External"/><Relationship Id="rId64" Type="http://schemas.openxmlformats.org/officeDocument/2006/relationships/hyperlink" Target="https://www.mintrabajo.gov.co/circulares-2021" TargetMode="External"/><Relationship Id="rId69" Type="http://schemas.openxmlformats.org/officeDocument/2006/relationships/hyperlink" Target="https://www.mineducacion.gov.co/1621/articles-85906_archivo_pdf.pdf" TargetMode="External"/><Relationship Id="rId113" Type="http://schemas.openxmlformats.org/officeDocument/2006/relationships/drawing" Target="../drawings/drawing17.xml"/><Relationship Id="rId80" Type="http://schemas.openxmlformats.org/officeDocument/2006/relationships/hyperlink" Target="https://safetya.co/normatividad/circular-072-de-2021/" TargetMode="External"/><Relationship Id="rId85" Type="http://schemas.openxmlformats.org/officeDocument/2006/relationships/hyperlink" Target="https://img.lalr.co/cms/2022/01/12153548/2022-01-11_Circular_001_Orientaciones-para-el-inicio-de-ano-escolar-2022-VF.pdf" TargetMode="External"/><Relationship Id="rId12" Type="http://schemas.openxmlformats.org/officeDocument/2006/relationships/hyperlink" Target="http://www.gobiernobogota.gov.co/sgdapp/?q=normograma/teusaquillo/decreto-106-del-8-de-abril-de-2020" TargetMode="External"/><Relationship Id="rId17" Type="http://schemas.openxmlformats.org/officeDocument/2006/relationships/hyperlink" Target="https://bogota.gov.co/mi-ciudad/seguridad/conoce-el-decreto-131-de-2020-sobre-el-aislamiento-parcial-en-bogota" TargetMode="External"/><Relationship Id="rId33" Type="http://schemas.openxmlformats.org/officeDocument/2006/relationships/hyperlink" Target="https://bogota.gov.co/sites/default/files/inline-files/decreto-208-de-2020-pico-y-placa-en-bogota.pdf" TargetMode="External"/><Relationship Id="rId38" Type="http://schemas.openxmlformats.org/officeDocument/2006/relationships/hyperlink" Target="https://bogota.gov.co/mi-ciudad/gobierno/decreto-de-pico-y-cedula-diciembre-de-2020-y-enero-de-2021-bogota" TargetMode="External"/><Relationship Id="rId59" Type="http://schemas.openxmlformats.org/officeDocument/2006/relationships/hyperlink" Target="https://serviciocivil.gov.co/sites/default/files/marco-legal/2021_EE_04673%20(1).pdf" TargetMode="External"/><Relationship Id="rId103" Type="http://schemas.openxmlformats.org/officeDocument/2006/relationships/hyperlink" Target="https://dapre.presidencia.gov.co/normativa/normativa/DECRETO%20649%20DEL%2027%20DE%20ABRIL%20DE%202022.pdf" TargetMode="External"/><Relationship Id="rId108" Type="http://schemas.openxmlformats.org/officeDocument/2006/relationships/hyperlink" Target="https://www.minsalud.gov.co/Normatividad_Nuevo/Resoluci%C3%B3n%20No.%201151%20de%202022.pdf" TargetMode="External"/><Relationship Id="rId54" Type="http://schemas.openxmlformats.org/officeDocument/2006/relationships/hyperlink" Target="https://secretariageneral.gov.co/transparencia/normatividad/normatividad/decreto-distrital-189-2020" TargetMode="External"/><Relationship Id="rId70" Type="http://schemas.openxmlformats.org/officeDocument/2006/relationships/hyperlink" Target="https://www.minsalud.gov.co/sites/rid/Lists/BibliotecaDigital/RIDE/DE/DIJ/decreto-0055-de-2015.pdf" TargetMode="External"/><Relationship Id="rId75" Type="http://schemas.openxmlformats.org/officeDocument/2006/relationships/hyperlink" Target="https://www.irc.gov.co/webcenter/ShowProperty?nodeId=%2FConexionContent%2FWCC_CLUSTER-140102%2F%2FidcPrimaryFile&amp;revision=latestreleased" TargetMode="External"/><Relationship Id="rId91" Type="http://schemas.openxmlformats.org/officeDocument/2006/relationships/hyperlink" Target="https://drive.google.com/drive/folders/1giBPB5e9FjVe51gFaYkoiS3_18lkkdF6" TargetMode="External"/><Relationship Id="rId96" Type="http://schemas.openxmlformats.org/officeDocument/2006/relationships/hyperlink" Target="https://www.mintrabajo.gov.co/documents/20147/59995826/Resolucion+0312-2019-+Estandares+minimos+del+Sistema+de+la+Seguridad+y+Salud.pdf" TargetMode="External"/><Relationship Id="rId1" Type="http://schemas.openxmlformats.org/officeDocument/2006/relationships/hyperlink" Target="https://www.alcaldiabogota.gov.co/sisjur/normas/Norma1.jsp?i=38605" TargetMode="External"/><Relationship Id="rId6" Type="http://schemas.openxmlformats.org/officeDocument/2006/relationships/hyperlink" Target="https://scj.gov.co/es/transparencia/marco-legal/normatividad/decreto-81-2020" TargetMode="External"/><Relationship Id="rId15" Type="http://schemas.openxmlformats.org/officeDocument/2006/relationships/hyperlink" Target="https://bogota.gov.co/sites/default/files/inline-files/decreto-126-de-2020-version-pdf-final-7p.pdf" TargetMode="External"/><Relationship Id="rId23" Type="http://schemas.openxmlformats.org/officeDocument/2006/relationships/hyperlink" Target="https://secretariageneral.gov.co/sites/default/files/archivos-adjuntos/decreto-169-unificado-aislamiento-y-medidas-adicionales.pdf" TargetMode="External"/><Relationship Id="rId28" Type="http://schemas.openxmlformats.org/officeDocument/2006/relationships/hyperlink" Target="https://www.cerlatam.com/normatividad/normas-regionales-de-colombia/decreto-153-de-2020-alcaldia-de-bogota/alcaldia-de-bogota-decreto-179-de-2020/" TargetMode="External"/><Relationship Id="rId36" Type="http://schemas.openxmlformats.org/officeDocument/2006/relationships/hyperlink" Target="https://secretariageneral.gov.co/sites/default/files/archivos-adjuntos/decreto_262_de_2020.pdf" TargetMode="External"/><Relationship Id="rId49" Type="http://schemas.openxmlformats.org/officeDocument/2006/relationships/hyperlink" Target="https://dimayor.com.co/2021/11/resolucion-no-052-de-2021/" TargetMode="External"/><Relationship Id="rId57" Type="http://schemas.openxmlformats.org/officeDocument/2006/relationships/hyperlink" Target="http://wsp.presidencia.gov.co/Normativa/Decretos/2012/Documents/Abril/30/dec088430042012.pdf?TSPD_101_R0=0883a32c4dab2000a659eae7f32982e9cf361fb3f1e968fba6a5d3197c72da09ab66683f448f48fa089848892a143000c25026940bec4524153290359582c9403aca967331921c614c11971e5eb32d7fa8310e7b00b8b259747b42cfa7f675e7" TargetMode="External"/><Relationship Id="rId106" Type="http://schemas.openxmlformats.org/officeDocument/2006/relationships/hyperlink" Target="https://dapre.presidencia.gov.co/normativa/normativa/LEY%202209%20DEL%2023%20DE%20MAYO%20DE%202022.pdf" TargetMode="External"/><Relationship Id="rId114" Type="http://schemas.openxmlformats.org/officeDocument/2006/relationships/vmlDrawing" Target="../drawings/vmlDrawing16.vml"/><Relationship Id="rId10" Type="http://schemas.openxmlformats.org/officeDocument/2006/relationships/hyperlink" Target="https://bogota.gov.co/sites/default/files/inline-files/decreto-092.pdf-1.pdf" TargetMode="External"/><Relationship Id="rId31" Type="http://schemas.openxmlformats.org/officeDocument/2006/relationships/hyperlink" Target="https://secretariageneral.gov.co/sites/default/files/archivos-adjuntos/decreto_nueva_realidad_bogota_26_08_2020_final_pdf.pdf" TargetMode="External"/><Relationship Id="rId44" Type="http://schemas.openxmlformats.org/officeDocument/2006/relationships/hyperlink" Target="https://www.funcionpublica.gov.co/eva/gestornormativo/norma.php?i=153906" TargetMode="External"/><Relationship Id="rId52" Type="http://schemas.openxmlformats.org/officeDocument/2006/relationships/hyperlink" Target="https://www.minsalud.gov.co/Normatividad_Nuevo/Resoluci%C3%B3n%20No.%202421%20de%202020.pdf" TargetMode="External"/><Relationship Id="rId60" Type="http://schemas.openxmlformats.org/officeDocument/2006/relationships/hyperlink" Target="https://www.suin-juriscol.gov.co/viewDocument.asp?ruta=Leyes/30042108" TargetMode="External"/><Relationship Id="rId65" Type="http://schemas.openxmlformats.org/officeDocument/2006/relationships/hyperlink" Target="https://dapre.presidencia.gov.co/normativa/normativa/DECRETO%201252%20DEL%2012%20DE%20OCTUBRE%20DE%202021.pdf" TargetMode="External"/><Relationship Id="rId73" Type="http://schemas.openxmlformats.org/officeDocument/2006/relationships/hyperlink" Target="http://www.legal.unal.edu.co/rlunal/home/doc.jsp?d_i=34632" TargetMode="External"/><Relationship Id="rId78" Type="http://schemas.openxmlformats.org/officeDocument/2006/relationships/hyperlink" Target="https://www.alcaldiabogota.gov.co/sisjur/listados/tematica2.jsp?subtema=34970&amp;cadena=" TargetMode="External"/><Relationship Id="rId81" Type="http://schemas.openxmlformats.org/officeDocument/2006/relationships/hyperlink" Target="https://www.funcionpublica.gov.co/eva/gestornormativo/norma.php?i=173879" TargetMode="External"/><Relationship Id="rId86" Type="http://schemas.openxmlformats.org/officeDocument/2006/relationships/hyperlink" Target="https://www.funcionpublica.gov.co/eva/gestornormativo/norma.php?i=99909" TargetMode="External"/><Relationship Id="rId94" Type="http://schemas.openxmlformats.org/officeDocument/2006/relationships/hyperlink" Target="https://safetya.co/normatividad/resolucion-1565-de-2014/" TargetMode="External"/><Relationship Id="rId99" Type="http://schemas.openxmlformats.org/officeDocument/2006/relationships/hyperlink" Target="https://www.cerlatam.com/wp-content/uploads/2022/02/Circular-salud-mental-01-de-2022.pdf" TargetMode="External"/><Relationship Id="rId101" Type="http://schemas.openxmlformats.org/officeDocument/2006/relationships/hyperlink" Target="https://secretariageneral.gov.co/node/9372" TargetMode="External"/><Relationship Id="rId4" Type="http://schemas.openxmlformats.org/officeDocument/2006/relationships/hyperlink" Target="https://www.minsalud.gov.co/Normatividad_Nuevo/Resoluci%C3%B3n%202388%20de%202016.pdf" TargetMode="External"/><Relationship Id="rId9" Type="http://schemas.openxmlformats.org/officeDocument/2006/relationships/hyperlink" Target="https://bogota.gov.co/sites/default/files/inline-files/decreto-091-de-2021-alcaldia-mayor-de-bogota-d.c_.pdf" TargetMode="External"/><Relationship Id="rId13" Type="http://schemas.openxmlformats.org/officeDocument/2006/relationships/hyperlink" Target="https://bogota.gov.co/sites/default/files/inline-files/decreto-121-de-2020-_0.pdf" TargetMode="External"/><Relationship Id="rId18" Type="http://schemas.openxmlformats.org/officeDocument/2006/relationships/hyperlink" Target="https://secretariageneral.gov.co/sites/default/files/archivos-adjuntos/decreto_142_de_2020_aislamiento_zonas_final_pdf_.pdf" TargetMode="External"/><Relationship Id="rId39" Type="http://schemas.openxmlformats.org/officeDocument/2006/relationships/hyperlink" Target="https://www.jep.gov.co/coronavirus/Decreto-007-de-2021.pdf" TargetMode="External"/><Relationship Id="rId109" Type="http://schemas.openxmlformats.org/officeDocument/2006/relationships/hyperlink" Target="https://www.mintransporte.gov.co/documentos/671/2022/genPagDocs=2" TargetMode="External"/><Relationship Id="rId34" Type="http://schemas.openxmlformats.org/officeDocument/2006/relationships/hyperlink" Target="https://www.tunja-boyaca.gov.co/normatividad/decreto-no-0216-de-15-de-julio-de-2020-por-medio-del" TargetMode="External"/><Relationship Id="rId50" Type="http://schemas.openxmlformats.org/officeDocument/2006/relationships/hyperlink" Target="https://www.funcionpublica.gov.co/eva/gestornormativo/norma.php?i=85063" TargetMode="External"/><Relationship Id="rId55" Type="http://schemas.openxmlformats.org/officeDocument/2006/relationships/hyperlink" Target="https://www.alcaldiabogota.gov.co/sisjur/listados/tematica2.jsp?subtema=34039&amp;cadena=" TargetMode="External"/><Relationship Id="rId76" Type="http://schemas.openxmlformats.org/officeDocument/2006/relationships/hyperlink" Target="https://www.funcionpublica.gov.co/eva/gestornormativo/norma.php?i=69573" TargetMode="External"/><Relationship Id="rId97" Type="http://schemas.openxmlformats.org/officeDocument/2006/relationships/hyperlink" Target="https://serviciocivil.gov.co/transparencia/marco-legal/lineamientos/circular-externa-02" TargetMode="External"/><Relationship Id="rId104" Type="http://schemas.openxmlformats.org/officeDocument/2006/relationships/hyperlink" Target="https://dapre.presidencia.gov.co/normativa/normativa/DECRETO%20768%20DEL%2016%20DE%20MAYO%20DE%202022.pdf" TargetMode="External"/><Relationship Id="rId7" Type="http://schemas.openxmlformats.org/officeDocument/2006/relationships/hyperlink" Target="https://www.dadep.gov.co/transparencia/marco-legal/normatividad-sobre-covid-19/decreto-distrital-087-2020" TargetMode="External"/><Relationship Id="rId71" Type="http://schemas.openxmlformats.org/officeDocument/2006/relationships/hyperlink" Target="https://www.funcionpublica.gov.co/eva/gestornormativo/norma.php?i=36837" TargetMode="External"/><Relationship Id="rId92" Type="http://schemas.openxmlformats.org/officeDocument/2006/relationships/hyperlink" Target="https://www.funcionpublica.gov.co/eva/gestornormativo/norma.php?i=45453" TargetMode="External"/><Relationship Id="rId2" Type="http://schemas.openxmlformats.org/officeDocument/2006/relationships/hyperlink" Target="https://www.alcaldiabogota.gov.co/sisjur/normas/Norma1.jsp?i=44631&amp;dt=S" TargetMode="External"/><Relationship Id="rId29" Type="http://schemas.openxmlformats.org/officeDocument/2006/relationships/hyperlink" Target="https://secretariageneral.gov.co/sites/default/files/archivos-adjuntos/decreto_186_de_2020_pdf.pdf" TargetMode="External"/><Relationship Id="rId24" Type="http://schemas.openxmlformats.org/officeDocument/2006/relationships/hyperlink" Target="https://www.funcionpublica.gov.co/eva/gestornormativo/norma.php?i=120058" TargetMode="External"/><Relationship Id="rId40" Type="http://schemas.openxmlformats.org/officeDocument/2006/relationships/hyperlink" Target="http://www.saludcapital.gov.co/Covid_legal/Decreto_10_de_2021.pdf" TargetMode="External"/><Relationship Id="rId45" Type="http://schemas.openxmlformats.org/officeDocument/2006/relationships/hyperlink" Target="https://www.minsalud.gov.co/Normatividad_Nuevo/Resoluci%C3%B3n%20No.%20043%20de%202021.pdf" TargetMode="External"/><Relationship Id="rId66" Type="http://schemas.openxmlformats.org/officeDocument/2006/relationships/hyperlink" Target="https://drive.google.com/file/d/1L6Wkllc9MQlgOaKXS1zy1sUPigsdTngx/view?usp=sharing" TargetMode="External"/><Relationship Id="rId87" Type="http://schemas.openxmlformats.org/officeDocument/2006/relationships/hyperlink" Target="https://www.funcionpublica.gov.co/eva/gestornormativo/norma.php?i=90324" TargetMode="External"/><Relationship Id="rId110" Type="http://schemas.openxmlformats.org/officeDocument/2006/relationships/hyperlink" Target="https://dapre.presidencia.gov.co/normativa/normativa/DECRETO%201227%20DEL%2018%20DE%20JULIO%20DE%202022.pdf" TargetMode="External"/><Relationship Id="rId115" Type="http://schemas.openxmlformats.org/officeDocument/2006/relationships/comments" Target="../comments16.xml"/><Relationship Id="rId61" Type="http://schemas.openxmlformats.org/officeDocument/2006/relationships/hyperlink" Target="https://dapre.presidencia.gov.co/normativa/normativa/LEY%202141%20DEL%2010%20DE%20AGOSTO%20DE%202021.pdf" TargetMode="External"/><Relationship Id="rId82" Type="http://schemas.openxmlformats.org/officeDocument/2006/relationships/hyperlink" Target="https://dapre.presidencia.gov.co/normativa/normativa/DECRETO%201650%20DEL%206%20DE%20DICIEMBRE%20DE%202021.pdf" TargetMode="External"/><Relationship Id="rId19" Type="http://schemas.openxmlformats.org/officeDocument/2006/relationships/hyperlink" Target="https://secretariageneral.gov.co/sites/default/files/archivos-adjuntos/final_decreto_143_extension_aislamiento_10_pm_pdf.pdf" TargetMode="External"/><Relationship Id="rId14" Type="http://schemas.openxmlformats.org/officeDocument/2006/relationships/hyperlink" Target="https://acmineria.com.co/normativa/circular-alcaldia-de-bogota-043-de-2020-retoma-presencial-de-funciones-en-la-alcaldia/" TargetMode="External"/><Relationship Id="rId30" Type="http://schemas.openxmlformats.org/officeDocument/2006/relationships/hyperlink" Target="https://secretariageneral.gov.co/sites/default/files/contratos/decreto_192_de_2020_prorroga_calamidad_publica.pdf" TargetMode="External"/><Relationship Id="rId35" Type="http://schemas.openxmlformats.org/officeDocument/2006/relationships/hyperlink" Target="https://secretariageneral.gov.co/sites/default/files/archivos-adjuntos/decreto_240_2020_pdf.pdf" TargetMode="External"/><Relationship Id="rId56" Type="http://schemas.openxmlformats.org/officeDocument/2006/relationships/hyperlink" Target="http://www.desarrolloeconomico.gov.co/sites/default/files/marco-legal/Ley-1221-2008.pdf" TargetMode="External"/><Relationship Id="rId77" Type="http://schemas.openxmlformats.org/officeDocument/2006/relationships/hyperlink" Target="https://dapre.presidencia.gov.co/normativa/normativa/LEY%202043%20DEL%2027%20DE%20JULIO%20DE%202020.pdf" TargetMode="External"/><Relationship Id="rId100" Type="http://schemas.openxmlformats.org/officeDocument/2006/relationships/hyperlink" Target="https://www.mintrabajo.gov.co/documents/20147/0/Circular+0015+%281%29.pdf/09d59a5f-c7bd-6681-c78c-9ceffb92499a?t=1647282916646" TargetMode="External"/><Relationship Id="rId105" Type="http://schemas.openxmlformats.org/officeDocument/2006/relationships/hyperlink" Target="https://dapre.presidencia.gov.co/normativa/normativa/LEY%202207%20DEL%2017%20DE%20MAYO%20DE%202022.pdf" TargetMode="External"/><Relationship Id="rId8" Type="http://schemas.openxmlformats.org/officeDocument/2006/relationships/hyperlink" Target="https://www.alcaldiabogota.gov.co/sisjur/listados/tematica2.jsp?subtema=26866" TargetMode="External"/><Relationship Id="rId51" Type="http://schemas.openxmlformats.org/officeDocument/2006/relationships/hyperlink" Target="https://www.funcionpublica.gov.co/eva/gestornormativo/norma.php?i=99909" TargetMode="External"/><Relationship Id="rId72" Type="http://schemas.openxmlformats.org/officeDocument/2006/relationships/hyperlink" Target="https://www.minsalud.gov.co/sites/rid/Lists/BibliotecaDigital/RIDE/DE/DIJ/Ley-1562-de-2012.pdf" TargetMode="External"/><Relationship Id="rId93" Type="http://schemas.openxmlformats.org/officeDocument/2006/relationships/hyperlink" Target="https://www.funcionpublica.gov.co/eva/gestornormativo/norma.php?i=55853" TargetMode="External"/><Relationship Id="rId98" Type="http://schemas.openxmlformats.org/officeDocument/2006/relationships/hyperlink" Target="https://www.procuraduria.gov.co/portal/media/file/CIRCULAR%20ASEGURADORES%20PNV.pdf" TargetMode="External"/><Relationship Id="rId3" Type="http://schemas.openxmlformats.org/officeDocument/2006/relationships/hyperlink" Target="https://drive.google.com/file/d/1Y5bgFvmOGcIyxapmIz5q6EIexVKvzoc-/view?usp=sharing" TargetMode="External"/><Relationship Id="rId25" Type="http://schemas.openxmlformats.org/officeDocument/2006/relationships/hyperlink" Target="http://www.gobiernobogota.gov.co/sgdapp/?q=normograma/circular-023-de-2020" TargetMode="External"/><Relationship Id="rId46" Type="http://schemas.openxmlformats.org/officeDocument/2006/relationships/hyperlink" Target="https://www.animalesbog.gov.co/transparencia/marco-legal/lineamientos/resoluci%c3%b3n-051-2021" TargetMode="External"/><Relationship Id="rId67" Type="http://schemas.openxmlformats.org/officeDocument/2006/relationships/hyperlink" Target="https://drive.google.com/file/d/1QqSLB0toBN3i-jo3HavIeTHjzRaZGxKD/view?usp=sharing" TargetMode="External"/><Relationship Id="rId20" Type="http://schemas.openxmlformats.org/officeDocument/2006/relationships/hyperlink" Target="https://bogota.gov.co/mi-ciudad/gestion-juridica/medidas-de-policia-en-bosa-kennedy-y-ciudad-bolivar-decreto-155" TargetMode="External"/><Relationship Id="rId41" Type="http://schemas.openxmlformats.org/officeDocument/2006/relationships/hyperlink" Target="https://www.minsalud.gov.co/sites/rid/Lists/BibliotecaDigital/RIDE/DE/DIJ/circular-0018-de-2020.pdf" TargetMode="External"/><Relationship Id="rId62" Type="http://schemas.openxmlformats.org/officeDocument/2006/relationships/hyperlink" Target="http://portal.gestiondelriesgo.gov.co/Documents/Circulares/Circular-037-septiembre-6-de-2021.pdf" TargetMode="External"/><Relationship Id="rId83" Type="http://schemas.openxmlformats.org/officeDocument/2006/relationships/hyperlink" Target="http://www.bogotajuridica.gov.co/sisjur/normas/Norma1.jsp?i=32779" TargetMode="External"/><Relationship Id="rId88" Type="http://schemas.openxmlformats.org/officeDocument/2006/relationships/hyperlink" Target="https://dapre.presidencia.gov.co/normativa/normativa/LEY%202094%20DEL%2029%20DE%20JUNIO%20DE%202021.pdf" TargetMode="External"/><Relationship Id="rId111" Type="http://schemas.openxmlformats.org/officeDocument/2006/relationships/hyperlink" Target="https://sst-safework.com/resolucion-3032-julio-27-2022-guia-actividades-de-alto-riesgo-del-decreto-2090-2003-colombia/"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dapre.presidencia.gov.co/normativa/normativa/DIRECTIVA%20PRESIDENCIAL%2001%20DEL%2017%20DE%20ENERO%20DE%202022.pdf" TargetMode="External"/><Relationship Id="rId13" Type="http://schemas.openxmlformats.org/officeDocument/2006/relationships/hyperlink" Target="https://tic.bogota.gov.co/transparencia/marco-legal/normatividad/resolucion-001-2018" TargetMode="External"/><Relationship Id="rId18" Type="http://schemas.openxmlformats.org/officeDocument/2006/relationships/hyperlink" Target="https://www.idrd.gov.co/sites/default/files/2022-02/056-resolucion-politica-de-seguridad-y-privacidad.pdf" TargetMode="External"/><Relationship Id="rId3" Type="http://schemas.openxmlformats.org/officeDocument/2006/relationships/hyperlink" Target="https://dapre.presidencia.gov.co/normativa/normativa/DECRETO%20620%20DEL%202%20DE%20MAYO%20DE%202020.pdf" TargetMode="External"/><Relationship Id="rId21" Type="http://schemas.openxmlformats.org/officeDocument/2006/relationships/comments" Target="../comments17.xml"/><Relationship Id="rId7" Type="http://schemas.openxmlformats.org/officeDocument/2006/relationships/hyperlink" Target="http://www.bogotajuridica.gov.co/sisjur/normas/Norma1.jsp?i=105265&amp;dt=S" TargetMode="External"/><Relationship Id="rId12" Type="http://schemas.openxmlformats.org/officeDocument/2006/relationships/hyperlink" Target="https://www.alcaldiabogota.gov.co/sisjur/normas/Norma1.jsp?i=116480" TargetMode="External"/><Relationship Id="rId17" Type="http://schemas.openxmlformats.org/officeDocument/2006/relationships/hyperlink" Target="https://secretariageneral.gov.co/sites/default/files/marco-legal/resolucion003de2017_0.pdf" TargetMode="External"/><Relationship Id="rId2" Type="http://schemas.openxmlformats.org/officeDocument/2006/relationships/hyperlink" Target="https://secretariageneral.gov.co/transparencia/normatividad/normatividad/decreto-492-2019-alcalde-mayor" TargetMode="External"/><Relationship Id="rId16" Type="http://schemas.openxmlformats.org/officeDocument/2006/relationships/hyperlink" Target="https://tic.bogota.gov.co/transparencia/marco-legal/normatividad/resoluci%C3%B3n-004-2017" TargetMode="External"/><Relationship Id="rId20" Type="http://schemas.openxmlformats.org/officeDocument/2006/relationships/vmlDrawing" Target="../drawings/vmlDrawing17.vml"/><Relationship Id="rId1" Type="http://schemas.openxmlformats.org/officeDocument/2006/relationships/hyperlink" Target="http://www.secretariasenado.gov.co/senado/basedoc/ley_2052_2020.html" TargetMode="External"/><Relationship Id="rId6" Type="http://schemas.openxmlformats.org/officeDocument/2006/relationships/hyperlink" Target="https://www.idrd.gov.co/sites/default/files/marco-legal/265_resolucion_del_comite_institucional_de_gestion_y_desempeno_agosto_de_2020_3.pdf" TargetMode="External"/><Relationship Id="rId11" Type="http://schemas.openxmlformats.org/officeDocument/2006/relationships/hyperlink" Target="https://www.alcaldiabogota.gov.co/sisjur/normas/Norma1.jsp?i=98525" TargetMode="External"/><Relationship Id="rId5" Type="http://schemas.openxmlformats.org/officeDocument/2006/relationships/hyperlink" Target="https://dapre.presidencia.gov.co/normativa/normativa/DECRETO%201227%20DEL%2018%20DE%20JULIO%20DE%202022.pdf" TargetMode="External"/><Relationship Id="rId15" Type="http://schemas.openxmlformats.org/officeDocument/2006/relationships/hyperlink" Target="https://tic.bogota.gov.co/transparencia/marco-legal/normatividad/resolucion-003-2018" TargetMode="External"/><Relationship Id="rId10" Type="http://schemas.openxmlformats.org/officeDocument/2006/relationships/hyperlink" Target="https://dapre.presidencia.gov.co/normativa/normativa/DIRECTIVA%20PRESIDENCIAL%2003%20DEL%2015%20DE%20MARZO%20DE%202021.pdf" TargetMode="External"/><Relationship Id="rId19" Type="http://schemas.openxmlformats.org/officeDocument/2006/relationships/drawing" Target="../drawings/drawing18.xml"/><Relationship Id="rId4" Type="http://schemas.openxmlformats.org/officeDocument/2006/relationships/hyperlink" Target="https://dapre.presidencia.gov.co/normativa/normativa/DECRETO%20767%20DEL%2016%20DE%20MAYO%20DE%202022.pdfloads/2022/03/DECRETO-338-DEL-8-DE-MARZO-DE-2022.pdf" TargetMode="External"/><Relationship Id="rId9" Type="http://schemas.openxmlformats.org/officeDocument/2006/relationships/hyperlink" Target="https://dapre.presidencia.gov.co/normativa/normativa/DIRECTIVA%20PRESIDENCIAL%2002%20DEL%2024%20DE%20FEBRERO%20DE%202022.pdf" TargetMode="External"/><Relationship Id="rId14" Type="http://schemas.openxmlformats.org/officeDocument/2006/relationships/hyperlink" Target="https://tic.bogota.gov.co/transparencia/marco-legal/normatividad/resolucion-002-2018"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lcaldiabogota.gov.co/sisjur/normas/Norma1.jsp?i=88588" TargetMode="External"/><Relationship Id="rId13" Type="http://schemas.openxmlformats.org/officeDocument/2006/relationships/hyperlink" Target="https://www.alcaldiabogota.gov.co/sisjur/normas/Norma1.jsp?i=53128" TargetMode="External"/><Relationship Id="rId18" Type="http://schemas.openxmlformats.org/officeDocument/2006/relationships/hyperlink" Target="https://www.alcaldiabogota.gov.co/sisjur/normas/Norma1.jsp?i=86971&amp;dt=S" TargetMode="External"/><Relationship Id="rId26" Type="http://schemas.openxmlformats.org/officeDocument/2006/relationships/hyperlink" Target="https://www.idrd.gov.co/sites/default/files/documentos/189_resolucion_modificacion_cefes.pdf" TargetMode="External"/><Relationship Id="rId3" Type="http://schemas.openxmlformats.org/officeDocument/2006/relationships/hyperlink" Target="https://www.alcaldiabogota.gov.co/sisjur/normas/Norma1.jsp?i=44692&amp;dt=S" TargetMode="External"/><Relationship Id="rId21" Type="http://schemas.openxmlformats.org/officeDocument/2006/relationships/hyperlink" Target="http://sisjur.bogotajuridica.gov.co/sisjur/normas/Norma1.jsp?i=91801" TargetMode="External"/><Relationship Id="rId7" Type="http://schemas.openxmlformats.org/officeDocument/2006/relationships/hyperlink" Target="http://sisjur.bogotajuridica.gov.co/sisjur/normas/Norma1.jsp?i=91163" TargetMode="External"/><Relationship Id="rId12" Type="http://schemas.openxmlformats.org/officeDocument/2006/relationships/hyperlink" Target="https://www.dadep.gov.co/sites/default/files/marco-legal/resolucion_087_de_2011_instructivo2.pdf" TargetMode="External"/><Relationship Id="rId17" Type="http://schemas.openxmlformats.org/officeDocument/2006/relationships/hyperlink" Target="https://www.idrd.gov.co/sites/default/files/documentos/Transparencia/Resoluciones/Resolucion-310-del-28-de-mayo-de%202019.pdf" TargetMode="External"/><Relationship Id="rId25" Type="http://schemas.openxmlformats.org/officeDocument/2006/relationships/hyperlink" Target="https://intranet.idrd.gov.co/wp-content/uploads/2020/03/178-RESOLUCION-MODIFICACION-RESOLUCION-701-DE-2019-1.pdf" TargetMode="External"/><Relationship Id="rId2" Type="http://schemas.openxmlformats.org/officeDocument/2006/relationships/hyperlink" Target="http://www.suin-juriscol.gov.co/viewDocument.asp?ruta=Decretos/1859081" TargetMode="External"/><Relationship Id="rId16" Type="http://schemas.openxmlformats.org/officeDocument/2006/relationships/hyperlink" Target="http://www.sdp.gov.co/sites/default/files/resolucion_1666_de_2017.pdf" TargetMode="External"/><Relationship Id="rId20" Type="http://schemas.openxmlformats.org/officeDocument/2006/relationships/hyperlink" Target="http://sisjur.bogotajuridica.gov.co/sisjur/normas/Norma1.jsp?i=91962" TargetMode="External"/><Relationship Id="rId29" Type="http://schemas.openxmlformats.org/officeDocument/2006/relationships/hyperlink" Target="https://colombiacompra.gov.co/sites/cce_public/files/files_2020/comunicado_circular_v2.pdf" TargetMode="External"/><Relationship Id="rId1" Type="http://schemas.openxmlformats.org/officeDocument/2006/relationships/hyperlink" Target="https://www.alcaldiabogota.gov.co/sisjur/normas/Norma1.jsp?i=304" TargetMode="External"/><Relationship Id="rId6" Type="http://schemas.openxmlformats.org/officeDocument/2006/relationships/hyperlink" Target="http://sisjur.bogotajuridica.gov.co/sisjur/normas/Norma1.jsp?i=87968" TargetMode="External"/><Relationship Id="rId11" Type="http://schemas.openxmlformats.org/officeDocument/2006/relationships/hyperlink" Target="https://sisjur.bogotajuridica.gov.co/sisjur/normas/Norma1.jsp?i=114497" TargetMode="External"/><Relationship Id="rId24" Type="http://schemas.openxmlformats.org/officeDocument/2006/relationships/hyperlink" Target="http://sisjur.bogotajuridica.gov.co/sisjur/normas/Norma1.jsp?i=92274" TargetMode="External"/><Relationship Id="rId32" Type="http://schemas.openxmlformats.org/officeDocument/2006/relationships/comments" Target="../comments1.xml"/><Relationship Id="rId5" Type="http://schemas.openxmlformats.org/officeDocument/2006/relationships/hyperlink" Target="https://www.alcaldiabogota.gov.co/sisjur/normas/Norma1.jsp?i=81080" TargetMode="External"/><Relationship Id="rId15" Type="http://schemas.openxmlformats.org/officeDocument/2006/relationships/hyperlink" Target="https://www.dadep.gov.co/sites/default/files/marco-legal/resolucion_034_de_2014_hechos_notorios.pdf" TargetMode="External"/><Relationship Id="rId23" Type="http://schemas.openxmlformats.org/officeDocument/2006/relationships/hyperlink" Target="https://www.idrd.gov.co/sites/default/files/marco-legal/145_del_13_de_abril_del_2020_por_la_cual_se_prorroga_los_efectos_de_resolucion_141_de_2020.pdf" TargetMode="External"/><Relationship Id="rId28" Type="http://schemas.openxmlformats.org/officeDocument/2006/relationships/hyperlink" Target="http://gaia.gobiernobogota.gov.co/sites/default/files/documentos/circular_conjunta_01_2.pdf" TargetMode="External"/><Relationship Id="rId10" Type="http://schemas.openxmlformats.org/officeDocument/2006/relationships/hyperlink" Target="https://sisjur.bogotajuridica.gov.co/sisjur/normas/Norma1.jsp?i=114501" TargetMode="External"/><Relationship Id="rId19" Type="http://schemas.openxmlformats.org/officeDocument/2006/relationships/hyperlink" Target="http://sisjur.bogotajuridica.gov.co/sisjur/normas/Norma1.jsp?i=91249" TargetMode="External"/><Relationship Id="rId31" Type="http://schemas.openxmlformats.org/officeDocument/2006/relationships/vmlDrawing" Target="../drawings/vmlDrawing1.vml"/><Relationship Id="rId4" Type="http://schemas.openxmlformats.org/officeDocument/2006/relationships/hyperlink" Target="https://www.alcaldiabogota.gov.co/sisjur/normas/Norma1.jsp?i=80554" TargetMode="External"/><Relationship Id="rId9" Type="http://schemas.openxmlformats.org/officeDocument/2006/relationships/hyperlink" Target="http://sisjur.bogotajuridica.gov.co/sisjur/normas/Norma1.jsp?i=91475" TargetMode="External"/><Relationship Id="rId14" Type="http://schemas.openxmlformats.org/officeDocument/2006/relationships/hyperlink" Target="http://sisjur.bogotajuridica.gov.co/sisjur/normas/Norma1.jsp?i=58287" TargetMode="External"/><Relationship Id="rId22" Type="http://schemas.openxmlformats.org/officeDocument/2006/relationships/hyperlink" Target="http://sisjur.bogotajuridica.gov.co/sisjur/normas/Norma1.jsp?i=91662" TargetMode="External"/><Relationship Id="rId27" Type="http://schemas.openxmlformats.org/officeDocument/2006/relationships/hyperlink" Target="https://sisjur.bogotajuridica.gov.co/sisjur/normas/Norma1.jsp?i=114361" TargetMode="External"/><Relationship Id="rId30"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hyperlink" Target="https://www.shd.gov.co/shd/node/38600" TargetMode="External"/><Relationship Id="rId13" Type="http://schemas.openxmlformats.org/officeDocument/2006/relationships/hyperlink" Target="https://www.movilidadbogota.gov.co/web/sites/default/files/Paginas/03-01-2022/decreto_540_de_2021_liquidacion_del_ppto.pdf" TargetMode="External"/><Relationship Id="rId18" Type="http://schemas.openxmlformats.org/officeDocument/2006/relationships/vmlDrawing" Target="../drawings/vmlDrawing19.vml"/><Relationship Id="rId3" Type="http://schemas.openxmlformats.org/officeDocument/2006/relationships/hyperlink" Target="https://drive.google.com/file/d/15RAFIwDfUbIQBSVVnV0cFz0DTPF9n24g/view?usp=sharing" TargetMode="External"/><Relationship Id="rId7" Type="http://schemas.openxmlformats.org/officeDocument/2006/relationships/hyperlink" Target="https://www.shd.gov.co/shd/sites/default/files/documentos/Circular%20DDT-1%202020%20Requisitos%20para%20tramitar%20la%20devoluci%C3%B3n%20de%20Ingresos%20No%20Tributarios.pdf" TargetMode="External"/><Relationship Id="rId12" Type="http://schemas.openxmlformats.org/officeDocument/2006/relationships/hyperlink" Target="https://www.shd.gov.co/shd/documentos_tecnicos" TargetMode="External"/><Relationship Id="rId17" Type="http://schemas.openxmlformats.org/officeDocument/2006/relationships/drawing" Target="../drawings/drawing20.xml"/><Relationship Id="rId2" Type="http://schemas.openxmlformats.org/officeDocument/2006/relationships/hyperlink" Target="https://www.mineducacion.gov.co/1780/w3-article-338770.html?_noredirect=1" TargetMode="External"/><Relationship Id="rId16" Type="http://schemas.openxmlformats.org/officeDocument/2006/relationships/hyperlink" Target="https://drive.google.com/file/d/1f8Otrdm9e6Mvdx1oZzA0SF7uh_3umIP1/view?usp=sharing" TargetMode="External"/><Relationship Id="rId1" Type="http://schemas.openxmlformats.org/officeDocument/2006/relationships/hyperlink" Target="https://www.alcaldiabogota.gov.co/sisjur/listados/tematica2.jsp?subtema=22568" TargetMode="External"/><Relationship Id="rId6" Type="http://schemas.openxmlformats.org/officeDocument/2006/relationships/hyperlink" Target="https://www.shd.gov.co/shd/node/40603" TargetMode="External"/><Relationship Id="rId11" Type="http://schemas.openxmlformats.org/officeDocument/2006/relationships/hyperlink" Target="https://www.shd.gov.co/shd/sites/default/files/documentos/2-Capacitaci%C3%B3n-Entidades-DDT-Circular-10.pdf" TargetMode="External"/><Relationship Id="rId5" Type="http://schemas.openxmlformats.org/officeDocument/2006/relationships/hyperlink" Target="https://www.shd.gov.co/shd/node/40805" TargetMode="External"/><Relationship Id="rId15" Type="http://schemas.openxmlformats.org/officeDocument/2006/relationships/hyperlink" Target="https://serviciocivil.gov.co/sites/default/files/presupuesto/Acuerdo%20788%20de%202020%20Concejo%20de%20Bogot%C3%A1%20D.C_%20%20VF.pdf" TargetMode="External"/><Relationship Id="rId10" Type="http://schemas.openxmlformats.org/officeDocument/2006/relationships/hyperlink" Target="https://www.cerlatam.com/normatividad/superfinanciera-circular-externa-023-de-2021/" TargetMode="External"/><Relationship Id="rId19" Type="http://schemas.openxmlformats.org/officeDocument/2006/relationships/comments" Target="../comments19.xml"/><Relationship Id="rId4" Type="http://schemas.openxmlformats.org/officeDocument/2006/relationships/hyperlink" Target="https://www.shd.gov.co/shd/node/40499" TargetMode="External"/><Relationship Id="rId9" Type="http://schemas.openxmlformats.org/officeDocument/2006/relationships/hyperlink" Target="https://www.shd.gov.co/shd/node/46308" TargetMode="External"/><Relationship Id="rId14" Type="http://schemas.openxmlformats.org/officeDocument/2006/relationships/hyperlink" Target="http://www.sdp.gov.co/sites/default/files/decreto_192_de_2021.pdf"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www.supernotariado.gov.co/PortalSNR/ShowProperty?nodeId=%2FSNRContent%2FWLSWCCPORTAL01175521%2F%2FidcPrimaryFile&amp;revision=latestreleased" TargetMode="External"/><Relationship Id="rId3" Type="http://schemas.openxmlformats.org/officeDocument/2006/relationships/hyperlink" Target="https://drive.google.com/file/d/1ouHh-UgmeH-MU9ZpXdE5jMVb-PYxu9e1/view?usp=sharing" TargetMode="External"/><Relationship Id="rId7" Type="http://schemas.openxmlformats.org/officeDocument/2006/relationships/hyperlink" Target="https://www.supernotariado.gov.co/PortalSNR/ShowProperty?nodeId=%2FSNRContent%2FWLSWCCPORTAL01175504%2F%2FidcPrimaryFile&amp;revision=latestreleased" TargetMode="External"/><Relationship Id="rId12" Type="http://schemas.openxmlformats.org/officeDocument/2006/relationships/comments" Target="../comments20.xml"/><Relationship Id="rId2" Type="http://schemas.openxmlformats.org/officeDocument/2006/relationships/hyperlink" Target="https://www.alcaldiabogota.gov.co/sisjur/normas/Norma1.jsp?i=14847" TargetMode="External"/><Relationship Id="rId1" Type="http://schemas.openxmlformats.org/officeDocument/2006/relationships/hyperlink" Target="https://www.alcaldiabogota.gov.co/sisjur/normas/Norma1.jsp?i=3049" TargetMode="External"/><Relationship Id="rId6" Type="http://schemas.openxmlformats.org/officeDocument/2006/relationships/hyperlink" Target="https://drive.google.com/file/d/1l59CbYSerESPbJIy42YZ_a-2BZaoMmBH/view?usp=sharing" TargetMode="External"/><Relationship Id="rId11" Type="http://schemas.openxmlformats.org/officeDocument/2006/relationships/vmlDrawing" Target="../drawings/vmlDrawing20.vml"/><Relationship Id="rId5" Type="http://schemas.openxmlformats.org/officeDocument/2006/relationships/hyperlink" Target="https://www.idrd.gov.co/sites/default/files/documentos/resolucion_005_del_2021_por_la_cual_se_adopta_la_politica_de_prevencion_del_dano_antijuridico_para_el_idrd.pdf" TargetMode="External"/><Relationship Id="rId10" Type="http://schemas.openxmlformats.org/officeDocument/2006/relationships/drawing" Target="../drawings/drawing21.xml"/><Relationship Id="rId4" Type="http://schemas.openxmlformats.org/officeDocument/2006/relationships/hyperlink" Target="https://drive.google.com/file/d/1NI4EyzKC-2K_Ldk228wfxH5Ot0IGFC0b/view?usp=sharing" TargetMode="External"/><Relationship Id="rId9" Type="http://schemas.openxmlformats.org/officeDocument/2006/relationships/hyperlink" Target="http://sisjur.bogotajuridica.gov.co/sisjur/normas/Norma1.jsp?i=93245" TargetMode="External"/></Relationships>
</file>

<file path=xl/worksheets/_rels/sheet23.xml.rels><?xml version="1.0" encoding="UTF-8" standalone="yes"?>
<Relationships xmlns="http://schemas.openxmlformats.org/package/2006/relationships"><Relationship Id="rId13" Type="http://schemas.openxmlformats.org/officeDocument/2006/relationships/hyperlink" Target="https://www.shd.gov.co/shd/node/45378" TargetMode="External"/><Relationship Id="rId18" Type="http://schemas.openxmlformats.org/officeDocument/2006/relationships/hyperlink" Target="https://www.culturarecreacionydeporte.gov.co/es/scrd-transparente/resoluciones/resolucion-no-525-del-27-de-julio-de-2021-por-medio-de-la-cual-se-modifica-el-comite-de-investigaciones-y-mediciones-de-la-secretaria-distrital-de-cultura-recreacion-y-deporte-creado-mediante-la-resolucion-504" TargetMode="External"/><Relationship Id="rId26" Type="http://schemas.openxmlformats.org/officeDocument/2006/relationships/hyperlink" Target="https://www.alcaldiabogota.gov.co/sisjur/normas/Norma1.jsp?i=80554&amp;dt=S" TargetMode="External"/><Relationship Id="rId39" Type="http://schemas.openxmlformats.org/officeDocument/2006/relationships/hyperlink" Target="https://www.alcaldiabogota.gov.co/sisjur/normas/Norma1.jsp?i=22229&amp;dt=S" TargetMode="External"/><Relationship Id="rId21" Type="http://schemas.openxmlformats.org/officeDocument/2006/relationships/hyperlink" Target="https://www.alcaldiabogota.gov.co/sisjur/normas/Norma1.jsp?i=34288&amp;dt=S" TargetMode="External"/><Relationship Id="rId34" Type="http://schemas.openxmlformats.org/officeDocument/2006/relationships/hyperlink" Target="https://www.alcaldiabogota.gov.co/sisjur/normas/Norma1.jsp?i=45088&amp;dt=S" TargetMode="External"/><Relationship Id="rId42" Type="http://schemas.openxmlformats.org/officeDocument/2006/relationships/hyperlink" Target="https://www.alcaldiabogota.gov.co/sisjur/normas/Norma1.jsp?i=119786&amp;dt=S" TargetMode="External"/><Relationship Id="rId47" Type="http://schemas.openxmlformats.org/officeDocument/2006/relationships/hyperlink" Target="https://www.funcionpublica.gov.co/eva/gestornormativo/norma.php?i=10570" TargetMode="External"/><Relationship Id="rId50" Type="http://schemas.openxmlformats.org/officeDocument/2006/relationships/hyperlink" Target="https://www.ipes.gov.co/images/informes/normatividad/DECRETO_197_DEL_22_DE_MAYO_DEL_2014.pdf" TargetMode="External"/><Relationship Id="rId7" Type="http://schemas.openxmlformats.org/officeDocument/2006/relationships/hyperlink" Target="https://www.alcaldiabogota.gov.co/sisjur/normas/Norma1.jsp?i=88580" TargetMode="External"/><Relationship Id="rId2" Type="http://schemas.openxmlformats.org/officeDocument/2006/relationships/hyperlink" Target="https://www.alcaldiabogota.gov.co/sisjur/normas/Norma1.jsp?i=96145" TargetMode="External"/><Relationship Id="rId16" Type="http://schemas.openxmlformats.org/officeDocument/2006/relationships/hyperlink" Target="https://www.shd.gov.co/shd/sites/default/files/documentos/Directiva%20002%20de%202021.pdf" TargetMode="External"/><Relationship Id="rId29" Type="http://schemas.openxmlformats.org/officeDocument/2006/relationships/hyperlink" Target="https://www.sdp.gov.co/sites/default/files/conpes_06_pp_ep_aprobado.pdf" TargetMode="External"/><Relationship Id="rId11" Type="http://schemas.openxmlformats.org/officeDocument/2006/relationships/hyperlink" Target="https://secretariageneral.gov.co/transparencia/normatividad/lineamientos/circular-009-2019" TargetMode="External"/><Relationship Id="rId24" Type="http://schemas.openxmlformats.org/officeDocument/2006/relationships/hyperlink" Target="https://www.alcaldiabogota.gov.co/sisjur/normas/Norma1.jsp?i=62072" TargetMode="External"/><Relationship Id="rId32" Type="http://schemas.openxmlformats.org/officeDocument/2006/relationships/hyperlink" Target="http://www.saludcapital.gov.co/Politicas/DECRETO_062_DE_2014.pdf" TargetMode="External"/><Relationship Id="rId37" Type="http://schemas.openxmlformats.org/officeDocument/2006/relationships/hyperlink" Target="https://www.alcaldiabogota.gov.co/sisjur/normas/Norma1.jsp?i=33987&amp;dt=S" TargetMode="External"/><Relationship Id="rId40" Type="http://schemas.openxmlformats.org/officeDocument/2006/relationships/hyperlink" Target="https://www.alcaldiabogota.gov.co/sisjur/normas/Norma1.jsp?i=40243&amp;dt=S" TargetMode="External"/><Relationship Id="rId45" Type="http://schemas.openxmlformats.org/officeDocument/2006/relationships/hyperlink" Target="https://www.funcionpublica.gov.co/eva/gestornormativo/norma.php?i=170909" TargetMode="External"/><Relationship Id="rId53" Type="http://schemas.openxmlformats.org/officeDocument/2006/relationships/vmlDrawing" Target="../drawings/vmlDrawing21.vml"/><Relationship Id="rId5" Type="http://schemas.openxmlformats.org/officeDocument/2006/relationships/hyperlink" Target="https://www.funcionpublica.gov.co/eva/gestornormativo/norma.php?i=62866" TargetMode="External"/><Relationship Id="rId10" Type="http://schemas.openxmlformats.org/officeDocument/2006/relationships/hyperlink" Target="https://secretariageneral.gov.co/transparencia/informacion-interes/publicacion/mipg-distrital/circular-012-2018-directrices-mipg" TargetMode="External"/><Relationship Id="rId19" Type="http://schemas.openxmlformats.org/officeDocument/2006/relationships/hyperlink" Target="https://drive.google.com/drive/folders/1zUlxwzPXUYXVQOecGm4wHJxGKabyQodA" TargetMode="External"/><Relationship Id="rId31" Type="http://schemas.openxmlformats.org/officeDocument/2006/relationships/hyperlink" Target="http://portalantiguo.sdmujer.gov.co/images/pdf/Normatividad/resolucion_490_24_diciembre_2015.pdf" TargetMode="External"/><Relationship Id="rId44" Type="http://schemas.openxmlformats.org/officeDocument/2006/relationships/hyperlink" Target="https://www.shd.gov.co/shd/sites/default/files/documentos/Circular_Externa_DDP_000008_%2028_junio_2021_0.pdf" TargetMode="External"/><Relationship Id="rId52" Type="http://schemas.openxmlformats.org/officeDocument/2006/relationships/drawing" Target="../drawings/drawing22.xml"/><Relationship Id="rId4" Type="http://schemas.openxmlformats.org/officeDocument/2006/relationships/hyperlink" Target="https://www.funcionpublica.gov.co/eva/gestornormativo/norma.php?i=50959" TargetMode="External"/><Relationship Id="rId9" Type="http://schemas.openxmlformats.org/officeDocument/2006/relationships/hyperlink" Target="https://tic.bogota.gov.co/sites/default/files/marco-legal/CIRCULAR%2028.pdf" TargetMode="External"/><Relationship Id="rId14" Type="http://schemas.openxmlformats.org/officeDocument/2006/relationships/hyperlink" Target="https://www.shd.gov.co/shd/node/46251" TargetMode="External"/><Relationship Id="rId22" Type="http://schemas.openxmlformats.org/officeDocument/2006/relationships/hyperlink" Target="https://www.alcaldiabogota.gov.co/sisjur/normas/Norma1.jsp?i=45220&amp;dt=S" TargetMode="External"/><Relationship Id="rId27" Type="http://schemas.openxmlformats.org/officeDocument/2006/relationships/hyperlink" Target="http://www.desarrolloeconomico.gov.co/transparencia/planeacion/politicas-y-lineamientos/decreto-380-2015" TargetMode="External"/><Relationship Id="rId30" Type="http://schemas.openxmlformats.org/officeDocument/2006/relationships/hyperlink" Target="https://educacionbogota.edu.co/portal_institucional/sites/default/files/2019-03/Acuerdo%20Distrital%20708%20de%202018.pdf" TargetMode="External"/><Relationship Id="rId35" Type="http://schemas.openxmlformats.org/officeDocument/2006/relationships/hyperlink" Target="http://www.saludcapital.gov.co/DASEG/Normas%20Poblacin%20Vulnerable/Acuerdo_175_de_2005.pdf" TargetMode="External"/><Relationship Id="rId43" Type="http://schemas.openxmlformats.org/officeDocument/2006/relationships/hyperlink" Target="https://drive.google.com/drive/folders/1zUlxwzPXUYXVQOecGm4wHJxGKabyQodA" TargetMode="External"/><Relationship Id="rId48" Type="http://schemas.openxmlformats.org/officeDocument/2006/relationships/hyperlink" Target="https://www.alcaldiabogota.gov.co/sisjur/normas/Norma1.jsp?i=44692" TargetMode="External"/><Relationship Id="rId8" Type="http://schemas.openxmlformats.org/officeDocument/2006/relationships/hyperlink" Target="https://www.alcaldiabogota.gov.co/sisjur/normas/Norma1.jsp?i=93649" TargetMode="External"/><Relationship Id="rId51" Type="http://schemas.openxmlformats.org/officeDocument/2006/relationships/hyperlink" Target="https://secretariageneral.gov.co/sites/default/files/linemientos-distritales/protocolo_rdc.pdf" TargetMode="External"/><Relationship Id="rId3" Type="http://schemas.openxmlformats.org/officeDocument/2006/relationships/hyperlink" Target="https://www.funcionpublica.gov.co/eva/gestornormativo/norma.php?i=45322" TargetMode="External"/><Relationship Id="rId12" Type="http://schemas.openxmlformats.org/officeDocument/2006/relationships/hyperlink" Target="https://www.shd.gov.co/shd/node/43836" TargetMode="External"/><Relationship Id="rId17" Type="http://schemas.openxmlformats.org/officeDocument/2006/relationships/hyperlink" Target="https://www.alcaldiabogota.gov.co/sisjur/normas/Norma1.jsp?i=98525" TargetMode="External"/><Relationship Id="rId25" Type="http://schemas.openxmlformats.org/officeDocument/2006/relationships/hyperlink" Target="https://www.culturarecreacionydeporte.gov.co/sites/default/files/decreto_229__0.pdf" TargetMode="External"/><Relationship Id="rId33" Type="http://schemas.openxmlformats.org/officeDocument/2006/relationships/hyperlink" Target="https://www.alcaldiabogota.gov.co/sisjur/normas/Norma1.jsp?i=35794&amp;dt=S" TargetMode="External"/><Relationship Id="rId38" Type="http://schemas.openxmlformats.org/officeDocument/2006/relationships/hyperlink" Target="https://repositoriocdim.esap.edu.co/handle/123456789/24398" TargetMode="External"/><Relationship Id="rId46" Type="http://schemas.openxmlformats.org/officeDocument/2006/relationships/hyperlink" Target="https://www.funcionpublica.gov.co/eva/gestornormativo/norma.php?i=175606" TargetMode="External"/><Relationship Id="rId20" Type="http://schemas.openxmlformats.org/officeDocument/2006/relationships/hyperlink" Target="https://www.funcionpublica.gov.co/eva/gestornormativo/norma.php?i=77653" TargetMode="External"/><Relationship Id="rId41" Type="http://schemas.openxmlformats.org/officeDocument/2006/relationships/hyperlink" Target="http://www.saludcapital.gov.co/Normas_Pobl_Vulnerable/Decreto_470_de_2007.pdf" TargetMode="External"/><Relationship Id="rId54" Type="http://schemas.openxmlformats.org/officeDocument/2006/relationships/comments" Target="../comments21.xml"/><Relationship Id="rId1" Type="http://schemas.openxmlformats.org/officeDocument/2006/relationships/hyperlink" Target="https://www.alcaldiabogota.gov.co/sisjur/normas/Norma1.jsp?i=104928" TargetMode="External"/><Relationship Id="rId6" Type="http://schemas.openxmlformats.org/officeDocument/2006/relationships/hyperlink" Target="https://www.funcionpublica.gov.co/eva/gestornormativo/norma.php?i=62866" TargetMode="External"/><Relationship Id="rId15" Type="http://schemas.openxmlformats.org/officeDocument/2006/relationships/hyperlink" Target="http://www.sdp.gov.co/transparencia/normatividad/actos-administrativos/resolucion-1134-de-2018-0" TargetMode="External"/><Relationship Id="rId23" Type="http://schemas.openxmlformats.org/officeDocument/2006/relationships/hyperlink" Target="https://www.alcaldiabogota.gov.co/sisjur/normas/Norma1.jsp?i=25933" TargetMode="External"/><Relationship Id="rId28" Type="http://schemas.openxmlformats.org/officeDocument/2006/relationships/hyperlink" Target="https://www.unipamplona.edu.co/unipamplona/portalIG/home_11/recursos/general/documentos/27102009/regla_prese_20081.pdf" TargetMode="External"/><Relationship Id="rId36" Type="http://schemas.openxmlformats.org/officeDocument/2006/relationships/hyperlink" Target="https://www.alcaldiabogota.gov.co/sisjur/normas/Norma1.jsp?i=30505&amp;dt=S" TargetMode="External"/><Relationship Id="rId49" Type="http://schemas.openxmlformats.org/officeDocument/2006/relationships/hyperlink" Target="https://www.alcaldiabogota.gov.co/sisjur/normas/Norma1.jsp?i=62152"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funcionpublica.gov.co/eva/gestornormativo/norma.php?i=73593" TargetMode="External"/><Relationship Id="rId7" Type="http://schemas.openxmlformats.org/officeDocument/2006/relationships/comments" Target="../comments22.xml"/><Relationship Id="rId2" Type="http://schemas.openxmlformats.org/officeDocument/2006/relationships/hyperlink" Target="http://gobiernodigital.mintic.gov.co/" TargetMode="External"/><Relationship Id="rId1" Type="http://schemas.openxmlformats.org/officeDocument/2006/relationships/hyperlink" Target="https://secretariageneral.gov.co/" TargetMode="External"/><Relationship Id="rId6" Type="http://schemas.openxmlformats.org/officeDocument/2006/relationships/vmlDrawing" Target="../drawings/vmlDrawing22.vml"/><Relationship Id="rId5" Type="http://schemas.openxmlformats.org/officeDocument/2006/relationships/drawing" Target="../drawings/drawing23.xml"/><Relationship Id="rId4" Type="http://schemas.openxmlformats.org/officeDocument/2006/relationships/hyperlink" Target="https://www.alcaldiabogota.gov.co/sisjur/normas/Norma1.jsp?i=88588&amp;dt=S"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idrd.gov.co/sites/default/files/marco-legal/141_resolucion_por_la_cual_se_suspenden_terminos.pdf" TargetMode="External"/><Relationship Id="rId21" Type="http://schemas.openxmlformats.org/officeDocument/2006/relationships/hyperlink" Target="https://www.idrd.gov.co/sites/default/files/marco-legal/139_resolucion_ciclovia_rda_2_1.pdf" TargetMode="External"/><Relationship Id="rId42" Type="http://schemas.openxmlformats.org/officeDocument/2006/relationships/hyperlink" Target="https://www.funcionpublica.gov.co/eva/gestornormativo/norma.php?i=125920" TargetMode="External"/><Relationship Id="rId47" Type="http://schemas.openxmlformats.org/officeDocument/2006/relationships/hyperlink" Target="https://drive.google.com/file/d/1IVfrq-JKESTAcH2z7G0ejzZ8XZ341XFA/view" TargetMode="External"/><Relationship Id="rId63" Type="http://schemas.openxmlformats.org/officeDocument/2006/relationships/hyperlink" Target="https://drive.google.com/file/d/1CFP39ZhUgHPIXpmTaMaXtVbePZ1dffKQ/view" TargetMode="External"/><Relationship Id="rId68" Type="http://schemas.openxmlformats.org/officeDocument/2006/relationships/hyperlink" Target="https://bogota.gov.co/sites/default/files/inline-files/decreto-039-de-2021.pdf" TargetMode="External"/><Relationship Id="rId84" Type="http://schemas.openxmlformats.org/officeDocument/2006/relationships/hyperlink" Target="https://bogota.gov.co/sites/default/files/inline-files/decreto-137-de-2021.pdf" TargetMode="External"/><Relationship Id="rId89" Type="http://schemas.openxmlformats.org/officeDocument/2006/relationships/hyperlink" Target="https://serviciocivil.gov.co/transparencia/marco-legal/lineamientos/003-0" TargetMode="External"/><Relationship Id="rId16" Type="http://schemas.openxmlformats.org/officeDocument/2006/relationships/hyperlink" Target="https://drive.google.com/file/d/1GNeBsNiMIhrfb8TqpTHRMyEYZmzkXhNU/view" TargetMode="External"/><Relationship Id="rId11" Type="http://schemas.openxmlformats.org/officeDocument/2006/relationships/hyperlink" Target="https://www.alcaldiabogota.gov.co/sisjur/normas/Norma1.jsp?i=91310" TargetMode="External"/><Relationship Id="rId32" Type="http://schemas.openxmlformats.org/officeDocument/2006/relationships/hyperlink" Target="https://bogota.gov.co/sites/default/files/inline-files/resolucion-195-de-2020-idipron.pdf" TargetMode="External"/><Relationship Id="rId37" Type="http://schemas.openxmlformats.org/officeDocument/2006/relationships/hyperlink" Target="https://drive.google.com/file/d/1ClQ7_KmGO-XE19LoqWikXO7vauErVfcn/view" TargetMode="External"/><Relationship Id="rId53" Type="http://schemas.openxmlformats.org/officeDocument/2006/relationships/hyperlink" Target="https://drive.google.com/file/d/1eVd0bb_xtzAGQUuG4vR8IuXTM84OkgyT/view" TargetMode="External"/><Relationship Id="rId58" Type="http://schemas.openxmlformats.org/officeDocument/2006/relationships/hyperlink" Target="https://drive.google.com/file/d/1qL20E3mQ0ScfNZliYA7QNXbDNtkNI16l/view" TargetMode="External"/><Relationship Id="rId74" Type="http://schemas.openxmlformats.org/officeDocument/2006/relationships/hyperlink" Target="http://www.saludcapital.gov.co/Covid_legal/Decreto_10_de_2021.pdf" TargetMode="External"/><Relationship Id="rId79" Type="http://schemas.openxmlformats.org/officeDocument/2006/relationships/hyperlink" Target="https://bogota.gov.co/sites/default/files/inline-files/208-por-la-cual-se-establecen-medidas-de-mitigacion-comunitaria-y-poblacional-en-la-ciudad-acorde-evidencia-internacional.pdf" TargetMode="External"/><Relationship Id="rId5" Type="http://schemas.openxmlformats.org/officeDocument/2006/relationships/hyperlink" Target="https://bogota.gov.co/sites/default/files/inline-files/resolucion.pdf.pdf.pdf" TargetMode="External"/><Relationship Id="rId90" Type="http://schemas.openxmlformats.org/officeDocument/2006/relationships/drawing" Target="../drawings/drawing24.xml"/><Relationship Id="rId14" Type="http://schemas.openxmlformats.org/officeDocument/2006/relationships/hyperlink" Target="https://bogota.gov.co/sites/default/files/inline-files/res-076-1.pdf" TargetMode="External"/><Relationship Id="rId22" Type="http://schemas.openxmlformats.org/officeDocument/2006/relationships/hyperlink" Target="https://www.idrd.gov.co/sites/default/files/marco-legal/140_suspension_terminos_final_3.pdf" TargetMode="External"/><Relationship Id="rId27" Type="http://schemas.openxmlformats.org/officeDocument/2006/relationships/hyperlink" Target="https://bogota.gov.co/sites/default/files/inline-files/resolucion-no.-116-de-2020-por-la-cual-se-suspenden-los-terminos-procesales-en-todas-las-actuaciones-disciplinarias-de-la-emb.pdf" TargetMode="External"/><Relationship Id="rId30" Type="http://schemas.openxmlformats.org/officeDocument/2006/relationships/hyperlink" Target="https://drive.google.com/file/d/1yv1v48PjYCOH6-DJlkhweEaMPj_uGFo0/view" TargetMode="External"/><Relationship Id="rId35" Type="http://schemas.openxmlformats.org/officeDocument/2006/relationships/hyperlink" Target="https://www.alcaldiabogota.gov.co/sisjur/normas/Norma1.jsp?i=91915" TargetMode="External"/><Relationship Id="rId43" Type="http://schemas.openxmlformats.org/officeDocument/2006/relationships/hyperlink" Target="https://drive.google.com/file/d/1kMz45mkNobyAQNXebUVDRRPsZ8OSXJ9F/view" TargetMode="External"/><Relationship Id="rId48" Type="http://schemas.openxmlformats.org/officeDocument/2006/relationships/hyperlink" Target="https://drive.google.com/file/d/1FcKCavVsbM5ULwqWgSKTGUzcsmd45FYm/view" TargetMode="External"/><Relationship Id="rId56" Type="http://schemas.openxmlformats.org/officeDocument/2006/relationships/hyperlink" Target="https://drive.google.com/file/d/1aXUJPTvSsnzirK_rTbpStcSp9T4QfITj/view" TargetMode="External"/><Relationship Id="rId64" Type="http://schemas.openxmlformats.org/officeDocument/2006/relationships/hyperlink" Target="https://drive.google.com/file/d/1wiqT1CncvgeMpEXydleHK1fA-BqI28A0/view" TargetMode="External"/><Relationship Id="rId69" Type="http://schemas.openxmlformats.org/officeDocument/2006/relationships/hyperlink" Target="https://bogota.gov.co/sites/default/files/inline-files/208-por-la-cual-se-establecen-medidas-de-mitigacion-comunitaria-y-poblacional-en-la-ciudad-acorde-evidencia-internacional.pdf" TargetMode="External"/><Relationship Id="rId77" Type="http://schemas.openxmlformats.org/officeDocument/2006/relationships/hyperlink" Target="https://bogota.gov.co/mi-ciudad/gobierno/decreto-135-de-abril-de-2021-nueva-cuarentena-y-pico-y-cedula" TargetMode="External"/><Relationship Id="rId8" Type="http://schemas.openxmlformats.org/officeDocument/2006/relationships/hyperlink" Target="https://bogota.gov.co/sites/default/files/inline-files/circular_009_2020.pdf" TargetMode="External"/><Relationship Id="rId51" Type="http://schemas.openxmlformats.org/officeDocument/2006/relationships/hyperlink" Target="https://drive.google.com/file/d/1M6jnWZdnF_QNs5k4-IEkHUpC0VnIRew6/view" TargetMode="External"/><Relationship Id="rId72" Type="http://schemas.openxmlformats.org/officeDocument/2006/relationships/hyperlink" Target="https://bogota.gov.co/sites/default/files/inline-files/decreto-61-de-2021-prorroga-aislamiento_0.pdf" TargetMode="External"/><Relationship Id="rId80" Type="http://schemas.openxmlformats.org/officeDocument/2006/relationships/hyperlink" Target="https://bogota.gov.co/sites/default/files/inline-files/decreto-039-de-2021.pdf" TargetMode="External"/><Relationship Id="rId85" Type="http://schemas.openxmlformats.org/officeDocument/2006/relationships/hyperlink" Target="http://www.sdp.gov.co/transparencia/marco-legal/normatividad/decreto-190-de-2004" TargetMode="External"/><Relationship Id="rId3" Type="http://schemas.openxmlformats.org/officeDocument/2006/relationships/hyperlink" Target="https://drive.google.com/file/d/1sE3Mz-RqGetJemSKuBRYVXWcMPMtJSXc/view" TargetMode="External"/><Relationship Id="rId12" Type="http://schemas.openxmlformats.org/officeDocument/2006/relationships/hyperlink" Target="http://www.gobiernobogota.gov.co/sites/gobiernobogota.gov.co/files/imagenes/resolucion_0397_marzo_16_de_2020.pdf" TargetMode="External"/><Relationship Id="rId17" Type="http://schemas.openxmlformats.org/officeDocument/2006/relationships/hyperlink" Target="https://bogota.gov.co/sites/default/files/inline-files/resolucion-0769-de-17-de-marzo-de-2020-suspende-terminos-procesales-sda.pdf.pdf" TargetMode="External"/><Relationship Id="rId25" Type="http://schemas.openxmlformats.org/officeDocument/2006/relationships/hyperlink" Target="https://drive.google.com/file/d/1jeAz6tGBw7DiYE7rSybIwRgVgdIzh-d0/view" TargetMode="External"/><Relationship Id="rId33" Type="http://schemas.openxmlformats.org/officeDocument/2006/relationships/hyperlink" Target="https://bogota.gov.co/sites/default/files/inline-files/20200403-circular-010-de-2020-sed-vf.pdf" TargetMode="External"/><Relationship Id="rId38" Type="http://schemas.openxmlformats.org/officeDocument/2006/relationships/hyperlink" Target="https://drive.google.com/file/d/1haBQh7_1Jfmp0-lhrxktHKhNVQdPDddX/view" TargetMode="External"/><Relationship Id="rId46" Type="http://schemas.openxmlformats.org/officeDocument/2006/relationships/hyperlink" Target="https://drive.google.com/file/d/1w4La_d7Ny7SoNnL_ZOi62dmq1xJD1Kh4/view" TargetMode="External"/><Relationship Id="rId59" Type="http://schemas.openxmlformats.org/officeDocument/2006/relationships/hyperlink" Target="https://drive.google.com/file/d/1ybA_t3_JzxsnOCf0C4lCswgWron8kRX4/view" TargetMode="External"/><Relationship Id="rId67" Type="http://schemas.openxmlformats.org/officeDocument/2006/relationships/hyperlink" Target="https://drive.google.com/file/d/1mZ0DqpzyZoebxI1aBGu_tTaMdEhLzh72/view" TargetMode="External"/><Relationship Id="rId20" Type="http://schemas.openxmlformats.org/officeDocument/2006/relationships/hyperlink" Target="https://www.alcaldiabogota.gov.co/sisjur/normas/Norma1.jsp?i=91381" TargetMode="External"/><Relationship Id="rId41" Type="http://schemas.openxmlformats.org/officeDocument/2006/relationships/hyperlink" Target="https://bogota.gov.co/sites/default/files/inline-files/decreto-128-de-2020-pdf.pdf" TargetMode="External"/><Relationship Id="rId54" Type="http://schemas.openxmlformats.org/officeDocument/2006/relationships/hyperlink" Target="https://drive.google.com/file/d/1n7VIabV43WD1EN9lIBt9q0GiCY9vn_pS/view" TargetMode="External"/><Relationship Id="rId62" Type="http://schemas.openxmlformats.org/officeDocument/2006/relationships/hyperlink" Target="https://drive.google.com/file/d/1zeUhPq3E_DEG7lVjCV050Z17-tl48tEe/view" TargetMode="External"/><Relationship Id="rId70" Type="http://schemas.openxmlformats.org/officeDocument/2006/relationships/hyperlink" Target="https://drive.google.com/drive/u/1/folders/11sM4_e1PXqqe3QtvKnfQpj69vB95Sx2e" TargetMode="External"/><Relationship Id="rId75" Type="http://schemas.openxmlformats.org/officeDocument/2006/relationships/hyperlink" Target="https://bogota.gov.co/sites/default/files/inline-files/decreto-018-de-2021.pdf" TargetMode="External"/><Relationship Id="rId83" Type="http://schemas.openxmlformats.org/officeDocument/2006/relationships/hyperlink" Target="https://bogota.gov.co/sites/default/files/inline-files/decreto-148-de-2021-comprimido.pdf" TargetMode="External"/><Relationship Id="rId88" Type="http://schemas.openxmlformats.org/officeDocument/2006/relationships/hyperlink" Target="https://bogota.gov.co/mi-ciudad/gestion-juridica/bogota-el-uso-de-tapabocas-no-sera-obligatorio-en-espacios-abiertos" TargetMode="External"/><Relationship Id="rId91" Type="http://schemas.openxmlformats.org/officeDocument/2006/relationships/vmlDrawing" Target="../drawings/vmlDrawing23.vml"/><Relationship Id="rId1" Type="http://schemas.openxmlformats.org/officeDocument/2006/relationships/hyperlink" Target="https://www.alcaldiabogota.gov.co/sisjur/normas/Norma1.jsp?i=91163" TargetMode="External"/><Relationship Id="rId6" Type="http://schemas.openxmlformats.org/officeDocument/2006/relationships/hyperlink" Target="http://www.participacionbogota.gov.co/sites/default/files/2020-03/RESOLUCION%20102%20SUSPENCION%20DE%20ELECCIONES%20JAC.pdf" TargetMode="External"/><Relationship Id="rId15" Type="http://schemas.openxmlformats.org/officeDocument/2006/relationships/hyperlink" Target="https://www.alcaldiabogota.gov.co/sisjur/normas/Norma1.jsp?i=91350" TargetMode="External"/><Relationship Id="rId23" Type="http://schemas.openxmlformats.org/officeDocument/2006/relationships/hyperlink" Target="https://drive.google.com/file/d/1sLHC9lXSesQGSN3I1lRSnYjSGhoaXxW8/view" TargetMode="External"/><Relationship Id="rId28" Type="http://schemas.openxmlformats.org/officeDocument/2006/relationships/hyperlink" Target="https://drive.google.com/file/d/17vrpIFSHHJV7rvAL9VlGDrdwLsbjC_3s/view?usp=sharing" TargetMode="External"/><Relationship Id="rId36" Type="http://schemas.openxmlformats.org/officeDocument/2006/relationships/hyperlink" Target="https://www.idrd.gov.co/sites/default/files/marco-legal/145_del_13_de_abril_del_2020_por_la_cual_se_prorroga_los_efectos_de_resolucion_141_de_2020.pdf" TargetMode="External"/><Relationship Id="rId49" Type="http://schemas.openxmlformats.org/officeDocument/2006/relationships/hyperlink" Target="https://drive.google.com/file/d/1hv-tu2A6kVqhZHLcf1uX_5jlP4efemW4/view" TargetMode="External"/><Relationship Id="rId57" Type="http://schemas.openxmlformats.org/officeDocument/2006/relationships/hyperlink" Target="https://drive.google.com/file/d/1WNcOyijU2ypdrot01Er12ONQ33DRN9K4/view" TargetMode="External"/><Relationship Id="rId10" Type="http://schemas.openxmlformats.org/officeDocument/2006/relationships/hyperlink" Target="https://bogota.gov.co/sites/default/files/inline-files/circular-005-del-15-de-marzo-de-2020.pdf" TargetMode="External"/><Relationship Id="rId31" Type="http://schemas.openxmlformats.org/officeDocument/2006/relationships/hyperlink" Target="https://bogota.gov.co/sites/default/files/inline-files/resoluion-suspension-terminos-disciplinarios.pdf" TargetMode="External"/><Relationship Id="rId44" Type="http://schemas.openxmlformats.org/officeDocument/2006/relationships/hyperlink" Target="https://drive.google.com/file/d/1NDNx8FnInKizDM5ePKm6yGm-hBx-y2UF/view" TargetMode="External"/><Relationship Id="rId52" Type="http://schemas.openxmlformats.org/officeDocument/2006/relationships/hyperlink" Target="https://drive.google.com/file/d/1sNCss_MOU9O6GWKR732MZOCKvQGeChRk/view" TargetMode="External"/><Relationship Id="rId60" Type="http://schemas.openxmlformats.org/officeDocument/2006/relationships/hyperlink" Target="https://drive.google.com/file/d/1vognVMGCP0E2e5Ksn6CHPMMLyjioyjQZ/view" TargetMode="External"/><Relationship Id="rId65" Type="http://schemas.openxmlformats.org/officeDocument/2006/relationships/hyperlink" Target="https://drive.google.com/file/d/1WEzkhiexPm9w35X5O7QpW5f5-s0plwpE/view" TargetMode="External"/><Relationship Id="rId73" Type="http://schemas.openxmlformats.org/officeDocument/2006/relationships/hyperlink" Target="https://bogota.gov.co/sites/default/files/inline-files/decreto-007-de-2021-version-pdf.pdf" TargetMode="External"/><Relationship Id="rId78" Type="http://schemas.openxmlformats.org/officeDocument/2006/relationships/hyperlink" Target="https://bogota.gov.co/sites/default/files/inline-files/decreto-144-de-2021.pdf" TargetMode="External"/><Relationship Id="rId81" Type="http://schemas.openxmlformats.org/officeDocument/2006/relationships/hyperlink" Target="https://bogota.gov.co/mi-ciudad/gestion-juridica/decreto-055-nuevas-medidas-de-seguridad-salubridad-y-orden-publico" TargetMode="External"/><Relationship Id="rId86" Type="http://schemas.openxmlformats.org/officeDocument/2006/relationships/hyperlink" Target="https://bogota.gov.co/sites/default/files/inline-files/decreto-277-de-2021_0.pdf" TargetMode="External"/><Relationship Id="rId4" Type="http://schemas.openxmlformats.org/officeDocument/2006/relationships/hyperlink" Target="https://bogota.gov.co/sites/default/files/inline-files/decreto-084-flexibilizacion-del-horario-opra-servidores-publicos.pdf.pdf.pdf" TargetMode="External"/><Relationship Id="rId9" Type="http://schemas.openxmlformats.org/officeDocument/2006/relationships/hyperlink" Target="https://bogota.gov.co/sites/default/files/inline-files/circular0052020.pdf" TargetMode="External"/><Relationship Id="rId13" Type="http://schemas.openxmlformats.org/officeDocument/2006/relationships/hyperlink" Target="https://bogota.gov.co/sites/default/files/inline-files/resolucion-no.187-2020.pdf" TargetMode="External"/><Relationship Id="rId18" Type="http://schemas.openxmlformats.org/officeDocument/2006/relationships/hyperlink" Target="https://bogota.gov.co/sites/default/files/inline-files/circular-030-de-2020.pdf" TargetMode="External"/><Relationship Id="rId39" Type="http://schemas.openxmlformats.org/officeDocument/2006/relationships/hyperlink" Target="https://drive.google.com/file/d/1-Sx9c1HFZ0pI1JpEawV65xYingSTQwz9/view" TargetMode="External"/><Relationship Id="rId34" Type="http://schemas.openxmlformats.org/officeDocument/2006/relationships/hyperlink" Target="https://www.idrd.gov.co/sites/default/files/marco-legal/20201100054873_resolucion_200_idrd.pdf" TargetMode="External"/><Relationship Id="rId50" Type="http://schemas.openxmlformats.org/officeDocument/2006/relationships/hyperlink" Target="https://drive.google.com/file/d/1VOWDuGUWTvaAuRcfy7uM9djUWL-PmCRy/view" TargetMode="External"/><Relationship Id="rId55" Type="http://schemas.openxmlformats.org/officeDocument/2006/relationships/hyperlink" Target="https://drive.google.com/file/d/1zXKL7HcP2RHcvSpiuchJ_u-anfJoiDeE/view" TargetMode="External"/><Relationship Id="rId76" Type="http://schemas.openxmlformats.org/officeDocument/2006/relationships/hyperlink" Target="https://bogota.gov.co/mi-ciudad/gestion-juridica/decreto-21-de-2021-aislamiento-selectivo-y-distanciamiento-individual" TargetMode="External"/><Relationship Id="rId7" Type="http://schemas.openxmlformats.org/officeDocument/2006/relationships/hyperlink" Target="http://ogota.gov.co/sites/default/files/inline-files/circular-conjunta-005_visitas-carcel-distrital.pdf" TargetMode="External"/><Relationship Id="rId71" Type="http://schemas.openxmlformats.org/officeDocument/2006/relationships/hyperlink" Target="https://bogota.gov.co/mi-ciudad/gestion-juridica/decreto-055-nuevas-medidas-de-seguridad-salubridad-y-orden-publico" TargetMode="External"/><Relationship Id="rId92" Type="http://schemas.openxmlformats.org/officeDocument/2006/relationships/comments" Target="../comments23.xml"/><Relationship Id="rId2" Type="http://schemas.openxmlformats.org/officeDocument/2006/relationships/hyperlink" Target="https://bogota.gov.co/sites/default/files/inline-files/circular0022020.pdf" TargetMode="External"/><Relationship Id="rId29" Type="http://schemas.openxmlformats.org/officeDocument/2006/relationships/hyperlink" Target="https://www.alcaldiabogota.gov.co/sisjur/normas/Norma1.jsp?i=91475" TargetMode="External"/><Relationship Id="rId24" Type="http://schemas.openxmlformats.org/officeDocument/2006/relationships/hyperlink" Target="https://www.alcaldiabogota.gov.co/sisjur/normas/Norma1.jsp?i=91507" TargetMode="External"/><Relationship Id="rId40" Type="http://schemas.openxmlformats.org/officeDocument/2006/relationships/hyperlink" Target="http://sisjur.bogotajuridica.gov.co/sisjur/normas/Norma1.jsp?i=93245" TargetMode="External"/><Relationship Id="rId45" Type="http://schemas.openxmlformats.org/officeDocument/2006/relationships/hyperlink" Target="https://drive.google.com/file/d/1INK-UI0ee3uHFX2FXb2_Tejmbd1aUgLS/view" TargetMode="External"/><Relationship Id="rId66" Type="http://schemas.openxmlformats.org/officeDocument/2006/relationships/hyperlink" Target="https://drive.google.com/file/d/1MYx1Eo5uKkd17wO4-PtVRKveKH8T0iqj/view" TargetMode="External"/><Relationship Id="rId87" Type="http://schemas.openxmlformats.org/officeDocument/2006/relationships/hyperlink" Target="https://www.alcaldiabogota.gov.co/sisjur/normas/Norma1.jsp?i=118377" TargetMode="External"/><Relationship Id="rId61" Type="http://schemas.openxmlformats.org/officeDocument/2006/relationships/hyperlink" Target="https://drive.google.com/file/d/1hqGN1jjZeQMEnBBoAFrJQIJkDh47Beq9/view" TargetMode="External"/><Relationship Id="rId82" Type="http://schemas.openxmlformats.org/officeDocument/2006/relationships/hyperlink" Target="https://bogota.gov.co/mi-ciudad/gestion-juridica/decreto-061-de-2021" TargetMode="External"/><Relationship Id="rId19" Type="http://schemas.openxmlformats.org/officeDocument/2006/relationships/hyperlink" Target="https://bogota.gov.co/sites/default/files/inline-files/circular-06-de-2020-17032020-4-05-pm.pdf"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bogota.gov.co/sites/default/files/inline-files/decreto-208-de-2020-pico-y-placa-en-bogota.pdf" TargetMode="External"/><Relationship Id="rId21" Type="http://schemas.openxmlformats.org/officeDocument/2006/relationships/hyperlink" Target="https://dapre.presidencia.gov.co/normativa/normativa/DECRETO%20531%20DEL%208%20DE%20ABRIL%20DE%202020.pdf" TargetMode="External"/><Relationship Id="rId42" Type="http://schemas.openxmlformats.org/officeDocument/2006/relationships/hyperlink" Target="https://secretariageneral.gov.co/sites/default/files/archivos-adjuntos/decreto_131_de_2020_para_publicar_pdf.pdf" TargetMode="External"/><Relationship Id="rId63" Type="http://schemas.openxmlformats.org/officeDocument/2006/relationships/hyperlink" Target="https://dapre.presidencia.gov.co/normativa/normativa/DECRETO%20990%20DEL%209%20DE%20JULIO%20DE%202020.pdf" TargetMode="External"/><Relationship Id="rId84" Type="http://schemas.openxmlformats.org/officeDocument/2006/relationships/hyperlink" Target="https://www.diariodeportes.com.co/pdfdiariodeportes/futbolcolombiafases4y5protocoloaprobados21082020.pdf" TargetMode="External"/><Relationship Id="rId138" Type="http://schemas.openxmlformats.org/officeDocument/2006/relationships/comments" Target="../comments24.xml"/><Relationship Id="rId16" Type="http://schemas.openxmlformats.org/officeDocument/2006/relationships/hyperlink" Target="https://www.alcaldiabogota.gov.co/sisjur/normas/Norma1.jsp?i=91475" TargetMode="External"/><Relationship Id="rId107" Type="http://schemas.openxmlformats.org/officeDocument/2006/relationships/hyperlink" Target="http://actosadministrativos.ramajudicial.gov.co/GetFile.ashx?url=%7e%2fApp_Data%2fUpload%2fPCSJA20-11632.pdf" TargetMode="External"/><Relationship Id="rId11" Type="http://schemas.openxmlformats.org/officeDocument/2006/relationships/hyperlink" Target="https://www.idrd.gov.co/sites/default/files/marco-legal/139_resolucion_ciclovia_rda_2_1.pdf" TargetMode="External"/><Relationship Id="rId32" Type="http://schemas.openxmlformats.org/officeDocument/2006/relationships/hyperlink" Target="https://www.ramajudicial.gov.co/web/consejo-superior-de-la-judicatura/-/consejo-superior-de-la-judicatura-prorroga-la-suspension-de-terminos-judiciales-y-amplia-las-excepciones" TargetMode="External"/><Relationship Id="rId37" Type="http://schemas.openxmlformats.org/officeDocument/2006/relationships/hyperlink" Target="https://bogota.gov.co/sites/default/files/inline-files/decreto-126-de-2020-version-pdf-final-7p.pdf" TargetMode="External"/><Relationship Id="rId53" Type="http://schemas.openxmlformats.org/officeDocument/2006/relationships/hyperlink" Target="https://www.mindeporte.gov.co/recursos_user/2020/Comunicaciones/Junio/RESOLUCION_632__DEL_17_DE_JUNIO_DE_2020.pdf" TargetMode="External"/><Relationship Id="rId58" Type="http://schemas.openxmlformats.org/officeDocument/2006/relationships/hyperlink" Target="https://www.supernotariado.gov.co/PortalSNR/ShowProperty?nodeId=%2FSNRContent%2FWLSWCCPORTAL01176496%2F%2FidcPrimaryFile&amp;revision=latestreleased" TargetMode="External"/><Relationship Id="rId74" Type="http://schemas.openxmlformats.org/officeDocument/2006/relationships/hyperlink" Target="https://cdn.forbes.co/2020/08/1313-Adopta-Protocolo-de-Bioseguridad-control-riesgo-Coronavirud-Centros-de-Entrenamiento-y-acondicionameinto-Fisico.pdf" TargetMode="External"/><Relationship Id="rId79" Type="http://schemas.openxmlformats.org/officeDocument/2006/relationships/hyperlink" Target="https://secretariageneral.gov.co/sites/default/files/archivos-adjuntos/decreto_186_de_2020_pdf.pdf" TargetMode="External"/><Relationship Id="rId102" Type="http://schemas.openxmlformats.org/officeDocument/2006/relationships/hyperlink" Target="https://drive.google.com/drive/folders/1NdHZmcGvU6Gpunn9NzpZCJYOwjAI7fGS" TargetMode="External"/><Relationship Id="rId123" Type="http://schemas.openxmlformats.org/officeDocument/2006/relationships/hyperlink" Target="https://actosadministrativos.ramajudicial.gov.co/GetFile.ashx?url=%7e%2fApp_Data%2fUpload%2fPCSJA20-11632.pdf" TargetMode="External"/><Relationship Id="rId128" Type="http://schemas.openxmlformats.org/officeDocument/2006/relationships/hyperlink" Target="https://drive.google.com/drive/folders/1NdHZmcGvU6Gpunn9NzpZCJYOwjAI7fGS" TargetMode="External"/><Relationship Id="rId5" Type="http://schemas.openxmlformats.org/officeDocument/2006/relationships/hyperlink" Target="https://bogota.gov.co/sites/default/files/inline-files/resolucion.pdf.pdf.pdf" TargetMode="External"/><Relationship Id="rId90" Type="http://schemas.openxmlformats.org/officeDocument/2006/relationships/hyperlink" Target="https://dapre.presidencia.gov.co/normativa/normativa/LEY%202052%20DEL%2025%20DE%20AGOSTO%20DE%202020.pdf" TargetMode="External"/><Relationship Id="rId95" Type="http://schemas.openxmlformats.org/officeDocument/2006/relationships/hyperlink" Target="http://sisjur.bogotajuridica.gov.co/sisjur/normas/Norma1.jsp?i=96250" TargetMode="External"/><Relationship Id="rId22" Type="http://schemas.openxmlformats.org/officeDocument/2006/relationships/hyperlink" Target="https://intranet.idrd.gov.co/wp-content/uploads/2020/04/200408_Decreto-106-ampliacio%CC%81n-aislamiento.pdf.pdf" TargetMode="External"/><Relationship Id="rId27" Type="http://schemas.openxmlformats.org/officeDocument/2006/relationships/hyperlink" Target="https://dapre.presidencia.gov.co/normativa/normativa/DECRETO%20568%20DEL%2015%20DE%20ABRIL%20DE%202020.pdf" TargetMode="External"/><Relationship Id="rId43" Type="http://schemas.openxmlformats.org/officeDocument/2006/relationships/hyperlink" Target="https://secretariageneral.gov.co/sites/default/files/archivos-adjuntos/decreto_132_de_2020_final_31052020_pdf.pdf" TargetMode="External"/><Relationship Id="rId48" Type="http://schemas.openxmlformats.org/officeDocument/2006/relationships/hyperlink" Target="http://concejodebogota.gov.co/cbogota/site/artic/20200613/asocfile/20200613074940/edicion_642_acuerdo_761_de_junio_de_2020.pdf" TargetMode="External"/><Relationship Id="rId64" Type="http://schemas.openxmlformats.org/officeDocument/2006/relationships/hyperlink" Target="https://www.alcaldiabogota.gov.co/sisjur/normas/Norma1.jsp?i=94601" TargetMode="External"/><Relationship Id="rId69" Type="http://schemas.openxmlformats.org/officeDocument/2006/relationships/hyperlink" Target="https://dapre.presidencia.gov.co/normativa/normativa/LEY%202040%20DEL%2027%20DE%20JULIO%20DE%202020.pdf" TargetMode="External"/><Relationship Id="rId113" Type="http://schemas.openxmlformats.org/officeDocument/2006/relationships/hyperlink" Target="https://www.funcionpublica.gov.co/eva/gestornormativo/norma.php?i=142058" TargetMode="External"/><Relationship Id="rId118" Type="http://schemas.openxmlformats.org/officeDocument/2006/relationships/hyperlink" Target="https://drive.google.com/drive/u/0/folders/1NdHZmcGvU6Gpunn9NzpZCJYOwjAI7fGS" TargetMode="External"/><Relationship Id="rId134" Type="http://schemas.openxmlformats.org/officeDocument/2006/relationships/hyperlink" Target="http://actosadministrativos.ramajudicial.gov.co/GetFile.ashx?url=%7e%2fApp_Data%2fUpload%2fPCSJA20-11632.pdf" TargetMode="External"/><Relationship Id="rId80" Type="http://schemas.openxmlformats.org/officeDocument/2006/relationships/hyperlink" Target="http://sisjur.bogotajuridica.gov.co/sisjur/normas/Norma1.jsp?i=96063" TargetMode="External"/><Relationship Id="rId85" Type="http://schemas.openxmlformats.org/officeDocument/2006/relationships/hyperlink" Target="http://sisjur.bogotajuridica.gov.co/sisjur/normas/Norma1.jsp?i=96069" TargetMode="External"/><Relationship Id="rId12" Type="http://schemas.openxmlformats.org/officeDocument/2006/relationships/hyperlink" Target="https://www.idrd.gov.co/sites/default/files/marco-legal/140_suspension_terminos_final_3.pdf" TargetMode="External"/><Relationship Id="rId17" Type="http://schemas.openxmlformats.org/officeDocument/2006/relationships/hyperlink" Target="https://dapre.presidencia.gov.co/normativa/normativa/DECRETO%20475%20DEL%2025%20DE%20MARZO%20DE%202020.pdf" TargetMode="External"/><Relationship Id="rId33" Type="http://schemas.openxmlformats.org/officeDocument/2006/relationships/hyperlink" Target="https://www.supernotariado.gov.co/PortalSNR/ShowProperty?nodeId=%2FSNRContent%2FWLSWCCPORTAL01175504%2F%2FidcPrimaryFile&amp;revision=latestreleased" TargetMode="External"/><Relationship Id="rId38" Type="http://schemas.openxmlformats.org/officeDocument/2006/relationships/hyperlink" Target="https://www.idrd.gov.co/sites/default/files/marco-legal/166_reinicio_de_obra.pdf" TargetMode="External"/><Relationship Id="rId59" Type="http://schemas.openxmlformats.org/officeDocument/2006/relationships/hyperlink" Target="https://bogota.gov.co/sites/default/files/inline-files/decreto-155-de-2020-pdf.pdf" TargetMode="External"/><Relationship Id="rId103" Type="http://schemas.openxmlformats.org/officeDocument/2006/relationships/hyperlink" Target="https://secretariageneral.gov.co/sites/default/files/archivos-adjuntos/decreto_207_de_2020.pdf" TargetMode="External"/><Relationship Id="rId108" Type="http://schemas.openxmlformats.org/officeDocument/2006/relationships/hyperlink" Target="https://www.idrd.gov.co/sites/default/files/marco-legal/167_-_resolucion_protocolos_bioseguridad_2.pdf" TargetMode="External"/><Relationship Id="rId124" Type="http://schemas.openxmlformats.org/officeDocument/2006/relationships/hyperlink" Target="http://actosadministrativos.ramajudicial.gov.co/GetFile.ashx?url=%7e%2fApp_Data%2fUpload%2fPCSJA20-11632.pdf" TargetMode="External"/><Relationship Id="rId129" Type="http://schemas.openxmlformats.org/officeDocument/2006/relationships/hyperlink" Target="https://drive.google.com/drive/folders/1NdHZmcGvU6Gpunn9NzpZCJYOwjAI7fGS" TargetMode="External"/><Relationship Id="rId54" Type="http://schemas.openxmlformats.org/officeDocument/2006/relationships/hyperlink" Target="https://www.mindeporte.gov.co/recursos_user/2020/Comunicaciones/Junio/RESOLUCION_633_DEL_17_DE_JUNIO_DE_2020.pdf" TargetMode="External"/><Relationship Id="rId70" Type="http://schemas.openxmlformats.org/officeDocument/2006/relationships/hyperlink" Target="http://sisjur.bogotajuridica.gov.co/sisjur/normas/Norma1.jsp?i=95930" TargetMode="External"/><Relationship Id="rId75" Type="http://schemas.openxmlformats.org/officeDocument/2006/relationships/hyperlink" Target="http://sisjur.bogotajuridica.gov.co/sisjur/normas/Norma1.jsp?i=95052" TargetMode="External"/><Relationship Id="rId91" Type="http://schemas.openxmlformats.org/officeDocument/2006/relationships/hyperlink" Target="https://caracol.com.co/descargables/2020/08/26/a1357e5d452735282432cbec863ce2d8.pdf" TargetMode="External"/><Relationship Id="rId96" Type="http://schemas.openxmlformats.org/officeDocument/2006/relationships/hyperlink" Target="http://sisjur.bogotajuridica.gov.co/sisjur/normas/Norma1.jsp?i=96311" TargetMode="External"/><Relationship Id="rId1" Type="http://schemas.openxmlformats.org/officeDocument/2006/relationships/hyperlink" Target="http://www.regiones.gov.co/Inicio/assets/files/16.pdf" TargetMode="External"/><Relationship Id="rId6" Type="http://schemas.openxmlformats.org/officeDocument/2006/relationships/hyperlink" Target="https://dapre.presidencia.gov.co/normativa/normativa/DECRETO%20407%20DEL%2016%20DE%20MARZO%20DE%202020.pdf" TargetMode="External"/><Relationship Id="rId23" Type="http://schemas.openxmlformats.org/officeDocument/2006/relationships/hyperlink" Target="http://www.suin-juriscol.gov.co/archivo/decretoscovid/DECRETO537DE2020.pdf" TargetMode="External"/><Relationship Id="rId28" Type="http://schemas.openxmlformats.org/officeDocument/2006/relationships/hyperlink" Target="https://dapre.presidencia.gov.co/normativa/normativa/DECRETO%20561%20DEL%2015%20DE%20ABRIL%20DE%202020.pdf" TargetMode="External"/><Relationship Id="rId49" Type="http://schemas.openxmlformats.org/officeDocument/2006/relationships/hyperlink" Target="https://dapre.presidencia.gov.co/normativa/normativa/DECRETO%20847%20DEL%2014%20DE%20JUNIO%20DE%202020.pdf" TargetMode="External"/><Relationship Id="rId114" Type="http://schemas.openxmlformats.org/officeDocument/2006/relationships/hyperlink" Target="https://drive.google.com/drive/folders/1NdHZmcGvU6Gpunn9NzpZCJYOwjAI7fGS" TargetMode="External"/><Relationship Id="rId119" Type="http://schemas.openxmlformats.org/officeDocument/2006/relationships/hyperlink" Target="https://dapre.presidencia.gov.co/normativa/normativa/DECRETO%201168%20DEL%2025%20DE%20AGOSTO%20DE%202020.pdf" TargetMode="External"/><Relationship Id="rId44" Type="http://schemas.openxmlformats.org/officeDocument/2006/relationships/hyperlink" Target="https://www.idrd.gov.co/sites/default/files/marco-legal/184_resolucion_que_adiciona_paragrafo_al_art._2_de_la_res._139_de_2020.pdf" TargetMode="External"/><Relationship Id="rId60" Type="http://schemas.openxmlformats.org/officeDocument/2006/relationships/hyperlink" Target="https://www.alcaldiabogota.gov.co/sisjur/normas/Norma1.jsp?i=94183" TargetMode="External"/><Relationship Id="rId65" Type="http://schemas.openxmlformats.org/officeDocument/2006/relationships/hyperlink" Target="https://secretariageneral.gov.co/sites/default/files/archivos-adjuntos/decreto-169-unificado-aislamiento-y-medidas-adicionales.pdf" TargetMode="External"/><Relationship Id="rId81" Type="http://schemas.openxmlformats.org/officeDocument/2006/relationships/hyperlink" Target="https://drive.google.com/drive/u/0/folders/1NdHZmcGvU6Gpunn9NzpZCJYOwjAI7fGS" TargetMode="External"/><Relationship Id="rId86" Type="http://schemas.openxmlformats.org/officeDocument/2006/relationships/hyperlink" Target="http://sisjur.bogotajuridica.gov.co/sisjur/normas/Norma1.jsp?i=96062" TargetMode="External"/><Relationship Id="rId130" Type="http://schemas.openxmlformats.org/officeDocument/2006/relationships/hyperlink" Target="https://secretariageneral.gov.co/sites/default/files/archivos-adjuntos/decreto_207_de_2020.pdf" TargetMode="External"/><Relationship Id="rId135" Type="http://schemas.openxmlformats.org/officeDocument/2006/relationships/hyperlink" Target="https://www.idrd.gov.co/sites/default/files/marco-legal/167_-_resolucion_protocolos_bioseguridad_2.pdf" TargetMode="External"/><Relationship Id="rId13" Type="http://schemas.openxmlformats.org/officeDocument/2006/relationships/hyperlink" Target="https://dapre.presidencia.gov.co/normativa/normativa/DECRETO%20440%20DEL%2020%20DE%20MARZO%20DE%202020.pdf" TargetMode="External"/><Relationship Id="rId18" Type="http://schemas.openxmlformats.org/officeDocument/2006/relationships/hyperlink" Target="https://dapre.presidencia.gov.co/normativa/normativa/Decreto-491-28-marzo-2020.pdf" TargetMode="External"/><Relationship Id="rId39" Type="http://schemas.openxmlformats.org/officeDocument/2006/relationships/hyperlink" Target="https://drive.google.com/drive/recent" TargetMode="External"/><Relationship Id="rId109" Type="http://schemas.openxmlformats.org/officeDocument/2006/relationships/hyperlink" Target="https://www.minsalud.gov.co/Normatividad_Nuevo/Resoluci%C3%B3n%20No.%201513%20de%202020.pdf" TargetMode="External"/><Relationship Id="rId34" Type="http://schemas.openxmlformats.org/officeDocument/2006/relationships/hyperlink" Target="https://www.supernotariado.gov.co/PortalSNR/ShowProperty?nodeId=%2FSNRContent%2FWLSWCCPORTAL01175521%2F%2FidcPrimaryFile&amp;revision=latestreleased" TargetMode="External"/><Relationship Id="rId50" Type="http://schemas.openxmlformats.org/officeDocument/2006/relationships/hyperlink" Target="https://www.alcaldiabogota.gov.co/sisjur/normas/Norma1.jsp?i=93802" TargetMode="External"/><Relationship Id="rId55" Type="http://schemas.openxmlformats.org/officeDocument/2006/relationships/hyperlink" Target="https://www.mindeporte.gov.co/recursos_user/2020/Comunicaciones/Junio/ViYa_Dep/RESOLUCION_000643_DEL_19_DE_JUNIO_DE_2020_%281%29.pdfhttps:/www.mindeporte.gov.co/recursos_user/2020/Comunicaciones/Junio/ViYa_Dep/RESOLUCION_000643_DEL_19_DE_JUNIO_DE_2020_%281%29.pdf" TargetMode="External"/><Relationship Id="rId76" Type="http://schemas.openxmlformats.org/officeDocument/2006/relationships/hyperlink" Target="http://actosadministrativos.ramajudicial.gov.co/GetFile.ashx?url=%7e%2fApp_Data%2fUpload%2fPCSJA20-11614.pdf" TargetMode="External"/><Relationship Id="rId97" Type="http://schemas.openxmlformats.org/officeDocument/2006/relationships/hyperlink" Target="http://actosadministrativos.ramajudicial.gov.co/GetFile.ashx?url=%7e%2fApp_Data%2fUpload%2fPCSJA20-11623.pdf" TargetMode="External"/><Relationship Id="rId104" Type="http://schemas.openxmlformats.org/officeDocument/2006/relationships/hyperlink" Target="https://drive.google.com/drive/u/0/folders/1NdHZmcGvU6Gpunn9NzpZCJYOwjAI7fGS" TargetMode="External"/><Relationship Id="rId120" Type="http://schemas.openxmlformats.org/officeDocument/2006/relationships/hyperlink" Target="https://drive.google.com/drive/folders/1NdHZmcGvU6Gpunn9NzpZCJYOwjAI7fGS" TargetMode="External"/><Relationship Id="rId125" Type="http://schemas.openxmlformats.org/officeDocument/2006/relationships/hyperlink" Target="https://www.idrd.gov.co/sites/default/files/marco-legal/167_-_resolucion_protocolos_bioseguridad_2.pdf" TargetMode="External"/><Relationship Id="rId7" Type="http://schemas.openxmlformats.org/officeDocument/2006/relationships/hyperlink" Target="https://www.alcaldiabogota.gov.co/sisjur/normas/Norma1.jsp?i=91350" TargetMode="External"/><Relationship Id="rId71" Type="http://schemas.openxmlformats.org/officeDocument/2006/relationships/hyperlink" Target="https://dapre.presidencia.gov.co/normativa/normativa/DECRETO%201076%20DEL%2028%20DE%20JULIO%20DE%202020.pdf" TargetMode="External"/><Relationship Id="rId92" Type="http://schemas.openxmlformats.org/officeDocument/2006/relationships/hyperlink" Target="https://www.alcaldiabogota.gov.co/sisjur/normas/Norma1.jsp?i=96106" TargetMode="External"/><Relationship Id="rId2" Type="http://schemas.openxmlformats.org/officeDocument/2006/relationships/hyperlink" Target="https://dapre.presidencia.gov.co/normativa/normativa/DIRECTIVA%20PRESIDENCIAL%20N%C2%B0%2002%20DEL%2012%20DE%20MARZO%20DE%202020.pdf" TargetMode="External"/><Relationship Id="rId29" Type="http://schemas.openxmlformats.org/officeDocument/2006/relationships/hyperlink" Target="https://dapre.presidencia.gov.co/normativa/normativa/DECRETO%20564%20DEL%2015%20DE%20ABRIL%20DE%202020.pdf" TargetMode="External"/><Relationship Id="rId24" Type="http://schemas.openxmlformats.org/officeDocument/2006/relationships/hyperlink" Target="https://dapre.presidencia.gov.co/normativa/normativa/DECRETO%20538%20DEL%2012%20DE%20ABRIL%20DE%202020.pdf" TargetMode="External"/><Relationship Id="rId40" Type="http://schemas.openxmlformats.org/officeDocument/2006/relationships/hyperlink" Target="https://drive.google.com/drive/my-drive" TargetMode="External"/><Relationship Id="rId45" Type="http://schemas.openxmlformats.org/officeDocument/2006/relationships/hyperlink" Target="https://dapre.presidencia.gov.co/normativa/normativa/DECRETO%20806%20DEL%204%20DE%20JUNIO%20DE%202020.pdf" TargetMode="External"/><Relationship Id="rId66" Type="http://schemas.openxmlformats.org/officeDocument/2006/relationships/hyperlink" Target="https://www.idrd.gov.co/sites/default/files/marco-legal/195_resolucion_practica_deportiva_individual_1.pdf" TargetMode="External"/><Relationship Id="rId87" Type="http://schemas.openxmlformats.org/officeDocument/2006/relationships/hyperlink" Target="https://drive.google.com/drive/folders/1NdHZmcGvU6Gpunn9NzpZCJYOwjAI7fGS" TargetMode="External"/><Relationship Id="rId110" Type="http://schemas.openxmlformats.org/officeDocument/2006/relationships/hyperlink" Target="https://www.minsalud.gov.co/Normatividad_Nuevo/Resoluci%C3%B3n%20No.%201513%20de%202020.pdf" TargetMode="External"/><Relationship Id="rId115" Type="http://schemas.openxmlformats.org/officeDocument/2006/relationships/hyperlink" Target="https://secretariageneral.gov.co/sites/default/files/archivos-adjuntos/decreto_207_de_2020.pdf" TargetMode="External"/><Relationship Id="rId131" Type="http://schemas.openxmlformats.org/officeDocument/2006/relationships/hyperlink" Target="https://drive.google.com/drive/u/0/folders/1NdHZmcGvU6Gpunn9NzpZCJYOwjAI7fGS" TargetMode="External"/><Relationship Id="rId136" Type="http://schemas.openxmlformats.org/officeDocument/2006/relationships/drawing" Target="../drawings/drawing25.xml"/><Relationship Id="rId61" Type="http://schemas.openxmlformats.org/officeDocument/2006/relationships/hyperlink" Target="http://sisjur.bogotajuridica.gov.co/sisjur/normas/Norma1.jsp?i=94445" TargetMode="External"/><Relationship Id="rId82" Type="http://schemas.openxmlformats.org/officeDocument/2006/relationships/hyperlink" Target="https://drive.google.com/drive/u/0/folders/1NdHZmcGvU6Gpunn9NzpZCJYOwjAI7fGS" TargetMode="External"/><Relationship Id="rId19" Type="http://schemas.openxmlformats.org/officeDocument/2006/relationships/hyperlink" Target="https://dapre.presidencia.gov.co/normativa/normativa/DECRETO%20498%20DEL%2030%20DE%20MARZO%20DE%202020.pdf" TargetMode="External"/><Relationship Id="rId14" Type="http://schemas.openxmlformats.org/officeDocument/2006/relationships/hyperlink" Target="https://dapre.presidencia.gov.co/normativa/normativa/DECRETO%20457%20DEL%2022%20DE%20MARZO%20DE%202020.pdf" TargetMode="External"/><Relationship Id="rId30" Type="http://schemas.openxmlformats.org/officeDocument/2006/relationships/hyperlink" Target="https://id.presidencia.gov.co/Documents/200424-Resolucion-666-MinSalud.pdf" TargetMode="External"/><Relationship Id="rId35" Type="http://schemas.openxmlformats.org/officeDocument/2006/relationships/hyperlink" Target="https://drive.google.com/drive/my-drive" TargetMode="External"/><Relationship Id="rId56" Type="http://schemas.openxmlformats.org/officeDocument/2006/relationships/hyperlink" Target="https://www.alcaldiabogota.gov.co/sisjur/normas/Norma1.jsp?i=94023" TargetMode="External"/><Relationship Id="rId77" Type="http://schemas.openxmlformats.org/officeDocument/2006/relationships/hyperlink" Target="https://dapre.presidencia.gov.co/normativa/normativa/DECRETO%201109%20DEL%2010%20DE%20AGOSTO%20DE%202020.pdf" TargetMode="External"/><Relationship Id="rId100" Type="http://schemas.openxmlformats.org/officeDocument/2006/relationships/hyperlink" Target="https://www.minsalud.gov.co/Normatividad_Nuevo/Resoluci%C3%B3n%20No.%201513%20de%202020.pdf" TargetMode="External"/><Relationship Id="rId105" Type="http://schemas.openxmlformats.org/officeDocument/2006/relationships/hyperlink" Target="https://drive.google.com/drive/folders/1NdHZmcGvU6Gpunn9NzpZCJYOwjAI7fGS" TargetMode="External"/><Relationship Id="rId126" Type="http://schemas.openxmlformats.org/officeDocument/2006/relationships/hyperlink" Target="https://www.idrd.gov.co/sites/default/files/marco-legal/167_-_resolucion_protocolos_bioseguridad_2.pdf" TargetMode="External"/><Relationship Id="rId8" Type="http://schemas.openxmlformats.org/officeDocument/2006/relationships/hyperlink" Target="http://www.gobiernobogota.gov.co/sites/gobiernobogota.gov.co/files/imagenes/resolucion_0397_marzo_16_de_2020.pdf" TargetMode="External"/><Relationship Id="rId51" Type="http://schemas.openxmlformats.org/officeDocument/2006/relationships/hyperlink" Target="https://www.alcaldiabogota.gov.co/sisjur/normas/Norma1.jsp?i=93942" TargetMode="External"/><Relationship Id="rId72" Type="http://schemas.openxmlformats.org/officeDocument/2006/relationships/hyperlink" Target="https://www.alcaldiabogota.gov.co/sisjur/normas/Norma1.jsp?i=94903" TargetMode="External"/><Relationship Id="rId93" Type="http://schemas.openxmlformats.org/officeDocument/2006/relationships/hyperlink" Target="https://secretariageneral.gov.co/sites/default/files/archivos-adjuntos/decreto_nueva_realidad_bogota_26_08_2020_final_pdf.pdf" TargetMode="External"/><Relationship Id="rId98" Type="http://schemas.openxmlformats.org/officeDocument/2006/relationships/hyperlink" Target="https://www.minsalud.gov.co/Normatividad_Nuevo/Resoluci%C3%B3n%20No.%201507%20de%202020.pdf" TargetMode="External"/><Relationship Id="rId121" Type="http://schemas.openxmlformats.org/officeDocument/2006/relationships/hyperlink" Target="https://safetya.co/normatividad/circular-070-de-2020/" TargetMode="External"/><Relationship Id="rId3" Type="http://schemas.openxmlformats.org/officeDocument/2006/relationships/hyperlink" Target="https://dapre.presidencia.gov.co/normativa/normativa/DECRETO%20401%20DEL%2013%20DE%20MARZO%20DE%202020.pdf" TargetMode="External"/><Relationship Id="rId25" Type="http://schemas.openxmlformats.org/officeDocument/2006/relationships/hyperlink" Target="https://www.idrd.gov.co/sites/default/files/marco-legal/145_del_13_de_abril_del_2020_por_la_cual_se_prorroga_los_efectos_de_resolucion_141_de_2020.pdf" TargetMode="External"/><Relationship Id="rId46" Type="http://schemas.openxmlformats.org/officeDocument/2006/relationships/hyperlink" Target="http://actosadministrativos.ramajudicial.gov.co/GetFile.ashx?url=%7e%2fApp_Data%2fUpload%2fPCSJA20-11567.pdf" TargetMode="External"/><Relationship Id="rId67" Type="http://schemas.openxmlformats.org/officeDocument/2006/relationships/hyperlink" Target="https://dapre.presidencia.gov.co/normativa/normativa/LEY%202023%20DEL%2023%20DE%20JULIO%20DE%202020.pdf" TargetMode="External"/><Relationship Id="rId116" Type="http://schemas.openxmlformats.org/officeDocument/2006/relationships/hyperlink" Target="https://secretariageneral.gov.co/sites/default/files/archivos-adjuntos/decreto_207_de_2020.pdf" TargetMode="External"/><Relationship Id="rId137" Type="http://schemas.openxmlformats.org/officeDocument/2006/relationships/vmlDrawing" Target="../drawings/vmlDrawing24.vml"/><Relationship Id="rId20" Type="http://schemas.openxmlformats.org/officeDocument/2006/relationships/hyperlink" Target="https://www.idrd.gov.co/sites/default/files/marco-legal/20201100054873_resolucion_200_idrd.pdf" TargetMode="External"/><Relationship Id="rId41" Type="http://schemas.openxmlformats.org/officeDocument/2006/relationships/hyperlink" Target="http://sisjur.bogotajuridica.gov.co/sisjur/normas/Norma1.jsp?i=93880" TargetMode="External"/><Relationship Id="rId62" Type="http://schemas.openxmlformats.org/officeDocument/2006/relationships/hyperlink" Target="https://www.mindeporte.gov.co/recursos_user/2020/Secretar%C3%ADa_General/Julio/CIRCULAR_EXTERNA_N%C2%B0_6_OBLIGATORIEDAD_ENTREGA_DE_DOCUMENTOS.pdf" TargetMode="External"/><Relationship Id="rId83" Type="http://schemas.openxmlformats.org/officeDocument/2006/relationships/hyperlink" Target="https://www.rcnradio.com/economia/protocolos-para-los-parques-de-diversiones-jardines-botanicos-y-reservas-naturales" TargetMode="External"/><Relationship Id="rId88" Type="http://schemas.openxmlformats.org/officeDocument/2006/relationships/hyperlink" Target="https://dapre.presidencia.gov.co/normativa/normativa/DECRETO%201168%20DEL%2025%20DE%20AGOSTO%20DE%202020.pdf" TargetMode="External"/><Relationship Id="rId111" Type="http://schemas.openxmlformats.org/officeDocument/2006/relationships/hyperlink" Target="http://www.saludcapital.gov.co/DDS/Documentos_I/Res_1698_2020_alerta_naranja_sist_hosp.pdf" TargetMode="External"/><Relationship Id="rId132" Type="http://schemas.openxmlformats.org/officeDocument/2006/relationships/hyperlink" Target="https://drive.google.com/drive/folders/1NdHZmcGvU6Gpunn9NzpZCJYOwjAI7fGS" TargetMode="External"/><Relationship Id="rId15" Type="http://schemas.openxmlformats.org/officeDocument/2006/relationships/hyperlink" Target="https://www.idrd.gov.co/sites/default/files/marco-legal/141_resolucion_por_la_cual_se_suspenden_terminos.pdf" TargetMode="External"/><Relationship Id="rId36" Type="http://schemas.openxmlformats.org/officeDocument/2006/relationships/hyperlink" Target="https://www.funcionpublica.gov.co/documents/418537/616038/Circular-externa-100-009-2020.pdf/ee5487b8-d474-8b03-2d49-cc7090ebe69a?t=1588877831231" TargetMode="External"/><Relationship Id="rId57" Type="http://schemas.openxmlformats.org/officeDocument/2006/relationships/hyperlink" Target="http://sisjur.bogotajuridica.gov.co/sisjur/normas/Norma1.jsp?i=94042" TargetMode="External"/><Relationship Id="rId106" Type="http://schemas.openxmlformats.org/officeDocument/2006/relationships/hyperlink" Target="https://drive.google.com/drive/u/0/folders/1NdHZmcGvU6Gpunn9NzpZCJYOwjAI7fGS" TargetMode="External"/><Relationship Id="rId127" Type="http://schemas.openxmlformats.org/officeDocument/2006/relationships/hyperlink" Target="https://www.minsalud.gov.co/Normatividad_Nuevo/Resoluci%C3%B3n%20No.%201513%20de%202020.pdf" TargetMode="External"/><Relationship Id="rId10" Type="http://schemas.openxmlformats.org/officeDocument/2006/relationships/hyperlink" Target="https://www.alcaldiabogota.gov.co/sisjur/normas/Norma1.jsp?i=91381" TargetMode="External"/><Relationship Id="rId31" Type="http://schemas.openxmlformats.org/officeDocument/2006/relationships/hyperlink" Target="https://dapre.presidencia.gov.co/normativa/normativa/DECRETO%20593%20DEL%2024%20DE%20ABRIL%20DE%202020.pdf" TargetMode="External"/><Relationship Id="rId52" Type="http://schemas.openxmlformats.org/officeDocument/2006/relationships/hyperlink" Target="https://www.minsalud.gov.co/Normatividad_Nuevo/Resoluci%C3%B3n%20No.%20993%20de%202020.pdf" TargetMode="External"/><Relationship Id="rId73" Type="http://schemas.openxmlformats.org/officeDocument/2006/relationships/hyperlink" Target="https://www.secretariajuridica.gov.co/sites/default/files/Noticias/Decreto%20179%20de%202020.pdf" TargetMode="External"/><Relationship Id="rId78" Type="http://schemas.openxmlformats.org/officeDocument/2006/relationships/hyperlink" Target="https://www.ramajudicial.gov.co/documents/2314946/32666137/DEAJC20-56+Despacho-Suspensio%CC%81n+implementaciones+de+Sistema+Informa%CC%81tico+Justicia+XXI+Web.+%283%29.pdf/5051aba6-9b7a-45f3-bbea-1966ec3072b3" TargetMode="External"/><Relationship Id="rId94" Type="http://schemas.openxmlformats.org/officeDocument/2006/relationships/hyperlink" Target="https://dapre.presidencia.gov.co/normativa/normativa/DIRECTIVA%20PRESIDENCIAL%20No%2007%20DEL%2027%20DE%20AGOSTO%20DE%202020.pdf" TargetMode="External"/><Relationship Id="rId99" Type="http://schemas.openxmlformats.org/officeDocument/2006/relationships/hyperlink" Target="http://sisjur.bogotajuridica.gov.co/sisjur/normas/Norma1.jsp?i=97085http://sisjur.bogotajuridica.gov.co/sisjur/normas/Norma1.jsp?i=97085" TargetMode="External"/><Relationship Id="rId101" Type="http://schemas.openxmlformats.org/officeDocument/2006/relationships/hyperlink" Target="https://drive.google.com/drive/folders/1NdHZmcGvU6Gpunn9NzpZCJYOwjAI7fGS" TargetMode="External"/><Relationship Id="rId122" Type="http://schemas.openxmlformats.org/officeDocument/2006/relationships/hyperlink" Target="https://drive.google.com/drive/u/0/folders/1NdHZmcGvU6Gpunn9NzpZCJYOwjAI7fGS" TargetMode="External"/><Relationship Id="rId4" Type="http://schemas.openxmlformats.org/officeDocument/2006/relationships/hyperlink" Target="https://dapre.presidencia.gov.co/normativa/normativa/DECRETO%20400%20DEL%2013%20DE%20MARZO%20DE%202020.pdf" TargetMode="External"/><Relationship Id="rId9" Type="http://schemas.openxmlformats.org/officeDocument/2006/relationships/hyperlink" Target="https://dapre.presidencia.gov.co/normativa/normativa/DECRETO%20435%20DEL%2019%20DE%20MARZO%20DE%202020.pdf" TargetMode="External"/><Relationship Id="rId26" Type="http://schemas.openxmlformats.org/officeDocument/2006/relationships/hyperlink" Target="https://dapre.presidencia.gov.co/normativa/normativa/DECRETO%20558%20DEL%2015%20DE%20ABRIL%20DE%202020.pdf" TargetMode="External"/><Relationship Id="rId47" Type="http://schemas.openxmlformats.org/officeDocument/2006/relationships/hyperlink" Target="https://drive.google.com/drive/my-drive" TargetMode="External"/><Relationship Id="rId68" Type="http://schemas.openxmlformats.org/officeDocument/2006/relationships/hyperlink" Target="https://bogota.gov.co/sites/default/files/inline-files/decreto_176_2020.pdf" TargetMode="External"/><Relationship Id="rId89" Type="http://schemas.openxmlformats.org/officeDocument/2006/relationships/hyperlink" Target="http://sisjur.bogotajuridica.gov.co/sisjur/normas/Norma1.jsp?i=96062" TargetMode="External"/><Relationship Id="rId112" Type="http://schemas.openxmlformats.org/officeDocument/2006/relationships/hyperlink" Target="https://drive.google.com/drive/folders/1NdHZmcGvU6Gpunn9NzpZCJYOwjAI7fGS" TargetMode="External"/><Relationship Id="rId133" Type="http://schemas.openxmlformats.org/officeDocument/2006/relationships/hyperlink" Target="https://drive.google.com/drive/u/0/folders/1NdHZmcGvU6Gpunn9NzpZCJYOwjAI7fGS" TargetMode="External"/></Relationships>
</file>

<file path=xl/worksheets/_rels/sheet27.xml.rels><?xml version="1.0" encoding="UTF-8" standalone="yes"?>
<Relationships xmlns="http://schemas.openxmlformats.org/package/2006/relationships"><Relationship Id="rId117" Type="http://schemas.openxmlformats.org/officeDocument/2006/relationships/hyperlink" Target="https://dapre.presidencia.gov.co/normativa/normativa/DECRETO%20511%20DEL%201%20DE%20ABRIL%20DE%202020.pdf" TargetMode="External"/><Relationship Id="rId21" Type="http://schemas.openxmlformats.org/officeDocument/2006/relationships/hyperlink" Target="https://dapre.presidencia.gov.co/normativa/normativa/DECRETO%20397%20DEL%2013%20DE%20MARZO%20DE%202020.pdf" TargetMode="External"/><Relationship Id="rId63" Type="http://schemas.openxmlformats.org/officeDocument/2006/relationships/hyperlink" Target="https://dapre.presidencia.gov.co/normativa/normativa/DECRETO%20460%20DEL%2022%20DE%20MARZO%20DE%202020.pdf" TargetMode="External"/><Relationship Id="rId159" Type="http://schemas.openxmlformats.org/officeDocument/2006/relationships/hyperlink" Target="https://drive.google.com/file/d/1p7NIrsp7PWLRjkskxGbUc0Tkox-JLJK_/view" TargetMode="External"/><Relationship Id="rId170" Type="http://schemas.openxmlformats.org/officeDocument/2006/relationships/hyperlink" Target="https://dapre.presidencia.gov.co/normativa/normativa/DECRETO%20547%20DEL%2014%20DE%20ABRIL%20DE%202020.pdf" TargetMode="External"/><Relationship Id="rId226" Type="http://schemas.openxmlformats.org/officeDocument/2006/relationships/hyperlink" Target="https://secretariageneral.gov.co/sites/default/files/archivos-adjuntos/decreto-169-unificado-aislamiento-y-medidas-adicionales.pdf" TargetMode="External"/><Relationship Id="rId268" Type="http://schemas.openxmlformats.org/officeDocument/2006/relationships/hyperlink" Target="https://www.funcionpublica.gov.co/eva/gestornormativo/norma.php?i=163720" TargetMode="External"/><Relationship Id="rId32" Type="http://schemas.openxmlformats.org/officeDocument/2006/relationships/hyperlink" Target="https://www.alcaldiabogota.gov.co/sisjur/normas/Norma1.jsp?i=91455&amp;dt=S" TargetMode="External"/><Relationship Id="rId74" Type="http://schemas.openxmlformats.org/officeDocument/2006/relationships/hyperlink" Target="https://www.mineducacion.gov.co/1759/articles-394502_pdf.pdf" TargetMode="External"/><Relationship Id="rId128" Type="http://schemas.openxmlformats.org/officeDocument/2006/relationships/hyperlink" Target="https://www.alcaldiabogota.gov.co/sisjur/normas/Norma1.jsp?i=91820" TargetMode="External"/><Relationship Id="rId5" Type="http://schemas.openxmlformats.org/officeDocument/2006/relationships/hyperlink" Target="https://drive.google.com/file/d/1MGMYyO0O5D4Km2ZEqykOCdpTHnDxsmdi/view" TargetMode="External"/><Relationship Id="rId181" Type="http://schemas.openxmlformats.org/officeDocument/2006/relationships/hyperlink" Target="https://dapre.presidencia.gov.co/normativa/normativa/DECRETO%20575%20DEL%2015%20DE%20ABRIL%20DE%202020.pdf" TargetMode="External"/><Relationship Id="rId237" Type="http://schemas.openxmlformats.org/officeDocument/2006/relationships/hyperlink" Target="https://drive.google.com/file/d/1GxJq-hKNWGOX7f_daLte_xlVmwSa-iQY/view" TargetMode="External"/><Relationship Id="rId279" Type="http://schemas.openxmlformats.org/officeDocument/2006/relationships/hyperlink" Target="https://www.minsalud.gov.co/Normatividad_Nuevo/Resoluci%C3%B3n%20No.%201687%20de%202021.pdf" TargetMode="External"/><Relationship Id="rId43" Type="http://schemas.openxmlformats.org/officeDocument/2006/relationships/hyperlink" Target="https://dapre.presidencia.gov.co/normativa/normativa/DECRETO%20435%20DEL%2019%20DE%20MARZO%20DE%202020.pdf" TargetMode="External"/><Relationship Id="rId139" Type="http://schemas.openxmlformats.org/officeDocument/2006/relationships/hyperlink" Target="https://dapre.presidencia.gov.co/normativa/normativa/DECRETO%20521%20DEL%206%20DE%20ABRIL%20DE%202020.pdf" TargetMode="External"/><Relationship Id="rId290" Type="http://schemas.openxmlformats.org/officeDocument/2006/relationships/hyperlink" Target="https://dapre.presidencia.gov.co/normativa/normativa/DECRETO%20655%20DEL%2028%20DE%20ABRIL%20DE%202022.pdf" TargetMode="External"/><Relationship Id="rId85" Type="http://schemas.openxmlformats.org/officeDocument/2006/relationships/hyperlink" Target="https://dapre.presidencia.gov.co/normativa/normativa/DECRETO%20471%20DEL%2025%20DE%20MARZO%20DE%202020.pdf" TargetMode="External"/><Relationship Id="rId150" Type="http://schemas.openxmlformats.org/officeDocument/2006/relationships/hyperlink" Target="https://dapre.presidencia.gov.co/normativa/normativa/DECRETO%20530%20DEL%208%20DE%20ABRIL%20DE%202020.pdf" TargetMode="External"/><Relationship Id="rId192" Type="http://schemas.openxmlformats.org/officeDocument/2006/relationships/hyperlink" Target="https://drive.google.com/file/d/15MM7aRGyF-VeVVtk1e2fVr9UsnWVBO1B/view?usp=sharing" TargetMode="External"/><Relationship Id="rId206" Type="http://schemas.openxmlformats.org/officeDocument/2006/relationships/hyperlink" Target="https://drive.google.com/file/d/10iry9yP6p8FnO4QckEQT-ijk12MEp6yT/view" TargetMode="External"/><Relationship Id="rId248" Type="http://schemas.openxmlformats.org/officeDocument/2006/relationships/hyperlink" Target="https://drive.google.com/file/d/10FfkXp97t6h78ZADbiIQIura5EBtiq-H/view" TargetMode="External"/><Relationship Id="rId12" Type="http://schemas.openxmlformats.org/officeDocument/2006/relationships/hyperlink" Target="https://drive.google.com/file/d/1XxwK8BggOmZkBdzhH2t5ikENQpKQ_GVK/view" TargetMode="External"/><Relationship Id="rId33" Type="http://schemas.openxmlformats.org/officeDocument/2006/relationships/hyperlink" Target="https://dapre.presidencia.gov.co/normativa/normativa/DECRETO%20418%20DEL%2018%20DE%20MARZO%20DE%202020.pdf" TargetMode="External"/><Relationship Id="rId108" Type="http://schemas.openxmlformats.org/officeDocument/2006/relationships/hyperlink" Target="https://dapre.presidencia.gov.co/normativa/normativa/DECRETO%20493%20DEL%2029%20DE%20MARZO%20DE%202020.pdf" TargetMode="External"/><Relationship Id="rId129" Type="http://schemas.openxmlformats.org/officeDocument/2006/relationships/hyperlink" Target="https://drive.google.com/file/d/1z2Y3wZkwjy3I7ODVfa5OZOrplLdsO0fG/view?usp=sharing" TargetMode="External"/><Relationship Id="rId280" Type="http://schemas.openxmlformats.org/officeDocument/2006/relationships/hyperlink" Target="https://dapre.presidencia.gov.co/normativa/normativa/DECRETO%201408%20DEL%2003%20DE%20NOVIEMBRE%20DE%202021.pdf" TargetMode="External"/><Relationship Id="rId54" Type="http://schemas.openxmlformats.org/officeDocument/2006/relationships/hyperlink" Target="https://dapre.presidencia.gov.co/normativa/normativa/DECRETO%20455%20DEL%2021%20DE%20MARZO%20DE%202020.pdf" TargetMode="External"/><Relationship Id="rId75" Type="http://schemas.openxmlformats.org/officeDocument/2006/relationships/hyperlink" Target="https://www.alcaldiabogota.gov.co/sisjur/consulta_tematica.jsp" TargetMode="External"/><Relationship Id="rId96" Type="http://schemas.openxmlformats.org/officeDocument/2006/relationships/hyperlink" Target="https://dapre.presidencia.gov.co/normativa/normativa/DECRETO%20486%20DEL%2027%20DE%20MARZO%20DE%202020.pdf" TargetMode="External"/><Relationship Id="rId140" Type="http://schemas.openxmlformats.org/officeDocument/2006/relationships/hyperlink" Target="https://dapre.presidencia.gov.co/normativa/normativa/DECRETO%20520%20DEL%206%20DE%20ABRIL%20DE%202020.pdf" TargetMode="External"/><Relationship Id="rId161" Type="http://schemas.openxmlformats.org/officeDocument/2006/relationships/hyperlink" Target="https://dapre.presidencia.gov.co/normativa/normativa/DECRETO%20545%20DEL%2013%20DE%20ABRIL%20DE%202020.pdf" TargetMode="External"/><Relationship Id="rId182" Type="http://schemas.openxmlformats.org/officeDocument/2006/relationships/hyperlink" Target="https://dapre.presidencia.gov.co/normativa/normativa/DECRETO%20574%20DEL%2015%20DE%20ABRIL%20DE%202020.pdf" TargetMode="External"/><Relationship Id="rId217" Type="http://schemas.openxmlformats.org/officeDocument/2006/relationships/hyperlink" Target="https://drive.google.com/file/d/1tlqwMrEgKYn8bErl1P-0BcBg9ezcU16a/view" TargetMode="External"/><Relationship Id="rId6" Type="http://schemas.openxmlformats.org/officeDocument/2006/relationships/hyperlink" Target="https://drive.google.com/file/d/1V8MPlYqITLo31lQqTHnfjqRv1MYLYKNz/view" TargetMode="External"/><Relationship Id="rId238" Type="http://schemas.openxmlformats.org/officeDocument/2006/relationships/hyperlink" Target="https://www.funcionpublica.gov.co/eva/gestornormativo/norma.php?i=140451" TargetMode="External"/><Relationship Id="rId259" Type="http://schemas.openxmlformats.org/officeDocument/2006/relationships/hyperlink" Target="https://www.mintrabajo.gov.co/documents/20147/61442826/0773.PDF/3047cc2b-eae1-e021-e9bf-d8c0eac23e05?t=1617984928238" TargetMode="External"/><Relationship Id="rId23" Type="http://schemas.openxmlformats.org/officeDocument/2006/relationships/hyperlink" Target="http://www.regiones.gov.co/Inicio/assets/files/32cultura.pdf" TargetMode="External"/><Relationship Id="rId119" Type="http://schemas.openxmlformats.org/officeDocument/2006/relationships/hyperlink" Target="https://dapre.presidencia.gov.co/normativa/normativa/DECRETO%20509%20DEL%201%20DE%20ABRIL%20DE%202020.pdf" TargetMode="External"/><Relationship Id="rId270" Type="http://schemas.openxmlformats.org/officeDocument/2006/relationships/hyperlink" Target="https://www.funcionpublica.gov.co/eva/gestornormativo/norma.php?i=163987" TargetMode="External"/><Relationship Id="rId291" Type="http://schemas.openxmlformats.org/officeDocument/2006/relationships/hyperlink" Target="https://www.minsalud.gov.co/Normatividad_Nuevo/Resoluci%C3%B3n%20692%20de%202022.pdf" TargetMode="External"/><Relationship Id="rId44" Type="http://schemas.openxmlformats.org/officeDocument/2006/relationships/hyperlink" Target="https://dapre.presidencia.gov.co/normativa/normativa/DECRETO%20434%20DEL%2019%20DE%20MARZO%20DE%202020.pdf" TargetMode="External"/><Relationship Id="rId65" Type="http://schemas.openxmlformats.org/officeDocument/2006/relationships/hyperlink" Target="https://dapre.presidencia.gov.co/normativa/normativa/DECRETO%20461%20DEL%2022%20DE%20MARZO%20DE%202020.pdf" TargetMode="External"/><Relationship Id="rId86" Type="http://schemas.openxmlformats.org/officeDocument/2006/relationships/hyperlink" Target="https://drive.google.com/file/d/16xTuAN-9V7L279_kAXAehJ4i3UJ3_lJw/view" TargetMode="External"/><Relationship Id="rId130" Type="http://schemas.openxmlformats.org/officeDocument/2006/relationships/hyperlink" Target="https://drive.google.com/file/d/1Grgki1moBNtxGxFS8eAugbOlliHODPNA/view?usp=sharing" TargetMode="External"/><Relationship Id="rId151" Type="http://schemas.openxmlformats.org/officeDocument/2006/relationships/hyperlink" Target="https://drive.google.com/file/d/1wjCyTuFAxBNzs9kirqjf8Mo9GJfGZZGC/view" TargetMode="External"/><Relationship Id="rId172" Type="http://schemas.openxmlformats.org/officeDocument/2006/relationships/hyperlink" Target="https://dapre.presidencia.gov.co/normativa/normativa/DECRETO%20558%20DEL%2015%20DE%20ABRIL%20DE%202020.pdf" TargetMode="External"/><Relationship Id="rId193" Type="http://schemas.openxmlformats.org/officeDocument/2006/relationships/hyperlink" Target="https://dapre.presidencia.gov.co/normativa/normativa/DECRETO%20582%20DEL%2016%20DE%20ABRIL%20DE%202020.pdf" TargetMode="External"/><Relationship Id="rId207" Type="http://schemas.openxmlformats.org/officeDocument/2006/relationships/hyperlink" Target="https://drive.google.com/file/d/17cWDn8JZJweJREegfS64i6V949DGruZ8/view" TargetMode="External"/><Relationship Id="rId228" Type="http://schemas.openxmlformats.org/officeDocument/2006/relationships/hyperlink" Target="https://dapre.presidencia.gov.co/normativa/normativa/ACTO%20LEGISLATIVO%2001%20DEL%2022%20DE%20JULIO%20DE%202020.pdf" TargetMode="External"/><Relationship Id="rId249" Type="http://schemas.openxmlformats.org/officeDocument/2006/relationships/hyperlink" Target="https://drive.google.com/file/d/15LBVPxZbKoblv5Wnzz4YPtwTWnLCbk7x/view" TargetMode="External"/><Relationship Id="rId13" Type="http://schemas.openxmlformats.org/officeDocument/2006/relationships/hyperlink" Target="https://dapre.presidencia.gov.co/normativa/normativa/DECRETO%20402%20DEL%2013%20DE%20MARZO%20DE%202020.pdf" TargetMode="External"/><Relationship Id="rId109" Type="http://schemas.openxmlformats.org/officeDocument/2006/relationships/hyperlink" Target="https://dapre.presidencia.gov.co/normativa/normativa/DECRETO%20498%20DEL%2030%20DE%20MARZO%20DE%202020.pdf" TargetMode="External"/><Relationship Id="rId260" Type="http://schemas.openxmlformats.org/officeDocument/2006/relationships/hyperlink" Target="https://www.funcionpublica.gov.co/eva/gestornormativo/norma.php?i=161426" TargetMode="External"/><Relationship Id="rId281" Type="http://schemas.openxmlformats.org/officeDocument/2006/relationships/hyperlink" Target="https://www.minsalud.gov.co/Paginas/Territorios-con-mas-de-70-de-vacunacion-podran-dejar-de-usar-tapabocas-en-espacio-publico.aspx" TargetMode="External"/><Relationship Id="rId34" Type="http://schemas.openxmlformats.org/officeDocument/2006/relationships/hyperlink" Target="https://dapre.presidencia.gov.co/normativa/normativa/DECRETO%20419%20DEL%2018%20DE%20MARZO%20DE%202020.pdf" TargetMode="External"/><Relationship Id="rId55" Type="http://schemas.openxmlformats.org/officeDocument/2006/relationships/hyperlink" Target="https://dapre.presidencia.gov.co/normativa/normativa/DECRETO%20454%20DEL%2021%20DE%20MARZO%20DE%202020.pdf" TargetMode="External"/><Relationship Id="rId76" Type="http://schemas.openxmlformats.org/officeDocument/2006/relationships/hyperlink" Target="https://drive.google.com/file/d/1trYogZtVzs0jwXrI3i0ZQK85E8RMxg73/view" TargetMode="External"/><Relationship Id="rId97" Type="http://schemas.openxmlformats.org/officeDocument/2006/relationships/hyperlink" Target="https://dapre.presidencia.gov.co/normativa/normativa/DECRETO%20487%20DEL%2027%20DE%20MARZO%20DE%202020.pdf" TargetMode="External"/><Relationship Id="rId120" Type="http://schemas.openxmlformats.org/officeDocument/2006/relationships/hyperlink" Target="https://dapre.presidencia.gov.co/normativa/normativa/DECRETO%20508%20DEL%201%20DE%20ABRIL%20DE%202020.pdf" TargetMode="External"/><Relationship Id="rId141" Type="http://schemas.openxmlformats.org/officeDocument/2006/relationships/hyperlink" Target="https://dapre.presidencia.gov.co/normativa/normativa/DECRETO%20529%20DEL%207%20DE%20ABRIL%20DE%202020.pdf" TargetMode="External"/><Relationship Id="rId7" Type="http://schemas.openxmlformats.org/officeDocument/2006/relationships/hyperlink" Target="https://www.minsalud.gov.co/sites/rid/Lists/BibliotecaDigital/RIDE/DE/DIJ/resolucion-385-de-2020.pdf" TargetMode="External"/><Relationship Id="rId162" Type="http://schemas.openxmlformats.org/officeDocument/2006/relationships/hyperlink" Target="https://dapre.presidencia.gov.co/normativa/normativa/DECRETO%20544%20DEL%2013%20DE%20ABRIL%20DE%202020.pdf" TargetMode="External"/><Relationship Id="rId183" Type="http://schemas.openxmlformats.org/officeDocument/2006/relationships/hyperlink" Target="https://dapre.presidencia.gov.co/normativa/normativa/DECRETO%20573%20DEL%2015%20DE%20ABRIL%20DE%202020.pdf" TargetMode="External"/><Relationship Id="rId218" Type="http://schemas.openxmlformats.org/officeDocument/2006/relationships/hyperlink" Target="https://drive.google.com/file/d/14JY9M8lPyP8QE-olnLguRzI2NCNwL5id/view" TargetMode="External"/><Relationship Id="rId239" Type="http://schemas.openxmlformats.org/officeDocument/2006/relationships/hyperlink" Target="https://www.minsalud.gov.co/Normatividad_Nuevo/Forms/DispForm.aspx?ID=6228" TargetMode="External"/><Relationship Id="rId250" Type="http://schemas.openxmlformats.org/officeDocument/2006/relationships/hyperlink" Target="https://www.mininterior.gov.co/sites/default/files/medidas_focalizadas_para_municipios_con_alta_afectacion.pdf" TargetMode="External"/><Relationship Id="rId271" Type="http://schemas.openxmlformats.org/officeDocument/2006/relationships/hyperlink" Target="https://www.funcionpublica.gov.co/eva/gestornormativo/norma.php?i=164248" TargetMode="External"/><Relationship Id="rId292" Type="http://schemas.openxmlformats.org/officeDocument/2006/relationships/hyperlink" Target="https://www.cerlatam.com/normatividad/mintrabajo-circular-030-de-2022/" TargetMode="External"/><Relationship Id="rId24" Type="http://schemas.openxmlformats.org/officeDocument/2006/relationships/hyperlink" Target="https://www.alcaldiabogota.gov.co/sisjur/consulta_tematica.jsp" TargetMode="External"/><Relationship Id="rId45" Type="http://schemas.openxmlformats.org/officeDocument/2006/relationships/hyperlink" Target="https://dapre.presidencia.gov.co/normativa/normativa/DECRETO%20429%20DEL%2019%20DE%20MARZO%20DE%202020.pdf" TargetMode="External"/><Relationship Id="rId66" Type="http://schemas.openxmlformats.org/officeDocument/2006/relationships/hyperlink" Target="https://dapre.presidencia.gov.co/normativa/normativa/DECRETO%20469%20DEL%2023%20DE%20MARZO%20DE%202020.pdf" TargetMode="External"/><Relationship Id="rId87" Type="http://schemas.openxmlformats.org/officeDocument/2006/relationships/hyperlink" Target="https://drive.google.com/file/d/1d_ZWHpFrd7fOAY1CAY5tdmRsVuEmmf4c/view" TargetMode="External"/><Relationship Id="rId110" Type="http://schemas.openxmlformats.org/officeDocument/2006/relationships/hyperlink" Target="https://dapre.presidencia.gov.co/normativa/normativa/DECRETO%20497%20DEL%2030%20DE%20MARZO%20DE%202020.pdf" TargetMode="External"/><Relationship Id="rId131" Type="http://schemas.openxmlformats.org/officeDocument/2006/relationships/hyperlink" Target="https://drive.google.com/file/d/1Tk5xFq9mfIQCed1oc0lVS0kxBLrnJlk2/view" TargetMode="External"/><Relationship Id="rId152" Type="http://schemas.openxmlformats.org/officeDocument/2006/relationships/hyperlink" Target="https://dapre.presidencia.gov.co/normativa/normativa/DECRETO%20533%20DEL%209%20DE%20ABRIL%20DE%202020.pdf" TargetMode="External"/><Relationship Id="rId173" Type="http://schemas.openxmlformats.org/officeDocument/2006/relationships/hyperlink" Target="https://dapre.presidencia.gov.co/normativa/normativa/DECRETO%20564%20DEL%2015%20DE%20ABRIL%20DE%202020.pdf" TargetMode="External"/><Relationship Id="rId194" Type="http://schemas.openxmlformats.org/officeDocument/2006/relationships/hyperlink" Target="https://drive.google.com/file/d/16ZaTyw9TEmHTVzU-rkq_X1Ebesbimstp/view?usp=sharing" TargetMode="External"/><Relationship Id="rId208" Type="http://schemas.openxmlformats.org/officeDocument/2006/relationships/hyperlink" Target="https://www.funcionpublica.gov.co/documents/418537/616038/Circular-externa-100-009-2020.pdf/ee5487b8-d474-8b03-2d49-cc7090ebe69a?t=1588877831231" TargetMode="External"/><Relationship Id="rId229" Type="http://schemas.openxmlformats.org/officeDocument/2006/relationships/hyperlink" Target="https://dapre.presidencia.gov.co/normativa/normativa/LEY%202023%20DEL%2023%20DE%20JULIO%20DE%202020.pdf" TargetMode="External"/><Relationship Id="rId240" Type="http://schemas.openxmlformats.org/officeDocument/2006/relationships/hyperlink" Target="https://drive.google.com/file/d/1A2_Urw4Ao5gEfliuKQqEkESyv0WDnKzz/view?usp=sharing" TargetMode="External"/><Relationship Id="rId261" Type="http://schemas.openxmlformats.org/officeDocument/2006/relationships/hyperlink" Target="https://www.minsalud.gov.co/sites/rid/Lists/BibliotecaDigital/RIDE/DE/DIJ/resolucion-507-de-2021.pdf" TargetMode="External"/><Relationship Id="rId14" Type="http://schemas.openxmlformats.org/officeDocument/2006/relationships/hyperlink" Target="https://www.minsalud.gov.co/Normatividad_Nuevo/Resoluci%C3%B3n%20No.%20407%20de%202020.pdf" TargetMode="External"/><Relationship Id="rId35" Type="http://schemas.openxmlformats.org/officeDocument/2006/relationships/hyperlink" Target="https://dapre.presidencia.gov.co/normativa/normativa/DECRETO%20420%20DEL%2018%20DE%20MARZO%20DE%202020.pdf" TargetMode="External"/><Relationship Id="rId56" Type="http://schemas.openxmlformats.org/officeDocument/2006/relationships/hyperlink" Target="https://dapre.presidencia.gov.co/normativa/normativa/DECRETO%20453%20DEL%2021%20DE%20MARZO%20DE%202020.pdf" TargetMode="External"/><Relationship Id="rId77" Type="http://schemas.openxmlformats.org/officeDocument/2006/relationships/hyperlink" Target="https://dapre.presidencia.gov.co/normativa/normativa/DECRETO%20479%20DEL%2025%20DE%20MARZO%20DE%202020.pdf" TargetMode="External"/><Relationship Id="rId100" Type="http://schemas.openxmlformats.org/officeDocument/2006/relationships/hyperlink" Target="https://drive.google.com/file/d/1af6AncFvXH2-RSAy3YCcHdOyylHKPlJB/view" TargetMode="External"/><Relationship Id="rId282" Type="http://schemas.openxmlformats.org/officeDocument/2006/relationships/hyperlink" Target="https://www.minsalud.gov.co/Normatividad_Nuevo/Resoluci%C3%B3n%20No.%20304%20de%202022.pdf" TargetMode="External"/><Relationship Id="rId8" Type="http://schemas.openxmlformats.org/officeDocument/2006/relationships/hyperlink" Target="https://www.alcaldiabogota.gov.co/sisjur/consulta_tematica.jsp" TargetMode="External"/><Relationship Id="rId98" Type="http://schemas.openxmlformats.org/officeDocument/2006/relationships/hyperlink" Target="https://dapre.presidencia.gov.co/normativa/normativa/DECRETO%20488%20DEL%2027%20DE%20MARZO%20DE%202020.pdf" TargetMode="External"/><Relationship Id="rId121" Type="http://schemas.openxmlformats.org/officeDocument/2006/relationships/hyperlink" Target="https://dapre.presidencia.gov.co/normativa/normativa/DECRETO%20507%20DEL%201%20DE%20ABRIL%20DE%202020.pdf" TargetMode="External"/><Relationship Id="rId142" Type="http://schemas.openxmlformats.org/officeDocument/2006/relationships/hyperlink" Target="https://dapre.presidencia.gov.co/normativa/normativa/DECRETO%20528%20DEL%207%20DE%20ABRIL%20DE%202020.pdf" TargetMode="External"/><Relationship Id="rId163" Type="http://schemas.openxmlformats.org/officeDocument/2006/relationships/hyperlink" Target="https://dapre.presidencia.gov.co/normativa/normativa/DECRETO%20541%20DEL%2013%20DE%20ABRIL%20DE%202020.pdf" TargetMode="External"/><Relationship Id="rId184" Type="http://schemas.openxmlformats.org/officeDocument/2006/relationships/hyperlink" Target="https://dapre.presidencia.gov.co/normativa/normativa/DECRETO%20572%20DEL%2015%20DE%20ABRIL%20DE%202020.pdf" TargetMode="External"/><Relationship Id="rId219" Type="http://schemas.openxmlformats.org/officeDocument/2006/relationships/hyperlink" Target="https://drive.google.com/file/d/1YGSArAdC01JpvLebhpNNsLN3cIP89PVX/view?usp=sharing" TargetMode="External"/><Relationship Id="rId230" Type="http://schemas.openxmlformats.org/officeDocument/2006/relationships/hyperlink" Target="https://dapre.presidencia.gov.co/normativa/normativa/DECRETO%201076%20DEL%2028%20DE%20JULIO%20DE%202020.pdf" TargetMode="External"/><Relationship Id="rId251" Type="http://schemas.openxmlformats.org/officeDocument/2006/relationships/hyperlink" Target="https://drive.google.com/file/d/15LBVPxZbKoblv5Wnzz4YPtwTWnLCbk7x/view" TargetMode="External"/><Relationship Id="rId25" Type="http://schemas.openxmlformats.org/officeDocument/2006/relationships/hyperlink" Target="http://www.regiones.gov.co/Inicio/assets/files/32cultura.pdf" TargetMode="External"/><Relationship Id="rId46" Type="http://schemas.openxmlformats.org/officeDocument/2006/relationships/hyperlink" Target="https://dapre.presidencia.gov.co/normativa/normativa/DECRETO%20432%20DEL%2019%20DE%20MARZO%20DE%202020.pdf" TargetMode="External"/><Relationship Id="rId67" Type="http://schemas.openxmlformats.org/officeDocument/2006/relationships/hyperlink" Target="https://dapre.presidencia.gov.co/normativa/normativa/DECRETO%20446%20DEL%2021%20DE%20MARZO%20DE%202020.pdf" TargetMode="External"/><Relationship Id="rId272" Type="http://schemas.openxmlformats.org/officeDocument/2006/relationships/hyperlink" Target="https://www.minsalud.gov.co/Normatividad_Nuevo/Resoluci%C3%B3n%20No.800%20de%202021.pdf" TargetMode="External"/><Relationship Id="rId293" Type="http://schemas.openxmlformats.org/officeDocument/2006/relationships/drawing" Target="../drawings/drawing26.xml"/><Relationship Id="rId88" Type="http://schemas.openxmlformats.org/officeDocument/2006/relationships/hyperlink" Target="https://dapre.presidencia.gov.co/normativa/normativa/DECRETO%20480%20DEL%2026%20DE%20MARZO%20DE%202020.pdf" TargetMode="External"/><Relationship Id="rId111" Type="http://schemas.openxmlformats.org/officeDocument/2006/relationships/hyperlink" Target="https://dapre.presidencia.gov.co/normativa/normativa/DECRETO%20496%20DEL%2030%20DE%20MARZO%20DE%202020.pdf" TargetMode="External"/><Relationship Id="rId132" Type="http://schemas.openxmlformats.org/officeDocument/2006/relationships/hyperlink" Target="https://dapre.presidencia.gov.co/normativa/normativa/DECRETO%20518%20DEL%204%20DE%20ABRIL%20DE%202020.pdf" TargetMode="External"/><Relationship Id="rId153" Type="http://schemas.openxmlformats.org/officeDocument/2006/relationships/hyperlink" Target="https://drive.google.com/file/d/190YYx63XQLoazso2ghfZpmw0NT5_BhvG/view" TargetMode="External"/><Relationship Id="rId174" Type="http://schemas.openxmlformats.org/officeDocument/2006/relationships/hyperlink" Target="https://dapre.presidencia.gov.co/normativa/normativa/DECRETO%20568%20DEL%2015%20DE%20ABRIL%20DE%202020.pdf" TargetMode="External"/><Relationship Id="rId195" Type="http://schemas.openxmlformats.org/officeDocument/2006/relationships/hyperlink" Target="https://drive.google.com/file/d/16Kj8-Nj0r56nRJZq0m6shk43KtkGf2iX/view?usp=sharing" TargetMode="External"/><Relationship Id="rId209" Type="http://schemas.openxmlformats.org/officeDocument/2006/relationships/hyperlink" Target="https://drive.google.com/file/d/13Aw-qoOy8LBk-Q63Ep0PEI4eINJWVA0d/view" TargetMode="External"/><Relationship Id="rId220" Type="http://schemas.openxmlformats.org/officeDocument/2006/relationships/hyperlink" Target="https://drive.google.com/file/d/1b1cT843a7i2j6m6Ir_rGcfL3XvpDJEi-/view?usp=sharing" TargetMode="External"/><Relationship Id="rId241" Type="http://schemas.openxmlformats.org/officeDocument/2006/relationships/hyperlink" Target="https://drive.google.com/file/d/1_Tje1yRI7FDuFV2vgwdfKMTNuMGeONZd/view?usp=sharing" TargetMode="External"/><Relationship Id="rId15" Type="http://schemas.openxmlformats.org/officeDocument/2006/relationships/hyperlink" Target="https://safetya.co/normatividad/circular-externa-015-de-2020/" TargetMode="External"/><Relationship Id="rId36" Type="http://schemas.openxmlformats.org/officeDocument/2006/relationships/hyperlink" Target="https://dapre.presidencia.gov.co/normativa/normativa/DECRETO%20421%20DEL%2018%20DE%20MARZO%20DE%202020.pdf" TargetMode="External"/><Relationship Id="rId57" Type="http://schemas.openxmlformats.org/officeDocument/2006/relationships/hyperlink" Target="https://dapre.presidencia.gov.co/normativa/normativa/DECRETO%20452%20DEL%2021%20DE%20MARZO%20DE%202020.pdf" TargetMode="External"/><Relationship Id="rId262" Type="http://schemas.openxmlformats.org/officeDocument/2006/relationships/hyperlink" Target="https://funcionpublica.gov.co/eva/gestornormativo/norma_pdf.php?i=159688" TargetMode="External"/><Relationship Id="rId283" Type="http://schemas.openxmlformats.org/officeDocument/2006/relationships/hyperlink" Target="https://dapre.presidencia.gov.co/normativa/normativa/DECRETO%20298%20DEL%2028%20DE%20FEBRERO%20DE%202022.pdf" TargetMode="External"/><Relationship Id="rId78" Type="http://schemas.openxmlformats.org/officeDocument/2006/relationships/hyperlink" Target="https://dapre.presidencia.gov.co/normativa/normativa/DECRETO%20478%20DEL%2025%20DE%20MARZO%20DE%202020.pdf" TargetMode="External"/><Relationship Id="rId99" Type="http://schemas.openxmlformats.org/officeDocument/2006/relationships/hyperlink" Target="https://drive.google.com/file/d/1hCVkPi2gGozCbxM9eZm2X_4E_bOc_b9I/view" TargetMode="External"/><Relationship Id="rId101" Type="http://schemas.openxmlformats.org/officeDocument/2006/relationships/hyperlink" Target="https://dapre.presidencia.gov.co/normativa/normativa/Decreto-492-28-marzo-2020.pdf" TargetMode="External"/><Relationship Id="rId122" Type="http://schemas.openxmlformats.org/officeDocument/2006/relationships/hyperlink" Target="https://www.minsalud.gov.co/Normatividad_Nuevo/Resoluci%C3%B3n%20No.%20407%20de%202020.pdf" TargetMode="External"/><Relationship Id="rId143" Type="http://schemas.openxmlformats.org/officeDocument/2006/relationships/hyperlink" Target="https://dapre.presidencia.gov.co/normativa/normativa/DECRETO%20527%20DEL%207%20DE%20ABRIL%20DE%202020.pdf" TargetMode="External"/><Relationship Id="rId164" Type="http://schemas.openxmlformats.org/officeDocument/2006/relationships/hyperlink" Target="https://dapre.presidencia.gov.co/normativa/normativa/DECRETO%20540%20DEL%2013%20DE%20ABRIL%20DE%202020.pdf" TargetMode="External"/><Relationship Id="rId185" Type="http://schemas.openxmlformats.org/officeDocument/2006/relationships/hyperlink" Target="https://dapre.presidencia.gov.co/normativa/normativa/DECRETO%20571%20DEL%2015%20DE%20ABRIL%20DE%202020.pdf" TargetMode="External"/><Relationship Id="rId9" Type="http://schemas.openxmlformats.org/officeDocument/2006/relationships/hyperlink" Target="https://coronaviruscolombia.gov.co/Covid19/docs/decretos/mininterior/Comunicado_12_de_marzo_de%20_2020.pdf" TargetMode="External"/><Relationship Id="rId210" Type="http://schemas.openxmlformats.org/officeDocument/2006/relationships/hyperlink" Target="https://drive.google.com/file/d/1mQoHR-SyXgmC7Ed9w7ppkYq8tPwvHuNS/view" TargetMode="External"/><Relationship Id="rId26" Type="http://schemas.openxmlformats.org/officeDocument/2006/relationships/hyperlink" Target="https://drive.google.com/file/d/1IQgs9_-wNwiL4cV0yHNzHrBh2flit668/view" TargetMode="External"/><Relationship Id="rId231" Type="http://schemas.openxmlformats.org/officeDocument/2006/relationships/hyperlink" Target="https://www.secretariajuridica.gov.co/sites/default/files/Noticias/Decreto%20179%20de%202020.pdf" TargetMode="External"/><Relationship Id="rId252" Type="http://schemas.openxmlformats.org/officeDocument/2006/relationships/hyperlink" Target="https://dapre.presidencia.gov.co/normativa/normativa/DECRETO-109-29-ENERO-2021.pdf" TargetMode="External"/><Relationship Id="rId273" Type="http://schemas.openxmlformats.org/officeDocument/2006/relationships/hyperlink" Target="https://www.minsalud.gov.co/Normatividad_Nuevo/Resoluci%C3%B3n%20NO.%20816%20de%202021.pdf" TargetMode="External"/><Relationship Id="rId294" Type="http://schemas.openxmlformats.org/officeDocument/2006/relationships/vmlDrawing" Target="../drawings/vmlDrawing25.vml"/><Relationship Id="rId47" Type="http://schemas.openxmlformats.org/officeDocument/2006/relationships/hyperlink" Target="https://dapre.presidencia.gov.co/normativa/normativa/DECRETO%20430%20DEL%2019%20DE%20MARZO%20DE%202020.pdf" TargetMode="External"/><Relationship Id="rId68" Type="http://schemas.openxmlformats.org/officeDocument/2006/relationships/hyperlink" Target="https://dapre.presidencia.gov.co/normativa/normativa/DECRETO%20468%20DEL%2023%20DE%20MARZO%20DE%202020.pdf" TargetMode="External"/><Relationship Id="rId89" Type="http://schemas.openxmlformats.org/officeDocument/2006/relationships/hyperlink" Target="https://dapre.presidencia.gov.co/normativa/normativa/DECRETO%20481%20DEL%2026%20DE%20MARZO%20DE%202020.pdf" TargetMode="External"/><Relationship Id="rId112" Type="http://schemas.openxmlformats.org/officeDocument/2006/relationships/hyperlink" Target="https://dapre.presidencia.gov.co/normativa/normativa/DECRETO%20500%20DEL%2031%20DE%20MARZO%202020.pdf" TargetMode="External"/><Relationship Id="rId133" Type="http://schemas.openxmlformats.org/officeDocument/2006/relationships/hyperlink" Target="https://dapre.presidencia.gov.co/normativa/normativa/DECRETO%20517%20DEL%204%20DE%20ABRIL%20DE%202020.pdf" TargetMode="External"/><Relationship Id="rId154" Type="http://schemas.openxmlformats.org/officeDocument/2006/relationships/hyperlink" Target="https://dapre.presidencia.gov.co/normativa/normativa/DECRETO%20535%20DEL%2010%20DE%20ABRIL%20DE%202020.pdf" TargetMode="External"/><Relationship Id="rId175" Type="http://schemas.openxmlformats.org/officeDocument/2006/relationships/hyperlink" Target="https://dapre.presidencia.gov.co/normativa/decretos-2020/decretos-abril-2020" TargetMode="External"/><Relationship Id="rId196" Type="http://schemas.openxmlformats.org/officeDocument/2006/relationships/hyperlink" Target="https://drive.google.com/file/d/1KM28ieIu_5BTYQwc2Tx691eiHND8lDSo/view" TargetMode="External"/><Relationship Id="rId200" Type="http://schemas.openxmlformats.org/officeDocument/2006/relationships/hyperlink" Target="https://id.presidencia.gov.co/Documents/200424-Resolucion-666-MinSalud.pdf" TargetMode="External"/><Relationship Id="rId16" Type="http://schemas.openxmlformats.org/officeDocument/2006/relationships/hyperlink" Target="https://dapre.presidencia.gov.co/normativa/normativa/DECRETO%20402%20DEL%2013%20DE%20MARZO%20DE%202020.pdf" TargetMode="External"/><Relationship Id="rId221" Type="http://schemas.openxmlformats.org/officeDocument/2006/relationships/hyperlink" Target="https://drive.google.com/file/d/13b9sjrUkIKj3hk8NnFJfTxKoTibYl1qs/view?usp=sharing" TargetMode="External"/><Relationship Id="rId242" Type="http://schemas.openxmlformats.org/officeDocument/2006/relationships/hyperlink" Target="https://drive.google.com/file/d/1cIY10W3mSDpHCMoJgRgGwf09L8yNbP2g/view" TargetMode="External"/><Relationship Id="rId263" Type="http://schemas.openxmlformats.org/officeDocument/2006/relationships/hyperlink" Target="https://normograma.mintic.gov.co/mintic/docs/pdf/resolucion_minsaludps_0392_2021.pdf" TargetMode="External"/><Relationship Id="rId284" Type="http://schemas.openxmlformats.org/officeDocument/2006/relationships/hyperlink" Target="https://www.minsalud.gov.co/Normatividad_Nuevo/Circular%20Externa%20y%20Conjunta%20No.16%20de%202022.pdf" TargetMode="External"/><Relationship Id="rId37" Type="http://schemas.openxmlformats.org/officeDocument/2006/relationships/hyperlink" Target="https://www.minsalud.gov.co/sites/rid/Lists/BibliotecaDigital/RIDE/DE/DIJ/resolucion-453-de-2020.pdf" TargetMode="External"/><Relationship Id="rId58" Type="http://schemas.openxmlformats.org/officeDocument/2006/relationships/hyperlink" Target="https://dapre.presidencia.gov.co/normativa/normativa/DECRETO%20451%20DEL%2021%20DE%20MARZO%20DE%202020.pdf" TargetMode="External"/><Relationship Id="rId79" Type="http://schemas.openxmlformats.org/officeDocument/2006/relationships/hyperlink" Target="https://dapre.presidencia.gov.co/normativa/normativa/DECRETO%20477%20DEL%2025%20DE%20MARZO%20DE%202020.pdf" TargetMode="External"/><Relationship Id="rId102" Type="http://schemas.openxmlformats.org/officeDocument/2006/relationships/hyperlink" Target="https://www.alcaldiabogota.gov.co/sisjur/normas/Norma1.jsp?i=91670" TargetMode="External"/><Relationship Id="rId123" Type="http://schemas.openxmlformats.org/officeDocument/2006/relationships/hyperlink" Target="https://www.alcaldiabogota.gov.co/sisjur/normas/Norma1.jsp?i=91811" TargetMode="External"/><Relationship Id="rId144" Type="http://schemas.openxmlformats.org/officeDocument/2006/relationships/hyperlink" Target="https://dapre.presidencia.gov.co/normativa/normativa/DECRETO%20526%20DEL%207%20DE%20ABRIL%20DE%202020.pdf" TargetMode="External"/><Relationship Id="rId90" Type="http://schemas.openxmlformats.org/officeDocument/2006/relationships/hyperlink" Target="https://dapre.presidencia.gov.co/normativa/normativa/DECRETO%20482%20DEL%2026%20DE%20MARZO%20DE%202020.pdf" TargetMode="External"/><Relationship Id="rId165" Type="http://schemas.openxmlformats.org/officeDocument/2006/relationships/hyperlink" Target="https://dapre.presidencia.gov.co/normativa/normativa/DECRETO%20539%20DEL%2013%20DE%20ABRIL%20DE%202020.pdf" TargetMode="External"/><Relationship Id="rId186" Type="http://schemas.openxmlformats.org/officeDocument/2006/relationships/hyperlink" Target="https://dapre.presidencia.gov.co/normativa/normativa/DECRETO%20570%20DEL%2015%20DE%20ABRIL%20DE%202020.pdf" TargetMode="External"/><Relationship Id="rId211" Type="http://schemas.openxmlformats.org/officeDocument/2006/relationships/hyperlink" Target="https://bogota.gov.co/sites/default/files/inline-files/decreto-126-de-2020-version-pdf-final-7p.pdf" TargetMode="External"/><Relationship Id="rId232" Type="http://schemas.openxmlformats.org/officeDocument/2006/relationships/hyperlink" Target="https://dapre.presidencia.gov.co/normativa/normativa/DECRETO%201109%20DEL%2010%20DE%20AGOSTO%20DE%202020.pdf" TargetMode="External"/><Relationship Id="rId253" Type="http://schemas.openxmlformats.org/officeDocument/2006/relationships/hyperlink" Target="https://www.minsalud.gov.co/Normatividad_Nuevo/Resoluci%C3%B3n%20No.%20222%20de%202021.pdf" TargetMode="External"/><Relationship Id="rId274" Type="http://schemas.openxmlformats.org/officeDocument/2006/relationships/hyperlink" Target="https://dapre.presidencia.gov.co/normativa/normativa/LEY%202096%20DEL%2002%20DE%20JULIO%20DE%202021.pdf" TargetMode="External"/><Relationship Id="rId295" Type="http://schemas.openxmlformats.org/officeDocument/2006/relationships/comments" Target="../comments25.xml"/><Relationship Id="rId27" Type="http://schemas.openxmlformats.org/officeDocument/2006/relationships/hyperlink" Target="https://drive.google.com/file/d/1z4en7VOxk4K5Pr2ZngmGkk2Yx8tkmqMe/view" TargetMode="External"/><Relationship Id="rId48" Type="http://schemas.openxmlformats.org/officeDocument/2006/relationships/hyperlink" Target="https://dapre.presidencia.gov.co/normativa/normativa/DECRETO%20431%20DEL%2019%20DE%20MARZO%20DE%202020.pdf" TargetMode="External"/><Relationship Id="rId69" Type="http://schemas.openxmlformats.org/officeDocument/2006/relationships/hyperlink" Target="https://dapre.presidencia.gov.co/normativa/normativa/DECRETO%20467%20DEL%2023%20DE%20MARZO%20DE%202020.pdf" TargetMode="External"/><Relationship Id="rId113" Type="http://schemas.openxmlformats.org/officeDocument/2006/relationships/hyperlink" Target="https://dapre.presidencia.gov.co/normativa/normativa/DECRETO%20499%20DEL%2031%20DE%20MARZO%202020.pdf" TargetMode="External"/><Relationship Id="rId134" Type="http://schemas.openxmlformats.org/officeDocument/2006/relationships/hyperlink" Target="https://dapre.presidencia.gov.co/normativa/normativa/DECRETO%20516%20DEL%204%20DE%20ABRIL%20DE%202020.pdf" TargetMode="External"/><Relationship Id="rId80" Type="http://schemas.openxmlformats.org/officeDocument/2006/relationships/hyperlink" Target="https://dapre.presidencia.gov.co/normativa/normativa/DECRETO%20476%20DEL%2025%20DE%20MARZO%20DE%202020.pdf" TargetMode="External"/><Relationship Id="rId155" Type="http://schemas.openxmlformats.org/officeDocument/2006/relationships/hyperlink" Target="https://drive.google.com/file/d/1qlnUrHSISN4ekJixn_T-8BRZ8jEzzWtb/view?usp=sharing" TargetMode="External"/><Relationship Id="rId176" Type="http://schemas.openxmlformats.org/officeDocument/2006/relationships/hyperlink" Target="https://dapre.presidencia.gov.co/normativa/decretos-2020/decretos-abril-2020" TargetMode="External"/><Relationship Id="rId197" Type="http://schemas.openxmlformats.org/officeDocument/2006/relationships/hyperlink" Target="https://drive.google.com/file/d/1stmKC78OgeYEos0TFf6STTIAqKI_Ofo2/view?usp=sharing" TargetMode="External"/><Relationship Id="rId201" Type="http://schemas.openxmlformats.org/officeDocument/2006/relationships/hyperlink" Target="https://dapre.presidencia.gov.co/normativa/normativa/DECRETO%20593%20DEL%2024%20DE%20ABRIL%20DE%202020.pdf" TargetMode="External"/><Relationship Id="rId222" Type="http://schemas.openxmlformats.org/officeDocument/2006/relationships/hyperlink" Target="https://drive.google.com/file/d/1r1VjMjZYTNEejDUafngvyY1TnqRnEVxU/view" TargetMode="External"/><Relationship Id="rId243" Type="http://schemas.openxmlformats.org/officeDocument/2006/relationships/hyperlink" Target="https://www.sic.gov.co/sites/default/files/normatividad/102020/Circular%20%20010%20de%202020.pdf" TargetMode="External"/><Relationship Id="rId264" Type="http://schemas.openxmlformats.org/officeDocument/2006/relationships/hyperlink" Target="https://www.minsalud.gov.co/Normatividad_Nuevo/Forms/DispForm.aspx?ID=6013" TargetMode="External"/><Relationship Id="rId285" Type="http://schemas.openxmlformats.org/officeDocument/2006/relationships/hyperlink" Target="https://www.funcionpublica.gov.co/eva/gestornormativo/norma.php?i=186026" TargetMode="External"/><Relationship Id="rId17" Type="http://schemas.openxmlformats.org/officeDocument/2006/relationships/hyperlink" Target="https://dapre.presidencia.gov.co/normativa/normativa/DECRETO%20401%20DEL%2013%20DE%20MARZO%20DE%202020.pdf" TargetMode="External"/><Relationship Id="rId38" Type="http://schemas.openxmlformats.org/officeDocument/2006/relationships/hyperlink" Target="https://drive.google.com/file/d/1RJ64JKUpFBnUc7uGvovI0IkaqBm3_L3-/view" TargetMode="External"/><Relationship Id="rId59" Type="http://schemas.openxmlformats.org/officeDocument/2006/relationships/hyperlink" Target="https://dapre.presidencia.gov.co/normativa/normativa/DECRETO%20450%20DEL%2021%20DE%20MARZO%20DE%202020.pdf" TargetMode="External"/><Relationship Id="rId103" Type="http://schemas.openxmlformats.org/officeDocument/2006/relationships/hyperlink" Target="https://www.alcaldiabogota.gov.co/sisjur/consulta_tematica.jsp" TargetMode="External"/><Relationship Id="rId124" Type="http://schemas.openxmlformats.org/officeDocument/2006/relationships/hyperlink" Target="https://drive.google.com/file/d/1e8b9hh29wJuj-fGtEU2qXy4jHgRuasfI/view?usp=sharing" TargetMode="External"/><Relationship Id="rId70" Type="http://schemas.openxmlformats.org/officeDocument/2006/relationships/hyperlink" Target="https://dapre.presidencia.gov.co/normativa/normativa/DECRETO%20465%20DEL%2023%20DE%20MARZO%20DE%202020.pdf" TargetMode="External"/><Relationship Id="rId91" Type="http://schemas.openxmlformats.org/officeDocument/2006/relationships/hyperlink" Target="https://dapre.presidencia.gov.co/normativa/normativa/DECRETO%20483%20DEL%2026%20DE%20MARZO%20DE%202020.pdf" TargetMode="External"/><Relationship Id="rId145" Type="http://schemas.openxmlformats.org/officeDocument/2006/relationships/hyperlink" Target="https://dapre.presidencia.gov.co/normativa/normativa/DECRETO%20525%20DEL%207%20DE%20ABRIL%20DE%202020.pdf" TargetMode="External"/><Relationship Id="rId166" Type="http://schemas.openxmlformats.org/officeDocument/2006/relationships/hyperlink" Target="https://drive.google.com/file/d/1kyfCO2SmghCQXcP9ZD77HNepgDHJyqXw/view?usp=sharing" TargetMode="External"/><Relationship Id="rId187" Type="http://schemas.openxmlformats.org/officeDocument/2006/relationships/hyperlink" Target="https://dapre.presidencia.gov.co/normativa/normativa/DECRETO%20569%20DEL%2015%20DE%20ABRIL%20DE%202020.pdf" TargetMode="External"/><Relationship Id="rId1" Type="http://schemas.openxmlformats.org/officeDocument/2006/relationships/hyperlink" Target="https://drive.google.com/file/d/1nZyiULvuMK01aY_e16N1aXNmhFZFBC6a/view" TargetMode="External"/><Relationship Id="rId212" Type="http://schemas.openxmlformats.org/officeDocument/2006/relationships/hyperlink" Target="https://drive.google.com/file/d/1GuPQiKgXFRVd5TegFLVW9balwRNmO18N/view" TargetMode="External"/><Relationship Id="rId233" Type="http://schemas.openxmlformats.org/officeDocument/2006/relationships/hyperlink" Target="https://drive.google.com/file/d/1wGUOjPmKOGNba4eyVlTrBE6wzJFBlfcV/view?usp=sharing" TargetMode="External"/><Relationship Id="rId254" Type="http://schemas.openxmlformats.org/officeDocument/2006/relationships/hyperlink" Target="https://www.minsalud.gov.co/Normatividad_Nuevo/Resoluci%C3%B3n%20No.%20223%20%20de%202021.pdf" TargetMode="External"/><Relationship Id="rId28" Type="http://schemas.openxmlformats.org/officeDocument/2006/relationships/hyperlink" Target="https://drive.google.com/file/d/1QxUI_fH9RldCAhBEYa3pDm8QMv2J-jNq/view" TargetMode="External"/><Relationship Id="rId49" Type="http://schemas.openxmlformats.org/officeDocument/2006/relationships/hyperlink" Target="https://dapre.presidencia.gov.co/normativa/normativa/DECRETO%20433%20DEL%2019%20DE%20MARZO%20DE%202020.pdf" TargetMode="External"/><Relationship Id="rId114" Type="http://schemas.openxmlformats.org/officeDocument/2006/relationships/hyperlink" Target="https://drive.google.com/file/d/1O5RHwoHOyGFPp94lEIXux7fvc-ONcgHZ/view?usp=sharing" TargetMode="External"/><Relationship Id="rId275" Type="http://schemas.openxmlformats.org/officeDocument/2006/relationships/hyperlink" Target="https://safetya.co/normatividad/resolucion-1022-de-2021/" TargetMode="External"/><Relationship Id="rId60" Type="http://schemas.openxmlformats.org/officeDocument/2006/relationships/hyperlink" Target="https://dapre.presidencia.gov.co/normativa/normativa/DECRETO%20458%20DEL%2022%20DE%20MARZO%20DE%202020.pdf" TargetMode="External"/><Relationship Id="rId81" Type="http://schemas.openxmlformats.org/officeDocument/2006/relationships/hyperlink" Target="https://dapre.presidencia.gov.co/normativa/normativa/DECRETO%20475%20DEL%2025%20DE%20MARZO%20DE%202020.pdf" TargetMode="External"/><Relationship Id="rId135" Type="http://schemas.openxmlformats.org/officeDocument/2006/relationships/hyperlink" Target="https://dapre.presidencia.gov.co/normativa/normativa/DECRETO%20515%20DEL%204%20DE%20ABRIL%20DE%202020.pdf" TargetMode="External"/><Relationship Id="rId156" Type="http://schemas.openxmlformats.org/officeDocument/2006/relationships/hyperlink" Target="https://dapre.presidencia.gov.co/normativa/normativa/DECRETO%20536%20DEL%2011%20DE%20ABRIL%20DE%202020.pdf" TargetMode="External"/><Relationship Id="rId177" Type="http://schemas.openxmlformats.org/officeDocument/2006/relationships/hyperlink" Target="https://dapre.presidencia.gov.co/normativa/normativa/DECRETO%20579%20DEL%2015%20DE%20ABRIL%20DE%202020.pdf" TargetMode="External"/><Relationship Id="rId198" Type="http://schemas.openxmlformats.org/officeDocument/2006/relationships/hyperlink" Target="https://drive.google.com/file/d/1mI-TUSlFAqVXa8rBtsWBckkUUoIyec0d/view" TargetMode="External"/><Relationship Id="rId202" Type="http://schemas.openxmlformats.org/officeDocument/2006/relationships/hyperlink" Target="https://drive.google.com/file/d/1B9-75bX7UnNNE7zuVkc9omMS0YoDKgRu/view?usp=sharing" TargetMode="External"/><Relationship Id="rId223" Type="http://schemas.openxmlformats.org/officeDocument/2006/relationships/hyperlink" Target="https://drive.google.com/file/d/126Uy5bRvaER3UnubyOLn1N7D3QAoBfZk/view?usp=sharing" TargetMode="External"/><Relationship Id="rId244" Type="http://schemas.openxmlformats.org/officeDocument/2006/relationships/hyperlink" Target="https://drive.google.com/file/d/1cIY10W3mSDpHCMoJgRgGwf09L8yNbP2g/view" TargetMode="External"/><Relationship Id="rId18" Type="http://schemas.openxmlformats.org/officeDocument/2006/relationships/hyperlink" Target="https://dapre.presidencia.gov.co/normativa/normativa/DECRETO%20400%20DEL%2013%20DE%20MARZO%20DE%202020.pdf" TargetMode="External"/><Relationship Id="rId39" Type="http://schemas.openxmlformats.org/officeDocument/2006/relationships/hyperlink" Target="https://drive.google.com/file/d/14v6pEwah1d-DoS5Fqcq6xZtGWny_pd88/view" TargetMode="External"/><Relationship Id="rId265" Type="http://schemas.openxmlformats.org/officeDocument/2006/relationships/hyperlink" Target="https://funcionpublica.gov.co/eva/gestornormativo/norma_pdf.php?i=157252" TargetMode="External"/><Relationship Id="rId286" Type="http://schemas.openxmlformats.org/officeDocument/2006/relationships/hyperlink" Target="https://dapre.presidencia.gov.co/normativa/normativa/DECRETO%20655%20DEL%2028%20DE%20ABRIL%20DE%202022.pdf" TargetMode="External"/><Relationship Id="rId50" Type="http://schemas.openxmlformats.org/officeDocument/2006/relationships/hyperlink" Target="https://dapre.presidencia.gov.co/normativa/normativa/DECRETO%20442%20DEL%2020%20DE%20MARZO%20DE%202020.pdf" TargetMode="External"/><Relationship Id="rId104" Type="http://schemas.openxmlformats.org/officeDocument/2006/relationships/hyperlink" Target="https://drive.google.com/file/d/1UPhIH8xpd-_GRtLkE9WXk8GgOpzMmu9U/view" TargetMode="External"/><Relationship Id="rId125" Type="http://schemas.openxmlformats.org/officeDocument/2006/relationships/hyperlink" Target="https://drive.google.com/file/d/1ByOh9EUMw21PhVCkMsBsmzbUNUvJEHQE/view?usp=sharing" TargetMode="External"/><Relationship Id="rId146" Type="http://schemas.openxmlformats.org/officeDocument/2006/relationships/hyperlink" Target="https://dapre.presidencia.gov.co/normativa/normativa/DECRETO%20524%20DEL%207%20DE%20ABRIL%20DE%202020.pdf" TargetMode="External"/><Relationship Id="rId167" Type="http://schemas.openxmlformats.org/officeDocument/2006/relationships/hyperlink" Target="https://drive.google.com/file/d/10DbrlrTShV61HA2okqBIJB-K7E6uBC5K/view?usp=sharing" TargetMode="External"/><Relationship Id="rId188" Type="http://schemas.openxmlformats.org/officeDocument/2006/relationships/hyperlink" Target="https://dapre.presidencia.gov.co/normativa/normativa/DECRETO%20568%20DEL%2015%20DE%20ABRIL%20DE%202020.pdf" TargetMode="External"/><Relationship Id="rId71" Type="http://schemas.openxmlformats.org/officeDocument/2006/relationships/hyperlink" Target="https://dapre.presidencia.gov.co/normativa/normativa/DECRETO%20464%20DEL%2023%20DE%20MARZO%20DE%202020.pdf" TargetMode="External"/><Relationship Id="rId92" Type="http://schemas.openxmlformats.org/officeDocument/2006/relationships/hyperlink" Target="https://drive.google.com/file/d/1N5FLbmAyEQsoCTdOHEkp_cFlqHiWsGk9/view" TargetMode="External"/><Relationship Id="rId213" Type="http://schemas.openxmlformats.org/officeDocument/2006/relationships/hyperlink" Target="https://www.idrd.gov.co/sites/default/files/marco-legal/167_-_resolucion_protocolos_bioseguridad_2.pdf" TargetMode="External"/><Relationship Id="rId234" Type="http://schemas.openxmlformats.org/officeDocument/2006/relationships/hyperlink" Target="https://www.sic.gov.co/sites/default/files/normatividad/082020/CIRCULAR%20DATOS%2018%20DE%20AGOSTO.pdf" TargetMode="External"/><Relationship Id="rId2" Type="http://schemas.openxmlformats.org/officeDocument/2006/relationships/hyperlink" Target="https://www.alcaldiabogota.gov.co/sisjur/consulta_tematica.jsp" TargetMode="External"/><Relationship Id="rId29" Type="http://schemas.openxmlformats.org/officeDocument/2006/relationships/hyperlink" Target="https://dapre.presidencia.gov.co/normativa/normativa/DECRETO%20417%20DEL%2017%20DE%20MARZO%20DE%202020.pdf" TargetMode="External"/><Relationship Id="rId255" Type="http://schemas.openxmlformats.org/officeDocument/2006/relationships/hyperlink" Target="https://www.mininterior.gov.co/la-institucion/normatividad/decreto-206-del-26-de-febrero-de-2021" TargetMode="External"/><Relationship Id="rId276" Type="http://schemas.openxmlformats.org/officeDocument/2006/relationships/hyperlink" Target="https://www.alcaldiabogota.gov.co/sisjur/normas/Norma1.jsp?i=116162" TargetMode="External"/><Relationship Id="rId40" Type="http://schemas.openxmlformats.org/officeDocument/2006/relationships/hyperlink" Target="https://dapre.presidencia.gov.co/normativa/normativa/DECRETO%20438%20DEL%2019%20DE%20MARZO%20DE%202020.pdf" TargetMode="External"/><Relationship Id="rId115" Type="http://schemas.openxmlformats.org/officeDocument/2006/relationships/hyperlink" Target="https://drive.google.com/file/d/139ZrjIWM3TJXWQ6Tgpni_Io_pGS6D6nv/view?usp=sharing" TargetMode="External"/><Relationship Id="rId136" Type="http://schemas.openxmlformats.org/officeDocument/2006/relationships/hyperlink" Target="https://dapre.presidencia.gov.co/normativa/normativa/DECRETO%20514%20DEL%204%20DE%20ABRIL%20DE%202020.pdf" TargetMode="External"/><Relationship Id="rId157" Type="http://schemas.openxmlformats.org/officeDocument/2006/relationships/hyperlink" Target="https://drive.google.com/file/d/1yqOaoAikMXvUEIV6UAPKpSAOO_RmP4n4/view" TargetMode="External"/><Relationship Id="rId178" Type="http://schemas.openxmlformats.org/officeDocument/2006/relationships/hyperlink" Target="https://dapre.presidencia.gov.co/normativa/normativa/DECRETO%20578%20DEL%2015%20DE%20ABRIL%20DE%202020.pdf" TargetMode="External"/><Relationship Id="rId61" Type="http://schemas.openxmlformats.org/officeDocument/2006/relationships/hyperlink" Target="https://dapre.presidencia.gov.co/normativa/normativa/DECRETO%20457%20DEL%2022%20DE%20MARZO%20DE%202020.pdf" TargetMode="External"/><Relationship Id="rId82" Type="http://schemas.openxmlformats.org/officeDocument/2006/relationships/hyperlink" Target="https://dapre.presidencia.gov.co/normativa/normativa/DECRETO%20474%20DEL%2025%20DE%20MARZO%20DE%202020.pdf" TargetMode="External"/><Relationship Id="rId199" Type="http://schemas.openxmlformats.org/officeDocument/2006/relationships/hyperlink" Target="https://drive.google.com/file/d/1Kg9QeCx3XKGDA8tNgz2Jh1UITMF0qcaC/view" TargetMode="External"/><Relationship Id="rId203" Type="http://schemas.openxmlformats.org/officeDocument/2006/relationships/hyperlink" Target="https://www.ramajudicial.gov.co/web/consejo-superior-de-la-judicatura/-/consejo-superior-de-la-judicatura-prorroga-la-suspension-de-terminos-judiciales-y-amplia-las-excepciones" TargetMode="External"/><Relationship Id="rId19" Type="http://schemas.openxmlformats.org/officeDocument/2006/relationships/hyperlink" Target="https://dapre.presidencia.gov.co/normativa/normativa/DECRETO%20399%20DEL%2013%20DE%20MARZO%20DE%202020.pdf" TargetMode="External"/><Relationship Id="rId224" Type="http://schemas.openxmlformats.org/officeDocument/2006/relationships/hyperlink" Target="https://dapre.presidencia.gov.co/normativa/normativa/DECRETO%20963%20DEL%207%20DE%20JULIO%20DE%202020.pdf" TargetMode="External"/><Relationship Id="rId245" Type="http://schemas.openxmlformats.org/officeDocument/2006/relationships/hyperlink" Target="https://drive.google.com/file/d/1MqiKJR5qZwpOVvG2c4ytQ6LUA1ekFo0y/view" TargetMode="External"/><Relationship Id="rId266" Type="http://schemas.openxmlformats.org/officeDocument/2006/relationships/hyperlink" Target="https://normograma.mintic.gov.co/docs/pdf/resolucion_minsaludps_0129_2021.pdf" TargetMode="External"/><Relationship Id="rId287" Type="http://schemas.openxmlformats.org/officeDocument/2006/relationships/hyperlink" Target="https://www.minsalud.gov.co/Normatividad_Nuevo/Resoluci%C3%B3n%20692%20de%202022.pdf" TargetMode="External"/><Relationship Id="rId30" Type="http://schemas.openxmlformats.org/officeDocument/2006/relationships/hyperlink" Target="https://www.alcaldiabogota.gov.co/sisjur/normas/Norma1.jsp?i=91455" TargetMode="External"/><Relationship Id="rId105" Type="http://schemas.openxmlformats.org/officeDocument/2006/relationships/hyperlink" Target="https://drive.google.com/file/d/1mXUFVP1esMlDe-c-kbtaC2gIKb2xGs7K/view?usp=sharing" TargetMode="External"/><Relationship Id="rId126" Type="http://schemas.openxmlformats.org/officeDocument/2006/relationships/hyperlink" Target="https://dapre.presidencia.gov.co/normativa/normativa/DECRETO%20513%20DEL%202%20DE%20ABRIL%20DE%202020.pdf" TargetMode="External"/><Relationship Id="rId147" Type="http://schemas.openxmlformats.org/officeDocument/2006/relationships/hyperlink" Target="https://dapre.presidencia.gov.co/normativa/normativa/DECRETO%20523%20DEL%207%20DE%20ABRIL%20DE%202020.pdf" TargetMode="External"/><Relationship Id="rId168" Type="http://schemas.openxmlformats.org/officeDocument/2006/relationships/hyperlink" Target="https://dapre.presidencia.gov.co/normativa/normativa/DECRETO%20550%20DEL%2014%20DE%20ABRIL%20DE%202020.pdf" TargetMode="External"/><Relationship Id="rId51" Type="http://schemas.openxmlformats.org/officeDocument/2006/relationships/hyperlink" Target="https://dapre.presidencia.gov.co/normativa/normativa/DECRETO%20441%20DEL%2020%20DE%20MARZO%20DE%202020.pdf" TargetMode="External"/><Relationship Id="rId72" Type="http://schemas.openxmlformats.org/officeDocument/2006/relationships/hyperlink" Target="https://dapre.presidencia.gov.co/normativa/normativa/DECRETO%20463%20DEL%2022%20DE%20MARZO%20DE%202020.pdf" TargetMode="External"/><Relationship Id="rId93" Type="http://schemas.openxmlformats.org/officeDocument/2006/relationships/hyperlink" Target="https://drive.google.com/file/d/1rpjWKScK3zyP0syEf_oyC1uI2uEAxMR6/view?usp=sharing" TargetMode="External"/><Relationship Id="rId189" Type="http://schemas.openxmlformats.org/officeDocument/2006/relationships/hyperlink" Target="https://dapre.presidencia.gov.co/normativa/normativa/DECRETO%20561%20DEL%2015%20DE%20ABRIL%20DE%202020.pdf" TargetMode="External"/><Relationship Id="rId3" Type="http://schemas.openxmlformats.org/officeDocument/2006/relationships/hyperlink" Target="https://drive.google.com/file/d/1bl9h6R0rYNqqHoKchDwqEi2MTCNH4JVs/view" TargetMode="External"/><Relationship Id="rId214" Type="http://schemas.openxmlformats.org/officeDocument/2006/relationships/hyperlink" Target="https://drive.google.com/file/d/1WAswye5gvslFHsmJNmlxz2zAS06W5yH5/view?usp=sharing" TargetMode="External"/><Relationship Id="rId235" Type="http://schemas.openxmlformats.org/officeDocument/2006/relationships/hyperlink" Target="https://dapre.presidencia.gov.co/normativa/normativa/LEY%202052%20DEL%2025%20DE%20AGOSTO%20DE%202020.pdf" TargetMode="External"/><Relationship Id="rId256" Type="http://schemas.openxmlformats.org/officeDocument/2006/relationships/hyperlink" Target="https://www.mintrabajo.gov.co/documents/20147/61442826/Circular+0022.PDF/a858d468-707f-8d13-2790-2b43839a7ea7?t=1615235618146" TargetMode="External"/><Relationship Id="rId277" Type="http://schemas.openxmlformats.org/officeDocument/2006/relationships/hyperlink" Target="https://www.funcionpublica.gov.co/eva/gestornormativo/norma.php?i=169587" TargetMode="External"/><Relationship Id="rId116" Type="http://schemas.openxmlformats.org/officeDocument/2006/relationships/hyperlink" Target="https://drive.google.com/file/d/1TVQOwjtWlInsazhGEPKQgU-C8JmzAOA0/view" TargetMode="External"/><Relationship Id="rId137" Type="http://schemas.openxmlformats.org/officeDocument/2006/relationships/hyperlink" Target="https://dapre.presidencia.gov.co/normativa/normativa/DECRETO%20519%20DEL%205%20DE%20ABRIL%20DE%202020.pdf" TargetMode="External"/><Relationship Id="rId158" Type="http://schemas.openxmlformats.org/officeDocument/2006/relationships/hyperlink" Target="https://dapre.presidencia.gov.co/normativa/normativa/DECRETO%20538%20DEL%2012%20DE%20ABRIL%20DE%202020.pdf" TargetMode="External"/><Relationship Id="rId20" Type="http://schemas.openxmlformats.org/officeDocument/2006/relationships/hyperlink" Target="https://dapre.presidencia.gov.co/normativa/normativa/DECRETO%20398%20DEL%2013%20DE%20MARZO%20DE%202020.pdf" TargetMode="External"/><Relationship Id="rId41" Type="http://schemas.openxmlformats.org/officeDocument/2006/relationships/hyperlink" Target="https://dapre.presidencia.gov.co/normativa/normativa/DECRETO%20437%20DEL%2019%20DE%20MARZO%20DE%202020.pdf" TargetMode="External"/><Relationship Id="rId62" Type="http://schemas.openxmlformats.org/officeDocument/2006/relationships/hyperlink" Target="https://dapre.presidencia.gov.co/normativa/normativa/DECRETO%20461%20DEL%2022%20DE%20MARZO%20DE%202020.pdf" TargetMode="External"/><Relationship Id="rId83" Type="http://schemas.openxmlformats.org/officeDocument/2006/relationships/hyperlink" Target="https://dapre.presidencia.gov.co/normativa/normativa/DECRETO%20473%20DEL%2025%20DE%20MARZO%20DE%202020.pdf" TargetMode="External"/><Relationship Id="rId179" Type="http://schemas.openxmlformats.org/officeDocument/2006/relationships/hyperlink" Target="https://dapre.presidencia.gov.co/normativa/normativa/DECRETO%20577%20DEL%2015%20DE%20ABRIL%20DE%202020.pdf" TargetMode="External"/><Relationship Id="rId190" Type="http://schemas.openxmlformats.org/officeDocument/2006/relationships/hyperlink" Target="https://drive.google.com/file/d/1Ju_eS1N2-TcyZ98PvApAo2ODrH-k012N/view" TargetMode="External"/><Relationship Id="rId204" Type="http://schemas.openxmlformats.org/officeDocument/2006/relationships/hyperlink" Target="https://www.supernotariado.gov.co/PortalSNR/ShowProperty?nodeId=%2FSNRContent%2FWLSWCCPORTAL01175504%2F%2FidcPrimaryFile&amp;revision=latestreleased" TargetMode="External"/><Relationship Id="rId225" Type="http://schemas.openxmlformats.org/officeDocument/2006/relationships/hyperlink" Target="https://drive.google.com/file/d/1SsJulqmhQoOS40DHyDWupTIqGcEfCeBI/view" TargetMode="External"/><Relationship Id="rId246" Type="http://schemas.openxmlformats.org/officeDocument/2006/relationships/hyperlink" Target="https://drive.google.com/file/d/1JZRfHM3ygVH7WT8X-9jVVtCe4X2W8xlo/view?usp=sharing" TargetMode="External"/><Relationship Id="rId267" Type="http://schemas.openxmlformats.org/officeDocument/2006/relationships/hyperlink" Target="https://safetya.co/normatividad/resolucion-599-de-2021/" TargetMode="External"/><Relationship Id="rId288" Type="http://schemas.openxmlformats.org/officeDocument/2006/relationships/hyperlink" Target="https://www.minsalud.gov.co/Normatividad_Nuevo/Circular%20Externa%20y%20Conjunta%20No.16%20de%202022.pdf" TargetMode="External"/><Relationship Id="rId106" Type="http://schemas.openxmlformats.org/officeDocument/2006/relationships/hyperlink" Target="https://dapre.presidencia.gov.co/normativa/normativa/DECRETO%20495%20DEL%2029%20DE%20MARZO%20DE%202020.pdf" TargetMode="External"/><Relationship Id="rId127" Type="http://schemas.openxmlformats.org/officeDocument/2006/relationships/hyperlink" Target="https://dapre.presidencia.gov.co/normativa/normativa/DECRETO%20512%20DEL%202%20DE%20ABRIL%20DE%202020.pdf" TargetMode="External"/><Relationship Id="rId10" Type="http://schemas.openxmlformats.org/officeDocument/2006/relationships/hyperlink" Target="https://drive.google.com/file/d/1FhDFhfCVIcqIKysSLoLqBDzw2qV0kFnz/view" TargetMode="External"/><Relationship Id="rId31" Type="http://schemas.openxmlformats.org/officeDocument/2006/relationships/hyperlink" Target="https://www.alcaldiabogota.gov.co/sisjur/consulta_tematica.jsp" TargetMode="External"/><Relationship Id="rId52" Type="http://schemas.openxmlformats.org/officeDocument/2006/relationships/hyperlink" Target="https://dapre.presidencia.gov.co/normativa/normativa/DECRETO%20440%20DEL%2020%20DE%20MARZO%20DE%202020.pdf" TargetMode="External"/><Relationship Id="rId73" Type="http://schemas.openxmlformats.org/officeDocument/2006/relationships/hyperlink" Target="https://dapre.presidencia.gov.co/normativa/normativa/DECRETO%20462%20DEL%2022%20DE%20MARZO%20DE%202020.pdf" TargetMode="External"/><Relationship Id="rId94" Type="http://schemas.openxmlformats.org/officeDocument/2006/relationships/hyperlink" Target="https://dapre.presidencia.gov.co/normativa/normativa/DECRETO%20484%20DEL%2027%20DE%20MARZO%20DE%202020.pdf" TargetMode="External"/><Relationship Id="rId148" Type="http://schemas.openxmlformats.org/officeDocument/2006/relationships/hyperlink" Target="https://dapre.presidencia.gov.co/normativa/normativa/DECRETO%20532%20DEL%208%20DE%20ABRIL%20DE%202020.pdf" TargetMode="External"/><Relationship Id="rId169" Type="http://schemas.openxmlformats.org/officeDocument/2006/relationships/hyperlink" Target="https://dapre.presidencia.gov.co/normativa/normativa/DECRETO%20549%20DEL%2014%20DE%20ABRIL%20DE%202020.pdf" TargetMode="External"/><Relationship Id="rId4" Type="http://schemas.openxmlformats.org/officeDocument/2006/relationships/hyperlink" Target="https://drive.google.com/file/d/1R2Y6096Z38TqRURDS5HEul4ePF917WOW/view" TargetMode="External"/><Relationship Id="rId180" Type="http://schemas.openxmlformats.org/officeDocument/2006/relationships/hyperlink" Target="https://dapre.presidencia.gov.co/normativa/normativa/DECRETO%20576%20DEL%2015%20DE%20ABRIL%20DE%202020.pdf" TargetMode="External"/><Relationship Id="rId215" Type="http://schemas.openxmlformats.org/officeDocument/2006/relationships/hyperlink" Target="https://dapre.presidencia.gov.co/normativa/normativa/DIRECTIVA%20PRESIDENCIAL%2003%20DEL%2015%20DE%20MARZO%20DE%202021.pdf" TargetMode="External"/><Relationship Id="rId236" Type="http://schemas.openxmlformats.org/officeDocument/2006/relationships/hyperlink" Target="https://drive.google.com/file/d/1n12Rsfw7yhPIiKfZe3oZ_Hv4Ip0XGxG-/view" TargetMode="External"/><Relationship Id="rId257" Type="http://schemas.openxmlformats.org/officeDocument/2006/relationships/hyperlink" Target="https://www.minsalud.gov.co/Normatividad_Nuevo/Resoluci%C3%B3n%20No.%20392%20de%202021.pdf" TargetMode="External"/><Relationship Id="rId278" Type="http://schemas.openxmlformats.org/officeDocument/2006/relationships/hyperlink" Target="https://www.minsalud.gov.co/Normatividad_Nuevo/Resoluci%C3%B3n%20No.%201687%20de%202021.pdf" TargetMode="External"/><Relationship Id="rId42" Type="http://schemas.openxmlformats.org/officeDocument/2006/relationships/hyperlink" Target="https://dapre.presidencia.gov.co/normativa/normativa/DECRETO%20436%20DEL%2019%20DE%20MARZO%20DE%202020.pdf" TargetMode="External"/><Relationship Id="rId84" Type="http://schemas.openxmlformats.org/officeDocument/2006/relationships/hyperlink" Target="https://dapre.presidencia.gov.co/normativa/normativa/DECRETO%20472%20DEL%2025%20DE%20MARZO%20DE%202020.pdf" TargetMode="External"/><Relationship Id="rId138" Type="http://schemas.openxmlformats.org/officeDocument/2006/relationships/hyperlink" Target="https://dapre.presidencia.gov.co/normativa/normativa/DECRETO%20522%20DEL%206%20DE%20ABRIL%20DE%202020.pdf" TargetMode="External"/><Relationship Id="rId191" Type="http://schemas.openxmlformats.org/officeDocument/2006/relationships/hyperlink" Target="https://drive.google.com/file/d/1WBkl9trEpMOdXbxsSX3PHcoV8CwZzpri/view?usp=sharing" TargetMode="External"/><Relationship Id="rId205" Type="http://schemas.openxmlformats.org/officeDocument/2006/relationships/hyperlink" Target="https://www.supernotariado.gov.co/PortalSNR/ShowProperty?nodeId=%2FSNRContent%2FWLSWCCPORTAL01175521%2F%2FidcPrimaryFile&amp;revision=latestreleased" TargetMode="External"/><Relationship Id="rId247" Type="http://schemas.openxmlformats.org/officeDocument/2006/relationships/hyperlink" Target="https://drive.google.com/file/d/1_3eHfOJnWy9jvRtgZihgmhCXEAxj3olN/view" TargetMode="External"/><Relationship Id="rId107" Type="http://schemas.openxmlformats.org/officeDocument/2006/relationships/hyperlink" Target="https://dapre.presidencia.gov.co/normativa/normativa/DECRETO%20494%20DEL%2029%20DE%20MARZO%20DE%202020.pdf" TargetMode="External"/><Relationship Id="rId289" Type="http://schemas.openxmlformats.org/officeDocument/2006/relationships/hyperlink" Target="https://www.funcionpublica.gov.co/eva/gestornormativo/norma.php?i=186026" TargetMode="External"/><Relationship Id="rId11" Type="http://schemas.openxmlformats.org/officeDocument/2006/relationships/hyperlink" Target="https://drive.google.com/file/d/1_L0Izb6vNGuUEXV2yIzK-au75e-lcvLg/view" TargetMode="External"/><Relationship Id="rId53" Type="http://schemas.openxmlformats.org/officeDocument/2006/relationships/hyperlink" Target="https://dapre.presidencia.gov.co/normativa/normativa/DECRETO%20444%20DEL%2021%20DE%20MARZO%20DE%202020.pdf" TargetMode="External"/><Relationship Id="rId149" Type="http://schemas.openxmlformats.org/officeDocument/2006/relationships/hyperlink" Target="https://dapre.presidencia.gov.co/normativa/normativa/DECRETO%20531%20DEL%208%20DE%20ABRIL%20DE%202020.pdf" TargetMode="External"/><Relationship Id="rId95" Type="http://schemas.openxmlformats.org/officeDocument/2006/relationships/hyperlink" Target="https://dapre.presidencia.gov.co/normativa/normativa/DECRETO%20485%20DEL%2027%20DE%20MARZO%20DE%202020.pdf" TargetMode="External"/><Relationship Id="rId160" Type="http://schemas.openxmlformats.org/officeDocument/2006/relationships/hyperlink" Target="https://drive.google.com/file/d/1LvsFykJ5K_rhP1ditbFtRKQdIzC59MkQ/view?usp=sharing" TargetMode="External"/><Relationship Id="rId216" Type="http://schemas.openxmlformats.org/officeDocument/2006/relationships/hyperlink" Target="https://drive.google.com/file/d/1us3_xYPM9ygB-EA5JRrd5EedthLePyM_/view" TargetMode="External"/><Relationship Id="rId258" Type="http://schemas.openxmlformats.org/officeDocument/2006/relationships/hyperlink" Target="https://www.minsalud.gov.co/sites/rid/Lists/BibliotecaDigital/RIDE/DE/DIJ/circular-conjunta-025-de-2021.pdf" TargetMode="External"/><Relationship Id="rId22" Type="http://schemas.openxmlformats.org/officeDocument/2006/relationships/hyperlink" Target="https://drive.google.com/file/d/1Hi7CZFIlqIXb6SwN9wDFbx_tKGLGzGnG/view" TargetMode="External"/><Relationship Id="rId64" Type="http://schemas.openxmlformats.org/officeDocument/2006/relationships/hyperlink" Target="https://dapre.presidencia.gov.co/normativa/normativa/DECRETO%20459%20DEL%2022%20DE%20MARZO%20DE%202020.pdf" TargetMode="External"/><Relationship Id="rId118" Type="http://schemas.openxmlformats.org/officeDocument/2006/relationships/hyperlink" Target="https://dapre.presidencia.gov.co/normativa/normativa/DECRETO%20510%20DEL%201%20DE%20ABRIL%20DE%202020.pdf" TargetMode="External"/><Relationship Id="rId171" Type="http://schemas.openxmlformats.org/officeDocument/2006/relationships/hyperlink" Target="https://dapre.presidencia.gov.co/normativa/normativa/DECRETO%20546%20DEL%2014%20DE%20ABRIL%20DE%202020.pdf" TargetMode="External"/><Relationship Id="rId227" Type="http://schemas.openxmlformats.org/officeDocument/2006/relationships/hyperlink" Target="https://drive.google.com/file/d/1fcpREMVobE26e5JwZqqBEZ5a14riQ4Wy/view?usp=sharing" TargetMode="External"/><Relationship Id="rId269" Type="http://schemas.openxmlformats.org/officeDocument/2006/relationships/hyperlink" Target="https://www.funcionpublica.gov.co/eva/gestornormativo/norma.php?i=163906"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www.alcaldiabogota.gov.co/sisjur/normas/Norma1.jsp?i=30118" TargetMode="External"/><Relationship Id="rId13" Type="http://schemas.openxmlformats.org/officeDocument/2006/relationships/hyperlink" Target="https://www.alcaldiabogota.gov.co/sisjur/normas/Norma1.jsp?i=49822" TargetMode="External"/><Relationship Id="rId18" Type="http://schemas.openxmlformats.org/officeDocument/2006/relationships/hyperlink" Target="https://acmineria.com.co/acm/wp-content/uploads/normativas/resolucion_472_de_2017-mads_-_residuos_de_demolicion_y_construccion.pdf" TargetMode="External"/><Relationship Id="rId26" Type="http://schemas.openxmlformats.org/officeDocument/2006/relationships/drawing" Target="../drawings/drawing27.xml"/><Relationship Id="rId3" Type="http://schemas.openxmlformats.org/officeDocument/2006/relationships/hyperlink" Target="https://www.alcaldiabogota.gov.co/sisjur/normas/Norma1.jsp?i=56074" TargetMode="External"/><Relationship Id="rId21" Type="http://schemas.openxmlformats.org/officeDocument/2006/relationships/hyperlink" Target="https://www.alcaldiabogota.gov.co/sisjur/normas/Norma1.jsp?i=61973" TargetMode="External"/><Relationship Id="rId7" Type="http://schemas.openxmlformats.org/officeDocument/2006/relationships/hyperlink" Target="https://drive.google.com/drive/folders/1Zu7kE0crCuz6q5zfofodD9DQJ1cYBtPb" TargetMode="External"/><Relationship Id="rId12" Type="http://schemas.openxmlformats.org/officeDocument/2006/relationships/hyperlink" Target="https://drive.google.com/drive/folders/1Zu7kE0crCuz6q5zfofodD9DQJ1cYBtPb" TargetMode="External"/><Relationship Id="rId17" Type="http://schemas.openxmlformats.org/officeDocument/2006/relationships/hyperlink" Target="https://www.alcaldiabogota.gov.co/sisjur/normas/Norma1.jsp?i=62579&amp;dt=S" TargetMode="External"/><Relationship Id="rId25" Type="http://schemas.openxmlformats.org/officeDocument/2006/relationships/hyperlink" Target="https://www.alcaldiabogota.gov.co/sisjur/normas/Norma1.jsp?dt=S&amp;i=119582" TargetMode="External"/><Relationship Id="rId2" Type="http://schemas.openxmlformats.org/officeDocument/2006/relationships/hyperlink" Target="https://www.alcaldiabogota.gov.co/sisjur/normas/Norma1.jsp?i=59277" TargetMode="External"/><Relationship Id="rId16" Type="http://schemas.openxmlformats.org/officeDocument/2006/relationships/hyperlink" Target="https://drive.google.com/drive/folders/1Zu7kE0crCuz6q5zfofodD9DQJ1cYBtPb" TargetMode="External"/><Relationship Id="rId20" Type="http://schemas.openxmlformats.org/officeDocument/2006/relationships/hyperlink" Target="https://www.funcionpublica.gov.co/eva/gestornormativo/norma.php?i=78153" TargetMode="External"/><Relationship Id="rId1" Type="http://schemas.openxmlformats.org/officeDocument/2006/relationships/hyperlink" Target="https://www.alcaldiabogota.gov.co/sisjur/normas/Norma1.jsp?i=42586&amp;dt=S" TargetMode="External"/><Relationship Id="rId6" Type="http://schemas.openxmlformats.org/officeDocument/2006/relationships/hyperlink" Target="http://concejodebogota.gov.co/acuerdos-aprobados-2012/cbogota/2016-08-03/160947.php" TargetMode="External"/><Relationship Id="rId11" Type="http://schemas.openxmlformats.org/officeDocument/2006/relationships/hyperlink" Target="https://drive.google.com/drive/folders/1Zu7kE0crCuz6q5zfofodD9DQJ1cYBtPb" TargetMode="External"/><Relationship Id="rId24" Type="http://schemas.openxmlformats.org/officeDocument/2006/relationships/hyperlink" Target="https://www.alcaldiabogota.gov.co/sisjur/normas/Norma1.jsp?i=90298" TargetMode="External"/><Relationship Id="rId5" Type="http://schemas.openxmlformats.org/officeDocument/2006/relationships/hyperlink" Target="https://www.alcaldiabogota.gov.co/sisjur/normas/Norma1.jsp?i=38261&amp;dt=S" TargetMode="External"/><Relationship Id="rId15" Type="http://schemas.openxmlformats.org/officeDocument/2006/relationships/hyperlink" Target="https://www.alcaldiabogota.gov.co/sisjur/normas/Norma1.jsp?i=61596" TargetMode="External"/><Relationship Id="rId23" Type="http://schemas.openxmlformats.org/officeDocument/2006/relationships/hyperlink" Target="https://www.alcaldiabogota.gov.co/sisjur/normas/Norma1.jsp?i=107948&amp;dt=S" TargetMode="External"/><Relationship Id="rId28" Type="http://schemas.openxmlformats.org/officeDocument/2006/relationships/comments" Target="../comments26.xml"/><Relationship Id="rId10" Type="http://schemas.openxmlformats.org/officeDocument/2006/relationships/hyperlink" Target="https://www.alcaldiabogota.gov.co/sisjur/normas/Norma1.jsp?i=37618" TargetMode="External"/><Relationship Id="rId19" Type="http://schemas.openxmlformats.org/officeDocument/2006/relationships/hyperlink" Target="https://www.alcaldiabogota.gov.co/sisjur/normas/Norma1.jsp?i=34284" TargetMode="External"/><Relationship Id="rId4" Type="http://schemas.openxmlformats.org/officeDocument/2006/relationships/hyperlink" Target="https://www.alcaldiabogota.gov.co/sisjur/normas/Norma1.jsp?i=25613" TargetMode="External"/><Relationship Id="rId9" Type="http://schemas.openxmlformats.org/officeDocument/2006/relationships/hyperlink" Target="https://www.alcaldiabogota.gov.co/sisjur/normas/Norma1.jsp?i=33005" TargetMode="External"/><Relationship Id="rId14" Type="http://schemas.openxmlformats.org/officeDocument/2006/relationships/hyperlink" Target="https://drive.google.com/drive/folders/1Zu7kE0crCuz6q5zfofodD9DQJ1cYBtPb" TargetMode="External"/><Relationship Id="rId22" Type="http://schemas.openxmlformats.org/officeDocument/2006/relationships/hyperlink" Target="https://www.alcaldiabogota.gov.co/sisjur/normas/Norma1.jsp?i=34265&amp;dt=S" TargetMode="External"/><Relationship Id="rId27" Type="http://schemas.openxmlformats.org/officeDocument/2006/relationships/vmlDrawing" Target="../drawings/vmlDrawing26.vml"/></Relationships>
</file>

<file path=xl/worksheets/_rels/sheet3.xml.rels><?xml version="1.0" encoding="UTF-8" standalone="yes"?>
<Relationships xmlns="http://schemas.openxmlformats.org/package/2006/relationships"><Relationship Id="rId26" Type="http://schemas.openxmlformats.org/officeDocument/2006/relationships/hyperlink" Target="https://www.alcaldiabogota.gov.co/sisjur/normas/Norma1.jsp?i=60556" TargetMode="External"/><Relationship Id="rId21" Type="http://schemas.openxmlformats.org/officeDocument/2006/relationships/hyperlink" Target="https://www.alcaldiabogota.gov.co/sisjur/normas/Norma1.jsp?i=43292" TargetMode="External"/><Relationship Id="rId34" Type="http://schemas.openxmlformats.org/officeDocument/2006/relationships/hyperlink" Target="https://drive.google.com/file/d/1pn_qvLEuPuKYVfwnmlI3gbr5mwybj6Af/view?usp=sharing" TargetMode="External"/><Relationship Id="rId42" Type="http://schemas.openxmlformats.org/officeDocument/2006/relationships/hyperlink" Target="https://drive.google.com/file/d/1BNHr7UO_1hHbzJXtAshGU9k7Pj8ZSlOG/view?usp=sharing" TargetMode="External"/><Relationship Id="rId47" Type="http://schemas.openxmlformats.org/officeDocument/2006/relationships/hyperlink" Target="https://drive.google.com/file/d/1BomNWwj5wghi3s7dM6Qllp2_ObI_c2QY/view?usp=sharing" TargetMode="External"/><Relationship Id="rId50" Type="http://schemas.openxmlformats.org/officeDocument/2006/relationships/hyperlink" Target="https://drive.google.com/file/d/1OuYfgZDtu1W6JwjxD3QNWn_PQdG-V5UX/view?usp=sharing" TargetMode="External"/><Relationship Id="rId55" Type="http://schemas.openxmlformats.org/officeDocument/2006/relationships/hyperlink" Target="https://drive.google.com/file/d/1oFpH9-pe73w0-ZQMP0-ePDKLFXBRMxpj/view?usp=sharing" TargetMode="External"/><Relationship Id="rId63" Type="http://schemas.openxmlformats.org/officeDocument/2006/relationships/hyperlink" Target="https://drive.google.com/file/d/1TioyEakzBZPgVWaKMHrOWpfbaxoYOHts/view?usp=sharing" TargetMode="External"/><Relationship Id="rId68" Type="http://schemas.openxmlformats.org/officeDocument/2006/relationships/comments" Target="../comments2.xml"/><Relationship Id="rId7" Type="http://schemas.openxmlformats.org/officeDocument/2006/relationships/hyperlink" Target="https://www.alcaldiabogota.gov.co/sisjur/normas/Norma1.jsp?i=5876" TargetMode="External"/><Relationship Id="rId2" Type="http://schemas.openxmlformats.org/officeDocument/2006/relationships/hyperlink" Target="https://www.alcaldiabogota.gov.co/sisjur/normas/Norma1.jsp?i=41102" TargetMode="External"/><Relationship Id="rId16" Type="http://schemas.openxmlformats.org/officeDocument/2006/relationships/hyperlink" Target="https://www.alcaldiabogota.gov.co/sisjur/normas/Norma1.jsp?i=25678" TargetMode="External"/><Relationship Id="rId29" Type="http://schemas.openxmlformats.org/officeDocument/2006/relationships/hyperlink" Target="https://www.alcaldiabogota.gov.co/sisjur/normas/Norma1.jsp?i=75362" TargetMode="External"/><Relationship Id="rId11" Type="http://schemas.openxmlformats.org/officeDocument/2006/relationships/hyperlink" Target="https://www.alcaldiabogota.gov.co/sisjur/normas/Norma1.jsp?i=186" TargetMode="External"/><Relationship Id="rId24" Type="http://schemas.openxmlformats.org/officeDocument/2006/relationships/hyperlink" Target="https://www.alcaldiabogota.gov.co/sisjur/normas/Norma1.jsp?i=56882" TargetMode="External"/><Relationship Id="rId32" Type="http://schemas.openxmlformats.org/officeDocument/2006/relationships/hyperlink" Target="https://drive.google.com/file/d/1pq5oOPPqhXiu4jMDtNTUbZ3k1nkWCQJ9/view?usp=sharing" TargetMode="External"/><Relationship Id="rId37" Type="http://schemas.openxmlformats.org/officeDocument/2006/relationships/hyperlink" Target="https://drive.google.com/file/d/1bFxc2fNuZqcjrSqrWTn3LCuU-7TDMR1V/view?usp=sharing" TargetMode="External"/><Relationship Id="rId40" Type="http://schemas.openxmlformats.org/officeDocument/2006/relationships/hyperlink" Target="https://drive.google.com/file/d/13Y5Q4Uobw9BWAItQvcNTPUPPjOJsaqDS/view?usp=sharing" TargetMode="External"/><Relationship Id="rId45" Type="http://schemas.openxmlformats.org/officeDocument/2006/relationships/hyperlink" Target="https://drive.google.com/file/d/1t1KUdIKn9GHrgSTye7A1arbdtYLbLkTJ/view?usp=sharing" TargetMode="External"/><Relationship Id="rId53" Type="http://schemas.openxmlformats.org/officeDocument/2006/relationships/hyperlink" Target="https://drive.google.com/file/d/1VXiq6WLaVfEg20tKAAGGyNtXeSn_ntMD/view?usp=sharing" TargetMode="External"/><Relationship Id="rId58" Type="http://schemas.openxmlformats.org/officeDocument/2006/relationships/hyperlink" Target="https://drive.google.com/file/d/1d-k1l85ceBE9h4AwTKOEIscPhaglzI8A/view?usp=sharing" TargetMode="External"/><Relationship Id="rId66" Type="http://schemas.openxmlformats.org/officeDocument/2006/relationships/drawing" Target="../drawings/drawing3.xml"/><Relationship Id="rId5" Type="http://schemas.openxmlformats.org/officeDocument/2006/relationships/hyperlink" Target="https://www.alcaldiabogota.gov.co/sisjur/normas/Norma1.jsp?i=5248" TargetMode="External"/><Relationship Id="rId61" Type="http://schemas.openxmlformats.org/officeDocument/2006/relationships/hyperlink" Target="https://drive.google.com/file/d/1sxJ6VmQ17lF-YacSkJKjGZLdK1U0hzK1/view?usp=sharing" TargetMode="External"/><Relationship Id="rId19" Type="http://schemas.openxmlformats.org/officeDocument/2006/relationships/hyperlink" Target="https://www.bogotajuridica.gov.co/sisjur/normas/Norma1.jsp?i=41383&amp;dt=S" TargetMode="External"/><Relationship Id="rId14" Type="http://schemas.openxmlformats.org/officeDocument/2006/relationships/hyperlink" Target="http://www.secretariasenado.gov.co/senado/basedoc/ley_0842_2003.html" TargetMode="External"/><Relationship Id="rId22" Type="http://schemas.openxmlformats.org/officeDocument/2006/relationships/hyperlink" Target="https://www.alcaldiabogota.gov.co/sisjur/normas/Norma1.jsp?i=44089&amp;dt=S" TargetMode="External"/><Relationship Id="rId27" Type="http://schemas.openxmlformats.org/officeDocument/2006/relationships/hyperlink" Target="https://www.alcaldiabogota.gov.co/sisjur/normas/Norma1.jsp?i=71552" TargetMode="External"/><Relationship Id="rId30" Type="http://schemas.openxmlformats.org/officeDocument/2006/relationships/hyperlink" Target="https://www.alcaldiabogota.gov.co/sisjur/normas/Norma1.jsp?i=79862" TargetMode="External"/><Relationship Id="rId35" Type="http://schemas.openxmlformats.org/officeDocument/2006/relationships/hyperlink" Target="https://drive.google.com/file/d/1Q9qxej223L8znLb89C5pnSKKoYxTGNoW/view?usp=sharing" TargetMode="External"/><Relationship Id="rId43" Type="http://schemas.openxmlformats.org/officeDocument/2006/relationships/hyperlink" Target="https://drive.google.com/file/d/1xkfNoDy0ev871qe7kDDcyiFq7j5BhXL6/view?usp=sharing" TargetMode="External"/><Relationship Id="rId48" Type="http://schemas.openxmlformats.org/officeDocument/2006/relationships/hyperlink" Target="https://drive.google.com/file/d/1U8s4LRG95yR9_ts5cM-poi3zpNoFKpWH/view?usp=sharing" TargetMode="External"/><Relationship Id="rId56" Type="http://schemas.openxmlformats.org/officeDocument/2006/relationships/hyperlink" Target="https://drive.google.com/file/d/1vTpa4BoZyzaAifrJrJjcEY65nxGnREO2/view?usp=sharing" TargetMode="External"/><Relationship Id="rId64" Type="http://schemas.openxmlformats.org/officeDocument/2006/relationships/hyperlink" Target="https://drive.google.com/file/d/1wAZXBLJOdsn79p-oAn0mjb16VY9cmCV0/view?usp=sharing" TargetMode="External"/><Relationship Id="rId8" Type="http://schemas.openxmlformats.org/officeDocument/2006/relationships/hyperlink" Target="https://www.alcaldiabogota.gov.co/sisjur/normas/Norma1.jsp?i=1428" TargetMode="External"/><Relationship Id="rId51" Type="http://schemas.openxmlformats.org/officeDocument/2006/relationships/hyperlink" Target="https://drive.google.com/file/d/1PBUgsNTeCxgXS3a_T9WXLrqqJOz26Npr/view?usp=sharing" TargetMode="External"/><Relationship Id="rId3" Type="http://schemas.openxmlformats.org/officeDocument/2006/relationships/hyperlink" Target="https://www.alcaldiabogota.gov.co/sisjur/normas/Norma1.jsp?i=897&amp;dt=S" TargetMode="External"/><Relationship Id="rId12" Type="http://schemas.openxmlformats.org/officeDocument/2006/relationships/hyperlink" Target="https://www.alcaldiabogota.gov.co/sisjur/normas/Norma1.jsp?i=4276" TargetMode="External"/><Relationship Id="rId17" Type="http://schemas.openxmlformats.org/officeDocument/2006/relationships/hyperlink" Target="https://www.alcaldiabogota.gov.co/sisjur/normas/Norma1.jsp?i=40685" TargetMode="External"/><Relationship Id="rId25" Type="http://schemas.openxmlformats.org/officeDocument/2006/relationships/hyperlink" Target="https://www.alcaldiabogota.gov.co/sisjur/normas/Norma1.jsp?i=57239" TargetMode="External"/><Relationship Id="rId33" Type="http://schemas.openxmlformats.org/officeDocument/2006/relationships/hyperlink" Target="https://drive.google.com/file/d/1jW94ZfNeDxMpdOQdf3jK59DPQTi6kcX5/view?usp=sharing" TargetMode="External"/><Relationship Id="rId38" Type="http://schemas.openxmlformats.org/officeDocument/2006/relationships/hyperlink" Target="https://drive.google.com/file/d/17vg6sjdkt6HhAv4v5fmKgHbWOVYTcYvD/view?usp=sharing" TargetMode="External"/><Relationship Id="rId46" Type="http://schemas.openxmlformats.org/officeDocument/2006/relationships/hyperlink" Target="https://drive.google.com/file/d/1V4fRh1Q29w1Wz7lX-8nJANeWskVjoV0m/view?usp=sharing" TargetMode="External"/><Relationship Id="rId59" Type="http://schemas.openxmlformats.org/officeDocument/2006/relationships/hyperlink" Target="https://drive.google.com/file/d/1oveOAg52l8hjahf-sNvCTfe2KCDguinN/view?usp=sharing" TargetMode="External"/><Relationship Id="rId67" Type="http://schemas.openxmlformats.org/officeDocument/2006/relationships/vmlDrawing" Target="../drawings/vmlDrawing2.vml"/><Relationship Id="rId20" Type="http://schemas.openxmlformats.org/officeDocument/2006/relationships/hyperlink" Target="https://www.bogotajuridica.gov.co/sisjur/normas/Norma1.jsp?i=43572" TargetMode="External"/><Relationship Id="rId41" Type="http://schemas.openxmlformats.org/officeDocument/2006/relationships/hyperlink" Target="https://drive.google.com/file/d/1i0XVPh1L7dHPsDZQeCZlVTnqLMnem9MK/view?usp=sharing" TargetMode="External"/><Relationship Id="rId54" Type="http://schemas.openxmlformats.org/officeDocument/2006/relationships/hyperlink" Target="https://drive.google.com/file/d/1MMZeMGJYRYqm3O6gEVH2hkUWvbzesbrB/view?usp=sharing" TargetMode="External"/><Relationship Id="rId62" Type="http://schemas.openxmlformats.org/officeDocument/2006/relationships/hyperlink" Target="https://drive.google.com/file/d/1lTg39MadU6eWJ3x_kzIDcASLuxe-5b-2/view?usp=sharing" TargetMode="External"/><Relationship Id="rId1" Type="http://schemas.openxmlformats.org/officeDocument/2006/relationships/hyperlink" Target="https://www.alcaldiabogota.gov.co/sisjur/normas/Norma1.jsp?i=39535" TargetMode="External"/><Relationship Id="rId6" Type="http://schemas.openxmlformats.org/officeDocument/2006/relationships/hyperlink" Target="https://www.alcaldiabogota.gov.co/sisjur/normas/Norma1.jsp?i=321&amp;dt=S" TargetMode="External"/><Relationship Id="rId15" Type="http://schemas.openxmlformats.org/officeDocument/2006/relationships/hyperlink" Target="https://www.alcaldiabogota.gov.co/sisjur/normas/Norma1.jsp?i=15113" TargetMode="External"/><Relationship Id="rId23" Type="http://schemas.openxmlformats.org/officeDocument/2006/relationships/hyperlink" Target="https://www.alcaldiabogota.gov.co/sisjur/normas/Norma1.jsp?i=45329" TargetMode="External"/><Relationship Id="rId28" Type="http://schemas.openxmlformats.org/officeDocument/2006/relationships/hyperlink" Target="https://www.alcaldiabogota.gov.co/sisjur/normas/Norma1.jsp?i=73590" TargetMode="External"/><Relationship Id="rId36" Type="http://schemas.openxmlformats.org/officeDocument/2006/relationships/hyperlink" Target="https://drive.google.com/file/d/11gGSi4J-4fSXQB5gF9DBeB8W7GUaWViS/view?usp=sharing" TargetMode="External"/><Relationship Id="rId49" Type="http://schemas.openxmlformats.org/officeDocument/2006/relationships/hyperlink" Target="https://drive.google.com/file/d/18IgRHHFco22jrdkxh_wAE9a0O8NI4Waj/view?usp=sharing" TargetMode="External"/><Relationship Id="rId57" Type="http://schemas.openxmlformats.org/officeDocument/2006/relationships/hyperlink" Target="https://drive.google.com/file/d/1Vr0P-6LjP0JM0o0eyHN0kmTYp6xhaEIx/view?usp=sharing" TargetMode="External"/><Relationship Id="rId10" Type="http://schemas.openxmlformats.org/officeDocument/2006/relationships/hyperlink" Target="https://www.alcaldiabogota.gov.co/sisjur/normas/Norma1.jsp?i=1535" TargetMode="External"/><Relationship Id="rId31" Type="http://schemas.openxmlformats.org/officeDocument/2006/relationships/hyperlink" Target="http://legal.legis.com.co/document/Index?obra=jurcol&amp;document=jurcol_a4665ea3ef954617ac3ba193a55decfc" TargetMode="External"/><Relationship Id="rId44" Type="http://schemas.openxmlformats.org/officeDocument/2006/relationships/hyperlink" Target="https://drive.google.com/file/d/1K4VZv4UtqzKWMAzBzeQnycHGYgCWHe1s/view?usp=sharing" TargetMode="External"/><Relationship Id="rId52" Type="http://schemas.openxmlformats.org/officeDocument/2006/relationships/hyperlink" Target="https://drive.google.com/file/d/1Xp4_lx4LuKgaBBv-V4aEI7TO6Yc_gN3S/view?usp=sharing" TargetMode="External"/><Relationship Id="rId60" Type="http://schemas.openxmlformats.org/officeDocument/2006/relationships/hyperlink" Target="https://drive.google.com/file/d/1755_tpHrFQ2aaqc_bNivJxqjgHNvI3mV/view?usp=sharing" TargetMode="External"/><Relationship Id="rId65" Type="http://schemas.openxmlformats.org/officeDocument/2006/relationships/hyperlink" Target="https://drive.google.com/file/d/1RkNcs_fS7KLhBT15_M0qVVRLcMAgrRrU/view?usp=sharing" TargetMode="External"/><Relationship Id="rId4" Type="http://schemas.openxmlformats.org/officeDocument/2006/relationships/hyperlink" Target="https://www.alcaldiabogota.gov.co/sisjur/normas/Norma1.jsp?i=304" TargetMode="External"/><Relationship Id="rId9" Type="http://schemas.openxmlformats.org/officeDocument/2006/relationships/hyperlink" Target="https://www.alcaldiabogota.gov.co/sisjur/normas/Norma1.jsp?i=1304" TargetMode="External"/><Relationship Id="rId13" Type="http://schemas.openxmlformats.org/officeDocument/2006/relationships/hyperlink" Target="https://www.alcaldiabogota.gov.co/sisjur/normas/Norma1.jsp?i=8788" TargetMode="External"/><Relationship Id="rId18" Type="http://schemas.openxmlformats.org/officeDocument/2006/relationships/hyperlink" Target="https://www.alcaldiabogota.gov.co/sisjur/normas/Norma1.jsp?i=41249" TargetMode="External"/><Relationship Id="rId39" Type="http://schemas.openxmlformats.org/officeDocument/2006/relationships/hyperlink" Target="https://drive.google.com/file/d/1gn8uEj8oJBgcPF3Gfb6TX2s31nJ9YDQ0/view?usp=sharing"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isjur.bogotajuridica.gov.co/sisjur/normas/Norma1.jsp?i=98205" TargetMode="External"/><Relationship Id="rId13" Type="http://schemas.openxmlformats.org/officeDocument/2006/relationships/hyperlink" Target="https://www.personeriabogota.gov.co/component/jdownloads/send/1-root/17549-circular-002-de-2021" TargetMode="External"/><Relationship Id="rId3" Type="http://schemas.openxmlformats.org/officeDocument/2006/relationships/hyperlink" Target="http://sisjur.bogotajuridica.gov.co/sisjur/normas/Norma1.jsp?i=91670" TargetMode="External"/><Relationship Id="rId7" Type="http://schemas.openxmlformats.org/officeDocument/2006/relationships/hyperlink" Target="https://www.alcaldiabogota.gov.co/sisjur/normas/Norma1.jsp?i=98205" TargetMode="External"/><Relationship Id="rId12" Type="http://schemas.openxmlformats.org/officeDocument/2006/relationships/hyperlink" Target="https://www.personeriabogota.gov.co/component/jdownloads/send/1-root/17550-res-451-de-2021" TargetMode="External"/><Relationship Id="rId2" Type="http://schemas.openxmlformats.org/officeDocument/2006/relationships/hyperlink" Target="https://www.idrd.gov.co/transparencia/marco-legal/normatividad/resolucion-141-del-24-marzo-2020" TargetMode="External"/><Relationship Id="rId16" Type="http://schemas.openxmlformats.org/officeDocument/2006/relationships/comments" Target="../comments3.xml"/><Relationship Id="rId1" Type="http://schemas.openxmlformats.org/officeDocument/2006/relationships/hyperlink" Target="https://www.idrd.gov.co/transparencia/marco-legal/normatividad/resolucion-140-del-19-marzo-2020" TargetMode="External"/><Relationship Id="rId6" Type="http://schemas.openxmlformats.org/officeDocument/2006/relationships/hyperlink" Target="https://www.idrd.gov.co/transparencia/marco-legal/normatividad/resolucion-284-del-9-septiembre-2020" TargetMode="External"/><Relationship Id="rId11" Type="http://schemas.openxmlformats.org/officeDocument/2006/relationships/hyperlink" Target="https://www.procuraduria.gov.co/relatoria/index.jsp?option=co.gov.pgn.relatoria.frontend.component.pagefactory.NormatividadPageFactory" TargetMode="External"/><Relationship Id="rId5" Type="http://schemas.openxmlformats.org/officeDocument/2006/relationships/hyperlink" Target="http://sisjur.bogotajuridica.gov.co/sisjur/normas/Norma1.jsp?i=93265" TargetMode="External"/><Relationship Id="rId15" Type="http://schemas.openxmlformats.org/officeDocument/2006/relationships/vmlDrawing" Target="../drawings/vmlDrawing3.vml"/><Relationship Id="rId10" Type="http://schemas.openxmlformats.org/officeDocument/2006/relationships/hyperlink" Target="https://www.funcionpublica.gov.co/eva/gestornormativo/norma.php?i=165113" TargetMode="External"/><Relationship Id="rId4" Type="http://schemas.openxmlformats.org/officeDocument/2006/relationships/hyperlink" Target="https://www.idrd.gov.co/transparencia/marco-legal/normatividad/resolucion-145-2020" TargetMode="External"/><Relationship Id="rId9" Type="http://schemas.openxmlformats.org/officeDocument/2006/relationships/hyperlink" Target="https://www.alcaldiabogota.gov.co/sisjur/normas/Norma1.jsp?i=108172" TargetMode="External"/><Relationship Id="rId1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hyperlink" Target="https://dapre.presidencia.gov.co/normativa/normativa/DECRETO%20403%20DEL%2016%20DE%20MARZO%20DE%202020.pdf" TargetMode="External"/><Relationship Id="rId13" Type="http://schemas.openxmlformats.org/officeDocument/2006/relationships/hyperlink" Target="https://www.idrd.gov.co/sites/default/files/marco-legal/265_resolucion_del_comite_institucional_de_gestion_y_desempeno_agosto_de_2020_3.pdf" TargetMode="External"/><Relationship Id="rId18" Type="http://schemas.openxmlformats.org/officeDocument/2006/relationships/hyperlink" Target="https://www.contraloria.gov.co/documents/20181/1776254/CIRCULAR+0012+DE+2020.pdf/0f756ee8-de6a-4acb-912c-1a9aec0b11a2" TargetMode="External"/><Relationship Id="rId26" Type="http://schemas.openxmlformats.org/officeDocument/2006/relationships/hyperlink" Target="https://www.alcaldiabogota.gov.co/sisjur/normas/Norma1.jsp?i=4125" TargetMode="External"/><Relationship Id="rId3" Type="http://schemas.openxmlformats.org/officeDocument/2006/relationships/hyperlink" Target="http://www.desarrolloeconomico.gov.co/sites/default/files/marco-legal/Ley-1221-2008.pdf" TargetMode="External"/><Relationship Id="rId21" Type="http://schemas.openxmlformats.org/officeDocument/2006/relationships/hyperlink" Target="https://www.funcionpublica.gov.co/documents/418537/40722821/Circular-externa-100-020-2021-tramites.pdf/bfbbfb6b-a339-549c-89a0-23a9851e1775?t=1639482033104" TargetMode="External"/><Relationship Id="rId7" Type="http://schemas.openxmlformats.org/officeDocument/2006/relationships/hyperlink" Target="https://www.asocapitales.co/nueva/2020/09/24/decreto-1287-del-24-de-septiembre-de-2020/" TargetMode="External"/><Relationship Id="rId12" Type="http://schemas.openxmlformats.org/officeDocument/2006/relationships/hyperlink" Target="https://www.alcaldiabogota.gov.co/sisjur/normas/Norma1.jsp?i=93649" TargetMode="External"/><Relationship Id="rId17" Type="http://schemas.openxmlformats.org/officeDocument/2006/relationships/hyperlink" Target="https://www.alcaldiabogota.gov.co/sisjur/normas/Norma1.jsp?i=93527" TargetMode="External"/><Relationship Id="rId25" Type="http://schemas.openxmlformats.org/officeDocument/2006/relationships/hyperlink" Target="https://www.alcaldiabogota.gov.co/sisjur/normas/Norma1.jsp?i=9018" TargetMode="External"/><Relationship Id="rId2" Type="http://schemas.openxmlformats.org/officeDocument/2006/relationships/hyperlink" Target="https://www.funcionpublica.gov.co/eva/gestornormativo/norma.php?i=100251" TargetMode="External"/><Relationship Id="rId16" Type="http://schemas.openxmlformats.org/officeDocument/2006/relationships/hyperlink" Target="https://www.contraloriabogota.gov.co/sites/default/files/Contenido/Normatividad/Resoluciones/2022/RR_004_2022%20Por%20la%20cual%20se%20agrupan%2C%20clasifican%20y%20asignan%20sujetos%20VC/RR%20004%20del%202022%20Agrupan%2C%20clasifican%20y%20asignan%20sujetos%20VC.pdf" TargetMode="External"/><Relationship Id="rId20" Type="http://schemas.openxmlformats.org/officeDocument/2006/relationships/hyperlink" Target="https://www.alcaldiabogota.gov.co/sisjur/normas/Norma1.jsp?i=104207" TargetMode="External"/><Relationship Id="rId29" Type="http://schemas.openxmlformats.org/officeDocument/2006/relationships/drawing" Target="../drawings/drawing5.xml"/><Relationship Id="rId1" Type="http://schemas.openxmlformats.org/officeDocument/2006/relationships/hyperlink" Target="https://www.dnp.gov.co/Paginas/Normativa/Decreto-1082-de-2015.aspx" TargetMode="External"/><Relationship Id="rId6" Type="http://schemas.openxmlformats.org/officeDocument/2006/relationships/hyperlink" Target="http://www.alcaldiabogota.gov.co/sisjur/normas/Norma1.jsp?i=62518" TargetMode="External"/><Relationship Id="rId11" Type="http://schemas.openxmlformats.org/officeDocument/2006/relationships/hyperlink" Target="https://www.mintic.gov.co/portal/715/articles-210461_recurso_1.pdf" TargetMode="External"/><Relationship Id="rId24" Type="http://schemas.openxmlformats.org/officeDocument/2006/relationships/hyperlink" Target="https://www.habitatbogota.gov.co/sites/default/files/marco-legal/2022-02/Directiva%20008.pdf" TargetMode="External"/><Relationship Id="rId5" Type="http://schemas.openxmlformats.org/officeDocument/2006/relationships/hyperlink" Target="https://www.funcionpublica.gov.co/eva/gestornormativo/norma.php?i=175606" TargetMode="External"/><Relationship Id="rId15" Type="http://schemas.openxmlformats.org/officeDocument/2006/relationships/hyperlink" Target="https://www.contraloriabogota.gov.co/sites/default/files/Contenido/Normatividad/Resoluciones/2022/RR_002_2022%20Por%20la%20cual%20se%20regl%20la%20forma%20y%20los%20t%C3%A9rminos%20Ren%20Cuenta/RR%20002%20del%202022%20Rendici%C3%B3n%20de%20la%20Cuenta%20ante%20la%20Contralor%C3%ADa.pdf" TargetMode="External"/><Relationship Id="rId23" Type="http://schemas.openxmlformats.org/officeDocument/2006/relationships/hyperlink" Target="https://www.alcaldiabogota.gov.co/sisjur/normas/Norma1.jsp?i=123201&amp;dt=S" TargetMode="External"/><Relationship Id="rId28" Type="http://schemas.openxmlformats.org/officeDocument/2006/relationships/hyperlink" Target="https://www.funcionpublica.gov.co/eva/gestornormativo/norma_pdf.php?i=163577" TargetMode="External"/><Relationship Id="rId10" Type="http://schemas.openxmlformats.org/officeDocument/2006/relationships/hyperlink" Target="https://calimavalledelcauca.micolombiadigital.gov.co/sites/calimavalledelcauca/content/files/000581/29036_decreto_88_24_enero_2022-automatizacion-de-tramites.pdf" TargetMode="External"/><Relationship Id="rId19" Type="http://schemas.openxmlformats.org/officeDocument/2006/relationships/hyperlink" Target="https://www.alcaldiabogota.gov.co/sisjur/normas/Norma1.jsp?i=94767" TargetMode="External"/><Relationship Id="rId31" Type="http://schemas.openxmlformats.org/officeDocument/2006/relationships/comments" Target="../comments4.xml"/><Relationship Id="rId4" Type="http://schemas.openxmlformats.org/officeDocument/2006/relationships/hyperlink" Target="https://www.funcionpublica.gov.co/eva/gestornormativo/norma.php?i=168048" TargetMode="External"/><Relationship Id="rId9" Type="http://schemas.openxmlformats.org/officeDocument/2006/relationships/hyperlink" Target="https://xperta.legis.co/visor/legcol/legcol_4ba9f33889a74deeac2800b9e980f205/coleccion-de-legislacion-colombiana/decreto-189-de-agosto-21-de-2020" TargetMode="External"/><Relationship Id="rId14" Type="http://schemas.openxmlformats.org/officeDocument/2006/relationships/hyperlink" Target="https://mintic.gov.co/portal/inicio/Normatividad/Resoluciones/" TargetMode="External"/><Relationship Id="rId22" Type="http://schemas.openxmlformats.org/officeDocument/2006/relationships/hyperlink" Target="https://www.funcionpublica.gov.co/eva/gestornormativo/norma.php?i=175087" TargetMode="External"/><Relationship Id="rId27" Type="http://schemas.openxmlformats.org/officeDocument/2006/relationships/hyperlink" Target="https://secretariajuridica.gov.co/transparencia/marco-legal/normatividad/acuerdo-130-2004" TargetMode="External"/><Relationship Id="rId30"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hyperlink" Target="https://www.alcaldiabogota.gov.co/sisjur/normas/Norma1.jsp?i=82180" TargetMode="External"/><Relationship Id="rId7" Type="http://schemas.openxmlformats.org/officeDocument/2006/relationships/comments" Target="../comments5.xml"/><Relationship Id="rId2" Type="http://schemas.openxmlformats.org/officeDocument/2006/relationships/hyperlink" Target="https://www.minsalud.gov.co/Normatividad_Nuevo/Resoluci%C3%B3n%20No.%20666%20de%202020.pdf" TargetMode="External"/><Relationship Id="rId1" Type="http://schemas.openxmlformats.org/officeDocument/2006/relationships/hyperlink" Target="https://www.alcaldiabogota.gov.co/sisjur/normas/Norma1.jsp?i=9018" TargetMode="External"/><Relationship Id="rId6" Type="http://schemas.openxmlformats.org/officeDocument/2006/relationships/vmlDrawing" Target="../drawings/vmlDrawing5.vml"/><Relationship Id="rId5" Type="http://schemas.openxmlformats.org/officeDocument/2006/relationships/drawing" Target="../drawings/drawing6.xml"/><Relationship Id="rId4" Type="http://schemas.openxmlformats.org/officeDocument/2006/relationships/hyperlink" Target="https://dapre.presidencia.gov.co/normativa/normativa/LEY%202080%20DEL%2025%20DE%20ENERO%20DE%202021.pdf"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hyperlink" Target="https://www.mindeporte.gov.co/recursos_user/2020/Jur%C3%ADdica/Abril/Resolucion_No_000489_de_31_de_marzo_de_2020__FIRMADA.pdf.pdf" TargetMode="Externa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Z27"/>
  <sheetViews>
    <sheetView tabSelected="1" workbookViewId="0"/>
  </sheetViews>
  <sheetFormatPr baseColWidth="10" defaultColWidth="14.42578125" defaultRowHeight="15" customHeight="1"/>
  <cols>
    <col min="1" max="1" width="5.140625" customWidth="1"/>
    <col min="2" max="2" width="10.140625" customWidth="1"/>
    <col min="3" max="3" width="60.28515625" customWidth="1"/>
    <col min="5" max="5" width="60.5703125" hidden="1" customWidth="1"/>
    <col min="6" max="6" width="28.42578125" customWidth="1"/>
  </cols>
  <sheetData>
    <row r="1" spans="1:26">
      <c r="A1" s="1"/>
      <c r="B1" s="2"/>
      <c r="C1" s="2"/>
      <c r="D1" s="2"/>
      <c r="E1" s="3"/>
      <c r="F1" s="3"/>
      <c r="G1" s="2"/>
      <c r="H1" s="2"/>
      <c r="I1" s="2"/>
      <c r="J1" s="2"/>
      <c r="K1" s="2"/>
      <c r="L1" s="2"/>
      <c r="M1" s="2"/>
      <c r="N1" s="2"/>
      <c r="O1" s="2"/>
      <c r="P1" s="2"/>
      <c r="Q1" s="2"/>
      <c r="R1" s="2"/>
      <c r="S1" s="2"/>
      <c r="T1" s="2"/>
      <c r="U1" s="2"/>
      <c r="V1" s="2"/>
      <c r="W1" s="2"/>
      <c r="X1" s="2"/>
      <c r="Y1" s="2"/>
      <c r="Z1" s="2"/>
    </row>
    <row r="2" spans="1:26">
      <c r="A2" s="1"/>
      <c r="B2" s="2"/>
      <c r="C2" s="2"/>
      <c r="D2" s="2"/>
      <c r="E2" s="3"/>
      <c r="F2" s="3"/>
      <c r="G2" s="2"/>
      <c r="H2" s="2"/>
      <c r="I2" s="2"/>
      <c r="J2" s="2"/>
      <c r="K2" s="2"/>
      <c r="L2" s="2"/>
      <c r="M2" s="2"/>
      <c r="N2" s="2"/>
      <c r="O2" s="2"/>
      <c r="P2" s="2"/>
      <c r="Q2" s="2"/>
      <c r="R2" s="2"/>
      <c r="S2" s="2"/>
      <c r="T2" s="2"/>
      <c r="U2" s="2"/>
      <c r="V2" s="2"/>
      <c r="W2" s="2"/>
      <c r="X2" s="2"/>
      <c r="Y2" s="2"/>
      <c r="Z2" s="2"/>
    </row>
    <row r="3" spans="1:26">
      <c r="A3" s="1"/>
      <c r="B3" s="2"/>
      <c r="C3" s="2"/>
      <c r="D3" s="2"/>
      <c r="E3" s="3"/>
      <c r="F3" s="3"/>
      <c r="G3" s="2"/>
      <c r="H3" s="2"/>
      <c r="I3" s="2"/>
      <c r="J3" s="2"/>
      <c r="K3" s="2"/>
      <c r="L3" s="2"/>
      <c r="M3" s="2"/>
      <c r="N3" s="2"/>
      <c r="O3" s="2"/>
      <c r="P3" s="2"/>
      <c r="Q3" s="2"/>
      <c r="R3" s="2"/>
      <c r="S3" s="2"/>
      <c r="T3" s="2"/>
      <c r="U3" s="2"/>
      <c r="V3" s="2"/>
      <c r="W3" s="2"/>
      <c r="X3" s="2"/>
      <c r="Y3" s="2"/>
      <c r="Z3" s="2"/>
    </row>
    <row r="4" spans="1:26">
      <c r="A4" s="1"/>
      <c r="B4" s="764" t="s">
        <v>0</v>
      </c>
      <c r="C4" s="765"/>
      <c r="D4" s="765"/>
      <c r="E4" s="765"/>
      <c r="F4" s="766"/>
      <c r="G4" s="2"/>
      <c r="H4" s="2"/>
      <c r="I4" s="2"/>
      <c r="J4" s="2"/>
      <c r="K4" s="2"/>
      <c r="L4" s="2"/>
      <c r="M4" s="2"/>
      <c r="N4" s="2"/>
      <c r="O4" s="2"/>
      <c r="P4" s="2"/>
      <c r="Q4" s="2"/>
      <c r="R4" s="2"/>
      <c r="S4" s="2"/>
      <c r="T4" s="2"/>
      <c r="U4" s="2"/>
      <c r="V4" s="2"/>
      <c r="W4" s="2"/>
      <c r="X4" s="2"/>
      <c r="Y4" s="2"/>
      <c r="Z4" s="2"/>
    </row>
    <row r="5" spans="1:26" ht="1.5" customHeight="1">
      <c r="A5" s="1"/>
      <c r="B5" s="2"/>
      <c r="C5" s="2"/>
      <c r="D5" s="2"/>
      <c r="E5" s="3"/>
      <c r="F5" s="3"/>
      <c r="G5" s="2"/>
      <c r="H5" s="2"/>
      <c r="I5" s="2"/>
      <c r="J5" s="2"/>
      <c r="K5" s="2"/>
      <c r="L5" s="2"/>
      <c r="M5" s="2"/>
      <c r="N5" s="2"/>
      <c r="O5" s="2"/>
      <c r="P5" s="2"/>
      <c r="Q5" s="2"/>
      <c r="R5" s="2"/>
      <c r="S5" s="2"/>
      <c r="T5" s="2"/>
      <c r="U5" s="2"/>
      <c r="V5" s="2"/>
      <c r="W5" s="2"/>
      <c r="X5" s="2"/>
      <c r="Y5" s="2"/>
      <c r="Z5" s="2"/>
    </row>
    <row r="6" spans="1:26">
      <c r="A6" s="4"/>
      <c r="B6" s="5" t="s">
        <v>1</v>
      </c>
      <c r="C6" s="5" t="s">
        <v>2</v>
      </c>
      <c r="D6" s="5" t="s">
        <v>3</v>
      </c>
      <c r="E6" s="6" t="s">
        <v>4</v>
      </c>
      <c r="F6" s="5" t="s">
        <v>4</v>
      </c>
      <c r="G6" s="2"/>
      <c r="H6" s="2"/>
      <c r="I6" s="2"/>
      <c r="J6" s="2"/>
      <c r="K6" s="2"/>
      <c r="L6" s="2"/>
      <c r="M6" s="2"/>
      <c r="N6" s="2"/>
      <c r="O6" s="2"/>
      <c r="P6" s="2"/>
      <c r="Q6" s="2"/>
      <c r="R6" s="2"/>
      <c r="S6" s="2"/>
      <c r="T6" s="2"/>
      <c r="U6" s="2"/>
      <c r="V6" s="2"/>
      <c r="W6" s="2"/>
      <c r="X6" s="2"/>
      <c r="Y6" s="2"/>
      <c r="Z6" s="2"/>
    </row>
    <row r="7" spans="1:26">
      <c r="A7" s="1"/>
      <c r="B7" s="7">
        <v>1</v>
      </c>
      <c r="C7" s="8" t="s">
        <v>5</v>
      </c>
      <c r="D7" s="7" t="s">
        <v>6</v>
      </c>
      <c r="E7" s="9" t="str">
        <f>'Administración y Mantenimiento'!A3</f>
        <v>FECHA ÚLTIMA ACTUALIZACIÓN: 29/06/2022</v>
      </c>
      <c r="F7" s="10" t="str">
        <f t="array" ref="F7:F23">REPLACE(E7:E23,1,27," ")</f>
        <v xml:space="preserve">  29/06/2022</v>
      </c>
      <c r="G7" s="2"/>
      <c r="H7" s="2"/>
      <c r="I7" s="2"/>
      <c r="J7" s="2"/>
      <c r="K7" s="2"/>
      <c r="L7" s="2"/>
      <c r="M7" s="2"/>
      <c r="N7" s="2"/>
      <c r="O7" s="2"/>
      <c r="P7" s="2"/>
      <c r="Q7" s="2"/>
      <c r="R7" s="2"/>
      <c r="S7" s="2"/>
      <c r="T7" s="2"/>
      <c r="U7" s="2"/>
      <c r="V7" s="2"/>
      <c r="W7" s="2"/>
      <c r="X7" s="2"/>
      <c r="Y7" s="2"/>
      <c r="Z7" s="2"/>
    </row>
    <row r="8" spans="1:26">
      <c r="A8" s="1"/>
      <c r="B8" s="7">
        <v>2</v>
      </c>
      <c r="C8" s="8" t="s">
        <v>7</v>
      </c>
      <c r="D8" s="7" t="s">
        <v>6</v>
      </c>
      <c r="E8" s="11" t="str">
        <f>'Adquisición de Bienes y Servici'!A4</f>
        <v>FECHA ÚLTIMA ACTUALIZACIÓN: 08/06/2022</v>
      </c>
      <c r="F8" s="10" t="str">
        <v xml:space="preserve">  08/06/2022</v>
      </c>
      <c r="G8" s="2"/>
      <c r="H8" s="2"/>
      <c r="I8" s="2"/>
      <c r="J8" s="2"/>
      <c r="K8" s="2"/>
      <c r="L8" s="2"/>
      <c r="M8" s="2"/>
      <c r="N8" s="2"/>
      <c r="O8" s="2"/>
      <c r="P8" s="2"/>
      <c r="Q8" s="2"/>
      <c r="R8" s="2"/>
      <c r="S8" s="2"/>
      <c r="T8" s="2"/>
      <c r="U8" s="2"/>
      <c r="V8" s="2"/>
      <c r="W8" s="2"/>
      <c r="X8" s="2"/>
      <c r="Y8" s="2"/>
      <c r="Z8" s="2"/>
    </row>
    <row r="9" spans="1:26">
      <c r="A9" s="1"/>
      <c r="B9" s="7">
        <v>3</v>
      </c>
      <c r="C9" s="8" t="s">
        <v>8</v>
      </c>
      <c r="D9" s="7" t="s">
        <v>6</v>
      </c>
      <c r="E9" s="9" t="str">
        <f>'Adquisición de Bienes y Servici'!A4</f>
        <v>FECHA ÚLTIMA ACTUALIZACIÓN: 08/06/2022</v>
      </c>
      <c r="F9" s="10" t="str">
        <v xml:space="preserve">  08/06/2022</v>
      </c>
      <c r="G9" s="2"/>
      <c r="H9" s="2"/>
      <c r="I9" s="2"/>
      <c r="J9" s="2"/>
      <c r="K9" s="2"/>
      <c r="L9" s="2"/>
      <c r="M9" s="2"/>
      <c r="N9" s="2"/>
      <c r="O9" s="2"/>
      <c r="P9" s="2"/>
      <c r="Q9" s="2"/>
      <c r="R9" s="2"/>
      <c r="S9" s="2"/>
      <c r="T9" s="2"/>
      <c r="U9" s="2"/>
      <c r="V9" s="2"/>
      <c r="W9" s="2"/>
      <c r="X9" s="2"/>
      <c r="Y9" s="2"/>
      <c r="Z9" s="2"/>
    </row>
    <row r="10" spans="1:26">
      <c r="A10" s="1"/>
      <c r="B10" s="7">
        <v>4</v>
      </c>
      <c r="C10" s="8" t="s">
        <v>9</v>
      </c>
      <c r="D10" s="7" t="s">
        <v>6</v>
      </c>
      <c r="E10" s="12" t="str">
        <f>'Control Disciplinario'!A4</f>
        <v>FECHA ÚLTIMA ACTUALIZACIÓN: 08/04/2022</v>
      </c>
      <c r="F10" s="10" t="str">
        <v xml:space="preserve">  08/04/2022</v>
      </c>
      <c r="G10" s="2"/>
      <c r="H10" s="2"/>
      <c r="I10" s="2"/>
      <c r="J10" s="2"/>
      <c r="K10" s="2"/>
      <c r="L10" s="2"/>
      <c r="M10" s="2"/>
      <c r="N10" s="2"/>
      <c r="O10" s="2"/>
      <c r="P10" s="2"/>
      <c r="Q10" s="2"/>
      <c r="R10" s="2"/>
      <c r="S10" s="2"/>
      <c r="T10" s="2"/>
      <c r="U10" s="2"/>
      <c r="V10" s="2"/>
      <c r="W10" s="2"/>
      <c r="X10" s="2"/>
      <c r="Y10" s="2"/>
      <c r="Z10" s="2"/>
    </row>
    <row r="11" spans="1:26">
      <c r="A11" s="1"/>
      <c r="B11" s="7">
        <v>5</v>
      </c>
      <c r="C11" s="8" t="s">
        <v>10</v>
      </c>
      <c r="D11" s="7" t="s">
        <v>6</v>
      </c>
      <c r="E11" s="12" t="str">
        <f>'Control, Evaluación y Mejora'!A4</f>
        <v>FECHA ÚLTIMA ACTUALIZACIÓN: 07/06/2022</v>
      </c>
      <c r="F11" s="10" t="str">
        <v xml:space="preserve">  07/06/2022</v>
      </c>
      <c r="G11" s="2"/>
      <c r="H11" s="2"/>
      <c r="I11" s="2"/>
      <c r="J11" s="2"/>
      <c r="K11" s="2"/>
      <c r="L11" s="2"/>
      <c r="M11" s="2"/>
      <c r="N11" s="2"/>
      <c r="O11" s="2"/>
      <c r="P11" s="2"/>
      <c r="Q11" s="2"/>
      <c r="R11" s="2"/>
      <c r="S11" s="2"/>
      <c r="T11" s="2"/>
      <c r="U11" s="2"/>
      <c r="V11" s="2"/>
      <c r="W11" s="2"/>
      <c r="X11" s="2"/>
      <c r="Y11" s="2"/>
      <c r="Z11" s="2"/>
    </row>
    <row r="12" spans="1:26">
      <c r="A12" s="1"/>
      <c r="B12" s="7">
        <v>6</v>
      </c>
      <c r="C12" s="8" t="s">
        <v>11</v>
      </c>
      <c r="D12" s="7" t="s">
        <v>6</v>
      </c>
      <c r="E12" s="12" t="str">
        <f>'Diseño y Construcción de Parque'!A4</f>
        <v>FECHA ÚLTIMA ACTUALIZACIÓN: 18/02/2021</v>
      </c>
      <c r="F12" s="10" t="str">
        <v xml:space="preserve">  18/02/2021</v>
      </c>
      <c r="G12" s="2"/>
      <c r="H12" s="2"/>
      <c r="I12" s="2"/>
      <c r="J12" s="2"/>
      <c r="K12" s="2"/>
      <c r="L12" s="2"/>
      <c r="M12" s="2"/>
      <c r="N12" s="2"/>
      <c r="O12" s="2"/>
      <c r="P12" s="2"/>
      <c r="Q12" s="2"/>
      <c r="R12" s="2"/>
      <c r="S12" s="2"/>
      <c r="T12" s="2"/>
      <c r="U12" s="2"/>
      <c r="V12" s="2"/>
      <c r="W12" s="2"/>
      <c r="X12" s="2"/>
      <c r="Y12" s="2"/>
      <c r="Z12" s="2"/>
    </row>
    <row r="13" spans="1:26">
      <c r="A13" s="1"/>
      <c r="B13" s="7">
        <v>7</v>
      </c>
      <c r="C13" s="8" t="s">
        <v>12</v>
      </c>
      <c r="D13" s="7" t="s">
        <v>6</v>
      </c>
      <c r="E13" s="12" t="str">
        <f>'Gestión de Asuntos Locales'!A4</f>
        <v>FECHA ÚLTIMA ACTUALIZACIÓN: 09/08/2021</v>
      </c>
      <c r="F13" s="10" t="str">
        <v xml:space="preserve">  09/08/2021</v>
      </c>
      <c r="G13" s="2"/>
      <c r="H13" s="2"/>
      <c r="I13" s="2"/>
      <c r="J13" s="2"/>
      <c r="K13" s="2"/>
      <c r="L13" s="2"/>
      <c r="M13" s="2"/>
      <c r="N13" s="2"/>
      <c r="O13" s="2"/>
      <c r="P13" s="2"/>
      <c r="Q13" s="2"/>
      <c r="R13" s="2"/>
      <c r="S13" s="2"/>
      <c r="T13" s="2"/>
      <c r="U13" s="2"/>
      <c r="V13" s="2"/>
      <c r="W13" s="2"/>
      <c r="X13" s="2"/>
      <c r="Y13" s="2"/>
      <c r="Z13" s="2"/>
    </row>
    <row r="14" spans="1:26">
      <c r="A14" s="1"/>
      <c r="B14" s="7">
        <v>8</v>
      </c>
      <c r="C14" s="8" t="s">
        <v>13</v>
      </c>
      <c r="D14" s="7" t="s">
        <v>6</v>
      </c>
      <c r="E14" s="12" t="str">
        <f>'Gestión de Comunicaciones'!A4</f>
        <v>FECHA ÚLTIMA ACTUALIZACIÓN: 09/08/2021</v>
      </c>
      <c r="F14" s="10" t="str">
        <v xml:space="preserve">  09/08/2021</v>
      </c>
      <c r="G14" s="2"/>
      <c r="H14" s="2"/>
      <c r="I14" s="2"/>
      <c r="J14" s="2"/>
      <c r="K14" s="2"/>
      <c r="L14" s="2"/>
      <c r="M14" s="2"/>
      <c r="N14" s="2"/>
      <c r="O14" s="2"/>
      <c r="P14" s="2"/>
      <c r="Q14" s="2"/>
      <c r="R14" s="2"/>
      <c r="S14" s="2"/>
      <c r="T14" s="2"/>
      <c r="U14" s="2"/>
      <c r="V14" s="2"/>
      <c r="W14" s="2"/>
      <c r="X14" s="2"/>
      <c r="Y14" s="2"/>
      <c r="Z14" s="2"/>
    </row>
    <row r="15" spans="1:26">
      <c r="A15" s="1"/>
      <c r="B15" s="7">
        <v>9</v>
      </c>
      <c r="C15" s="8" t="s">
        <v>14</v>
      </c>
      <c r="D15" s="7" t="s">
        <v>6</v>
      </c>
      <c r="E15" s="12" t="str">
        <f>'Gestión de Recursos Físicos'!A4</f>
        <v>FECHA ÚLTIMA ACTUALIZACIÓN: 11/03/2022</v>
      </c>
      <c r="F15" s="10" t="str">
        <v xml:space="preserve">  11/03/2022</v>
      </c>
      <c r="G15" s="2"/>
      <c r="H15" s="2"/>
      <c r="I15" s="2"/>
      <c r="J15" s="2"/>
      <c r="K15" s="2"/>
      <c r="L15" s="2"/>
      <c r="M15" s="2"/>
      <c r="N15" s="2"/>
      <c r="O15" s="2"/>
      <c r="P15" s="2"/>
      <c r="Q15" s="2"/>
      <c r="R15" s="2"/>
      <c r="S15" s="2"/>
      <c r="T15" s="2"/>
      <c r="U15" s="2"/>
      <c r="V15" s="2"/>
      <c r="W15" s="2"/>
      <c r="X15" s="2"/>
      <c r="Y15" s="2"/>
      <c r="Z15" s="2"/>
    </row>
    <row r="16" spans="1:26">
      <c r="A16" s="1"/>
      <c r="B16" s="7">
        <v>10</v>
      </c>
      <c r="C16" s="8" t="s">
        <v>15</v>
      </c>
      <c r="D16" s="7" t="s">
        <v>6</v>
      </c>
      <c r="E16" s="12" t="str">
        <f>'Gestión de Talento Humano'!A4</f>
        <v>FECHA ÚLTIMA ACTUALIZACIÓN: 01/08/2022</v>
      </c>
      <c r="F16" s="10" t="str">
        <v xml:space="preserve">  01/08/2022</v>
      </c>
      <c r="G16" s="2"/>
      <c r="H16" s="2"/>
      <c r="I16" s="2"/>
      <c r="J16" s="2"/>
      <c r="K16" s="2"/>
      <c r="L16" s="2"/>
      <c r="M16" s="2"/>
      <c r="N16" s="2"/>
      <c r="O16" s="2"/>
      <c r="P16" s="2"/>
      <c r="Q16" s="2"/>
      <c r="R16" s="2"/>
      <c r="S16" s="2"/>
      <c r="T16" s="2"/>
      <c r="U16" s="2"/>
      <c r="V16" s="2"/>
      <c r="W16" s="2"/>
      <c r="X16" s="2"/>
      <c r="Y16" s="2"/>
      <c r="Z16" s="2"/>
    </row>
    <row r="17" spans="1:26">
      <c r="A17" s="1"/>
      <c r="B17" s="7">
        <v>11</v>
      </c>
      <c r="C17" s="8" t="s">
        <v>16</v>
      </c>
      <c r="D17" s="7" t="s">
        <v>6</v>
      </c>
      <c r="E17" s="12" t="str">
        <f>'Gestión de Tecnologias de la In'!A4</f>
        <v>FECHA ÚLTIMA ACTUALIZACIÓN: 25/07/2022</v>
      </c>
      <c r="F17" s="10" t="str">
        <v xml:space="preserve">  25/07/2022</v>
      </c>
      <c r="G17" s="2"/>
      <c r="H17" s="2"/>
      <c r="I17" s="2"/>
      <c r="J17" s="2"/>
      <c r="K17" s="2"/>
      <c r="L17" s="2"/>
      <c r="M17" s="2"/>
      <c r="N17" s="2"/>
      <c r="O17" s="2"/>
      <c r="P17" s="2"/>
      <c r="Q17" s="2"/>
      <c r="R17" s="2"/>
      <c r="S17" s="2"/>
      <c r="T17" s="2"/>
      <c r="U17" s="2"/>
      <c r="V17" s="2"/>
      <c r="W17" s="2"/>
      <c r="X17" s="2"/>
      <c r="Y17" s="2"/>
      <c r="Z17" s="2"/>
    </row>
    <row r="18" spans="1:26">
      <c r="A18" s="1"/>
      <c r="B18" s="7">
        <v>12</v>
      </c>
      <c r="C18" s="8" t="s">
        <v>17</v>
      </c>
      <c r="D18" s="7" t="s">
        <v>6</v>
      </c>
      <c r="E18" s="12" t="str">
        <f>'Gestión Documental'!A4</f>
        <v>FECHA ÚLTIMA ACTUALIZACIÓN: 07/06/2022</v>
      </c>
      <c r="F18" s="10" t="str">
        <v xml:space="preserve">  07/06/2022</v>
      </c>
      <c r="G18" s="2"/>
      <c r="H18" s="2"/>
      <c r="I18" s="2"/>
      <c r="J18" s="2"/>
      <c r="K18" s="2"/>
      <c r="L18" s="2"/>
      <c r="M18" s="2"/>
      <c r="N18" s="2"/>
      <c r="O18" s="2"/>
      <c r="P18" s="2"/>
      <c r="Q18" s="2"/>
      <c r="R18" s="2"/>
      <c r="S18" s="2"/>
      <c r="T18" s="2"/>
      <c r="U18" s="2"/>
      <c r="V18" s="2"/>
      <c r="W18" s="2"/>
      <c r="X18" s="2"/>
      <c r="Y18" s="2"/>
      <c r="Z18" s="2"/>
    </row>
    <row r="19" spans="1:26">
      <c r="A19" s="1"/>
      <c r="B19" s="7">
        <v>13</v>
      </c>
      <c r="C19" s="8" t="s">
        <v>18</v>
      </c>
      <c r="D19" s="7" t="s">
        <v>6</v>
      </c>
      <c r="E19" s="12" t="str">
        <f>'Gestión Financiera'!A4</f>
        <v>FECHA ÚLTIMA ACTUALIZACIÓN: 28/06/2022</v>
      </c>
      <c r="F19" s="10" t="str">
        <v xml:space="preserve">  28/06/2022</v>
      </c>
      <c r="G19" s="2"/>
      <c r="H19" s="2"/>
      <c r="I19" s="2"/>
      <c r="J19" s="2"/>
      <c r="K19" s="2"/>
      <c r="L19" s="2"/>
      <c r="M19" s="2"/>
      <c r="N19" s="2"/>
      <c r="O19" s="2"/>
      <c r="P19" s="2"/>
      <c r="Q19" s="2"/>
      <c r="R19" s="2"/>
      <c r="S19" s="2"/>
      <c r="T19" s="2"/>
      <c r="U19" s="2"/>
      <c r="V19" s="2"/>
      <c r="W19" s="2"/>
      <c r="X19" s="2"/>
      <c r="Y19" s="2"/>
      <c r="Z19" s="2"/>
    </row>
    <row r="20" spans="1:26">
      <c r="A20" s="1"/>
      <c r="B20" s="7">
        <v>14</v>
      </c>
      <c r="C20" s="8" t="s">
        <v>19</v>
      </c>
      <c r="D20" s="7" t="s">
        <v>6</v>
      </c>
      <c r="E20" s="12" t="str">
        <f>'Gestión Jurídica .'!A3</f>
        <v>FECHA ÚLTIMA ACTUALIZACIÓN: 19/05/2021</v>
      </c>
      <c r="F20" s="10" t="str">
        <v xml:space="preserve">  19/05/2021</v>
      </c>
      <c r="G20" s="2"/>
      <c r="H20" s="2"/>
      <c r="I20" s="2"/>
      <c r="J20" s="2"/>
      <c r="K20" s="2"/>
      <c r="L20" s="2"/>
      <c r="M20" s="2"/>
      <c r="N20" s="2"/>
      <c r="O20" s="2"/>
      <c r="P20" s="2"/>
      <c r="Q20" s="2"/>
      <c r="R20" s="2"/>
      <c r="S20" s="2"/>
      <c r="T20" s="2"/>
      <c r="U20" s="2"/>
      <c r="V20" s="2"/>
      <c r="W20" s="2"/>
      <c r="X20" s="2"/>
      <c r="Y20" s="2"/>
      <c r="Z20" s="2"/>
    </row>
    <row r="21" spans="1:26">
      <c r="A21" s="1"/>
      <c r="B21" s="7">
        <v>15</v>
      </c>
      <c r="C21" s="8" t="s">
        <v>20</v>
      </c>
      <c r="D21" s="7" t="s">
        <v>6</v>
      </c>
      <c r="E21" s="13" t="str">
        <f>'Planeación de la Gestión'!A4</f>
        <v>FECHA ÚLTIMA ACTUALIZACIÓN: 07/06/2022</v>
      </c>
      <c r="F21" s="10" t="str">
        <v xml:space="preserve">  07/06/2022</v>
      </c>
      <c r="G21" s="2"/>
      <c r="H21" s="2"/>
      <c r="I21" s="2"/>
      <c r="J21" s="2"/>
      <c r="K21" s="2"/>
      <c r="L21" s="2"/>
      <c r="M21" s="2"/>
      <c r="N21" s="2"/>
      <c r="O21" s="2"/>
      <c r="P21" s="2"/>
      <c r="Q21" s="2"/>
      <c r="R21" s="2"/>
      <c r="S21" s="2"/>
      <c r="T21" s="2"/>
      <c r="U21" s="2"/>
      <c r="V21" s="2"/>
      <c r="W21" s="2"/>
      <c r="X21" s="2"/>
      <c r="Y21" s="2"/>
      <c r="Z21" s="2"/>
    </row>
    <row r="22" spans="1:26">
      <c r="A22" s="1"/>
      <c r="B22" s="7">
        <v>16</v>
      </c>
      <c r="C22" s="8" t="s">
        <v>21</v>
      </c>
      <c r="D22" s="7" t="s">
        <v>6</v>
      </c>
      <c r="E22" s="12" t="str">
        <f>'Promoción de la Recreación'!A4</f>
        <v>FECHA ÚLTIMA ACTUALIZACIÓN: 10/03/2022</v>
      </c>
      <c r="F22" s="10" t="str">
        <v xml:space="preserve">  10/03/2022</v>
      </c>
      <c r="G22" s="2"/>
      <c r="H22" s="2"/>
      <c r="I22" s="2"/>
      <c r="J22" s="2"/>
      <c r="K22" s="2"/>
      <c r="L22" s="2"/>
      <c r="M22" s="2"/>
      <c r="N22" s="2"/>
      <c r="O22" s="2"/>
      <c r="P22" s="2"/>
      <c r="Q22" s="2"/>
      <c r="R22" s="2"/>
      <c r="S22" s="2"/>
      <c r="T22" s="2"/>
      <c r="U22" s="2"/>
      <c r="V22" s="2"/>
      <c r="W22" s="2"/>
      <c r="X22" s="2"/>
      <c r="Y22" s="2"/>
      <c r="Z22" s="2"/>
    </row>
    <row r="23" spans="1:26">
      <c r="A23" s="1"/>
      <c r="B23" s="7">
        <v>17</v>
      </c>
      <c r="C23" s="8" t="s">
        <v>22</v>
      </c>
      <c r="D23" s="7" t="s">
        <v>6</v>
      </c>
      <c r="E23" s="12" t="str">
        <f>'Servicio a la Ciudadania'!A4</f>
        <v>FECHA ÚLTIMA ACTUALIZACIÓN: 13/06/2022</v>
      </c>
      <c r="F23" s="10" t="str">
        <v xml:space="preserve">  13/06/2022</v>
      </c>
      <c r="G23" s="2"/>
      <c r="H23" s="2"/>
      <c r="I23" s="2"/>
      <c r="J23" s="2"/>
      <c r="K23" s="2"/>
      <c r="L23" s="2"/>
      <c r="M23" s="2"/>
      <c r="N23" s="2"/>
      <c r="O23" s="2"/>
      <c r="P23" s="2"/>
      <c r="Q23" s="2"/>
      <c r="R23" s="2"/>
      <c r="S23" s="2"/>
      <c r="T23" s="2"/>
      <c r="U23" s="2"/>
      <c r="V23" s="2"/>
      <c r="W23" s="2"/>
      <c r="X23" s="2"/>
      <c r="Y23" s="2"/>
      <c r="Z23" s="2"/>
    </row>
    <row r="24" spans="1:26">
      <c r="A24" s="2"/>
      <c r="B24" s="7">
        <v>18</v>
      </c>
      <c r="C24" s="8" t="s">
        <v>23</v>
      </c>
      <c r="D24" s="7" t="s">
        <v>6</v>
      </c>
      <c r="E24" s="12" t="str">
        <f>'Servicio a la Ciudadania'!A5</f>
        <v xml:space="preserve">CLASIFICACIÓN NORMATIVA </v>
      </c>
      <c r="F24" s="10" t="s">
        <v>24</v>
      </c>
      <c r="G24" s="2"/>
      <c r="H24" s="2"/>
      <c r="I24" s="2"/>
      <c r="J24" s="2"/>
      <c r="K24" s="2"/>
      <c r="L24" s="2"/>
      <c r="M24" s="2"/>
      <c r="N24" s="2"/>
      <c r="O24" s="2"/>
      <c r="P24" s="2"/>
      <c r="Q24" s="2"/>
      <c r="R24" s="2"/>
      <c r="S24" s="2"/>
      <c r="T24" s="2"/>
      <c r="U24" s="2"/>
      <c r="V24" s="2"/>
      <c r="W24" s="2"/>
      <c r="X24" s="2"/>
      <c r="Y24" s="2"/>
      <c r="Z24" s="2"/>
    </row>
    <row r="25" spans="1:26">
      <c r="A25" s="2"/>
      <c r="B25" s="7">
        <v>19</v>
      </c>
      <c r="C25" s="8" t="s">
        <v>25</v>
      </c>
      <c r="D25" s="7" t="s">
        <v>6</v>
      </c>
      <c r="E25" s="14" t="str">
        <f>'Servicio a la Ciudadania'!A6</f>
        <v>CONSTITUCIÓN POLÍTICA DE COLOMBIA</v>
      </c>
      <c r="F25" s="10" t="s">
        <v>24</v>
      </c>
      <c r="G25" s="2"/>
      <c r="H25" s="2"/>
      <c r="I25" s="2"/>
      <c r="J25" s="2"/>
      <c r="K25" s="2"/>
      <c r="L25" s="2"/>
      <c r="M25" s="2"/>
      <c r="N25" s="2"/>
      <c r="O25" s="2"/>
      <c r="P25" s="2"/>
      <c r="Q25" s="2"/>
      <c r="R25" s="2"/>
      <c r="S25" s="2"/>
      <c r="T25" s="2"/>
      <c r="U25" s="2"/>
      <c r="V25" s="2"/>
      <c r="W25" s="2"/>
      <c r="X25" s="2"/>
      <c r="Y25" s="2"/>
      <c r="Z25" s="2"/>
    </row>
    <row r="26" spans="1:26">
      <c r="A26" s="2"/>
      <c r="B26" s="7">
        <v>20</v>
      </c>
      <c r="C26" s="8" t="s">
        <v>26</v>
      </c>
      <c r="D26" s="7" t="s">
        <v>6</v>
      </c>
      <c r="E26" s="14" t="str">
        <f>'Servicio a la Ciudadania'!A7</f>
        <v>LEY  57</v>
      </c>
      <c r="F26" s="10" t="s">
        <v>24</v>
      </c>
      <c r="G26" s="2"/>
      <c r="H26" s="2"/>
      <c r="I26" s="2"/>
      <c r="J26" s="2"/>
      <c r="K26" s="2"/>
      <c r="L26" s="2"/>
      <c r="M26" s="2"/>
      <c r="N26" s="2"/>
      <c r="O26" s="2"/>
      <c r="P26" s="2"/>
      <c r="Q26" s="2"/>
      <c r="R26" s="2"/>
      <c r="S26" s="2"/>
      <c r="T26" s="2"/>
      <c r="U26" s="2"/>
      <c r="V26" s="2"/>
      <c r="W26" s="2"/>
      <c r="X26" s="2"/>
      <c r="Y26" s="2"/>
      <c r="Z26" s="2"/>
    </row>
    <row r="27" spans="1:26">
      <c r="A27" s="2"/>
      <c r="B27" s="7">
        <v>21</v>
      </c>
      <c r="C27" s="8" t="s">
        <v>27</v>
      </c>
      <c r="D27" s="7" t="s">
        <v>6</v>
      </c>
      <c r="E27" s="14" t="str">
        <f>'Servicio a la Ciudadania'!A8</f>
        <v>LEY 190</v>
      </c>
      <c r="F27" s="10" t="s">
        <v>24</v>
      </c>
      <c r="G27" s="2"/>
      <c r="H27" s="2"/>
      <c r="I27" s="2"/>
      <c r="J27" s="2"/>
      <c r="K27" s="2"/>
      <c r="L27" s="2"/>
      <c r="M27" s="2"/>
      <c r="N27" s="2"/>
      <c r="O27" s="2"/>
      <c r="P27" s="2"/>
      <c r="Q27" s="2"/>
      <c r="R27" s="2"/>
      <c r="S27" s="2"/>
      <c r="T27" s="2"/>
      <c r="U27" s="2"/>
      <c r="V27" s="2"/>
      <c r="W27" s="2"/>
      <c r="X27" s="2"/>
      <c r="Y27" s="2"/>
      <c r="Z27" s="2"/>
    </row>
  </sheetData>
  <mergeCells count="1">
    <mergeCell ref="B4:F4"/>
  </mergeCells>
  <hyperlinks>
    <hyperlink ref="C7" location="Administración y Mantenimiento!A1" display="Administración y Mantenimiento de Parques y Escenarios" xr:uid="{00000000-0004-0000-0000-000000000000}"/>
    <hyperlink ref="C8" location="Adquisición de Bienes y Servici!A1" display="Adquisición de Bienes y Servicios" xr:uid="{00000000-0004-0000-0000-000001000000}"/>
    <hyperlink ref="C9" location="Control Disciplinario!A1" display="Control Disciplinario Interno" xr:uid="{00000000-0004-0000-0000-000002000000}"/>
    <hyperlink ref="C10" location="Control, Evaluación y Mejora!A1" display="Control, Evaluación y Mejora" xr:uid="{00000000-0004-0000-0000-000003000000}"/>
    <hyperlink ref="C11" location="Diseño y Construcción de Parque!A1" display="Diseño y Construcción de Parques y Escenarios" xr:uid="{00000000-0004-0000-0000-000004000000}"/>
    <hyperlink ref="C12" location="Fomento al Deporte!A1" display="Fomento de la actividad física , el Deporte y la Recreación" xr:uid="{00000000-0004-0000-0000-000005000000}"/>
    <hyperlink ref="C13" location="Gestión de Asuntos Locales!A1" display="Gestión de Asuntos Locales" xr:uid="{00000000-0004-0000-0000-000006000000}"/>
    <hyperlink ref="C14" location="Gestión de Comunicaciones!A1" display="Gestión de comunicaciones" xr:uid="{00000000-0004-0000-0000-000007000000}"/>
    <hyperlink ref="C15" location="Gestión de Recursos Físicos!A1" display="Gestión de Recursos Físicos" xr:uid="{00000000-0004-0000-0000-000008000000}"/>
    <hyperlink ref="C16" location="Gestión de Talento Humano!A1" display="Gestión de Talento Humano" xr:uid="{00000000-0004-0000-0000-000009000000}"/>
    <hyperlink ref="C17" location="Gestión de Tecnologias de la In!A1" display="Gestión de tecnología de la información" xr:uid="{00000000-0004-0000-0000-00000A000000}"/>
    <hyperlink ref="C18" location="Gestión Documental!A1" display="Gestión Documental" xr:uid="{00000000-0004-0000-0000-00000B000000}"/>
    <hyperlink ref="C19" location="Gestión Financiera!A1" display="Gestión Financiera" xr:uid="{00000000-0004-0000-0000-00000C000000}"/>
    <hyperlink ref="C20" location="Gestión Jurídica .!A1" display="Gestión Jurídica" xr:uid="{00000000-0004-0000-0000-00000D000000}"/>
    <hyperlink ref="C21" location="Planeación de la Gestión!A1" display="Planeación de la Gestión" xr:uid="{00000000-0004-0000-0000-00000E000000}"/>
    <hyperlink ref="C22" location="Promoción de la Recreación!A1" display="Promoción de la Recreación" xr:uid="{00000000-0004-0000-0000-00000F000000}"/>
    <hyperlink ref="C23" location="Servicio a la Ciudadania!A1" display="Gestión de Servicio a la ciudadanía" xr:uid="{00000000-0004-0000-0000-000010000000}"/>
    <hyperlink ref="C24" location="Codvid-19 Orden IDRD!A1" display="Codvid-19 Orden IDRD" xr:uid="{00000000-0004-0000-0000-000011000000}"/>
    <hyperlink ref="C25" location="Codvid-19 Orden Distrital!A1" display="Codvid-19 Orden Distrital" xr:uid="{00000000-0004-0000-0000-000012000000}"/>
    <hyperlink ref="C26" location="Codvid-19 Orden Nacional!A1" display="Codvid-19 Orden Nacional" xr:uid="{00000000-0004-0000-0000-000013000000}"/>
    <hyperlink ref="C27" location="PIGA!A1" display="PIGA" xr:uid="{00000000-0004-0000-0000-000014000000}"/>
  </hyperlinks>
  <printOptions horizontalCentered="1" gridLines="1"/>
  <pageMargins left="0.7" right="0.7" top="0.75" bottom="0.75" header="0" footer="0"/>
  <pageSetup fitToHeight="0" pageOrder="overThenDown" orientation="landscape" cellComments="atEnd"/>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9D18E"/>
  </sheetPr>
  <dimension ref="A1:AA127"/>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7.5703125" customWidth="1"/>
    <col min="3" max="3" width="23.7109375" customWidth="1"/>
    <col min="4" max="4" width="61.7109375" customWidth="1"/>
    <col min="5" max="5" width="28.5703125" customWidth="1"/>
    <col min="6" max="6" width="55.5703125" customWidth="1"/>
    <col min="7" max="8" width="10" hidden="1" customWidth="1"/>
    <col min="9" max="9" width="18" customWidth="1"/>
    <col min="10" max="14" width="11.42578125" customWidth="1"/>
    <col min="15" max="15" width="16.28515625" customWidth="1"/>
    <col min="16" max="16" width="11.42578125" customWidth="1"/>
    <col min="17" max="17" width="15.140625" customWidth="1"/>
    <col min="18" max="27" width="11.42578125" customWidth="1"/>
  </cols>
  <sheetData>
    <row r="1" spans="1:27" ht="61.5" customHeight="1">
      <c r="A1" s="774"/>
      <c r="B1" s="769"/>
      <c r="C1" s="769"/>
      <c r="D1" s="769"/>
      <c r="E1" s="769"/>
      <c r="F1" s="769"/>
      <c r="G1" s="769"/>
      <c r="H1" s="769"/>
      <c r="I1" s="18"/>
      <c r="J1" s="18"/>
      <c r="K1" s="18"/>
      <c r="L1" s="18"/>
      <c r="M1" s="18"/>
      <c r="N1" s="18"/>
      <c r="O1" s="18"/>
      <c r="P1" s="18"/>
      <c r="Q1" s="18"/>
      <c r="R1" s="18"/>
      <c r="S1" s="18"/>
      <c r="T1" s="18"/>
      <c r="U1" s="18"/>
      <c r="V1" s="18"/>
      <c r="W1" s="18"/>
      <c r="X1" s="18"/>
      <c r="Y1" s="18"/>
      <c r="Z1" s="18"/>
      <c r="AA1" s="18"/>
    </row>
    <row r="2" spans="1:27" ht="27" customHeight="1">
      <c r="A2" s="767" t="s">
        <v>28</v>
      </c>
      <c r="B2" s="765"/>
      <c r="C2" s="765"/>
      <c r="D2" s="765"/>
      <c r="E2" s="765"/>
      <c r="F2" s="766"/>
      <c r="G2" s="15"/>
      <c r="H2" s="16"/>
      <c r="I2" s="18"/>
      <c r="J2" s="18"/>
      <c r="K2" s="18"/>
      <c r="L2" s="18"/>
      <c r="M2" s="18"/>
      <c r="N2" s="18"/>
      <c r="O2" s="18"/>
      <c r="P2" s="18"/>
      <c r="Q2" s="18"/>
      <c r="R2" s="18"/>
      <c r="S2" s="18"/>
      <c r="T2" s="18"/>
      <c r="U2" s="18"/>
      <c r="V2" s="18"/>
      <c r="W2" s="18"/>
      <c r="X2" s="18"/>
      <c r="Y2" s="18"/>
      <c r="Z2" s="18"/>
      <c r="AA2" s="18"/>
    </row>
    <row r="3" spans="1:27" ht="24" customHeight="1">
      <c r="A3" s="75" t="s">
        <v>2997</v>
      </c>
      <c r="B3" s="19"/>
      <c r="C3" s="19"/>
      <c r="D3" s="19"/>
      <c r="E3" s="19"/>
      <c r="F3" s="20" t="s">
        <v>30</v>
      </c>
      <c r="G3" s="19"/>
      <c r="H3" s="21"/>
      <c r="I3" s="18"/>
      <c r="J3" s="18"/>
      <c r="K3" s="18"/>
      <c r="L3" s="18"/>
      <c r="M3" s="18"/>
      <c r="N3" s="18"/>
      <c r="O3" s="18"/>
      <c r="P3" s="18"/>
      <c r="Q3" s="18"/>
      <c r="R3" s="18"/>
      <c r="S3" s="18"/>
      <c r="T3" s="18"/>
      <c r="U3" s="18"/>
      <c r="V3" s="18"/>
      <c r="W3" s="18"/>
      <c r="X3" s="18"/>
      <c r="Y3" s="18"/>
      <c r="Z3" s="18"/>
      <c r="AA3" s="18"/>
    </row>
    <row r="4" spans="1:27" ht="33" customHeight="1">
      <c r="A4" s="775" t="s">
        <v>2937</v>
      </c>
      <c r="B4" s="765"/>
      <c r="C4" s="765"/>
      <c r="D4" s="765"/>
      <c r="E4" s="765"/>
      <c r="F4" s="766"/>
      <c r="G4" s="16"/>
      <c r="H4" s="22"/>
      <c r="I4" s="18"/>
      <c r="J4" s="18"/>
      <c r="K4" s="18"/>
      <c r="L4" s="18"/>
      <c r="M4" s="18"/>
      <c r="N4" s="18"/>
      <c r="O4" s="18"/>
      <c r="P4" s="18"/>
      <c r="Q4" s="18"/>
      <c r="R4" s="18"/>
      <c r="S4" s="18"/>
      <c r="T4" s="18"/>
      <c r="U4" s="18"/>
      <c r="V4" s="18"/>
      <c r="W4" s="18"/>
      <c r="X4" s="18"/>
      <c r="Y4" s="18"/>
      <c r="Z4" s="18"/>
      <c r="AA4" s="18"/>
    </row>
    <row r="5" spans="1:27" ht="34.5" customHeight="1">
      <c r="A5" s="76" t="s">
        <v>235</v>
      </c>
      <c r="B5" s="24" t="s">
        <v>32</v>
      </c>
      <c r="C5" s="25" t="s">
        <v>33</v>
      </c>
      <c r="D5" s="25" t="s">
        <v>34</v>
      </c>
      <c r="E5" s="25" t="s">
        <v>35</v>
      </c>
      <c r="F5" s="25" t="s">
        <v>36</v>
      </c>
      <c r="G5" s="26" t="s">
        <v>37</v>
      </c>
      <c r="H5" s="27" t="s">
        <v>38</v>
      </c>
      <c r="I5" s="29"/>
      <c r="J5" s="29"/>
      <c r="K5" s="29"/>
      <c r="L5" s="29"/>
      <c r="M5" s="29"/>
      <c r="N5" s="29"/>
      <c r="O5" s="29"/>
      <c r="P5" s="29"/>
      <c r="Q5" s="29"/>
      <c r="R5" s="29"/>
      <c r="S5" s="29"/>
      <c r="T5" s="29"/>
      <c r="U5" s="29"/>
      <c r="V5" s="29"/>
      <c r="W5" s="29"/>
      <c r="X5" s="29"/>
      <c r="Y5" s="29"/>
      <c r="Z5" s="29"/>
      <c r="AA5" s="29"/>
    </row>
    <row r="6" spans="1:27" ht="72">
      <c r="A6" s="30" t="str">
        <f>HYPERLINK("https://www.bogotajuridica.gov.co/sisjur/normas/Norma1.jsp?i=4125","CONSTITUCIÓN POLÍTICA DE COLOMBIA")</f>
        <v>CONSTITUCIÓN POLÍTICA DE COLOMBIA</v>
      </c>
      <c r="B6" s="78">
        <v>33423</v>
      </c>
      <c r="C6" s="32" t="s">
        <v>405</v>
      </c>
      <c r="D6" s="33" t="s">
        <v>406</v>
      </c>
      <c r="E6" s="32" t="s">
        <v>1488</v>
      </c>
      <c r="F6" s="33" t="s">
        <v>1489</v>
      </c>
      <c r="G6" s="119" t="s">
        <v>43</v>
      </c>
      <c r="H6" s="117" t="s">
        <v>1490</v>
      </c>
      <c r="I6" s="36"/>
      <c r="J6" s="36"/>
      <c r="K6" s="36"/>
      <c r="L6" s="36"/>
      <c r="M6" s="36"/>
      <c r="N6" s="36"/>
      <c r="O6" s="36"/>
      <c r="P6" s="36"/>
      <c r="Q6" s="36"/>
      <c r="R6" s="36"/>
      <c r="S6" s="36"/>
      <c r="T6" s="36"/>
      <c r="U6" s="36"/>
      <c r="V6" s="36"/>
      <c r="W6" s="36"/>
      <c r="X6" s="36"/>
      <c r="Y6" s="36"/>
      <c r="Z6" s="36"/>
      <c r="AA6" s="36"/>
    </row>
    <row r="7" spans="1:27" ht="73.5" customHeight="1">
      <c r="A7" s="30" t="str">
        <f>HYPERLINK("https://www.alcaldiabogota.gov.co/sisjur/normas/Norma1.jsp?i=3424","LEY 181")</f>
        <v>LEY 181</v>
      </c>
      <c r="B7" s="31">
        <v>34717</v>
      </c>
      <c r="C7" s="32" t="s">
        <v>39</v>
      </c>
      <c r="D7" s="39" t="s">
        <v>2916</v>
      </c>
      <c r="E7" s="32" t="s">
        <v>41</v>
      </c>
      <c r="F7" s="64" t="s">
        <v>97</v>
      </c>
      <c r="G7" s="119" t="s">
        <v>43</v>
      </c>
      <c r="H7" s="117" t="s">
        <v>1490</v>
      </c>
      <c r="I7" s="36"/>
      <c r="J7" s="36"/>
      <c r="K7" s="36"/>
      <c r="L7" s="36"/>
      <c r="M7" s="36"/>
      <c r="N7" s="36"/>
      <c r="O7" s="36"/>
      <c r="P7" s="36"/>
      <c r="Q7" s="36"/>
      <c r="R7" s="36"/>
      <c r="S7" s="36"/>
      <c r="T7" s="36"/>
      <c r="U7" s="36"/>
      <c r="V7" s="36"/>
      <c r="W7" s="36"/>
      <c r="X7" s="36"/>
      <c r="Y7" s="36"/>
      <c r="Z7" s="36"/>
      <c r="AA7" s="36"/>
    </row>
    <row r="8" spans="1:27" ht="204" customHeight="1">
      <c r="A8" s="30" t="str">
        <f>HYPERLINK("https://www.alcaldiabogota.gov.co/sisjur/normas/Norma1.jsp?i=22106","LEY 1098")</f>
        <v>LEY 1098</v>
      </c>
      <c r="B8" s="41">
        <v>39029</v>
      </c>
      <c r="C8" s="32" t="s">
        <v>507</v>
      </c>
      <c r="D8" s="33" t="s">
        <v>1514</v>
      </c>
      <c r="E8" s="32" t="s">
        <v>1515</v>
      </c>
      <c r="F8" s="33" t="s">
        <v>1516</v>
      </c>
      <c r="G8" s="119" t="s">
        <v>43</v>
      </c>
      <c r="H8" s="117" t="s">
        <v>1490</v>
      </c>
      <c r="I8" s="36"/>
      <c r="J8" s="36"/>
      <c r="K8" s="36"/>
      <c r="L8" s="36"/>
      <c r="M8" s="36"/>
      <c r="N8" s="36"/>
      <c r="O8" s="36"/>
      <c r="P8" s="36"/>
      <c r="Q8" s="36"/>
      <c r="R8" s="36"/>
      <c r="S8" s="36"/>
      <c r="T8" s="36"/>
      <c r="U8" s="36"/>
      <c r="V8" s="36"/>
      <c r="W8" s="36"/>
      <c r="X8" s="36"/>
      <c r="Y8" s="36"/>
      <c r="Z8" s="36"/>
      <c r="AA8" s="36"/>
    </row>
    <row r="9" spans="1:27" ht="24" customHeight="1">
      <c r="A9" s="30" t="str">
        <f>HYPERLINK("http://www.secretariasenado.gov.co/senado/basedoc/ley_1209_2008.html","LEY 1209")</f>
        <v>LEY 1209</v>
      </c>
      <c r="B9" s="41">
        <v>39643</v>
      </c>
      <c r="C9" s="32" t="s">
        <v>507</v>
      </c>
      <c r="D9" s="33" t="s">
        <v>51</v>
      </c>
      <c r="E9" s="32" t="s">
        <v>41</v>
      </c>
      <c r="F9" s="64" t="s">
        <v>97</v>
      </c>
      <c r="G9" s="119" t="s">
        <v>43</v>
      </c>
      <c r="H9" s="117" t="s">
        <v>1490</v>
      </c>
      <c r="I9" s="36"/>
      <c r="J9" s="36"/>
      <c r="K9" s="36"/>
      <c r="L9" s="36"/>
      <c r="M9" s="36"/>
      <c r="N9" s="36"/>
      <c r="O9" s="36"/>
      <c r="P9" s="36"/>
      <c r="Q9" s="36"/>
      <c r="R9" s="36"/>
      <c r="S9" s="36"/>
      <c r="T9" s="36"/>
      <c r="U9" s="36"/>
      <c r="V9" s="36"/>
      <c r="W9" s="36"/>
      <c r="X9" s="36"/>
      <c r="Y9" s="36"/>
      <c r="Z9" s="36"/>
      <c r="AA9" s="36"/>
    </row>
    <row r="10" spans="1:27" ht="48" customHeight="1">
      <c r="A10" s="30" t="str">
        <f>HYPERLINK("https://www.funcionpublica.gov.co/eva/gestornormativo/norma.php?i=45246","LEY 1493")</f>
        <v>LEY 1493</v>
      </c>
      <c r="B10" s="286">
        <v>40903</v>
      </c>
      <c r="C10" s="32" t="s">
        <v>507</v>
      </c>
      <c r="D10" s="33" t="s">
        <v>55</v>
      </c>
      <c r="E10" s="32" t="s">
        <v>41</v>
      </c>
      <c r="F10" s="64" t="s">
        <v>97</v>
      </c>
      <c r="G10" s="119" t="s">
        <v>43</v>
      </c>
      <c r="H10" s="117" t="s">
        <v>1490</v>
      </c>
      <c r="I10" s="36"/>
      <c r="J10" s="36"/>
      <c r="K10" s="36"/>
      <c r="L10" s="36"/>
      <c r="M10" s="36"/>
      <c r="N10" s="36"/>
      <c r="O10" s="36"/>
      <c r="P10" s="36"/>
      <c r="Q10" s="36"/>
      <c r="R10" s="36"/>
      <c r="S10" s="36"/>
      <c r="T10" s="36"/>
      <c r="U10" s="36"/>
      <c r="V10" s="36"/>
      <c r="W10" s="36"/>
      <c r="X10" s="36"/>
      <c r="Y10" s="36"/>
      <c r="Z10" s="36"/>
      <c r="AA10" s="36"/>
    </row>
    <row r="11" spans="1:27" ht="36" customHeight="1">
      <c r="A11" s="43" t="str">
        <f>HYPERLINK("https://www.alcaldiabogota.gov.co/sisjur/normas/Norma1.jsp?i=66661","LEY 1801")</f>
        <v>LEY 1801</v>
      </c>
      <c r="B11" s="286">
        <v>42580</v>
      </c>
      <c r="C11" s="32" t="s">
        <v>507</v>
      </c>
      <c r="D11" s="33" t="s">
        <v>2917</v>
      </c>
      <c r="E11" s="32" t="s">
        <v>41</v>
      </c>
      <c r="F11" s="64" t="s">
        <v>97</v>
      </c>
      <c r="G11" s="119"/>
      <c r="H11" s="117"/>
      <c r="I11" s="36"/>
      <c r="J11" s="36"/>
      <c r="K11" s="36"/>
      <c r="L11" s="36"/>
      <c r="M11" s="36"/>
      <c r="N11" s="36"/>
      <c r="O11" s="36"/>
      <c r="P11" s="36"/>
      <c r="Q11" s="36"/>
      <c r="R11" s="36"/>
      <c r="S11" s="36"/>
      <c r="T11" s="36"/>
      <c r="U11" s="36"/>
      <c r="V11" s="36"/>
      <c r="W11" s="36"/>
      <c r="X11" s="36"/>
      <c r="Y11" s="36"/>
      <c r="Z11" s="36"/>
      <c r="AA11" s="36"/>
    </row>
    <row r="12" spans="1:27" ht="36" customHeight="1">
      <c r="A12" s="43" t="str">
        <f>HYPERLINK("https://www.funcionpublica.gov.co/eva/gestornormativo/norma.php?i=97210","LEY 1967")</f>
        <v>LEY 1967</v>
      </c>
      <c r="B12" s="286">
        <v>43657</v>
      </c>
      <c r="C12" s="32" t="s">
        <v>2918</v>
      </c>
      <c r="D12" s="33" t="s">
        <v>2919</v>
      </c>
      <c r="E12" s="32" t="s">
        <v>41</v>
      </c>
      <c r="F12" s="64" t="s">
        <v>97</v>
      </c>
      <c r="G12" s="119"/>
      <c r="H12" s="117"/>
      <c r="I12" s="36"/>
      <c r="J12" s="36"/>
      <c r="K12" s="36"/>
      <c r="L12" s="36"/>
      <c r="M12" s="36"/>
      <c r="N12" s="36"/>
      <c r="O12" s="36"/>
      <c r="P12" s="36"/>
      <c r="Q12" s="36"/>
      <c r="R12" s="36"/>
      <c r="S12" s="36"/>
      <c r="T12" s="36"/>
      <c r="U12" s="36"/>
      <c r="V12" s="36"/>
      <c r="W12" s="36"/>
      <c r="X12" s="36"/>
      <c r="Y12" s="36"/>
      <c r="Z12" s="36"/>
      <c r="AA12" s="36"/>
    </row>
    <row r="13" spans="1:27" ht="24" customHeight="1">
      <c r="A13" s="43" t="str">
        <f>HYPERLINK("http://www.suin-juriscol.gov.co/viewDocument.asp?id=1421468","DECRETO 2225")</f>
        <v>DECRETO 2225</v>
      </c>
      <c r="B13" s="32">
        <v>1985</v>
      </c>
      <c r="C13" s="32" t="s">
        <v>57</v>
      </c>
      <c r="D13" s="33" t="s">
        <v>1527</v>
      </c>
      <c r="E13" s="32" t="s">
        <v>41</v>
      </c>
      <c r="F13" s="64" t="s">
        <v>97</v>
      </c>
      <c r="G13" s="119" t="s">
        <v>43</v>
      </c>
      <c r="H13" s="117" t="s">
        <v>1490</v>
      </c>
      <c r="I13" s="36"/>
      <c r="J13" s="36"/>
      <c r="K13" s="36"/>
      <c r="L13" s="36"/>
      <c r="M13" s="36"/>
      <c r="N13" s="36"/>
      <c r="O13" s="36"/>
      <c r="P13" s="36"/>
      <c r="Q13" s="36"/>
      <c r="R13" s="36"/>
      <c r="S13" s="36"/>
      <c r="T13" s="36"/>
      <c r="U13" s="36"/>
      <c r="V13" s="36"/>
      <c r="W13" s="36"/>
      <c r="X13" s="36"/>
      <c r="Y13" s="36"/>
      <c r="Z13" s="36"/>
      <c r="AA13" s="36"/>
    </row>
    <row r="14" spans="1:27" ht="24" customHeight="1">
      <c r="A14" s="70" t="s">
        <v>834</v>
      </c>
      <c r="B14" s="40">
        <v>2013</v>
      </c>
      <c r="C14" s="32" t="s">
        <v>61</v>
      </c>
      <c r="D14" s="33" t="s">
        <v>1536</v>
      </c>
      <c r="E14" s="40" t="s">
        <v>41</v>
      </c>
      <c r="F14" s="124" t="s">
        <v>2982</v>
      </c>
      <c r="G14" s="119"/>
      <c r="H14" s="117"/>
      <c r="I14" s="241"/>
      <c r="J14" s="36"/>
      <c r="K14" s="36"/>
      <c r="L14" s="36"/>
      <c r="M14" s="36"/>
      <c r="N14" s="36"/>
      <c r="O14" s="36"/>
      <c r="P14" s="36"/>
      <c r="Q14" s="36"/>
      <c r="R14" s="36"/>
      <c r="S14" s="36"/>
      <c r="T14" s="36"/>
      <c r="U14" s="36"/>
      <c r="V14" s="36"/>
      <c r="W14" s="36"/>
      <c r="X14" s="36"/>
      <c r="Y14" s="36"/>
      <c r="Z14" s="36"/>
      <c r="AA14" s="36"/>
    </row>
    <row r="15" spans="1:27" ht="24" customHeight="1">
      <c r="A15" s="30" t="str">
        <f>HYPERLINK("https://www.alcaldiabogota.gov.co/sisjur/normas/Norma1.jsp?i=22240","DECRETO 482")</f>
        <v>DECRETO 482</v>
      </c>
      <c r="B15" s="286">
        <v>39048</v>
      </c>
      <c r="C15" s="32" t="s">
        <v>61</v>
      </c>
      <c r="D15" s="33" t="s">
        <v>1540</v>
      </c>
      <c r="E15" s="32" t="s">
        <v>41</v>
      </c>
      <c r="F15" s="64" t="s">
        <v>97</v>
      </c>
      <c r="G15" s="119" t="s">
        <v>43</v>
      </c>
      <c r="H15" s="117" t="s">
        <v>1490</v>
      </c>
      <c r="I15" s="242"/>
      <c r="J15" s="36"/>
      <c r="K15" s="36"/>
      <c r="L15" s="36"/>
      <c r="M15" s="36"/>
      <c r="N15" s="36"/>
      <c r="O15" s="36"/>
      <c r="P15" s="36"/>
      <c r="Q15" s="36"/>
      <c r="R15" s="36"/>
      <c r="S15" s="36"/>
      <c r="T15" s="36"/>
      <c r="U15" s="36"/>
      <c r="V15" s="36"/>
      <c r="W15" s="36"/>
      <c r="X15" s="36"/>
      <c r="Y15" s="36"/>
      <c r="Z15" s="36"/>
      <c r="AA15" s="36"/>
    </row>
    <row r="16" spans="1:27" ht="36" customHeight="1">
      <c r="A16" s="30" t="str">
        <f>HYPERLINK("https://www.alcaldiabogota.gov.co/sisjur/normas/Norma1.jsp?i=28152&amp;dt=S","DECRETO 633")</f>
        <v>DECRETO 633</v>
      </c>
      <c r="B16" s="286">
        <v>39444</v>
      </c>
      <c r="C16" s="32" t="s">
        <v>61</v>
      </c>
      <c r="D16" s="33" t="s">
        <v>1542</v>
      </c>
      <c r="E16" s="32" t="s">
        <v>41</v>
      </c>
      <c r="F16" s="64" t="s">
        <v>97</v>
      </c>
      <c r="G16" s="119" t="s">
        <v>43</v>
      </c>
      <c r="H16" s="117" t="s">
        <v>1490</v>
      </c>
      <c r="I16" s="241"/>
      <c r="J16" s="36"/>
      <c r="K16" s="36"/>
      <c r="L16" s="36"/>
      <c r="M16" s="36"/>
      <c r="N16" s="36"/>
      <c r="O16" s="36"/>
      <c r="P16" s="36"/>
      <c r="Q16" s="36"/>
      <c r="R16" s="36"/>
      <c r="S16" s="36"/>
      <c r="T16" s="36"/>
      <c r="U16" s="36"/>
      <c r="V16" s="36"/>
      <c r="W16" s="36"/>
      <c r="X16" s="36"/>
      <c r="Y16" s="36"/>
      <c r="Z16" s="36"/>
      <c r="AA16" s="36"/>
    </row>
    <row r="17" spans="1:27" ht="72" customHeight="1">
      <c r="A17" s="30" t="str">
        <f>HYPERLINK("https://www.alcaldiabogota.gov.co/sisjur/normas/Norma1.jsp?i=56034","DECRETO 599")</f>
        <v>DECRETO 599</v>
      </c>
      <c r="B17" s="286">
        <v>41634</v>
      </c>
      <c r="C17" s="32" t="s">
        <v>61</v>
      </c>
      <c r="D17" s="33" t="s">
        <v>1549</v>
      </c>
      <c r="E17" s="32" t="s">
        <v>41</v>
      </c>
      <c r="F17" s="64" t="s">
        <v>97</v>
      </c>
      <c r="G17" s="119" t="s">
        <v>43</v>
      </c>
      <c r="H17" s="117" t="s">
        <v>1490</v>
      </c>
      <c r="I17" s="36"/>
      <c r="J17" s="36"/>
      <c r="K17" s="36"/>
      <c r="L17" s="36"/>
      <c r="M17" s="36"/>
      <c r="N17" s="36"/>
      <c r="O17" s="241"/>
      <c r="P17" s="36"/>
      <c r="Q17" s="241"/>
      <c r="R17" s="36"/>
      <c r="S17" s="36"/>
      <c r="T17" s="36"/>
      <c r="U17" s="36"/>
      <c r="V17" s="36"/>
      <c r="W17" s="36"/>
      <c r="X17" s="36"/>
      <c r="Y17" s="36"/>
      <c r="Z17" s="36"/>
      <c r="AA17" s="36"/>
    </row>
    <row r="18" spans="1:27" ht="84" customHeight="1">
      <c r="A18" s="30" t="str">
        <f>HYPERLINK("https://www.alcaldiabogota.gov.co/sisjur/normas/Norma1.jsp?i=67805","DECRETO 622")</f>
        <v>DECRETO 622</v>
      </c>
      <c r="B18" s="286">
        <v>42727</v>
      </c>
      <c r="C18" s="32" t="s">
        <v>61</v>
      </c>
      <c r="D18" s="33" t="s">
        <v>1552</v>
      </c>
      <c r="E18" s="32" t="s">
        <v>41</v>
      </c>
      <c r="F18" s="64" t="s">
        <v>97</v>
      </c>
      <c r="G18" s="119" t="s">
        <v>43</v>
      </c>
      <c r="H18" s="117" t="s">
        <v>1490</v>
      </c>
      <c r="I18" s="36"/>
      <c r="J18" s="36"/>
      <c r="K18" s="36"/>
      <c r="L18" s="36"/>
      <c r="M18" s="36"/>
      <c r="N18" s="36"/>
      <c r="O18" s="36"/>
      <c r="P18" s="36"/>
      <c r="Q18" s="36"/>
      <c r="R18" s="36"/>
      <c r="S18" s="36"/>
      <c r="T18" s="36"/>
      <c r="U18" s="36"/>
      <c r="V18" s="36"/>
      <c r="W18" s="36"/>
      <c r="X18" s="36"/>
      <c r="Y18" s="36"/>
      <c r="Z18" s="36"/>
      <c r="AA18" s="36"/>
    </row>
    <row r="19" spans="1:27" ht="48" customHeight="1">
      <c r="A19" s="30" t="str">
        <f>HYPERLINK("https://www.alcaldiabogota.gov.co/sisjur/normas/Norma1.jsp?i=64248&amp;dt=S","Decreto 597")</f>
        <v>Decreto 597</v>
      </c>
      <c r="B19" s="286">
        <v>42368</v>
      </c>
      <c r="C19" s="32" t="s">
        <v>1558</v>
      </c>
      <c r="D19" s="33" t="s">
        <v>1561</v>
      </c>
      <c r="E19" s="32" t="s">
        <v>41</v>
      </c>
      <c r="F19" s="64" t="s">
        <v>97</v>
      </c>
      <c r="G19" s="119" t="s">
        <v>43</v>
      </c>
      <c r="H19" s="117" t="s">
        <v>1490</v>
      </c>
      <c r="I19" s="36"/>
      <c r="J19" s="36"/>
      <c r="K19" s="36"/>
      <c r="L19" s="36"/>
      <c r="M19" s="36"/>
      <c r="N19" s="36"/>
      <c r="O19" s="36"/>
      <c r="P19" s="36"/>
      <c r="Q19" s="36"/>
      <c r="R19" s="36"/>
      <c r="S19" s="36"/>
      <c r="T19" s="36"/>
      <c r="U19" s="36"/>
      <c r="V19" s="36"/>
      <c r="W19" s="36"/>
      <c r="X19" s="36"/>
      <c r="Y19" s="36"/>
      <c r="Z19" s="36"/>
      <c r="AA19" s="36"/>
    </row>
    <row r="20" spans="1:27" ht="36" customHeight="1">
      <c r="A20" s="43" t="str">
        <f>HYPERLINK("https://www.alcaldiabogota.gov.co/sisjur/normas/Norma1.jsp?i=81080&amp;dt=S","Decreto 557 ")</f>
        <v xml:space="preserve">Decreto 557 </v>
      </c>
      <c r="B20" s="41">
        <v>43370</v>
      </c>
      <c r="C20" s="32" t="s">
        <v>1558</v>
      </c>
      <c r="D20" s="33" t="s">
        <v>1563</v>
      </c>
      <c r="E20" s="32" t="s">
        <v>41</v>
      </c>
      <c r="F20" s="64" t="s">
        <v>97</v>
      </c>
      <c r="G20" s="119" t="s">
        <v>43</v>
      </c>
      <c r="H20" s="117" t="s">
        <v>1490</v>
      </c>
      <c r="I20" s="36"/>
      <c r="J20" s="36"/>
      <c r="K20" s="36"/>
      <c r="L20" s="36"/>
      <c r="M20" s="36"/>
      <c r="N20" s="36"/>
      <c r="O20" s="36"/>
      <c r="P20" s="36"/>
      <c r="Q20" s="36"/>
      <c r="R20" s="36"/>
      <c r="S20" s="36"/>
      <c r="T20" s="36"/>
      <c r="U20" s="36"/>
      <c r="V20" s="36"/>
      <c r="W20" s="36"/>
      <c r="X20" s="36"/>
      <c r="Y20" s="36"/>
      <c r="Z20" s="36"/>
      <c r="AA20" s="36"/>
    </row>
    <row r="21" spans="1:27" ht="48" customHeight="1">
      <c r="A21" s="30" t="str">
        <f>HYPERLINK("https://www.alcaldiabogota.gov.co/sisjur/normas/Norma1.jsp?i=80554&amp;dt=S","Decreto 483")</f>
        <v>Decreto 483</v>
      </c>
      <c r="B21" s="41">
        <v>43329</v>
      </c>
      <c r="C21" s="32" t="s">
        <v>1558</v>
      </c>
      <c r="D21" s="33" t="s">
        <v>1565</v>
      </c>
      <c r="E21" s="32" t="s">
        <v>41</v>
      </c>
      <c r="F21" s="64" t="s">
        <v>97</v>
      </c>
      <c r="G21" s="119" t="s">
        <v>43</v>
      </c>
      <c r="H21" s="117" t="s">
        <v>1490</v>
      </c>
      <c r="I21" s="36"/>
      <c r="J21" s="36"/>
      <c r="K21" s="36"/>
      <c r="L21" s="36"/>
      <c r="M21" s="36"/>
      <c r="N21" s="36"/>
      <c r="O21" s="36"/>
      <c r="P21" s="36"/>
      <c r="Q21" s="36"/>
      <c r="R21" s="36"/>
      <c r="S21" s="36"/>
      <c r="T21" s="36"/>
      <c r="U21" s="36"/>
      <c r="V21" s="36"/>
      <c r="W21" s="36"/>
      <c r="X21" s="36"/>
      <c r="Y21" s="36"/>
      <c r="Z21" s="36"/>
      <c r="AA21" s="36"/>
    </row>
    <row r="22" spans="1:27" ht="24" customHeight="1">
      <c r="A22" s="30" t="str">
        <f>HYPERLINK("https://www.alcaldiabogota.gov.co/sisjur/normas/Norma1.jsp?i=897&amp;dt=S","ACUERDO 4")</f>
        <v>ACUERDO 4</v>
      </c>
      <c r="B22" s="41">
        <v>28529</v>
      </c>
      <c r="C22" s="32" t="s">
        <v>195</v>
      </c>
      <c r="D22" s="33" t="s">
        <v>1566</v>
      </c>
      <c r="E22" s="32" t="s">
        <v>41</v>
      </c>
      <c r="F22" s="64" t="s">
        <v>97</v>
      </c>
      <c r="G22" s="119" t="s">
        <v>43</v>
      </c>
      <c r="H22" s="117" t="s">
        <v>1490</v>
      </c>
      <c r="I22" s="36"/>
      <c r="J22" s="36"/>
      <c r="K22" s="36"/>
      <c r="L22" s="36"/>
      <c r="M22" s="36"/>
      <c r="N22" s="36"/>
      <c r="O22" s="36"/>
      <c r="P22" s="36"/>
      <c r="Q22" s="36"/>
      <c r="R22" s="36"/>
      <c r="S22" s="36"/>
      <c r="T22" s="36"/>
      <c r="U22" s="36"/>
      <c r="V22" s="36"/>
      <c r="W22" s="36"/>
      <c r="X22" s="36"/>
      <c r="Y22" s="36"/>
      <c r="Z22" s="36"/>
      <c r="AA22" s="36"/>
    </row>
    <row r="23" spans="1:27" ht="24" customHeight="1">
      <c r="A23" s="30" t="str">
        <f>HYPERLINK("https://diario-oficial.vlex.com.co/vid/acuerdo-107-43189887","ACUERDO 107")</f>
        <v>ACUERDO 107</v>
      </c>
      <c r="B23" s="32">
        <v>2003</v>
      </c>
      <c r="C23" s="32" t="s">
        <v>195</v>
      </c>
      <c r="D23" s="33" t="s">
        <v>1568</v>
      </c>
      <c r="E23" s="32" t="s">
        <v>41</v>
      </c>
      <c r="F23" s="64" t="s">
        <v>97</v>
      </c>
      <c r="G23" s="119" t="s">
        <v>43</v>
      </c>
      <c r="H23" s="117" t="s">
        <v>1490</v>
      </c>
      <c r="I23" s="36"/>
      <c r="J23" s="36"/>
      <c r="K23" s="36"/>
      <c r="L23" s="36"/>
      <c r="M23" s="36"/>
      <c r="N23" s="36"/>
      <c r="O23" s="36"/>
      <c r="P23" s="36"/>
      <c r="Q23" s="36"/>
      <c r="R23" s="36"/>
      <c r="S23" s="36"/>
      <c r="T23" s="36"/>
      <c r="U23" s="36"/>
      <c r="V23" s="36"/>
      <c r="W23" s="36"/>
      <c r="X23" s="36"/>
      <c r="Y23" s="36"/>
      <c r="Z23" s="36"/>
      <c r="AA23" s="36"/>
    </row>
    <row r="24" spans="1:27" ht="36" customHeight="1">
      <c r="A24" s="30" t="str">
        <f>HYPERLINK("https://www.alcaldiabogota.gov.co/sisjur/normas/Norma1.jsp?i=17652","ACUERDO 175")</f>
        <v>ACUERDO 175</v>
      </c>
      <c r="B24" s="41">
        <v>38623</v>
      </c>
      <c r="C24" s="32" t="s">
        <v>195</v>
      </c>
      <c r="D24" s="33" t="s">
        <v>1570</v>
      </c>
      <c r="E24" s="32" t="s">
        <v>41</v>
      </c>
      <c r="F24" s="64" t="s">
        <v>97</v>
      </c>
      <c r="G24" s="119" t="s">
        <v>43</v>
      </c>
      <c r="H24" s="117" t="s">
        <v>1490</v>
      </c>
      <c r="I24" s="36"/>
      <c r="J24" s="36"/>
      <c r="K24" s="36"/>
      <c r="L24" s="36"/>
      <c r="M24" s="36"/>
      <c r="N24" s="36"/>
      <c r="O24" s="36"/>
      <c r="P24" s="36"/>
      <c r="Q24" s="36"/>
      <c r="R24" s="36"/>
      <c r="S24" s="36"/>
      <c r="T24" s="36"/>
      <c r="U24" s="36"/>
      <c r="V24" s="36"/>
      <c r="W24" s="36"/>
      <c r="X24" s="36"/>
      <c r="Y24" s="36"/>
      <c r="Z24" s="36"/>
      <c r="AA24" s="36"/>
    </row>
    <row r="25" spans="1:27" ht="36" customHeight="1">
      <c r="A25" s="30" t="str">
        <f>HYPERLINK("https://www.idrd.gov.co/sitio/idrd/sites/default/files/imagenes/resolucion%20099%20de%2020130.pdf","RESOLUCIÓN 099")</f>
        <v>RESOLUCIÓN 099</v>
      </c>
      <c r="B25" s="32">
        <v>2013</v>
      </c>
      <c r="C25" s="142" t="s">
        <v>130</v>
      </c>
      <c r="D25" s="33" t="s">
        <v>585</v>
      </c>
      <c r="E25" s="32" t="s">
        <v>41</v>
      </c>
      <c r="F25" s="64" t="s">
        <v>97</v>
      </c>
      <c r="G25" s="119" t="s">
        <v>43</v>
      </c>
      <c r="H25" s="117" t="s">
        <v>1490</v>
      </c>
      <c r="I25" s="36"/>
      <c r="J25" s="36"/>
      <c r="K25" s="36"/>
      <c r="L25" s="36"/>
      <c r="M25" s="36"/>
      <c r="N25" s="36"/>
      <c r="O25" s="36"/>
      <c r="P25" s="36"/>
      <c r="Q25" s="36"/>
      <c r="R25" s="36"/>
      <c r="S25" s="36"/>
      <c r="T25" s="36"/>
      <c r="U25" s="36"/>
      <c r="V25" s="36"/>
      <c r="W25" s="36"/>
      <c r="X25" s="36"/>
      <c r="Y25" s="36"/>
      <c r="Z25" s="36"/>
      <c r="AA25" s="36"/>
    </row>
    <row r="26" spans="1:27" ht="36" customHeight="1">
      <c r="A26" s="30" t="str">
        <f>HYPERLINK("https://www.alcaldiabogota.gov.co/sisjur/normas/Norma1.jsp?i=70838","RESOLUCION 2003 ")</f>
        <v xml:space="preserve">RESOLUCION 2003 </v>
      </c>
      <c r="B26" s="41">
        <v>41787</v>
      </c>
      <c r="C26" s="32" t="s">
        <v>1596</v>
      </c>
      <c r="D26" s="33" t="s">
        <v>1597</v>
      </c>
      <c r="E26" s="32" t="s">
        <v>41</v>
      </c>
      <c r="F26" s="64" t="s">
        <v>97</v>
      </c>
      <c r="G26" s="119" t="s">
        <v>43</v>
      </c>
      <c r="H26" s="117" t="s">
        <v>1490</v>
      </c>
      <c r="I26" s="36"/>
      <c r="J26" s="36"/>
      <c r="K26" s="36"/>
      <c r="L26" s="36"/>
      <c r="M26" s="36"/>
      <c r="N26" s="36"/>
      <c r="O26" s="36"/>
      <c r="P26" s="36"/>
      <c r="Q26" s="36"/>
      <c r="R26" s="36"/>
      <c r="S26" s="36"/>
      <c r="T26" s="36"/>
      <c r="U26" s="36"/>
      <c r="V26" s="36"/>
      <c r="W26" s="36"/>
      <c r="X26" s="36"/>
      <c r="Y26" s="36"/>
      <c r="Z26" s="36"/>
      <c r="AA26" s="36"/>
    </row>
    <row r="27" spans="1:27" ht="48" customHeight="1">
      <c r="A27" s="30" t="str">
        <f>HYPERLINK("https://idrd.gov.co/sitio/idrd/sites/default/files/imagenes/resolucion%20190%20de%202015%20modificion%20del%20manual%20de%20aprovechamiento%20economico%20del%20espacio%20publico0.pdf","RESOLUCION 190")</f>
        <v>RESOLUCION 190</v>
      </c>
      <c r="B27" s="41">
        <v>42072</v>
      </c>
      <c r="C27" s="142" t="s">
        <v>130</v>
      </c>
      <c r="D27" s="33" t="s">
        <v>157</v>
      </c>
      <c r="E27" s="32" t="s">
        <v>41</v>
      </c>
      <c r="F27" s="64" t="s">
        <v>97</v>
      </c>
      <c r="G27" s="119" t="s">
        <v>43</v>
      </c>
      <c r="H27" s="117" t="s">
        <v>1490</v>
      </c>
      <c r="I27" s="36"/>
      <c r="J27" s="36"/>
      <c r="K27" s="36"/>
      <c r="L27" s="36"/>
      <c r="M27" s="36"/>
      <c r="N27" s="36"/>
      <c r="O27" s="36"/>
      <c r="P27" s="36"/>
      <c r="Q27" s="36"/>
      <c r="R27" s="36"/>
      <c r="S27" s="36"/>
      <c r="T27" s="36"/>
      <c r="U27" s="36"/>
      <c r="V27" s="36"/>
      <c r="W27" s="36"/>
      <c r="X27" s="36"/>
      <c r="Y27" s="36"/>
      <c r="Z27" s="36"/>
      <c r="AA27" s="36"/>
    </row>
    <row r="28" spans="1:27" ht="36.75" customHeight="1">
      <c r="A28" s="287" t="str">
        <f>HYPERLINK("https://www.minsalud.gov.co/Normatividad_Nuevo/Resoluci%C3%B3n%20No.%203100%20de%202019.pdf","RESOLUCIÓN 3100")</f>
        <v>RESOLUCIÓN 3100</v>
      </c>
      <c r="B28" s="103">
        <v>43794</v>
      </c>
      <c r="C28" s="51" t="s">
        <v>124</v>
      </c>
      <c r="D28" s="52" t="s">
        <v>2929</v>
      </c>
      <c r="E28" s="51" t="s">
        <v>41</v>
      </c>
      <c r="F28" s="249" t="s">
        <v>97</v>
      </c>
      <c r="G28" s="119"/>
      <c r="H28" s="117"/>
      <c r="I28" s="36"/>
      <c r="J28" s="36"/>
      <c r="K28" s="36"/>
      <c r="L28" s="36"/>
      <c r="M28" s="36"/>
      <c r="N28" s="36"/>
      <c r="O28" s="36"/>
      <c r="P28" s="36"/>
      <c r="Q28" s="36"/>
      <c r="R28" s="36"/>
      <c r="S28" s="36"/>
      <c r="T28" s="36"/>
      <c r="U28" s="36"/>
      <c r="V28" s="36"/>
      <c r="W28" s="36"/>
      <c r="X28" s="36"/>
      <c r="Y28" s="36"/>
      <c r="Z28" s="36"/>
      <c r="AA28" s="36"/>
    </row>
    <row r="29" spans="1:27" ht="24" customHeight="1">
      <c r="A29" s="102" t="str">
        <f>HYPERLINK("http://www.sdp.gov.co/transparencia/normatividad/actos-administrativos/resolucion-1134-de-2018-0","RESOLUCIÓN 1344")</f>
        <v>RESOLUCIÓN 1344</v>
      </c>
      <c r="B29" s="103">
        <v>43360</v>
      </c>
      <c r="C29" s="32" t="s">
        <v>61</v>
      </c>
      <c r="D29" s="54" t="s">
        <v>2930</v>
      </c>
      <c r="E29" s="51" t="s">
        <v>41</v>
      </c>
      <c r="F29" s="249" t="s">
        <v>97</v>
      </c>
      <c r="G29" s="119"/>
      <c r="H29" s="117"/>
      <c r="I29" s="36"/>
      <c r="J29" s="36"/>
      <c r="K29" s="36"/>
      <c r="L29" s="36"/>
      <c r="M29" s="36"/>
      <c r="N29" s="36"/>
      <c r="O29" s="36"/>
      <c r="P29" s="36"/>
      <c r="Q29" s="36"/>
      <c r="R29" s="36"/>
      <c r="S29" s="36"/>
      <c r="T29" s="36"/>
      <c r="U29" s="36"/>
      <c r="V29" s="36"/>
      <c r="W29" s="36"/>
      <c r="X29" s="36"/>
      <c r="Y29" s="36"/>
      <c r="Z29" s="36"/>
      <c r="AA29" s="36"/>
    </row>
    <row r="30" spans="1:27" ht="42.75" customHeight="1">
      <c r="A30" s="66" t="s">
        <v>2932</v>
      </c>
      <c r="B30" s="103">
        <v>43921</v>
      </c>
      <c r="C30" s="55" t="s">
        <v>2918</v>
      </c>
      <c r="D30" s="54" t="s">
        <v>2933</v>
      </c>
      <c r="E30" s="55" t="s">
        <v>41</v>
      </c>
      <c r="F30" s="249" t="s">
        <v>97</v>
      </c>
      <c r="G30" s="119"/>
      <c r="H30" s="117"/>
      <c r="I30" s="36"/>
      <c r="J30" s="36"/>
      <c r="K30" s="36"/>
      <c r="L30" s="36"/>
      <c r="M30" s="36"/>
      <c r="N30" s="36"/>
      <c r="O30" s="36"/>
      <c r="P30" s="36"/>
      <c r="Q30" s="36"/>
      <c r="R30" s="36"/>
      <c r="S30" s="36"/>
      <c r="T30" s="36"/>
      <c r="U30" s="36"/>
      <c r="V30" s="36"/>
      <c r="W30" s="36"/>
      <c r="X30" s="36"/>
      <c r="Y30" s="36"/>
      <c r="Z30" s="36"/>
      <c r="AA30" s="36"/>
    </row>
    <row r="31" spans="1:27" ht="24" customHeight="1">
      <c r="A31" s="102" t="str">
        <f>HYPERLINK("http://www.saludcapital.gov.co/Documents/Circular_0031_Aglomeraciones_publico_interna.pdf","CIRCULAR 31")</f>
        <v>CIRCULAR 31</v>
      </c>
      <c r="B31" s="103">
        <v>42732</v>
      </c>
      <c r="C31" s="51" t="s">
        <v>1625</v>
      </c>
      <c r="D31" s="52" t="s">
        <v>1626</v>
      </c>
      <c r="E31" s="51" t="s">
        <v>41</v>
      </c>
      <c r="F31" s="249" t="s">
        <v>97</v>
      </c>
      <c r="G31" s="119" t="s">
        <v>43</v>
      </c>
      <c r="H31" s="117" t="s">
        <v>1490</v>
      </c>
      <c r="I31" s="36"/>
      <c r="J31" s="36"/>
      <c r="K31" s="36"/>
      <c r="L31" s="36"/>
      <c r="M31" s="36"/>
      <c r="N31" s="36"/>
      <c r="O31" s="36"/>
      <c r="P31" s="36"/>
      <c r="Q31" s="36"/>
      <c r="R31" s="36"/>
      <c r="S31" s="36"/>
      <c r="T31" s="36"/>
      <c r="U31" s="36"/>
      <c r="V31" s="36"/>
      <c r="W31" s="36"/>
      <c r="X31" s="36"/>
      <c r="Y31" s="36"/>
      <c r="Z31" s="36"/>
      <c r="AA31" s="36"/>
    </row>
    <row r="32" spans="1:27" ht="36" customHeight="1">
      <c r="A32" s="30" t="str">
        <f>HYPERLINK("https://www.coldeportes.gov.co/index.php?idcategoria=57928","Plan Decenal del Deporte 2009 - 2019")</f>
        <v>Plan Decenal del Deporte 2009 - 2019</v>
      </c>
      <c r="B32" s="40" t="s">
        <v>2934</v>
      </c>
      <c r="C32" s="32" t="s">
        <v>1619</v>
      </c>
      <c r="D32" s="33" t="s">
        <v>1631</v>
      </c>
      <c r="E32" s="32" t="s">
        <v>41</v>
      </c>
      <c r="F32" s="64" t="s">
        <v>97</v>
      </c>
      <c r="G32" s="119" t="s">
        <v>43</v>
      </c>
      <c r="H32" s="117" t="s">
        <v>1490</v>
      </c>
      <c r="I32" s="36"/>
      <c r="J32" s="36"/>
      <c r="K32" s="36"/>
      <c r="L32" s="36"/>
      <c r="M32" s="36"/>
      <c r="N32" s="36"/>
      <c r="O32" s="36"/>
      <c r="P32" s="36"/>
      <c r="Q32" s="36"/>
      <c r="R32" s="36"/>
      <c r="S32" s="36"/>
      <c r="T32" s="36"/>
      <c r="U32" s="36"/>
      <c r="V32" s="36"/>
      <c r="W32" s="36"/>
      <c r="X32" s="36"/>
      <c r="Y32" s="36"/>
      <c r="Z32" s="36"/>
      <c r="AA32" s="36"/>
    </row>
    <row r="33" spans="1:27" ht="36" customHeight="1">
      <c r="A33" s="30" t="str">
        <f>HYPERLINK("https://www.coldeportes.gov.co/normatividad/politica_publica","Politica Publica Nacional")</f>
        <v>Politica Publica Nacional</v>
      </c>
      <c r="B33" s="32">
        <v>2018</v>
      </c>
      <c r="C33" s="32" t="s">
        <v>1619</v>
      </c>
      <c r="D33" s="33" t="s">
        <v>1633</v>
      </c>
      <c r="E33" s="32" t="s">
        <v>97</v>
      </c>
      <c r="F33" s="64" t="s">
        <v>97</v>
      </c>
      <c r="G33" s="119" t="s">
        <v>43</v>
      </c>
      <c r="H33" s="117" t="s">
        <v>1490</v>
      </c>
      <c r="I33" s="36"/>
      <c r="J33" s="36"/>
      <c r="K33" s="36"/>
      <c r="L33" s="36"/>
      <c r="M33" s="36"/>
      <c r="N33" s="36"/>
      <c r="O33" s="36"/>
      <c r="P33" s="36"/>
      <c r="Q33" s="36"/>
      <c r="R33" s="36"/>
      <c r="S33" s="36"/>
      <c r="T33" s="36"/>
      <c r="U33" s="36"/>
      <c r="V33" s="36"/>
      <c r="W33" s="36"/>
      <c r="X33" s="36"/>
      <c r="Y33" s="36"/>
      <c r="Z33" s="36"/>
      <c r="AA33" s="36"/>
    </row>
    <row r="34" spans="1:27" ht="84" customHeight="1">
      <c r="A34" s="30" t="str">
        <f>HYPERLINK("https://www.unidadvictimas.gov.co/sites/default/files/documentosbiblioteca/ley-12-de-1991.pdf","LEY 12")</f>
        <v>LEY 12</v>
      </c>
      <c r="B34" s="41">
        <v>33260</v>
      </c>
      <c r="C34" s="32" t="s">
        <v>507</v>
      </c>
      <c r="D34" s="33" t="s">
        <v>1642</v>
      </c>
      <c r="E34" s="32" t="s">
        <v>41</v>
      </c>
      <c r="F34" s="32" t="s">
        <v>97</v>
      </c>
      <c r="G34" s="285"/>
      <c r="H34" s="285"/>
      <c r="I34" s="74"/>
      <c r="J34" s="74"/>
      <c r="K34" s="74"/>
      <c r="L34" s="74"/>
      <c r="M34" s="74"/>
      <c r="N34" s="74"/>
      <c r="O34" s="74"/>
      <c r="P34" s="74"/>
      <c r="Q34" s="74"/>
      <c r="R34" s="74"/>
      <c r="S34" s="74"/>
      <c r="T34" s="74"/>
      <c r="U34" s="74"/>
      <c r="V34" s="74"/>
      <c r="W34" s="74"/>
      <c r="X34" s="74"/>
      <c r="Y34" s="74"/>
      <c r="Z34" s="74"/>
      <c r="AA34" s="74"/>
    </row>
    <row r="35" spans="1:27" ht="84" customHeight="1">
      <c r="A35" s="30" t="str">
        <f>HYPERLINK("https://www.alcaldiabogota.gov.co/sisjur/normas/Norma1.jsp?i=3424","LEY 181")</f>
        <v>LEY 181</v>
      </c>
      <c r="B35" s="31">
        <v>34717</v>
      </c>
      <c r="C35" s="32" t="s">
        <v>39</v>
      </c>
      <c r="D35" s="39" t="s">
        <v>2998</v>
      </c>
      <c r="E35" s="32" t="s">
        <v>41</v>
      </c>
      <c r="F35" s="32" t="s">
        <v>97</v>
      </c>
      <c r="G35" s="285"/>
      <c r="H35" s="285"/>
      <c r="I35" s="74"/>
      <c r="J35" s="74"/>
      <c r="K35" s="74"/>
      <c r="L35" s="74"/>
      <c r="M35" s="74"/>
      <c r="N35" s="74"/>
      <c r="O35" s="74"/>
      <c r="P35" s="74"/>
      <c r="Q35" s="74"/>
      <c r="R35" s="74"/>
      <c r="S35" s="74"/>
      <c r="T35" s="74"/>
      <c r="U35" s="74"/>
      <c r="V35" s="74"/>
      <c r="W35" s="74"/>
      <c r="X35" s="74"/>
      <c r="Y35" s="74"/>
      <c r="Z35" s="74"/>
      <c r="AA35" s="74"/>
    </row>
    <row r="36" spans="1:27" ht="84" customHeight="1">
      <c r="A36" s="30" t="str">
        <f>HYPERLINK("https://www.funcionpublica.gov.co/eva/gestornormativo/norma.php?i=349","LEY 324")</f>
        <v>LEY 324</v>
      </c>
      <c r="B36" s="31">
        <v>35349</v>
      </c>
      <c r="C36" s="32" t="s">
        <v>39</v>
      </c>
      <c r="D36" s="39" t="s">
        <v>2941</v>
      </c>
      <c r="E36" s="32" t="s">
        <v>41</v>
      </c>
      <c r="F36" s="32" t="s">
        <v>97</v>
      </c>
      <c r="G36" s="285"/>
      <c r="H36" s="285"/>
      <c r="I36" s="74"/>
      <c r="J36" s="74"/>
      <c r="K36" s="74"/>
      <c r="L36" s="74"/>
      <c r="M36" s="74"/>
      <c r="N36" s="74"/>
      <c r="O36" s="74"/>
      <c r="P36" s="74"/>
      <c r="Q36" s="74"/>
      <c r="R36" s="74"/>
      <c r="S36" s="74"/>
      <c r="T36" s="74"/>
      <c r="U36" s="74"/>
      <c r="V36" s="74"/>
      <c r="W36" s="74"/>
      <c r="X36" s="74"/>
      <c r="Y36" s="74"/>
      <c r="Z36" s="74"/>
      <c r="AA36" s="74"/>
    </row>
    <row r="37" spans="1:27" ht="84" customHeight="1">
      <c r="A37" s="263" t="str">
        <f>HYPERLINK("http://www.secretariasenado.gov.co/senado/basedoc/ley_0361_1997.html","LEY 361")</f>
        <v>LEY 361</v>
      </c>
      <c r="B37" s="31">
        <v>35468</v>
      </c>
      <c r="C37" s="142" t="s">
        <v>39</v>
      </c>
      <c r="D37" s="33" t="s">
        <v>475</v>
      </c>
      <c r="E37" s="32" t="s">
        <v>41</v>
      </c>
      <c r="F37" s="32" t="s">
        <v>97</v>
      </c>
      <c r="G37" s="285"/>
      <c r="H37" s="285"/>
      <c r="I37" s="74"/>
      <c r="J37" s="74"/>
      <c r="K37" s="74"/>
      <c r="L37" s="74"/>
      <c r="M37" s="74"/>
      <c r="N37" s="74"/>
      <c r="O37" s="74"/>
      <c r="P37" s="74"/>
      <c r="Q37" s="74"/>
      <c r="R37" s="74"/>
      <c r="S37" s="74"/>
      <c r="T37" s="74"/>
      <c r="U37" s="74"/>
      <c r="V37" s="74"/>
      <c r="W37" s="74"/>
      <c r="X37" s="74"/>
      <c r="Y37" s="74"/>
      <c r="Z37" s="74"/>
      <c r="AA37" s="74"/>
    </row>
    <row r="38" spans="1:27" ht="84" customHeight="1">
      <c r="A38" s="291" t="str">
        <f>HYPERLINK("https://www.mineducacion.gov.co/1621/articles-85935_archivo_pdf.pdf","Ley 375")</f>
        <v>Ley 375</v>
      </c>
      <c r="B38" s="41">
        <v>35615</v>
      </c>
      <c r="C38" s="264" t="s">
        <v>507</v>
      </c>
      <c r="D38" s="268" t="s">
        <v>2944</v>
      </c>
      <c r="E38" s="264" t="s">
        <v>41</v>
      </c>
      <c r="F38" s="264" t="s">
        <v>97</v>
      </c>
      <c r="G38" s="285"/>
      <c r="H38" s="285"/>
      <c r="I38" s="74"/>
      <c r="J38" s="74"/>
      <c r="K38" s="74"/>
      <c r="L38" s="74"/>
      <c r="M38" s="74"/>
      <c r="N38" s="74"/>
      <c r="O38" s="74"/>
      <c r="P38" s="74"/>
      <c r="Q38" s="74"/>
      <c r="R38" s="74"/>
      <c r="S38" s="74"/>
      <c r="T38" s="74"/>
      <c r="U38" s="74"/>
      <c r="V38" s="74"/>
      <c r="W38" s="74"/>
      <c r="X38" s="74"/>
      <c r="Y38" s="74"/>
      <c r="Z38" s="74"/>
      <c r="AA38" s="74"/>
    </row>
    <row r="39" spans="1:27" ht="84" customHeight="1">
      <c r="A39" s="30" t="str">
        <f>HYPERLINK("https://www.funcionpublica.gov.co/eva/gestornormativo/norma.php?i=4599","LEY 724")</f>
        <v>LEY 724</v>
      </c>
      <c r="B39" s="286">
        <v>37252</v>
      </c>
      <c r="C39" s="32" t="s">
        <v>507</v>
      </c>
      <c r="D39" s="33" t="s">
        <v>1648</v>
      </c>
      <c r="E39" s="32" t="s">
        <v>41</v>
      </c>
      <c r="F39" s="32" t="s">
        <v>97</v>
      </c>
      <c r="G39" s="285"/>
      <c r="H39" s="285"/>
      <c r="I39" s="74"/>
      <c r="J39" s="74"/>
      <c r="K39" s="74"/>
      <c r="L39" s="74"/>
      <c r="M39" s="74"/>
      <c r="N39" s="74"/>
      <c r="O39" s="74"/>
      <c r="P39" s="74"/>
      <c r="Q39" s="74"/>
      <c r="R39" s="74"/>
      <c r="S39" s="74"/>
      <c r="T39" s="74"/>
      <c r="U39" s="74"/>
      <c r="V39" s="74"/>
      <c r="W39" s="74"/>
      <c r="X39" s="74"/>
      <c r="Y39" s="74"/>
      <c r="Z39" s="74"/>
      <c r="AA39" s="74"/>
    </row>
    <row r="40" spans="1:27" ht="84" customHeight="1">
      <c r="A40" s="30" t="str">
        <f>HYPERLINK("http://www.secretariasenado.gov.co/senado/basedoc/ley_0762_2002.html","LEY 762")</f>
        <v>LEY 762</v>
      </c>
      <c r="B40" s="41">
        <v>37468</v>
      </c>
      <c r="C40" s="32" t="s">
        <v>507</v>
      </c>
      <c r="D40" s="33" t="s">
        <v>1652</v>
      </c>
      <c r="E40" s="32" t="s">
        <v>41</v>
      </c>
      <c r="F40" s="32" t="s">
        <v>97</v>
      </c>
      <c r="G40" s="285"/>
      <c r="H40" s="285"/>
      <c r="I40" s="74"/>
      <c r="J40" s="74"/>
      <c r="K40" s="74"/>
      <c r="L40" s="74"/>
      <c r="M40" s="74"/>
      <c r="N40" s="74"/>
      <c r="O40" s="74"/>
      <c r="P40" s="74"/>
      <c r="Q40" s="74"/>
      <c r="R40" s="74"/>
      <c r="S40" s="74"/>
      <c r="T40" s="74"/>
      <c r="U40" s="74"/>
      <c r="V40" s="74"/>
      <c r="W40" s="74"/>
      <c r="X40" s="74"/>
      <c r="Y40" s="74"/>
      <c r="Z40" s="74"/>
      <c r="AA40" s="74"/>
    </row>
    <row r="41" spans="1:27" ht="84" customHeight="1">
      <c r="A41" s="30" t="str">
        <f>HYPERLINK("https://www.funcionpublica.gov.co/eva/gestornormativo/norma.php?i=14787","LEY 904")</f>
        <v>LEY 904</v>
      </c>
      <c r="B41" s="41">
        <v>38230</v>
      </c>
      <c r="C41" s="32" t="s">
        <v>507</v>
      </c>
      <c r="D41" s="33" t="s">
        <v>1658</v>
      </c>
      <c r="E41" s="32" t="s">
        <v>41</v>
      </c>
      <c r="F41" s="32" t="s">
        <v>97</v>
      </c>
      <c r="G41" s="285"/>
      <c r="H41" s="285"/>
      <c r="I41" s="74"/>
      <c r="J41" s="74"/>
      <c r="K41" s="74"/>
      <c r="L41" s="74"/>
      <c r="M41" s="74"/>
      <c r="N41" s="74"/>
      <c r="O41" s="74"/>
      <c r="P41" s="74"/>
      <c r="Q41" s="74"/>
      <c r="R41" s="74"/>
      <c r="S41" s="74"/>
      <c r="T41" s="74"/>
      <c r="U41" s="74"/>
      <c r="V41" s="74"/>
      <c r="W41" s="74"/>
      <c r="X41" s="74"/>
      <c r="Y41" s="74"/>
      <c r="Z41" s="74"/>
      <c r="AA41" s="74"/>
    </row>
    <row r="42" spans="1:27" ht="84" customHeight="1">
      <c r="A42" s="30" t="str">
        <f>HYPERLINK("http://www.secretariasenado.gov.co/senado/basedoc/ley_0982_2005.html","LEY 982")</f>
        <v>LEY 982</v>
      </c>
      <c r="B42" s="41">
        <v>38566</v>
      </c>
      <c r="C42" s="32" t="s">
        <v>507</v>
      </c>
      <c r="D42" s="33" t="s">
        <v>1660</v>
      </c>
      <c r="E42" s="32" t="s">
        <v>41</v>
      </c>
      <c r="F42" s="32" t="s">
        <v>97</v>
      </c>
      <c r="G42" s="285"/>
      <c r="H42" s="285"/>
      <c r="I42" s="74"/>
      <c r="J42" s="74"/>
      <c r="K42" s="74"/>
      <c r="L42" s="74"/>
      <c r="M42" s="74"/>
      <c r="N42" s="74"/>
      <c r="O42" s="74"/>
      <c r="P42" s="74"/>
      <c r="Q42" s="74"/>
      <c r="R42" s="74"/>
      <c r="S42" s="74"/>
      <c r="T42" s="74"/>
      <c r="U42" s="74"/>
      <c r="V42" s="74"/>
      <c r="W42" s="74"/>
      <c r="X42" s="74"/>
      <c r="Y42" s="74"/>
      <c r="Z42" s="74"/>
      <c r="AA42" s="74"/>
    </row>
    <row r="43" spans="1:27" ht="84" customHeight="1">
      <c r="A43" s="30" t="str">
        <f>HYPERLINK("https://www.alcaldiabogota.gov.co/sisjur/normas/Norma1.jsp?i=22106","LEY 1098")</f>
        <v>LEY 1098</v>
      </c>
      <c r="B43" s="41">
        <v>39029</v>
      </c>
      <c r="C43" s="32" t="s">
        <v>507</v>
      </c>
      <c r="D43" s="33" t="s">
        <v>1514</v>
      </c>
      <c r="E43" s="32" t="s">
        <v>1661</v>
      </c>
      <c r="F43" s="39" t="s">
        <v>2946</v>
      </c>
      <c r="G43" s="285"/>
      <c r="H43" s="285"/>
      <c r="I43" s="74"/>
      <c r="J43" s="74"/>
      <c r="K43" s="74"/>
      <c r="L43" s="74"/>
      <c r="M43" s="74"/>
      <c r="N43" s="74"/>
      <c r="O43" s="74"/>
      <c r="P43" s="74"/>
      <c r="Q43" s="74"/>
      <c r="R43" s="74"/>
      <c r="S43" s="74"/>
      <c r="T43" s="74"/>
      <c r="U43" s="74"/>
      <c r="V43" s="74"/>
      <c r="W43" s="74"/>
      <c r="X43" s="74"/>
      <c r="Y43" s="74"/>
      <c r="Z43" s="74"/>
      <c r="AA43" s="74"/>
    </row>
    <row r="44" spans="1:27" ht="84" customHeight="1">
      <c r="A44" s="269" t="str">
        <f>HYPERLINK("https://www.alcaldiabogota.gov.co/sisjur/normas/Norma1.jsp?i=25670","LEY 1145")</f>
        <v>LEY 1145</v>
      </c>
      <c r="B44" s="41">
        <v>39273</v>
      </c>
      <c r="C44" s="32" t="s">
        <v>507</v>
      </c>
      <c r="D44" s="33" t="s">
        <v>1664</v>
      </c>
      <c r="E44" s="32" t="s">
        <v>41</v>
      </c>
      <c r="F44" s="32" t="s">
        <v>97</v>
      </c>
      <c r="G44" s="285"/>
      <c r="H44" s="285"/>
      <c r="I44" s="74"/>
      <c r="J44" s="74"/>
      <c r="K44" s="74"/>
      <c r="L44" s="74"/>
      <c r="M44" s="74"/>
      <c r="N44" s="74"/>
      <c r="O44" s="74"/>
      <c r="P44" s="74"/>
      <c r="Q44" s="74"/>
      <c r="R44" s="74"/>
      <c r="S44" s="74"/>
      <c r="T44" s="74"/>
      <c r="U44" s="74"/>
      <c r="V44" s="74"/>
      <c r="W44" s="74"/>
      <c r="X44" s="74"/>
      <c r="Y44" s="74"/>
      <c r="Z44" s="74"/>
      <c r="AA44" s="74"/>
    </row>
    <row r="45" spans="1:27" ht="84" customHeight="1">
      <c r="A45" s="291" t="str">
        <f>HYPERLINK("http://www.secretariasenado.gov.co/senado/basedoc/ley_1225_2008.html","LEY 1225")</f>
        <v>LEY 1225</v>
      </c>
      <c r="B45" s="41">
        <v>39645</v>
      </c>
      <c r="C45" s="264" t="s">
        <v>507</v>
      </c>
      <c r="D45" s="268" t="s">
        <v>52</v>
      </c>
      <c r="E45" s="264" t="s">
        <v>41</v>
      </c>
      <c r="F45" s="264" t="s">
        <v>97</v>
      </c>
      <c r="G45" s="285"/>
      <c r="H45" s="285"/>
      <c r="I45" s="74"/>
      <c r="J45" s="74"/>
      <c r="K45" s="74"/>
      <c r="L45" s="74"/>
      <c r="M45" s="74"/>
      <c r="N45" s="74"/>
      <c r="O45" s="74"/>
      <c r="P45" s="74"/>
      <c r="Q45" s="74"/>
      <c r="R45" s="74"/>
      <c r="S45" s="74"/>
      <c r="T45" s="74"/>
      <c r="U45" s="74"/>
      <c r="V45" s="74"/>
      <c r="W45" s="74"/>
      <c r="X45" s="74"/>
      <c r="Y45" s="74"/>
      <c r="Z45" s="74"/>
      <c r="AA45" s="74"/>
    </row>
    <row r="46" spans="1:27" ht="84" customHeight="1">
      <c r="A46" s="30" t="str">
        <f>HYPERLINK("https://www.alcaldiabogota.gov.co/sisjur/normas/Norma1.jsp?i=35367","LEY 1287")</f>
        <v>LEY 1287</v>
      </c>
      <c r="B46" s="41">
        <v>39875</v>
      </c>
      <c r="C46" s="32" t="s">
        <v>507</v>
      </c>
      <c r="D46" s="33" t="s">
        <v>1666</v>
      </c>
      <c r="E46" s="32" t="s">
        <v>41</v>
      </c>
      <c r="F46" s="32" t="s">
        <v>97</v>
      </c>
      <c r="G46" s="285"/>
      <c r="H46" s="285"/>
      <c r="I46" s="74"/>
      <c r="J46" s="74"/>
      <c r="K46" s="74"/>
      <c r="L46" s="74"/>
      <c r="M46" s="74"/>
      <c r="N46" s="74"/>
      <c r="O46" s="74"/>
      <c r="P46" s="74"/>
      <c r="Q46" s="74"/>
      <c r="R46" s="74"/>
      <c r="S46" s="74"/>
      <c r="T46" s="74"/>
      <c r="U46" s="74"/>
      <c r="V46" s="74"/>
      <c r="W46" s="74"/>
      <c r="X46" s="74"/>
      <c r="Y46" s="74"/>
      <c r="Z46" s="74"/>
      <c r="AA46" s="74"/>
    </row>
    <row r="47" spans="1:27" ht="84" customHeight="1">
      <c r="A47" s="30" t="str">
        <f>HYPERLINK("https://www.funcionpublica.gov.co/eva/gestornormativo/norma.php?i=37150","LEY 1346")</f>
        <v>LEY 1346</v>
      </c>
      <c r="B47" s="41">
        <v>40025</v>
      </c>
      <c r="C47" s="32" t="s">
        <v>507</v>
      </c>
      <c r="D47" s="33" t="s">
        <v>1668</v>
      </c>
      <c r="E47" s="32" t="s">
        <v>41</v>
      </c>
      <c r="F47" s="32" t="s">
        <v>97</v>
      </c>
      <c r="G47" s="285"/>
      <c r="H47" s="285"/>
      <c r="I47" s="74"/>
      <c r="J47" s="74"/>
      <c r="K47" s="74"/>
      <c r="L47" s="74"/>
      <c r="M47" s="74"/>
      <c r="N47" s="74"/>
      <c r="O47" s="74"/>
      <c r="P47" s="74"/>
      <c r="Q47" s="74"/>
      <c r="R47" s="74"/>
      <c r="S47" s="74"/>
      <c r="T47" s="74"/>
      <c r="U47" s="74"/>
      <c r="V47" s="74"/>
      <c r="W47" s="74"/>
      <c r="X47" s="74"/>
      <c r="Y47" s="74"/>
      <c r="Z47" s="74"/>
      <c r="AA47" s="74"/>
    </row>
    <row r="48" spans="1:27" ht="84" customHeight="1">
      <c r="A48" s="30" t="str">
        <f>HYPERLINK("http://www.secretariasenado.gov.co/senado/basedoc/ley_1448_2011.html","LEY 1448")</f>
        <v>LEY 1448</v>
      </c>
      <c r="B48" s="41">
        <v>40704</v>
      </c>
      <c r="C48" s="32" t="s">
        <v>507</v>
      </c>
      <c r="D48" s="33" t="s">
        <v>982</v>
      </c>
      <c r="E48" s="32" t="s">
        <v>41</v>
      </c>
      <c r="F48" s="32" t="s">
        <v>97</v>
      </c>
      <c r="G48" s="285"/>
      <c r="H48" s="285"/>
      <c r="I48" s="74"/>
      <c r="J48" s="74"/>
      <c r="K48" s="74"/>
      <c r="L48" s="74"/>
      <c r="M48" s="74"/>
      <c r="N48" s="74"/>
      <c r="O48" s="74"/>
      <c r="P48" s="74"/>
      <c r="Q48" s="74"/>
      <c r="R48" s="74"/>
      <c r="S48" s="74"/>
      <c r="T48" s="74"/>
      <c r="U48" s="74"/>
      <c r="V48" s="74"/>
      <c r="W48" s="74"/>
      <c r="X48" s="74"/>
      <c r="Y48" s="74"/>
      <c r="Z48" s="74"/>
      <c r="AA48" s="74"/>
    </row>
    <row r="49" spans="1:27" ht="84" customHeight="1">
      <c r="A49" s="30" t="str">
        <f>HYPERLINK("https://www.funcionpublica.gov.co/eva/gestornormativo/norma.php?i=45246","LEY 1493")</f>
        <v>LEY 1493</v>
      </c>
      <c r="B49" s="286">
        <v>40903</v>
      </c>
      <c r="C49" s="32" t="s">
        <v>507</v>
      </c>
      <c r="D49" s="33" t="s">
        <v>1671</v>
      </c>
      <c r="E49" s="32" t="s">
        <v>41</v>
      </c>
      <c r="F49" s="32" t="s">
        <v>97</v>
      </c>
      <c r="G49" s="285"/>
      <c r="H49" s="285"/>
      <c r="I49" s="74"/>
      <c r="J49" s="74"/>
      <c r="K49" s="74"/>
      <c r="L49" s="74"/>
      <c r="M49" s="74"/>
      <c r="N49" s="74"/>
      <c r="O49" s="74"/>
      <c r="P49" s="74"/>
      <c r="Q49" s="74"/>
      <c r="R49" s="74"/>
      <c r="S49" s="74"/>
      <c r="T49" s="74"/>
      <c r="U49" s="74"/>
      <c r="V49" s="74"/>
      <c r="W49" s="74"/>
      <c r="X49" s="74"/>
      <c r="Y49" s="74"/>
      <c r="Z49" s="74"/>
      <c r="AA49" s="74"/>
    </row>
    <row r="50" spans="1:27" ht="84" customHeight="1">
      <c r="A50" s="30" t="str">
        <f>HYPERLINK("https://www.funcionpublica.gov.co/eva/gestornormativo/norma.php?i=47141","LEY 1523")</f>
        <v>LEY 1523</v>
      </c>
      <c r="B50" s="41">
        <v>41023</v>
      </c>
      <c r="C50" s="32" t="s">
        <v>507</v>
      </c>
      <c r="D50" s="33" t="s">
        <v>1672</v>
      </c>
      <c r="E50" s="32" t="s">
        <v>41</v>
      </c>
      <c r="F50" s="32" t="s">
        <v>97</v>
      </c>
      <c r="G50" s="285"/>
      <c r="H50" s="285"/>
      <c r="I50" s="74"/>
      <c r="J50" s="74"/>
      <c r="K50" s="74"/>
      <c r="L50" s="74"/>
      <c r="M50" s="74"/>
      <c r="N50" s="74"/>
      <c r="O50" s="74"/>
      <c r="P50" s="74"/>
      <c r="Q50" s="74"/>
      <c r="R50" s="74"/>
      <c r="S50" s="74"/>
      <c r="T50" s="74"/>
      <c r="U50" s="74"/>
      <c r="V50" s="74"/>
      <c r="W50" s="74"/>
      <c r="X50" s="74"/>
      <c r="Y50" s="74"/>
      <c r="Z50" s="74"/>
      <c r="AA50" s="74"/>
    </row>
    <row r="51" spans="1:27" ht="84" customHeight="1">
      <c r="A51" s="30" t="str">
        <f>HYPERLINK("https://www.icbf.gov.co/cargues/avance/docs/ley_1618_2013.htm","LEY 1618")</f>
        <v>LEY 1618</v>
      </c>
      <c r="B51" s="41">
        <v>41332</v>
      </c>
      <c r="C51" s="32" t="s">
        <v>507</v>
      </c>
      <c r="D51" s="33" t="s">
        <v>508</v>
      </c>
      <c r="E51" s="32" t="s">
        <v>41</v>
      </c>
      <c r="F51" s="32" t="s">
        <v>97</v>
      </c>
      <c r="G51" s="285"/>
      <c r="H51" s="285"/>
      <c r="I51" s="74"/>
      <c r="J51" s="74"/>
      <c r="K51" s="74"/>
      <c r="L51" s="74"/>
      <c r="M51" s="74"/>
      <c r="N51" s="74"/>
      <c r="O51" s="74"/>
      <c r="P51" s="74"/>
      <c r="Q51" s="74"/>
      <c r="R51" s="74"/>
      <c r="S51" s="74"/>
      <c r="T51" s="74"/>
      <c r="U51" s="74"/>
      <c r="V51" s="74"/>
      <c r="W51" s="74"/>
      <c r="X51" s="74"/>
      <c r="Y51" s="74"/>
      <c r="Z51" s="74"/>
      <c r="AA51" s="74"/>
    </row>
    <row r="52" spans="1:27" ht="84" customHeight="1">
      <c r="A52" s="293" t="str">
        <f>HYPERLINK("https://www.funcionpublica.gov.co/eva/gestornormativo/norma.php?i=52971","LEY ESTATUTARIA 1622")</f>
        <v>LEY ESTATUTARIA 1622</v>
      </c>
      <c r="B52" s="41">
        <v>41393</v>
      </c>
      <c r="C52" s="32" t="s">
        <v>507</v>
      </c>
      <c r="D52" s="39" t="s">
        <v>2948</v>
      </c>
      <c r="E52" s="40" t="s">
        <v>657</v>
      </c>
      <c r="F52" s="40" t="s">
        <v>2943</v>
      </c>
      <c r="G52" s="285"/>
      <c r="H52" s="285"/>
      <c r="I52" s="74"/>
      <c r="J52" s="74"/>
      <c r="K52" s="74"/>
      <c r="L52" s="74"/>
      <c r="M52" s="74"/>
      <c r="N52" s="74"/>
      <c r="O52" s="74"/>
      <c r="P52" s="74"/>
      <c r="Q52" s="74"/>
      <c r="R52" s="74"/>
      <c r="S52" s="74"/>
      <c r="T52" s="74"/>
      <c r="U52" s="74"/>
      <c r="V52" s="74"/>
      <c r="W52" s="74"/>
      <c r="X52" s="74"/>
      <c r="Y52" s="74"/>
      <c r="Z52" s="74"/>
      <c r="AA52" s="74"/>
    </row>
    <row r="53" spans="1:27" ht="84" customHeight="1">
      <c r="A53" s="30" t="str">
        <f>HYPERLINK("http://www.secretariasenado.gov.co/senado/basedoc/ley_1801_2016.html","LEY 1801")</f>
        <v>LEY 1801</v>
      </c>
      <c r="B53" s="40" t="s">
        <v>2949</v>
      </c>
      <c r="C53" s="32" t="s">
        <v>507</v>
      </c>
      <c r="D53" s="33" t="s">
        <v>1675</v>
      </c>
      <c r="E53" s="32" t="s">
        <v>41</v>
      </c>
      <c r="F53" s="32" t="s">
        <v>97</v>
      </c>
      <c r="G53" s="285"/>
      <c r="H53" s="285"/>
      <c r="I53" s="74"/>
      <c r="J53" s="74"/>
      <c r="K53" s="74"/>
      <c r="L53" s="74"/>
      <c r="M53" s="74"/>
      <c r="N53" s="74"/>
      <c r="O53" s="74"/>
      <c r="P53" s="74"/>
      <c r="Q53" s="74"/>
      <c r="R53" s="74"/>
      <c r="S53" s="74"/>
      <c r="T53" s="74"/>
      <c r="U53" s="74"/>
      <c r="V53" s="74"/>
      <c r="W53" s="74"/>
      <c r="X53" s="74"/>
      <c r="Y53" s="74"/>
      <c r="Z53" s="74"/>
      <c r="AA53" s="74"/>
    </row>
    <row r="54" spans="1:27" ht="84" customHeight="1">
      <c r="A54" s="291" t="str">
        <f>HYPERLINK("https://www.icbf.gov.co/cargues/avance/docs/ley_1804_2016.htm","LEY 1804")</f>
        <v>LEY 1804</v>
      </c>
      <c r="B54" s="41">
        <v>42584</v>
      </c>
      <c r="C54" s="264" t="s">
        <v>507</v>
      </c>
      <c r="D54" s="268" t="s">
        <v>2950</v>
      </c>
      <c r="E54" s="264" t="s">
        <v>41</v>
      </c>
      <c r="F54" s="264" t="s">
        <v>97</v>
      </c>
      <c r="G54" s="285"/>
      <c r="H54" s="285"/>
      <c r="I54" s="74"/>
      <c r="J54" s="74"/>
      <c r="K54" s="74"/>
      <c r="L54" s="74"/>
      <c r="M54" s="74"/>
      <c r="N54" s="74"/>
      <c r="O54" s="74"/>
      <c r="P54" s="74"/>
      <c r="Q54" s="74"/>
      <c r="R54" s="74"/>
      <c r="S54" s="74"/>
      <c r="T54" s="74"/>
      <c r="U54" s="74"/>
      <c r="V54" s="74"/>
      <c r="W54" s="74"/>
      <c r="X54" s="74"/>
      <c r="Y54" s="74"/>
      <c r="Z54" s="74"/>
      <c r="AA54" s="74"/>
    </row>
    <row r="55" spans="1:27" ht="84" customHeight="1">
      <c r="A55" s="30" t="str">
        <f>HYPERLINK("https://www.funcionpublica.gov.co/eva/gestornormativo/norma.php?i=85540","LEY ESTATUTARIA  1885")</f>
        <v>LEY ESTATUTARIA  1885</v>
      </c>
      <c r="B55" s="41">
        <v>43160</v>
      </c>
      <c r="C55" s="32" t="s">
        <v>507</v>
      </c>
      <c r="D55" s="33" t="s">
        <v>1677</v>
      </c>
      <c r="E55" s="32" t="s">
        <v>41</v>
      </c>
      <c r="F55" s="32" t="s">
        <v>97</v>
      </c>
      <c r="G55" s="285"/>
      <c r="H55" s="285"/>
      <c r="I55" s="74"/>
      <c r="J55" s="74"/>
      <c r="K55" s="74"/>
      <c r="L55" s="74"/>
      <c r="M55" s="74"/>
      <c r="N55" s="74"/>
      <c r="O55" s="74"/>
      <c r="P55" s="74"/>
      <c r="Q55" s="74"/>
      <c r="R55" s="74"/>
      <c r="S55" s="74"/>
      <c r="T55" s="74"/>
      <c r="U55" s="74"/>
      <c r="V55" s="74"/>
      <c r="W55" s="74"/>
      <c r="X55" s="74"/>
      <c r="Y55" s="74"/>
      <c r="Z55" s="74"/>
      <c r="AA55" s="74"/>
    </row>
    <row r="56" spans="1:27" ht="84" customHeight="1">
      <c r="A56" s="291" t="str">
        <f>HYPERLINK("https://dapre.presidencia.gov.co/normativa/normativa/LEY%201987%20DEL%2030%20DE%20JULIO%20DE%202019.pdf","LEY 1987")</f>
        <v>LEY 1987</v>
      </c>
      <c r="B56" s="41">
        <v>43676</v>
      </c>
      <c r="C56" s="264" t="s">
        <v>327</v>
      </c>
      <c r="D56" s="268" t="s">
        <v>2951</v>
      </c>
      <c r="E56" s="264" t="s">
        <v>41</v>
      </c>
      <c r="F56" s="264" t="s">
        <v>2952</v>
      </c>
      <c r="G56" s="285"/>
      <c r="H56" s="285"/>
      <c r="I56" s="74"/>
      <c r="J56" s="74"/>
      <c r="K56" s="74"/>
      <c r="L56" s="74"/>
      <c r="M56" s="74"/>
      <c r="N56" s="74"/>
      <c r="O56" s="74"/>
      <c r="P56" s="74"/>
      <c r="Q56" s="74"/>
      <c r="R56" s="74"/>
      <c r="S56" s="74"/>
      <c r="T56" s="74"/>
      <c r="U56" s="74"/>
      <c r="V56" s="74"/>
      <c r="W56" s="74"/>
      <c r="X56" s="74"/>
      <c r="Y56" s="74"/>
      <c r="Z56" s="74"/>
      <c r="AA56" s="74"/>
    </row>
    <row r="57" spans="1:27" ht="84" customHeight="1">
      <c r="A57" s="30" t="str">
        <f>HYPERLINK("https://www.mineducacion.gov.co/1759/articles-177832_archivo_pdf_Conpes_109.pdf","CONPES 109")</f>
        <v>CONPES 109</v>
      </c>
      <c r="B57" s="41">
        <v>39419</v>
      </c>
      <c r="C57" s="32" t="s">
        <v>302</v>
      </c>
      <c r="D57" s="33" t="s">
        <v>1687</v>
      </c>
      <c r="E57" s="32" t="s">
        <v>41</v>
      </c>
      <c r="F57" s="32" t="s">
        <v>97</v>
      </c>
      <c r="G57" s="285"/>
      <c r="H57" s="285"/>
      <c r="I57" s="74"/>
      <c r="J57" s="74"/>
      <c r="K57" s="74"/>
      <c r="L57" s="74"/>
      <c r="M57" s="74"/>
      <c r="N57" s="74"/>
      <c r="O57" s="74"/>
      <c r="P57" s="74"/>
      <c r="Q57" s="74"/>
      <c r="R57" s="74"/>
      <c r="S57" s="74"/>
      <c r="T57" s="74"/>
      <c r="U57" s="74"/>
      <c r="V57" s="74"/>
      <c r="W57" s="74"/>
      <c r="X57" s="74"/>
      <c r="Y57" s="74"/>
      <c r="Z57" s="74"/>
      <c r="AA57" s="74"/>
    </row>
    <row r="58" spans="1:27" ht="84" customHeight="1">
      <c r="A58" s="30" t="str">
        <f>HYPERLINK("https://www.alcaldiabogota.gov.co/sisjur/normas/Norma1.jsp?i=9706","DECRETO 350")</f>
        <v>DECRETO 350</v>
      </c>
      <c r="B58" s="31">
        <v>37902</v>
      </c>
      <c r="C58" s="32" t="s">
        <v>61</v>
      </c>
      <c r="D58" s="33" t="s">
        <v>534</v>
      </c>
      <c r="E58" s="32" t="s">
        <v>1693</v>
      </c>
      <c r="F58" s="39" t="s">
        <v>2953</v>
      </c>
      <c r="G58" s="285"/>
      <c r="H58" s="285"/>
      <c r="I58" s="74"/>
      <c r="J58" s="74"/>
      <c r="K58" s="74"/>
      <c r="L58" s="74"/>
      <c r="M58" s="74"/>
      <c r="N58" s="74"/>
      <c r="O58" s="74"/>
      <c r="P58" s="74"/>
      <c r="Q58" s="74"/>
      <c r="R58" s="74"/>
      <c r="S58" s="74"/>
      <c r="T58" s="74"/>
      <c r="U58" s="74"/>
      <c r="V58" s="74"/>
      <c r="W58" s="74"/>
      <c r="X58" s="74"/>
      <c r="Y58" s="74"/>
      <c r="Z58" s="74"/>
      <c r="AA58" s="74"/>
    </row>
    <row r="59" spans="1:27" ht="84" customHeight="1">
      <c r="A59" s="30" t="str">
        <f>HYPERLINK("https://www.alcaldiabogota.gov.co/sisjur/normas/Norma1.jsp?i=16540","DECRETO 1538")</f>
        <v>DECRETO 1538</v>
      </c>
      <c r="B59" s="41">
        <v>38489</v>
      </c>
      <c r="C59" s="32" t="s">
        <v>57</v>
      </c>
      <c r="D59" s="33" t="s">
        <v>1696</v>
      </c>
      <c r="E59" s="32" t="s">
        <v>41</v>
      </c>
      <c r="F59" s="32" t="s">
        <v>97</v>
      </c>
      <c r="G59" s="285"/>
      <c r="H59" s="285"/>
      <c r="I59" s="74"/>
      <c r="J59" s="74"/>
      <c r="K59" s="74"/>
      <c r="L59" s="74"/>
      <c r="M59" s="74"/>
      <c r="N59" s="74"/>
      <c r="O59" s="74"/>
      <c r="P59" s="74"/>
      <c r="Q59" s="74"/>
      <c r="R59" s="74"/>
      <c r="S59" s="74"/>
      <c r="T59" s="74"/>
      <c r="U59" s="74"/>
      <c r="V59" s="74"/>
      <c r="W59" s="74"/>
      <c r="X59" s="74"/>
      <c r="Y59" s="74"/>
      <c r="Z59" s="74"/>
      <c r="AA59" s="74"/>
    </row>
    <row r="60" spans="1:27" ht="84" customHeight="1">
      <c r="A60" s="30" t="str">
        <f>HYPERLINK("https://www.alcaldiabogota.gov.co/sisjur/normas/Norma1.jsp?i=22240","DECRETO 482")</f>
        <v>DECRETO 482</v>
      </c>
      <c r="B60" s="286">
        <v>39048</v>
      </c>
      <c r="C60" s="32" t="s">
        <v>61</v>
      </c>
      <c r="D60" s="33" t="s">
        <v>1540</v>
      </c>
      <c r="E60" s="32" t="s">
        <v>41</v>
      </c>
      <c r="F60" s="32" t="s">
        <v>97</v>
      </c>
      <c r="G60" s="285"/>
      <c r="H60" s="285"/>
      <c r="I60" s="74"/>
      <c r="J60" s="74"/>
      <c r="K60" s="74"/>
      <c r="L60" s="74"/>
      <c r="M60" s="74"/>
      <c r="N60" s="74"/>
      <c r="O60" s="74"/>
      <c r="P60" s="74"/>
      <c r="Q60" s="74"/>
      <c r="R60" s="74"/>
      <c r="S60" s="74"/>
      <c r="T60" s="74"/>
      <c r="U60" s="74"/>
      <c r="V60" s="74"/>
      <c r="W60" s="74"/>
      <c r="X60" s="74"/>
      <c r="Y60" s="74"/>
      <c r="Z60" s="74"/>
      <c r="AA60" s="74"/>
    </row>
    <row r="61" spans="1:27" ht="84" customHeight="1">
      <c r="A61" s="30" t="str">
        <f>HYPERLINK("http://www.saludcapital.gov.co/Normas_Pobl_Vulnerable/Decreto_470_de_2007.pdf","DECRETO 470")</f>
        <v>DECRETO 470</v>
      </c>
      <c r="B61" s="286">
        <v>39367</v>
      </c>
      <c r="C61" s="32" t="s">
        <v>61</v>
      </c>
      <c r="D61" s="33" t="s">
        <v>1698</v>
      </c>
      <c r="E61" s="32" t="s">
        <v>41</v>
      </c>
      <c r="F61" s="32" t="s">
        <v>97</v>
      </c>
      <c r="G61" s="285"/>
      <c r="H61" s="285"/>
      <c r="I61" s="74"/>
      <c r="J61" s="74"/>
      <c r="K61" s="74"/>
      <c r="L61" s="74"/>
      <c r="M61" s="74"/>
      <c r="N61" s="74"/>
      <c r="O61" s="74"/>
      <c r="P61" s="74"/>
      <c r="Q61" s="74"/>
      <c r="R61" s="74"/>
      <c r="S61" s="74"/>
      <c r="T61" s="74"/>
      <c r="U61" s="74"/>
      <c r="V61" s="74"/>
      <c r="W61" s="74"/>
      <c r="X61" s="74"/>
      <c r="Y61" s="74"/>
      <c r="Z61" s="74"/>
      <c r="AA61" s="74"/>
    </row>
    <row r="62" spans="1:27" ht="84" customHeight="1">
      <c r="A62" s="30" t="str">
        <f>HYPERLINK("https://www.alcaldiabogota.gov.co/sisjur/normas/Norma1.jsp?i=30505","DECRETO 151")</f>
        <v>DECRETO 151</v>
      </c>
      <c r="B62" s="41">
        <v>39589</v>
      </c>
      <c r="C62" s="32" t="s">
        <v>61</v>
      </c>
      <c r="D62" s="33" t="s">
        <v>1700</v>
      </c>
      <c r="E62" s="32" t="s">
        <v>41</v>
      </c>
      <c r="F62" s="40" t="s">
        <v>2943</v>
      </c>
      <c r="G62" s="285"/>
      <c r="H62" s="285"/>
      <c r="I62" s="74"/>
      <c r="J62" s="74"/>
      <c r="K62" s="74"/>
      <c r="L62" s="74"/>
      <c r="M62" s="74"/>
      <c r="N62" s="74"/>
      <c r="O62" s="74"/>
      <c r="P62" s="74"/>
      <c r="Q62" s="74"/>
      <c r="R62" s="74"/>
      <c r="S62" s="74"/>
      <c r="T62" s="74"/>
      <c r="U62" s="74"/>
      <c r="V62" s="74"/>
      <c r="W62" s="74"/>
      <c r="X62" s="74"/>
      <c r="Y62" s="74"/>
      <c r="Z62" s="74"/>
      <c r="AA62" s="74"/>
    </row>
    <row r="63" spans="1:27" ht="84" customHeight="1">
      <c r="A63" s="30" t="str">
        <f>HYPERLINK("https://www.alcaldiabogota.gov.co/sisjur/normas/Norma1.jsp?i=26492&amp;dt=S","DECRETO 403")</f>
        <v>DECRETO 403</v>
      </c>
      <c r="B63" s="40" t="s">
        <v>2954</v>
      </c>
      <c r="C63" s="32" t="s">
        <v>61</v>
      </c>
      <c r="D63" s="33" t="s">
        <v>1702</v>
      </c>
      <c r="E63" s="32" t="s">
        <v>41</v>
      </c>
      <c r="F63" s="32" t="s">
        <v>97</v>
      </c>
      <c r="G63" s="285"/>
      <c r="H63" s="285"/>
      <c r="I63" s="74"/>
      <c r="J63" s="74"/>
      <c r="K63" s="74"/>
      <c r="L63" s="74"/>
      <c r="M63" s="74"/>
      <c r="N63" s="74"/>
      <c r="O63" s="74"/>
      <c r="P63" s="74"/>
      <c r="Q63" s="74"/>
      <c r="R63" s="74"/>
      <c r="S63" s="74"/>
      <c r="T63" s="74"/>
      <c r="U63" s="74"/>
      <c r="V63" s="74"/>
      <c r="W63" s="74"/>
      <c r="X63" s="74"/>
      <c r="Y63" s="74"/>
      <c r="Z63" s="74"/>
      <c r="AA63" s="74"/>
    </row>
    <row r="64" spans="1:27" ht="84" customHeight="1">
      <c r="A64" s="30" t="str">
        <f>HYPERLINK("http://www.saludcapital.gov.co/Normas_Pobl_Vulnerable/Decreto_166_de_2010.pdf","DECRETO 166")</f>
        <v>DECRETO 166</v>
      </c>
      <c r="B64" s="41">
        <v>40302</v>
      </c>
      <c r="C64" s="32" t="s">
        <v>61</v>
      </c>
      <c r="D64" s="33" t="s">
        <v>1016</v>
      </c>
      <c r="E64" s="32" t="s">
        <v>41</v>
      </c>
      <c r="F64" s="32" t="s">
        <v>97</v>
      </c>
      <c r="G64" s="285"/>
      <c r="H64" s="285"/>
      <c r="I64" s="74"/>
      <c r="J64" s="74"/>
      <c r="K64" s="74"/>
      <c r="L64" s="74"/>
      <c r="M64" s="74"/>
      <c r="N64" s="74"/>
      <c r="O64" s="74"/>
      <c r="P64" s="74"/>
      <c r="Q64" s="74"/>
      <c r="R64" s="74"/>
      <c r="S64" s="74"/>
      <c r="T64" s="74"/>
      <c r="U64" s="74"/>
      <c r="V64" s="74"/>
      <c r="W64" s="74"/>
      <c r="X64" s="74"/>
      <c r="Y64" s="74"/>
      <c r="Z64" s="74"/>
      <c r="AA64" s="74"/>
    </row>
    <row r="65" spans="1:27" ht="84" customHeight="1">
      <c r="A65" s="30" t="str">
        <f>HYPERLINK("https://www.alcaldiabogota.gov.co/sisjur/normas/Norma1.jsp?i=40243&amp;dt=S","DECRETO 345")</f>
        <v>DECRETO 345</v>
      </c>
      <c r="B65" s="41">
        <v>40408</v>
      </c>
      <c r="C65" s="32" t="s">
        <v>61</v>
      </c>
      <c r="D65" s="33" t="s">
        <v>1707</v>
      </c>
      <c r="E65" s="32" t="s">
        <v>41</v>
      </c>
      <c r="F65" s="32" t="s">
        <v>97</v>
      </c>
      <c r="G65" s="285"/>
      <c r="H65" s="285"/>
      <c r="I65" s="74"/>
      <c r="J65" s="74"/>
      <c r="K65" s="74"/>
      <c r="L65" s="74"/>
      <c r="M65" s="74"/>
      <c r="N65" s="74"/>
      <c r="O65" s="74"/>
      <c r="P65" s="74"/>
      <c r="Q65" s="74"/>
      <c r="R65" s="74"/>
      <c r="S65" s="74"/>
      <c r="T65" s="74"/>
      <c r="U65" s="74"/>
      <c r="V65" s="74"/>
      <c r="W65" s="74"/>
      <c r="X65" s="74"/>
      <c r="Y65" s="74"/>
      <c r="Z65" s="74"/>
      <c r="AA65" s="74"/>
    </row>
    <row r="66" spans="1:27" ht="84" customHeight="1">
      <c r="A66" s="30" t="str">
        <f>HYPERLINK("https://www.alcaldiabogota.gov.co/sisjur/normas/Norma1.jsp?i=44762&amp;dt=S","DECRETO 520")</f>
        <v>DECRETO 520</v>
      </c>
      <c r="B66" s="286">
        <v>40871</v>
      </c>
      <c r="C66" s="32" t="s">
        <v>61</v>
      </c>
      <c r="D66" s="268" t="s">
        <v>2955</v>
      </c>
      <c r="E66" s="32" t="s">
        <v>41</v>
      </c>
      <c r="F66" s="32" t="s">
        <v>97</v>
      </c>
      <c r="G66" s="285"/>
      <c r="H66" s="285"/>
      <c r="I66" s="74"/>
      <c r="J66" s="74"/>
      <c r="K66" s="74"/>
      <c r="L66" s="74"/>
      <c r="M66" s="74"/>
      <c r="N66" s="74"/>
      <c r="O66" s="74"/>
      <c r="P66" s="74"/>
      <c r="Q66" s="74"/>
      <c r="R66" s="74"/>
      <c r="S66" s="74"/>
      <c r="T66" s="74"/>
      <c r="U66" s="74"/>
      <c r="V66" s="74"/>
      <c r="W66" s="74"/>
      <c r="X66" s="74"/>
      <c r="Y66" s="74"/>
      <c r="Z66" s="74"/>
      <c r="AA66" s="74"/>
    </row>
    <row r="67" spans="1:27" ht="84" customHeight="1">
      <c r="A67" s="30" t="str">
        <f>HYPERLINK("https://www.alcaldiabogota.gov.co/sisjur/normas/Norma1.jsp?i=44832&amp;dt=S","DECRETO 543")</f>
        <v>DECRETO 543</v>
      </c>
      <c r="B67" s="286">
        <v>40879</v>
      </c>
      <c r="C67" s="32" t="s">
        <v>61</v>
      </c>
      <c r="D67" s="33" t="s">
        <v>1711</v>
      </c>
      <c r="E67" s="32" t="s">
        <v>41</v>
      </c>
      <c r="F67" s="32" t="s">
        <v>97</v>
      </c>
      <c r="G67" s="285"/>
      <c r="H67" s="285"/>
      <c r="I67" s="74"/>
      <c r="J67" s="74"/>
      <c r="K67" s="74"/>
      <c r="L67" s="74"/>
      <c r="M67" s="74"/>
      <c r="N67" s="74"/>
      <c r="O67" s="74"/>
      <c r="P67" s="74"/>
      <c r="Q67" s="74"/>
      <c r="R67" s="74"/>
      <c r="S67" s="74"/>
      <c r="T67" s="74"/>
      <c r="U67" s="74"/>
      <c r="V67" s="74"/>
      <c r="W67" s="74"/>
      <c r="X67" s="74"/>
      <c r="Y67" s="74"/>
      <c r="Z67" s="74"/>
      <c r="AA67" s="74"/>
    </row>
    <row r="68" spans="1:27" ht="84" customHeight="1">
      <c r="A68" s="269" t="str">
        <f>HYPERLINK("https://www.alcaldiabogota.gov.co/sisjur/normas/Norma1.jsp?i=44836","DECRETO 544")</f>
        <v>DECRETO 544</v>
      </c>
      <c r="B68" s="286">
        <v>40879</v>
      </c>
      <c r="C68" s="32" t="s">
        <v>61</v>
      </c>
      <c r="D68" s="33" t="s">
        <v>1026</v>
      </c>
      <c r="E68" s="32" t="s">
        <v>41</v>
      </c>
      <c r="F68" s="32" t="s">
        <v>97</v>
      </c>
      <c r="G68" s="285"/>
      <c r="H68" s="285"/>
      <c r="I68" s="74"/>
      <c r="J68" s="74"/>
      <c r="K68" s="74"/>
      <c r="L68" s="74"/>
      <c r="M68" s="74"/>
      <c r="N68" s="74"/>
      <c r="O68" s="74"/>
      <c r="P68" s="74"/>
      <c r="Q68" s="74"/>
      <c r="R68" s="74"/>
      <c r="S68" s="74"/>
      <c r="T68" s="74"/>
      <c r="U68" s="74"/>
      <c r="V68" s="74"/>
      <c r="W68" s="74"/>
      <c r="X68" s="74"/>
      <c r="Y68" s="74"/>
      <c r="Z68" s="74"/>
      <c r="AA68" s="74"/>
    </row>
    <row r="69" spans="1:27" ht="84" customHeight="1">
      <c r="A69" s="30" t="str">
        <f>HYPERLINK("https://www.alcaldiabogota.gov.co/sisjur/normas/Norma1.jsp?i=44954","DECRETO 554")</f>
        <v>DECRETO 554</v>
      </c>
      <c r="B69" s="41">
        <v>40884</v>
      </c>
      <c r="C69" s="32" t="s">
        <v>61</v>
      </c>
      <c r="D69" s="33" t="s">
        <v>1712</v>
      </c>
      <c r="E69" s="32" t="s">
        <v>41</v>
      </c>
      <c r="F69" s="32" t="s">
        <v>97</v>
      </c>
      <c r="G69" s="285"/>
      <c r="H69" s="285"/>
      <c r="I69" s="74"/>
      <c r="J69" s="74"/>
      <c r="K69" s="74"/>
      <c r="L69" s="74"/>
      <c r="M69" s="74"/>
      <c r="N69" s="74"/>
      <c r="O69" s="74"/>
      <c r="P69" s="74"/>
      <c r="Q69" s="74"/>
      <c r="R69" s="74"/>
      <c r="S69" s="74"/>
      <c r="T69" s="74"/>
      <c r="U69" s="74"/>
      <c r="V69" s="74"/>
      <c r="W69" s="74"/>
      <c r="X69" s="74"/>
      <c r="Y69" s="74"/>
      <c r="Z69" s="74"/>
      <c r="AA69" s="74"/>
    </row>
    <row r="70" spans="1:27" ht="84" customHeight="1">
      <c r="A70" s="269" t="str">
        <f>HYPERLINK("https://www.alcaldiabogota.gov.co/sisjur/normas/Norma1.jsp?i=44834","DECRETO 545")</f>
        <v>DECRETO 545</v>
      </c>
      <c r="B70" s="41">
        <v>40849</v>
      </c>
      <c r="C70" s="32" t="s">
        <v>61</v>
      </c>
      <c r="D70" s="33" t="s">
        <v>1028</v>
      </c>
      <c r="E70" s="32" t="s">
        <v>41</v>
      </c>
      <c r="F70" s="32" t="s">
        <v>97</v>
      </c>
      <c r="G70" s="285"/>
      <c r="H70" s="285"/>
      <c r="I70" s="74"/>
      <c r="J70" s="74"/>
      <c r="K70" s="74"/>
      <c r="L70" s="74"/>
      <c r="M70" s="74"/>
      <c r="N70" s="74"/>
      <c r="O70" s="74"/>
      <c r="P70" s="74"/>
      <c r="Q70" s="74"/>
      <c r="R70" s="74"/>
      <c r="S70" s="74"/>
      <c r="T70" s="74"/>
      <c r="U70" s="74"/>
      <c r="V70" s="74"/>
      <c r="W70" s="74"/>
      <c r="X70" s="74"/>
      <c r="Y70" s="74"/>
      <c r="Z70" s="74"/>
      <c r="AA70" s="74"/>
    </row>
    <row r="71" spans="1:27" ht="84" customHeight="1">
      <c r="A71" s="30" t="str">
        <f>HYPERLINK("https://www.alcaldiabogota.gov.co/sisjur/normas/Norma1.jsp?i=45063","DECRETO 4800")</f>
        <v>DECRETO 4800</v>
      </c>
      <c r="B71" s="286">
        <v>40897</v>
      </c>
      <c r="C71" s="32" t="s">
        <v>520</v>
      </c>
      <c r="D71" s="33" t="s">
        <v>1720</v>
      </c>
      <c r="E71" s="32" t="s">
        <v>41</v>
      </c>
      <c r="F71" s="32" t="s">
        <v>97</v>
      </c>
      <c r="G71" s="285"/>
      <c r="H71" s="285"/>
      <c r="I71" s="74"/>
      <c r="J71" s="74"/>
      <c r="K71" s="74"/>
      <c r="L71" s="74"/>
      <c r="M71" s="74"/>
      <c r="N71" s="74"/>
      <c r="O71" s="74"/>
      <c r="P71" s="74"/>
      <c r="Q71" s="74"/>
      <c r="R71" s="74"/>
      <c r="S71" s="74"/>
      <c r="T71" s="74"/>
      <c r="U71" s="74"/>
      <c r="V71" s="74"/>
      <c r="W71" s="74"/>
      <c r="X71" s="74"/>
      <c r="Y71" s="74"/>
      <c r="Z71" s="74"/>
      <c r="AA71" s="74"/>
    </row>
    <row r="72" spans="1:27" ht="84" customHeight="1">
      <c r="A72" s="291" t="str">
        <f>HYPERLINK("http://www.saludcapital.gov.co/DocumentosPoliticasEnSalud/Pol%C3%ADtica%20P%C3%BAblica%20Distrital%20para%20los%20grupos%20%C3%A9tnicos.pdf","DECRETO 582")</f>
        <v>DECRETO 582</v>
      </c>
      <c r="B72" s="41">
        <v>40892</v>
      </c>
      <c r="C72" s="264" t="s">
        <v>61</v>
      </c>
      <c r="D72" s="268" t="s">
        <v>2956</v>
      </c>
      <c r="E72" s="264" t="s">
        <v>41</v>
      </c>
      <c r="F72" s="264" t="s">
        <v>97</v>
      </c>
      <c r="G72" s="285"/>
      <c r="H72" s="285"/>
      <c r="I72" s="74"/>
      <c r="J72" s="74"/>
      <c r="K72" s="74"/>
      <c r="L72" s="74"/>
      <c r="M72" s="74"/>
      <c r="N72" s="74"/>
      <c r="O72" s="74"/>
      <c r="P72" s="74"/>
      <c r="Q72" s="74"/>
      <c r="R72" s="74"/>
      <c r="S72" s="74"/>
      <c r="T72" s="74"/>
      <c r="U72" s="74"/>
      <c r="V72" s="74"/>
      <c r="W72" s="74"/>
      <c r="X72" s="74"/>
      <c r="Y72" s="74"/>
      <c r="Z72" s="74"/>
      <c r="AA72" s="74"/>
    </row>
    <row r="73" spans="1:27" ht="84" customHeight="1">
      <c r="A73" s="291" t="str">
        <f>HYPERLINK("http://legal.legis.com.co/document/Index?obra=legcol&amp;document=legcol_b374e772a2d601ece0430a01015101ec","DECRETO 499")</f>
        <v>DECRETO 499</v>
      </c>
      <c r="B73" s="41">
        <v>40858</v>
      </c>
      <c r="C73" s="264" t="s">
        <v>61</v>
      </c>
      <c r="D73" s="268" t="s">
        <v>2957</v>
      </c>
      <c r="E73" s="264" t="s">
        <v>41</v>
      </c>
      <c r="F73" s="264" t="s">
        <v>97</v>
      </c>
      <c r="G73" s="285"/>
      <c r="H73" s="285"/>
      <c r="I73" s="74"/>
      <c r="J73" s="74"/>
      <c r="K73" s="74"/>
      <c r="L73" s="74"/>
      <c r="M73" s="74"/>
      <c r="N73" s="74"/>
      <c r="O73" s="74"/>
      <c r="P73" s="74"/>
      <c r="Q73" s="74"/>
      <c r="R73" s="74"/>
      <c r="S73" s="74"/>
      <c r="T73" s="74"/>
      <c r="U73" s="74"/>
      <c r="V73" s="74"/>
      <c r="W73" s="74"/>
      <c r="X73" s="74"/>
      <c r="Y73" s="74"/>
      <c r="Z73" s="74"/>
      <c r="AA73" s="74"/>
    </row>
    <row r="74" spans="1:27" ht="84" customHeight="1">
      <c r="A74" s="291" t="str">
        <f>HYPERLINK("https://www.minsalud.gov.co/sites/rid/Lists/BibliotecaDigital/RIDE/INEC/IGUB/presidencia-decreto-2957-de-2010.pdf","DECRETO 2957")</f>
        <v>DECRETO 2957</v>
      </c>
      <c r="B74" s="41">
        <v>40761</v>
      </c>
      <c r="C74" s="32" t="s">
        <v>57</v>
      </c>
      <c r="D74" s="268" t="s">
        <v>2958</v>
      </c>
      <c r="E74" s="264" t="s">
        <v>41</v>
      </c>
      <c r="F74" s="264" t="s">
        <v>97</v>
      </c>
      <c r="G74" s="285"/>
      <c r="H74" s="285"/>
      <c r="I74" s="74"/>
      <c r="J74" s="74"/>
      <c r="K74" s="74"/>
      <c r="L74" s="74"/>
      <c r="M74" s="74"/>
      <c r="N74" s="74"/>
      <c r="O74" s="74"/>
      <c r="P74" s="74"/>
      <c r="Q74" s="74"/>
      <c r="R74" s="74"/>
      <c r="S74" s="74"/>
      <c r="T74" s="74"/>
      <c r="U74" s="74"/>
      <c r="V74" s="74"/>
      <c r="W74" s="74"/>
      <c r="X74" s="74"/>
      <c r="Y74" s="74"/>
      <c r="Z74" s="74"/>
      <c r="AA74" s="74"/>
    </row>
    <row r="75" spans="1:27" ht="84" customHeight="1">
      <c r="A75" s="30" t="str">
        <f>HYPERLINK("https://www.alcaldiabogota.gov.co/sisjur/normas/Norma1.jsp?i=47809","DECRETO 1258")</f>
        <v>DECRETO 1258</v>
      </c>
      <c r="B75" s="41">
        <v>41074</v>
      </c>
      <c r="C75" s="32" t="s">
        <v>57</v>
      </c>
      <c r="D75" s="33" t="s">
        <v>1722</v>
      </c>
      <c r="E75" s="32" t="s">
        <v>41</v>
      </c>
      <c r="F75" s="32" t="s">
        <v>97</v>
      </c>
      <c r="G75" s="285"/>
      <c r="H75" s="285"/>
      <c r="I75" s="74"/>
      <c r="J75" s="74"/>
      <c r="K75" s="74"/>
      <c r="L75" s="74"/>
      <c r="M75" s="74"/>
      <c r="N75" s="74"/>
      <c r="O75" s="74"/>
      <c r="P75" s="74"/>
      <c r="Q75" s="74"/>
      <c r="R75" s="74"/>
      <c r="S75" s="74"/>
      <c r="T75" s="74"/>
      <c r="U75" s="74"/>
      <c r="V75" s="74"/>
      <c r="W75" s="74"/>
      <c r="X75" s="74"/>
      <c r="Y75" s="74"/>
      <c r="Z75" s="74"/>
      <c r="AA75" s="74"/>
    </row>
    <row r="76" spans="1:27" ht="84" customHeight="1">
      <c r="A76" s="30" t="str">
        <f>HYPERLINK("https://www.alcaldiabogota.gov.co/sisjur/normas/Norma1.jsp?i=54978","DECRETO 456")</f>
        <v>DECRETO 456</v>
      </c>
      <c r="B76" s="38">
        <v>41558</v>
      </c>
      <c r="C76" s="32" t="s">
        <v>61</v>
      </c>
      <c r="D76" s="33" t="s">
        <v>547</v>
      </c>
      <c r="E76" s="32" t="s">
        <v>41</v>
      </c>
      <c r="F76" s="32" t="s">
        <v>97</v>
      </c>
      <c r="G76" s="285"/>
      <c r="H76" s="285"/>
      <c r="I76" s="74"/>
      <c r="J76" s="74"/>
      <c r="K76" s="74"/>
      <c r="L76" s="74"/>
      <c r="M76" s="74"/>
      <c r="N76" s="74"/>
      <c r="O76" s="74"/>
      <c r="P76" s="74"/>
      <c r="Q76" s="74"/>
      <c r="R76" s="74"/>
      <c r="S76" s="74"/>
      <c r="T76" s="74"/>
      <c r="U76" s="74"/>
      <c r="V76" s="74"/>
      <c r="W76" s="74"/>
      <c r="X76" s="74"/>
      <c r="Y76" s="74"/>
      <c r="Z76" s="74"/>
      <c r="AA76" s="74"/>
    </row>
    <row r="77" spans="1:27" ht="84" customHeight="1">
      <c r="A77" s="30" t="str">
        <f>HYPERLINK("https://www.alcaldiabogota.gov.co/sisjur/normas/Norma1.jsp?i=56034","DECRETO 599")</f>
        <v>DECRETO 599</v>
      </c>
      <c r="B77" s="286">
        <v>41634</v>
      </c>
      <c r="C77" s="32" t="s">
        <v>61</v>
      </c>
      <c r="D77" s="33" t="s">
        <v>1723</v>
      </c>
      <c r="E77" s="32" t="s">
        <v>41</v>
      </c>
      <c r="F77" s="32" t="s">
        <v>97</v>
      </c>
      <c r="G77" s="285"/>
      <c r="H77" s="285"/>
      <c r="I77" s="74"/>
      <c r="J77" s="74"/>
      <c r="K77" s="74"/>
      <c r="L77" s="74"/>
      <c r="M77" s="74"/>
      <c r="N77" s="74"/>
      <c r="O77" s="74"/>
      <c r="P77" s="74"/>
      <c r="Q77" s="74"/>
      <c r="R77" s="74"/>
      <c r="S77" s="74"/>
      <c r="T77" s="74"/>
      <c r="U77" s="74"/>
      <c r="V77" s="74"/>
      <c r="W77" s="74"/>
      <c r="X77" s="74"/>
      <c r="Y77" s="74"/>
      <c r="Z77" s="74"/>
      <c r="AA77" s="74"/>
    </row>
    <row r="78" spans="1:27" ht="84" customHeight="1">
      <c r="A78" s="30" t="str">
        <f>HYPERLINK("https://www.funcionpublica.gov.co/eva/gestornormativo/norma.php?i=56210","DECRETO 3011")</f>
        <v>DECRETO 3011</v>
      </c>
      <c r="B78" s="286">
        <v>41634</v>
      </c>
      <c r="C78" s="32" t="s">
        <v>520</v>
      </c>
      <c r="D78" s="33" t="s">
        <v>1725</v>
      </c>
      <c r="E78" s="32" t="s">
        <v>41</v>
      </c>
      <c r="F78" s="32" t="s">
        <v>97</v>
      </c>
      <c r="G78" s="285"/>
      <c r="H78" s="285"/>
      <c r="I78" s="74"/>
      <c r="J78" s="74"/>
      <c r="K78" s="74"/>
      <c r="L78" s="74"/>
      <c r="M78" s="74"/>
      <c r="N78" s="74"/>
      <c r="O78" s="74"/>
      <c r="P78" s="74"/>
      <c r="Q78" s="74"/>
      <c r="R78" s="74"/>
      <c r="S78" s="74"/>
      <c r="T78" s="74"/>
      <c r="U78" s="74"/>
      <c r="V78" s="74"/>
      <c r="W78" s="74"/>
      <c r="X78" s="74"/>
      <c r="Y78" s="74"/>
      <c r="Z78" s="74"/>
      <c r="AA78" s="74"/>
    </row>
    <row r="79" spans="1:27" ht="84" customHeight="1">
      <c r="A79" s="30" t="str">
        <f>HYPERLINK("https://www.alcaldiabogota.gov.co/sisjur/normas/Norma1.jsp?i=64210&amp;dt=S","DECRETO 560")</f>
        <v>DECRETO 560</v>
      </c>
      <c r="B79" s="286">
        <v>42359</v>
      </c>
      <c r="C79" s="32" t="s">
        <v>61</v>
      </c>
      <c r="D79" s="33" t="s">
        <v>1731</v>
      </c>
      <c r="E79" s="32" t="s">
        <v>41</v>
      </c>
      <c r="F79" s="32" t="s">
        <v>97</v>
      </c>
      <c r="G79" s="285"/>
      <c r="H79" s="285"/>
      <c r="I79" s="74"/>
      <c r="J79" s="74"/>
      <c r="K79" s="74"/>
      <c r="L79" s="74"/>
      <c r="M79" s="74"/>
      <c r="N79" s="74"/>
      <c r="O79" s="74"/>
      <c r="P79" s="74"/>
      <c r="Q79" s="74"/>
      <c r="R79" s="74"/>
      <c r="S79" s="74"/>
      <c r="T79" s="74"/>
      <c r="U79" s="74"/>
      <c r="V79" s="74"/>
      <c r="W79" s="74"/>
      <c r="X79" s="74"/>
      <c r="Y79" s="74"/>
      <c r="Z79" s="74"/>
      <c r="AA79" s="74"/>
    </row>
    <row r="80" spans="1:27" ht="84" customHeight="1">
      <c r="A80" s="30" t="str">
        <f>HYPERLINK("https://www.alcaldiabogota.gov.co/sisjur/normas/Norma1.jsp?i=67805","DECRETO 622")</f>
        <v>DECRETO 622</v>
      </c>
      <c r="B80" s="286">
        <v>42727</v>
      </c>
      <c r="C80" s="32" t="s">
        <v>61</v>
      </c>
      <c r="D80" s="33" t="s">
        <v>1552</v>
      </c>
      <c r="E80" s="32" t="s">
        <v>41</v>
      </c>
      <c r="F80" s="32" t="s">
        <v>97</v>
      </c>
      <c r="G80" s="285"/>
      <c r="H80" s="285"/>
      <c r="I80" s="74"/>
      <c r="J80" s="74"/>
      <c r="K80" s="74"/>
      <c r="L80" s="74"/>
      <c r="M80" s="74"/>
      <c r="N80" s="74"/>
      <c r="O80" s="74"/>
      <c r="P80" s="74"/>
      <c r="Q80" s="74"/>
      <c r="R80" s="74"/>
      <c r="S80" s="74"/>
      <c r="T80" s="74"/>
      <c r="U80" s="74"/>
      <c r="V80" s="74"/>
      <c r="W80" s="74"/>
      <c r="X80" s="74"/>
      <c r="Y80" s="74"/>
      <c r="Z80" s="74"/>
      <c r="AA80" s="74"/>
    </row>
    <row r="81" spans="1:27" ht="84" customHeight="1">
      <c r="A81" s="291" t="str">
        <f>HYPERLINK("http://legal.legis.com.co/document/Index?obra=legcol&amp;document=legcol_10dc7a82821948afb7743ac578280d9d","DECRETO 557")</f>
        <v>DECRETO 557</v>
      </c>
      <c r="B81" s="41">
        <v>43370</v>
      </c>
      <c r="C81" s="264" t="s">
        <v>61</v>
      </c>
      <c r="D81" s="268" t="s">
        <v>105</v>
      </c>
      <c r="E81" s="264" t="s">
        <v>41</v>
      </c>
      <c r="F81" s="264" t="s">
        <v>97</v>
      </c>
      <c r="G81" s="285"/>
      <c r="H81" s="285"/>
      <c r="I81" s="74"/>
      <c r="J81" s="74"/>
      <c r="K81" s="74"/>
      <c r="L81" s="74"/>
      <c r="M81" s="74"/>
      <c r="N81" s="74"/>
      <c r="O81" s="74"/>
      <c r="P81" s="74"/>
      <c r="Q81" s="74"/>
      <c r="R81" s="74"/>
      <c r="S81" s="74"/>
      <c r="T81" s="74"/>
      <c r="U81" s="74"/>
      <c r="V81" s="74"/>
      <c r="W81" s="74"/>
      <c r="X81" s="74"/>
      <c r="Y81" s="74"/>
      <c r="Z81" s="74"/>
      <c r="AA81" s="74"/>
    </row>
    <row r="82" spans="1:27" ht="84" customHeight="1">
      <c r="A82" s="291" t="str">
        <f>HYPERLINK("https://www.culturarecreacionydeporte.gov.co/sites/default/files/2._decreto_455_de_2009-sistema_distrital_de_cultura.pdf","DECRETO 455")</f>
        <v>DECRETO 455</v>
      </c>
      <c r="B82" s="41">
        <v>40101</v>
      </c>
      <c r="C82" s="264" t="s">
        <v>61</v>
      </c>
      <c r="D82" s="268" t="s">
        <v>2959</v>
      </c>
      <c r="E82" s="264" t="s">
        <v>41</v>
      </c>
      <c r="F82" s="264" t="s">
        <v>97</v>
      </c>
      <c r="G82" s="285"/>
      <c r="H82" s="285"/>
      <c r="I82" s="74"/>
      <c r="J82" s="74"/>
      <c r="K82" s="74"/>
      <c r="L82" s="74"/>
      <c r="M82" s="74"/>
      <c r="N82" s="74"/>
      <c r="O82" s="74"/>
      <c r="P82" s="74"/>
      <c r="Q82" s="74"/>
      <c r="R82" s="74"/>
      <c r="S82" s="74"/>
      <c r="T82" s="74"/>
      <c r="U82" s="74"/>
      <c r="V82" s="74"/>
      <c r="W82" s="74"/>
      <c r="X82" s="74"/>
      <c r="Y82" s="74"/>
      <c r="Z82" s="74"/>
      <c r="AA82" s="74"/>
    </row>
    <row r="83" spans="1:27" ht="84" customHeight="1">
      <c r="A83" s="291" t="str">
        <f>HYPERLINK("https://www.alcaldiabogota.gov.co/sisjur/normas/Norma1.jsp?i=87429","DECRETO 627")</f>
        <v>DECRETO 627</v>
      </c>
      <c r="B83" s="41">
        <v>43760</v>
      </c>
      <c r="C83" s="264" t="s">
        <v>61</v>
      </c>
      <c r="D83" s="268" t="s">
        <v>2960</v>
      </c>
      <c r="E83" s="264" t="s">
        <v>41</v>
      </c>
      <c r="F83" s="264" t="s">
        <v>97</v>
      </c>
      <c r="G83" s="285"/>
      <c r="H83" s="285"/>
      <c r="I83" s="74"/>
      <c r="J83" s="74"/>
      <c r="K83" s="74"/>
      <c r="L83" s="74"/>
      <c r="M83" s="74"/>
      <c r="N83" s="74"/>
      <c r="O83" s="74"/>
      <c r="P83" s="74"/>
      <c r="Q83" s="74"/>
      <c r="R83" s="74"/>
      <c r="S83" s="74"/>
      <c r="T83" s="74"/>
      <c r="U83" s="74"/>
      <c r="V83" s="74"/>
      <c r="W83" s="74"/>
      <c r="X83" s="74"/>
      <c r="Y83" s="74"/>
      <c r="Z83" s="74"/>
      <c r="AA83" s="74"/>
    </row>
    <row r="84" spans="1:27" ht="84" customHeight="1">
      <c r="A84" s="30" t="str">
        <f>HYPERLINK("https://www.alcaldiabogota.gov.co/sisjur/normas/Norma1.jsp?i=71647&amp;dt=S","DECRETO 504")</f>
        <v>DECRETO 504</v>
      </c>
      <c r="B84" s="41">
        <v>43000</v>
      </c>
      <c r="C84" s="32" t="s">
        <v>61</v>
      </c>
      <c r="D84" s="33" t="s">
        <v>1736</v>
      </c>
      <c r="E84" s="32" t="s">
        <v>41</v>
      </c>
      <c r="F84" s="32" t="s">
        <v>97</v>
      </c>
      <c r="G84" s="285"/>
      <c r="H84" s="285"/>
      <c r="I84" s="74"/>
      <c r="J84" s="74"/>
      <c r="K84" s="74"/>
      <c r="L84" s="74"/>
      <c r="M84" s="74"/>
      <c r="N84" s="74"/>
      <c r="O84" s="74"/>
      <c r="P84" s="74"/>
      <c r="Q84" s="74"/>
      <c r="R84" s="74"/>
      <c r="S84" s="74"/>
      <c r="T84" s="74"/>
      <c r="U84" s="74"/>
      <c r="V84" s="74"/>
      <c r="W84" s="74"/>
      <c r="X84" s="74"/>
      <c r="Y84" s="74"/>
      <c r="Z84" s="74"/>
      <c r="AA84" s="74"/>
    </row>
    <row r="85" spans="1:27" ht="84" customHeight="1">
      <c r="A85" s="291" t="str">
        <f>HYPERLINK("https://www.funcionpublica.gov.co/eva/gestornormativo/norma.php?i=87722","DECRETO 1350")</f>
        <v>DECRETO 1350</v>
      </c>
      <c r="B85" s="41">
        <v>43312</v>
      </c>
      <c r="C85" s="264" t="s">
        <v>273</v>
      </c>
      <c r="D85" s="268" t="s">
        <v>2962</v>
      </c>
      <c r="E85" s="264" t="s">
        <v>2963</v>
      </c>
      <c r="F85" s="264" t="s">
        <v>2964</v>
      </c>
      <c r="G85" s="285"/>
      <c r="H85" s="285"/>
      <c r="I85" s="74"/>
      <c r="J85" s="74"/>
      <c r="K85" s="74"/>
      <c r="L85" s="74"/>
      <c r="M85" s="74"/>
      <c r="N85" s="74"/>
      <c r="O85" s="74"/>
      <c r="P85" s="74"/>
      <c r="Q85" s="74"/>
      <c r="R85" s="74"/>
      <c r="S85" s="74"/>
      <c r="T85" s="74"/>
      <c r="U85" s="74"/>
      <c r="V85" s="74"/>
      <c r="W85" s="74"/>
      <c r="X85" s="74"/>
      <c r="Y85" s="74"/>
      <c r="Z85" s="74"/>
      <c r="AA85" s="74"/>
    </row>
    <row r="86" spans="1:27" ht="84" customHeight="1">
      <c r="A86" s="30" t="str">
        <f>HYPERLINK("https://www.alcaldiabogota.gov.co/sisjur/normas/Norma1.jsp?i=71649&amp;dt=S","DECRETO 505")</f>
        <v>DECRETO 505</v>
      </c>
      <c r="B86" s="41">
        <v>43000</v>
      </c>
      <c r="C86" s="32" t="s">
        <v>61</v>
      </c>
      <c r="D86" s="33" t="s">
        <v>1738</v>
      </c>
      <c r="E86" s="32" t="s">
        <v>41</v>
      </c>
      <c r="F86" s="32" t="s">
        <v>97</v>
      </c>
      <c r="G86" s="285"/>
      <c r="H86" s="285"/>
      <c r="I86" s="74"/>
      <c r="J86" s="74"/>
      <c r="K86" s="74"/>
      <c r="L86" s="74"/>
      <c r="M86" s="74"/>
      <c r="N86" s="74"/>
      <c r="O86" s="74"/>
      <c r="P86" s="74"/>
      <c r="Q86" s="74"/>
      <c r="R86" s="74"/>
      <c r="S86" s="74"/>
      <c r="T86" s="74"/>
      <c r="U86" s="74"/>
      <c r="V86" s="74"/>
      <c r="W86" s="74"/>
      <c r="X86" s="74"/>
      <c r="Y86" s="74"/>
      <c r="Z86" s="74"/>
      <c r="AA86" s="74"/>
    </row>
    <row r="87" spans="1:27" ht="84" customHeight="1">
      <c r="A87" s="30" t="str">
        <f>HYPERLINK("https://www.alcaldiabogota.gov.co/sisjur/normas/Norma1.jsp?i=71630&amp;dt=S","DECRETO 506")</f>
        <v>DECRETO 506</v>
      </c>
      <c r="B87" s="41">
        <v>43000</v>
      </c>
      <c r="C87" s="32" t="s">
        <v>61</v>
      </c>
      <c r="D87" s="33" t="s">
        <v>1740</v>
      </c>
      <c r="E87" s="32" t="s">
        <v>41</v>
      </c>
      <c r="F87" s="32" t="s">
        <v>97</v>
      </c>
      <c r="G87" s="285"/>
      <c r="H87" s="285"/>
      <c r="I87" s="74"/>
      <c r="J87" s="74"/>
      <c r="K87" s="74"/>
      <c r="L87" s="74"/>
      <c r="M87" s="74"/>
      <c r="N87" s="74"/>
      <c r="O87" s="74"/>
      <c r="P87" s="74"/>
      <c r="Q87" s="74"/>
      <c r="R87" s="74"/>
      <c r="S87" s="74"/>
      <c r="T87" s="74"/>
      <c r="U87" s="74"/>
      <c r="V87" s="74"/>
      <c r="W87" s="74"/>
      <c r="X87" s="74"/>
      <c r="Y87" s="74"/>
      <c r="Z87" s="74"/>
      <c r="AA87" s="74"/>
    </row>
    <row r="88" spans="1:27" ht="84" customHeight="1">
      <c r="A88" s="30" t="str">
        <f>HYPERLINK("https://www.alcaldiabogota.gov.co/sisjur/normas/Norma1.jsp?i=71632&amp;dt=S","DECRETO  507")</f>
        <v>DECRETO  507</v>
      </c>
      <c r="B88" s="41">
        <v>43000</v>
      </c>
      <c r="C88" s="32" t="s">
        <v>61</v>
      </c>
      <c r="D88" s="33" t="s">
        <v>1742</v>
      </c>
      <c r="E88" s="32" t="s">
        <v>41</v>
      </c>
      <c r="F88" s="32" t="s">
        <v>97</v>
      </c>
      <c r="G88" s="285"/>
      <c r="H88" s="285"/>
      <c r="I88" s="74"/>
      <c r="J88" s="74"/>
      <c r="K88" s="74"/>
      <c r="L88" s="74"/>
      <c r="M88" s="74"/>
      <c r="N88" s="74"/>
      <c r="O88" s="74"/>
      <c r="P88" s="74"/>
      <c r="Q88" s="74"/>
      <c r="R88" s="74"/>
      <c r="S88" s="74"/>
      <c r="T88" s="74"/>
      <c r="U88" s="74"/>
      <c r="V88" s="74"/>
      <c r="W88" s="74"/>
      <c r="X88" s="74"/>
      <c r="Y88" s="74"/>
      <c r="Z88" s="74"/>
      <c r="AA88" s="74"/>
    </row>
    <row r="89" spans="1:27" ht="84" customHeight="1">
      <c r="A89" s="269" t="str">
        <f>HYPERLINK("https://www.alcaldiabogota.gov.co/sisjur/normas/Norma1.jsp?i=80504","DECRETO 480")</f>
        <v>DECRETO 480</v>
      </c>
      <c r="B89" s="41">
        <v>43329</v>
      </c>
      <c r="C89" s="32" t="s">
        <v>61</v>
      </c>
      <c r="D89" s="33" t="s">
        <v>1742</v>
      </c>
      <c r="E89" s="32" t="s">
        <v>1745</v>
      </c>
      <c r="F89" s="32" t="s">
        <v>1746</v>
      </c>
      <c r="G89" s="285"/>
      <c r="H89" s="285"/>
      <c r="I89" s="74"/>
      <c r="J89" s="74"/>
      <c r="K89" s="74"/>
      <c r="L89" s="74"/>
      <c r="M89" s="74"/>
      <c r="N89" s="74"/>
      <c r="O89" s="74"/>
      <c r="P89" s="74"/>
      <c r="Q89" s="74"/>
      <c r="R89" s="74"/>
      <c r="S89" s="74"/>
      <c r="T89" s="74"/>
      <c r="U89" s="74"/>
      <c r="V89" s="74"/>
      <c r="W89" s="74"/>
      <c r="X89" s="74"/>
      <c r="Y89" s="74"/>
      <c r="Z89" s="74"/>
      <c r="AA89" s="74"/>
    </row>
    <row r="90" spans="1:27" ht="84" customHeight="1">
      <c r="A90" s="30" t="str">
        <f>HYPERLINK("https://www.alcaldiabogota.gov.co/sisjur/normas/Norma1.jsp?i=80554&amp;dt=S","DECRETO 483")</f>
        <v>DECRETO 483</v>
      </c>
      <c r="B90" s="41">
        <v>43329</v>
      </c>
      <c r="C90" s="32" t="s">
        <v>61</v>
      </c>
      <c r="D90" s="33" t="s">
        <v>1747</v>
      </c>
      <c r="E90" s="32" t="s">
        <v>41</v>
      </c>
      <c r="F90" s="32" t="s">
        <v>97</v>
      </c>
      <c r="G90" s="285"/>
      <c r="H90" s="285"/>
      <c r="I90" s="74"/>
      <c r="J90" s="74"/>
      <c r="K90" s="74"/>
      <c r="L90" s="74"/>
      <c r="M90" s="74"/>
      <c r="N90" s="74"/>
      <c r="O90" s="74"/>
      <c r="P90" s="74"/>
      <c r="Q90" s="74"/>
      <c r="R90" s="74"/>
      <c r="S90" s="74"/>
      <c r="T90" s="74"/>
      <c r="U90" s="74"/>
      <c r="V90" s="74"/>
      <c r="W90" s="74"/>
      <c r="X90" s="74"/>
      <c r="Y90" s="74"/>
      <c r="Z90" s="74"/>
      <c r="AA90" s="74"/>
    </row>
    <row r="91" spans="1:27" ht="84" customHeight="1">
      <c r="A91" s="30" t="str">
        <f>HYPERLINK("https://drive.google.com/open?id=1DFqZWCcAuc3k-A-M40vjuuB8RZR2rvvN","ACUERDO 70")</f>
        <v>ACUERDO 70</v>
      </c>
      <c r="B91" s="41">
        <v>37523</v>
      </c>
      <c r="C91" s="32" t="s">
        <v>195</v>
      </c>
      <c r="D91" s="39" t="s">
        <v>2969</v>
      </c>
      <c r="E91" s="32" t="s">
        <v>41</v>
      </c>
      <c r="F91" s="32" t="s">
        <v>97</v>
      </c>
      <c r="G91" s="285"/>
      <c r="H91" s="285"/>
      <c r="I91" s="74"/>
      <c r="J91" s="74"/>
      <c r="K91" s="74"/>
      <c r="L91" s="74"/>
      <c r="M91" s="74"/>
      <c r="N91" s="74"/>
      <c r="O91" s="74"/>
      <c r="P91" s="74"/>
      <c r="Q91" s="74"/>
      <c r="R91" s="74"/>
      <c r="S91" s="74"/>
      <c r="T91" s="74"/>
      <c r="U91" s="74"/>
      <c r="V91" s="74"/>
      <c r="W91" s="74"/>
      <c r="X91" s="74"/>
      <c r="Y91" s="74"/>
      <c r="Z91" s="74"/>
      <c r="AA91" s="74"/>
    </row>
    <row r="92" spans="1:27" ht="84" customHeight="1">
      <c r="A92" s="30" t="str">
        <f>HYPERLINK("https://www.alcaldiabogota.gov.co/sisjur/normas/Norma1.jsp?i=15551&amp;dt=S","ACUERDO 137")</f>
        <v>ACUERDO 137</v>
      </c>
      <c r="B92" s="41">
        <v>38349</v>
      </c>
      <c r="C92" s="32" t="s">
        <v>195</v>
      </c>
      <c r="D92" s="33" t="s">
        <v>1757</v>
      </c>
      <c r="E92" s="32" t="s">
        <v>41</v>
      </c>
      <c r="F92" s="32" t="s">
        <v>1758</v>
      </c>
      <c r="G92" s="285"/>
      <c r="H92" s="285"/>
      <c r="I92" s="74"/>
      <c r="J92" s="74"/>
      <c r="K92" s="74"/>
      <c r="L92" s="74"/>
      <c r="M92" s="74"/>
      <c r="N92" s="74"/>
      <c r="O92" s="74"/>
      <c r="P92" s="74"/>
      <c r="Q92" s="74"/>
      <c r="R92" s="74"/>
      <c r="S92" s="74"/>
      <c r="T92" s="74"/>
      <c r="U92" s="74"/>
      <c r="V92" s="74"/>
      <c r="W92" s="74"/>
      <c r="X92" s="74"/>
      <c r="Y92" s="74"/>
      <c r="Z92" s="74"/>
      <c r="AA92" s="74"/>
    </row>
    <row r="93" spans="1:27" ht="84" customHeight="1">
      <c r="A93" s="30" t="str">
        <f>HYPERLINK("https://www.alcaldiabogota.gov.co/sisjur/normas/Norma1.jsp?i=17652","ACUERDO 175")</f>
        <v>ACUERDO 175</v>
      </c>
      <c r="B93" s="41">
        <v>38714</v>
      </c>
      <c r="C93" s="32" t="s">
        <v>195</v>
      </c>
      <c r="D93" s="33" t="s">
        <v>1759</v>
      </c>
      <c r="E93" s="32" t="s">
        <v>41</v>
      </c>
      <c r="F93" s="32" t="s">
        <v>97</v>
      </c>
      <c r="G93" s="285"/>
      <c r="H93" s="285"/>
      <c r="I93" s="74"/>
      <c r="J93" s="74"/>
      <c r="K93" s="74"/>
      <c r="L93" s="74"/>
      <c r="M93" s="74"/>
      <c r="N93" s="74"/>
      <c r="O93" s="74"/>
      <c r="P93" s="74"/>
      <c r="Q93" s="74"/>
      <c r="R93" s="74"/>
      <c r="S93" s="74"/>
      <c r="T93" s="74"/>
      <c r="U93" s="74"/>
      <c r="V93" s="74"/>
      <c r="W93" s="74"/>
      <c r="X93" s="74"/>
      <c r="Y93" s="74"/>
      <c r="Z93" s="74"/>
      <c r="AA93" s="74"/>
    </row>
    <row r="94" spans="1:27" ht="84" customHeight="1">
      <c r="A94" s="294" t="str">
        <f>HYPERLINK("http://www.saludcapital.gov.co/Normo/gsp/acuerdo_359_de_2009.pdf","ACUERDO 359")</f>
        <v>ACUERDO 359</v>
      </c>
      <c r="B94" s="41">
        <v>39818</v>
      </c>
      <c r="C94" s="32" t="s">
        <v>195</v>
      </c>
      <c r="D94" s="33" t="s">
        <v>1767</v>
      </c>
      <c r="E94" s="32" t="s">
        <v>41</v>
      </c>
      <c r="F94" s="32" t="s">
        <v>97</v>
      </c>
      <c r="G94" s="285"/>
      <c r="H94" s="285"/>
      <c r="I94" s="74"/>
      <c r="J94" s="74"/>
      <c r="K94" s="74"/>
      <c r="L94" s="74"/>
      <c r="M94" s="74"/>
      <c r="N94" s="74"/>
      <c r="O94" s="74"/>
      <c r="P94" s="74"/>
      <c r="Q94" s="74"/>
      <c r="R94" s="74"/>
      <c r="S94" s="74"/>
      <c r="T94" s="74"/>
      <c r="U94" s="74"/>
      <c r="V94" s="74"/>
      <c r="W94" s="74"/>
      <c r="X94" s="74"/>
      <c r="Y94" s="74"/>
      <c r="Z94" s="74"/>
      <c r="AA94" s="74"/>
    </row>
    <row r="95" spans="1:27" ht="84" customHeight="1">
      <c r="A95" s="67" t="str">
        <f>HYPERLINK("http://intranet.bogotaturismo.gov.co/sites/intranet.bogotaturismo.gov.co/files/AcuerdoDistrital371de2009.pdf","ACUERDO 371")</f>
        <v>ACUERDO 371</v>
      </c>
      <c r="B95" s="41">
        <v>39904</v>
      </c>
      <c r="C95" s="32" t="s">
        <v>195</v>
      </c>
      <c r="D95" s="33" t="s">
        <v>1769</v>
      </c>
      <c r="E95" s="32" t="s">
        <v>41</v>
      </c>
      <c r="F95" s="32" t="s">
        <v>97</v>
      </c>
      <c r="G95" s="285"/>
      <c r="H95" s="285"/>
      <c r="I95" s="74"/>
      <c r="J95" s="74"/>
      <c r="K95" s="74"/>
      <c r="L95" s="74"/>
      <c r="M95" s="74"/>
      <c r="N95" s="74"/>
      <c r="O95" s="74"/>
      <c r="P95" s="74"/>
      <c r="Q95" s="74"/>
      <c r="R95" s="74"/>
      <c r="S95" s="74"/>
      <c r="T95" s="74"/>
      <c r="U95" s="74"/>
      <c r="V95" s="74"/>
      <c r="W95" s="74"/>
      <c r="X95" s="74"/>
      <c r="Y95" s="74"/>
      <c r="Z95" s="74"/>
      <c r="AA95" s="74"/>
    </row>
    <row r="96" spans="1:27" ht="84" customHeight="1">
      <c r="A96" s="294" t="str">
        <f>HYPERLINK("https://www.alcaldiabogota.gov.co/sisjur/normas/Norma1.jsp?i=38288","ACUERDO 424")</f>
        <v>ACUERDO 424</v>
      </c>
      <c r="B96" s="286">
        <v>40169</v>
      </c>
      <c r="C96" s="32" t="s">
        <v>195</v>
      </c>
      <c r="D96" s="33" t="s">
        <v>1774</v>
      </c>
      <c r="E96" s="32" t="s">
        <v>41</v>
      </c>
      <c r="F96" s="32" t="s">
        <v>97</v>
      </c>
      <c r="G96" s="285"/>
      <c r="H96" s="285"/>
      <c r="I96" s="74"/>
      <c r="J96" s="74"/>
      <c r="K96" s="74"/>
      <c r="L96" s="74"/>
      <c r="M96" s="74"/>
      <c r="N96" s="74"/>
      <c r="O96" s="74"/>
      <c r="P96" s="74"/>
      <c r="Q96" s="74"/>
      <c r="R96" s="74"/>
      <c r="S96" s="74"/>
      <c r="T96" s="74"/>
      <c r="U96" s="74"/>
      <c r="V96" s="74"/>
      <c r="W96" s="74"/>
      <c r="X96" s="74"/>
      <c r="Y96" s="74"/>
      <c r="Z96" s="74"/>
      <c r="AA96" s="74"/>
    </row>
    <row r="97" spans="1:27" ht="84" customHeight="1">
      <c r="A97" s="67" t="str">
        <f>HYPERLINK("https://www.alcaldiabogota.gov.co/sisjur/normas/Norma1.jsp?i=30969&amp;dt=S","ACUERDO 310")</f>
        <v>ACUERDO 310</v>
      </c>
      <c r="B97" s="41">
        <v>39622</v>
      </c>
      <c r="C97" s="32" t="s">
        <v>195</v>
      </c>
      <c r="D97" s="33" t="s">
        <v>1776</v>
      </c>
      <c r="E97" s="32" t="s">
        <v>41</v>
      </c>
      <c r="F97" s="32" t="s">
        <v>97</v>
      </c>
      <c r="G97" s="285"/>
      <c r="H97" s="285"/>
      <c r="I97" s="74"/>
      <c r="J97" s="74"/>
      <c r="K97" s="74"/>
      <c r="L97" s="74"/>
      <c r="M97" s="74"/>
      <c r="N97" s="74"/>
      <c r="O97" s="74"/>
      <c r="P97" s="74"/>
      <c r="Q97" s="74"/>
      <c r="R97" s="74"/>
      <c r="S97" s="74"/>
      <c r="T97" s="74"/>
      <c r="U97" s="74"/>
      <c r="V97" s="74"/>
      <c r="W97" s="74"/>
      <c r="X97" s="74"/>
      <c r="Y97" s="74"/>
      <c r="Z97" s="74"/>
      <c r="AA97" s="74"/>
    </row>
    <row r="98" spans="1:27" ht="84" customHeight="1">
      <c r="A98" s="295" t="s">
        <v>2970</v>
      </c>
      <c r="B98" s="41">
        <v>38986</v>
      </c>
      <c r="C98" s="32" t="s">
        <v>195</v>
      </c>
      <c r="D98" s="39" t="s">
        <v>2971</v>
      </c>
      <c r="E98" s="32" t="s">
        <v>41</v>
      </c>
      <c r="F98" s="32" t="s">
        <v>97</v>
      </c>
      <c r="G98" s="285"/>
      <c r="H98" s="285"/>
      <c r="I98" s="74"/>
      <c r="J98" s="74"/>
      <c r="K98" s="74"/>
      <c r="L98" s="74"/>
      <c r="M98" s="74"/>
      <c r="N98" s="74"/>
      <c r="O98" s="74"/>
      <c r="P98" s="74"/>
      <c r="Q98" s="74"/>
      <c r="R98" s="74"/>
      <c r="S98" s="74"/>
      <c r="T98" s="74"/>
      <c r="U98" s="74"/>
      <c r="V98" s="74"/>
      <c r="W98" s="74"/>
      <c r="X98" s="74"/>
      <c r="Y98" s="74"/>
      <c r="Z98" s="74"/>
      <c r="AA98" s="74"/>
    </row>
    <row r="99" spans="1:27" ht="84" customHeight="1">
      <c r="A99" s="67" t="str">
        <f>HYPERLINK("https://www.idrd.gov.co/sitio/idrd/sites/default/files/imagenes/acuerdo%20505%20de%202012.pdf","ACUERDO 505")</f>
        <v>ACUERDO 505</v>
      </c>
      <c r="B99" s="41">
        <v>41248</v>
      </c>
      <c r="C99" s="32" t="s">
        <v>195</v>
      </c>
      <c r="D99" s="33" t="s">
        <v>1778</v>
      </c>
      <c r="E99" s="32" t="s">
        <v>41</v>
      </c>
      <c r="F99" s="32" t="s">
        <v>97</v>
      </c>
      <c r="G99" s="285"/>
      <c r="H99" s="285"/>
      <c r="I99" s="74"/>
      <c r="J99" s="74"/>
      <c r="K99" s="74"/>
      <c r="L99" s="74"/>
      <c r="M99" s="74"/>
      <c r="N99" s="74"/>
      <c r="O99" s="74"/>
      <c r="P99" s="74"/>
      <c r="Q99" s="74"/>
      <c r="R99" s="74"/>
      <c r="S99" s="74"/>
      <c r="T99" s="74"/>
      <c r="U99" s="74"/>
      <c r="V99" s="74"/>
      <c r="W99" s="74"/>
      <c r="X99" s="74"/>
      <c r="Y99" s="74"/>
      <c r="Z99" s="74"/>
      <c r="AA99" s="74"/>
    </row>
    <row r="100" spans="1:27" ht="84" customHeight="1">
      <c r="A100" s="67" t="str">
        <f>HYPERLINK("http://concejodebogota.gov.co/concejo/site/artic/20150311/asocfile/20150311112214/acuerdo_589_15.pdf","ACUERDO 589")</f>
        <v>ACUERDO 589</v>
      </c>
      <c r="B100" s="41">
        <v>42151</v>
      </c>
      <c r="C100" s="32" t="s">
        <v>195</v>
      </c>
      <c r="D100" s="33" t="s">
        <v>1780</v>
      </c>
      <c r="E100" s="32" t="s">
        <v>41</v>
      </c>
      <c r="F100" s="32" t="s">
        <v>97</v>
      </c>
      <c r="G100" s="285"/>
      <c r="H100" s="285"/>
      <c r="I100" s="74"/>
      <c r="J100" s="74"/>
      <c r="K100" s="74"/>
      <c r="L100" s="74"/>
      <c r="M100" s="74"/>
      <c r="N100" s="74"/>
      <c r="O100" s="74"/>
      <c r="P100" s="74"/>
      <c r="Q100" s="74"/>
      <c r="R100" s="74"/>
      <c r="S100" s="74"/>
      <c r="T100" s="74"/>
      <c r="U100" s="74"/>
      <c r="V100" s="74"/>
      <c r="W100" s="74"/>
      <c r="X100" s="74"/>
      <c r="Y100" s="74"/>
      <c r="Z100" s="74"/>
      <c r="AA100" s="74"/>
    </row>
    <row r="101" spans="1:27" ht="84" customHeight="1">
      <c r="A101" s="30" t="str">
        <f>HYPERLINK("https://www.alcaldiabogota.gov.co/sisjur/normas/Norma1.jsp?i=49362","ACUERDO 491")</f>
        <v>ACUERDO 491</v>
      </c>
      <c r="B101" s="41">
        <v>41170</v>
      </c>
      <c r="C101" s="32" t="s">
        <v>195</v>
      </c>
      <c r="D101" s="33" t="s">
        <v>1786</v>
      </c>
      <c r="E101" s="32" t="s">
        <v>41</v>
      </c>
      <c r="F101" s="32" t="s">
        <v>97</v>
      </c>
      <c r="G101" s="285"/>
      <c r="H101" s="285"/>
      <c r="I101" s="74"/>
      <c r="J101" s="74"/>
      <c r="K101" s="74"/>
      <c r="L101" s="74"/>
      <c r="M101" s="74"/>
      <c r="N101" s="74"/>
      <c r="O101" s="74"/>
      <c r="P101" s="74"/>
      <c r="Q101" s="74"/>
      <c r="R101" s="74"/>
      <c r="S101" s="74"/>
      <c r="T101" s="74"/>
      <c r="U101" s="74"/>
      <c r="V101" s="74"/>
      <c r="W101" s="74"/>
      <c r="X101" s="74"/>
      <c r="Y101" s="74"/>
      <c r="Z101" s="74"/>
      <c r="AA101" s="74"/>
    </row>
    <row r="102" spans="1:27" ht="84" customHeight="1">
      <c r="A102" s="30" t="str">
        <f>HYPERLINK("http://concejodebogota.gov.co/concejo/site/artic/20140916/asocfile/20140916162352/acuerdo_564_14.pdf","ACUERDO 564")</f>
        <v>ACUERDO 564</v>
      </c>
      <c r="B102" s="41">
        <v>41900</v>
      </c>
      <c r="C102" s="32" t="s">
        <v>195</v>
      </c>
      <c r="D102" s="33" t="s">
        <v>1788</v>
      </c>
      <c r="E102" s="32" t="s">
        <v>41</v>
      </c>
      <c r="F102" s="32" t="s">
        <v>97</v>
      </c>
      <c r="G102" s="285"/>
      <c r="H102" s="285"/>
      <c r="I102" s="74"/>
      <c r="J102" s="74"/>
      <c r="K102" s="74"/>
      <c r="L102" s="74"/>
      <c r="M102" s="74"/>
      <c r="N102" s="74"/>
      <c r="O102" s="74"/>
      <c r="P102" s="74"/>
      <c r="Q102" s="74"/>
      <c r="R102" s="74"/>
      <c r="S102" s="74"/>
      <c r="T102" s="74"/>
      <c r="U102" s="74"/>
      <c r="V102" s="74"/>
      <c r="W102" s="74"/>
      <c r="X102" s="74"/>
      <c r="Y102" s="74"/>
      <c r="Z102" s="74"/>
      <c r="AA102" s="74"/>
    </row>
    <row r="103" spans="1:27" ht="84" customHeight="1">
      <c r="A103" s="30" t="str">
        <f>HYPERLINK("http://concejodebogota.gov.co/concejo/site/artic/20141215/asocfile/20141215125359/acuerdo_578_14.pdf","ACUERDO 578")</f>
        <v>ACUERDO 578</v>
      </c>
      <c r="B103" s="286">
        <v>41999</v>
      </c>
      <c r="C103" s="32" t="s">
        <v>195</v>
      </c>
      <c r="D103" s="33" t="s">
        <v>1790</v>
      </c>
      <c r="E103" s="32" t="s">
        <v>41</v>
      </c>
      <c r="F103" s="32" t="s">
        <v>97</v>
      </c>
      <c r="G103" s="285"/>
      <c r="H103" s="285"/>
      <c r="I103" s="74"/>
      <c r="J103" s="74"/>
      <c r="K103" s="74"/>
      <c r="L103" s="74"/>
      <c r="M103" s="74"/>
      <c r="N103" s="74"/>
      <c r="O103" s="74"/>
      <c r="P103" s="74"/>
      <c r="Q103" s="74"/>
      <c r="R103" s="74"/>
      <c r="S103" s="74"/>
      <c r="T103" s="74"/>
      <c r="U103" s="74"/>
      <c r="V103" s="74"/>
      <c r="W103" s="74"/>
      <c r="X103" s="74"/>
      <c r="Y103" s="74"/>
      <c r="Z103" s="74"/>
      <c r="AA103" s="74"/>
    </row>
    <row r="104" spans="1:27" ht="84" customHeight="1">
      <c r="A104" s="30" t="str">
        <f>HYPERLINK("https://www.alcaldiabogota.gov.co/sisjur/normas/Norma1.jsp?i=6305&amp;dt=S","RESOLUCION 8321")</f>
        <v>RESOLUCION 8321</v>
      </c>
      <c r="B104" s="41">
        <v>30532</v>
      </c>
      <c r="C104" s="32" t="s">
        <v>124</v>
      </c>
      <c r="D104" s="33" t="s">
        <v>1792</v>
      </c>
      <c r="E104" s="32" t="s">
        <v>41</v>
      </c>
      <c r="F104" s="32" t="s">
        <v>97</v>
      </c>
      <c r="G104" s="285"/>
      <c r="H104" s="285"/>
      <c r="I104" s="74"/>
      <c r="J104" s="74"/>
      <c r="K104" s="74"/>
      <c r="L104" s="74"/>
      <c r="M104" s="74"/>
      <c r="N104" s="74"/>
      <c r="O104" s="74"/>
      <c r="P104" s="74"/>
      <c r="Q104" s="74"/>
      <c r="R104" s="74"/>
      <c r="S104" s="74"/>
      <c r="T104" s="74"/>
      <c r="U104" s="74"/>
      <c r="V104" s="74"/>
      <c r="W104" s="74"/>
      <c r="X104" s="74"/>
      <c r="Y104" s="74"/>
      <c r="Z104" s="74"/>
      <c r="AA104" s="74"/>
    </row>
    <row r="105" spans="1:27" ht="84" customHeight="1">
      <c r="A105" s="30" t="str">
        <f>HYPERLINK("https://www.alcaldiabogota.gov.co/sisjur/normas/Norma1.jsp?i=19982&amp;dt=S","RESOLUCION 627")</f>
        <v>RESOLUCION 627</v>
      </c>
      <c r="B105" s="41">
        <v>38814</v>
      </c>
      <c r="C105" s="32" t="s">
        <v>1803</v>
      </c>
      <c r="D105" s="33" t="s">
        <v>572</v>
      </c>
      <c r="E105" s="32" t="s">
        <v>41</v>
      </c>
      <c r="F105" s="32" t="s">
        <v>97</v>
      </c>
      <c r="G105" s="285"/>
      <c r="H105" s="285"/>
      <c r="I105" s="74"/>
      <c r="J105" s="74"/>
      <c r="K105" s="74"/>
      <c r="L105" s="74"/>
      <c r="M105" s="74"/>
      <c r="N105" s="74"/>
      <c r="O105" s="74"/>
      <c r="P105" s="74"/>
      <c r="Q105" s="74"/>
      <c r="R105" s="74"/>
      <c r="S105" s="74"/>
      <c r="T105" s="74"/>
      <c r="U105" s="74"/>
      <c r="V105" s="74"/>
      <c r="W105" s="74"/>
      <c r="X105" s="74"/>
      <c r="Y105" s="74"/>
      <c r="Z105" s="74"/>
      <c r="AA105" s="74"/>
    </row>
    <row r="106" spans="1:27" ht="84" customHeight="1">
      <c r="A106" s="30" t="str">
        <f>HYPERLINK("https://www.alcaldiabogota.gov.co/sisjur/normas/Norma1.jsp?i=25617&amp;dt=S","RESOLUCIÓN 277")</f>
        <v>RESOLUCIÓN 277</v>
      </c>
      <c r="B106" s="41">
        <v>39252</v>
      </c>
      <c r="C106" s="142" t="s">
        <v>130</v>
      </c>
      <c r="D106" s="33" t="s">
        <v>1805</v>
      </c>
      <c r="E106" s="32" t="s">
        <v>41</v>
      </c>
      <c r="F106" s="33" t="s">
        <v>1806</v>
      </c>
      <c r="G106" s="285"/>
      <c r="H106" s="285"/>
      <c r="I106" s="74"/>
      <c r="J106" s="74"/>
      <c r="K106" s="74"/>
      <c r="L106" s="74"/>
      <c r="M106" s="74"/>
      <c r="N106" s="74"/>
      <c r="O106" s="74"/>
      <c r="P106" s="74"/>
      <c r="Q106" s="74"/>
      <c r="R106" s="74"/>
      <c r="S106" s="74"/>
      <c r="T106" s="74"/>
      <c r="U106" s="74"/>
      <c r="V106" s="74"/>
      <c r="W106" s="74"/>
      <c r="X106" s="74"/>
      <c r="Y106" s="74"/>
      <c r="Z106" s="74"/>
      <c r="AA106" s="74"/>
    </row>
    <row r="107" spans="1:27" ht="84" customHeight="1">
      <c r="A107" s="30" t="str">
        <f>HYPERLINK("https://drive.google.com/open?id=1JqvTXpStkYA728OCtPbL3f-RtM65Yfg0","RESOLUCIÓN 352")</f>
        <v>RESOLUCIÓN 352</v>
      </c>
      <c r="B107" s="41">
        <v>39576</v>
      </c>
      <c r="C107" s="32" t="s">
        <v>1574</v>
      </c>
      <c r="D107" s="33" t="s">
        <v>1808</v>
      </c>
      <c r="E107" s="32" t="s">
        <v>41</v>
      </c>
      <c r="F107" s="32" t="s">
        <v>97</v>
      </c>
      <c r="G107" s="285"/>
      <c r="H107" s="285"/>
      <c r="I107" s="74"/>
      <c r="J107" s="74"/>
      <c r="K107" s="74"/>
      <c r="L107" s="74"/>
      <c r="M107" s="74"/>
      <c r="N107" s="74"/>
      <c r="O107" s="74"/>
      <c r="P107" s="74"/>
      <c r="Q107" s="74"/>
      <c r="R107" s="74"/>
      <c r="S107" s="74"/>
      <c r="T107" s="74"/>
      <c r="U107" s="74"/>
      <c r="V107" s="74"/>
      <c r="W107" s="74"/>
      <c r="X107" s="74"/>
      <c r="Y107" s="74"/>
      <c r="Z107" s="74"/>
      <c r="AA107" s="74"/>
    </row>
    <row r="108" spans="1:27" ht="84" customHeight="1">
      <c r="A108" s="30" t="str">
        <f>HYPERLINK("https://www.alcaldiabogota.gov.co/sisjur/normas/Norma1.jsp?i=35322&amp;dt=S","RESOLUCIÓN  583")</f>
        <v>RESOLUCIÓN  583</v>
      </c>
      <c r="B108" s="286">
        <v>39797</v>
      </c>
      <c r="C108" s="142" t="s">
        <v>130</v>
      </c>
      <c r="D108" s="33" t="s">
        <v>1810</v>
      </c>
      <c r="E108" s="32" t="s">
        <v>41</v>
      </c>
      <c r="F108" s="33" t="s">
        <v>1811</v>
      </c>
      <c r="G108" s="285"/>
      <c r="H108" s="285"/>
      <c r="I108" s="74"/>
      <c r="J108" s="74"/>
      <c r="K108" s="74"/>
      <c r="L108" s="74"/>
      <c r="M108" s="74"/>
      <c r="N108" s="74"/>
      <c r="O108" s="74"/>
      <c r="P108" s="74"/>
      <c r="Q108" s="74"/>
      <c r="R108" s="74"/>
      <c r="S108" s="74"/>
      <c r="T108" s="74"/>
      <c r="U108" s="74"/>
      <c r="V108" s="74"/>
      <c r="W108" s="74"/>
      <c r="X108" s="74"/>
      <c r="Y108" s="74"/>
      <c r="Z108" s="74"/>
      <c r="AA108" s="74"/>
    </row>
    <row r="109" spans="1:27" ht="84" customHeight="1">
      <c r="A109" s="291" t="str">
        <f>HYPERLINK("http://old.integracionsocial.gov.co/anexos/documentos/polpublicas/Resoluci%C3%B3n%201376%2016sep11%20Comit%C3%A9%20Operativo%20para%20las%20Familias.pdf","RESOLUCIÓN 1376")</f>
        <v>RESOLUCIÓN 1376</v>
      </c>
      <c r="B109" s="41">
        <v>40812</v>
      </c>
      <c r="C109" s="296" t="s">
        <v>1819</v>
      </c>
      <c r="D109" s="268" t="s">
        <v>2972</v>
      </c>
      <c r="E109" s="264" t="s">
        <v>41</v>
      </c>
      <c r="F109" s="268" t="s">
        <v>97</v>
      </c>
      <c r="G109" s="285"/>
      <c r="H109" s="285"/>
      <c r="I109" s="74"/>
      <c r="J109" s="74"/>
      <c r="K109" s="74"/>
      <c r="L109" s="74"/>
      <c r="M109" s="74"/>
      <c r="N109" s="74"/>
      <c r="O109" s="74"/>
      <c r="P109" s="74"/>
      <c r="Q109" s="74"/>
      <c r="R109" s="74"/>
      <c r="S109" s="74"/>
      <c r="T109" s="74"/>
      <c r="U109" s="74"/>
      <c r="V109" s="74"/>
      <c r="W109" s="74"/>
      <c r="X109" s="74"/>
      <c r="Y109" s="74"/>
      <c r="Z109" s="74"/>
      <c r="AA109" s="74"/>
    </row>
    <row r="110" spans="1:27" ht="84" customHeight="1">
      <c r="A110" s="291" t="str">
        <f>HYPERLINK("http://imdri.gov.co/web/images/2018/NORMATIVIDAD/Politica-Publica-FINAL.pdf","RESOLUCIÓN 1723")</f>
        <v>RESOLUCIÓN 1723</v>
      </c>
      <c r="B110" s="264">
        <v>2018</v>
      </c>
      <c r="C110" s="296" t="s">
        <v>2973</v>
      </c>
      <c r="D110" s="268" t="s">
        <v>2974</v>
      </c>
      <c r="E110" s="264" t="s">
        <v>41</v>
      </c>
      <c r="F110" s="268" t="s">
        <v>97</v>
      </c>
      <c r="G110" s="285"/>
      <c r="H110" s="285"/>
      <c r="I110" s="74"/>
      <c r="J110" s="74"/>
      <c r="K110" s="74"/>
      <c r="L110" s="74"/>
      <c r="M110" s="74"/>
      <c r="N110" s="74"/>
      <c r="O110" s="74"/>
      <c r="P110" s="74"/>
      <c r="Q110" s="74"/>
      <c r="R110" s="74"/>
      <c r="S110" s="74"/>
      <c r="T110" s="74"/>
      <c r="U110" s="74"/>
      <c r="V110" s="74"/>
      <c r="W110" s="74"/>
      <c r="X110" s="74"/>
      <c r="Y110" s="74"/>
      <c r="Z110" s="74"/>
      <c r="AA110" s="74"/>
    </row>
    <row r="111" spans="1:27" ht="84" customHeight="1">
      <c r="A111" s="30" t="str">
        <f>HYPERLINK("http://legal.legis.com.co/document/Index?obra=legcol&amp;document=legcol_991bac1c3ff450dae0430a01015150da","RESOLUCIÓN 338")</f>
        <v>RESOLUCIÓN 338</v>
      </c>
      <c r="B111" s="41">
        <v>40389</v>
      </c>
      <c r="C111" s="142" t="s">
        <v>130</v>
      </c>
      <c r="D111" s="33" t="s">
        <v>1813</v>
      </c>
      <c r="E111" s="32" t="s">
        <v>41</v>
      </c>
      <c r="F111" s="33" t="s">
        <v>1814</v>
      </c>
      <c r="G111" s="285"/>
      <c r="H111" s="285"/>
      <c r="I111" s="74"/>
      <c r="J111" s="74"/>
      <c r="K111" s="74"/>
      <c r="L111" s="74"/>
      <c r="M111" s="74"/>
      <c r="N111" s="74"/>
      <c r="O111" s="74"/>
      <c r="P111" s="74"/>
      <c r="Q111" s="74"/>
      <c r="R111" s="74"/>
      <c r="S111" s="74"/>
      <c r="T111" s="74"/>
      <c r="U111" s="74"/>
      <c r="V111" s="74"/>
      <c r="W111" s="74"/>
      <c r="X111" s="74"/>
      <c r="Y111" s="74"/>
      <c r="Z111" s="74"/>
      <c r="AA111" s="74"/>
    </row>
    <row r="112" spans="1:27" ht="84" customHeight="1">
      <c r="A112" s="30" t="str">
        <f>HYPERLINK("https://www.alcaldiabogota.gov.co/sisjur/normas/Norma1.jsp?i=57393&amp;dt=S","RESOLUCIÓN 1613")</f>
        <v>RESOLUCIÓN 1613</v>
      </c>
      <c r="B112" s="286">
        <v>40862</v>
      </c>
      <c r="C112" s="32" t="s">
        <v>1819</v>
      </c>
      <c r="D112" s="33" t="s">
        <v>1820</v>
      </c>
      <c r="E112" s="32" t="s">
        <v>41</v>
      </c>
      <c r="F112" s="32" t="s">
        <v>97</v>
      </c>
      <c r="G112" s="285"/>
      <c r="H112" s="285"/>
      <c r="I112" s="74"/>
      <c r="J112" s="74"/>
      <c r="K112" s="74"/>
      <c r="L112" s="74"/>
      <c r="M112" s="74"/>
      <c r="N112" s="74"/>
      <c r="O112" s="74"/>
      <c r="P112" s="74"/>
      <c r="Q112" s="74"/>
      <c r="R112" s="74"/>
      <c r="S112" s="74"/>
      <c r="T112" s="74"/>
      <c r="U112" s="74"/>
      <c r="V112" s="74"/>
      <c r="W112" s="74"/>
      <c r="X112" s="74"/>
      <c r="Y112" s="74"/>
      <c r="Z112" s="74"/>
      <c r="AA112" s="74"/>
    </row>
    <row r="113" spans="1:27" ht="84" customHeight="1">
      <c r="A113" s="30" t="str">
        <f>HYPERLINK("http://legal.legis.com.co/document/index?obra=legcol&amp;bookmark=bf151d6163da5614e72b7e3c50fb2719448nf9","RESOLUCION 316")</f>
        <v>RESOLUCION 316</v>
      </c>
      <c r="B113" s="41">
        <v>41415</v>
      </c>
      <c r="C113" s="142" t="s">
        <v>130</v>
      </c>
      <c r="D113" s="33" t="s">
        <v>1828</v>
      </c>
      <c r="E113" s="32" t="s">
        <v>41</v>
      </c>
      <c r="F113" s="32" t="s">
        <v>97</v>
      </c>
      <c r="G113" s="285"/>
      <c r="H113" s="285"/>
      <c r="I113" s="74"/>
      <c r="J113" s="74"/>
      <c r="K113" s="74"/>
      <c r="L113" s="74"/>
      <c r="M113" s="74"/>
      <c r="N113" s="74"/>
      <c r="O113" s="74"/>
      <c r="P113" s="74"/>
      <c r="Q113" s="74"/>
      <c r="R113" s="74"/>
      <c r="S113" s="74"/>
      <c r="T113" s="74"/>
      <c r="U113" s="74"/>
      <c r="V113" s="74"/>
      <c r="W113" s="74"/>
      <c r="X113" s="74"/>
      <c r="Y113" s="74"/>
      <c r="Z113" s="74"/>
      <c r="AA113" s="74"/>
    </row>
    <row r="114" spans="1:27" ht="84" customHeight="1">
      <c r="A114" s="70" t="s">
        <v>2975</v>
      </c>
      <c r="B114" s="41">
        <v>42531</v>
      </c>
      <c r="C114" s="142" t="s">
        <v>130</v>
      </c>
      <c r="D114" s="39" t="s">
        <v>2976</v>
      </c>
      <c r="E114" s="32" t="s">
        <v>41</v>
      </c>
      <c r="F114" s="32" t="s">
        <v>97</v>
      </c>
      <c r="G114" s="285"/>
      <c r="H114" s="285"/>
      <c r="I114" s="74"/>
      <c r="J114" s="74"/>
      <c r="K114" s="74"/>
      <c r="L114" s="74"/>
      <c r="M114" s="74"/>
      <c r="N114" s="74"/>
      <c r="O114" s="74"/>
      <c r="P114" s="74"/>
      <c r="Q114" s="74"/>
      <c r="R114" s="74"/>
      <c r="S114" s="74"/>
      <c r="T114" s="74"/>
      <c r="U114" s="74"/>
      <c r="V114" s="74"/>
      <c r="W114" s="74"/>
      <c r="X114" s="74"/>
      <c r="Y114" s="74"/>
      <c r="Z114" s="74"/>
      <c r="AA114" s="74"/>
    </row>
    <row r="115" spans="1:27" ht="84" customHeight="1">
      <c r="A115" s="30" t="str">
        <f>HYPERLINK("https://www.alcaldiabogota.gov.co/sisjur/normas/Norma1.jsp?i=59906&amp;dt=S","RESOLUCIÓN 569")</f>
        <v>RESOLUCIÓN 569</v>
      </c>
      <c r="B115" s="286">
        <v>41929</v>
      </c>
      <c r="C115" s="32" t="s">
        <v>1830</v>
      </c>
      <c r="D115" s="33" t="s">
        <v>153</v>
      </c>
      <c r="E115" s="32" t="s">
        <v>41</v>
      </c>
      <c r="F115" s="32" t="s">
        <v>97</v>
      </c>
      <c r="G115" s="285"/>
      <c r="H115" s="285"/>
      <c r="I115" s="74"/>
      <c r="J115" s="74"/>
      <c r="K115" s="74"/>
      <c r="L115" s="74"/>
      <c r="M115" s="74"/>
      <c r="N115" s="74"/>
      <c r="O115" s="74"/>
      <c r="P115" s="74"/>
      <c r="Q115" s="74"/>
      <c r="R115" s="74"/>
      <c r="S115" s="74"/>
      <c r="T115" s="74"/>
      <c r="U115" s="74"/>
      <c r="V115" s="74"/>
      <c r="W115" s="74"/>
      <c r="X115" s="74"/>
      <c r="Y115" s="74"/>
      <c r="Z115" s="74"/>
      <c r="AA115" s="74"/>
    </row>
    <row r="116" spans="1:27" ht="84" customHeight="1">
      <c r="A116" s="291" t="str">
        <f>HYPERLINK("http://legal.legis.com.co/document/Index?obra=legcol&amp;document=legcol_310399ab8a384d1fa308558e9eeb25d6","RESOLUCIÓN 3753")</f>
        <v>RESOLUCIÓN 3753</v>
      </c>
      <c r="B116" s="41">
        <v>42283</v>
      </c>
      <c r="C116" s="296" t="s">
        <v>1800</v>
      </c>
      <c r="D116" s="268" t="s">
        <v>2978</v>
      </c>
      <c r="E116" s="264" t="s">
        <v>2979</v>
      </c>
      <c r="F116" s="264" t="s">
        <v>2980</v>
      </c>
      <c r="G116" s="285"/>
      <c r="H116" s="285"/>
      <c r="I116" s="74"/>
      <c r="J116" s="74"/>
      <c r="K116" s="74"/>
      <c r="L116" s="74"/>
      <c r="M116" s="74"/>
      <c r="N116" s="74"/>
      <c r="O116" s="74"/>
      <c r="P116" s="74"/>
      <c r="Q116" s="74"/>
      <c r="R116" s="74"/>
      <c r="S116" s="74"/>
      <c r="T116" s="74"/>
      <c r="U116" s="74"/>
      <c r="V116" s="74"/>
      <c r="W116" s="74"/>
      <c r="X116" s="74"/>
      <c r="Y116" s="74"/>
      <c r="Z116" s="74"/>
      <c r="AA116" s="74"/>
    </row>
    <row r="117" spans="1:27" ht="84" customHeight="1">
      <c r="A117" s="291" t="str">
        <f>HYPERLINK("https://www.alcaldiabogota.gov.co/sisjur/normas/Norma1.jsp?i=76252&amp;dt=S","RESOLUCIÓN 756")</f>
        <v>RESOLUCIÓN 756</v>
      </c>
      <c r="B117" s="41">
        <v>42863</v>
      </c>
      <c r="C117" s="296" t="s">
        <v>1819</v>
      </c>
      <c r="D117" s="268" t="s">
        <v>2983</v>
      </c>
      <c r="E117" s="264" t="s">
        <v>41</v>
      </c>
      <c r="F117" s="264" t="s">
        <v>97</v>
      </c>
      <c r="G117" s="285"/>
      <c r="H117" s="285"/>
      <c r="I117" s="74"/>
      <c r="J117" s="74"/>
      <c r="K117" s="74"/>
      <c r="L117" s="74"/>
      <c r="M117" s="74"/>
      <c r="N117" s="74"/>
      <c r="O117" s="74"/>
      <c r="P117" s="74"/>
      <c r="Q117" s="74"/>
      <c r="R117" s="74"/>
      <c r="S117" s="74"/>
      <c r="T117" s="74"/>
      <c r="U117" s="74"/>
      <c r="V117" s="74"/>
      <c r="W117" s="74"/>
      <c r="X117" s="74"/>
      <c r="Y117" s="74"/>
      <c r="Z117" s="74"/>
      <c r="AA117" s="74"/>
    </row>
    <row r="118" spans="1:27" ht="84" customHeight="1">
      <c r="A118" s="30" t="str">
        <f>HYPERLINK("https://www.alcaldiabogota.gov.co/sisjur/normas/Norma1.jsp?i=61276&amp;dt=S","RESOLUCION 190")</f>
        <v>RESOLUCION 190</v>
      </c>
      <c r="B118" s="41">
        <v>42072</v>
      </c>
      <c r="C118" s="142" t="s">
        <v>130</v>
      </c>
      <c r="D118" s="33" t="s">
        <v>1840</v>
      </c>
      <c r="E118" s="32" t="s">
        <v>41</v>
      </c>
      <c r="F118" s="32" t="s">
        <v>97</v>
      </c>
      <c r="G118" s="285"/>
      <c r="H118" s="285"/>
      <c r="I118" s="74"/>
      <c r="J118" s="74"/>
      <c r="K118" s="74"/>
      <c r="L118" s="74"/>
      <c r="M118" s="74"/>
      <c r="N118" s="74"/>
      <c r="O118" s="74"/>
      <c r="P118" s="74"/>
      <c r="Q118" s="74"/>
      <c r="R118" s="74"/>
      <c r="S118" s="74"/>
      <c r="T118" s="74"/>
      <c r="U118" s="74"/>
      <c r="V118" s="74"/>
      <c r="W118" s="74"/>
      <c r="X118" s="74"/>
      <c r="Y118" s="74"/>
      <c r="Z118" s="74"/>
      <c r="AA118" s="74"/>
    </row>
    <row r="119" spans="1:27" ht="84" customHeight="1">
      <c r="A119" s="30" t="str">
        <f>HYPERLINK("https://drive.google.com/open?id=1t9QyTp30anpyVamChrUWMhy8nLXcmamI","RESOLUCIÓN  2008")</f>
        <v>RESOLUCIÓN  2008</v>
      </c>
      <c r="B119" s="41">
        <v>42943</v>
      </c>
      <c r="C119" s="142" t="s">
        <v>1574</v>
      </c>
      <c r="D119" s="33" t="s">
        <v>1846</v>
      </c>
      <c r="E119" s="32" t="s">
        <v>657</v>
      </c>
      <c r="F119" s="32" t="s">
        <v>97</v>
      </c>
      <c r="G119" s="285"/>
      <c r="H119" s="285"/>
      <c r="I119" s="74"/>
      <c r="J119" s="74"/>
      <c r="K119" s="74"/>
      <c r="L119" s="74"/>
      <c r="M119" s="74"/>
      <c r="N119" s="74"/>
      <c r="O119" s="74"/>
      <c r="P119" s="74"/>
      <c r="Q119" s="74"/>
      <c r="R119" s="74"/>
      <c r="S119" s="74"/>
      <c r="T119" s="74"/>
      <c r="U119" s="74"/>
      <c r="V119" s="74"/>
      <c r="W119" s="74"/>
      <c r="X119" s="74"/>
      <c r="Y119" s="74"/>
      <c r="Z119" s="74"/>
      <c r="AA119" s="74"/>
    </row>
    <row r="120" spans="1:27" ht="84" customHeight="1">
      <c r="A120" s="297" t="s">
        <v>343</v>
      </c>
      <c r="B120" s="264">
        <v>2013</v>
      </c>
      <c r="C120" s="32"/>
      <c r="D120" s="268" t="s">
        <v>2989</v>
      </c>
      <c r="E120" s="264" t="s">
        <v>2990</v>
      </c>
      <c r="F120" s="264" t="s">
        <v>97</v>
      </c>
      <c r="G120" s="285"/>
      <c r="H120" s="285"/>
      <c r="I120" s="74"/>
      <c r="J120" s="74"/>
      <c r="K120" s="74"/>
      <c r="L120" s="74"/>
      <c r="M120" s="74"/>
      <c r="N120" s="74"/>
      <c r="O120" s="74"/>
      <c r="P120" s="74"/>
      <c r="Q120" s="74"/>
      <c r="R120" s="74"/>
      <c r="S120" s="74"/>
      <c r="T120" s="74"/>
      <c r="U120" s="74"/>
      <c r="V120" s="74"/>
      <c r="W120" s="74"/>
      <c r="X120" s="74"/>
      <c r="Y120" s="74"/>
      <c r="Z120" s="74"/>
      <c r="AA120" s="74"/>
    </row>
    <row r="121" spans="1:27" ht="84" customHeight="1">
      <c r="A121" s="63" t="s">
        <v>1624</v>
      </c>
      <c r="B121" s="32">
        <v>2016</v>
      </c>
      <c r="C121" s="32" t="s">
        <v>1849</v>
      </c>
      <c r="D121" s="33" t="s">
        <v>1626</v>
      </c>
      <c r="E121" s="32" t="s">
        <v>41</v>
      </c>
      <c r="F121" s="32" t="s">
        <v>97</v>
      </c>
      <c r="G121" s="285"/>
      <c r="H121" s="285"/>
      <c r="I121" s="74"/>
      <c r="J121" s="74"/>
      <c r="K121" s="74"/>
      <c r="L121" s="74"/>
      <c r="M121" s="74"/>
      <c r="N121" s="74"/>
      <c r="O121" s="74"/>
      <c r="P121" s="74"/>
      <c r="Q121" s="74"/>
      <c r="R121" s="74"/>
      <c r="S121" s="74"/>
      <c r="T121" s="74"/>
      <c r="U121" s="74"/>
      <c r="V121" s="74"/>
      <c r="W121" s="74"/>
      <c r="X121" s="74"/>
      <c r="Y121" s="74"/>
      <c r="Z121" s="74"/>
      <c r="AA121" s="74"/>
    </row>
    <row r="122" spans="1:27" ht="84" customHeight="1">
      <c r="A122" s="30" t="str">
        <f>HYPERLINK("https://www.who.int/healthpromotion/conferences/6gchp/BCHP_es.pdf","CARTA DE BANGKOK")</f>
        <v>CARTA DE BANGKOK</v>
      </c>
      <c r="B122" s="41">
        <v>38569</v>
      </c>
      <c r="C122" s="32" t="s">
        <v>1851</v>
      </c>
      <c r="D122" s="33" t="s">
        <v>1852</v>
      </c>
      <c r="E122" s="32" t="s">
        <v>41</v>
      </c>
      <c r="F122" s="32" t="s">
        <v>97</v>
      </c>
      <c r="G122" s="285"/>
      <c r="H122" s="285"/>
      <c r="I122" s="74"/>
      <c r="J122" s="74"/>
      <c r="K122" s="74"/>
      <c r="L122" s="74"/>
      <c r="M122" s="74"/>
      <c r="N122" s="74"/>
      <c r="O122" s="74"/>
      <c r="P122" s="74"/>
      <c r="Q122" s="74"/>
      <c r="R122" s="74"/>
      <c r="S122" s="74"/>
      <c r="T122" s="74"/>
      <c r="U122" s="74"/>
      <c r="V122" s="74"/>
      <c r="W122" s="74"/>
      <c r="X122" s="74"/>
      <c r="Y122" s="74"/>
      <c r="Z122" s="74"/>
      <c r="AA122" s="74"/>
    </row>
    <row r="123" spans="1:27" ht="84" customHeight="1">
      <c r="A123" s="63" t="s">
        <v>1853</v>
      </c>
      <c r="B123" s="32">
        <v>2010</v>
      </c>
      <c r="C123" s="32" t="s">
        <v>1854</v>
      </c>
      <c r="D123" s="33" t="s">
        <v>1855</v>
      </c>
      <c r="E123" s="32" t="s">
        <v>41</v>
      </c>
      <c r="F123" s="32" t="s">
        <v>97</v>
      </c>
      <c r="G123" s="285"/>
      <c r="H123" s="285"/>
      <c r="I123" s="74"/>
      <c r="J123" s="74"/>
      <c r="K123" s="74"/>
      <c r="L123" s="74"/>
      <c r="M123" s="74"/>
      <c r="N123" s="74"/>
      <c r="O123" s="74"/>
      <c r="P123" s="74"/>
      <c r="Q123" s="74"/>
      <c r="R123" s="74"/>
      <c r="S123" s="74"/>
      <c r="T123" s="74"/>
      <c r="U123" s="74"/>
      <c r="V123" s="74"/>
      <c r="W123" s="74"/>
      <c r="X123" s="74"/>
      <c r="Y123" s="74"/>
      <c r="Z123" s="74"/>
      <c r="AA123" s="74"/>
    </row>
    <row r="124" spans="1:27" ht="84" customHeight="1">
      <c r="A124" s="30" t="str">
        <f>HYPERLINK("https://drive.google.com/open?id=1Xkk4hScArTOaCowWWGYnzLmHGsvPhdMw","DECLARACIÓN DE GINEBRA")</f>
        <v>DECLARACIÓN DE GINEBRA</v>
      </c>
      <c r="B124" s="32">
        <v>1924</v>
      </c>
      <c r="C124" s="32" t="s">
        <v>1862</v>
      </c>
      <c r="D124" s="33" t="s">
        <v>1863</v>
      </c>
      <c r="E124" s="32" t="s">
        <v>41</v>
      </c>
      <c r="F124" s="32" t="s">
        <v>97</v>
      </c>
      <c r="G124" s="285"/>
      <c r="H124" s="285"/>
      <c r="I124" s="74"/>
      <c r="J124" s="74"/>
      <c r="K124" s="74"/>
      <c r="L124" s="74"/>
      <c r="M124" s="74"/>
      <c r="N124" s="74"/>
      <c r="O124" s="74"/>
      <c r="P124" s="74"/>
      <c r="Q124" s="74"/>
      <c r="R124" s="74"/>
      <c r="S124" s="74"/>
      <c r="T124" s="74"/>
      <c r="U124" s="74"/>
      <c r="V124" s="74"/>
      <c r="W124" s="74"/>
      <c r="X124" s="74"/>
      <c r="Y124" s="74"/>
      <c r="Z124" s="74"/>
      <c r="AA124" s="74"/>
    </row>
    <row r="125" spans="1:27" ht="84" customHeight="1">
      <c r="A125" s="30" t="str">
        <f>HYPERLINK("https://drive.google.com/open?id=1MYVd9lpVw4GsAL_wbavR-6Mly5GurrEf","DECLARACIÓN UNIVERSAL DE LOS DERECHOS DEL NIÑO ")</f>
        <v xml:space="preserve">DECLARACIÓN UNIVERSAL DE LOS DERECHOS DEL NIÑO </v>
      </c>
      <c r="B125" s="32">
        <v>1959</v>
      </c>
      <c r="C125" s="32" t="s">
        <v>1865</v>
      </c>
      <c r="D125" s="33" t="s">
        <v>1866</v>
      </c>
      <c r="E125" s="32" t="s">
        <v>41</v>
      </c>
      <c r="F125" s="32" t="s">
        <v>97</v>
      </c>
      <c r="G125" s="285"/>
      <c r="H125" s="285"/>
      <c r="I125" s="74"/>
      <c r="J125" s="74"/>
      <c r="K125" s="74"/>
      <c r="L125" s="74"/>
      <c r="M125" s="74"/>
      <c r="N125" s="74"/>
      <c r="O125" s="74"/>
      <c r="P125" s="74"/>
      <c r="Q125" s="74"/>
      <c r="R125" s="74"/>
      <c r="S125" s="74"/>
      <c r="T125" s="74"/>
      <c r="U125" s="74"/>
      <c r="V125" s="74"/>
      <c r="W125" s="74"/>
      <c r="X125" s="74"/>
      <c r="Y125" s="74"/>
      <c r="Z125" s="74"/>
      <c r="AA125" s="74"/>
    </row>
    <row r="126" spans="1:27" ht="84" customHeight="1">
      <c r="A126" s="30" t="str">
        <f>HYPERLINK("https://guiatramitesyservicios.bogota.gov.co/wp-content/uploads/2017/11/Convenci%C3%B3n-sobre-los-derechos-de-las-personas-con-Discapacidad.pdf","CONVENCIÓN INTERAMERICANA PARA LA ELIMINACIÓN DE TODAS FORMAS DE DISCRIMINACIÓN CONTRA LAS PERSONAS CON DISCAPACIDAD - OEA")</f>
        <v>CONVENCIÓN INTERAMERICANA PARA LA ELIMINACIÓN DE TODAS FORMAS DE DISCRIMINACIÓN CONTRA LAS PERSONAS CON DISCAPACIDAD - OEA</v>
      </c>
      <c r="B126" s="40">
        <v>1999</v>
      </c>
      <c r="C126" s="32" t="s">
        <v>2991</v>
      </c>
      <c r="D126" s="33" t="s">
        <v>2992</v>
      </c>
      <c r="E126" s="32" t="s">
        <v>41</v>
      </c>
      <c r="F126" s="32" t="s">
        <v>2993</v>
      </c>
      <c r="G126" s="285"/>
      <c r="H126" s="285"/>
      <c r="I126" s="74"/>
      <c r="J126" s="74"/>
      <c r="K126" s="74"/>
      <c r="L126" s="74"/>
      <c r="M126" s="74"/>
      <c r="N126" s="74"/>
      <c r="O126" s="74"/>
      <c r="P126" s="74"/>
      <c r="Q126" s="74"/>
      <c r="R126" s="74"/>
      <c r="S126" s="74"/>
      <c r="T126" s="74"/>
      <c r="U126" s="74"/>
      <c r="V126" s="74"/>
      <c r="W126" s="74"/>
      <c r="X126" s="74"/>
      <c r="Y126" s="74"/>
      <c r="Z126" s="74"/>
      <c r="AA126" s="74"/>
    </row>
    <row r="127" spans="1:27" ht="84" customHeight="1">
      <c r="A127" s="42" t="s">
        <v>2994</v>
      </c>
      <c r="B127" s="40">
        <v>1982</v>
      </c>
      <c r="C127" s="32" t="s">
        <v>1865</v>
      </c>
      <c r="D127" s="33" t="s">
        <v>2995</v>
      </c>
      <c r="E127" s="32" t="s">
        <v>41</v>
      </c>
      <c r="F127" s="32" t="s">
        <v>2996</v>
      </c>
      <c r="G127" s="285"/>
      <c r="H127" s="285"/>
      <c r="I127" s="74"/>
      <c r="J127" s="74"/>
      <c r="K127" s="74"/>
      <c r="L127" s="74"/>
      <c r="M127" s="74"/>
      <c r="N127" s="74"/>
      <c r="O127" s="74"/>
      <c r="P127" s="74"/>
      <c r="Q127" s="74"/>
      <c r="R127" s="74"/>
      <c r="S127" s="74"/>
      <c r="T127" s="74"/>
      <c r="U127" s="74"/>
      <c r="V127" s="74"/>
      <c r="W127" s="74"/>
      <c r="X127" s="74"/>
      <c r="Y127" s="74"/>
      <c r="Z127" s="74"/>
      <c r="AA127" s="74"/>
    </row>
  </sheetData>
  <autoFilter ref="A5:AA127" xr:uid="{00000000-0009-0000-0000-000009000000}"/>
  <mergeCells count="3">
    <mergeCell ref="A1:H1"/>
    <mergeCell ref="A2:F2"/>
    <mergeCell ref="A4:F4"/>
  </mergeCells>
  <hyperlinks>
    <hyperlink ref="F3" location="Menu por Procesos!A1" display="MENU" xr:uid="{00000000-0004-0000-0900-000000000000}"/>
    <hyperlink ref="A30" r:id="rId1" xr:uid="{00000000-0004-0000-0900-000001000000}"/>
  </hyperlinks>
  <pageMargins left="0.7" right="0.7" top="0.75" bottom="0.75" header="0" footer="0"/>
  <pageSetup orientation="landscape"/>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A9D18E"/>
  </sheetPr>
  <dimension ref="A1:AA78"/>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7.5703125" customWidth="1"/>
    <col min="3" max="3" width="23.7109375" customWidth="1"/>
    <col min="4" max="4" width="61.7109375" customWidth="1"/>
    <col min="5" max="5" width="28.5703125" customWidth="1"/>
    <col min="6" max="6" width="55.5703125" customWidth="1"/>
    <col min="7" max="8" width="10" hidden="1" customWidth="1"/>
    <col min="9" max="9" width="18" customWidth="1"/>
    <col min="10" max="14" width="11.42578125" customWidth="1"/>
    <col min="15" max="15" width="16.28515625" customWidth="1"/>
    <col min="16" max="16" width="11.42578125" customWidth="1"/>
    <col min="17" max="17" width="15.140625" customWidth="1"/>
    <col min="18" max="27" width="11.42578125" customWidth="1"/>
  </cols>
  <sheetData>
    <row r="1" spans="1:27" ht="61.5" customHeight="1">
      <c r="A1" s="774"/>
      <c r="B1" s="769"/>
      <c r="C1" s="769"/>
      <c r="D1" s="769"/>
      <c r="E1" s="769"/>
      <c r="F1" s="769"/>
      <c r="G1" s="769"/>
      <c r="H1" s="769"/>
      <c r="I1" s="18"/>
      <c r="J1" s="18"/>
      <c r="K1" s="18"/>
      <c r="L1" s="18"/>
      <c r="M1" s="18"/>
      <c r="N1" s="18"/>
      <c r="O1" s="18"/>
      <c r="P1" s="18"/>
      <c r="Q1" s="18"/>
      <c r="R1" s="18"/>
      <c r="S1" s="18"/>
      <c r="T1" s="18"/>
      <c r="U1" s="18"/>
      <c r="V1" s="18"/>
      <c r="W1" s="18"/>
      <c r="X1" s="18"/>
      <c r="Y1" s="18"/>
      <c r="Z1" s="18"/>
      <c r="AA1" s="18"/>
    </row>
    <row r="2" spans="1:27" ht="27" customHeight="1">
      <c r="A2" s="767" t="s">
        <v>28</v>
      </c>
      <c r="B2" s="765"/>
      <c r="C2" s="765"/>
      <c r="D2" s="765"/>
      <c r="E2" s="765"/>
      <c r="F2" s="766"/>
      <c r="G2" s="15"/>
      <c r="H2" s="16"/>
      <c r="I2" s="18"/>
      <c r="J2" s="18"/>
      <c r="K2" s="18"/>
      <c r="L2" s="18"/>
      <c r="M2" s="18"/>
      <c r="N2" s="18"/>
      <c r="O2" s="18"/>
      <c r="P2" s="18"/>
      <c r="Q2" s="18"/>
      <c r="R2" s="18"/>
      <c r="S2" s="18"/>
      <c r="T2" s="18"/>
      <c r="U2" s="18"/>
      <c r="V2" s="18"/>
      <c r="W2" s="18"/>
      <c r="X2" s="18"/>
      <c r="Y2" s="18"/>
      <c r="Z2" s="18"/>
      <c r="AA2" s="18"/>
    </row>
    <row r="3" spans="1:27" ht="24" customHeight="1">
      <c r="A3" s="75" t="s">
        <v>2997</v>
      </c>
      <c r="B3" s="19"/>
      <c r="C3" s="19"/>
      <c r="D3" s="19"/>
      <c r="E3" s="19"/>
      <c r="F3" s="20" t="s">
        <v>30</v>
      </c>
      <c r="G3" s="19"/>
      <c r="H3" s="21"/>
      <c r="I3" s="18"/>
      <c r="J3" s="18"/>
      <c r="K3" s="18"/>
      <c r="L3" s="18"/>
      <c r="M3" s="18"/>
      <c r="N3" s="18"/>
      <c r="O3" s="18"/>
      <c r="P3" s="18"/>
      <c r="Q3" s="18"/>
      <c r="R3" s="18"/>
      <c r="S3" s="18"/>
      <c r="T3" s="18"/>
      <c r="U3" s="18"/>
      <c r="V3" s="18"/>
      <c r="W3" s="18"/>
      <c r="X3" s="18"/>
      <c r="Y3" s="18"/>
      <c r="Z3" s="18"/>
      <c r="AA3" s="18"/>
    </row>
    <row r="4" spans="1:27" ht="33" customHeight="1">
      <c r="A4" s="775" t="s">
        <v>2999</v>
      </c>
      <c r="B4" s="765"/>
      <c r="C4" s="765"/>
      <c r="D4" s="765"/>
      <c r="E4" s="765"/>
      <c r="F4" s="766"/>
      <c r="G4" s="16"/>
      <c r="H4" s="22"/>
      <c r="I4" s="18"/>
      <c r="J4" s="18"/>
      <c r="K4" s="18"/>
      <c r="L4" s="18"/>
      <c r="M4" s="18"/>
      <c r="N4" s="18"/>
      <c r="O4" s="18"/>
      <c r="P4" s="18"/>
      <c r="Q4" s="18"/>
      <c r="R4" s="18"/>
      <c r="S4" s="18"/>
      <c r="T4" s="18"/>
      <c r="U4" s="18"/>
      <c r="V4" s="18"/>
      <c r="W4" s="18"/>
      <c r="X4" s="18"/>
      <c r="Y4" s="18"/>
      <c r="Z4" s="18"/>
      <c r="AA4" s="18"/>
    </row>
    <row r="5" spans="1:27" ht="34.5" customHeight="1">
      <c r="A5" s="76" t="s">
        <v>235</v>
      </c>
      <c r="B5" s="24" t="s">
        <v>32</v>
      </c>
      <c r="C5" s="25" t="s">
        <v>33</v>
      </c>
      <c r="D5" s="25" t="s">
        <v>34</v>
      </c>
      <c r="E5" s="25" t="s">
        <v>35</v>
      </c>
      <c r="F5" s="25" t="s">
        <v>36</v>
      </c>
      <c r="G5" s="26" t="s">
        <v>37</v>
      </c>
      <c r="H5" s="27" t="s">
        <v>38</v>
      </c>
      <c r="I5" s="29"/>
      <c r="J5" s="29"/>
      <c r="K5" s="29"/>
      <c r="L5" s="29"/>
      <c r="M5" s="29"/>
      <c r="N5" s="29"/>
      <c r="O5" s="29"/>
      <c r="P5" s="29"/>
      <c r="Q5" s="29"/>
      <c r="R5" s="29"/>
      <c r="S5" s="29"/>
      <c r="T5" s="29"/>
      <c r="U5" s="29"/>
      <c r="V5" s="29"/>
      <c r="W5" s="29"/>
      <c r="X5" s="29"/>
      <c r="Y5" s="29"/>
      <c r="Z5" s="29"/>
      <c r="AA5" s="29"/>
    </row>
    <row r="6" spans="1:27" ht="72">
      <c r="A6" s="30" t="str">
        <f>HYPERLINK("https://www.bogotajuridica.gov.co/sisjur/normas/Norma1.jsp?i=4125","CONSTITUCIÓN POLÍTICA DE COLOMBIA")</f>
        <v>CONSTITUCIÓN POLÍTICA DE COLOMBIA</v>
      </c>
      <c r="B6" s="78">
        <v>33423</v>
      </c>
      <c r="C6" s="32" t="s">
        <v>405</v>
      </c>
      <c r="D6" s="33" t="s">
        <v>406</v>
      </c>
      <c r="E6" s="32" t="s">
        <v>1488</v>
      </c>
      <c r="F6" s="33" t="s">
        <v>1489</v>
      </c>
      <c r="G6" s="119" t="s">
        <v>43</v>
      </c>
      <c r="H6" s="117" t="s">
        <v>1490</v>
      </c>
      <c r="I6" s="36"/>
      <c r="J6" s="36"/>
      <c r="K6" s="36"/>
      <c r="L6" s="36"/>
      <c r="M6" s="36"/>
      <c r="N6" s="36"/>
      <c r="O6" s="36"/>
      <c r="P6" s="36"/>
      <c r="Q6" s="36"/>
      <c r="R6" s="36"/>
      <c r="S6" s="36"/>
      <c r="T6" s="36"/>
      <c r="U6" s="36"/>
      <c r="V6" s="36"/>
      <c r="W6" s="36"/>
      <c r="X6" s="36"/>
      <c r="Y6" s="36"/>
      <c r="Z6" s="36"/>
      <c r="AA6" s="36"/>
    </row>
    <row r="7" spans="1:27" ht="24" customHeight="1">
      <c r="A7" s="30" t="str">
        <f>HYPERLINK("https://www.funcionpublica.gov.co/eva/gestornormativo/norma.php?i=66182","LEY 73")</f>
        <v>LEY 73</v>
      </c>
      <c r="B7" s="286">
        <v>29217</v>
      </c>
      <c r="C7" s="32" t="s">
        <v>507</v>
      </c>
      <c r="D7" s="33" t="s">
        <v>1492</v>
      </c>
      <c r="E7" s="32" t="s">
        <v>41</v>
      </c>
      <c r="F7" s="64" t="s">
        <v>97</v>
      </c>
      <c r="G7" s="119" t="s">
        <v>43</v>
      </c>
      <c r="H7" s="117" t="s">
        <v>1490</v>
      </c>
      <c r="I7" s="36"/>
      <c r="J7" s="36"/>
      <c r="K7" s="36"/>
      <c r="L7" s="36"/>
      <c r="M7" s="36"/>
      <c r="N7" s="36"/>
      <c r="O7" s="36"/>
      <c r="P7" s="36"/>
      <c r="Q7" s="36"/>
      <c r="R7" s="36"/>
      <c r="S7" s="36"/>
      <c r="T7" s="36"/>
      <c r="U7" s="36"/>
      <c r="V7" s="36"/>
      <c r="W7" s="36"/>
      <c r="X7" s="36"/>
      <c r="Y7" s="36"/>
      <c r="Z7" s="36"/>
      <c r="AA7" s="36"/>
    </row>
    <row r="8" spans="1:27" ht="24" customHeight="1">
      <c r="A8" s="30" t="str">
        <f>HYPERLINK("https://www.icbf.gov.co/cargues/avance/docs/ley_0023_1981.htm","LEY 23")</f>
        <v>LEY 23</v>
      </c>
      <c r="B8" s="41">
        <v>29635</v>
      </c>
      <c r="C8" s="32" t="s">
        <v>507</v>
      </c>
      <c r="D8" s="33" t="s">
        <v>1493</v>
      </c>
      <c r="E8" s="32" t="s">
        <v>41</v>
      </c>
      <c r="F8" s="64" t="s">
        <v>97</v>
      </c>
      <c r="G8" s="119" t="s">
        <v>43</v>
      </c>
      <c r="H8" s="117" t="s">
        <v>1490</v>
      </c>
      <c r="I8" s="36"/>
      <c r="J8" s="36"/>
      <c r="K8" s="36"/>
      <c r="L8" s="36"/>
      <c r="M8" s="36"/>
      <c r="N8" s="36"/>
      <c r="O8" s="36"/>
      <c r="P8" s="36"/>
      <c r="Q8" s="36"/>
      <c r="R8" s="36"/>
      <c r="S8" s="36"/>
      <c r="T8" s="36"/>
      <c r="U8" s="36"/>
      <c r="V8" s="36"/>
      <c r="W8" s="36"/>
      <c r="X8" s="36"/>
      <c r="Y8" s="36"/>
      <c r="Z8" s="36"/>
      <c r="AA8" s="36"/>
    </row>
    <row r="9" spans="1:27" ht="24" customHeight="1">
      <c r="A9" s="42" t="s">
        <v>3000</v>
      </c>
      <c r="B9" s="41">
        <v>10919</v>
      </c>
      <c r="C9" s="32" t="s">
        <v>507</v>
      </c>
      <c r="D9" s="33" t="s">
        <v>3001</v>
      </c>
      <c r="E9" s="32" t="s">
        <v>41</v>
      </c>
      <c r="F9" s="64" t="s">
        <v>97</v>
      </c>
      <c r="G9" s="119"/>
      <c r="H9" s="117"/>
      <c r="I9" s="36"/>
      <c r="J9" s="36"/>
      <c r="K9" s="36"/>
      <c r="L9" s="36"/>
      <c r="M9" s="36"/>
      <c r="N9" s="36"/>
      <c r="O9" s="36"/>
      <c r="P9" s="36"/>
      <c r="Q9" s="36"/>
      <c r="R9" s="36"/>
      <c r="S9" s="36"/>
      <c r="T9" s="36"/>
      <c r="U9" s="36"/>
      <c r="V9" s="36"/>
      <c r="W9" s="36"/>
      <c r="X9" s="36"/>
      <c r="Y9" s="36"/>
      <c r="Z9" s="36"/>
      <c r="AA9" s="36"/>
    </row>
    <row r="10" spans="1:27" ht="24" customHeight="1">
      <c r="A10" s="70" t="s">
        <v>3002</v>
      </c>
      <c r="B10" s="286">
        <v>34032</v>
      </c>
      <c r="C10" s="32" t="s">
        <v>507</v>
      </c>
      <c r="D10" s="39" t="s">
        <v>3003</v>
      </c>
      <c r="E10" s="32" t="s">
        <v>41</v>
      </c>
      <c r="F10" s="64" t="s">
        <v>97</v>
      </c>
      <c r="G10" s="119"/>
      <c r="H10" s="117"/>
      <c r="I10" s="36"/>
      <c r="J10" s="36"/>
      <c r="K10" s="36"/>
      <c r="L10" s="36"/>
      <c r="M10" s="36"/>
      <c r="N10" s="36"/>
      <c r="O10" s="36"/>
      <c r="P10" s="36"/>
      <c r="Q10" s="36"/>
      <c r="R10" s="36"/>
      <c r="S10" s="36"/>
      <c r="T10" s="36"/>
      <c r="U10" s="36"/>
      <c r="V10" s="36"/>
      <c r="W10" s="36"/>
      <c r="X10" s="36"/>
      <c r="Y10" s="36"/>
      <c r="Z10" s="36"/>
      <c r="AA10" s="36"/>
    </row>
    <row r="11" spans="1:27" ht="24" customHeight="1">
      <c r="A11" s="30" t="str">
        <f>HYPERLINK("https://www.bogotajuridica.gov.co/sisjur/normas/Norma1.jsp?i=5248","LEY 100")</f>
        <v>LEY 100</v>
      </c>
      <c r="B11" s="286">
        <v>34326</v>
      </c>
      <c r="C11" s="32" t="s">
        <v>507</v>
      </c>
      <c r="D11" s="33" t="s">
        <v>1494</v>
      </c>
      <c r="E11" s="32" t="s">
        <v>41</v>
      </c>
      <c r="F11" s="64" t="s">
        <v>97</v>
      </c>
      <c r="G11" s="119" t="s">
        <v>43</v>
      </c>
      <c r="H11" s="117" t="s">
        <v>1490</v>
      </c>
      <c r="I11" s="36"/>
      <c r="J11" s="36"/>
      <c r="K11" s="36"/>
      <c r="L11" s="36"/>
      <c r="M11" s="36"/>
      <c r="N11" s="36"/>
      <c r="O11" s="36"/>
      <c r="P11" s="36"/>
      <c r="Q11" s="36"/>
      <c r="R11" s="36"/>
      <c r="S11" s="36"/>
      <c r="T11" s="36"/>
      <c r="U11" s="36"/>
      <c r="V11" s="36"/>
      <c r="W11" s="36"/>
      <c r="X11" s="36"/>
      <c r="Y11" s="36"/>
      <c r="Z11" s="36"/>
      <c r="AA11" s="36"/>
    </row>
    <row r="12" spans="1:27" ht="24" customHeight="1">
      <c r="A12" s="30" t="str">
        <f>HYPERLINK("http://www.secretariasenado.gov.co/senado/basedoc/ley_0115_1994.html","LEY 115")</f>
        <v>LEY 115</v>
      </c>
      <c r="B12" s="41">
        <v>34373</v>
      </c>
      <c r="C12" s="32" t="s">
        <v>507</v>
      </c>
      <c r="D12" s="33" t="s">
        <v>1496</v>
      </c>
      <c r="E12" s="32" t="s">
        <v>41</v>
      </c>
      <c r="F12" s="64" t="s">
        <v>97</v>
      </c>
      <c r="G12" s="119" t="s">
        <v>43</v>
      </c>
      <c r="H12" s="117" t="s">
        <v>1490</v>
      </c>
      <c r="I12" s="36"/>
      <c r="J12" s="36"/>
      <c r="K12" s="36"/>
      <c r="L12" s="36"/>
      <c r="M12" s="36"/>
      <c r="N12" s="36"/>
      <c r="O12" s="36"/>
      <c r="P12" s="36"/>
      <c r="Q12" s="36"/>
      <c r="R12" s="36"/>
      <c r="S12" s="36"/>
      <c r="T12" s="36"/>
      <c r="U12" s="36"/>
      <c r="V12" s="36"/>
      <c r="W12" s="36"/>
      <c r="X12" s="36"/>
      <c r="Y12" s="36"/>
      <c r="Z12" s="36"/>
      <c r="AA12" s="36"/>
    </row>
    <row r="13" spans="1:27" ht="73.5" customHeight="1">
      <c r="A13" s="30" t="str">
        <f>HYPERLINK("https://www.alcaldiabogota.gov.co/sisjur/normas/Norma1.jsp?i=3424","LEY 181")</f>
        <v>LEY 181</v>
      </c>
      <c r="B13" s="31">
        <v>34717</v>
      </c>
      <c r="C13" s="32" t="s">
        <v>39</v>
      </c>
      <c r="D13" s="39" t="s">
        <v>2916</v>
      </c>
      <c r="E13" s="32" t="s">
        <v>41</v>
      </c>
      <c r="F13" s="64" t="s">
        <v>97</v>
      </c>
      <c r="G13" s="119" t="s">
        <v>43</v>
      </c>
      <c r="H13" s="117" t="s">
        <v>1490</v>
      </c>
      <c r="I13" s="36"/>
      <c r="J13" s="36"/>
      <c r="K13" s="36"/>
      <c r="L13" s="36"/>
      <c r="M13" s="36"/>
      <c r="N13" s="36"/>
      <c r="O13" s="36"/>
      <c r="P13" s="36"/>
      <c r="Q13" s="36"/>
      <c r="R13" s="36"/>
      <c r="S13" s="36"/>
      <c r="T13" s="36"/>
      <c r="U13" s="36"/>
      <c r="V13" s="36"/>
      <c r="W13" s="36"/>
      <c r="X13" s="36"/>
      <c r="Y13" s="36"/>
      <c r="Z13" s="36"/>
      <c r="AA13" s="36"/>
    </row>
    <row r="14" spans="1:27" ht="24" customHeight="1">
      <c r="A14" s="30" t="str">
        <f>HYPERLINK("https://www.mineducacion.gov.co/1621/articles-105002_archivo_pdf.pdf","LEY 266")</f>
        <v>LEY 266</v>
      </c>
      <c r="B14" s="41">
        <v>35089</v>
      </c>
      <c r="C14" s="32" t="s">
        <v>507</v>
      </c>
      <c r="D14" s="33" t="s">
        <v>1499</v>
      </c>
      <c r="E14" s="32" t="s">
        <v>41</v>
      </c>
      <c r="F14" s="64" t="s">
        <v>97</v>
      </c>
      <c r="G14" s="119" t="s">
        <v>43</v>
      </c>
      <c r="H14" s="117" t="s">
        <v>1490</v>
      </c>
      <c r="I14" s="36"/>
      <c r="J14" s="36"/>
      <c r="K14" s="36"/>
      <c r="L14" s="36"/>
      <c r="M14" s="36"/>
      <c r="N14" s="36"/>
      <c r="O14" s="36"/>
      <c r="P14" s="36"/>
      <c r="Q14" s="36"/>
      <c r="R14" s="36"/>
      <c r="S14" s="36"/>
      <c r="T14" s="36"/>
      <c r="U14" s="36"/>
      <c r="V14" s="36"/>
      <c r="W14" s="36"/>
      <c r="X14" s="36"/>
      <c r="Y14" s="36"/>
      <c r="Z14" s="36"/>
      <c r="AA14" s="36"/>
    </row>
    <row r="15" spans="1:27" ht="24" customHeight="1">
      <c r="A15" s="30" t="str">
        <f>HYPERLINK("https://www.mineducacion.gov.co/1621/articles-105013_archivo_pdf.pdf","LEY 528")</f>
        <v>LEY 528</v>
      </c>
      <c r="B15" s="41">
        <v>36417</v>
      </c>
      <c r="C15" s="32" t="s">
        <v>507</v>
      </c>
      <c r="D15" s="33" t="s">
        <v>1501</v>
      </c>
      <c r="E15" s="32" t="s">
        <v>41</v>
      </c>
      <c r="F15" s="64" t="s">
        <v>97</v>
      </c>
      <c r="G15" s="119" t="s">
        <v>43</v>
      </c>
      <c r="H15" s="117" t="s">
        <v>1490</v>
      </c>
      <c r="I15" s="36"/>
      <c r="J15" s="36"/>
      <c r="K15" s="36"/>
      <c r="L15" s="36"/>
      <c r="M15" s="36"/>
      <c r="N15" s="36"/>
      <c r="O15" s="36"/>
      <c r="P15" s="36"/>
      <c r="Q15" s="36"/>
      <c r="R15" s="36"/>
      <c r="S15" s="36"/>
      <c r="T15" s="36"/>
      <c r="U15" s="36"/>
      <c r="V15" s="36"/>
      <c r="W15" s="36"/>
      <c r="X15" s="36"/>
      <c r="Y15" s="36"/>
      <c r="Z15" s="36"/>
      <c r="AA15" s="36"/>
    </row>
    <row r="16" spans="1:27" ht="36" customHeight="1">
      <c r="A16" s="30" t="str">
        <f>HYPERLINK("https://www.alcaldiabogota.gov.co/sisjur/normas/Norma1.jsp?i=4826&amp;dt=S","LEY 582 ")</f>
        <v xml:space="preserve">LEY 582 </v>
      </c>
      <c r="B16" s="41">
        <v>36685</v>
      </c>
      <c r="C16" s="32" t="s">
        <v>507</v>
      </c>
      <c r="D16" s="33" t="s">
        <v>1503</v>
      </c>
      <c r="E16" s="32" t="s">
        <v>41</v>
      </c>
      <c r="F16" s="64" t="s">
        <v>97</v>
      </c>
      <c r="G16" s="119" t="s">
        <v>43</v>
      </c>
      <c r="H16" s="117" t="s">
        <v>1490</v>
      </c>
      <c r="I16" s="36"/>
      <c r="J16" s="36"/>
      <c r="K16" s="36"/>
      <c r="L16" s="36"/>
      <c r="M16" s="36"/>
      <c r="N16" s="36"/>
      <c r="O16" s="36"/>
      <c r="P16" s="36"/>
      <c r="Q16" s="36"/>
      <c r="R16" s="36"/>
      <c r="S16" s="36"/>
      <c r="T16" s="36"/>
      <c r="U16" s="36"/>
      <c r="V16" s="36"/>
      <c r="W16" s="36"/>
      <c r="X16" s="36"/>
      <c r="Y16" s="36"/>
      <c r="Z16" s="36"/>
      <c r="AA16" s="36"/>
    </row>
    <row r="17" spans="1:27" ht="24" customHeight="1">
      <c r="A17" s="287" t="str">
        <f>HYPERLINK("https://www.funcionpublica.gov.co/eva/gestornormativo/norma.php?i=90141","LEY 1946")</f>
        <v>LEY 1946</v>
      </c>
      <c r="B17" s="127">
        <v>43469</v>
      </c>
      <c r="C17" s="51" t="s">
        <v>507</v>
      </c>
      <c r="D17" s="52" t="s">
        <v>1506</v>
      </c>
      <c r="E17" s="51" t="s">
        <v>41</v>
      </c>
      <c r="F17" s="249" t="s">
        <v>1507</v>
      </c>
      <c r="G17" s="200" t="s">
        <v>43</v>
      </c>
      <c r="H17" s="201" t="s">
        <v>1490</v>
      </c>
      <c r="I17" s="36"/>
      <c r="J17" s="36"/>
      <c r="K17" s="36"/>
      <c r="L17" s="36"/>
      <c r="M17" s="36"/>
      <c r="N17" s="36"/>
      <c r="O17" s="36"/>
      <c r="P17" s="36"/>
      <c r="Q17" s="36"/>
      <c r="R17" s="36"/>
      <c r="S17" s="36"/>
      <c r="T17" s="36"/>
      <c r="U17" s="36"/>
      <c r="V17" s="36"/>
      <c r="W17" s="36"/>
      <c r="X17" s="36"/>
      <c r="Y17" s="36"/>
      <c r="Z17" s="36"/>
      <c r="AA17" s="36"/>
    </row>
    <row r="18" spans="1:27" ht="36" customHeight="1">
      <c r="A18" s="30" t="str">
        <f>HYPERLINK("https://www.mineducacion.gov.co/1759/articles-105030_archivo_pdf.pdf","LEY 841")</f>
        <v>LEY 841</v>
      </c>
      <c r="B18" s="41">
        <v>37901</v>
      </c>
      <c r="C18" s="32" t="s">
        <v>507</v>
      </c>
      <c r="D18" s="33" t="s">
        <v>1509</v>
      </c>
      <c r="E18" s="32" t="s">
        <v>41</v>
      </c>
      <c r="F18" s="64" t="s">
        <v>97</v>
      </c>
      <c r="G18" s="119" t="s">
        <v>43</v>
      </c>
      <c r="H18" s="117" t="s">
        <v>1490</v>
      </c>
      <c r="I18" s="36"/>
      <c r="J18" s="36"/>
      <c r="K18" s="36"/>
      <c r="L18" s="36"/>
      <c r="M18" s="36"/>
      <c r="N18" s="36"/>
      <c r="O18" s="36"/>
      <c r="P18" s="36"/>
      <c r="Q18" s="36"/>
      <c r="R18" s="36"/>
      <c r="S18" s="36"/>
      <c r="T18" s="36"/>
      <c r="U18" s="36"/>
      <c r="V18" s="36"/>
      <c r="W18" s="36"/>
      <c r="X18" s="36"/>
      <c r="Y18" s="36"/>
      <c r="Z18" s="36"/>
      <c r="AA18" s="36"/>
    </row>
    <row r="19" spans="1:27" ht="24" customHeight="1">
      <c r="A19" s="30" t="str">
        <f>HYPERLINK("https://www.mineducacion.gov.co/1621/articles-85833_archivo_pdf.pdf","LEY 934")</f>
        <v>LEY 934</v>
      </c>
      <c r="B19" s="286">
        <v>38351</v>
      </c>
      <c r="C19" s="32" t="s">
        <v>507</v>
      </c>
      <c r="D19" s="33" t="s">
        <v>1511</v>
      </c>
      <c r="E19" s="32" t="s">
        <v>41</v>
      </c>
      <c r="F19" s="64" t="s">
        <v>97</v>
      </c>
      <c r="G19" s="119" t="s">
        <v>43</v>
      </c>
      <c r="H19" s="117" t="s">
        <v>1490</v>
      </c>
      <c r="I19" s="36"/>
      <c r="J19" s="36"/>
      <c r="K19" s="36"/>
      <c r="L19" s="36"/>
      <c r="M19" s="36"/>
      <c r="N19" s="36"/>
      <c r="O19" s="36"/>
      <c r="P19" s="36"/>
      <c r="Q19" s="36"/>
      <c r="R19" s="36"/>
      <c r="S19" s="36"/>
      <c r="T19" s="36"/>
      <c r="U19" s="36"/>
      <c r="V19" s="36"/>
      <c r="W19" s="36"/>
      <c r="X19" s="36"/>
      <c r="Y19" s="36"/>
      <c r="Z19" s="36"/>
      <c r="AA19" s="36"/>
    </row>
    <row r="20" spans="1:27" ht="24" customHeight="1">
      <c r="A20" s="30" t="str">
        <f>HYPERLINK("https://www.funcionpublica.gov.co/eva/gestornormativo/norma.php?i=66205","LEY 1090")</f>
        <v>LEY 1090</v>
      </c>
      <c r="B20" s="41">
        <v>38966</v>
      </c>
      <c r="C20" s="32" t="s">
        <v>507</v>
      </c>
      <c r="D20" s="33" t="s">
        <v>1513</v>
      </c>
      <c r="E20" s="32" t="s">
        <v>41</v>
      </c>
      <c r="F20" s="64" t="s">
        <v>97</v>
      </c>
      <c r="G20" s="119" t="s">
        <v>43</v>
      </c>
      <c r="H20" s="117" t="s">
        <v>1490</v>
      </c>
      <c r="I20" s="36"/>
      <c r="J20" s="36"/>
      <c r="K20" s="36"/>
      <c r="L20" s="36"/>
      <c r="M20" s="36"/>
      <c r="N20" s="36"/>
      <c r="O20" s="36"/>
      <c r="P20" s="36"/>
      <c r="Q20" s="36"/>
      <c r="R20" s="36"/>
      <c r="S20" s="36"/>
      <c r="T20" s="36"/>
      <c r="U20" s="36"/>
      <c r="V20" s="36"/>
      <c r="W20" s="36"/>
      <c r="X20" s="36"/>
      <c r="Y20" s="36"/>
      <c r="Z20" s="36"/>
      <c r="AA20" s="36"/>
    </row>
    <row r="21" spans="1:27" ht="204" customHeight="1">
      <c r="A21" s="30" t="str">
        <f>HYPERLINK("https://www.alcaldiabogota.gov.co/sisjur/normas/Norma1.jsp?i=22106","LEY 1098")</f>
        <v>LEY 1098</v>
      </c>
      <c r="B21" s="41">
        <v>39029</v>
      </c>
      <c r="C21" s="32" t="s">
        <v>507</v>
      </c>
      <c r="D21" s="33" t="s">
        <v>1514</v>
      </c>
      <c r="E21" s="32" t="s">
        <v>1515</v>
      </c>
      <c r="F21" s="33" t="s">
        <v>1516</v>
      </c>
      <c r="G21" s="119" t="s">
        <v>43</v>
      </c>
      <c r="H21" s="117" t="s">
        <v>1490</v>
      </c>
      <c r="I21" s="36"/>
      <c r="J21" s="36"/>
      <c r="K21" s="36"/>
      <c r="L21" s="36"/>
      <c r="M21" s="36"/>
      <c r="N21" s="36"/>
      <c r="O21" s="36"/>
      <c r="P21" s="36"/>
      <c r="Q21" s="36"/>
      <c r="R21" s="36"/>
      <c r="S21" s="36"/>
      <c r="T21" s="36"/>
      <c r="U21" s="36"/>
      <c r="V21" s="36"/>
      <c r="W21" s="36"/>
      <c r="X21" s="36"/>
      <c r="Y21" s="36"/>
      <c r="Z21" s="36"/>
      <c r="AA21" s="36"/>
    </row>
    <row r="22" spans="1:27" ht="24" customHeight="1">
      <c r="A22" s="30" t="str">
        <f>HYPERLINK("http://www.secretariasenado.gov.co/senado/basedoc/ley_1209_2008.html","LEY 1209")</f>
        <v>LEY 1209</v>
      </c>
      <c r="B22" s="41">
        <v>39643</v>
      </c>
      <c r="C22" s="32" t="s">
        <v>507</v>
      </c>
      <c r="D22" s="33" t="s">
        <v>51</v>
      </c>
      <c r="E22" s="32" t="s">
        <v>41</v>
      </c>
      <c r="F22" s="64" t="s">
        <v>97</v>
      </c>
      <c r="G22" s="119" t="s">
        <v>43</v>
      </c>
      <c r="H22" s="117" t="s">
        <v>1490</v>
      </c>
      <c r="I22" s="36"/>
      <c r="J22" s="36"/>
      <c r="K22" s="36"/>
      <c r="L22" s="36"/>
      <c r="M22" s="36"/>
      <c r="N22" s="36"/>
      <c r="O22" s="36"/>
      <c r="P22" s="36"/>
      <c r="Q22" s="36"/>
      <c r="R22" s="36"/>
      <c r="S22" s="36"/>
      <c r="T22" s="36"/>
      <c r="U22" s="36"/>
      <c r="V22" s="36"/>
      <c r="W22" s="36"/>
      <c r="X22" s="36"/>
      <c r="Y22" s="36"/>
      <c r="Z22" s="36"/>
      <c r="AA22" s="36"/>
    </row>
    <row r="23" spans="1:27" ht="48" customHeight="1">
      <c r="A23" s="269" t="str">
        <f>HYPERLINK("https://www.alcaldiabogota.gov.co/sisjur/normas/Norma1.jsp?i=37604&amp;dt=S","LEY 1355")</f>
        <v>LEY 1355</v>
      </c>
      <c r="B23" s="286">
        <v>40100</v>
      </c>
      <c r="C23" s="32" t="s">
        <v>507</v>
      </c>
      <c r="D23" s="33" t="s">
        <v>1519</v>
      </c>
      <c r="E23" s="32" t="s">
        <v>41</v>
      </c>
      <c r="F23" s="64" t="s">
        <v>97</v>
      </c>
      <c r="G23" s="119" t="s">
        <v>43</v>
      </c>
      <c r="H23" s="117" t="s">
        <v>1490</v>
      </c>
      <c r="I23" s="36"/>
      <c r="J23" s="36"/>
      <c r="K23" s="36"/>
      <c r="L23" s="36"/>
      <c r="M23" s="36"/>
      <c r="N23" s="36"/>
      <c r="O23" s="36"/>
      <c r="P23" s="36"/>
      <c r="Q23" s="36"/>
      <c r="R23" s="36"/>
      <c r="S23" s="36"/>
      <c r="T23" s="36"/>
      <c r="U23" s="36"/>
      <c r="V23" s="36"/>
      <c r="W23" s="36"/>
      <c r="X23" s="36"/>
      <c r="Y23" s="36"/>
      <c r="Z23" s="36"/>
      <c r="AA23" s="36"/>
    </row>
    <row r="24" spans="1:27" ht="48" customHeight="1">
      <c r="A24" s="30" t="str">
        <f>HYPERLINK("https://www.funcionpublica.gov.co/eva/gestornormativo/norma.php?i=45246","LEY 1493")</f>
        <v>LEY 1493</v>
      </c>
      <c r="B24" s="286">
        <v>40903</v>
      </c>
      <c r="C24" s="32" t="s">
        <v>507</v>
      </c>
      <c r="D24" s="33" t="s">
        <v>55</v>
      </c>
      <c r="E24" s="32" t="s">
        <v>41</v>
      </c>
      <c r="F24" s="64" t="s">
        <v>97</v>
      </c>
      <c r="G24" s="119" t="s">
        <v>43</v>
      </c>
      <c r="H24" s="117" t="s">
        <v>1490</v>
      </c>
      <c r="I24" s="36"/>
      <c r="J24" s="36"/>
      <c r="K24" s="36"/>
      <c r="L24" s="36"/>
      <c r="M24" s="36"/>
      <c r="N24" s="36"/>
      <c r="O24" s="36"/>
      <c r="P24" s="36"/>
      <c r="Q24" s="36"/>
      <c r="R24" s="36"/>
      <c r="S24" s="36"/>
      <c r="T24" s="36"/>
      <c r="U24" s="36"/>
      <c r="V24" s="36"/>
      <c r="W24" s="36"/>
      <c r="X24" s="36"/>
      <c r="Y24" s="36"/>
      <c r="Z24" s="36"/>
      <c r="AA24" s="36"/>
    </row>
    <row r="25" spans="1:27" ht="48" customHeight="1">
      <c r="A25" s="30" t="str">
        <f>HYPERLINK("https://www.funcionpublica.gov.co/eva/gestornormativo/norma.php?i=55616","LEY 1679")</f>
        <v>LEY 1679</v>
      </c>
      <c r="B25" s="286">
        <v>41598</v>
      </c>
      <c r="C25" s="32" t="s">
        <v>507</v>
      </c>
      <c r="D25" s="33" t="s">
        <v>1522</v>
      </c>
      <c r="E25" s="32" t="s">
        <v>41</v>
      </c>
      <c r="F25" s="64" t="s">
        <v>97</v>
      </c>
      <c r="G25" s="119" t="s">
        <v>43</v>
      </c>
      <c r="H25" s="117" t="s">
        <v>1490</v>
      </c>
      <c r="I25" s="36"/>
      <c r="J25" s="36"/>
      <c r="K25" s="36"/>
      <c r="L25" s="36"/>
      <c r="M25" s="36"/>
      <c r="N25" s="36"/>
      <c r="O25" s="36"/>
      <c r="P25" s="36"/>
      <c r="Q25" s="36"/>
      <c r="R25" s="36"/>
      <c r="S25" s="36"/>
      <c r="T25" s="36"/>
      <c r="U25" s="36"/>
      <c r="V25" s="36"/>
      <c r="W25" s="36"/>
      <c r="X25" s="36"/>
      <c r="Y25" s="36"/>
      <c r="Z25" s="36"/>
      <c r="AA25" s="36"/>
    </row>
    <row r="26" spans="1:27" ht="36" customHeight="1">
      <c r="A26" s="43" t="str">
        <f>HYPERLINK("https://www.alcaldiabogota.gov.co/sisjur/normas/Norma1.jsp?i=66661","LEY 1801")</f>
        <v>LEY 1801</v>
      </c>
      <c r="B26" s="286">
        <v>42580</v>
      </c>
      <c r="C26" s="32" t="s">
        <v>507</v>
      </c>
      <c r="D26" s="33" t="s">
        <v>2917</v>
      </c>
      <c r="E26" s="32" t="s">
        <v>41</v>
      </c>
      <c r="F26" s="64" t="s">
        <v>97</v>
      </c>
      <c r="G26" s="119"/>
      <c r="H26" s="117"/>
      <c r="I26" s="36"/>
      <c r="J26" s="36"/>
      <c r="K26" s="36"/>
      <c r="L26" s="36"/>
      <c r="M26" s="36"/>
      <c r="N26" s="36"/>
      <c r="O26" s="36"/>
      <c r="P26" s="36"/>
      <c r="Q26" s="36"/>
      <c r="R26" s="36"/>
      <c r="S26" s="36"/>
      <c r="T26" s="36"/>
      <c r="U26" s="36"/>
      <c r="V26" s="36"/>
      <c r="W26" s="36"/>
      <c r="X26" s="36"/>
      <c r="Y26" s="36"/>
      <c r="Z26" s="36"/>
      <c r="AA26" s="36"/>
    </row>
    <row r="27" spans="1:27" ht="36" customHeight="1">
      <c r="A27" s="43" t="str">
        <f>HYPERLINK("https://www.funcionpublica.gov.co/eva/gestornormativo/norma.php?i=97210","LEY 1967")</f>
        <v>LEY 1967</v>
      </c>
      <c r="B27" s="286">
        <v>43657</v>
      </c>
      <c r="C27" s="32" t="s">
        <v>2918</v>
      </c>
      <c r="D27" s="33" t="s">
        <v>2919</v>
      </c>
      <c r="E27" s="32" t="s">
        <v>41</v>
      </c>
      <c r="F27" s="64" t="s">
        <v>97</v>
      </c>
      <c r="G27" s="119"/>
      <c r="H27" s="117"/>
      <c r="I27" s="36"/>
      <c r="J27" s="36"/>
      <c r="K27" s="36"/>
      <c r="L27" s="36"/>
      <c r="M27" s="36"/>
      <c r="N27" s="36"/>
      <c r="O27" s="36"/>
      <c r="P27" s="36"/>
      <c r="Q27" s="36"/>
      <c r="R27" s="36"/>
      <c r="S27" s="36"/>
      <c r="T27" s="36"/>
      <c r="U27" s="36"/>
      <c r="V27" s="36"/>
      <c r="W27" s="36"/>
      <c r="X27" s="36"/>
      <c r="Y27" s="36"/>
      <c r="Z27" s="36"/>
      <c r="AA27" s="36"/>
    </row>
    <row r="28" spans="1:27" ht="36" customHeight="1">
      <c r="A28" s="30" t="str">
        <f>HYPERLINK("https://www.mineducacion.gov.co/1621/articles-102758_archivo_pdf.pdf","DECRETO  1191")</f>
        <v>DECRETO  1191</v>
      </c>
      <c r="B28" s="41">
        <v>28667</v>
      </c>
      <c r="C28" s="32" t="s">
        <v>1524</v>
      </c>
      <c r="D28" s="33" t="s">
        <v>1525</v>
      </c>
      <c r="E28" s="32" t="s">
        <v>41</v>
      </c>
      <c r="F28" s="64" t="s">
        <v>97</v>
      </c>
      <c r="G28" s="119" t="s">
        <v>43</v>
      </c>
      <c r="H28" s="117" t="s">
        <v>1490</v>
      </c>
      <c r="I28" s="36"/>
      <c r="J28" s="36"/>
      <c r="K28" s="36"/>
      <c r="L28" s="36"/>
      <c r="M28" s="36"/>
      <c r="N28" s="36"/>
      <c r="O28" s="36"/>
      <c r="P28" s="36"/>
      <c r="Q28" s="36"/>
      <c r="R28" s="36"/>
      <c r="S28" s="36"/>
      <c r="T28" s="36"/>
      <c r="U28" s="36"/>
      <c r="V28" s="36"/>
      <c r="W28" s="36"/>
      <c r="X28" s="36"/>
      <c r="Y28" s="36"/>
      <c r="Z28" s="36"/>
      <c r="AA28" s="36"/>
    </row>
    <row r="29" spans="1:27" ht="24" customHeight="1">
      <c r="A29" s="43" t="str">
        <f>HYPERLINK("http://www.suin-juriscol.gov.co/viewDocument.asp?id=1421468","DECRETO 2225")</f>
        <v>DECRETO 2225</v>
      </c>
      <c r="B29" s="32">
        <v>1985</v>
      </c>
      <c r="C29" s="32" t="s">
        <v>57</v>
      </c>
      <c r="D29" s="33" t="s">
        <v>1527</v>
      </c>
      <c r="E29" s="32" t="s">
        <v>41</v>
      </c>
      <c r="F29" s="64" t="s">
        <v>97</v>
      </c>
      <c r="G29" s="119" t="s">
        <v>43</v>
      </c>
      <c r="H29" s="117" t="s">
        <v>1490</v>
      </c>
      <c r="I29" s="36"/>
      <c r="J29" s="36"/>
      <c r="K29" s="36"/>
      <c r="L29" s="36"/>
      <c r="M29" s="36"/>
      <c r="N29" s="36"/>
      <c r="O29" s="36"/>
      <c r="P29" s="36"/>
      <c r="Q29" s="36"/>
      <c r="R29" s="36"/>
      <c r="S29" s="36"/>
      <c r="T29" s="36"/>
      <c r="U29" s="36"/>
      <c r="V29" s="36"/>
      <c r="W29" s="36"/>
      <c r="X29" s="36"/>
      <c r="Y29" s="36"/>
      <c r="Z29" s="36"/>
      <c r="AA29" s="36"/>
    </row>
    <row r="30" spans="1:27" ht="24" customHeight="1">
      <c r="A30" s="30" t="str">
        <f>HYPERLINK("https://www.mineducacion.gov.co/1621/articles-86240_archivo_pdf.pdf","DECRETO 1860")</f>
        <v>DECRETO 1860</v>
      </c>
      <c r="B30" s="41">
        <v>34549</v>
      </c>
      <c r="C30" s="32" t="s">
        <v>57</v>
      </c>
      <c r="D30" s="33" t="s">
        <v>1528</v>
      </c>
      <c r="E30" s="32" t="s">
        <v>41</v>
      </c>
      <c r="F30" s="64" t="s">
        <v>97</v>
      </c>
      <c r="G30" s="119" t="s">
        <v>43</v>
      </c>
      <c r="H30" s="117" t="s">
        <v>1490</v>
      </c>
      <c r="I30" s="36"/>
      <c r="J30" s="36"/>
      <c r="K30" s="36"/>
      <c r="L30" s="36"/>
      <c r="M30" s="36"/>
      <c r="N30" s="36"/>
      <c r="O30" s="36"/>
      <c r="P30" s="36"/>
      <c r="Q30" s="36"/>
      <c r="R30" s="36"/>
      <c r="S30" s="36"/>
      <c r="T30" s="36"/>
      <c r="U30" s="36"/>
      <c r="V30" s="36"/>
      <c r="W30" s="36"/>
      <c r="X30" s="36"/>
      <c r="Y30" s="36"/>
      <c r="Z30" s="36"/>
      <c r="AA30" s="36"/>
    </row>
    <row r="31" spans="1:27" ht="36" customHeight="1">
      <c r="A31" s="30" t="str">
        <f>HYPERLINK("https://www.alcaldiabogota.gov.co/sisjur/normas/Norma1.jsp?i=1485&amp;dt=S","DECRETO 1228")</f>
        <v>DECRETO 1228</v>
      </c>
      <c r="B31" s="41">
        <v>34898</v>
      </c>
      <c r="C31" s="32" t="s">
        <v>57</v>
      </c>
      <c r="D31" s="33" t="s">
        <v>1530</v>
      </c>
      <c r="E31" s="32" t="s">
        <v>41</v>
      </c>
      <c r="F31" s="64" t="s">
        <v>97</v>
      </c>
      <c r="G31" s="119" t="s">
        <v>43</v>
      </c>
      <c r="H31" s="117" t="s">
        <v>1490</v>
      </c>
      <c r="I31" s="36"/>
      <c r="J31" s="36"/>
      <c r="K31" s="36"/>
      <c r="L31" s="36"/>
      <c r="M31" s="36"/>
      <c r="N31" s="36"/>
      <c r="O31" s="36"/>
      <c r="P31" s="36"/>
      <c r="Q31" s="36"/>
      <c r="R31" s="36"/>
      <c r="S31" s="36"/>
      <c r="T31" s="36"/>
      <c r="U31" s="36"/>
      <c r="V31" s="36"/>
      <c r="W31" s="36"/>
      <c r="X31" s="36"/>
      <c r="Y31" s="36"/>
      <c r="Z31" s="36"/>
      <c r="AA31" s="36"/>
    </row>
    <row r="32" spans="1:27" ht="36" customHeight="1">
      <c r="A32" s="30" t="str">
        <f>HYPERLINK("http://www.secretariasenado.gov.co/senado/basedoc/decreto_1231_1995.html","DECRETO 1231")</f>
        <v>DECRETO 1231</v>
      </c>
      <c r="B32" s="41">
        <v>34898</v>
      </c>
      <c r="C32" s="32" t="s">
        <v>1524</v>
      </c>
      <c r="D32" s="33" t="s">
        <v>1532</v>
      </c>
      <c r="E32" s="32" t="s">
        <v>41</v>
      </c>
      <c r="F32" s="64" t="s">
        <v>97</v>
      </c>
      <c r="G32" s="119" t="s">
        <v>43</v>
      </c>
      <c r="H32" s="117" t="s">
        <v>1490</v>
      </c>
      <c r="I32" s="36"/>
      <c r="J32" s="36"/>
      <c r="K32" s="36"/>
      <c r="L32" s="36"/>
      <c r="M32" s="36"/>
      <c r="N32" s="36"/>
      <c r="O32" s="36"/>
      <c r="P32" s="36"/>
      <c r="Q32" s="36"/>
      <c r="R32" s="36"/>
      <c r="S32" s="36"/>
      <c r="T32" s="36"/>
      <c r="U32" s="36"/>
      <c r="V32" s="36"/>
      <c r="W32" s="36"/>
      <c r="X32" s="36"/>
      <c r="Y32" s="36"/>
      <c r="Z32" s="36"/>
      <c r="AA32" s="36"/>
    </row>
    <row r="33" spans="1:27" ht="36" customHeight="1">
      <c r="A33" s="30" t="str">
        <f>HYPERLINK("https://www.alcaldiabogota.gov.co/sisjur/normas/Norma1.jsp?i=10966&amp;dt=S","DECRETO 463")</f>
        <v>DECRETO 463</v>
      </c>
      <c r="B33" s="286">
        <v>37977</v>
      </c>
      <c r="C33" s="32" t="s">
        <v>61</v>
      </c>
      <c r="D33" s="33" t="s">
        <v>1536</v>
      </c>
      <c r="E33" s="32" t="s">
        <v>41</v>
      </c>
      <c r="F33" s="64" t="s">
        <v>97</v>
      </c>
      <c r="G33" s="119" t="s">
        <v>43</v>
      </c>
      <c r="H33" s="117" t="s">
        <v>1490</v>
      </c>
      <c r="I33" s="36"/>
      <c r="J33" s="36"/>
      <c r="K33" s="36"/>
      <c r="L33" s="36"/>
      <c r="M33" s="36"/>
      <c r="N33" s="36"/>
      <c r="O33" s="36"/>
      <c r="P33" s="36"/>
      <c r="Q33" s="36"/>
      <c r="R33" s="36"/>
      <c r="S33" s="36"/>
      <c r="T33" s="36"/>
      <c r="U33" s="36"/>
      <c r="V33" s="36"/>
      <c r="W33" s="36"/>
      <c r="X33" s="36"/>
      <c r="Y33" s="36"/>
      <c r="Z33" s="36"/>
      <c r="AA33" s="36"/>
    </row>
    <row r="34" spans="1:27" ht="24" customHeight="1">
      <c r="A34" s="30" t="str">
        <f>HYPERLINK("https://www.alcaldiabogota.gov.co/sisjur/normas/Norma1.jsp?i=7594&amp;dt=S","DECRETO 933")</f>
        <v>DECRETO 933</v>
      </c>
      <c r="B34" s="41">
        <v>37722</v>
      </c>
      <c r="C34" s="32" t="s">
        <v>57</v>
      </c>
      <c r="D34" s="33" t="s">
        <v>1538</v>
      </c>
      <c r="E34" s="32" t="s">
        <v>41</v>
      </c>
      <c r="F34" s="64" t="s">
        <v>97</v>
      </c>
      <c r="G34" s="119" t="s">
        <v>43</v>
      </c>
      <c r="H34" s="117" t="s">
        <v>1490</v>
      </c>
      <c r="I34" s="241"/>
      <c r="J34" s="36"/>
      <c r="K34" s="36"/>
      <c r="L34" s="36"/>
      <c r="M34" s="36"/>
      <c r="N34" s="36"/>
      <c r="O34" s="36"/>
      <c r="P34" s="36"/>
      <c r="Q34" s="36"/>
      <c r="R34" s="36"/>
      <c r="S34" s="36"/>
      <c r="T34" s="36"/>
      <c r="U34" s="36"/>
      <c r="V34" s="36"/>
      <c r="W34" s="36"/>
      <c r="X34" s="36"/>
      <c r="Y34" s="36"/>
      <c r="Z34" s="36"/>
      <c r="AA34" s="36"/>
    </row>
    <row r="35" spans="1:27" ht="24" customHeight="1">
      <c r="A35" s="30" t="str">
        <f>HYPERLINK("https://www.alcaldiabogota.gov.co/sisjur/normas/Norma1.jsp?i=22240","DECRETO 482")</f>
        <v>DECRETO 482</v>
      </c>
      <c r="B35" s="286">
        <v>39048</v>
      </c>
      <c r="C35" s="32" t="s">
        <v>61</v>
      </c>
      <c r="D35" s="33" t="s">
        <v>1540</v>
      </c>
      <c r="E35" s="32" t="s">
        <v>41</v>
      </c>
      <c r="F35" s="64" t="s">
        <v>97</v>
      </c>
      <c r="G35" s="119" t="s">
        <v>43</v>
      </c>
      <c r="H35" s="117" t="s">
        <v>1490</v>
      </c>
      <c r="I35" s="242"/>
      <c r="J35" s="36"/>
      <c r="K35" s="36"/>
      <c r="L35" s="36"/>
      <c r="M35" s="36"/>
      <c r="N35" s="36"/>
      <c r="O35" s="36"/>
      <c r="P35" s="36"/>
      <c r="Q35" s="36"/>
      <c r="R35" s="36"/>
      <c r="S35" s="36"/>
      <c r="T35" s="36"/>
      <c r="U35" s="36"/>
      <c r="V35" s="36"/>
      <c r="W35" s="36"/>
      <c r="X35" s="36"/>
      <c r="Y35" s="36"/>
      <c r="Z35" s="36"/>
      <c r="AA35" s="36"/>
    </row>
    <row r="36" spans="1:27" ht="36" customHeight="1">
      <c r="A36" s="30" t="str">
        <f>HYPERLINK("https://www.alcaldiabogota.gov.co/sisjur/normas/Norma1.jsp?i=28152&amp;dt=S","DECRETO 633")</f>
        <v>DECRETO 633</v>
      </c>
      <c r="B36" s="286">
        <v>39444</v>
      </c>
      <c r="C36" s="32" t="s">
        <v>61</v>
      </c>
      <c r="D36" s="33" t="s">
        <v>1542</v>
      </c>
      <c r="E36" s="32" t="s">
        <v>41</v>
      </c>
      <c r="F36" s="64" t="s">
        <v>97</v>
      </c>
      <c r="G36" s="119" t="s">
        <v>43</v>
      </c>
      <c r="H36" s="117" t="s">
        <v>1490</v>
      </c>
      <c r="I36" s="241"/>
      <c r="J36" s="36"/>
      <c r="K36" s="36"/>
      <c r="L36" s="36"/>
      <c r="M36" s="36"/>
      <c r="N36" s="36"/>
      <c r="O36" s="36"/>
      <c r="P36" s="36"/>
      <c r="Q36" s="36"/>
      <c r="R36" s="36"/>
      <c r="S36" s="36"/>
      <c r="T36" s="36"/>
      <c r="U36" s="36"/>
      <c r="V36" s="36"/>
      <c r="W36" s="36"/>
      <c r="X36" s="36"/>
      <c r="Y36" s="36"/>
      <c r="Z36" s="36"/>
      <c r="AA36" s="36"/>
    </row>
    <row r="37" spans="1:27" ht="24" customHeight="1">
      <c r="A37" s="43" t="str">
        <f>HYPERLINK("http://legal.legis.com.co/document/Index?obra=legcol&amp;document=legcol_b3f1d94225d74478beb406a266b5cbd9","DECRETRO 593")</f>
        <v>DECRETRO 593</v>
      </c>
      <c r="B37" s="286">
        <v>43010</v>
      </c>
      <c r="C37" s="32" t="s">
        <v>61</v>
      </c>
      <c r="D37" s="39" t="s">
        <v>2920</v>
      </c>
      <c r="E37" s="32" t="s">
        <v>41</v>
      </c>
      <c r="F37" s="64" t="s">
        <v>97</v>
      </c>
      <c r="G37" s="119" t="s">
        <v>43</v>
      </c>
      <c r="H37" s="117" t="s">
        <v>1490</v>
      </c>
      <c r="I37" s="241"/>
      <c r="J37" s="36"/>
      <c r="K37" s="36"/>
      <c r="L37" s="36"/>
      <c r="M37" s="36"/>
      <c r="N37" s="36"/>
      <c r="O37" s="36"/>
      <c r="P37" s="36"/>
      <c r="Q37" s="36"/>
      <c r="R37" s="36"/>
      <c r="S37" s="36"/>
      <c r="T37" s="36"/>
      <c r="U37" s="36"/>
      <c r="V37" s="36"/>
      <c r="W37" s="36"/>
      <c r="X37" s="36"/>
      <c r="Y37" s="36"/>
      <c r="Z37" s="36"/>
      <c r="AA37" s="36"/>
    </row>
    <row r="38" spans="1:27" ht="36" customHeight="1">
      <c r="A38" s="30" t="str">
        <f>HYPERLINK("https://www.alcaldiabogota.gov.co/sisjur/normas/Norma1.jsp?i=31692&amp;dt=S","DECRETO 2771")</f>
        <v>DECRETO 2771</v>
      </c>
      <c r="B38" s="41">
        <v>39659</v>
      </c>
      <c r="C38" s="32" t="s">
        <v>1546</v>
      </c>
      <c r="D38" s="33" t="s">
        <v>1547</v>
      </c>
      <c r="E38" s="32" t="s">
        <v>41</v>
      </c>
      <c r="F38" s="64" t="s">
        <v>97</v>
      </c>
      <c r="G38" s="119" t="s">
        <v>43</v>
      </c>
      <c r="H38" s="117" t="s">
        <v>1490</v>
      </c>
      <c r="I38" s="36"/>
      <c r="J38" s="36"/>
      <c r="K38" s="36"/>
      <c r="L38" s="36"/>
      <c r="M38" s="36"/>
      <c r="N38" s="36"/>
      <c r="O38" s="36"/>
      <c r="P38" s="36"/>
      <c r="Q38" s="36"/>
      <c r="R38" s="36"/>
      <c r="S38" s="36"/>
      <c r="T38" s="36"/>
      <c r="U38" s="36"/>
      <c r="V38" s="36"/>
      <c r="W38" s="36"/>
      <c r="X38" s="36"/>
      <c r="Y38" s="36"/>
      <c r="Z38" s="36"/>
      <c r="AA38" s="36"/>
    </row>
    <row r="39" spans="1:27" ht="72" customHeight="1">
      <c r="A39" s="30" t="str">
        <f>HYPERLINK("https://www.alcaldiabogota.gov.co/sisjur/normas/Norma1.jsp?i=56034","DECRETO 599")</f>
        <v>DECRETO 599</v>
      </c>
      <c r="B39" s="286">
        <v>41634</v>
      </c>
      <c r="C39" s="32" t="s">
        <v>61</v>
      </c>
      <c r="D39" s="33" t="s">
        <v>1549</v>
      </c>
      <c r="E39" s="32" t="s">
        <v>41</v>
      </c>
      <c r="F39" s="64" t="s">
        <v>97</v>
      </c>
      <c r="G39" s="119" t="s">
        <v>43</v>
      </c>
      <c r="H39" s="117" t="s">
        <v>1490</v>
      </c>
      <c r="I39" s="36"/>
      <c r="J39" s="36"/>
      <c r="K39" s="36"/>
      <c r="L39" s="36"/>
      <c r="M39" s="36"/>
      <c r="N39" s="36"/>
      <c r="O39" s="241"/>
      <c r="P39" s="36"/>
      <c r="Q39" s="241"/>
      <c r="R39" s="36"/>
      <c r="S39" s="36"/>
      <c r="T39" s="36"/>
      <c r="U39" s="36"/>
      <c r="V39" s="36"/>
      <c r="W39" s="36"/>
      <c r="X39" s="36"/>
      <c r="Y39" s="36"/>
      <c r="Z39" s="36"/>
      <c r="AA39" s="36"/>
    </row>
    <row r="40" spans="1:27" ht="24" customHeight="1">
      <c r="A40" s="30" t="str">
        <f>HYPERLINK("https://www.funcionpublica.gov.co/eva/gestornormativo/norma.php?i=60473","DECRETO 55")</f>
        <v>DECRETO 55</v>
      </c>
      <c r="B40" s="41">
        <v>42018</v>
      </c>
      <c r="C40" s="32" t="s">
        <v>57</v>
      </c>
      <c r="D40" s="33" t="s">
        <v>1551</v>
      </c>
      <c r="E40" s="32" t="s">
        <v>41</v>
      </c>
      <c r="F40" s="64" t="s">
        <v>97</v>
      </c>
      <c r="G40" s="119" t="s">
        <v>43</v>
      </c>
      <c r="H40" s="117" t="s">
        <v>1490</v>
      </c>
      <c r="I40" s="36"/>
      <c r="J40" s="36"/>
      <c r="K40" s="36"/>
      <c r="L40" s="36"/>
      <c r="M40" s="36"/>
      <c r="N40" s="36"/>
      <c r="O40" s="36"/>
      <c r="P40" s="36"/>
      <c r="Q40" s="36"/>
      <c r="R40" s="36"/>
      <c r="S40" s="36"/>
      <c r="T40" s="36"/>
      <c r="U40" s="36"/>
      <c r="V40" s="36"/>
      <c r="W40" s="36"/>
      <c r="X40" s="36"/>
      <c r="Y40" s="36"/>
      <c r="Z40" s="36"/>
      <c r="AA40" s="36"/>
    </row>
    <row r="41" spans="1:27" ht="84" customHeight="1">
      <c r="A41" s="30" t="str">
        <f>HYPERLINK("https://www.alcaldiabogota.gov.co/sisjur/normas/Norma1.jsp?i=67805","DECRETO 622")</f>
        <v>DECRETO 622</v>
      </c>
      <c r="B41" s="286">
        <v>42727</v>
      </c>
      <c r="C41" s="32" t="s">
        <v>61</v>
      </c>
      <c r="D41" s="33" t="s">
        <v>1552</v>
      </c>
      <c r="E41" s="32" t="s">
        <v>41</v>
      </c>
      <c r="F41" s="64" t="s">
        <v>97</v>
      </c>
      <c r="G41" s="119" t="s">
        <v>43</v>
      </c>
      <c r="H41" s="117" t="s">
        <v>1490</v>
      </c>
      <c r="I41" s="36"/>
      <c r="J41" s="36"/>
      <c r="K41" s="36"/>
      <c r="L41" s="36"/>
      <c r="M41" s="36"/>
      <c r="N41" s="36"/>
      <c r="O41" s="36"/>
      <c r="P41" s="36"/>
      <c r="Q41" s="36"/>
      <c r="R41" s="36"/>
      <c r="S41" s="36"/>
      <c r="T41" s="36"/>
      <c r="U41" s="36"/>
      <c r="V41" s="36"/>
      <c r="W41" s="36"/>
      <c r="X41" s="36"/>
      <c r="Y41" s="36"/>
      <c r="Z41" s="36"/>
      <c r="AA41" s="36"/>
    </row>
    <row r="42" spans="1:27" ht="72" customHeight="1">
      <c r="A42" s="30" t="str">
        <f>HYPERLINK("https://www.funcionpublica.gov.co/eva/gestornormativo/norma.php?i=69094","DECRETO 642")</f>
        <v>DECRETO 642</v>
      </c>
      <c r="B42" s="41">
        <v>42478</v>
      </c>
      <c r="C42" s="32" t="s">
        <v>57</v>
      </c>
      <c r="D42" s="33" t="s">
        <v>1554</v>
      </c>
      <c r="E42" s="32" t="s">
        <v>41</v>
      </c>
      <c r="F42" s="64" t="s">
        <v>97</v>
      </c>
      <c r="G42" s="119" t="s">
        <v>43</v>
      </c>
      <c r="H42" s="117" t="s">
        <v>1490</v>
      </c>
      <c r="I42" s="36"/>
      <c r="J42" s="36"/>
      <c r="K42" s="36"/>
      <c r="L42" s="36"/>
      <c r="M42" s="36"/>
      <c r="N42" s="36"/>
      <c r="O42" s="36"/>
      <c r="P42" s="36"/>
      <c r="Q42" s="36"/>
      <c r="R42" s="36"/>
      <c r="S42" s="36"/>
      <c r="T42" s="36"/>
      <c r="U42" s="36"/>
      <c r="V42" s="36"/>
      <c r="W42" s="36"/>
      <c r="X42" s="36"/>
      <c r="Y42" s="36"/>
      <c r="Z42" s="36"/>
      <c r="AA42" s="36"/>
    </row>
    <row r="43" spans="1:27" ht="30" customHeight="1">
      <c r="A43" s="30" t="str">
        <f>HYPERLINK("https://www.alcaldiabogota.gov.co/sisjur/normas/Norma1.jsp?i=72265&amp;dt=S","DECRETO 567")</f>
        <v>DECRETO 567</v>
      </c>
      <c r="B43" s="286">
        <v>43028</v>
      </c>
      <c r="C43" s="32" t="s">
        <v>61</v>
      </c>
      <c r="D43" s="33" t="s">
        <v>1556</v>
      </c>
      <c r="E43" s="32" t="s">
        <v>41</v>
      </c>
      <c r="F43" s="64" t="s">
        <v>97</v>
      </c>
      <c r="G43" s="119" t="s">
        <v>43</v>
      </c>
      <c r="H43" s="117" t="s">
        <v>1490</v>
      </c>
      <c r="I43" s="36"/>
      <c r="J43" s="36"/>
      <c r="K43" s="36"/>
      <c r="L43" s="36"/>
      <c r="M43" s="36"/>
      <c r="N43" s="36"/>
      <c r="O43" s="36"/>
      <c r="P43" s="36"/>
      <c r="Q43" s="36"/>
      <c r="R43" s="36"/>
      <c r="S43" s="36"/>
      <c r="T43" s="36"/>
      <c r="U43" s="36"/>
      <c r="V43" s="36"/>
      <c r="W43" s="36"/>
      <c r="X43" s="36"/>
      <c r="Y43" s="36"/>
      <c r="Z43" s="36"/>
      <c r="AA43" s="36"/>
    </row>
    <row r="44" spans="1:27" ht="36" customHeight="1">
      <c r="A44" s="30" t="str">
        <f>HYPERLINK("http://legal.legis.com.co/document/Index?obra=legcol&amp;document=legcol_f62fe41f45f7464b96636dd965d07923","DECRETO 153")</f>
        <v>DECRETO 153</v>
      </c>
      <c r="B44" s="286">
        <v>43175</v>
      </c>
      <c r="C44" s="32" t="s">
        <v>61</v>
      </c>
      <c r="D44" s="39" t="s">
        <v>2921</v>
      </c>
      <c r="E44" s="32" t="s">
        <v>41</v>
      </c>
      <c r="F44" s="64" t="s">
        <v>97</v>
      </c>
      <c r="G44" s="119"/>
      <c r="H44" s="117"/>
      <c r="I44" s="36"/>
      <c r="J44" s="36"/>
      <c r="K44" s="36"/>
      <c r="L44" s="36"/>
      <c r="M44" s="36"/>
      <c r="N44" s="36"/>
      <c r="O44" s="36"/>
      <c r="P44" s="36"/>
      <c r="Q44" s="36"/>
      <c r="R44" s="36"/>
      <c r="S44" s="36"/>
      <c r="T44" s="36"/>
      <c r="U44" s="36"/>
      <c r="V44" s="36"/>
      <c r="W44" s="36"/>
      <c r="X44" s="36"/>
      <c r="Y44" s="36"/>
      <c r="Z44" s="36"/>
      <c r="AA44" s="36"/>
    </row>
    <row r="45" spans="1:27" ht="48" customHeight="1">
      <c r="A45" s="30" t="str">
        <f>HYPERLINK("https://www.alcaldiabogota.gov.co/sisjur/normas/Norma1.jsp?i=64248&amp;dt=S","Decreto 597")</f>
        <v>Decreto 597</v>
      </c>
      <c r="B45" s="286">
        <v>42368</v>
      </c>
      <c r="C45" s="32" t="s">
        <v>1558</v>
      </c>
      <c r="D45" s="33" t="s">
        <v>1561</v>
      </c>
      <c r="E45" s="32" t="s">
        <v>41</v>
      </c>
      <c r="F45" s="64" t="s">
        <v>97</v>
      </c>
      <c r="G45" s="119" t="s">
        <v>43</v>
      </c>
      <c r="H45" s="117" t="s">
        <v>1490</v>
      </c>
      <c r="I45" s="36"/>
      <c r="J45" s="36"/>
      <c r="K45" s="36"/>
      <c r="L45" s="36"/>
      <c r="M45" s="36"/>
      <c r="N45" s="36"/>
      <c r="O45" s="36"/>
      <c r="P45" s="36"/>
      <c r="Q45" s="36"/>
      <c r="R45" s="36"/>
      <c r="S45" s="36"/>
      <c r="T45" s="36"/>
      <c r="U45" s="36"/>
      <c r="V45" s="36"/>
      <c r="W45" s="36"/>
      <c r="X45" s="36"/>
      <c r="Y45" s="36"/>
      <c r="Z45" s="36"/>
      <c r="AA45" s="36"/>
    </row>
    <row r="46" spans="1:27" ht="36" customHeight="1">
      <c r="A46" s="43" t="str">
        <f>HYPERLINK("https://www.alcaldiabogota.gov.co/sisjur/normas/Norma1.jsp?i=81080&amp;dt=S","Decreto 557 ")</f>
        <v xml:space="preserve">Decreto 557 </v>
      </c>
      <c r="B46" s="41">
        <v>43370</v>
      </c>
      <c r="C46" s="32" t="s">
        <v>1558</v>
      </c>
      <c r="D46" s="33" t="s">
        <v>1563</v>
      </c>
      <c r="E46" s="32" t="s">
        <v>41</v>
      </c>
      <c r="F46" s="64" t="s">
        <v>97</v>
      </c>
      <c r="G46" s="119" t="s">
        <v>43</v>
      </c>
      <c r="H46" s="117" t="s">
        <v>1490</v>
      </c>
      <c r="I46" s="36"/>
      <c r="J46" s="36"/>
      <c r="K46" s="36"/>
      <c r="L46" s="36"/>
      <c r="M46" s="36"/>
      <c r="N46" s="36"/>
      <c r="O46" s="36"/>
      <c r="P46" s="36"/>
      <c r="Q46" s="36"/>
      <c r="R46" s="36"/>
      <c r="S46" s="36"/>
      <c r="T46" s="36"/>
      <c r="U46" s="36"/>
      <c r="V46" s="36"/>
      <c r="W46" s="36"/>
      <c r="X46" s="36"/>
      <c r="Y46" s="36"/>
      <c r="Z46" s="36"/>
      <c r="AA46" s="36"/>
    </row>
    <row r="47" spans="1:27" ht="48" customHeight="1">
      <c r="A47" s="30" t="str">
        <f>HYPERLINK("https://www.alcaldiabogota.gov.co/sisjur/normas/Norma1.jsp?i=80554&amp;dt=S","Decreto 483")</f>
        <v>Decreto 483</v>
      </c>
      <c r="B47" s="41">
        <v>43329</v>
      </c>
      <c r="C47" s="32" t="s">
        <v>1558</v>
      </c>
      <c r="D47" s="33" t="s">
        <v>1565</v>
      </c>
      <c r="E47" s="32" t="s">
        <v>41</v>
      </c>
      <c r="F47" s="64" t="s">
        <v>97</v>
      </c>
      <c r="G47" s="119" t="s">
        <v>43</v>
      </c>
      <c r="H47" s="117" t="s">
        <v>1490</v>
      </c>
      <c r="I47" s="36"/>
      <c r="J47" s="36"/>
      <c r="K47" s="36"/>
      <c r="L47" s="36"/>
      <c r="M47" s="36"/>
      <c r="N47" s="36"/>
      <c r="O47" s="36"/>
      <c r="P47" s="36"/>
      <c r="Q47" s="36"/>
      <c r="R47" s="36"/>
      <c r="S47" s="36"/>
      <c r="T47" s="36"/>
      <c r="U47" s="36"/>
      <c r="V47" s="36"/>
      <c r="W47" s="36"/>
      <c r="X47" s="36"/>
      <c r="Y47" s="36"/>
      <c r="Z47" s="36"/>
      <c r="AA47" s="36"/>
    </row>
    <row r="48" spans="1:27" ht="24" customHeight="1">
      <c r="A48" s="30" t="str">
        <f>HYPERLINK("https://www.alcaldiabogota.gov.co/sisjur/normas/Norma1.jsp?i=897&amp;dt=S","ACUERDO 4")</f>
        <v>ACUERDO 4</v>
      </c>
      <c r="B48" s="41">
        <v>28529</v>
      </c>
      <c r="C48" s="32" t="s">
        <v>195</v>
      </c>
      <c r="D48" s="33" t="s">
        <v>1566</v>
      </c>
      <c r="E48" s="32" t="s">
        <v>41</v>
      </c>
      <c r="F48" s="64" t="s">
        <v>97</v>
      </c>
      <c r="G48" s="119" t="s">
        <v>43</v>
      </c>
      <c r="H48" s="117" t="s">
        <v>1490</v>
      </c>
      <c r="I48" s="36"/>
      <c r="J48" s="36"/>
      <c r="K48" s="36"/>
      <c r="L48" s="36"/>
      <c r="M48" s="36"/>
      <c r="N48" s="36"/>
      <c r="O48" s="36"/>
      <c r="P48" s="36"/>
      <c r="Q48" s="36"/>
      <c r="R48" s="36"/>
      <c r="S48" s="36"/>
      <c r="T48" s="36"/>
      <c r="U48" s="36"/>
      <c r="V48" s="36"/>
      <c r="W48" s="36"/>
      <c r="X48" s="36"/>
      <c r="Y48" s="36"/>
      <c r="Z48" s="36"/>
      <c r="AA48" s="36"/>
    </row>
    <row r="49" spans="1:27" ht="24" customHeight="1">
      <c r="A49" s="30" t="str">
        <f>HYPERLINK("https://diario-oficial.vlex.com.co/vid/acuerdo-107-43189887","ACUERDO 107")</f>
        <v>ACUERDO 107</v>
      </c>
      <c r="B49" s="32">
        <v>2003</v>
      </c>
      <c r="C49" s="32" t="s">
        <v>195</v>
      </c>
      <c r="D49" s="33" t="s">
        <v>1568</v>
      </c>
      <c r="E49" s="32" t="s">
        <v>41</v>
      </c>
      <c r="F49" s="64" t="s">
        <v>97</v>
      </c>
      <c r="G49" s="119" t="s">
        <v>43</v>
      </c>
      <c r="H49" s="117" t="s">
        <v>1490</v>
      </c>
      <c r="I49" s="36"/>
      <c r="J49" s="36"/>
      <c r="K49" s="36"/>
      <c r="L49" s="36"/>
      <c r="M49" s="36"/>
      <c r="N49" s="36"/>
      <c r="O49" s="36"/>
      <c r="P49" s="36"/>
      <c r="Q49" s="36"/>
      <c r="R49" s="36"/>
      <c r="S49" s="36"/>
      <c r="T49" s="36"/>
      <c r="U49" s="36"/>
      <c r="V49" s="36"/>
      <c r="W49" s="36"/>
      <c r="X49" s="36"/>
      <c r="Y49" s="36"/>
      <c r="Z49" s="36"/>
      <c r="AA49" s="36"/>
    </row>
    <row r="50" spans="1:27" ht="36" customHeight="1">
      <c r="A50" s="30" t="str">
        <f>HYPERLINK("https://www.alcaldiabogota.gov.co/sisjur/normas/Norma1.jsp?i=17652","ACUERDO 175")</f>
        <v>ACUERDO 175</v>
      </c>
      <c r="B50" s="41">
        <v>38623</v>
      </c>
      <c r="C50" s="32" t="s">
        <v>195</v>
      </c>
      <c r="D50" s="33" t="s">
        <v>1570</v>
      </c>
      <c r="E50" s="32" t="s">
        <v>41</v>
      </c>
      <c r="F50" s="64" t="s">
        <v>97</v>
      </c>
      <c r="G50" s="119" t="s">
        <v>43</v>
      </c>
      <c r="H50" s="117" t="s">
        <v>1490</v>
      </c>
      <c r="I50" s="36"/>
      <c r="J50" s="36"/>
      <c r="K50" s="36"/>
      <c r="L50" s="36"/>
      <c r="M50" s="36"/>
      <c r="N50" s="36"/>
      <c r="O50" s="36"/>
      <c r="P50" s="36"/>
      <c r="Q50" s="36"/>
      <c r="R50" s="36"/>
      <c r="S50" s="36"/>
      <c r="T50" s="36"/>
      <c r="U50" s="36"/>
      <c r="V50" s="36"/>
      <c r="W50" s="36"/>
      <c r="X50" s="36"/>
      <c r="Y50" s="36"/>
      <c r="Z50" s="36"/>
      <c r="AA50" s="36"/>
    </row>
    <row r="51" spans="1:27" ht="48" customHeight="1">
      <c r="A51" s="30" t="str">
        <f>HYPERLINK("http://concejodebogota.gov.co/cbogota/site/artic/20160803/asocfile/20160803160947/acuerdo_498_12.pdf","ACUERDO 498")</f>
        <v>ACUERDO 498</v>
      </c>
      <c r="B51" s="41">
        <v>41178</v>
      </c>
      <c r="C51" s="32" t="s">
        <v>195</v>
      </c>
      <c r="D51" s="33" t="s">
        <v>1572</v>
      </c>
      <c r="E51" s="32" t="s">
        <v>41</v>
      </c>
      <c r="F51" s="32" t="s">
        <v>41</v>
      </c>
      <c r="G51" s="119" t="s">
        <v>43</v>
      </c>
      <c r="H51" s="117" t="s">
        <v>1490</v>
      </c>
      <c r="I51" s="36"/>
      <c r="J51" s="36"/>
      <c r="K51" s="36"/>
      <c r="L51" s="36"/>
      <c r="M51" s="36"/>
      <c r="N51" s="36"/>
      <c r="O51" s="36"/>
      <c r="P51" s="36"/>
      <c r="Q51" s="36"/>
      <c r="R51" s="36"/>
      <c r="S51" s="36"/>
      <c r="T51" s="36"/>
      <c r="U51" s="36"/>
      <c r="V51" s="36"/>
      <c r="W51" s="36"/>
      <c r="X51" s="36"/>
      <c r="Y51" s="36"/>
      <c r="Z51" s="36"/>
      <c r="AA51" s="36"/>
    </row>
    <row r="52" spans="1:27" ht="69" customHeight="1">
      <c r="A52" s="30" t="str">
        <f>HYPERLINK("http://www.saludcapital.gov.co/Normo/gsp/acuerdo_614_de_2015.pdf","ACUERDO 614")</f>
        <v>ACUERDO 614</v>
      </c>
      <c r="B52" s="41">
        <v>42263</v>
      </c>
      <c r="C52" s="32" t="s">
        <v>195</v>
      </c>
      <c r="D52" s="33" t="s">
        <v>2922</v>
      </c>
      <c r="E52" s="32" t="s">
        <v>2923</v>
      </c>
      <c r="F52" s="33" t="s">
        <v>2924</v>
      </c>
      <c r="G52" s="119"/>
      <c r="H52" s="117"/>
      <c r="I52" s="36"/>
      <c r="J52" s="36"/>
      <c r="K52" s="36"/>
      <c r="L52" s="36"/>
      <c r="M52" s="36"/>
      <c r="N52" s="36"/>
      <c r="O52" s="36"/>
      <c r="P52" s="36"/>
      <c r="Q52" s="36"/>
      <c r="R52" s="36"/>
      <c r="S52" s="36"/>
      <c r="T52" s="36"/>
      <c r="U52" s="36"/>
      <c r="V52" s="36"/>
      <c r="W52" s="36"/>
      <c r="X52" s="36"/>
      <c r="Y52" s="36"/>
      <c r="Z52" s="36"/>
      <c r="AA52" s="36"/>
    </row>
    <row r="53" spans="1:27" ht="36" customHeight="1">
      <c r="A53" s="30" t="str">
        <f>HYPERLINK("https://www.idrd.gov.co/sitio/idrd/sites/default/files/imagenes/acuerdo%20058%20de%2019910.pdf","RESOLUCIÓN 58")</f>
        <v>RESOLUCIÓN 58</v>
      </c>
      <c r="B53" s="41">
        <v>33353</v>
      </c>
      <c r="C53" s="32" t="s">
        <v>1574</v>
      </c>
      <c r="D53" s="33" t="s">
        <v>1575</v>
      </c>
      <c r="E53" s="32" t="s">
        <v>41</v>
      </c>
      <c r="F53" s="32" t="s">
        <v>41</v>
      </c>
      <c r="G53" s="119" t="s">
        <v>43</v>
      </c>
      <c r="H53" s="117" t="s">
        <v>1490</v>
      </c>
      <c r="I53" s="36"/>
      <c r="J53" s="36"/>
      <c r="K53" s="36"/>
      <c r="L53" s="36"/>
      <c r="M53" s="36"/>
      <c r="N53" s="36"/>
      <c r="O53" s="36"/>
      <c r="P53" s="36"/>
      <c r="Q53" s="36"/>
      <c r="R53" s="36"/>
      <c r="S53" s="36"/>
      <c r="T53" s="36"/>
      <c r="U53" s="36"/>
      <c r="V53" s="36"/>
      <c r="W53" s="36"/>
      <c r="X53" s="36"/>
      <c r="Y53" s="36"/>
      <c r="Z53" s="36"/>
      <c r="AA53" s="36"/>
    </row>
    <row r="54" spans="1:27" ht="24" customHeight="1">
      <c r="A54" s="30" t="str">
        <f>HYPERLINK("uiatramitesyservicios.bogota.gov.co/wp-content/uploads/2017/11/Resolucion-001909-del-5-de-agosto-de-19910.pdf","RESOLUCIÓN 1909")</f>
        <v>RESOLUCIÓN 1909</v>
      </c>
      <c r="B54" s="41">
        <v>33455</v>
      </c>
      <c r="C54" s="32" t="s">
        <v>1574</v>
      </c>
      <c r="D54" s="33" t="s">
        <v>1577</v>
      </c>
      <c r="E54" s="32" t="s">
        <v>41</v>
      </c>
      <c r="F54" s="32" t="s">
        <v>41</v>
      </c>
      <c r="G54" s="119" t="s">
        <v>43</v>
      </c>
      <c r="H54" s="117" t="s">
        <v>1490</v>
      </c>
      <c r="I54" s="36"/>
      <c r="J54" s="36"/>
      <c r="K54" s="36"/>
      <c r="L54" s="36"/>
      <c r="M54" s="36"/>
      <c r="N54" s="36"/>
      <c r="O54" s="36"/>
      <c r="P54" s="36"/>
      <c r="Q54" s="36"/>
      <c r="R54" s="36"/>
      <c r="S54" s="36"/>
      <c r="T54" s="36"/>
      <c r="U54" s="36"/>
      <c r="V54" s="36"/>
      <c r="W54" s="36"/>
      <c r="X54" s="36"/>
      <c r="Y54" s="36"/>
      <c r="Z54" s="36"/>
      <c r="AA54" s="36"/>
    </row>
    <row r="55" spans="1:27" ht="24" customHeight="1">
      <c r="A55" s="43" t="str">
        <f>HYPERLINK("https://www.idrd.gov.co/sitio/idrd/sites/default/files/imagenes/resolucion%20334%20de%202014.pdf","RESOLUCIÓN 334 ")</f>
        <v xml:space="preserve">RESOLUCIÓN 334 </v>
      </c>
      <c r="B55" s="41">
        <v>41806</v>
      </c>
      <c r="C55" s="142" t="s">
        <v>130</v>
      </c>
      <c r="D55" s="39" t="s">
        <v>2925</v>
      </c>
      <c r="E55" s="40" t="s">
        <v>657</v>
      </c>
      <c r="F55" s="124" t="s">
        <v>2926</v>
      </c>
      <c r="G55" s="119"/>
      <c r="H55" s="117"/>
      <c r="I55" s="36"/>
      <c r="J55" s="36"/>
      <c r="K55" s="36"/>
      <c r="L55" s="36"/>
      <c r="M55" s="36"/>
      <c r="N55" s="36"/>
      <c r="O55" s="36"/>
      <c r="P55" s="36"/>
      <c r="Q55" s="36"/>
      <c r="R55" s="36"/>
      <c r="S55" s="36"/>
      <c r="T55" s="36"/>
      <c r="U55" s="36"/>
      <c r="V55" s="36"/>
      <c r="W55" s="36"/>
      <c r="X55" s="36"/>
      <c r="Y55" s="36"/>
      <c r="Z55" s="36"/>
      <c r="AA55" s="36"/>
    </row>
    <row r="56" spans="1:27" ht="24" customHeight="1">
      <c r="A56" s="30" t="str">
        <f>HYPERLINK("https://www.mineducacion.gov.co/1759/articles-96032_archivo_pdf.pdf","RESOLUCION 4210")</f>
        <v>RESOLUCION 4210</v>
      </c>
      <c r="B56" s="41">
        <v>35320</v>
      </c>
      <c r="C56" s="32" t="s">
        <v>1524</v>
      </c>
      <c r="D56" s="39" t="s">
        <v>2927</v>
      </c>
      <c r="E56" s="32" t="s">
        <v>41</v>
      </c>
      <c r="F56" s="64" t="s">
        <v>97</v>
      </c>
      <c r="G56" s="119" t="s">
        <v>43</v>
      </c>
      <c r="H56" s="117" t="s">
        <v>1490</v>
      </c>
      <c r="I56" s="36"/>
      <c r="J56" s="36"/>
      <c r="K56" s="36"/>
      <c r="L56" s="36"/>
      <c r="M56" s="36"/>
      <c r="N56" s="36"/>
      <c r="O56" s="36"/>
      <c r="P56" s="36"/>
      <c r="Q56" s="36"/>
      <c r="R56" s="36"/>
      <c r="S56" s="36"/>
      <c r="T56" s="36"/>
      <c r="U56" s="36"/>
      <c r="V56" s="36"/>
      <c r="W56" s="36"/>
      <c r="X56" s="36"/>
      <c r="Y56" s="36"/>
      <c r="Z56" s="36"/>
      <c r="AA56" s="36"/>
    </row>
    <row r="57" spans="1:27" ht="24" customHeight="1">
      <c r="A57" s="30" t="str">
        <f>HYPERLINK("https://www.alcaldiabogota.gov.co/sisjur/normas/Norma1.jsp?i=36291&amp;dt=S","RESOLUCIÓN 1164")</f>
        <v>RESOLUCIÓN 1164</v>
      </c>
      <c r="B57" s="41">
        <v>37505</v>
      </c>
      <c r="C57" s="32" t="s">
        <v>1584</v>
      </c>
      <c r="D57" s="33" t="s">
        <v>1585</v>
      </c>
      <c r="E57" s="32" t="s">
        <v>41</v>
      </c>
      <c r="F57" s="64" t="s">
        <v>97</v>
      </c>
      <c r="G57" s="119" t="s">
        <v>43</v>
      </c>
      <c r="H57" s="117" t="s">
        <v>1490</v>
      </c>
      <c r="I57" s="36"/>
      <c r="J57" s="36"/>
      <c r="K57" s="36"/>
      <c r="L57" s="36"/>
      <c r="M57" s="36"/>
      <c r="N57" s="36"/>
      <c r="O57" s="36"/>
      <c r="P57" s="36"/>
      <c r="Q57" s="36"/>
      <c r="R57" s="36"/>
      <c r="S57" s="36"/>
      <c r="T57" s="36"/>
      <c r="U57" s="36"/>
      <c r="V57" s="36"/>
      <c r="W57" s="36"/>
      <c r="X57" s="36"/>
      <c r="Y57" s="36"/>
      <c r="Z57" s="36"/>
      <c r="AA57" s="36"/>
    </row>
    <row r="58" spans="1:27" ht="36" customHeight="1">
      <c r="A58" s="30" t="str">
        <f>HYPERLINK("https://www.alcaldiabogota.gov.co/sisjur/normas/Norma1.jsp?i=37411","RESOLUCIÓN 299")</f>
        <v>RESOLUCIÓN 299</v>
      </c>
      <c r="B58" s="41">
        <v>40008</v>
      </c>
      <c r="C58" s="142" t="s">
        <v>130</v>
      </c>
      <c r="D58" s="33" t="s">
        <v>1587</v>
      </c>
      <c r="E58" s="32" t="s">
        <v>41</v>
      </c>
      <c r="F58" s="64" t="s">
        <v>97</v>
      </c>
      <c r="G58" s="119" t="s">
        <v>43</v>
      </c>
      <c r="H58" s="117" t="s">
        <v>1490</v>
      </c>
      <c r="I58" s="36"/>
      <c r="J58" s="36"/>
      <c r="K58" s="36"/>
      <c r="L58" s="36"/>
      <c r="M58" s="36"/>
      <c r="N58" s="36"/>
      <c r="O58" s="36"/>
      <c r="P58" s="36"/>
      <c r="Q58" s="36"/>
      <c r="R58" s="36"/>
      <c r="S58" s="36"/>
      <c r="T58" s="36"/>
      <c r="U58" s="36"/>
      <c r="V58" s="36"/>
      <c r="W58" s="36"/>
      <c r="X58" s="36"/>
      <c r="Y58" s="36"/>
      <c r="Z58" s="36"/>
      <c r="AA58" s="36"/>
    </row>
    <row r="59" spans="1:27" ht="48" customHeight="1">
      <c r="A59" s="265" t="s">
        <v>3004</v>
      </c>
      <c r="B59" s="41">
        <v>44470</v>
      </c>
      <c r="C59" s="142" t="s">
        <v>130</v>
      </c>
      <c r="D59" s="33" t="s">
        <v>3005</v>
      </c>
      <c r="E59" s="32" t="s">
        <v>41</v>
      </c>
      <c r="F59" s="64" t="s">
        <v>97</v>
      </c>
      <c r="G59" s="119" t="s">
        <v>43</v>
      </c>
      <c r="H59" s="117" t="s">
        <v>1490</v>
      </c>
      <c r="I59" s="36"/>
      <c r="J59" s="36"/>
      <c r="K59" s="36"/>
      <c r="L59" s="36"/>
      <c r="M59" s="36"/>
      <c r="N59" s="36"/>
      <c r="O59" s="36"/>
      <c r="P59" s="36"/>
      <c r="Q59" s="36"/>
      <c r="R59" s="36"/>
      <c r="S59" s="36"/>
      <c r="T59" s="36"/>
      <c r="U59" s="36"/>
      <c r="V59" s="36"/>
      <c r="W59" s="36"/>
      <c r="X59" s="36"/>
      <c r="Y59" s="36"/>
      <c r="Z59" s="36"/>
      <c r="AA59" s="36"/>
    </row>
    <row r="60" spans="1:27" ht="36" customHeight="1">
      <c r="A60" s="30" t="str">
        <f>HYPERLINK("https://www.idrd.gov.co/sitio/idrd/sites/default/files/imagenes/resolucion%20099%20de%2020130.pdf","RESOLUCIÓN 099")</f>
        <v>RESOLUCIÓN 099</v>
      </c>
      <c r="B60" s="32">
        <v>2013</v>
      </c>
      <c r="C60" s="142" t="s">
        <v>130</v>
      </c>
      <c r="D60" s="33" t="s">
        <v>585</v>
      </c>
      <c r="E60" s="32" t="s">
        <v>41</v>
      </c>
      <c r="F60" s="64" t="s">
        <v>97</v>
      </c>
      <c r="G60" s="119" t="s">
        <v>43</v>
      </c>
      <c r="H60" s="117" t="s">
        <v>1490</v>
      </c>
      <c r="I60" s="36"/>
      <c r="J60" s="36"/>
      <c r="K60" s="36"/>
      <c r="L60" s="36"/>
      <c r="M60" s="36"/>
      <c r="N60" s="36"/>
      <c r="O60" s="36"/>
      <c r="P60" s="36"/>
      <c r="Q60" s="36"/>
      <c r="R60" s="36"/>
      <c r="S60" s="36"/>
      <c r="T60" s="36"/>
      <c r="U60" s="36"/>
      <c r="V60" s="36"/>
      <c r="W60" s="36"/>
      <c r="X60" s="36"/>
      <c r="Y60" s="36"/>
      <c r="Z60" s="36"/>
      <c r="AA60" s="36"/>
    </row>
    <row r="61" spans="1:27" ht="48" customHeight="1">
      <c r="A61" s="30" t="str">
        <f>HYPERLINK("https://idrd.gov.co/sitio/idrd/sites/default/files/imagenes/resolucion%20190%20de%202015%20modificion%20del%20manual%20de%20aprovechamiento%20economico%20del%20espacio%20publico0.pdf","RESOLUCION 190")</f>
        <v>RESOLUCION 190</v>
      </c>
      <c r="B61" s="41">
        <v>42072</v>
      </c>
      <c r="C61" s="142" t="s">
        <v>130</v>
      </c>
      <c r="D61" s="33" t="s">
        <v>157</v>
      </c>
      <c r="E61" s="32" t="s">
        <v>41</v>
      </c>
      <c r="F61" s="64" t="s">
        <v>97</v>
      </c>
      <c r="G61" s="119" t="s">
        <v>43</v>
      </c>
      <c r="H61" s="117" t="s">
        <v>1490</v>
      </c>
      <c r="I61" s="36"/>
      <c r="J61" s="36"/>
      <c r="K61" s="36"/>
      <c r="L61" s="36"/>
      <c r="M61" s="36"/>
      <c r="N61" s="36"/>
      <c r="O61" s="36"/>
      <c r="P61" s="36"/>
      <c r="Q61" s="36"/>
      <c r="R61" s="36"/>
      <c r="S61" s="36"/>
      <c r="T61" s="36"/>
      <c r="U61" s="36"/>
      <c r="V61" s="36"/>
      <c r="W61" s="36"/>
      <c r="X61" s="36"/>
      <c r="Y61" s="36"/>
      <c r="Z61" s="36"/>
      <c r="AA61" s="36"/>
    </row>
    <row r="62" spans="1:27" ht="36" customHeight="1">
      <c r="A62" s="30" t="str">
        <f>HYPERLINK("https://repositoriosed.educacionbogota.edu.co/bitstream/001/2042/1/RESOLUCION%20No.%202068%20DEL%2017-11-2015.PDF","RESOLUCION 2068")</f>
        <v>RESOLUCION 2068</v>
      </c>
      <c r="B62" s="286">
        <v>42325</v>
      </c>
      <c r="C62" s="32" t="s">
        <v>1579</v>
      </c>
      <c r="D62" s="33" t="s">
        <v>1604</v>
      </c>
      <c r="E62" s="32" t="s">
        <v>41</v>
      </c>
      <c r="F62" s="64" t="s">
        <v>97</v>
      </c>
      <c r="G62" s="119" t="s">
        <v>43</v>
      </c>
      <c r="H62" s="117" t="s">
        <v>1490</v>
      </c>
      <c r="I62" s="36"/>
      <c r="J62" s="36"/>
      <c r="K62" s="36"/>
      <c r="L62" s="36"/>
      <c r="M62" s="36"/>
      <c r="N62" s="36"/>
      <c r="O62" s="36"/>
      <c r="P62" s="36"/>
      <c r="Q62" s="36"/>
      <c r="R62" s="36"/>
      <c r="S62" s="36"/>
      <c r="T62" s="36"/>
      <c r="U62" s="36"/>
      <c r="V62" s="36"/>
      <c r="W62" s="36"/>
      <c r="X62" s="36"/>
      <c r="Y62" s="36"/>
      <c r="Z62" s="36"/>
      <c r="AA62" s="36"/>
    </row>
    <row r="63" spans="1:27" ht="24" customHeight="1">
      <c r="A63" s="30" t="str">
        <f>HYPERLINK("https://www.alcaldiabogota.gov.co/sisjur/normas/Norma1.jsp?i=68558&amp;dt=S","RESOLUCIÓN 1839")</f>
        <v>RESOLUCIÓN 1839</v>
      </c>
      <c r="B63" s="286">
        <v>42654</v>
      </c>
      <c r="C63" s="32" t="s">
        <v>1579</v>
      </c>
      <c r="D63" s="33" t="s">
        <v>1608</v>
      </c>
      <c r="E63" s="32" t="s">
        <v>41</v>
      </c>
      <c r="F63" s="64" t="s">
        <v>97</v>
      </c>
      <c r="G63" s="119" t="s">
        <v>43</v>
      </c>
      <c r="H63" s="117" t="s">
        <v>1490</v>
      </c>
      <c r="I63" s="36"/>
      <c r="J63" s="36"/>
      <c r="K63" s="36"/>
      <c r="L63" s="36"/>
      <c r="M63" s="36"/>
      <c r="N63" s="36"/>
      <c r="O63" s="36"/>
      <c r="P63" s="36"/>
      <c r="Q63" s="36"/>
      <c r="R63" s="36"/>
      <c r="S63" s="36"/>
      <c r="T63" s="36"/>
      <c r="U63" s="36"/>
      <c r="V63" s="36"/>
      <c r="W63" s="36"/>
      <c r="X63" s="36"/>
      <c r="Y63" s="36"/>
      <c r="Z63" s="36"/>
      <c r="AA63" s="36"/>
    </row>
    <row r="64" spans="1:27" ht="24" customHeight="1">
      <c r="A64" s="30" t="str">
        <f>HYPERLINK("https://www.alcaldiabogota.gov.co/sisjur/normas/Norma1.jsp?i=68562&amp;dt=S","RESOLUCIÓN 2062")</f>
        <v>RESOLUCIÓN 2062</v>
      </c>
      <c r="B64" s="286">
        <v>42695</v>
      </c>
      <c r="C64" s="32" t="s">
        <v>1579</v>
      </c>
      <c r="D64" s="33" t="s">
        <v>1608</v>
      </c>
      <c r="E64" s="32" t="s">
        <v>41</v>
      </c>
      <c r="F64" s="64" t="s">
        <v>97</v>
      </c>
      <c r="G64" s="119" t="s">
        <v>43</v>
      </c>
      <c r="H64" s="117" t="s">
        <v>1490</v>
      </c>
      <c r="I64" s="36"/>
      <c r="J64" s="36"/>
      <c r="K64" s="36"/>
      <c r="L64" s="36"/>
      <c r="M64" s="36"/>
      <c r="N64" s="36"/>
      <c r="O64" s="36"/>
      <c r="P64" s="36"/>
      <c r="Q64" s="36"/>
      <c r="R64" s="36"/>
      <c r="S64" s="36"/>
      <c r="T64" s="36"/>
      <c r="U64" s="36"/>
      <c r="V64" s="36"/>
      <c r="W64" s="36"/>
      <c r="X64" s="36"/>
      <c r="Y64" s="36"/>
      <c r="Z64" s="36"/>
      <c r="AA64" s="36"/>
    </row>
    <row r="65" spans="1:27" ht="48" customHeight="1">
      <c r="A65" s="30" t="str">
        <f>HYPERLINK("https://www.minsalud.gov.co/Normatividad_Nuevo/Resolucion%20No%20839%20de%202017.pdf","RESOLUCION 839 ")</f>
        <v xml:space="preserve">RESOLUCION 839 </v>
      </c>
      <c r="B65" s="41">
        <v>42817</v>
      </c>
      <c r="C65" s="32" t="s">
        <v>1614</v>
      </c>
      <c r="D65" s="33" t="s">
        <v>1615</v>
      </c>
      <c r="E65" s="32" t="s">
        <v>41</v>
      </c>
      <c r="F65" s="32" t="s">
        <v>41</v>
      </c>
      <c r="G65" s="119" t="s">
        <v>43</v>
      </c>
      <c r="H65" s="117" t="s">
        <v>1490</v>
      </c>
      <c r="I65" s="36"/>
      <c r="J65" s="36"/>
      <c r="K65" s="36"/>
      <c r="L65" s="36"/>
      <c r="M65" s="36"/>
      <c r="N65" s="36"/>
      <c r="O65" s="36"/>
      <c r="P65" s="36"/>
      <c r="Q65" s="36"/>
      <c r="R65" s="36"/>
      <c r="S65" s="36"/>
      <c r="T65" s="36"/>
      <c r="U65" s="36"/>
      <c r="V65" s="36"/>
      <c r="W65" s="36"/>
      <c r="X65" s="36"/>
      <c r="Y65" s="36"/>
      <c r="Z65" s="36"/>
      <c r="AA65" s="36"/>
    </row>
    <row r="66" spans="1:27" ht="24" customHeight="1">
      <c r="A66" s="30" t="str">
        <f>HYPERLINK("https://educacionbogota.edu.co/portal_institucional/sites/default/files/2019-10/RESOLUCION%20No.%202000%20DEL%2010-11-2017.PDF","RESOLUCIÓN 2000")</f>
        <v>RESOLUCIÓN 2000</v>
      </c>
      <c r="B66" s="286">
        <v>43049</v>
      </c>
      <c r="C66" s="32" t="s">
        <v>1617</v>
      </c>
      <c r="D66" s="33" t="s">
        <v>1608</v>
      </c>
      <c r="E66" s="32" t="s">
        <v>41</v>
      </c>
      <c r="F66" s="64" t="s">
        <v>97</v>
      </c>
      <c r="G66" s="119" t="s">
        <v>43</v>
      </c>
      <c r="H66" s="117" t="s">
        <v>1490</v>
      </c>
      <c r="I66" s="36"/>
      <c r="J66" s="36"/>
      <c r="K66" s="36"/>
      <c r="L66" s="36"/>
      <c r="M66" s="36"/>
      <c r="N66" s="36"/>
      <c r="O66" s="36"/>
      <c r="P66" s="36"/>
      <c r="Q66" s="36"/>
      <c r="R66" s="36"/>
      <c r="S66" s="36"/>
      <c r="T66" s="36"/>
      <c r="U66" s="36"/>
      <c r="V66" s="36"/>
      <c r="W66" s="36"/>
      <c r="X66" s="36"/>
      <c r="Y66" s="36"/>
      <c r="Z66" s="36"/>
      <c r="AA66" s="36"/>
    </row>
    <row r="67" spans="1:27" ht="24" customHeight="1">
      <c r="A67" s="287" t="str">
        <f>HYPERLINK("https://www.superateintercolegiados.gov.co/recursos_user/2019/Superate/NORMA%20REGLAMENTARIA%20SUPERATE%202019.pdf","RESOLUCIÓN  389")</f>
        <v>RESOLUCIÓN  389</v>
      </c>
      <c r="B67" s="127">
        <v>43553</v>
      </c>
      <c r="C67" s="51" t="s">
        <v>1619</v>
      </c>
      <c r="D67" s="52" t="s">
        <v>1620</v>
      </c>
      <c r="E67" s="51" t="s">
        <v>41</v>
      </c>
      <c r="F67" s="249" t="s">
        <v>97</v>
      </c>
      <c r="G67" s="200" t="s">
        <v>1621</v>
      </c>
      <c r="H67" s="201" t="s">
        <v>1490</v>
      </c>
      <c r="I67" s="36"/>
      <c r="J67" s="36"/>
      <c r="K67" s="36"/>
      <c r="L67" s="36"/>
      <c r="M67" s="36"/>
      <c r="N67" s="36"/>
      <c r="O67" s="36"/>
      <c r="P67" s="36"/>
      <c r="Q67" s="36"/>
      <c r="R67" s="36"/>
      <c r="S67" s="36"/>
      <c r="T67" s="36"/>
      <c r="U67" s="36"/>
      <c r="V67" s="36"/>
      <c r="W67" s="36"/>
      <c r="X67" s="36"/>
      <c r="Y67" s="36"/>
      <c r="Z67" s="36"/>
      <c r="AA67" s="36"/>
    </row>
    <row r="68" spans="1:27" ht="32.25" customHeight="1">
      <c r="A68" s="287" t="str">
        <f>HYPERLINK("https://idrd.gov.co/sites/default/files/documentos/resolucion_537.pdf","RESOLUCIÓN 537")</f>
        <v>RESOLUCIÓN 537</v>
      </c>
      <c r="B68" s="103">
        <v>43775</v>
      </c>
      <c r="C68" s="51" t="s">
        <v>130</v>
      </c>
      <c r="D68" s="52" t="s">
        <v>2928</v>
      </c>
      <c r="E68" s="51" t="s">
        <v>41</v>
      </c>
      <c r="F68" s="249" t="s">
        <v>97</v>
      </c>
      <c r="G68" s="119"/>
      <c r="H68" s="117"/>
      <c r="I68" s="36"/>
      <c r="J68" s="36"/>
      <c r="K68" s="36"/>
      <c r="L68" s="36"/>
      <c r="M68" s="36"/>
      <c r="N68" s="36"/>
      <c r="O68" s="36"/>
      <c r="P68" s="36"/>
      <c r="Q68" s="36"/>
      <c r="R68" s="36"/>
      <c r="S68" s="36"/>
      <c r="T68" s="36"/>
      <c r="U68" s="36"/>
      <c r="V68" s="36"/>
      <c r="W68" s="36"/>
      <c r="X68" s="36"/>
      <c r="Y68" s="36"/>
      <c r="Z68" s="36"/>
      <c r="AA68" s="36"/>
    </row>
    <row r="69" spans="1:27" ht="36.75" customHeight="1">
      <c r="A69" s="287" t="str">
        <f>HYPERLINK("https://www.minsalud.gov.co/Normatividad_Nuevo/Resoluci%C3%B3n%20No.%203100%20de%202019.pdf","RESOLUCIÓN 3100")</f>
        <v>RESOLUCIÓN 3100</v>
      </c>
      <c r="B69" s="103">
        <v>43794</v>
      </c>
      <c r="C69" s="51" t="s">
        <v>124</v>
      </c>
      <c r="D69" s="52" t="s">
        <v>2929</v>
      </c>
      <c r="E69" s="51" t="s">
        <v>41</v>
      </c>
      <c r="F69" s="249" t="s">
        <v>97</v>
      </c>
      <c r="G69" s="119"/>
      <c r="H69" s="117"/>
      <c r="I69" s="36"/>
      <c r="J69" s="36"/>
      <c r="K69" s="36"/>
      <c r="L69" s="36"/>
      <c r="M69" s="36"/>
      <c r="N69" s="36"/>
      <c r="O69" s="36"/>
      <c r="P69" s="36"/>
      <c r="Q69" s="36"/>
      <c r="R69" s="36"/>
      <c r="S69" s="36"/>
      <c r="T69" s="36"/>
      <c r="U69" s="36"/>
      <c r="V69" s="36"/>
      <c r="W69" s="36"/>
      <c r="X69" s="36"/>
      <c r="Y69" s="36"/>
      <c r="Z69" s="36"/>
      <c r="AA69" s="36"/>
    </row>
    <row r="70" spans="1:27" ht="24" customHeight="1">
      <c r="A70" s="102" t="str">
        <f>HYPERLINK("http://www.sdp.gov.co/transparencia/normatividad/actos-administrativos/resolucion-1134-de-2018-0","RESOLUCIÓN 1344")</f>
        <v>RESOLUCIÓN 1344</v>
      </c>
      <c r="B70" s="103">
        <v>43360</v>
      </c>
      <c r="C70" s="32" t="s">
        <v>61</v>
      </c>
      <c r="D70" s="54" t="s">
        <v>2930</v>
      </c>
      <c r="E70" s="51" t="s">
        <v>41</v>
      </c>
      <c r="F70" s="249" t="s">
        <v>97</v>
      </c>
      <c r="G70" s="119"/>
      <c r="H70" s="117"/>
      <c r="I70" s="36"/>
      <c r="J70" s="36"/>
      <c r="K70" s="36"/>
      <c r="L70" s="36"/>
      <c r="M70" s="36"/>
      <c r="N70" s="36"/>
      <c r="O70" s="36"/>
      <c r="P70" s="36"/>
      <c r="Q70" s="36"/>
      <c r="R70" s="36"/>
      <c r="S70" s="36"/>
      <c r="T70" s="36"/>
      <c r="U70" s="36"/>
      <c r="V70" s="36"/>
      <c r="W70" s="36"/>
      <c r="X70" s="36"/>
      <c r="Y70" s="36"/>
      <c r="Z70" s="36"/>
      <c r="AA70" s="36"/>
    </row>
    <row r="71" spans="1:27" ht="44.25" customHeight="1">
      <c r="A71" s="102" t="str">
        <f>HYPERLINK("https://www.redacademica.edu.co/catalogo/resoluci-n-no-aft-2841-2-8-oct-2019","RESOLUCION 2841")</f>
        <v>RESOLUCION 2841</v>
      </c>
      <c r="B71" s="103">
        <v>43670</v>
      </c>
      <c r="C71" s="32" t="s">
        <v>1617</v>
      </c>
      <c r="D71" s="54" t="s">
        <v>2931</v>
      </c>
      <c r="E71" s="51" t="s">
        <v>41</v>
      </c>
      <c r="F71" s="249" t="s">
        <v>97</v>
      </c>
      <c r="G71" s="119"/>
      <c r="H71" s="117"/>
      <c r="I71" s="36"/>
      <c r="J71" s="36"/>
      <c r="K71" s="36"/>
      <c r="L71" s="36"/>
      <c r="M71" s="36"/>
      <c r="N71" s="36"/>
      <c r="O71" s="36"/>
      <c r="P71" s="36"/>
      <c r="Q71" s="36"/>
      <c r="R71" s="36"/>
      <c r="S71" s="36"/>
      <c r="T71" s="36"/>
      <c r="U71" s="36"/>
      <c r="V71" s="36"/>
      <c r="W71" s="36"/>
      <c r="X71" s="36"/>
      <c r="Y71" s="36"/>
      <c r="Z71" s="36"/>
      <c r="AA71" s="36"/>
    </row>
    <row r="72" spans="1:27" ht="30.75" customHeight="1">
      <c r="A72" s="288"/>
      <c r="B72" s="103">
        <v>43507</v>
      </c>
      <c r="C72" s="32" t="s">
        <v>1617</v>
      </c>
      <c r="D72" s="54" t="s">
        <v>1608</v>
      </c>
      <c r="E72" s="51" t="s">
        <v>41</v>
      </c>
      <c r="F72" s="249" t="s">
        <v>97</v>
      </c>
      <c r="G72" s="119"/>
      <c r="H72" s="117"/>
      <c r="I72" s="36"/>
      <c r="J72" s="36"/>
      <c r="K72" s="36"/>
      <c r="L72" s="36"/>
      <c r="M72" s="36"/>
      <c r="N72" s="36"/>
      <c r="O72" s="36"/>
      <c r="P72" s="36"/>
      <c r="Q72" s="36"/>
      <c r="R72" s="36"/>
      <c r="S72" s="36"/>
      <c r="T72" s="36"/>
      <c r="U72" s="36"/>
      <c r="V72" s="36"/>
      <c r="W72" s="36"/>
      <c r="X72" s="36"/>
      <c r="Y72" s="36"/>
      <c r="Z72" s="36"/>
      <c r="AA72" s="36"/>
    </row>
    <row r="73" spans="1:27" ht="24" customHeight="1">
      <c r="A73" s="66" t="s">
        <v>2932</v>
      </c>
      <c r="B73" s="103">
        <v>43921</v>
      </c>
      <c r="C73" s="55" t="s">
        <v>2918</v>
      </c>
      <c r="D73" s="54" t="s">
        <v>2933</v>
      </c>
      <c r="E73" s="55" t="s">
        <v>41</v>
      </c>
      <c r="F73" s="249" t="s">
        <v>97</v>
      </c>
      <c r="G73" s="119"/>
      <c r="H73" s="117"/>
      <c r="I73" s="36"/>
      <c r="J73" s="36"/>
      <c r="K73" s="36"/>
      <c r="L73" s="36"/>
      <c r="M73" s="36"/>
      <c r="N73" s="36"/>
      <c r="O73" s="36"/>
      <c r="P73" s="36"/>
      <c r="Q73" s="36"/>
      <c r="R73" s="36"/>
      <c r="S73" s="36"/>
      <c r="T73" s="36"/>
      <c r="U73" s="36"/>
      <c r="V73" s="36"/>
      <c r="W73" s="36"/>
      <c r="X73" s="36"/>
      <c r="Y73" s="36"/>
      <c r="Z73" s="36"/>
      <c r="AA73" s="36"/>
    </row>
    <row r="74" spans="1:27" ht="24" customHeight="1">
      <c r="A74" s="102" t="str">
        <f>HYPERLINK("http://www.saludcapital.gov.co/Documents/Circular_0031_Aglomeraciones_publico_interna.pdf","CIRCULAR 31")</f>
        <v>CIRCULAR 31</v>
      </c>
      <c r="B74" s="103">
        <v>42732</v>
      </c>
      <c r="C74" s="51" t="s">
        <v>1625</v>
      </c>
      <c r="D74" s="52" t="s">
        <v>1626</v>
      </c>
      <c r="E74" s="51" t="s">
        <v>41</v>
      </c>
      <c r="F74" s="249" t="s">
        <v>97</v>
      </c>
      <c r="G74" s="119" t="s">
        <v>43</v>
      </c>
      <c r="H74" s="117" t="s">
        <v>1490</v>
      </c>
      <c r="I74" s="36"/>
      <c r="J74" s="36"/>
      <c r="K74" s="36"/>
      <c r="L74" s="36"/>
      <c r="M74" s="36"/>
      <c r="N74" s="36"/>
      <c r="O74" s="36"/>
      <c r="P74" s="36"/>
      <c r="Q74" s="36"/>
      <c r="R74" s="36"/>
      <c r="S74" s="36"/>
      <c r="T74" s="36"/>
      <c r="U74" s="36"/>
      <c r="V74" s="36"/>
      <c r="W74" s="36"/>
      <c r="X74" s="36"/>
      <c r="Y74" s="36"/>
      <c r="Z74" s="36"/>
      <c r="AA74" s="36"/>
    </row>
    <row r="75" spans="1:27" ht="24" customHeight="1">
      <c r="A75" s="30" t="str">
        <f>HYPERLINK("https://www.mineducacion.gov.co/1759/articles-241887_archivo_pdf_evaluacion.pdf","Orientaciones Pedagógicas Educación Física Recreación y Deporte")</f>
        <v>Orientaciones Pedagógicas Educación Física Recreación y Deporte</v>
      </c>
      <c r="B75" s="40">
        <v>2010</v>
      </c>
      <c r="C75" s="40" t="s">
        <v>1524</v>
      </c>
      <c r="D75" s="33" t="s">
        <v>1629</v>
      </c>
      <c r="E75" s="32" t="s">
        <v>41</v>
      </c>
      <c r="F75" s="64" t="s">
        <v>97</v>
      </c>
      <c r="G75" s="119" t="s">
        <v>43</v>
      </c>
      <c r="H75" s="117" t="s">
        <v>1490</v>
      </c>
      <c r="I75" s="36"/>
      <c r="J75" s="36"/>
      <c r="K75" s="36"/>
      <c r="L75" s="36"/>
      <c r="M75" s="36"/>
      <c r="N75" s="36"/>
      <c r="O75" s="36"/>
      <c r="P75" s="36"/>
      <c r="Q75" s="36"/>
      <c r="R75" s="36"/>
      <c r="S75" s="36"/>
      <c r="T75" s="36"/>
      <c r="U75" s="36"/>
      <c r="V75" s="36"/>
      <c r="W75" s="36"/>
      <c r="X75" s="36"/>
      <c r="Y75" s="36"/>
      <c r="Z75" s="36"/>
      <c r="AA75" s="36"/>
    </row>
    <row r="76" spans="1:27" ht="36" customHeight="1">
      <c r="A76" s="30" t="str">
        <f>HYPERLINK("https://www.coldeportes.gov.co/index.php?idcategoria=57928","Plan Decenal del Deporte 2009 - 2019")</f>
        <v>Plan Decenal del Deporte 2009 - 2019</v>
      </c>
      <c r="B76" s="40" t="s">
        <v>2934</v>
      </c>
      <c r="C76" s="32" t="s">
        <v>1619</v>
      </c>
      <c r="D76" s="33" t="s">
        <v>1631</v>
      </c>
      <c r="E76" s="32" t="s">
        <v>41</v>
      </c>
      <c r="F76" s="64" t="s">
        <v>97</v>
      </c>
      <c r="G76" s="119" t="s">
        <v>43</v>
      </c>
      <c r="H76" s="117" t="s">
        <v>1490</v>
      </c>
      <c r="I76" s="36"/>
      <c r="J76" s="36"/>
      <c r="K76" s="36"/>
      <c r="L76" s="36"/>
      <c r="M76" s="36"/>
      <c r="N76" s="36"/>
      <c r="O76" s="36"/>
      <c r="P76" s="36"/>
      <c r="Q76" s="36"/>
      <c r="R76" s="36"/>
      <c r="S76" s="36"/>
      <c r="T76" s="36"/>
      <c r="U76" s="36"/>
      <c r="V76" s="36"/>
      <c r="W76" s="36"/>
      <c r="X76" s="36"/>
      <c r="Y76" s="36"/>
      <c r="Z76" s="36"/>
      <c r="AA76" s="36"/>
    </row>
    <row r="77" spans="1:27" ht="36" customHeight="1">
      <c r="A77" s="30" t="str">
        <f>HYPERLINK("https://www.coldeportes.gov.co/normatividad/politica_publica","Politica Publica Nacional")</f>
        <v>Politica Publica Nacional</v>
      </c>
      <c r="B77" s="32">
        <v>2018</v>
      </c>
      <c r="C77" s="32" t="s">
        <v>1619</v>
      </c>
      <c r="D77" s="33" t="s">
        <v>1633</v>
      </c>
      <c r="E77" s="32" t="s">
        <v>97</v>
      </c>
      <c r="F77" s="64" t="s">
        <v>97</v>
      </c>
      <c r="G77" s="119" t="s">
        <v>43</v>
      </c>
      <c r="H77" s="117" t="s">
        <v>1490</v>
      </c>
      <c r="I77" s="36"/>
      <c r="J77" s="36"/>
      <c r="K77" s="36"/>
      <c r="L77" s="36"/>
      <c r="M77" s="36"/>
      <c r="N77" s="36"/>
      <c r="O77" s="36"/>
      <c r="P77" s="36"/>
      <c r="Q77" s="36"/>
      <c r="R77" s="36"/>
      <c r="S77" s="36"/>
      <c r="T77" s="36"/>
      <c r="U77" s="36"/>
      <c r="V77" s="36"/>
      <c r="W77" s="36"/>
      <c r="X77" s="36"/>
      <c r="Y77" s="36"/>
      <c r="Z77" s="36"/>
      <c r="AA77" s="36"/>
    </row>
    <row r="78" spans="1:27" ht="84" customHeight="1">
      <c r="A78" s="30" t="str">
        <f>HYPERLINK("https://www.minsalud.gov.co/Documentos%20y%20Publicaciones/Plan%20Decenal%20-%20Documento%20en%20consulta%20para%20aprobaci%C3%B3n.pdf","PLAN DECENAL DE SALUD PÚBLICA 2012 - 2021")</f>
        <v>PLAN DECENAL DE SALUD PÚBLICA 2012 - 2021</v>
      </c>
      <c r="B78" s="40" t="s">
        <v>2935</v>
      </c>
      <c r="C78" s="32" t="s">
        <v>124</v>
      </c>
      <c r="D78" s="33" t="s">
        <v>1635</v>
      </c>
      <c r="E78" s="32" t="s">
        <v>41</v>
      </c>
      <c r="F78" s="64" t="s">
        <v>97</v>
      </c>
      <c r="G78" s="119" t="s">
        <v>43</v>
      </c>
      <c r="H78" s="117" t="s">
        <v>1490</v>
      </c>
      <c r="I78" s="36"/>
      <c r="J78" s="36"/>
      <c r="K78" s="36"/>
      <c r="L78" s="36"/>
      <c r="M78" s="36"/>
      <c r="N78" s="36"/>
      <c r="O78" s="36"/>
      <c r="P78" s="36"/>
      <c r="Q78" s="36"/>
      <c r="R78" s="36"/>
      <c r="S78" s="36"/>
      <c r="T78" s="36"/>
      <c r="U78" s="36"/>
      <c r="V78" s="36"/>
      <c r="W78" s="36"/>
      <c r="X78" s="36"/>
      <c r="Y78" s="36"/>
      <c r="Z78" s="36"/>
      <c r="AA78" s="36"/>
    </row>
  </sheetData>
  <autoFilter ref="A5:AA78" xr:uid="{00000000-0009-0000-0000-00000A000000}"/>
  <mergeCells count="3">
    <mergeCell ref="A1:H1"/>
    <mergeCell ref="A2:F2"/>
    <mergeCell ref="A4:F4"/>
  </mergeCells>
  <hyperlinks>
    <hyperlink ref="F3" location="Menu por Procesos!A1" display="MENU" xr:uid="{00000000-0004-0000-0A00-000000000000}"/>
    <hyperlink ref="A73" r:id="rId1" xr:uid="{00000000-0004-0000-0A00-000001000000}"/>
  </hyperlinks>
  <pageMargins left="0.7" right="0.7" top="0.75" bottom="0.75" header="0" footer="0"/>
  <pageSetup orientation="landscape"/>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A9D18E"/>
  </sheetPr>
  <dimension ref="A1:AB127"/>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hidden="1" customHeight="1">
      <c r="A1" s="774"/>
      <c r="B1" s="769"/>
      <c r="C1" s="769"/>
      <c r="D1" s="769"/>
      <c r="E1" s="769"/>
      <c r="F1" s="769"/>
      <c r="G1" s="769"/>
      <c r="H1" s="769"/>
      <c r="I1" s="17"/>
      <c r="J1" s="18"/>
      <c r="K1" s="18"/>
      <c r="L1" s="18"/>
      <c r="M1" s="18"/>
      <c r="N1" s="18"/>
      <c r="O1" s="18"/>
      <c r="P1" s="18"/>
      <c r="Q1" s="18"/>
      <c r="R1" s="18"/>
      <c r="S1" s="18"/>
      <c r="T1" s="18"/>
      <c r="U1" s="18"/>
      <c r="V1" s="18"/>
      <c r="W1" s="18"/>
      <c r="X1" s="18"/>
      <c r="Y1" s="18"/>
      <c r="Z1" s="18"/>
      <c r="AA1" s="18"/>
      <c r="AB1" s="18"/>
    </row>
    <row r="2" spans="1:28" ht="27" hidden="1" customHeight="1">
      <c r="A2" s="779" t="s">
        <v>28</v>
      </c>
      <c r="B2" s="765"/>
      <c r="C2" s="765"/>
      <c r="D2" s="765"/>
      <c r="E2" s="765"/>
      <c r="F2" s="766"/>
      <c r="G2" s="15"/>
      <c r="H2" s="16"/>
      <c r="I2" s="17"/>
      <c r="J2" s="18"/>
      <c r="K2" s="18"/>
      <c r="L2" s="18"/>
      <c r="M2" s="18"/>
      <c r="N2" s="18"/>
      <c r="O2" s="18"/>
      <c r="P2" s="18"/>
      <c r="Q2" s="18"/>
      <c r="R2" s="18"/>
      <c r="S2" s="18"/>
      <c r="T2" s="18"/>
      <c r="U2" s="18"/>
      <c r="V2" s="18"/>
      <c r="W2" s="18"/>
      <c r="X2" s="18"/>
      <c r="Y2" s="18"/>
      <c r="Z2" s="18"/>
      <c r="AA2" s="18"/>
      <c r="AB2" s="18"/>
    </row>
    <row r="3" spans="1:28" ht="21.75" hidden="1" customHeight="1">
      <c r="A3" s="75" t="s">
        <v>2936</v>
      </c>
      <c r="B3" s="289"/>
      <c r="C3" s="289"/>
      <c r="D3" s="289"/>
      <c r="E3" s="289"/>
      <c r="F3" s="290" t="s">
        <v>30</v>
      </c>
      <c r="G3" s="19"/>
      <c r="H3" s="21"/>
      <c r="I3" s="17"/>
      <c r="J3" s="18"/>
      <c r="K3" s="18"/>
      <c r="L3" s="18"/>
      <c r="M3" s="18"/>
      <c r="N3" s="18"/>
      <c r="O3" s="18"/>
      <c r="P3" s="18"/>
      <c r="Q3" s="18"/>
      <c r="R3" s="18"/>
      <c r="S3" s="18"/>
      <c r="T3" s="18"/>
      <c r="U3" s="18"/>
      <c r="V3" s="18"/>
      <c r="W3" s="18"/>
      <c r="X3" s="18"/>
      <c r="Y3" s="18"/>
      <c r="Z3" s="18"/>
      <c r="AA3" s="18"/>
      <c r="AB3" s="18"/>
    </row>
    <row r="4" spans="1:28" ht="33" customHeight="1">
      <c r="A4" s="775" t="s">
        <v>3006</v>
      </c>
      <c r="B4" s="765"/>
      <c r="C4" s="765"/>
      <c r="D4" s="765"/>
      <c r="E4" s="765"/>
      <c r="F4" s="766"/>
      <c r="G4" s="16"/>
      <c r="H4" s="22"/>
      <c r="I4" s="17"/>
      <c r="J4" s="18"/>
      <c r="K4" s="18"/>
      <c r="L4" s="18"/>
      <c r="M4" s="18"/>
      <c r="N4" s="18"/>
      <c r="O4" s="18"/>
      <c r="P4" s="18"/>
      <c r="Q4" s="18"/>
      <c r="R4" s="18"/>
      <c r="S4" s="18"/>
      <c r="T4" s="18"/>
      <c r="U4" s="18"/>
      <c r="V4" s="18"/>
      <c r="W4" s="18"/>
      <c r="X4" s="18"/>
      <c r="Y4" s="18"/>
      <c r="Z4" s="18"/>
      <c r="AA4" s="18"/>
      <c r="AB4" s="18"/>
    </row>
    <row r="5" spans="1:28" ht="34.5" customHeight="1">
      <c r="A5" s="76" t="s">
        <v>235</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ht="384">
      <c r="A6" s="30" t="str">
        <f>HYPERLINK("https://www.bogotajuridica.gov.co/sisjur/normas/Norma1.jsp?i=4125","CONSTITUCIÓN POLÍTICA DE COLOMBIA")</f>
        <v>CONSTITUCIÓN POLÍTICA DE COLOMBIA</v>
      </c>
      <c r="B6" s="41">
        <v>33423</v>
      </c>
      <c r="C6" s="32" t="s">
        <v>405</v>
      </c>
      <c r="D6" s="33" t="s">
        <v>1636</v>
      </c>
      <c r="E6" s="32" t="s">
        <v>2938</v>
      </c>
      <c r="F6" s="32" t="s">
        <v>2939</v>
      </c>
      <c r="G6" s="147" t="s">
        <v>43</v>
      </c>
      <c r="H6" s="117" t="s">
        <v>1490</v>
      </c>
      <c r="I6" s="35"/>
      <c r="J6" s="36"/>
      <c r="K6" s="36"/>
      <c r="L6" s="36"/>
      <c r="M6" s="36"/>
      <c r="N6" s="36"/>
      <c r="O6" s="36"/>
      <c r="P6" s="36"/>
      <c r="Q6" s="36"/>
      <c r="R6" s="36"/>
      <c r="S6" s="36"/>
      <c r="T6" s="36"/>
      <c r="U6" s="36"/>
      <c r="V6" s="36"/>
      <c r="W6" s="36"/>
      <c r="X6" s="36"/>
      <c r="Y6" s="36"/>
      <c r="Z6" s="36"/>
      <c r="AA6" s="36"/>
      <c r="AB6" s="36"/>
    </row>
    <row r="7" spans="1:28" ht="36" customHeight="1">
      <c r="A7" s="30" t="str">
        <f>HYPERLINK("https://www.unidadvictimas.gov.co/sites/default/files/documentosbiblioteca/ley-12-de-1991.pdf","LEY 12")</f>
        <v>LEY 12</v>
      </c>
      <c r="B7" s="41">
        <v>33260</v>
      </c>
      <c r="C7" s="32" t="s">
        <v>507</v>
      </c>
      <c r="D7" s="33" t="s">
        <v>1642</v>
      </c>
      <c r="E7" s="32" t="s">
        <v>41</v>
      </c>
      <c r="F7" s="32" t="s">
        <v>97</v>
      </c>
      <c r="G7" s="147" t="s">
        <v>43</v>
      </c>
      <c r="H7" s="117" t="s">
        <v>1490</v>
      </c>
      <c r="I7" s="35"/>
      <c r="J7" s="36"/>
      <c r="K7" s="36"/>
      <c r="L7" s="36"/>
      <c r="M7" s="36"/>
      <c r="N7" s="36"/>
      <c r="O7" s="36"/>
      <c r="P7" s="36"/>
      <c r="Q7" s="36"/>
      <c r="R7" s="36"/>
      <c r="S7" s="36"/>
      <c r="T7" s="36"/>
      <c r="U7" s="36"/>
      <c r="V7" s="36"/>
      <c r="W7" s="36"/>
      <c r="X7" s="36"/>
      <c r="Y7" s="36"/>
      <c r="Z7" s="36"/>
      <c r="AA7" s="36"/>
      <c r="AB7" s="36"/>
    </row>
    <row r="8" spans="1:28" ht="24" customHeight="1">
      <c r="A8" s="30" t="str">
        <f>HYPERLINK("https://www.mineducacion.gov.co/1621/articles-85906_archivo_pdf.pdf","LEY 115")</f>
        <v>LEY 115</v>
      </c>
      <c r="B8" s="41">
        <v>34373</v>
      </c>
      <c r="C8" s="32" t="s">
        <v>507</v>
      </c>
      <c r="D8" s="33" t="s">
        <v>1643</v>
      </c>
      <c r="E8" s="32" t="s">
        <v>41</v>
      </c>
      <c r="F8" s="32" t="s">
        <v>97</v>
      </c>
      <c r="G8" s="147" t="s">
        <v>43</v>
      </c>
      <c r="H8" s="117" t="s">
        <v>1490</v>
      </c>
      <c r="I8" s="35"/>
      <c r="J8" s="36"/>
      <c r="K8" s="36"/>
      <c r="L8" s="36"/>
      <c r="M8" s="36"/>
      <c r="N8" s="36"/>
      <c r="O8" s="36"/>
      <c r="P8" s="36"/>
      <c r="Q8" s="36"/>
      <c r="R8" s="36"/>
      <c r="S8" s="36"/>
      <c r="T8" s="36"/>
      <c r="U8" s="36"/>
      <c r="V8" s="36"/>
      <c r="W8" s="36"/>
      <c r="X8" s="36"/>
      <c r="Y8" s="36"/>
      <c r="Z8" s="36"/>
      <c r="AA8" s="36"/>
      <c r="AB8" s="36"/>
    </row>
    <row r="9" spans="1:28" ht="72" customHeight="1">
      <c r="A9" s="30" t="str">
        <f>HYPERLINK("https://www.alcaldiabogota.gov.co/sisjur/normas/Norma1.jsp?i=3424","LEY 181")</f>
        <v>LEY 181</v>
      </c>
      <c r="B9" s="31">
        <v>34717</v>
      </c>
      <c r="C9" s="32" t="s">
        <v>39</v>
      </c>
      <c r="D9" s="39" t="s">
        <v>3007</v>
      </c>
      <c r="E9" s="32" t="s">
        <v>41</v>
      </c>
      <c r="F9" s="32" t="s">
        <v>97</v>
      </c>
      <c r="G9" s="147" t="s">
        <v>43</v>
      </c>
      <c r="H9" s="117" t="s">
        <v>1490</v>
      </c>
      <c r="I9" s="35"/>
      <c r="J9" s="36"/>
      <c r="K9" s="36"/>
      <c r="L9" s="36"/>
      <c r="M9" s="36"/>
      <c r="N9" s="36"/>
      <c r="O9" s="36"/>
      <c r="P9" s="36"/>
      <c r="Q9" s="36"/>
      <c r="R9" s="36"/>
      <c r="S9" s="36"/>
      <c r="T9" s="36"/>
      <c r="U9" s="36"/>
      <c r="V9" s="36"/>
      <c r="W9" s="36"/>
      <c r="X9" s="36"/>
      <c r="Y9" s="36"/>
      <c r="Z9" s="36"/>
      <c r="AA9" s="36"/>
      <c r="AB9" s="36"/>
    </row>
    <row r="10" spans="1:28" ht="72" customHeight="1">
      <c r="A10" s="30" t="str">
        <f>HYPERLINK("https://www.funcionpublica.gov.co/eva/gestornormativo/norma.php?i=349","LEY 324")</f>
        <v>LEY 324</v>
      </c>
      <c r="B10" s="31">
        <v>35349</v>
      </c>
      <c r="C10" s="32" t="s">
        <v>39</v>
      </c>
      <c r="D10" s="39" t="s">
        <v>2941</v>
      </c>
      <c r="E10" s="32" t="s">
        <v>41</v>
      </c>
      <c r="F10" s="32" t="s">
        <v>97</v>
      </c>
      <c r="G10" s="147"/>
      <c r="H10" s="117"/>
      <c r="I10" s="35"/>
      <c r="J10" s="36"/>
      <c r="K10" s="36"/>
      <c r="L10" s="36"/>
      <c r="M10" s="36"/>
      <c r="N10" s="36"/>
      <c r="O10" s="36"/>
      <c r="P10" s="36"/>
      <c r="Q10" s="36"/>
      <c r="R10" s="36"/>
      <c r="S10" s="36"/>
      <c r="T10" s="36"/>
      <c r="U10" s="36"/>
      <c r="V10" s="36"/>
      <c r="W10" s="36"/>
      <c r="X10" s="36"/>
      <c r="Y10" s="36"/>
      <c r="Z10" s="36"/>
      <c r="AA10" s="36"/>
      <c r="AB10" s="36"/>
    </row>
    <row r="11" spans="1:28" ht="72" customHeight="1">
      <c r="A11" s="30" t="str">
        <f>HYPERLINK("https://www.funcionpublica.gov.co/eva/gestornormativo/norma.php?i=38937","LEY 494 ")</f>
        <v xml:space="preserve">LEY 494 </v>
      </c>
      <c r="B11" s="31">
        <v>36199</v>
      </c>
      <c r="C11" s="32" t="s">
        <v>39</v>
      </c>
      <c r="D11" s="39" t="s">
        <v>2942</v>
      </c>
      <c r="E11" s="32" t="s">
        <v>657</v>
      </c>
      <c r="F11" s="32" t="s">
        <v>2943</v>
      </c>
      <c r="G11" s="147"/>
      <c r="H11" s="117"/>
      <c r="I11" s="35"/>
      <c r="J11" s="36"/>
      <c r="K11" s="36"/>
      <c r="L11" s="36"/>
      <c r="M11" s="36"/>
      <c r="N11" s="36"/>
      <c r="O11" s="36"/>
      <c r="P11" s="36"/>
      <c r="Q11" s="36"/>
      <c r="R11" s="36"/>
      <c r="S11" s="36"/>
      <c r="T11" s="36"/>
      <c r="U11" s="36"/>
      <c r="V11" s="36"/>
      <c r="W11" s="36"/>
      <c r="X11" s="36"/>
      <c r="Y11" s="36"/>
      <c r="Z11" s="36"/>
      <c r="AA11" s="36"/>
      <c r="AB11" s="36"/>
    </row>
    <row r="12" spans="1:28" ht="24" customHeight="1">
      <c r="A12" s="263" t="str">
        <f>HYPERLINK("http://www.secretariasenado.gov.co/senado/basedoc/ley_0361_1997.html","LEY 361")</f>
        <v>LEY 361</v>
      </c>
      <c r="B12" s="31">
        <v>35468</v>
      </c>
      <c r="C12" s="142" t="s">
        <v>39</v>
      </c>
      <c r="D12" s="33" t="s">
        <v>475</v>
      </c>
      <c r="E12" s="32" t="s">
        <v>41</v>
      </c>
      <c r="F12" s="32" t="s">
        <v>97</v>
      </c>
      <c r="G12" s="147" t="s">
        <v>43</v>
      </c>
      <c r="H12" s="117" t="s">
        <v>1490</v>
      </c>
      <c r="I12" s="35"/>
      <c r="J12" s="36"/>
      <c r="K12" s="36"/>
      <c r="L12" s="36"/>
      <c r="M12" s="36"/>
      <c r="N12" s="36"/>
      <c r="O12" s="36"/>
      <c r="P12" s="36"/>
      <c r="Q12" s="36"/>
      <c r="R12" s="36"/>
      <c r="S12" s="36"/>
      <c r="T12" s="36"/>
      <c r="U12" s="36"/>
      <c r="V12" s="36"/>
      <c r="W12" s="36"/>
      <c r="X12" s="36"/>
      <c r="Y12" s="36"/>
      <c r="Z12" s="36"/>
      <c r="AA12" s="36"/>
      <c r="AB12" s="36"/>
    </row>
    <row r="13" spans="1:28" ht="36" customHeight="1">
      <c r="A13" s="291" t="str">
        <f>HYPERLINK("https://www.mineducacion.gov.co/1621/articles-85935_archivo_pdf.pdf","Ley 375")</f>
        <v>Ley 375</v>
      </c>
      <c r="B13" s="41">
        <v>35615</v>
      </c>
      <c r="C13" s="264" t="s">
        <v>507</v>
      </c>
      <c r="D13" s="268" t="s">
        <v>2944</v>
      </c>
      <c r="E13" s="264" t="s">
        <v>41</v>
      </c>
      <c r="F13" s="264" t="s">
        <v>97</v>
      </c>
      <c r="G13" s="147"/>
      <c r="H13" s="117"/>
      <c r="I13" s="35"/>
      <c r="J13" s="36"/>
      <c r="K13" s="36"/>
      <c r="L13" s="36"/>
      <c r="M13" s="36"/>
      <c r="N13" s="36"/>
      <c r="O13" s="36"/>
      <c r="P13" s="36"/>
      <c r="Q13" s="36"/>
      <c r="R13" s="36"/>
      <c r="S13" s="36"/>
      <c r="T13" s="36"/>
      <c r="U13" s="36"/>
      <c r="V13" s="36"/>
      <c r="W13" s="36"/>
      <c r="X13" s="36"/>
      <c r="Y13" s="36"/>
      <c r="Z13" s="36"/>
      <c r="AA13" s="36"/>
      <c r="AB13" s="36"/>
    </row>
    <row r="14" spans="1:28" ht="36" customHeight="1">
      <c r="A14" s="30" t="str">
        <f>HYPERLINK("https://www.mineducacion.gov.co/1759/articles-86067_archivo_pdf.pdf","LEY 582")</f>
        <v>LEY 582</v>
      </c>
      <c r="B14" s="41">
        <v>36685</v>
      </c>
      <c r="C14" s="32" t="s">
        <v>507</v>
      </c>
      <c r="D14" s="33" t="s">
        <v>1646</v>
      </c>
      <c r="E14" s="32" t="s">
        <v>41</v>
      </c>
      <c r="F14" s="32" t="s">
        <v>97</v>
      </c>
      <c r="G14" s="147" t="s">
        <v>43</v>
      </c>
      <c r="H14" s="117" t="s">
        <v>1490</v>
      </c>
      <c r="I14" s="35"/>
      <c r="J14" s="36"/>
      <c r="K14" s="36"/>
      <c r="L14" s="36"/>
      <c r="M14" s="36"/>
      <c r="N14" s="36"/>
      <c r="O14" s="36"/>
      <c r="P14" s="36"/>
      <c r="Q14" s="36"/>
      <c r="R14" s="36"/>
      <c r="S14" s="36"/>
      <c r="T14" s="36"/>
      <c r="U14" s="36"/>
      <c r="V14" s="36"/>
      <c r="W14" s="36"/>
      <c r="X14" s="36"/>
      <c r="Y14" s="36"/>
      <c r="Z14" s="36"/>
      <c r="AA14" s="36"/>
      <c r="AB14" s="36"/>
    </row>
    <row r="15" spans="1:28" ht="24" customHeight="1">
      <c r="A15" s="30" t="str">
        <f>HYPERLINK("https://www.funcionpublica.gov.co/eva/gestornormativo/norma.php?i=4599","LEY 724")</f>
        <v>LEY 724</v>
      </c>
      <c r="B15" s="286">
        <v>37252</v>
      </c>
      <c r="C15" s="32" t="s">
        <v>507</v>
      </c>
      <c r="D15" s="33" t="s">
        <v>1648</v>
      </c>
      <c r="E15" s="32" t="s">
        <v>41</v>
      </c>
      <c r="F15" s="32" t="s">
        <v>97</v>
      </c>
      <c r="G15" s="147" t="s">
        <v>43</v>
      </c>
      <c r="H15" s="117" t="s">
        <v>1490</v>
      </c>
      <c r="I15" s="35"/>
      <c r="J15" s="36"/>
      <c r="K15" s="36"/>
      <c r="L15" s="36"/>
      <c r="M15" s="36"/>
      <c r="N15" s="36"/>
      <c r="O15" s="36"/>
      <c r="P15" s="36"/>
      <c r="Q15" s="36"/>
      <c r="R15" s="36"/>
      <c r="S15" s="36"/>
      <c r="T15" s="36"/>
      <c r="U15" s="36"/>
      <c r="V15" s="36"/>
      <c r="W15" s="36"/>
      <c r="X15" s="36"/>
      <c r="Y15" s="36"/>
      <c r="Z15" s="36"/>
      <c r="AA15" s="36"/>
      <c r="AB15" s="36"/>
    </row>
    <row r="16" spans="1:28" ht="48" customHeight="1">
      <c r="A16" s="30" t="str">
        <f>HYPERLINK("http://www.secretariasenado.gov.co/senado/basedoc/ley_0762_2002.html","LEY 762")</f>
        <v>LEY 762</v>
      </c>
      <c r="B16" s="41">
        <v>37468</v>
      </c>
      <c r="C16" s="32" t="s">
        <v>507</v>
      </c>
      <c r="D16" s="33" t="s">
        <v>1652</v>
      </c>
      <c r="E16" s="32" t="s">
        <v>41</v>
      </c>
      <c r="F16" s="32" t="s">
        <v>97</v>
      </c>
      <c r="G16" s="147" t="s">
        <v>43</v>
      </c>
      <c r="H16" s="117" t="s">
        <v>1490</v>
      </c>
      <c r="I16" s="35"/>
      <c r="J16" s="36"/>
      <c r="K16" s="36"/>
      <c r="L16" s="36"/>
      <c r="M16" s="36"/>
      <c r="N16" s="36"/>
      <c r="O16" s="36"/>
      <c r="P16" s="36"/>
      <c r="Q16" s="36"/>
      <c r="R16" s="36"/>
      <c r="S16" s="36"/>
      <c r="T16" s="36"/>
      <c r="U16" s="36"/>
      <c r="V16" s="36"/>
      <c r="W16" s="36"/>
      <c r="X16" s="36"/>
      <c r="Y16" s="36"/>
      <c r="Z16" s="36"/>
      <c r="AA16" s="36"/>
      <c r="AB16" s="36"/>
    </row>
    <row r="17" spans="1:28" ht="390.75" customHeight="1">
      <c r="A17" s="30" t="str">
        <f>HYPERLINK("https://www.movilidadbogota.gov.co/web/sites/default/files/ley-769-de-2002-codigo-nacional-de-transito_3704_0.pdf","LEY 769")</f>
        <v>LEY 769</v>
      </c>
      <c r="B17" s="41">
        <v>37474</v>
      </c>
      <c r="C17" s="32" t="s">
        <v>507</v>
      </c>
      <c r="D17" s="33" t="s">
        <v>1654</v>
      </c>
      <c r="E17" s="32" t="s">
        <v>1655</v>
      </c>
      <c r="F17" s="39" t="s">
        <v>2945</v>
      </c>
      <c r="G17" s="147" t="s">
        <v>43</v>
      </c>
      <c r="H17" s="117" t="s">
        <v>1490</v>
      </c>
      <c r="I17" s="35"/>
      <c r="J17" s="36"/>
      <c r="K17" s="36"/>
      <c r="L17" s="36"/>
      <c r="M17" s="36"/>
      <c r="N17" s="36"/>
      <c r="O17" s="36"/>
      <c r="P17" s="36"/>
      <c r="Q17" s="36"/>
      <c r="R17" s="36"/>
      <c r="S17" s="36"/>
      <c r="T17" s="36"/>
      <c r="U17" s="36"/>
      <c r="V17" s="36"/>
      <c r="W17" s="36"/>
      <c r="X17" s="36"/>
      <c r="Y17" s="36"/>
      <c r="Z17" s="36"/>
      <c r="AA17" s="36"/>
      <c r="AB17" s="36"/>
    </row>
    <row r="18" spans="1:28" ht="36" customHeight="1">
      <c r="A18" s="30" t="str">
        <f>HYPERLINK("http://www.secretariasenado.gov.co/senado/basedoc/ley_0982_2005.html","LEY 982")</f>
        <v>LEY 982</v>
      </c>
      <c r="B18" s="41">
        <v>38566</v>
      </c>
      <c r="C18" s="32" t="s">
        <v>507</v>
      </c>
      <c r="D18" s="33" t="s">
        <v>1660</v>
      </c>
      <c r="E18" s="32" t="s">
        <v>41</v>
      </c>
      <c r="F18" s="32" t="s">
        <v>97</v>
      </c>
      <c r="G18" s="147" t="s">
        <v>43</v>
      </c>
      <c r="H18" s="117" t="s">
        <v>1490</v>
      </c>
      <c r="I18" s="35"/>
      <c r="J18" s="36"/>
      <c r="K18" s="36"/>
      <c r="L18" s="36"/>
      <c r="M18" s="36"/>
      <c r="N18" s="36"/>
      <c r="O18" s="36"/>
      <c r="P18" s="36"/>
      <c r="Q18" s="36"/>
      <c r="R18" s="36"/>
      <c r="S18" s="36"/>
      <c r="T18" s="36"/>
      <c r="U18" s="36"/>
      <c r="V18" s="36"/>
      <c r="W18" s="36"/>
      <c r="X18" s="36"/>
      <c r="Y18" s="36"/>
      <c r="Z18" s="36"/>
      <c r="AA18" s="36"/>
      <c r="AB18" s="36"/>
    </row>
    <row r="19" spans="1:28" ht="189.75" customHeight="1">
      <c r="A19" s="30" t="str">
        <f>HYPERLINK("https://www.alcaldiabogota.gov.co/sisjur/normas/Norma1.jsp?i=22106","LEY 1098")</f>
        <v>LEY 1098</v>
      </c>
      <c r="B19" s="41">
        <v>39029</v>
      </c>
      <c r="C19" s="32" t="s">
        <v>507</v>
      </c>
      <c r="D19" s="33" t="s">
        <v>1514</v>
      </c>
      <c r="E19" s="32" t="s">
        <v>1661</v>
      </c>
      <c r="F19" s="39" t="s">
        <v>2946</v>
      </c>
      <c r="G19" s="147" t="s">
        <v>43</v>
      </c>
      <c r="H19" s="117" t="s">
        <v>1490</v>
      </c>
      <c r="I19" s="35"/>
      <c r="J19" s="36"/>
      <c r="K19" s="36"/>
      <c r="L19" s="36"/>
      <c r="M19" s="36"/>
      <c r="N19" s="36"/>
      <c r="O19" s="36"/>
      <c r="P19" s="36"/>
      <c r="Q19" s="36"/>
      <c r="R19" s="36"/>
      <c r="S19" s="36"/>
      <c r="T19" s="36"/>
      <c r="U19" s="36"/>
      <c r="V19" s="36"/>
      <c r="W19" s="36"/>
      <c r="X19" s="36"/>
      <c r="Y19" s="36"/>
      <c r="Z19" s="36"/>
      <c r="AA19" s="36"/>
      <c r="AB19" s="36"/>
    </row>
    <row r="20" spans="1:28" ht="24" customHeight="1">
      <c r="A20" s="269" t="str">
        <f>HYPERLINK("https://www.alcaldiabogota.gov.co/sisjur/normas/Norma1.jsp?i=25670","LEY 1145")</f>
        <v>LEY 1145</v>
      </c>
      <c r="B20" s="41">
        <v>39273</v>
      </c>
      <c r="C20" s="32" t="s">
        <v>507</v>
      </c>
      <c r="D20" s="33" t="s">
        <v>1664</v>
      </c>
      <c r="E20" s="32" t="s">
        <v>41</v>
      </c>
      <c r="F20" s="32" t="s">
        <v>97</v>
      </c>
      <c r="G20" s="147" t="s">
        <v>43</v>
      </c>
      <c r="H20" s="117" t="s">
        <v>1490</v>
      </c>
      <c r="I20" s="35"/>
      <c r="J20" s="36"/>
      <c r="K20" s="36"/>
      <c r="L20" s="36"/>
      <c r="M20" s="36"/>
      <c r="N20" s="36"/>
      <c r="O20" s="36"/>
      <c r="P20" s="36"/>
      <c r="Q20" s="36"/>
      <c r="R20" s="36"/>
      <c r="S20" s="36"/>
      <c r="T20" s="36"/>
      <c r="U20" s="36"/>
      <c r="V20" s="36"/>
      <c r="W20" s="36"/>
      <c r="X20" s="36"/>
      <c r="Y20" s="36"/>
      <c r="Z20" s="36"/>
      <c r="AA20" s="36"/>
      <c r="AB20" s="36"/>
    </row>
    <row r="21" spans="1:28" ht="24" customHeight="1">
      <c r="A21" s="30" t="str">
        <f>HYPERLINK("https://www.alcaldiabogota.gov.co/sisjur/normas/Norma1.jsp?i=35367","LEY 1287")</f>
        <v>LEY 1287</v>
      </c>
      <c r="B21" s="41">
        <v>39875</v>
      </c>
      <c r="C21" s="32" t="s">
        <v>507</v>
      </c>
      <c r="D21" s="33" t="s">
        <v>1666</v>
      </c>
      <c r="E21" s="32" t="s">
        <v>41</v>
      </c>
      <c r="F21" s="32" t="s">
        <v>97</v>
      </c>
      <c r="G21" s="147" t="s">
        <v>43</v>
      </c>
      <c r="H21" s="117" t="s">
        <v>1490</v>
      </c>
      <c r="I21" s="74"/>
      <c r="J21" s="36"/>
      <c r="K21" s="36"/>
      <c r="L21" s="36"/>
      <c r="M21" s="36"/>
      <c r="N21" s="36"/>
      <c r="O21" s="36"/>
      <c r="P21" s="36"/>
      <c r="Q21" s="36"/>
      <c r="R21" s="36"/>
      <c r="S21" s="36"/>
      <c r="T21" s="36"/>
      <c r="U21" s="36"/>
      <c r="V21" s="36"/>
      <c r="W21" s="36"/>
      <c r="X21" s="36"/>
      <c r="Y21" s="36"/>
      <c r="Z21" s="36"/>
      <c r="AA21" s="36"/>
      <c r="AB21" s="36"/>
    </row>
    <row r="22" spans="1:28" ht="36" customHeight="1">
      <c r="A22" s="30" t="str">
        <f>HYPERLINK("https://www.funcionpublica.gov.co/eva/gestornormativo/norma.php?i=37150","LEY 1346")</f>
        <v>LEY 1346</v>
      </c>
      <c r="B22" s="41">
        <v>40025</v>
      </c>
      <c r="C22" s="32" t="s">
        <v>507</v>
      </c>
      <c r="D22" s="33" t="s">
        <v>1668</v>
      </c>
      <c r="E22" s="32" t="s">
        <v>41</v>
      </c>
      <c r="F22" s="32" t="s">
        <v>97</v>
      </c>
      <c r="G22" s="147" t="s">
        <v>43</v>
      </c>
      <c r="H22" s="117" t="s">
        <v>1490</v>
      </c>
      <c r="I22" s="35"/>
      <c r="J22" s="36"/>
      <c r="K22" s="36"/>
      <c r="L22" s="36"/>
      <c r="M22" s="36"/>
      <c r="N22" s="36"/>
      <c r="O22" s="36"/>
      <c r="P22" s="36"/>
      <c r="Q22" s="36"/>
      <c r="R22" s="36"/>
      <c r="S22" s="36"/>
      <c r="T22" s="36"/>
      <c r="U22" s="36"/>
      <c r="V22" s="36"/>
      <c r="W22" s="36"/>
      <c r="X22" s="36"/>
      <c r="Y22" s="36"/>
      <c r="Z22" s="36"/>
      <c r="AA22" s="36"/>
      <c r="AB22" s="36"/>
    </row>
    <row r="23" spans="1:28" ht="48" customHeight="1">
      <c r="A23" s="30" t="str">
        <f>HYPERLINK("https://www.icbf.gov.co/cargues/avance/docs/ley_1355_2009.htm","LEY 1355")</f>
        <v>LEY 1355</v>
      </c>
      <c r="B23" s="286">
        <v>40100</v>
      </c>
      <c r="C23" s="32" t="s">
        <v>507</v>
      </c>
      <c r="D23" s="33" t="s">
        <v>1519</v>
      </c>
      <c r="E23" s="32" t="s">
        <v>41</v>
      </c>
      <c r="F23" s="32" t="s">
        <v>97</v>
      </c>
      <c r="G23" s="147" t="s">
        <v>43</v>
      </c>
      <c r="H23" s="117" t="s">
        <v>1490</v>
      </c>
      <c r="I23" s="35"/>
      <c r="J23" s="36"/>
      <c r="K23" s="36"/>
      <c r="L23" s="36"/>
      <c r="M23" s="36"/>
      <c r="N23" s="36"/>
      <c r="O23" s="36"/>
      <c r="P23" s="36"/>
      <c r="Q23" s="36"/>
      <c r="R23" s="36"/>
      <c r="S23" s="36"/>
      <c r="T23" s="36"/>
      <c r="U23" s="36"/>
      <c r="V23" s="36"/>
      <c r="W23" s="36"/>
      <c r="X23" s="36"/>
      <c r="Y23" s="36"/>
      <c r="Z23" s="36"/>
      <c r="AA23" s="36"/>
      <c r="AB23" s="36"/>
    </row>
    <row r="24" spans="1:28" ht="24" customHeight="1">
      <c r="A24" s="30" t="str">
        <f>HYPERLINK("https://www.funcionpublica.gov.co/eva/gestornormativo/norma.php?i=39180","LEY 1383")</f>
        <v>LEY 1383</v>
      </c>
      <c r="B24" s="41">
        <v>40253</v>
      </c>
      <c r="C24" s="32" t="s">
        <v>507</v>
      </c>
      <c r="D24" s="33" t="s">
        <v>1670</v>
      </c>
      <c r="E24" s="32" t="s">
        <v>41</v>
      </c>
      <c r="F24" s="32" t="s">
        <v>97</v>
      </c>
      <c r="G24" s="147" t="s">
        <v>43</v>
      </c>
      <c r="H24" s="117" t="s">
        <v>1490</v>
      </c>
      <c r="I24" s="35"/>
      <c r="J24" s="36"/>
      <c r="K24" s="36"/>
      <c r="L24" s="36"/>
      <c r="M24" s="36"/>
      <c r="N24" s="36"/>
      <c r="O24" s="36"/>
      <c r="P24" s="36"/>
      <c r="Q24" s="36"/>
      <c r="R24" s="36"/>
      <c r="S24" s="36"/>
      <c r="T24" s="36"/>
      <c r="U24" s="36"/>
      <c r="V24" s="36"/>
      <c r="W24" s="36"/>
      <c r="X24" s="36"/>
      <c r="Y24" s="36"/>
      <c r="Z24" s="36"/>
      <c r="AA24" s="36"/>
      <c r="AB24" s="36"/>
    </row>
    <row r="25" spans="1:28" ht="72">
      <c r="A25" s="292" t="str">
        <f>HYPERLINK("http://www.secretariasenado.gov.co/senado/basedoc/ley_1392_2010.html","LEY 1392")</f>
        <v>LEY 1392</v>
      </c>
      <c r="B25" s="41">
        <v>40361</v>
      </c>
      <c r="C25" s="264" t="s">
        <v>507</v>
      </c>
      <c r="D25" s="268" t="s">
        <v>2947</v>
      </c>
      <c r="E25" s="264" t="s">
        <v>41</v>
      </c>
      <c r="F25" s="264" t="s">
        <v>97</v>
      </c>
      <c r="G25" s="147"/>
      <c r="H25" s="117"/>
      <c r="I25" s="35"/>
      <c r="J25" s="36"/>
      <c r="K25" s="36"/>
      <c r="L25" s="36"/>
      <c r="M25" s="36"/>
      <c r="N25" s="36"/>
      <c r="O25" s="36"/>
      <c r="P25" s="36"/>
      <c r="Q25" s="36"/>
      <c r="R25" s="36"/>
      <c r="S25" s="36"/>
      <c r="T25" s="36"/>
      <c r="U25" s="36"/>
      <c r="V25" s="36"/>
      <c r="W25" s="36"/>
      <c r="X25" s="36"/>
      <c r="Y25" s="36"/>
      <c r="Z25" s="36"/>
      <c r="AA25" s="36"/>
      <c r="AB25" s="36"/>
    </row>
    <row r="26" spans="1:28" ht="36" customHeight="1">
      <c r="A26" s="30" t="str">
        <f>HYPERLINK("http://www.secretariasenado.gov.co/senado/basedoc/ley_1448_2011.html","LEY 1448")</f>
        <v>LEY 1448</v>
      </c>
      <c r="B26" s="41">
        <v>40704</v>
      </c>
      <c r="C26" s="32" t="s">
        <v>507</v>
      </c>
      <c r="D26" s="33" t="s">
        <v>982</v>
      </c>
      <c r="E26" s="32" t="s">
        <v>41</v>
      </c>
      <c r="F26" s="32" t="s">
        <v>97</v>
      </c>
      <c r="G26" s="147" t="s">
        <v>43</v>
      </c>
      <c r="H26" s="117" t="s">
        <v>1490</v>
      </c>
      <c r="I26" s="35"/>
      <c r="J26" s="36"/>
      <c r="K26" s="36"/>
      <c r="L26" s="36"/>
      <c r="M26" s="36"/>
      <c r="N26" s="36"/>
      <c r="O26" s="36"/>
      <c r="P26" s="36"/>
      <c r="Q26" s="36"/>
      <c r="R26" s="36"/>
      <c r="S26" s="36"/>
      <c r="T26" s="36"/>
      <c r="U26" s="36"/>
      <c r="V26" s="36"/>
      <c r="W26" s="36"/>
      <c r="X26" s="36"/>
      <c r="Y26" s="36"/>
      <c r="Z26" s="36"/>
      <c r="AA26" s="36"/>
      <c r="AB26" s="36"/>
    </row>
    <row r="27" spans="1:28" ht="36" customHeight="1">
      <c r="A27" s="30" t="str">
        <f>HYPERLINK("https://www.funcionpublica.gov.co/eva/gestornormativo/norma.php?i=47141","LEY 1523")</f>
        <v>LEY 1523</v>
      </c>
      <c r="B27" s="41">
        <v>41023</v>
      </c>
      <c r="C27" s="32" t="s">
        <v>507</v>
      </c>
      <c r="D27" s="33" t="s">
        <v>1672</v>
      </c>
      <c r="E27" s="32" t="s">
        <v>41</v>
      </c>
      <c r="F27" s="32" t="s">
        <v>97</v>
      </c>
      <c r="G27" s="147" t="s">
        <v>43</v>
      </c>
      <c r="H27" s="117" t="s">
        <v>1490</v>
      </c>
      <c r="I27" s="35"/>
      <c r="J27" s="36"/>
      <c r="K27" s="36"/>
      <c r="L27" s="36"/>
      <c r="M27" s="36"/>
      <c r="N27" s="36"/>
      <c r="O27" s="36"/>
      <c r="P27" s="36"/>
      <c r="Q27" s="36"/>
      <c r="R27" s="36"/>
      <c r="S27" s="36"/>
      <c r="T27" s="36"/>
      <c r="U27" s="36"/>
      <c r="V27" s="36"/>
      <c r="W27" s="36"/>
      <c r="X27" s="36"/>
      <c r="Y27" s="36"/>
      <c r="Z27" s="36"/>
      <c r="AA27" s="36"/>
      <c r="AB27" s="36"/>
    </row>
    <row r="28" spans="1:28" ht="24" customHeight="1">
      <c r="A28" s="30" t="str">
        <f>HYPERLINK("https://www.icbf.gov.co/cargues/avance/docs/ley_1618_2013.htm","LEY 1618")</f>
        <v>LEY 1618</v>
      </c>
      <c r="B28" s="41">
        <v>41332</v>
      </c>
      <c r="C28" s="32" t="s">
        <v>507</v>
      </c>
      <c r="D28" s="33" t="s">
        <v>508</v>
      </c>
      <c r="E28" s="32" t="s">
        <v>41</v>
      </c>
      <c r="F28" s="32" t="s">
        <v>97</v>
      </c>
      <c r="G28" s="147" t="s">
        <v>43</v>
      </c>
      <c r="H28" s="117" t="s">
        <v>1490</v>
      </c>
      <c r="I28" s="35"/>
      <c r="J28" s="36"/>
      <c r="K28" s="36"/>
      <c r="L28" s="36"/>
      <c r="M28" s="36"/>
      <c r="N28" s="36"/>
      <c r="O28" s="36"/>
      <c r="P28" s="36"/>
      <c r="Q28" s="36"/>
      <c r="R28" s="36"/>
      <c r="S28" s="36"/>
      <c r="T28" s="36"/>
      <c r="U28" s="36"/>
      <c r="V28" s="36"/>
      <c r="W28" s="36"/>
      <c r="X28" s="36"/>
      <c r="Y28" s="36"/>
      <c r="Z28" s="36"/>
      <c r="AA28" s="36"/>
      <c r="AB28" s="36"/>
    </row>
    <row r="29" spans="1:28" ht="24" customHeight="1">
      <c r="A29" s="293" t="str">
        <f>HYPERLINK("https://www.funcionpublica.gov.co/eva/gestornormativo/norma.php?i=52971","LEY ESTATUTARIA 1622")</f>
        <v>LEY ESTATUTARIA 1622</v>
      </c>
      <c r="B29" s="41">
        <v>41393</v>
      </c>
      <c r="C29" s="32" t="s">
        <v>507</v>
      </c>
      <c r="D29" s="39" t="s">
        <v>2948</v>
      </c>
      <c r="E29" s="40" t="s">
        <v>657</v>
      </c>
      <c r="F29" s="40" t="s">
        <v>2943</v>
      </c>
      <c r="G29" s="147"/>
      <c r="H29" s="117"/>
      <c r="I29" s="35"/>
      <c r="J29" s="36"/>
      <c r="K29" s="36"/>
      <c r="L29" s="36"/>
      <c r="M29" s="36"/>
      <c r="N29" s="36"/>
      <c r="O29" s="36"/>
      <c r="P29" s="36"/>
      <c r="Q29" s="36"/>
      <c r="R29" s="36"/>
      <c r="S29" s="36"/>
      <c r="T29" s="36"/>
      <c r="U29" s="36"/>
      <c r="V29" s="36"/>
      <c r="W29" s="36"/>
      <c r="X29" s="36"/>
      <c r="Y29" s="36"/>
      <c r="Z29" s="36"/>
      <c r="AA29" s="36"/>
      <c r="AB29" s="36"/>
    </row>
    <row r="30" spans="1:28" ht="24" customHeight="1">
      <c r="A30" s="30" t="str">
        <f>HYPERLINK("http://www.secretariasenado.gov.co/senado/basedoc/ley_1801_2016.html","LEY 1801")</f>
        <v>LEY 1801</v>
      </c>
      <c r="B30" s="40" t="s">
        <v>2949</v>
      </c>
      <c r="C30" s="32" t="s">
        <v>507</v>
      </c>
      <c r="D30" s="33" t="s">
        <v>1675</v>
      </c>
      <c r="E30" s="32" t="s">
        <v>41</v>
      </c>
      <c r="F30" s="32" t="s">
        <v>97</v>
      </c>
      <c r="G30" s="147" t="s">
        <v>43</v>
      </c>
      <c r="H30" s="117" t="s">
        <v>1490</v>
      </c>
      <c r="I30" s="35"/>
      <c r="J30" s="36"/>
      <c r="K30" s="36"/>
      <c r="L30" s="36"/>
      <c r="M30" s="36"/>
      <c r="N30" s="36"/>
      <c r="O30" s="36"/>
      <c r="P30" s="36"/>
      <c r="Q30" s="36"/>
      <c r="R30" s="36"/>
      <c r="S30" s="36"/>
      <c r="T30" s="36"/>
      <c r="U30" s="36"/>
      <c r="V30" s="36"/>
      <c r="W30" s="36"/>
      <c r="X30" s="36"/>
      <c r="Y30" s="36"/>
      <c r="Z30" s="36"/>
      <c r="AA30" s="36"/>
      <c r="AB30" s="36"/>
    </row>
    <row r="31" spans="1:28" ht="36" customHeight="1">
      <c r="A31" s="291" t="str">
        <f>HYPERLINK("https://www.icbf.gov.co/cargues/avance/docs/ley_1804_2016.htm","LEY 1804")</f>
        <v>LEY 1804</v>
      </c>
      <c r="B31" s="41">
        <v>42584</v>
      </c>
      <c r="C31" s="264" t="s">
        <v>507</v>
      </c>
      <c r="D31" s="268" t="s">
        <v>2950</v>
      </c>
      <c r="E31" s="264" t="s">
        <v>41</v>
      </c>
      <c r="F31" s="264" t="s">
        <v>97</v>
      </c>
      <c r="G31" s="147"/>
      <c r="H31" s="117"/>
      <c r="I31" s="35"/>
      <c r="J31" s="36"/>
      <c r="K31" s="36"/>
      <c r="L31" s="36"/>
      <c r="M31" s="36"/>
      <c r="N31" s="36"/>
      <c r="O31" s="36"/>
      <c r="P31" s="36"/>
      <c r="Q31" s="36"/>
      <c r="R31" s="36"/>
      <c r="S31" s="36"/>
      <c r="T31" s="36"/>
      <c r="U31" s="36"/>
      <c r="V31" s="36"/>
      <c r="W31" s="36"/>
      <c r="X31" s="36"/>
      <c r="Y31" s="36"/>
      <c r="Z31" s="36"/>
      <c r="AA31" s="36"/>
      <c r="AB31" s="36"/>
    </row>
    <row r="32" spans="1:28" ht="36" customHeight="1">
      <c r="A32" s="30" t="str">
        <f>HYPERLINK("https://www.funcionpublica.gov.co/eva/gestornormativo/norma.php?i=85540","LEY ESTATUTARIA  1885")</f>
        <v>LEY ESTATUTARIA  1885</v>
      </c>
      <c r="B32" s="41">
        <v>43160</v>
      </c>
      <c r="C32" s="32" t="s">
        <v>507</v>
      </c>
      <c r="D32" s="33" t="s">
        <v>1677</v>
      </c>
      <c r="E32" s="32" t="s">
        <v>41</v>
      </c>
      <c r="F32" s="32" t="s">
        <v>97</v>
      </c>
      <c r="G32" s="147" t="s">
        <v>43</v>
      </c>
      <c r="H32" s="117" t="s">
        <v>1490</v>
      </c>
      <c r="I32" s="35"/>
      <c r="J32" s="36"/>
      <c r="K32" s="36"/>
      <c r="L32" s="36"/>
      <c r="M32" s="36"/>
      <c r="N32" s="36"/>
      <c r="O32" s="36"/>
      <c r="P32" s="36"/>
      <c r="Q32" s="36"/>
      <c r="R32" s="36"/>
      <c r="S32" s="36"/>
      <c r="T32" s="36"/>
      <c r="U32" s="36"/>
      <c r="V32" s="36"/>
      <c r="W32" s="36"/>
      <c r="X32" s="36"/>
      <c r="Y32" s="36"/>
      <c r="Z32" s="36"/>
      <c r="AA32" s="36"/>
      <c r="AB32" s="36"/>
    </row>
    <row r="33" spans="1:28" ht="24" customHeight="1">
      <c r="A33" s="291" t="str">
        <f>HYPERLINK("https://dapre.presidencia.gov.co/normativa/normativa/LEY%201987%20DEL%2030%20DE%20JULIO%20DE%202019.pdf","LEY 1987")</f>
        <v>LEY 1987</v>
      </c>
      <c r="B33" s="41">
        <v>43676</v>
      </c>
      <c r="C33" s="264" t="s">
        <v>327</v>
      </c>
      <c r="D33" s="268" t="s">
        <v>2951</v>
      </c>
      <c r="E33" s="264" t="s">
        <v>41</v>
      </c>
      <c r="F33" s="264" t="s">
        <v>2952</v>
      </c>
      <c r="G33" s="147"/>
      <c r="H33" s="117"/>
      <c r="I33" s="35"/>
      <c r="J33" s="36"/>
      <c r="K33" s="36"/>
      <c r="L33" s="36"/>
      <c r="M33" s="36"/>
      <c r="N33" s="36"/>
      <c r="O33" s="36"/>
      <c r="P33" s="36"/>
      <c r="Q33" s="36"/>
      <c r="R33" s="36"/>
      <c r="S33" s="36"/>
      <c r="T33" s="36"/>
      <c r="U33" s="36"/>
      <c r="V33" s="36"/>
      <c r="W33" s="36"/>
      <c r="X33" s="36"/>
      <c r="Y33" s="36"/>
      <c r="Z33" s="36"/>
      <c r="AA33" s="36"/>
      <c r="AB33" s="36"/>
    </row>
    <row r="34" spans="1:28" ht="24" customHeight="1">
      <c r="A34" s="30" t="str">
        <f>HYPERLINK("https://www.mineducacion.gov.co/1759/articles-177832_archivo_pdf_Conpes_109.pdf","CONPES 109")</f>
        <v>CONPES 109</v>
      </c>
      <c r="B34" s="41">
        <v>39419</v>
      </c>
      <c r="C34" s="32" t="s">
        <v>302</v>
      </c>
      <c r="D34" s="33" t="s">
        <v>1687</v>
      </c>
      <c r="E34" s="32" t="s">
        <v>41</v>
      </c>
      <c r="F34" s="32" t="s">
        <v>97</v>
      </c>
      <c r="G34" s="147" t="s">
        <v>43</v>
      </c>
      <c r="H34" s="117" t="s">
        <v>1490</v>
      </c>
      <c r="I34" s="35"/>
      <c r="J34" s="36"/>
      <c r="K34" s="36"/>
      <c r="L34" s="36"/>
      <c r="M34" s="36"/>
      <c r="N34" s="36"/>
      <c r="O34" s="36"/>
      <c r="P34" s="36"/>
      <c r="Q34" s="36"/>
      <c r="R34" s="36"/>
      <c r="S34" s="36"/>
      <c r="T34" s="36"/>
      <c r="U34" s="36"/>
      <c r="V34" s="36"/>
      <c r="W34" s="36"/>
      <c r="X34" s="36"/>
      <c r="Y34" s="36"/>
      <c r="Z34" s="36"/>
      <c r="AA34" s="36"/>
      <c r="AB34" s="36"/>
    </row>
    <row r="35" spans="1:28" ht="24" customHeight="1">
      <c r="A35" s="30" t="str">
        <f>HYPERLINK("https://drive.google.com/open?id=1l8oMz__iguxNxINTnS0aCFymoUeCSBAI","DECRETO 566")</f>
        <v>DECRETO 566</v>
      </c>
      <c r="B35" s="41">
        <v>27918</v>
      </c>
      <c r="C35" s="32" t="s">
        <v>61</v>
      </c>
      <c r="D35" s="33" t="s">
        <v>1689</v>
      </c>
      <c r="E35" s="32" t="s">
        <v>41</v>
      </c>
      <c r="F35" s="32" t="s">
        <v>97</v>
      </c>
      <c r="G35" s="147" t="s">
        <v>43</v>
      </c>
      <c r="H35" s="117" t="s">
        <v>1490</v>
      </c>
      <c r="I35" s="35"/>
      <c r="J35" s="36"/>
      <c r="K35" s="36"/>
      <c r="L35" s="36"/>
      <c r="M35" s="36"/>
      <c r="N35" s="36"/>
      <c r="O35" s="36"/>
      <c r="P35" s="36"/>
      <c r="Q35" s="36"/>
      <c r="R35" s="36"/>
      <c r="S35" s="36"/>
      <c r="T35" s="36"/>
      <c r="U35" s="36"/>
      <c r="V35" s="36"/>
      <c r="W35" s="36"/>
      <c r="X35" s="36"/>
      <c r="Y35" s="36"/>
      <c r="Z35" s="36"/>
      <c r="AA35" s="36"/>
      <c r="AB35" s="36"/>
    </row>
    <row r="36" spans="1:28" ht="24" customHeight="1">
      <c r="A36" s="30" t="str">
        <f>HYPERLINK("https://drive.google.com/open?id=1WkOswuqjWKG9m_rayNsFHUMSL8ICGHPJ","DECRETO 567")</f>
        <v>DECRETO 567</v>
      </c>
      <c r="B36" s="41">
        <v>27918</v>
      </c>
      <c r="C36" s="32" t="s">
        <v>61</v>
      </c>
      <c r="D36" s="33" t="s">
        <v>1690</v>
      </c>
      <c r="E36" s="32" t="s">
        <v>41</v>
      </c>
      <c r="F36" s="32" t="s">
        <v>97</v>
      </c>
      <c r="G36" s="147" t="s">
        <v>43</v>
      </c>
      <c r="H36" s="117" t="s">
        <v>1490</v>
      </c>
      <c r="I36" s="35"/>
      <c r="J36" s="36"/>
      <c r="K36" s="36"/>
      <c r="L36" s="36"/>
      <c r="M36" s="36"/>
      <c r="N36" s="36"/>
      <c r="O36" s="36"/>
      <c r="P36" s="36"/>
      <c r="Q36" s="36"/>
      <c r="R36" s="36"/>
      <c r="S36" s="36"/>
      <c r="T36" s="36"/>
      <c r="U36" s="36"/>
      <c r="V36" s="36"/>
      <c r="W36" s="36"/>
      <c r="X36" s="36"/>
      <c r="Y36" s="36"/>
      <c r="Z36" s="36"/>
      <c r="AA36" s="36"/>
      <c r="AB36" s="36"/>
    </row>
    <row r="37" spans="1:28" ht="24" customHeight="1">
      <c r="A37" s="30" t="str">
        <f>HYPERLINK("https://www.mineducacion.gov.co/1621/articles-86240_archivo_pdf.pdf","DECRETO 1860")</f>
        <v>DECRETO 1860</v>
      </c>
      <c r="B37" s="41">
        <v>34549</v>
      </c>
      <c r="C37" s="32" t="s">
        <v>57</v>
      </c>
      <c r="D37" s="33" t="s">
        <v>1528</v>
      </c>
      <c r="E37" s="32" t="s">
        <v>41</v>
      </c>
      <c r="F37" s="32" t="s">
        <v>97</v>
      </c>
      <c r="G37" s="147" t="s">
        <v>43</v>
      </c>
      <c r="H37" s="117" t="s">
        <v>1490</v>
      </c>
      <c r="I37" s="35"/>
      <c r="J37" s="36"/>
      <c r="K37" s="36"/>
      <c r="L37" s="36"/>
      <c r="M37" s="36"/>
      <c r="N37" s="36"/>
      <c r="O37" s="36"/>
      <c r="P37" s="36"/>
      <c r="Q37" s="36"/>
      <c r="R37" s="36"/>
      <c r="S37" s="36"/>
      <c r="T37" s="36"/>
      <c r="U37" s="36"/>
      <c r="V37" s="36"/>
      <c r="W37" s="36"/>
      <c r="X37" s="36"/>
      <c r="Y37" s="36"/>
      <c r="Z37" s="36"/>
      <c r="AA37" s="36"/>
      <c r="AB37" s="36"/>
    </row>
    <row r="38" spans="1:28" ht="36" customHeight="1">
      <c r="A38" s="30" t="str">
        <f>HYPERLINK("https://www.alcaldiabogota.gov.co/sisjur/normas/Norma1.jsp?i=1927&amp;dt=S","DECRETO 639")</f>
        <v>DECRETO 639</v>
      </c>
      <c r="B38" s="41">
        <v>35345</v>
      </c>
      <c r="C38" s="32" t="s">
        <v>61</v>
      </c>
      <c r="D38" s="33" t="s">
        <v>1692</v>
      </c>
      <c r="E38" s="32" t="s">
        <v>41</v>
      </c>
      <c r="F38" s="32" t="s">
        <v>97</v>
      </c>
      <c r="G38" s="147" t="s">
        <v>43</v>
      </c>
      <c r="H38" s="117" t="s">
        <v>1490</v>
      </c>
      <c r="I38" s="35"/>
      <c r="J38" s="36"/>
      <c r="K38" s="36"/>
      <c r="L38" s="36"/>
      <c r="M38" s="36"/>
      <c r="N38" s="36"/>
      <c r="O38" s="36"/>
      <c r="P38" s="36"/>
      <c r="Q38" s="36"/>
      <c r="R38" s="36"/>
      <c r="S38" s="36"/>
      <c r="T38" s="36"/>
      <c r="U38" s="36"/>
      <c r="V38" s="36"/>
      <c r="W38" s="36"/>
      <c r="X38" s="36"/>
      <c r="Y38" s="36"/>
      <c r="Z38" s="36"/>
      <c r="AA38" s="36"/>
      <c r="AB38" s="36"/>
    </row>
    <row r="39" spans="1:28" ht="131.25" customHeight="1">
      <c r="A39" s="30" t="str">
        <f>HYPERLINK("https://www.alcaldiabogota.gov.co/sisjur/normas/Norma1.jsp?i=9706","DECRETO 350")</f>
        <v>DECRETO 350</v>
      </c>
      <c r="B39" s="31">
        <v>37902</v>
      </c>
      <c r="C39" s="32" t="s">
        <v>61</v>
      </c>
      <c r="D39" s="33" t="s">
        <v>534</v>
      </c>
      <c r="E39" s="32" t="s">
        <v>1693</v>
      </c>
      <c r="F39" s="39" t="s">
        <v>2953</v>
      </c>
      <c r="G39" s="147" t="s">
        <v>43</v>
      </c>
      <c r="H39" s="117" t="s">
        <v>1490</v>
      </c>
      <c r="I39" s="35"/>
      <c r="J39" s="36"/>
      <c r="K39" s="36"/>
      <c r="L39" s="36"/>
      <c r="M39" s="36"/>
      <c r="N39" s="36"/>
      <c r="O39" s="36"/>
      <c r="P39" s="36"/>
      <c r="Q39" s="36"/>
      <c r="R39" s="36"/>
      <c r="S39" s="36"/>
      <c r="T39" s="36"/>
      <c r="U39" s="36"/>
      <c r="V39" s="36"/>
      <c r="W39" s="36"/>
      <c r="X39" s="36"/>
      <c r="Y39" s="36"/>
      <c r="Z39" s="36"/>
      <c r="AA39" s="36"/>
      <c r="AB39" s="36"/>
    </row>
    <row r="40" spans="1:28" ht="24" customHeight="1">
      <c r="A40" s="30" t="str">
        <f>HYPERLINK("https://www.alcaldiabogota.gov.co/sisjur/normas/Norma1.jsp?i=16540","DECRETO 1538")</f>
        <v>DECRETO 1538</v>
      </c>
      <c r="B40" s="41">
        <v>38489</v>
      </c>
      <c r="C40" s="32" t="s">
        <v>57</v>
      </c>
      <c r="D40" s="33" t="s">
        <v>1696</v>
      </c>
      <c r="E40" s="32" t="s">
        <v>41</v>
      </c>
      <c r="F40" s="32" t="s">
        <v>97</v>
      </c>
      <c r="G40" s="147" t="s">
        <v>43</v>
      </c>
      <c r="H40" s="117" t="s">
        <v>1490</v>
      </c>
      <c r="I40" s="35"/>
      <c r="J40" s="36"/>
      <c r="K40" s="36"/>
      <c r="L40" s="36"/>
      <c r="M40" s="36"/>
      <c r="N40" s="36"/>
      <c r="O40" s="36"/>
      <c r="P40" s="36"/>
      <c r="Q40" s="36"/>
      <c r="R40" s="36"/>
      <c r="S40" s="36"/>
      <c r="T40" s="36"/>
      <c r="U40" s="36"/>
      <c r="V40" s="36"/>
      <c r="W40" s="36"/>
      <c r="X40" s="36"/>
      <c r="Y40" s="36"/>
      <c r="Z40" s="36"/>
      <c r="AA40" s="36"/>
      <c r="AB40" s="36"/>
    </row>
    <row r="41" spans="1:28" ht="24" customHeight="1">
      <c r="A41" s="30" t="str">
        <f>HYPERLINK("https://www.alcaldiabogota.gov.co/sisjur/normas/Norma1.jsp?i=22240","DECRETO 482")</f>
        <v>DECRETO 482</v>
      </c>
      <c r="B41" s="286">
        <v>39048</v>
      </c>
      <c r="C41" s="32" t="s">
        <v>61</v>
      </c>
      <c r="D41" s="33" t="s">
        <v>1540</v>
      </c>
      <c r="E41" s="32" t="s">
        <v>41</v>
      </c>
      <c r="F41" s="32" t="s">
        <v>97</v>
      </c>
      <c r="G41" s="147" t="s">
        <v>43</v>
      </c>
      <c r="H41" s="117" t="s">
        <v>1490</v>
      </c>
      <c r="I41" s="35"/>
      <c r="J41" s="36"/>
      <c r="K41" s="36"/>
      <c r="L41" s="36"/>
      <c r="M41" s="36"/>
      <c r="N41" s="36"/>
      <c r="O41" s="36"/>
      <c r="P41" s="36"/>
      <c r="Q41" s="36"/>
      <c r="R41" s="36"/>
      <c r="S41" s="36"/>
      <c r="T41" s="36"/>
      <c r="U41" s="36"/>
      <c r="V41" s="36"/>
      <c r="W41" s="36"/>
      <c r="X41" s="36"/>
      <c r="Y41" s="36"/>
      <c r="Z41" s="36"/>
      <c r="AA41" s="36"/>
      <c r="AB41" s="36"/>
    </row>
    <row r="42" spans="1:28" ht="24" customHeight="1">
      <c r="A42" s="30" t="str">
        <f>HYPERLINK("http://www.saludcapital.gov.co/Normas_Pobl_Vulnerable/Decreto_470_de_2007.pdf","DECRETO 470")</f>
        <v>DECRETO 470</v>
      </c>
      <c r="B42" s="286">
        <v>39367</v>
      </c>
      <c r="C42" s="32" t="s">
        <v>61</v>
      </c>
      <c r="D42" s="33" t="s">
        <v>1698</v>
      </c>
      <c r="E42" s="32" t="s">
        <v>41</v>
      </c>
      <c r="F42" s="32" t="s">
        <v>97</v>
      </c>
      <c r="G42" s="147" t="s">
        <v>43</v>
      </c>
      <c r="H42" s="117" t="s">
        <v>1490</v>
      </c>
      <c r="I42" s="35"/>
      <c r="J42" s="36"/>
      <c r="K42" s="36"/>
      <c r="L42" s="36"/>
      <c r="M42" s="36"/>
      <c r="N42" s="36"/>
      <c r="O42" s="36"/>
      <c r="P42" s="36"/>
      <c r="Q42" s="36"/>
      <c r="R42" s="36"/>
      <c r="S42" s="36"/>
      <c r="T42" s="36"/>
      <c r="U42" s="36"/>
      <c r="V42" s="36"/>
      <c r="W42" s="36"/>
      <c r="X42" s="36"/>
      <c r="Y42" s="36"/>
      <c r="Z42" s="36"/>
      <c r="AA42" s="36"/>
      <c r="AB42" s="36"/>
    </row>
    <row r="43" spans="1:28" ht="48" customHeight="1">
      <c r="A43" s="30" t="str">
        <f>HYPERLINK("https://www.alcaldiabogota.gov.co/sisjur/normas/Norma1.jsp?i=30505","DECRETO 151")</f>
        <v>DECRETO 151</v>
      </c>
      <c r="B43" s="41">
        <v>39589</v>
      </c>
      <c r="C43" s="32" t="s">
        <v>61</v>
      </c>
      <c r="D43" s="33" t="s">
        <v>1700</v>
      </c>
      <c r="E43" s="32" t="s">
        <v>41</v>
      </c>
      <c r="F43" s="40" t="s">
        <v>2943</v>
      </c>
      <c r="G43" s="147" t="s">
        <v>43</v>
      </c>
      <c r="H43" s="117" t="s">
        <v>1490</v>
      </c>
      <c r="I43" s="35"/>
      <c r="J43" s="36"/>
      <c r="K43" s="36"/>
      <c r="L43" s="36"/>
      <c r="M43" s="36"/>
      <c r="N43" s="36"/>
      <c r="O43" s="36"/>
      <c r="P43" s="36"/>
      <c r="Q43" s="36"/>
      <c r="R43" s="36"/>
      <c r="S43" s="36"/>
      <c r="T43" s="36"/>
      <c r="U43" s="36"/>
      <c r="V43" s="36"/>
      <c r="W43" s="36"/>
      <c r="X43" s="36"/>
      <c r="Y43" s="36"/>
      <c r="Z43" s="36"/>
      <c r="AA43" s="36"/>
      <c r="AB43" s="36"/>
    </row>
    <row r="44" spans="1:28" ht="36" customHeight="1">
      <c r="A44" s="30" t="str">
        <f>HYPERLINK("https://www.alcaldiabogota.gov.co/sisjur/normas/Norma1.jsp?i=26492&amp;dt=S","DECRETO 403")</f>
        <v>DECRETO 403</v>
      </c>
      <c r="B44" s="40" t="s">
        <v>2954</v>
      </c>
      <c r="C44" s="32" t="s">
        <v>61</v>
      </c>
      <c r="D44" s="33" t="s">
        <v>1702</v>
      </c>
      <c r="E44" s="32" t="s">
        <v>41</v>
      </c>
      <c r="F44" s="32" t="s">
        <v>97</v>
      </c>
      <c r="G44" s="147" t="s">
        <v>43</v>
      </c>
      <c r="H44" s="117" t="s">
        <v>1490</v>
      </c>
      <c r="I44" s="35"/>
      <c r="J44" s="36"/>
      <c r="K44" s="36"/>
      <c r="L44" s="36"/>
      <c r="M44" s="36"/>
      <c r="N44" s="36"/>
      <c r="O44" s="36"/>
      <c r="P44" s="36"/>
      <c r="Q44" s="36"/>
      <c r="R44" s="36"/>
      <c r="S44" s="36"/>
      <c r="T44" s="36"/>
      <c r="U44" s="36"/>
      <c r="V44" s="36"/>
      <c r="W44" s="36"/>
      <c r="X44" s="36"/>
      <c r="Y44" s="36"/>
      <c r="Z44" s="36"/>
      <c r="AA44" s="36"/>
      <c r="AB44" s="36"/>
    </row>
    <row r="45" spans="1:28" ht="36" customHeight="1">
      <c r="A45" s="30" t="str">
        <f>HYPERLINK("https://www.funcionpublica.gov.co/eva/gestornormativo/norma.php?i=31692","DECRETO 2771 ")</f>
        <v xml:space="preserve">DECRETO 2771 </v>
      </c>
      <c r="B45" s="41">
        <v>39659</v>
      </c>
      <c r="C45" s="32" t="s">
        <v>57</v>
      </c>
      <c r="D45" s="33" t="s">
        <v>1704</v>
      </c>
      <c r="E45" s="32" t="s">
        <v>41</v>
      </c>
      <c r="F45" s="32" t="s">
        <v>97</v>
      </c>
      <c r="G45" s="147" t="s">
        <v>43</v>
      </c>
      <c r="H45" s="117" t="s">
        <v>1490</v>
      </c>
      <c r="I45" s="35"/>
      <c r="J45" s="36"/>
      <c r="K45" s="36"/>
      <c r="L45" s="36"/>
      <c r="M45" s="36"/>
      <c r="N45" s="36"/>
      <c r="O45" s="36"/>
      <c r="P45" s="36"/>
      <c r="Q45" s="36"/>
      <c r="R45" s="36"/>
      <c r="S45" s="36"/>
      <c r="T45" s="36"/>
      <c r="U45" s="36"/>
      <c r="V45" s="36"/>
      <c r="W45" s="36"/>
      <c r="X45" s="36"/>
      <c r="Y45" s="36"/>
      <c r="Z45" s="36"/>
      <c r="AA45" s="36"/>
      <c r="AB45" s="36"/>
    </row>
    <row r="46" spans="1:28" ht="24" customHeight="1">
      <c r="A46" s="30" t="str">
        <f>HYPERLINK("http://www.saludcapital.gov.co/Normas_Pobl_Vulnerable/Decreto_166_de_2010.pdf","DECRETO 166")</f>
        <v>DECRETO 166</v>
      </c>
      <c r="B46" s="41">
        <v>40302</v>
      </c>
      <c r="C46" s="32" t="s">
        <v>61</v>
      </c>
      <c r="D46" s="33" t="s">
        <v>1016</v>
      </c>
      <c r="E46" s="32" t="s">
        <v>41</v>
      </c>
      <c r="F46" s="32" t="s">
        <v>97</v>
      </c>
      <c r="G46" s="147" t="s">
        <v>43</v>
      </c>
      <c r="H46" s="117" t="s">
        <v>1490</v>
      </c>
      <c r="I46" s="35"/>
      <c r="J46" s="36"/>
      <c r="K46" s="36"/>
      <c r="L46" s="36"/>
      <c r="M46" s="36"/>
      <c r="N46" s="36"/>
      <c r="O46" s="36"/>
      <c r="P46" s="36"/>
      <c r="Q46" s="36"/>
      <c r="R46" s="36"/>
      <c r="S46" s="36"/>
      <c r="T46" s="36"/>
      <c r="U46" s="36"/>
      <c r="V46" s="36"/>
      <c r="W46" s="36"/>
      <c r="X46" s="36"/>
      <c r="Y46" s="36"/>
      <c r="Z46" s="36"/>
      <c r="AA46" s="36"/>
      <c r="AB46" s="36"/>
    </row>
    <row r="47" spans="1:28" ht="24" customHeight="1">
      <c r="A47" s="30" t="str">
        <f>HYPERLINK("https://www.alcaldiabogota.gov.co/sisjur/normas/Norma1.jsp?i=40243&amp;dt=S","DECRETO 345")</f>
        <v>DECRETO 345</v>
      </c>
      <c r="B47" s="41">
        <v>40408</v>
      </c>
      <c r="C47" s="32" t="s">
        <v>61</v>
      </c>
      <c r="D47" s="33" t="s">
        <v>1707</v>
      </c>
      <c r="E47" s="32" t="s">
        <v>41</v>
      </c>
      <c r="F47" s="32" t="s">
        <v>97</v>
      </c>
      <c r="G47" s="147" t="s">
        <v>43</v>
      </c>
      <c r="H47" s="117" t="s">
        <v>1490</v>
      </c>
      <c r="I47" s="35"/>
      <c r="J47" s="36"/>
      <c r="K47" s="36"/>
      <c r="L47" s="36"/>
      <c r="M47" s="36"/>
      <c r="N47" s="36"/>
      <c r="O47" s="36"/>
      <c r="P47" s="36"/>
      <c r="Q47" s="36"/>
      <c r="R47" s="36"/>
      <c r="S47" s="36"/>
      <c r="T47" s="36"/>
      <c r="U47" s="36"/>
      <c r="V47" s="36"/>
      <c r="W47" s="36"/>
      <c r="X47" s="36"/>
      <c r="Y47" s="36"/>
      <c r="Z47" s="36"/>
      <c r="AA47" s="36"/>
      <c r="AB47" s="36"/>
    </row>
    <row r="48" spans="1:28" ht="24" customHeight="1">
      <c r="A48" s="30" t="str">
        <f>HYPERLINK("https://www.alcaldiabogota.gov.co/sisjur/normas/Norma1.jsp?i=44762&amp;dt=S","DECRETO 520")</f>
        <v>DECRETO 520</v>
      </c>
      <c r="B48" s="286">
        <v>40871</v>
      </c>
      <c r="C48" s="32" t="s">
        <v>61</v>
      </c>
      <c r="D48" s="268" t="s">
        <v>2955</v>
      </c>
      <c r="E48" s="32" t="s">
        <v>41</v>
      </c>
      <c r="F48" s="32" t="s">
        <v>97</v>
      </c>
      <c r="G48" s="147" t="s">
        <v>43</v>
      </c>
      <c r="H48" s="117" t="s">
        <v>1490</v>
      </c>
      <c r="I48" s="35"/>
      <c r="J48" s="36"/>
      <c r="K48" s="36"/>
      <c r="L48" s="36"/>
      <c r="M48" s="36"/>
      <c r="N48" s="36"/>
      <c r="O48" s="36"/>
      <c r="P48" s="36"/>
      <c r="Q48" s="36"/>
      <c r="R48" s="36"/>
      <c r="S48" s="36"/>
      <c r="T48" s="36"/>
      <c r="U48" s="36"/>
      <c r="V48" s="36"/>
      <c r="W48" s="36"/>
      <c r="X48" s="36"/>
      <c r="Y48" s="36"/>
      <c r="Z48" s="36"/>
      <c r="AA48" s="36"/>
      <c r="AB48" s="36"/>
    </row>
    <row r="49" spans="1:28" ht="24" customHeight="1">
      <c r="A49" s="30" t="str">
        <f>HYPERLINK("https://www.alcaldiabogota.gov.co/sisjur/normas/Norma1.jsp?i=44832&amp;dt=S","DECRETO 543")</f>
        <v>DECRETO 543</v>
      </c>
      <c r="B49" s="286">
        <v>40879</v>
      </c>
      <c r="C49" s="32" t="s">
        <v>61</v>
      </c>
      <c r="D49" s="33" t="s">
        <v>1711</v>
      </c>
      <c r="E49" s="32" t="s">
        <v>41</v>
      </c>
      <c r="F49" s="32" t="s">
        <v>97</v>
      </c>
      <c r="G49" s="147" t="s">
        <v>43</v>
      </c>
      <c r="H49" s="117" t="s">
        <v>1490</v>
      </c>
      <c r="I49" s="35"/>
      <c r="J49" s="36"/>
      <c r="K49" s="36"/>
      <c r="L49" s="36"/>
      <c r="M49" s="36"/>
      <c r="N49" s="36"/>
      <c r="O49" s="36"/>
      <c r="P49" s="36"/>
      <c r="Q49" s="36"/>
      <c r="R49" s="36"/>
      <c r="S49" s="36"/>
      <c r="T49" s="36"/>
      <c r="U49" s="36"/>
      <c r="V49" s="36"/>
      <c r="W49" s="36"/>
      <c r="X49" s="36"/>
      <c r="Y49" s="36"/>
      <c r="Z49" s="36"/>
      <c r="AA49" s="36"/>
      <c r="AB49" s="36"/>
    </row>
    <row r="50" spans="1:28" ht="24" customHeight="1">
      <c r="A50" s="269" t="str">
        <f>HYPERLINK("https://www.alcaldiabogota.gov.co/sisjur/normas/Norma1.jsp?i=44836","DECRETO 544")</f>
        <v>DECRETO 544</v>
      </c>
      <c r="B50" s="286">
        <v>40879</v>
      </c>
      <c r="C50" s="32" t="s">
        <v>61</v>
      </c>
      <c r="D50" s="33" t="s">
        <v>1026</v>
      </c>
      <c r="E50" s="32" t="s">
        <v>41</v>
      </c>
      <c r="F50" s="32" t="s">
        <v>97</v>
      </c>
      <c r="G50" s="147" t="s">
        <v>43</v>
      </c>
      <c r="H50" s="117" t="s">
        <v>1490</v>
      </c>
      <c r="I50" s="35"/>
      <c r="J50" s="36"/>
      <c r="K50" s="36"/>
      <c r="L50" s="36"/>
      <c r="M50" s="36"/>
      <c r="N50" s="36"/>
      <c r="O50" s="36"/>
      <c r="P50" s="36"/>
      <c r="Q50" s="36"/>
      <c r="R50" s="36"/>
      <c r="S50" s="36"/>
      <c r="T50" s="36"/>
      <c r="U50" s="36"/>
      <c r="V50" s="36"/>
      <c r="W50" s="36"/>
      <c r="X50" s="36"/>
      <c r="Y50" s="36"/>
      <c r="Z50" s="36"/>
      <c r="AA50" s="36"/>
      <c r="AB50" s="36"/>
    </row>
    <row r="51" spans="1:28" ht="48" customHeight="1">
      <c r="A51" s="30" t="str">
        <f>HYPERLINK("https://www.alcaldiabogota.gov.co/sisjur/normas/Norma1.jsp?i=44954","DECRETO 554")</f>
        <v>DECRETO 554</v>
      </c>
      <c r="B51" s="41">
        <v>40884</v>
      </c>
      <c r="C51" s="32" t="s">
        <v>61</v>
      </c>
      <c r="D51" s="33" t="s">
        <v>1712</v>
      </c>
      <c r="E51" s="32" t="s">
        <v>41</v>
      </c>
      <c r="F51" s="32" t="s">
        <v>97</v>
      </c>
      <c r="G51" s="147" t="s">
        <v>43</v>
      </c>
      <c r="H51" s="117" t="s">
        <v>1490</v>
      </c>
      <c r="I51" s="35"/>
      <c r="J51" s="36"/>
      <c r="K51" s="36"/>
      <c r="L51" s="36"/>
      <c r="M51" s="36"/>
      <c r="N51" s="36"/>
      <c r="O51" s="36"/>
      <c r="P51" s="36"/>
      <c r="Q51" s="36"/>
      <c r="R51" s="36"/>
      <c r="S51" s="36"/>
      <c r="T51" s="36"/>
      <c r="U51" s="36"/>
      <c r="V51" s="36"/>
      <c r="W51" s="36"/>
      <c r="X51" s="36"/>
      <c r="Y51" s="36"/>
      <c r="Z51" s="36"/>
      <c r="AA51" s="36"/>
      <c r="AB51" s="36"/>
    </row>
    <row r="52" spans="1:28" ht="24" customHeight="1">
      <c r="A52" s="269" t="str">
        <f>HYPERLINK("https://www.alcaldiabogota.gov.co/sisjur/normas/Norma1.jsp?i=44834","DECRETO 545")</f>
        <v>DECRETO 545</v>
      </c>
      <c r="B52" s="41">
        <v>40849</v>
      </c>
      <c r="C52" s="32" t="s">
        <v>61</v>
      </c>
      <c r="D52" s="33" t="s">
        <v>1028</v>
      </c>
      <c r="E52" s="32" t="s">
        <v>41</v>
      </c>
      <c r="F52" s="32" t="s">
        <v>97</v>
      </c>
      <c r="G52" s="147" t="s">
        <v>43</v>
      </c>
      <c r="H52" s="117" t="s">
        <v>1490</v>
      </c>
      <c r="I52" s="35"/>
      <c r="J52" s="36"/>
      <c r="K52" s="36"/>
      <c r="L52" s="36"/>
      <c r="M52" s="36"/>
      <c r="N52" s="36"/>
      <c r="O52" s="36"/>
      <c r="P52" s="36"/>
      <c r="Q52" s="36"/>
      <c r="R52" s="36"/>
      <c r="S52" s="36"/>
      <c r="T52" s="36"/>
      <c r="U52" s="36"/>
      <c r="V52" s="36"/>
      <c r="W52" s="36"/>
      <c r="X52" s="36"/>
      <c r="Y52" s="36"/>
      <c r="Z52" s="36"/>
      <c r="AA52" s="36"/>
      <c r="AB52" s="36"/>
    </row>
    <row r="53" spans="1:28" ht="24" customHeight="1">
      <c r="A53" s="30" t="str">
        <f>HYPERLINK("https://www.alcaldiabogota.gov.co/sisjur/normas/Norma1.jsp?i=45063","DECRETO 4800")</f>
        <v>DECRETO 4800</v>
      </c>
      <c r="B53" s="286">
        <v>40897</v>
      </c>
      <c r="C53" s="32" t="s">
        <v>520</v>
      </c>
      <c r="D53" s="33" t="s">
        <v>1720</v>
      </c>
      <c r="E53" s="32" t="s">
        <v>41</v>
      </c>
      <c r="F53" s="32" t="s">
        <v>97</v>
      </c>
      <c r="G53" s="147" t="s">
        <v>43</v>
      </c>
      <c r="H53" s="117" t="s">
        <v>1490</v>
      </c>
      <c r="I53" s="35"/>
      <c r="J53" s="36"/>
      <c r="K53" s="36"/>
      <c r="L53" s="36"/>
      <c r="M53" s="36"/>
      <c r="N53" s="36"/>
      <c r="O53" s="36"/>
      <c r="P53" s="36"/>
      <c r="Q53" s="36"/>
      <c r="R53" s="36"/>
      <c r="S53" s="36"/>
      <c r="T53" s="36"/>
      <c r="U53" s="36"/>
      <c r="V53" s="36"/>
      <c r="W53" s="36"/>
      <c r="X53" s="36"/>
      <c r="Y53" s="36"/>
      <c r="Z53" s="36"/>
      <c r="AA53" s="36"/>
      <c r="AB53" s="36"/>
    </row>
    <row r="54" spans="1:28" ht="24" customHeight="1">
      <c r="A54" s="291" t="str">
        <f>HYPERLINK("http://www.saludcapital.gov.co/DocumentosPoliticasEnSalud/Pol%C3%ADtica%20P%C3%BAblica%20Distrital%20para%20los%20grupos%20%C3%A9tnicos.pdf","DECRETO 582")</f>
        <v>DECRETO 582</v>
      </c>
      <c r="B54" s="41">
        <v>40892</v>
      </c>
      <c r="C54" s="264" t="s">
        <v>61</v>
      </c>
      <c r="D54" s="268" t="s">
        <v>2956</v>
      </c>
      <c r="E54" s="264" t="s">
        <v>41</v>
      </c>
      <c r="F54" s="264" t="s">
        <v>97</v>
      </c>
      <c r="G54" s="147"/>
      <c r="H54" s="117"/>
      <c r="I54" s="35"/>
      <c r="J54" s="36"/>
      <c r="K54" s="36"/>
      <c r="L54" s="36"/>
      <c r="M54" s="36"/>
      <c r="N54" s="36"/>
      <c r="O54" s="36"/>
      <c r="P54" s="36"/>
      <c r="Q54" s="36"/>
      <c r="R54" s="36"/>
      <c r="S54" s="36"/>
      <c r="T54" s="36"/>
      <c r="U54" s="36"/>
      <c r="V54" s="36"/>
      <c r="W54" s="36"/>
      <c r="X54" s="36"/>
      <c r="Y54" s="36"/>
      <c r="Z54" s="36"/>
      <c r="AA54" s="36"/>
      <c r="AB54" s="36"/>
    </row>
    <row r="55" spans="1:28" ht="24" customHeight="1">
      <c r="A55" s="291" t="str">
        <f>HYPERLINK("http://legal.legis.com.co/document/Index?obra=legcol&amp;document=legcol_b374e772a2d601ece0430a01015101ec","DECRETO 499")</f>
        <v>DECRETO 499</v>
      </c>
      <c r="B55" s="41">
        <v>40858</v>
      </c>
      <c r="C55" s="264" t="s">
        <v>61</v>
      </c>
      <c r="D55" s="268" t="s">
        <v>2957</v>
      </c>
      <c r="E55" s="264" t="s">
        <v>41</v>
      </c>
      <c r="F55" s="264" t="s">
        <v>97</v>
      </c>
      <c r="G55" s="147"/>
      <c r="H55" s="117"/>
      <c r="I55" s="35"/>
      <c r="J55" s="36"/>
      <c r="K55" s="36"/>
      <c r="L55" s="36"/>
      <c r="M55" s="36"/>
      <c r="N55" s="36"/>
      <c r="O55" s="36"/>
      <c r="P55" s="36"/>
      <c r="Q55" s="36"/>
      <c r="R55" s="36"/>
      <c r="S55" s="36"/>
      <c r="T55" s="36"/>
      <c r="U55" s="36"/>
      <c r="V55" s="36"/>
      <c r="W55" s="36"/>
      <c r="X55" s="36"/>
      <c r="Y55" s="36"/>
      <c r="Z55" s="36"/>
      <c r="AA55" s="36"/>
      <c r="AB55" s="36"/>
    </row>
    <row r="56" spans="1:28" ht="24" customHeight="1">
      <c r="A56" s="291" t="str">
        <f>HYPERLINK("https://www.minsalud.gov.co/sites/rid/Lists/BibliotecaDigital/RIDE/INEC/IGUB/presidencia-decreto-2957-de-2010.pdf","DECRETO 2957")</f>
        <v>DECRETO 2957</v>
      </c>
      <c r="B56" s="41">
        <v>40761</v>
      </c>
      <c r="C56" s="32" t="s">
        <v>57</v>
      </c>
      <c r="D56" s="268" t="s">
        <v>2958</v>
      </c>
      <c r="E56" s="264" t="s">
        <v>41</v>
      </c>
      <c r="F56" s="264" t="s">
        <v>97</v>
      </c>
      <c r="G56" s="147"/>
      <c r="H56" s="117"/>
      <c r="I56" s="35"/>
      <c r="J56" s="36"/>
      <c r="K56" s="36"/>
      <c r="L56" s="36"/>
      <c r="M56" s="36"/>
      <c r="N56" s="36"/>
      <c r="O56" s="36"/>
      <c r="P56" s="36"/>
      <c r="Q56" s="36"/>
      <c r="R56" s="36"/>
      <c r="S56" s="36"/>
      <c r="T56" s="36"/>
      <c r="U56" s="36"/>
      <c r="V56" s="36"/>
      <c r="W56" s="36"/>
      <c r="X56" s="36"/>
      <c r="Y56" s="36"/>
      <c r="Z56" s="36"/>
      <c r="AA56" s="36"/>
      <c r="AB56" s="36"/>
    </row>
    <row r="57" spans="1:28" ht="24" customHeight="1">
      <c r="A57" s="30" t="str">
        <f>HYPERLINK("https://www.alcaldiabogota.gov.co/sisjur/normas/Norma1.jsp?i=47809","DECRETO 1258")</f>
        <v>DECRETO 1258</v>
      </c>
      <c r="B57" s="41">
        <v>41074</v>
      </c>
      <c r="C57" s="32" t="s">
        <v>57</v>
      </c>
      <c r="D57" s="33" t="s">
        <v>1722</v>
      </c>
      <c r="E57" s="32" t="s">
        <v>41</v>
      </c>
      <c r="F57" s="32" t="s">
        <v>97</v>
      </c>
      <c r="G57" s="147" t="s">
        <v>43</v>
      </c>
      <c r="H57" s="117" t="s">
        <v>1490</v>
      </c>
      <c r="I57" s="35"/>
      <c r="J57" s="36"/>
      <c r="K57" s="36"/>
      <c r="L57" s="36"/>
      <c r="M57" s="36"/>
      <c r="N57" s="36"/>
      <c r="O57" s="36"/>
      <c r="P57" s="36"/>
      <c r="Q57" s="36"/>
      <c r="R57" s="36"/>
      <c r="S57" s="36"/>
      <c r="T57" s="36"/>
      <c r="U57" s="36"/>
      <c r="V57" s="36"/>
      <c r="W57" s="36"/>
      <c r="X57" s="36"/>
      <c r="Y57" s="36"/>
      <c r="Z57" s="36"/>
      <c r="AA57" s="36"/>
      <c r="AB57" s="36"/>
    </row>
    <row r="58" spans="1:28" ht="24" customHeight="1">
      <c r="A58" s="30" t="str">
        <f>HYPERLINK("https://www.alcaldiabogota.gov.co/sisjur/normas/Norma1.jsp?i=54978","DECRETO 456")</f>
        <v>DECRETO 456</v>
      </c>
      <c r="B58" s="38">
        <v>41558</v>
      </c>
      <c r="C58" s="32" t="s">
        <v>61</v>
      </c>
      <c r="D58" s="33" t="s">
        <v>547</v>
      </c>
      <c r="E58" s="32" t="s">
        <v>41</v>
      </c>
      <c r="F58" s="32" t="s">
        <v>97</v>
      </c>
      <c r="G58" s="147" t="s">
        <v>43</v>
      </c>
      <c r="H58" s="117" t="s">
        <v>1490</v>
      </c>
      <c r="I58" s="35"/>
      <c r="J58" s="36"/>
      <c r="K58" s="36"/>
      <c r="L58" s="36"/>
      <c r="M58" s="36"/>
      <c r="N58" s="36"/>
      <c r="O58" s="36"/>
      <c r="P58" s="36"/>
      <c r="Q58" s="36"/>
      <c r="R58" s="36"/>
      <c r="S58" s="36"/>
      <c r="T58" s="36"/>
      <c r="U58" s="36"/>
      <c r="V58" s="36"/>
      <c r="W58" s="36"/>
      <c r="X58" s="36"/>
      <c r="Y58" s="36"/>
      <c r="Z58" s="36"/>
      <c r="AA58" s="36"/>
      <c r="AB58" s="36"/>
    </row>
    <row r="59" spans="1:28" ht="84" customHeight="1">
      <c r="A59" s="30" t="str">
        <f>HYPERLINK("https://www.alcaldiabogota.gov.co/sisjur/normas/Norma1.jsp?i=56034","DECRETO 599")</f>
        <v>DECRETO 599</v>
      </c>
      <c r="B59" s="286">
        <v>41634</v>
      </c>
      <c r="C59" s="32" t="s">
        <v>61</v>
      </c>
      <c r="D59" s="33" t="s">
        <v>1723</v>
      </c>
      <c r="E59" s="32" t="s">
        <v>41</v>
      </c>
      <c r="F59" s="32" t="s">
        <v>97</v>
      </c>
      <c r="G59" s="147" t="s">
        <v>43</v>
      </c>
      <c r="H59" s="117" t="s">
        <v>1490</v>
      </c>
      <c r="I59" s="35"/>
      <c r="J59" s="36"/>
      <c r="K59" s="36"/>
      <c r="L59" s="36"/>
      <c r="M59" s="36"/>
      <c r="N59" s="36"/>
      <c r="O59" s="36"/>
      <c r="P59" s="36"/>
      <c r="Q59" s="36"/>
      <c r="R59" s="36"/>
      <c r="S59" s="36"/>
      <c r="T59" s="36"/>
      <c r="U59" s="36"/>
      <c r="V59" s="36"/>
      <c r="W59" s="36"/>
      <c r="X59" s="36"/>
      <c r="Y59" s="36"/>
      <c r="Z59" s="36"/>
      <c r="AA59" s="36"/>
      <c r="AB59" s="36"/>
    </row>
    <row r="60" spans="1:28" ht="24" customHeight="1">
      <c r="A60" s="30" t="str">
        <f>HYPERLINK("https://www.funcionpublica.gov.co/eva/gestornormativo/norma.php?i=56210","DECRETO 3011")</f>
        <v>DECRETO 3011</v>
      </c>
      <c r="B60" s="286">
        <v>41634</v>
      </c>
      <c r="C60" s="32" t="s">
        <v>520</v>
      </c>
      <c r="D60" s="33" t="s">
        <v>1725</v>
      </c>
      <c r="E60" s="32" t="s">
        <v>41</v>
      </c>
      <c r="F60" s="32" t="s">
        <v>97</v>
      </c>
      <c r="G60" s="147" t="s">
        <v>43</v>
      </c>
      <c r="H60" s="117" t="s">
        <v>1490</v>
      </c>
      <c r="I60" s="35"/>
      <c r="J60" s="36"/>
      <c r="K60" s="36"/>
      <c r="L60" s="36"/>
      <c r="M60" s="36"/>
      <c r="N60" s="36"/>
      <c r="O60" s="36"/>
      <c r="P60" s="36"/>
      <c r="Q60" s="36"/>
      <c r="R60" s="36"/>
      <c r="S60" s="36"/>
      <c r="T60" s="36"/>
      <c r="U60" s="36"/>
      <c r="V60" s="36"/>
      <c r="W60" s="36"/>
      <c r="X60" s="36"/>
      <c r="Y60" s="36"/>
      <c r="Z60" s="36"/>
      <c r="AA60" s="36"/>
      <c r="AB60" s="36"/>
    </row>
    <row r="61" spans="1:28" ht="36" customHeight="1">
      <c r="A61" s="30" t="str">
        <f>HYPERLINK("https://www.alcaldiabogota.gov.co/sisjur/normas/Norma1.jsp?i=64210&amp;dt=S","DECRETO 560")</f>
        <v>DECRETO 560</v>
      </c>
      <c r="B61" s="286">
        <v>42359</v>
      </c>
      <c r="C61" s="32" t="s">
        <v>61</v>
      </c>
      <c r="D61" s="33" t="s">
        <v>1731</v>
      </c>
      <c r="E61" s="32" t="s">
        <v>41</v>
      </c>
      <c r="F61" s="32" t="s">
        <v>97</v>
      </c>
      <c r="G61" s="147" t="s">
        <v>43</v>
      </c>
      <c r="H61" s="117" t="s">
        <v>1490</v>
      </c>
      <c r="I61" s="35"/>
      <c r="J61" s="36"/>
      <c r="K61" s="36"/>
      <c r="L61" s="36"/>
      <c r="M61" s="36"/>
      <c r="N61" s="36"/>
      <c r="O61" s="36"/>
      <c r="P61" s="36"/>
      <c r="Q61" s="36"/>
      <c r="R61" s="36"/>
      <c r="S61" s="36"/>
      <c r="T61" s="36"/>
      <c r="U61" s="36"/>
      <c r="V61" s="36"/>
      <c r="W61" s="36"/>
      <c r="X61" s="36"/>
      <c r="Y61" s="36"/>
      <c r="Z61" s="36"/>
      <c r="AA61" s="36"/>
      <c r="AB61" s="36"/>
    </row>
    <row r="62" spans="1:28" ht="84" customHeight="1">
      <c r="A62" s="30" t="str">
        <f>HYPERLINK("https://www.alcaldiabogota.gov.co/sisjur/normas/Norma1.jsp?i=67805","DECRETO 622")</f>
        <v>DECRETO 622</v>
      </c>
      <c r="B62" s="286">
        <v>42727</v>
      </c>
      <c r="C62" s="32" t="s">
        <v>61</v>
      </c>
      <c r="D62" s="33" t="s">
        <v>1552</v>
      </c>
      <c r="E62" s="32" t="s">
        <v>41</v>
      </c>
      <c r="F62" s="32" t="s">
        <v>97</v>
      </c>
      <c r="G62" s="147" t="s">
        <v>43</v>
      </c>
      <c r="H62" s="117" t="s">
        <v>1490</v>
      </c>
      <c r="I62" s="35"/>
      <c r="J62" s="36"/>
      <c r="K62" s="36"/>
      <c r="L62" s="36"/>
      <c r="M62" s="36"/>
      <c r="N62" s="36"/>
      <c r="O62" s="36"/>
      <c r="P62" s="36"/>
      <c r="Q62" s="36"/>
      <c r="R62" s="36"/>
      <c r="S62" s="36"/>
      <c r="T62" s="36"/>
      <c r="U62" s="36"/>
      <c r="V62" s="36"/>
      <c r="W62" s="36"/>
      <c r="X62" s="36"/>
      <c r="Y62" s="36"/>
      <c r="Z62" s="36"/>
      <c r="AA62" s="36"/>
      <c r="AB62" s="36"/>
    </row>
    <row r="63" spans="1:28" ht="48" customHeight="1">
      <c r="A63" s="291" t="str">
        <f>HYPERLINK("http://legal.legis.com.co/document/Index?obra=legcol&amp;document=legcol_10dc7a82821948afb7743ac578280d9d","DECRETO 557")</f>
        <v>DECRETO 557</v>
      </c>
      <c r="B63" s="41">
        <v>43370</v>
      </c>
      <c r="C63" s="264" t="s">
        <v>61</v>
      </c>
      <c r="D63" s="268" t="s">
        <v>105</v>
      </c>
      <c r="E63" s="264" t="s">
        <v>41</v>
      </c>
      <c r="F63" s="264" t="s">
        <v>97</v>
      </c>
      <c r="G63" s="147"/>
      <c r="H63" s="117"/>
      <c r="I63" s="35"/>
      <c r="J63" s="36"/>
      <c r="K63" s="36"/>
      <c r="L63" s="36"/>
      <c r="M63" s="36"/>
      <c r="N63" s="36"/>
      <c r="O63" s="36"/>
      <c r="P63" s="36"/>
      <c r="Q63" s="36"/>
      <c r="R63" s="36"/>
      <c r="S63" s="36"/>
      <c r="T63" s="36"/>
      <c r="U63" s="36"/>
      <c r="V63" s="36"/>
      <c r="W63" s="36"/>
      <c r="X63" s="36"/>
      <c r="Y63" s="36"/>
      <c r="Z63" s="36"/>
      <c r="AA63" s="36"/>
      <c r="AB63" s="36"/>
    </row>
    <row r="64" spans="1:28" ht="48" customHeight="1">
      <c r="A64" s="291" t="str">
        <f>HYPERLINK("https://www.alcaldiabogota.gov.co/sisjur/normas/Norma1.jsp?i=87429","DECRETO 627")</f>
        <v>DECRETO 627</v>
      </c>
      <c r="B64" s="41">
        <v>43760</v>
      </c>
      <c r="C64" s="264" t="s">
        <v>61</v>
      </c>
      <c r="D64" s="268" t="s">
        <v>2960</v>
      </c>
      <c r="E64" s="264" t="s">
        <v>41</v>
      </c>
      <c r="F64" s="264" t="s">
        <v>97</v>
      </c>
      <c r="G64" s="147"/>
      <c r="H64" s="117"/>
      <c r="I64" s="35"/>
      <c r="J64" s="36"/>
      <c r="K64" s="36"/>
      <c r="L64" s="36"/>
      <c r="M64" s="36"/>
      <c r="N64" s="36"/>
      <c r="O64" s="36"/>
      <c r="P64" s="36"/>
      <c r="Q64" s="36"/>
      <c r="R64" s="36"/>
      <c r="S64" s="36"/>
      <c r="T64" s="36"/>
      <c r="U64" s="36"/>
      <c r="V64" s="36"/>
      <c r="W64" s="36"/>
      <c r="X64" s="36"/>
      <c r="Y64" s="36"/>
      <c r="Z64" s="36"/>
      <c r="AA64" s="36"/>
      <c r="AB64" s="36"/>
    </row>
    <row r="65" spans="1:28" ht="48" customHeight="1">
      <c r="A65" s="30" t="str">
        <f>HYPERLINK("https://www.funcionpublica.gov.co/eva/gestornormativo/norma.php?i=69094","DECRETO 642")</f>
        <v>DECRETO 642</v>
      </c>
      <c r="B65" s="41">
        <v>42478</v>
      </c>
      <c r="C65" s="32" t="s">
        <v>57</v>
      </c>
      <c r="D65" s="33" t="s">
        <v>1734</v>
      </c>
      <c r="E65" s="32" t="s">
        <v>41</v>
      </c>
      <c r="F65" s="32" t="s">
        <v>97</v>
      </c>
      <c r="G65" s="147" t="s">
        <v>43</v>
      </c>
      <c r="H65" s="117" t="s">
        <v>1490</v>
      </c>
      <c r="I65" s="35"/>
      <c r="J65" s="36"/>
      <c r="K65" s="36"/>
      <c r="L65" s="36"/>
      <c r="M65" s="36"/>
      <c r="N65" s="36"/>
      <c r="O65" s="36"/>
      <c r="P65" s="36"/>
      <c r="Q65" s="36"/>
      <c r="R65" s="36"/>
      <c r="S65" s="36"/>
      <c r="T65" s="36"/>
      <c r="U65" s="36"/>
      <c r="V65" s="36"/>
      <c r="W65" s="36"/>
      <c r="X65" s="36"/>
      <c r="Y65" s="36"/>
      <c r="Z65" s="36"/>
      <c r="AA65" s="36"/>
      <c r="AB65" s="36"/>
    </row>
    <row r="66" spans="1:28" ht="36" customHeight="1">
      <c r="A66" s="30" t="str">
        <f>HYPERLINK("https://www.alcaldiabogota.gov.co/sisjur/normas/Norma1.jsp?i=71647&amp;dt=S","DECRETO 504")</f>
        <v>DECRETO 504</v>
      </c>
      <c r="B66" s="41">
        <v>43000</v>
      </c>
      <c r="C66" s="32" t="s">
        <v>61</v>
      </c>
      <c r="D66" s="33" t="s">
        <v>1736</v>
      </c>
      <c r="E66" s="32" t="s">
        <v>41</v>
      </c>
      <c r="F66" s="32" t="s">
        <v>97</v>
      </c>
      <c r="G66" s="147" t="s">
        <v>43</v>
      </c>
      <c r="H66" s="117" t="s">
        <v>1490</v>
      </c>
      <c r="I66" s="35"/>
      <c r="J66" s="36"/>
      <c r="K66" s="36"/>
      <c r="L66" s="36"/>
      <c r="M66" s="36"/>
      <c r="N66" s="36"/>
      <c r="O66" s="36"/>
      <c r="P66" s="36"/>
      <c r="Q66" s="36"/>
      <c r="R66" s="36"/>
      <c r="S66" s="36"/>
      <c r="T66" s="36"/>
      <c r="U66" s="36"/>
      <c r="V66" s="36"/>
      <c r="W66" s="36"/>
      <c r="X66" s="36"/>
      <c r="Y66" s="36"/>
      <c r="Z66" s="36"/>
      <c r="AA66" s="36"/>
      <c r="AB66" s="36"/>
    </row>
    <row r="67" spans="1:28" ht="63" customHeight="1">
      <c r="A67" s="291" t="str">
        <f>HYPERLINK("https://www.funcionpublica.gov.co/eva/gestornormativo/norma.php?i=87722","DECRETO 1350")</f>
        <v>DECRETO 1350</v>
      </c>
      <c r="B67" s="41">
        <v>43312</v>
      </c>
      <c r="C67" s="264" t="s">
        <v>273</v>
      </c>
      <c r="D67" s="268" t="s">
        <v>2962</v>
      </c>
      <c r="E67" s="264" t="s">
        <v>2963</v>
      </c>
      <c r="F67" s="264" t="s">
        <v>2964</v>
      </c>
      <c r="G67" s="147"/>
      <c r="H67" s="117"/>
      <c r="I67" s="35"/>
      <c r="J67" s="36"/>
      <c r="K67" s="36"/>
      <c r="L67" s="36"/>
      <c r="M67" s="36"/>
      <c r="N67" s="36"/>
      <c r="O67" s="36"/>
      <c r="P67" s="36"/>
      <c r="Q67" s="36"/>
      <c r="R67" s="36"/>
      <c r="S67" s="36"/>
      <c r="T67" s="36"/>
      <c r="U67" s="36"/>
      <c r="V67" s="36"/>
      <c r="W67" s="36"/>
      <c r="X67" s="36"/>
      <c r="Y67" s="36"/>
      <c r="Z67" s="36"/>
      <c r="AA67" s="36"/>
      <c r="AB67" s="36"/>
    </row>
    <row r="68" spans="1:28" ht="36" customHeight="1">
      <c r="A68" s="30" t="str">
        <f>HYPERLINK("https://www.alcaldiabogota.gov.co/sisjur/normas/Norma1.jsp?i=71649&amp;dt=S","DECRETO 505")</f>
        <v>DECRETO 505</v>
      </c>
      <c r="B68" s="41">
        <v>43000</v>
      </c>
      <c r="C68" s="32" t="s">
        <v>61</v>
      </c>
      <c r="D68" s="33" t="s">
        <v>1738</v>
      </c>
      <c r="E68" s="32" t="s">
        <v>41</v>
      </c>
      <c r="F68" s="32" t="s">
        <v>97</v>
      </c>
      <c r="G68" s="147" t="s">
        <v>43</v>
      </c>
      <c r="H68" s="117" t="s">
        <v>1490</v>
      </c>
      <c r="I68" s="35"/>
      <c r="J68" s="36"/>
      <c r="K68" s="36"/>
      <c r="L68" s="36"/>
      <c r="M68" s="36"/>
      <c r="N68" s="36"/>
      <c r="O68" s="36"/>
      <c r="P68" s="36"/>
      <c r="Q68" s="36"/>
      <c r="R68" s="36"/>
      <c r="S68" s="36"/>
      <c r="T68" s="36"/>
      <c r="U68" s="36"/>
      <c r="V68" s="36"/>
      <c r="W68" s="36"/>
      <c r="X68" s="36"/>
      <c r="Y68" s="36"/>
      <c r="Z68" s="36"/>
      <c r="AA68" s="36"/>
      <c r="AB68" s="36"/>
    </row>
    <row r="69" spans="1:28" ht="36" customHeight="1">
      <c r="A69" s="30" t="str">
        <f>HYPERLINK("https://www.alcaldiabogota.gov.co/sisjur/normas/Norma1.jsp?i=71630&amp;dt=S","DECRETO 506")</f>
        <v>DECRETO 506</v>
      </c>
      <c r="B69" s="41">
        <v>43000</v>
      </c>
      <c r="C69" s="32" t="s">
        <v>61</v>
      </c>
      <c r="D69" s="33" t="s">
        <v>1740</v>
      </c>
      <c r="E69" s="32" t="s">
        <v>41</v>
      </c>
      <c r="F69" s="32" t="s">
        <v>97</v>
      </c>
      <c r="G69" s="147" t="s">
        <v>43</v>
      </c>
      <c r="H69" s="117" t="s">
        <v>1490</v>
      </c>
      <c r="I69" s="35"/>
      <c r="J69" s="36"/>
      <c r="K69" s="36"/>
      <c r="L69" s="36"/>
      <c r="M69" s="36"/>
      <c r="N69" s="36"/>
      <c r="O69" s="36"/>
      <c r="P69" s="36"/>
      <c r="Q69" s="36"/>
      <c r="R69" s="36"/>
      <c r="S69" s="36"/>
      <c r="T69" s="36"/>
      <c r="U69" s="36"/>
      <c r="V69" s="36"/>
      <c r="W69" s="36"/>
      <c r="X69" s="36"/>
      <c r="Y69" s="36"/>
      <c r="Z69" s="36"/>
      <c r="AA69" s="36"/>
      <c r="AB69" s="36"/>
    </row>
    <row r="70" spans="1:28" ht="48" customHeight="1">
      <c r="A70" s="30" t="str">
        <f>HYPERLINK("https://www.alcaldiabogota.gov.co/sisjur/normas/Norma1.jsp?i=71632&amp;dt=S","DECRETO  507")</f>
        <v>DECRETO  507</v>
      </c>
      <c r="B70" s="41">
        <v>43000</v>
      </c>
      <c r="C70" s="32" t="s">
        <v>61</v>
      </c>
      <c r="D70" s="33" t="s">
        <v>1742</v>
      </c>
      <c r="E70" s="32" t="s">
        <v>41</v>
      </c>
      <c r="F70" s="32" t="s">
        <v>97</v>
      </c>
      <c r="G70" s="147" t="s">
        <v>43</v>
      </c>
      <c r="H70" s="117" t="s">
        <v>1490</v>
      </c>
      <c r="I70" s="35"/>
      <c r="J70" s="36"/>
      <c r="K70" s="36"/>
      <c r="L70" s="36"/>
      <c r="M70" s="36"/>
      <c r="N70" s="36"/>
      <c r="O70" s="36"/>
      <c r="P70" s="36"/>
      <c r="Q70" s="36"/>
      <c r="R70" s="36"/>
      <c r="S70" s="36"/>
      <c r="T70" s="36"/>
      <c r="U70" s="36"/>
      <c r="V70" s="36"/>
      <c r="W70" s="36"/>
      <c r="X70" s="36"/>
      <c r="Y70" s="36"/>
      <c r="Z70" s="36"/>
      <c r="AA70" s="36"/>
      <c r="AB70" s="36"/>
    </row>
    <row r="71" spans="1:28" ht="48" customHeight="1">
      <c r="A71" s="269" t="str">
        <f>HYPERLINK("https://www.alcaldiabogota.gov.co/sisjur/normas/Norma1.jsp?i=80504","DECRETO 480")</f>
        <v>DECRETO 480</v>
      </c>
      <c r="B71" s="41">
        <v>43329</v>
      </c>
      <c r="C71" s="32" t="s">
        <v>61</v>
      </c>
      <c r="D71" s="33" t="s">
        <v>1742</v>
      </c>
      <c r="E71" s="32" t="s">
        <v>1745</v>
      </c>
      <c r="F71" s="32" t="s">
        <v>1746</v>
      </c>
      <c r="G71" s="147" t="s">
        <v>43</v>
      </c>
      <c r="H71" s="117" t="s">
        <v>1490</v>
      </c>
      <c r="I71" s="35"/>
      <c r="J71" s="36"/>
      <c r="K71" s="36"/>
      <c r="L71" s="36"/>
      <c r="M71" s="36"/>
      <c r="N71" s="36"/>
      <c r="O71" s="36"/>
      <c r="P71" s="36"/>
      <c r="Q71" s="36"/>
      <c r="R71" s="36"/>
      <c r="S71" s="36"/>
      <c r="T71" s="36"/>
      <c r="U71" s="36"/>
      <c r="V71" s="36"/>
      <c r="W71" s="36"/>
      <c r="X71" s="36"/>
      <c r="Y71" s="36"/>
      <c r="Z71" s="36"/>
      <c r="AA71" s="36"/>
      <c r="AB71" s="36"/>
    </row>
    <row r="72" spans="1:28" ht="48" customHeight="1">
      <c r="A72" s="30" t="str">
        <f>HYPERLINK("https://www.alcaldiabogota.gov.co/sisjur/normas/Norma1.jsp?i=80554&amp;dt=S","DECRETO 483")</f>
        <v>DECRETO 483</v>
      </c>
      <c r="B72" s="41">
        <v>43329</v>
      </c>
      <c r="C72" s="32" t="s">
        <v>61</v>
      </c>
      <c r="D72" s="33" t="s">
        <v>1747</v>
      </c>
      <c r="E72" s="32" t="s">
        <v>41</v>
      </c>
      <c r="F72" s="32" t="s">
        <v>97</v>
      </c>
      <c r="G72" s="147" t="s">
        <v>43</v>
      </c>
      <c r="H72" s="117" t="s">
        <v>1490</v>
      </c>
      <c r="I72" s="35"/>
      <c r="J72" s="36"/>
      <c r="K72" s="36"/>
      <c r="L72" s="36"/>
      <c r="M72" s="36"/>
      <c r="N72" s="36"/>
      <c r="O72" s="36"/>
      <c r="P72" s="36"/>
      <c r="Q72" s="36"/>
      <c r="R72" s="36"/>
      <c r="S72" s="36"/>
      <c r="T72" s="36"/>
      <c r="U72" s="36"/>
      <c r="V72" s="36"/>
      <c r="W72" s="36"/>
      <c r="X72" s="36"/>
      <c r="Y72" s="36"/>
      <c r="Z72" s="36"/>
      <c r="AA72" s="36"/>
      <c r="AB72" s="36"/>
    </row>
    <row r="73" spans="1:28" ht="48" customHeight="1">
      <c r="A73" s="30" t="str">
        <f>HYPERLINK("https://www.alcaldiabogota.gov.co/sisjur/normas/Norma1.jsp?i=1919&amp;dt=S","DECRETO 604")</f>
        <v>DECRETO 604</v>
      </c>
      <c r="B73" s="41">
        <v>35647</v>
      </c>
      <c r="C73" s="32" t="s">
        <v>195</v>
      </c>
      <c r="D73" s="33" t="s">
        <v>2965</v>
      </c>
      <c r="E73" s="32" t="s">
        <v>41</v>
      </c>
      <c r="F73" s="32" t="s">
        <v>97</v>
      </c>
      <c r="G73" s="147"/>
      <c r="H73" s="117"/>
      <c r="I73" s="74"/>
      <c r="J73" s="36"/>
      <c r="K73" s="36"/>
      <c r="L73" s="36"/>
      <c r="M73" s="36"/>
      <c r="N73" s="36"/>
      <c r="O73" s="36"/>
      <c r="P73" s="36"/>
      <c r="Q73" s="36"/>
      <c r="R73" s="36"/>
      <c r="S73" s="36"/>
      <c r="T73" s="36"/>
      <c r="U73" s="36"/>
      <c r="V73" s="36"/>
      <c r="W73" s="36"/>
      <c r="X73" s="36"/>
      <c r="Y73" s="36"/>
      <c r="Z73" s="36"/>
      <c r="AA73" s="36"/>
      <c r="AB73" s="36"/>
    </row>
    <row r="74" spans="1:28" ht="48" customHeight="1">
      <c r="A74" s="30" t="str">
        <f>HYPERLINK("https://www.alcaldiabogota.gov.co/sisjur/normas/Norma1.jsp?i=1605&amp;dt=S","DECRETO 936")</f>
        <v>DECRETO 936</v>
      </c>
      <c r="B74" s="41">
        <v>36108</v>
      </c>
      <c r="C74" s="32" t="s">
        <v>195</v>
      </c>
      <c r="D74" s="33" t="s">
        <v>2966</v>
      </c>
      <c r="E74" s="32" t="s">
        <v>41</v>
      </c>
      <c r="F74" s="32" t="s">
        <v>97</v>
      </c>
      <c r="G74" s="147"/>
      <c r="H74" s="117"/>
      <c r="I74" s="74"/>
      <c r="J74" s="36"/>
      <c r="K74" s="36"/>
      <c r="L74" s="36"/>
      <c r="M74" s="36"/>
      <c r="N74" s="36"/>
      <c r="O74" s="36"/>
      <c r="P74" s="36"/>
      <c r="Q74" s="36"/>
      <c r="R74" s="36"/>
      <c r="S74" s="36"/>
      <c r="T74" s="36"/>
      <c r="U74" s="36"/>
      <c r="V74" s="36"/>
      <c r="W74" s="36"/>
      <c r="X74" s="36"/>
      <c r="Y74" s="36"/>
      <c r="Z74" s="36"/>
      <c r="AA74" s="36"/>
      <c r="AB74" s="36"/>
    </row>
    <row r="75" spans="1:28" ht="48" customHeight="1">
      <c r="A75" s="30" t="str">
        <f>HYPERLINK("https://www.alcaldiabogota.gov.co/sisjur/normas/Norma1.jsp?i=536&amp;dt=S","ACUERDO 06")</f>
        <v>ACUERDO 06</v>
      </c>
      <c r="B75" s="41">
        <v>35506</v>
      </c>
      <c r="C75" s="32" t="s">
        <v>195</v>
      </c>
      <c r="D75" s="33" t="s">
        <v>2967</v>
      </c>
      <c r="E75" s="32" t="s">
        <v>41</v>
      </c>
      <c r="F75" s="32" t="s">
        <v>97</v>
      </c>
      <c r="G75" s="147"/>
      <c r="H75" s="117"/>
      <c r="I75" s="35"/>
      <c r="J75" s="36"/>
      <c r="K75" s="36"/>
      <c r="L75" s="36"/>
      <c r="M75" s="36"/>
      <c r="N75" s="36"/>
      <c r="O75" s="36"/>
      <c r="P75" s="36"/>
      <c r="Q75" s="36"/>
      <c r="R75" s="36"/>
      <c r="S75" s="36"/>
      <c r="T75" s="36"/>
      <c r="U75" s="36"/>
      <c r="V75" s="36"/>
      <c r="W75" s="36"/>
      <c r="X75" s="36"/>
      <c r="Y75" s="36"/>
      <c r="Z75" s="36"/>
      <c r="AA75" s="36"/>
      <c r="AB75" s="36"/>
    </row>
    <row r="76" spans="1:28" ht="48" customHeight="1">
      <c r="A76" s="30" t="str">
        <f>HYPERLINK("https://drive.google.com/open?id=1ihq8zphH5j2M6c8goTt8decCJAyFw0_2","ACUERDO LOCAL 2")</f>
        <v>ACUERDO LOCAL 2</v>
      </c>
      <c r="B76" s="41">
        <v>36245</v>
      </c>
      <c r="C76" s="32" t="s">
        <v>1749</v>
      </c>
      <c r="D76" s="33" t="s">
        <v>1750</v>
      </c>
      <c r="E76" s="32" t="s">
        <v>41</v>
      </c>
      <c r="F76" s="32" t="s">
        <v>97</v>
      </c>
      <c r="G76" s="147" t="s">
        <v>43</v>
      </c>
      <c r="H76" s="117" t="s">
        <v>1490</v>
      </c>
      <c r="I76" s="35"/>
      <c r="J76" s="36"/>
      <c r="K76" s="36"/>
      <c r="L76" s="36"/>
      <c r="M76" s="36"/>
      <c r="N76" s="36"/>
      <c r="O76" s="36"/>
      <c r="P76" s="36"/>
      <c r="Q76" s="36"/>
      <c r="R76" s="36"/>
      <c r="S76" s="36"/>
      <c r="T76" s="36"/>
      <c r="U76" s="36"/>
      <c r="V76" s="36"/>
      <c r="W76" s="36"/>
      <c r="X76" s="36"/>
      <c r="Y76" s="36"/>
      <c r="Z76" s="36"/>
      <c r="AA76" s="36"/>
      <c r="AB76" s="36"/>
    </row>
    <row r="77" spans="1:28" ht="48" customHeight="1">
      <c r="A77" s="30" t="str">
        <f>HYPERLINK("https://drive.google.com/open?id=1naaqaNiotX7eQ6bNJbHWS8m1Rb0CaM05","ACUERDO 44")</f>
        <v>ACUERDO 44</v>
      </c>
      <c r="B77" s="41">
        <v>37251</v>
      </c>
      <c r="C77" s="32" t="s">
        <v>195</v>
      </c>
      <c r="D77" s="33" t="s">
        <v>2968</v>
      </c>
      <c r="E77" s="32" t="s">
        <v>41</v>
      </c>
      <c r="F77" s="32" t="s">
        <v>97</v>
      </c>
      <c r="G77" s="147"/>
      <c r="H77" s="117"/>
      <c r="I77" s="35"/>
      <c r="J77" s="36"/>
      <c r="K77" s="36"/>
      <c r="L77" s="36"/>
      <c r="M77" s="36"/>
      <c r="N77" s="36"/>
      <c r="O77" s="36"/>
      <c r="P77" s="36"/>
      <c r="Q77" s="36"/>
      <c r="R77" s="36"/>
      <c r="S77" s="36"/>
      <c r="T77" s="36"/>
      <c r="U77" s="36"/>
      <c r="V77" s="36"/>
      <c r="W77" s="36"/>
      <c r="X77" s="36"/>
      <c r="Y77" s="36"/>
      <c r="Z77" s="36"/>
      <c r="AA77" s="36"/>
      <c r="AB77" s="36"/>
    </row>
    <row r="78" spans="1:28" ht="48" customHeight="1">
      <c r="A78" s="30" t="str">
        <f>HYPERLINK("https://www.alcaldiabogota.gov.co/sisjur/normas/Norma1.jsp?i=15551&amp;dt=S","ACUERDO 137")</f>
        <v>ACUERDO 137</v>
      </c>
      <c r="B78" s="41">
        <v>38349</v>
      </c>
      <c r="C78" s="32" t="s">
        <v>195</v>
      </c>
      <c r="D78" s="33" t="s">
        <v>1757</v>
      </c>
      <c r="E78" s="32" t="s">
        <v>41</v>
      </c>
      <c r="F78" s="32" t="s">
        <v>1758</v>
      </c>
      <c r="G78" s="147" t="s">
        <v>43</v>
      </c>
      <c r="H78" s="117" t="s">
        <v>1490</v>
      </c>
      <c r="I78" s="35"/>
      <c r="J78" s="36"/>
      <c r="K78" s="36"/>
      <c r="L78" s="36"/>
      <c r="M78" s="36"/>
      <c r="N78" s="36"/>
      <c r="O78" s="36"/>
      <c r="P78" s="36"/>
      <c r="Q78" s="36"/>
      <c r="R78" s="36"/>
      <c r="S78" s="36"/>
      <c r="T78" s="36"/>
      <c r="U78" s="36"/>
      <c r="V78" s="36"/>
      <c r="W78" s="36"/>
      <c r="X78" s="36"/>
      <c r="Y78" s="36"/>
      <c r="Z78" s="36"/>
      <c r="AA78" s="36"/>
      <c r="AB78" s="36"/>
    </row>
    <row r="79" spans="1:28" ht="48" customHeight="1">
      <c r="A79" s="30" t="str">
        <f>HYPERLINK("https://www.alcaldiabogota.gov.co/sisjur/normas/Norma1.jsp?i=17652","ACUERDO 175")</f>
        <v>ACUERDO 175</v>
      </c>
      <c r="B79" s="41">
        <v>38714</v>
      </c>
      <c r="C79" s="32" t="s">
        <v>195</v>
      </c>
      <c r="D79" s="33" t="s">
        <v>1759</v>
      </c>
      <c r="E79" s="32" t="s">
        <v>41</v>
      </c>
      <c r="F79" s="32" t="s">
        <v>97</v>
      </c>
      <c r="G79" s="147" t="s">
        <v>43</v>
      </c>
      <c r="H79" s="117" t="s">
        <v>1490</v>
      </c>
      <c r="I79" s="35"/>
      <c r="J79" s="36"/>
      <c r="K79" s="36"/>
      <c r="L79" s="36"/>
      <c r="M79" s="36"/>
      <c r="N79" s="36"/>
      <c r="O79" s="36"/>
      <c r="P79" s="36"/>
      <c r="Q79" s="36"/>
      <c r="R79" s="36"/>
      <c r="S79" s="36"/>
      <c r="T79" s="36"/>
      <c r="U79" s="36"/>
      <c r="V79" s="36"/>
      <c r="W79" s="36"/>
      <c r="X79" s="36"/>
      <c r="Y79" s="36"/>
      <c r="Z79" s="36"/>
      <c r="AA79" s="36"/>
      <c r="AB79" s="36"/>
    </row>
    <row r="80" spans="1:28" ht="48" customHeight="1">
      <c r="A80" s="30" t="str">
        <f>HYPERLINK("https://drive.google.com/open?id=1Fe5MUydKu9r6Srh2eRfqkGg4-tf1iixz","ACUERDO 234")</f>
        <v>ACUERDO 234</v>
      </c>
      <c r="B80" s="41">
        <v>38897</v>
      </c>
      <c r="C80" s="32" t="s">
        <v>195</v>
      </c>
      <c r="D80" s="33" t="s">
        <v>1761</v>
      </c>
      <c r="E80" s="32" t="s">
        <v>41</v>
      </c>
      <c r="F80" s="32" t="s">
        <v>97</v>
      </c>
      <c r="G80" s="147" t="s">
        <v>43</v>
      </c>
      <c r="H80" s="117" t="s">
        <v>1490</v>
      </c>
      <c r="I80" s="35"/>
      <c r="J80" s="36"/>
      <c r="K80" s="36"/>
      <c r="L80" s="36"/>
      <c r="M80" s="36"/>
      <c r="N80" s="36"/>
      <c r="O80" s="36"/>
      <c r="P80" s="36"/>
      <c r="Q80" s="36"/>
      <c r="R80" s="36"/>
      <c r="S80" s="36"/>
      <c r="T80" s="36"/>
      <c r="U80" s="36"/>
      <c r="V80" s="36"/>
      <c r="W80" s="36"/>
      <c r="X80" s="36"/>
      <c r="Y80" s="36"/>
      <c r="Z80" s="36"/>
      <c r="AA80" s="36"/>
      <c r="AB80" s="36"/>
    </row>
    <row r="81" spans="1:28" ht="48" customHeight="1">
      <c r="A81" s="30" t="str">
        <f>HYPERLINK("https://www.alcaldiabogota.gov.co/sisjur/normas/Norma1.jsp?i=68752&amp;dt=S","ACUERDO 668")</f>
        <v>ACUERDO 668</v>
      </c>
      <c r="B81" s="41">
        <v>42828</v>
      </c>
      <c r="C81" s="32" t="s">
        <v>195</v>
      </c>
      <c r="D81" s="33" t="s">
        <v>1763</v>
      </c>
      <c r="E81" s="32" t="s">
        <v>1764</v>
      </c>
      <c r="F81" s="32" t="s">
        <v>1765</v>
      </c>
      <c r="G81" s="147" t="s">
        <v>43</v>
      </c>
      <c r="H81" s="117" t="s">
        <v>1490</v>
      </c>
      <c r="I81" s="35"/>
      <c r="J81" s="36"/>
      <c r="K81" s="36"/>
      <c r="L81" s="36"/>
      <c r="M81" s="36"/>
      <c r="N81" s="36"/>
      <c r="O81" s="36"/>
      <c r="P81" s="36"/>
      <c r="Q81" s="36"/>
      <c r="R81" s="36"/>
      <c r="S81" s="36"/>
      <c r="T81" s="36"/>
      <c r="U81" s="36"/>
      <c r="V81" s="36"/>
      <c r="W81" s="36"/>
      <c r="X81" s="36"/>
      <c r="Y81" s="36"/>
      <c r="Z81" s="36"/>
      <c r="AA81" s="36"/>
      <c r="AB81" s="36"/>
    </row>
    <row r="82" spans="1:28" ht="24" customHeight="1">
      <c r="A82" s="294" t="str">
        <f>HYPERLINK("http://www.saludcapital.gov.co/Normo/gsp/acuerdo_359_de_2009.pdf","ACUERDO 359")</f>
        <v>ACUERDO 359</v>
      </c>
      <c r="B82" s="41">
        <v>39818</v>
      </c>
      <c r="C82" s="32" t="s">
        <v>195</v>
      </c>
      <c r="D82" s="33" t="s">
        <v>1767</v>
      </c>
      <c r="E82" s="32" t="s">
        <v>41</v>
      </c>
      <c r="F82" s="32" t="s">
        <v>97</v>
      </c>
      <c r="G82" s="147" t="s">
        <v>43</v>
      </c>
      <c r="H82" s="117" t="s">
        <v>1490</v>
      </c>
      <c r="I82" s="35"/>
      <c r="J82" s="36"/>
      <c r="K82" s="36"/>
      <c r="L82" s="36"/>
      <c r="M82" s="36"/>
      <c r="N82" s="36"/>
      <c r="O82" s="36"/>
      <c r="P82" s="36"/>
      <c r="Q82" s="36"/>
      <c r="R82" s="36"/>
      <c r="S82" s="36"/>
      <c r="T82" s="36"/>
      <c r="U82" s="36"/>
      <c r="V82" s="36"/>
      <c r="W82" s="36"/>
      <c r="X82" s="36"/>
      <c r="Y82" s="36"/>
      <c r="Z82" s="36"/>
      <c r="AA82" s="36"/>
      <c r="AB82" s="36"/>
    </row>
    <row r="83" spans="1:28" ht="60" customHeight="1">
      <c r="A83" s="67" t="str">
        <f>HYPERLINK("http://intranet.bogotaturismo.gov.co/sites/intranet.bogotaturismo.gov.co/files/AcuerdoDistrital371de2009.pdf","ACUERDO 371")</f>
        <v>ACUERDO 371</v>
      </c>
      <c r="B83" s="41">
        <v>39904</v>
      </c>
      <c r="C83" s="32" t="s">
        <v>195</v>
      </c>
      <c r="D83" s="33" t="s">
        <v>1769</v>
      </c>
      <c r="E83" s="32" t="s">
        <v>41</v>
      </c>
      <c r="F83" s="32" t="s">
        <v>97</v>
      </c>
      <c r="G83" s="147" t="s">
        <v>43</v>
      </c>
      <c r="H83" s="117" t="s">
        <v>1490</v>
      </c>
      <c r="I83" s="35"/>
      <c r="J83" s="36"/>
      <c r="K83" s="36"/>
      <c r="L83" s="36"/>
      <c r="M83" s="36"/>
      <c r="N83" s="36"/>
      <c r="O83" s="36"/>
      <c r="P83" s="36"/>
      <c r="Q83" s="36"/>
      <c r="R83" s="36"/>
      <c r="S83" s="36"/>
      <c r="T83" s="36"/>
      <c r="U83" s="36"/>
      <c r="V83" s="36"/>
      <c r="W83" s="36"/>
      <c r="X83" s="36"/>
      <c r="Y83" s="36"/>
      <c r="Z83" s="36"/>
      <c r="AA83" s="36"/>
      <c r="AB83" s="36"/>
    </row>
    <row r="84" spans="1:28" ht="24" customHeight="1">
      <c r="A84" s="67" t="str">
        <f>HYPERLINK("https://www.alcaldiabogota.gov.co/sisjur/normas/Norma1.jsp?i=36598&amp;dt=S","ACUERDO 386")</f>
        <v>ACUERDO 386</v>
      </c>
      <c r="B84" s="41">
        <v>39996</v>
      </c>
      <c r="C84" s="32" t="s">
        <v>195</v>
      </c>
      <c r="D84" s="33" t="s">
        <v>1771</v>
      </c>
      <c r="E84" s="32" t="s">
        <v>41</v>
      </c>
      <c r="F84" s="33" t="s">
        <v>1772</v>
      </c>
      <c r="G84" s="147" t="s">
        <v>43</v>
      </c>
      <c r="H84" s="117" t="s">
        <v>1490</v>
      </c>
      <c r="I84" s="35"/>
      <c r="J84" s="36"/>
      <c r="K84" s="36"/>
      <c r="L84" s="36"/>
      <c r="M84" s="36"/>
      <c r="N84" s="36"/>
      <c r="O84" s="36"/>
      <c r="P84" s="36"/>
      <c r="Q84" s="36"/>
      <c r="R84" s="36"/>
      <c r="S84" s="36"/>
      <c r="T84" s="36"/>
      <c r="U84" s="36"/>
      <c r="V84" s="36"/>
      <c r="W84" s="36"/>
      <c r="X84" s="36"/>
      <c r="Y84" s="36"/>
      <c r="Z84" s="36"/>
      <c r="AA84" s="36"/>
      <c r="AB84" s="36"/>
    </row>
    <row r="85" spans="1:28" ht="36" customHeight="1">
      <c r="A85" s="294" t="str">
        <f>HYPERLINK("https://www.alcaldiabogota.gov.co/sisjur/normas/Norma1.jsp?i=38288","ACUERDO 424")</f>
        <v>ACUERDO 424</v>
      </c>
      <c r="B85" s="286">
        <v>40169</v>
      </c>
      <c r="C85" s="32" t="s">
        <v>195</v>
      </c>
      <c r="D85" s="33" t="s">
        <v>1774</v>
      </c>
      <c r="E85" s="32" t="s">
        <v>41</v>
      </c>
      <c r="F85" s="32" t="s">
        <v>97</v>
      </c>
      <c r="G85" s="147" t="s">
        <v>43</v>
      </c>
      <c r="H85" s="117" t="s">
        <v>1490</v>
      </c>
      <c r="I85" s="35"/>
      <c r="J85" s="36"/>
      <c r="K85" s="36"/>
      <c r="L85" s="36"/>
      <c r="M85" s="36"/>
      <c r="N85" s="36"/>
      <c r="O85" s="36"/>
      <c r="P85" s="36"/>
      <c r="Q85" s="36"/>
      <c r="R85" s="36"/>
      <c r="S85" s="36"/>
      <c r="T85" s="36"/>
      <c r="U85" s="36"/>
      <c r="V85" s="36"/>
      <c r="W85" s="36"/>
      <c r="X85" s="36"/>
      <c r="Y85" s="36"/>
      <c r="Z85" s="36"/>
      <c r="AA85" s="36"/>
      <c r="AB85" s="36"/>
    </row>
    <row r="86" spans="1:28" ht="48" customHeight="1">
      <c r="A86" s="295" t="s">
        <v>2970</v>
      </c>
      <c r="B86" s="41">
        <v>38986</v>
      </c>
      <c r="C86" s="32" t="s">
        <v>195</v>
      </c>
      <c r="D86" s="39" t="s">
        <v>2971</v>
      </c>
      <c r="E86" s="32" t="s">
        <v>41</v>
      </c>
      <c r="F86" s="32" t="s">
        <v>97</v>
      </c>
      <c r="G86" s="147"/>
      <c r="H86" s="117"/>
      <c r="I86" s="35"/>
      <c r="J86" s="36"/>
      <c r="K86" s="36"/>
      <c r="L86" s="36"/>
      <c r="M86" s="36"/>
      <c r="N86" s="36"/>
      <c r="O86" s="36"/>
      <c r="P86" s="36"/>
      <c r="Q86" s="36"/>
      <c r="R86" s="36"/>
      <c r="S86" s="36"/>
      <c r="T86" s="36"/>
      <c r="U86" s="36"/>
      <c r="V86" s="36"/>
      <c r="W86" s="36"/>
      <c r="X86" s="36"/>
      <c r="Y86" s="36"/>
      <c r="Z86" s="36"/>
      <c r="AA86" s="36"/>
      <c r="AB86" s="36"/>
    </row>
    <row r="87" spans="1:28" ht="48" customHeight="1">
      <c r="A87" s="67" t="str">
        <f>HYPERLINK("https://www.idrd.gov.co/sitio/idrd/sites/default/files/imagenes/acuerdo%20505%20de%202012.pdf","ACUERDO 505")</f>
        <v>ACUERDO 505</v>
      </c>
      <c r="B87" s="41">
        <v>41248</v>
      </c>
      <c r="C87" s="32" t="s">
        <v>195</v>
      </c>
      <c r="D87" s="33" t="s">
        <v>1778</v>
      </c>
      <c r="E87" s="32" t="s">
        <v>41</v>
      </c>
      <c r="F87" s="32" t="s">
        <v>97</v>
      </c>
      <c r="G87" s="147" t="s">
        <v>43</v>
      </c>
      <c r="H87" s="117" t="s">
        <v>1490</v>
      </c>
      <c r="I87" s="35"/>
      <c r="J87" s="36"/>
      <c r="K87" s="36"/>
      <c r="L87" s="36"/>
      <c r="M87" s="36"/>
      <c r="N87" s="36"/>
      <c r="O87" s="36"/>
      <c r="P87" s="36"/>
      <c r="Q87" s="36"/>
      <c r="R87" s="36"/>
      <c r="S87" s="36"/>
      <c r="T87" s="36"/>
      <c r="U87" s="36"/>
      <c r="V87" s="36"/>
      <c r="W87" s="36"/>
      <c r="X87" s="36"/>
      <c r="Y87" s="36"/>
      <c r="Z87" s="36"/>
      <c r="AA87" s="36"/>
      <c r="AB87" s="36"/>
    </row>
    <row r="88" spans="1:28" ht="36" customHeight="1">
      <c r="A88" s="67" t="str">
        <f>HYPERLINK("http://concejodebogota.gov.co/concejo/site/artic/20150311/asocfile/20150311112214/acuerdo_589_15.pdf","ACUERDO 589")</f>
        <v>ACUERDO 589</v>
      </c>
      <c r="B88" s="41">
        <v>42151</v>
      </c>
      <c r="C88" s="32" t="s">
        <v>195</v>
      </c>
      <c r="D88" s="33" t="s">
        <v>1780</v>
      </c>
      <c r="E88" s="32" t="s">
        <v>41</v>
      </c>
      <c r="F88" s="32" t="s">
        <v>97</v>
      </c>
      <c r="G88" s="147" t="s">
        <v>43</v>
      </c>
      <c r="H88" s="117" t="s">
        <v>1490</v>
      </c>
      <c r="I88" s="35"/>
      <c r="J88" s="36"/>
      <c r="K88" s="36"/>
      <c r="L88" s="36"/>
      <c r="M88" s="36"/>
      <c r="N88" s="36"/>
      <c r="O88" s="36"/>
      <c r="P88" s="36"/>
      <c r="Q88" s="36"/>
      <c r="R88" s="36"/>
      <c r="S88" s="36"/>
      <c r="T88" s="36"/>
      <c r="U88" s="36"/>
      <c r="V88" s="36"/>
      <c r="W88" s="36"/>
      <c r="X88" s="36"/>
      <c r="Y88" s="36"/>
      <c r="Z88" s="36"/>
      <c r="AA88" s="36"/>
      <c r="AB88" s="36"/>
    </row>
    <row r="89" spans="1:28" ht="60" customHeight="1">
      <c r="A89" s="30" t="str">
        <f>HYPERLINK("https://www.alcaldiabogota.gov.co/sisjur/normas/Norma1.jsp?i=49362","ACUERDO 491")</f>
        <v>ACUERDO 491</v>
      </c>
      <c r="B89" s="41">
        <v>41170</v>
      </c>
      <c r="C89" s="32" t="s">
        <v>195</v>
      </c>
      <c r="D89" s="33" t="s">
        <v>1786</v>
      </c>
      <c r="E89" s="32" t="s">
        <v>41</v>
      </c>
      <c r="F89" s="32" t="s">
        <v>97</v>
      </c>
      <c r="G89" s="147" t="s">
        <v>43</v>
      </c>
      <c r="H89" s="117" t="s">
        <v>1490</v>
      </c>
      <c r="I89" s="35"/>
      <c r="J89" s="36"/>
      <c r="K89" s="36"/>
      <c r="L89" s="36"/>
      <c r="M89" s="36"/>
      <c r="N89" s="36"/>
      <c r="O89" s="36"/>
      <c r="P89" s="36"/>
      <c r="Q89" s="36"/>
      <c r="R89" s="36"/>
      <c r="S89" s="36"/>
      <c r="T89" s="36"/>
      <c r="U89" s="36"/>
      <c r="V89" s="36"/>
      <c r="W89" s="36"/>
      <c r="X89" s="36"/>
      <c r="Y89" s="36"/>
      <c r="Z89" s="36"/>
      <c r="AA89" s="36"/>
      <c r="AB89" s="36"/>
    </row>
    <row r="90" spans="1:28" ht="24" customHeight="1">
      <c r="A90" s="30" t="str">
        <f>HYPERLINK("http://concejodebogota.gov.co/concejo/site/artic/20140916/asocfile/20140916162352/acuerdo_564_14.pdf","ACUERDO 564")</f>
        <v>ACUERDO 564</v>
      </c>
      <c r="B90" s="41">
        <v>41900</v>
      </c>
      <c r="C90" s="32" t="s">
        <v>195</v>
      </c>
      <c r="D90" s="33" t="s">
        <v>1788</v>
      </c>
      <c r="E90" s="32" t="s">
        <v>41</v>
      </c>
      <c r="F90" s="32" t="s">
        <v>97</v>
      </c>
      <c r="G90" s="147" t="s">
        <v>43</v>
      </c>
      <c r="H90" s="117" t="s">
        <v>1490</v>
      </c>
      <c r="I90" s="35"/>
      <c r="J90" s="36"/>
      <c r="K90" s="36"/>
      <c r="L90" s="36"/>
      <c r="M90" s="36"/>
      <c r="N90" s="36"/>
      <c r="O90" s="36"/>
      <c r="P90" s="36"/>
      <c r="Q90" s="36"/>
      <c r="R90" s="36"/>
      <c r="S90" s="36"/>
      <c r="T90" s="36"/>
      <c r="U90" s="36"/>
      <c r="V90" s="36"/>
      <c r="W90" s="36"/>
      <c r="X90" s="36"/>
      <c r="Y90" s="36"/>
      <c r="Z90" s="36"/>
      <c r="AA90" s="36"/>
      <c r="AB90" s="36"/>
    </row>
    <row r="91" spans="1:28" ht="36" customHeight="1">
      <c r="A91" s="30" t="str">
        <f>HYPERLINK("http://concejodebogota.gov.co/concejo/site/artic/20141215/asocfile/20141215125359/acuerdo_578_14.pdf","ACUERDO 578")</f>
        <v>ACUERDO 578</v>
      </c>
      <c r="B91" s="286">
        <v>41999</v>
      </c>
      <c r="C91" s="32" t="s">
        <v>195</v>
      </c>
      <c r="D91" s="33" t="s">
        <v>1790</v>
      </c>
      <c r="E91" s="32" t="s">
        <v>41</v>
      </c>
      <c r="F91" s="32" t="s">
        <v>97</v>
      </c>
      <c r="G91" s="147" t="s">
        <v>43</v>
      </c>
      <c r="H91" s="117" t="s">
        <v>1490</v>
      </c>
      <c r="I91" s="35"/>
      <c r="J91" s="36"/>
      <c r="K91" s="36"/>
      <c r="L91" s="36"/>
      <c r="M91" s="36"/>
      <c r="N91" s="36"/>
      <c r="O91" s="36"/>
      <c r="P91" s="36"/>
      <c r="Q91" s="36"/>
      <c r="R91" s="36"/>
      <c r="S91" s="36"/>
      <c r="T91" s="36"/>
      <c r="U91" s="36"/>
      <c r="V91" s="36"/>
      <c r="W91" s="36"/>
      <c r="X91" s="36"/>
      <c r="Y91" s="36"/>
      <c r="Z91" s="36"/>
      <c r="AA91" s="36"/>
      <c r="AB91" s="36"/>
    </row>
    <row r="92" spans="1:28" ht="36" customHeight="1">
      <c r="A92" s="30" t="str">
        <f>HYPERLINK("https://www.alcaldiabogota.gov.co/sisjur/normas/Norma1.jsp?i=6305&amp;dt=S","RESOLUCION 8321")</f>
        <v>RESOLUCION 8321</v>
      </c>
      <c r="B92" s="41">
        <v>30532</v>
      </c>
      <c r="C92" s="32" t="s">
        <v>124</v>
      </c>
      <c r="D92" s="33" t="s">
        <v>1792</v>
      </c>
      <c r="E92" s="32" t="s">
        <v>41</v>
      </c>
      <c r="F92" s="32" t="s">
        <v>97</v>
      </c>
      <c r="G92" s="147" t="s">
        <v>43</v>
      </c>
      <c r="H92" s="117" t="s">
        <v>1490</v>
      </c>
      <c r="I92" s="35"/>
      <c r="J92" s="36"/>
      <c r="K92" s="36"/>
      <c r="L92" s="36"/>
      <c r="M92" s="36"/>
      <c r="N92" s="36"/>
      <c r="O92" s="36"/>
      <c r="P92" s="36"/>
      <c r="Q92" s="36"/>
      <c r="R92" s="36"/>
      <c r="S92" s="36"/>
      <c r="T92" s="36"/>
      <c r="U92" s="36"/>
      <c r="V92" s="36"/>
      <c r="W92" s="36"/>
      <c r="X92" s="36"/>
      <c r="Y92" s="36"/>
      <c r="Z92" s="36"/>
      <c r="AA92" s="36"/>
      <c r="AB92" s="36"/>
    </row>
    <row r="93" spans="1:28" ht="24" customHeight="1">
      <c r="A93" s="30" t="str">
        <f>HYPERLINK("https://www.mineducacion.gov.co/1621/articles-96032_archivo_pdf.pdf","RESOLUCION 4210")</f>
        <v>RESOLUCION 4210</v>
      </c>
      <c r="B93" s="41">
        <v>35320</v>
      </c>
      <c r="C93" s="32" t="s">
        <v>1793</v>
      </c>
      <c r="D93" s="33" t="s">
        <v>1582</v>
      </c>
      <c r="E93" s="32" t="s">
        <v>41</v>
      </c>
      <c r="F93" s="32" t="s">
        <v>97</v>
      </c>
      <c r="G93" s="147" t="s">
        <v>43</v>
      </c>
      <c r="H93" s="117" t="s">
        <v>1490</v>
      </c>
      <c r="I93" s="35"/>
      <c r="J93" s="36"/>
      <c r="K93" s="36"/>
      <c r="L93" s="36"/>
      <c r="M93" s="36"/>
      <c r="N93" s="36"/>
      <c r="O93" s="36"/>
      <c r="P93" s="36"/>
      <c r="Q93" s="36"/>
      <c r="R93" s="36"/>
      <c r="S93" s="36"/>
      <c r="T93" s="36"/>
      <c r="U93" s="36"/>
      <c r="V93" s="36"/>
      <c r="W93" s="36"/>
      <c r="X93" s="36"/>
      <c r="Y93" s="36"/>
      <c r="Z93" s="36"/>
      <c r="AA93" s="36"/>
      <c r="AB93" s="36"/>
    </row>
    <row r="94" spans="1:28" ht="24" customHeight="1">
      <c r="A94" s="269" t="str">
        <f>HYPERLINK("www.alcaldiabogota.gov.co/sisjur/normas/Norma1.jsp?i=11294&amp;dt=S","RESOLUCIÓN 512")</f>
        <v>RESOLUCIÓN 512</v>
      </c>
      <c r="B94" s="41">
        <v>37902</v>
      </c>
      <c r="C94" s="142" t="s">
        <v>130</v>
      </c>
      <c r="D94" s="33" t="s">
        <v>1798</v>
      </c>
      <c r="E94" s="32" t="s">
        <v>41</v>
      </c>
      <c r="F94" s="32" t="s">
        <v>97</v>
      </c>
      <c r="G94" s="147" t="s">
        <v>43</v>
      </c>
      <c r="H94" s="117" t="s">
        <v>1490</v>
      </c>
      <c r="I94" s="35"/>
      <c r="J94" s="36"/>
      <c r="K94" s="36"/>
      <c r="L94" s="36"/>
      <c r="M94" s="36"/>
      <c r="N94" s="36"/>
      <c r="O94" s="36"/>
      <c r="P94" s="36"/>
      <c r="Q94" s="36"/>
      <c r="R94" s="36"/>
      <c r="S94" s="36"/>
      <c r="T94" s="36"/>
      <c r="U94" s="36"/>
      <c r="V94" s="36"/>
      <c r="W94" s="36"/>
      <c r="X94" s="36"/>
      <c r="Y94" s="36"/>
      <c r="Z94" s="36"/>
      <c r="AA94" s="36"/>
      <c r="AB94" s="36"/>
    </row>
    <row r="95" spans="1:28" ht="24" customHeight="1">
      <c r="A95" s="30" t="str">
        <f>HYPERLINK("https://www.alcaldiabogota.gov.co/sisjur/normas/Norma1.jsp?i=15295","RESOLUCIÓN 3600")</f>
        <v>RESOLUCIÓN 3600</v>
      </c>
      <c r="B95" s="41">
        <v>38323</v>
      </c>
      <c r="C95" s="32" t="s">
        <v>1800</v>
      </c>
      <c r="D95" s="33" t="s">
        <v>1801</v>
      </c>
      <c r="E95" s="32" t="s">
        <v>41</v>
      </c>
      <c r="F95" s="32" t="s">
        <v>97</v>
      </c>
      <c r="G95" s="147" t="s">
        <v>43</v>
      </c>
      <c r="H95" s="117" t="s">
        <v>1490</v>
      </c>
      <c r="I95" s="35"/>
      <c r="J95" s="36"/>
      <c r="K95" s="36"/>
      <c r="L95" s="36"/>
      <c r="M95" s="36"/>
      <c r="N95" s="36"/>
      <c r="O95" s="36"/>
      <c r="P95" s="36"/>
      <c r="Q95" s="36"/>
      <c r="R95" s="36"/>
      <c r="S95" s="36"/>
      <c r="T95" s="36"/>
      <c r="U95" s="36"/>
      <c r="V95" s="36"/>
      <c r="W95" s="36"/>
      <c r="X95" s="36"/>
      <c r="Y95" s="36"/>
      <c r="Z95" s="36"/>
      <c r="AA95" s="36"/>
      <c r="AB95" s="36"/>
    </row>
    <row r="96" spans="1:28" ht="24" customHeight="1">
      <c r="A96" s="30" t="str">
        <f>HYPERLINK("https://www.alcaldiabogota.gov.co/sisjur/normas/Norma1.jsp?i=19982&amp;dt=S","RESOLUCION 627")</f>
        <v>RESOLUCION 627</v>
      </c>
      <c r="B96" s="41">
        <v>38814</v>
      </c>
      <c r="C96" s="32" t="s">
        <v>1803</v>
      </c>
      <c r="D96" s="33" t="s">
        <v>572</v>
      </c>
      <c r="E96" s="32" t="s">
        <v>41</v>
      </c>
      <c r="F96" s="32" t="s">
        <v>97</v>
      </c>
      <c r="G96" s="147" t="s">
        <v>43</v>
      </c>
      <c r="H96" s="117" t="s">
        <v>1490</v>
      </c>
      <c r="I96" s="35"/>
      <c r="J96" s="36"/>
      <c r="K96" s="36"/>
      <c r="L96" s="36"/>
      <c r="M96" s="36"/>
      <c r="N96" s="36"/>
      <c r="O96" s="36"/>
      <c r="P96" s="36"/>
      <c r="Q96" s="36"/>
      <c r="R96" s="36"/>
      <c r="S96" s="36"/>
      <c r="T96" s="36"/>
      <c r="U96" s="36"/>
      <c r="V96" s="36"/>
      <c r="W96" s="36"/>
      <c r="X96" s="36"/>
      <c r="Y96" s="36"/>
      <c r="Z96" s="36"/>
      <c r="AA96" s="36"/>
      <c r="AB96" s="36"/>
    </row>
    <row r="97" spans="1:28" ht="72" customHeight="1">
      <c r="A97" s="30" t="str">
        <f>HYPERLINK("https://www.alcaldiabogota.gov.co/sisjur/normas/Norma1.jsp?i=25617&amp;dt=S","RESOLUCIÓN 277")</f>
        <v>RESOLUCIÓN 277</v>
      </c>
      <c r="B97" s="41">
        <v>39252</v>
      </c>
      <c r="C97" s="142" t="s">
        <v>130</v>
      </c>
      <c r="D97" s="33" t="s">
        <v>1805</v>
      </c>
      <c r="E97" s="32" t="s">
        <v>41</v>
      </c>
      <c r="F97" s="33" t="s">
        <v>1806</v>
      </c>
      <c r="G97" s="147" t="s">
        <v>43</v>
      </c>
      <c r="H97" s="117" t="s">
        <v>1490</v>
      </c>
      <c r="I97" s="35"/>
      <c r="J97" s="36"/>
      <c r="K97" s="36"/>
      <c r="L97" s="36"/>
      <c r="M97" s="36"/>
      <c r="N97" s="36"/>
      <c r="O97" s="36"/>
      <c r="P97" s="36"/>
      <c r="Q97" s="36"/>
      <c r="R97" s="36"/>
      <c r="S97" s="36"/>
      <c r="T97" s="36"/>
      <c r="U97" s="36"/>
      <c r="V97" s="36"/>
      <c r="W97" s="36"/>
      <c r="X97" s="36"/>
      <c r="Y97" s="36"/>
      <c r="Z97" s="36"/>
      <c r="AA97" s="36"/>
      <c r="AB97" s="36"/>
    </row>
    <row r="98" spans="1:28" ht="60" customHeight="1">
      <c r="A98" s="30" t="str">
        <f>HYPERLINK("https://www.alcaldiabogota.gov.co/sisjur/normas/Norma1.jsp?i=35322&amp;dt=S","RESOLUCIÓN  583")</f>
        <v>RESOLUCIÓN  583</v>
      </c>
      <c r="B98" s="286">
        <v>39797</v>
      </c>
      <c r="C98" s="142" t="s">
        <v>130</v>
      </c>
      <c r="D98" s="33" t="s">
        <v>1810</v>
      </c>
      <c r="E98" s="32" t="s">
        <v>41</v>
      </c>
      <c r="F98" s="33" t="s">
        <v>1811</v>
      </c>
      <c r="G98" s="147" t="s">
        <v>43</v>
      </c>
      <c r="H98" s="117" t="s">
        <v>1490</v>
      </c>
      <c r="I98" s="35"/>
      <c r="J98" s="36"/>
      <c r="K98" s="36"/>
      <c r="L98" s="36"/>
      <c r="M98" s="36"/>
      <c r="N98" s="36"/>
      <c r="O98" s="36"/>
      <c r="P98" s="36"/>
      <c r="Q98" s="36"/>
      <c r="R98" s="36"/>
      <c r="S98" s="36"/>
      <c r="T98" s="36"/>
      <c r="U98" s="36"/>
      <c r="V98" s="36"/>
      <c r="W98" s="36"/>
      <c r="X98" s="36"/>
      <c r="Y98" s="36"/>
      <c r="Z98" s="36"/>
      <c r="AA98" s="36"/>
      <c r="AB98" s="36"/>
    </row>
    <row r="99" spans="1:28" ht="72" customHeight="1">
      <c r="A99" s="291" t="str">
        <f>HYPERLINK("http://old.integracionsocial.gov.co/anexos/documentos/polpublicas/Resoluci%C3%B3n%201376%2016sep11%20Comit%C3%A9%20Operativo%20para%20las%20Familias.pdf","RESOLUCIÓN 1376")</f>
        <v>RESOLUCIÓN 1376</v>
      </c>
      <c r="B99" s="41">
        <v>40812</v>
      </c>
      <c r="C99" s="296" t="s">
        <v>1819</v>
      </c>
      <c r="D99" s="268" t="s">
        <v>2972</v>
      </c>
      <c r="E99" s="264" t="s">
        <v>41</v>
      </c>
      <c r="F99" s="268" t="s">
        <v>97</v>
      </c>
      <c r="G99" s="147"/>
      <c r="H99" s="117"/>
      <c r="I99" s="35"/>
      <c r="J99" s="36"/>
      <c r="K99" s="36"/>
      <c r="L99" s="36"/>
      <c r="M99" s="36"/>
      <c r="N99" s="36"/>
      <c r="O99" s="36"/>
      <c r="P99" s="36"/>
      <c r="Q99" s="36"/>
      <c r="R99" s="36"/>
      <c r="S99" s="36"/>
      <c r="T99" s="36"/>
      <c r="U99" s="36"/>
      <c r="V99" s="36"/>
      <c r="W99" s="36"/>
      <c r="X99" s="36"/>
      <c r="Y99" s="36"/>
      <c r="Z99" s="36"/>
      <c r="AA99" s="36"/>
      <c r="AB99" s="36"/>
    </row>
    <row r="100" spans="1:28" ht="72" customHeight="1">
      <c r="A100" s="291" t="str">
        <f>HYPERLINK("http://imdri.gov.co/web/images/2018/NORMATIVIDAD/Politica-Publica-FINAL.pdf","RESOLUCIÓN 1723")</f>
        <v>RESOLUCIÓN 1723</v>
      </c>
      <c r="B100" s="264">
        <v>2018</v>
      </c>
      <c r="C100" s="296" t="s">
        <v>2973</v>
      </c>
      <c r="D100" s="268" t="s">
        <v>2974</v>
      </c>
      <c r="E100" s="264" t="s">
        <v>41</v>
      </c>
      <c r="F100" s="268" t="s">
        <v>97</v>
      </c>
      <c r="G100" s="147"/>
      <c r="H100" s="117"/>
      <c r="I100" s="35"/>
      <c r="J100" s="36"/>
      <c r="K100" s="36"/>
      <c r="L100" s="36"/>
      <c r="M100" s="36"/>
      <c r="N100" s="36"/>
      <c r="O100" s="36"/>
      <c r="P100" s="36"/>
      <c r="Q100" s="36"/>
      <c r="R100" s="36"/>
      <c r="S100" s="36"/>
      <c r="T100" s="36"/>
      <c r="U100" s="36"/>
      <c r="V100" s="36"/>
      <c r="W100" s="36"/>
      <c r="X100" s="36"/>
      <c r="Y100" s="36"/>
      <c r="Z100" s="36"/>
      <c r="AA100" s="36"/>
      <c r="AB100" s="36"/>
    </row>
    <row r="101" spans="1:28" ht="72" customHeight="1">
      <c r="A101" s="30" t="str">
        <f>HYPERLINK("http://legal.legis.com.co/document/Index?obra=legcol&amp;document=legcol_991bac1c3ff450dae0430a01015150da","RESOLUCIÓN 338")</f>
        <v>RESOLUCIÓN 338</v>
      </c>
      <c r="B101" s="41">
        <v>40389</v>
      </c>
      <c r="C101" s="142" t="s">
        <v>130</v>
      </c>
      <c r="D101" s="33" t="s">
        <v>1813</v>
      </c>
      <c r="E101" s="32" t="s">
        <v>41</v>
      </c>
      <c r="F101" s="33" t="s">
        <v>1814</v>
      </c>
      <c r="G101" s="147" t="s">
        <v>43</v>
      </c>
      <c r="H101" s="117" t="s">
        <v>1490</v>
      </c>
      <c r="I101" s="35"/>
      <c r="J101" s="36"/>
      <c r="K101" s="36"/>
      <c r="L101" s="36"/>
      <c r="M101" s="36"/>
      <c r="N101" s="36"/>
      <c r="O101" s="36"/>
      <c r="P101" s="36"/>
      <c r="Q101" s="36"/>
      <c r="R101" s="36"/>
      <c r="S101" s="36"/>
      <c r="T101" s="36"/>
      <c r="U101" s="36"/>
      <c r="V101" s="36"/>
      <c r="W101" s="36"/>
      <c r="X101" s="36"/>
      <c r="Y101" s="36"/>
      <c r="Z101" s="36"/>
      <c r="AA101" s="36"/>
      <c r="AB101" s="36"/>
    </row>
    <row r="102" spans="1:28" ht="36" customHeight="1">
      <c r="A102" s="30" t="str">
        <f>HYPERLINK("https://www.alcaldiabogota.gov.co/sisjur/normas/Norma1.jsp?i=44163","RESOLUCIÓN 671 ")</f>
        <v xml:space="preserve">RESOLUCIÓN 671 </v>
      </c>
      <c r="B102" s="41">
        <v>40801</v>
      </c>
      <c r="C102" s="32" t="s">
        <v>1816</v>
      </c>
      <c r="D102" s="33" t="s">
        <v>1817</v>
      </c>
      <c r="E102" s="32" t="s">
        <v>41</v>
      </c>
      <c r="F102" s="32" t="s">
        <v>97</v>
      </c>
      <c r="G102" s="147" t="s">
        <v>43</v>
      </c>
      <c r="H102" s="117" t="s">
        <v>1490</v>
      </c>
      <c r="I102" s="35"/>
      <c r="J102" s="36"/>
      <c r="K102" s="36"/>
      <c r="L102" s="36"/>
      <c r="M102" s="36"/>
      <c r="N102" s="36"/>
      <c r="O102" s="36"/>
      <c r="P102" s="36"/>
      <c r="Q102" s="36"/>
      <c r="R102" s="36"/>
      <c r="S102" s="36"/>
      <c r="T102" s="36"/>
      <c r="U102" s="36"/>
      <c r="V102" s="36"/>
      <c r="W102" s="36"/>
      <c r="X102" s="36"/>
      <c r="Y102" s="36"/>
      <c r="Z102" s="36"/>
      <c r="AA102" s="36"/>
      <c r="AB102" s="36"/>
    </row>
    <row r="103" spans="1:28" ht="36" customHeight="1">
      <c r="A103" s="30" t="str">
        <f>HYPERLINK("https://www.alcaldiabogota.gov.co/sisjur/normas/Norma1.jsp?i=57393&amp;dt=S","RESOLUCIÓN 1613")</f>
        <v>RESOLUCIÓN 1613</v>
      </c>
      <c r="B103" s="286">
        <v>40862</v>
      </c>
      <c r="C103" s="32" t="s">
        <v>1819</v>
      </c>
      <c r="D103" s="33" t="s">
        <v>1820</v>
      </c>
      <c r="E103" s="32" t="s">
        <v>41</v>
      </c>
      <c r="F103" s="32" t="s">
        <v>97</v>
      </c>
      <c r="G103" s="147" t="s">
        <v>43</v>
      </c>
      <c r="H103" s="117" t="s">
        <v>1490</v>
      </c>
      <c r="I103" s="35"/>
      <c r="J103" s="36"/>
      <c r="K103" s="36"/>
      <c r="L103" s="36"/>
      <c r="M103" s="36"/>
      <c r="N103" s="36"/>
      <c r="O103" s="36"/>
      <c r="P103" s="36"/>
      <c r="Q103" s="36"/>
      <c r="R103" s="36"/>
      <c r="S103" s="36"/>
      <c r="T103" s="36"/>
      <c r="U103" s="36"/>
      <c r="V103" s="36"/>
      <c r="W103" s="36"/>
      <c r="X103" s="36"/>
      <c r="Y103" s="36"/>
      <c r="Z103" s="36"/>
      <c r="AA103" s="36"/>
      <c r="AB103" s="36"/>
    </row>
    <row r="104" spans="1:28" ht="24" customHeight="1">
      <c r="A104" s="30" t="str">
        <f>HYPERLINK("https://drive.google.com/open?id=15hCKzLYDOwudsmCw6-TXuPZRdpfnb7Mx","RESOLUCIÓN 457")</f>
        <v>RESOLUCIÓN 457</v>
      </c>
      <c r="B104" s="41">
        <v>41151</v>
      </c>
      <c r="C104" s="142" t="s">
        <v>130</v>
      </c>
      <c r="D104" s="33" t="s">
        <v>1824</v>
      </c>
      <c r="E104" s="32" t="s">
        <v>41</v>
      </c>
      <c r="F104" s="32" t="s">
        <v>97</v>
      </c>
      <c r="G104" s="147" t="s">
        <v>43</v>
      </c>
      <c r="H104" s="117" t="s">
        <v>1490</v>
      </c>
      <c r="I104" s="35"/>
      <c r="J104" s="36"/>
      <c r="K104" s="36"/>
      <c r="L104" s="36"/>
      <c r="M104" s="36"/>
      <c r="N104" s="36"/>
      <c r="O104" s="36"/>
      <c r="P104" s="36"/>
      <c r="Q104" s="36"/>
      <c r="R104" s="36"/>
      <c r="S104" s="36"/>
      <c r="T104" s="36"/>
      <c r="U104" s="36"/>
      <c r="V104" s="36"/>
      <c r="W104" s="36"/>
      <c r="X104" s="36"/>
      <c r="Y104" s="36"/>
      <c r="Z104" s="36"/>
      <c r="AA104" s="36"/>
      <c r="AB104" s="36"/>
    </row>
    <row r="105" spans="1:28" ht="36" customHeight="1">
      <c r="A105" s="30" t="str">
        <f>HYPERLINK("https://www.alcaldiabogota.gov.co/sisjur/normas/Norma1.jsp?i=49983&amp;dt=S","RESOLUCIÓN 3317")</f>
        <v>RESOLUCIÓN 3317</v>
      </c>
      <c r="B105" s="286">
        <v>41198</v>
      </c>
      <c r="C105" s="32" t="s">
        <v>124</v>
      </c>
      <c r="D105" s="33" t="s">
        <v>1826</v>
      </c>
      <c r="E105" s="32" t="s">
        <v>41</v>
      </c>
      <c r="F105" s="32" t="s">
        <v>97</v>
      </c>
      <c r="G105" s="147" t="s">
        <v>43</v>
      </c>
      <c r="H105" s="117" t="s">
        <v>1490</v>
      </c>
      <c r="I105" s="35"/>
      <c r="J105" s="36"/>
      <c r="K105" s="36"/>
      <c r="L105" s="36"/>
      <c r="M105" s="36"/>
      <c r="N105" s="36"/>
      <c r="O105" s="36"/>
      <c r="P105" s="36"/>
      <c r="Q105" s="36"/>
      <c r="R105" s="36"/>
      <c r="S105" s="36"/>
      <c r="T105" s="36"/>
      <c r="U105" s="36"/>
      <c r="V105" s="36"/>
      <c r="W105" s="36"/>
      <c r="X105" s="36"/>
      <c r="Y105" s="36"/>
      <c r="Z105" s="36"/>
      <c r="AA105" s="36"/>
      <c r="AB105" s="36"/>
    </row>
    <row r="106" spans="1:28" ht="36" customHeight="1">
      <c r="A106" s="30" t="str">
        <f>HYPERLINK("http://legal.legis.com.co/document/index?obra=legcol&amp;bookmark=bf151d6163da5614e72b7e3c50fb2719448nf9","RESOLUCION 316")</f>
        <v>RESOLUCION 316</v>
      </c>
      <c r="B106" s="41">
        <v>41415</v>
      </c>
      <c r="C106" s="142" t="s">
        <v>130</v>
      </c>
      <c r="D106" s="33" t="s">
        <v>1828</v>
      </c>
      <c r="E106" s="32" t="s">
        <v>41</v>
      </c>
      <c r="F106" s="32" t="s">
        <v>97</v>
      </c>
      <c r="G106" s="147" t="s">
        <v>43</v>
      </c>
      <c r="H106" s="117" t="s">
        <v>1490</v>
      </c>
      <c r="I106" s="35"/>
      <c r="J106" s="36"/>
      <c r="K106" s="36"/>
      <c r="L106" s="36"/>
      <c r="M106" s="36"/>
      <c r="N106" s="36"/>
      <c r="O106" s="36"/>
      <c r="P106" s="36"/>
      <c r="Q106" s="36"/>
      <c r="R106" s="36"/>
      <c r="S106" s="36"/>
      <c r="T106" s="36"/>
      <c r="U106" s="36"/>
      <c r="V106" s="36"/>
      <c r="W106" s="36"/>
      <c r="X106" s="36"/>
      <c r="Y106" s="36"/>
      <c r="Z106" s="36"/>
      <c r="AA106" s="36"/>
      <c r="AB106" s="36"/>
    </row>
    <row r="107" spans="1:28" ht="36" customHeight="1">
      <c r="A107" s="30" t="str">
        <f>HYPERLINK("https://www.idrd.gov.co/sitio/idrd/sites/default/files/imagenes/resolucion%20334%20de%202014.pdf","RESOLUCIÓN 334")</f>
        <v>RESOLUCIÓN 334</v>
      </c>
      <c r="B107" s="41">
        <v>41806</v>
      </c>
      <c r="C107" s="142" t="s">
        <v>130</v>
      </c>
      <c r="D107" s="33" t="s">
        <v>1594</v>
      </c>
      <c r="E107" s="32" t="s">
        <v>41</v>
      </c>
      <c r="F107" s="32" t="s">
        <v>97</v>
      </c>
      <c r="G107" s="147" t="s">
        <v>43</v>
      </c>
      <c r="H107" s="117" t="s">
        <v>1490</v>
      </c>
      <c r="I107" s="35"/>
      <c r="J107" s="36"/>
      <c r="K107" s="36"/>
      <c r="L107" s="36"/>
      <c r="M107" s="36"/>
      <c r="N107" s="36"/>
      <c r="O107" s="36"/>
      <c r="P107" s="36"/>
      <c r="Q107" s="36"/>
      <c r="R107" s="36"/>
      <c r="S107" s="36"/>
      <c r="T107" s="36"/>
      <c r="U107" s="36"/>
      <c r="V107" s="36"/>
      <c r="W107" s="36"/>
      <c r="X107" s="36"/>
      <c r="Y107" s="36"/>
      <c r="Z107" s="36"/>
      <c r="AA107" s="36"/>
      <c r="AB107" s="36"/>
    </row>
    <row r="108" spans="1:28" ht="36" customHeight="1">
      <c r="A108" s="30" t="str">
        <f>HYPERLINK("https://www.alcaldiabogota.gov.co/sisjur/normas/Norma1.jsp?i=59906&amp;dt=S","RESOLUCIÓN 569")</f>
        <v>RESOLUCIÓN 569</v>
      </c>
      <c r="B108" s="286">
        <v>41929</v>
      </c>
      <c r="C108" s="32" t="s">
        <v>1830</v>
      </c>
      <c r="D108" s="33" t="s">
        <v>153</v>
      </c>
      <c r="E108" s="32" t="s">
        <v>41</v>
      </c>
      <c r="F108" s="32" t="s">
        <v>97</v>
      </c>
      <c r="G108" s="147" t="s">
        <v>43</v>
      </c>
      <c r="H108" s="117" t="s">
        <v>1490</v>
      </c>
      <c r="I108" s="35"/>
      <c r="J108" s="36"/>
      <c r="K108" s="36"/>
      <c r="L108" s="36"/>
      <c r="M108" s="36"/>
      <c r="N108" s="36"/>
      <c r="O108" s="36"/>
      <c r="P108" s="36"/>
      <c r="Q108" s="36"/>
      <c r="R108" s="36"/>
      <c r="S108" s="36"/>
      <c r="T108" s="36"/>
      <c r="U108" s="36"/>
      <c r="V108" s="36"/>
      <c r="W108" s="36"/>
      <c r="X108" s="36"/>
      <c r="Y108" s="36"/>
      <c r="Z108" s="36"/>
      <c r="AA108" s="36"/>
      <c r="AB108" s="36"/>
    </row>
    <row r="109" spans="1:28" ht="24" customHeight="1">
      <c r="A109" s="30" t="str">
        <f>HYPERLINK("https://drive.google.com/open?id=1oq3aIYert8YMY8HRyh5ZBp8vsHxnyfBo","RESOLUCIÓN 572")</f>
        <v>RESOLUCIÓN 572</v>
      </c>
      <c r="B109" s="41">
        <v>42221</v>
      </c>
      <c r="C109" s="142" t="s">
        <v>130</v>
      </c>
      <c r="D109" s="33" t="s">
        <v>1832</v>
      </c>
      <c r="E109" s="32" t="s">
        <v>41</v>
      </c>
      <c r="F109" s="32" t="s">
        <v>97</v>
      </c>
      <c r="G109" s="147" t="s">
        <v>43</v>
      </c>
      <c r="H109" s="117" t="s">
        <v>1490</v>
      </c>
      <c r="I109" s="35"/>
      <c r="J109" s="36"/>
      <c r="K109" s="36"/>
      <c r="L109" s="36"/>
      <c r="M109" s="36"/>
      <c r="N109" s="36"/>
      <c r="O109" s="36"/>
      <c r="P109" s="36"/>
      <c r="Q109" s="36"/>
      <c r="R109" s="36"/>
      <c r="S109" s="36"/>
      <c r="T109" s="36"/>
      <c r="U109" s="36"/>
      <c r="V109" s="36"/>
      <c r="W109" s="36"/>
      <c r="X109" s="36"/>
      <c r="Y109" s="36"/>
      <c r="Z109" s="36"/>
      <c r="AA109" s="36"/>
      <c r="AB109" s="36"/>
    </row>
    <row r="110" spans="1:28" ht="48" customHeight="1">
      <c r="A110" s="291" t="str">
        <f>HYPERLINK("https://www.alcaldiabogota.gov.co/sisjur/normas/Norma1.jsp?i=76252&amp;dt=S","RESOLUCIÓN 756")</f>
        <v>RESOLUCIÓN 756</v>
      </c>
      <c r="B110" s="41">
        <v>42863</v>
      </c>
      <c r="C110" s="296" t="s">
        <v>1819</v>
      </c>
      <c r="D110" s="268" t="s">
        <v>2983</v>
      </c>
      <c r="E110" s="264" t="s">
        <v>41</v>
      </c>
      <c r="F110" s="264" t="s">
        <v>97</v>
      </c>
      <c r="G110" s="147"/>
      <c r="H110" s="117"/>
      <c r="I110" s="35"/>
      <c r="J110" s="36"/>
      <c r="K110" s="36"/>
      <c r="L110" s="36"/>
      <c r="M110" s="36"/>
      <c r="N110" s="36"/>
      <c r="O110" s="36"/>
      <c r="P110" s="36"/>
      <c r="Q110" s="36"/>
      <c r="R110" s="36"/>
      <c r="S110" s="36"/>
      <c r="T110" s="36"/>
      <c r="U110" s="36"/>
      <c r="V110" s="36"/>
      <c r="W110" s="36"/>
      <c r="X110" s="36"/>
      <c r="Y110" s="36"/>
      <c r="Z110" s="36"/>
      <c r="AA110" s="36"/>
      <c r="AB110" s="36"/>
    </row>
    <row r="111" spans="1:28" ht="48" customHeight="1">
      <c r="A111" s="291" t="str">
        <f>HYPERLINK("https://www.minsalud.gov.co/sites/rid/Lists/BibliotecaDigital/RIDE/DE/DIJ/Resolucion-583-de-2018.pdf","RESOLUCIÓN 583")</f>
        <v>RESOLUCIÓN 583</v>
      </c>
      <c r="B111" s="41">
        <v>43157</v>
      </c>
      <c r="C111" s="296" t="s">
        <v>124</v>
      </c>
      <c r="D111" s="268" t="s">
        <v>2984</v>
      </c>
      <c r="E111" s="264" t="s">
        <v>41</v>
      </c>
      <c r="F111" s="264" t="s">
        <v>97</v>
      </c>
      <c r="G111" s="147"/>
      <c r="H111" s="117"/>
      <c r="I111" s="35"/>
      <c r="J111" s="36"/>
      <c r="K111" s="36"/>
      <c r="L111" s="36"/>
      <c r="M111" s="36"/>
      <c r="N111" s="36"/>
      <c r="O111" s="36"/>
      <c r="P111" s="36"/>
      <c r="Q111" s="36"/>
      <c r="R111" s="36"/>
      <c r="S111" s="36"/>
      <c r="T111" s="36"/>
      <c r="U111" s="36"/>
      <c r="V111" s="36"/>
      <c r="W111" s="36"/>
      <c r="X111" s="36"/>
      <c r="Y111" s="36"/>
      <c r="Z111" s="36"/>
      <c r="AA111" s="36"/>
      <c r="AB111" s="36"/>
    </row>
    <row r="112" spans="1:28" ht="36" customHeight="1">
      <c r="A112" s="30" t="str">
        <f>HYPERLINK("https://www.movilidadbogota.gov.co/web/sites/default/files/RESOLUCION%200001885-2015.pdf","RESOLUCIÓN  1885")</f>
        <v>RESOLUCIÓN  1885</v>
      </c>
      <c r="B112" s="41">
        <v>42172</v>
      </c>
      <c r="C112" s="32" t="s">
        <v>1800</v>
      </c>
      <c r="D112" s="39" t="s">
        <v>3008</v>
      </c>
      <c r="E112" s="32" t="s">
        <v>1838</v>
      </c>
      <c r="F112" s="32" t="s">
        <v>1839</v>
      </c>
      <c r="G112" s="147" t="s">
        <v>43</v>
      </c>
      <c r="H112" s="117" t="s">
        <v>1490</v>
      </c>
      <c r="I112" s="35"/>
      <c r="J112" s="36"/>
      <c r="K112" s="36"/>
      <c r="L112" s="36"/>
      <c r="M112" s="36"/>
      <c r="N112" s="36"/>
      <c r="O112" s="36"/>
      <c r="P112" s="36"/>
      <c r="Q112" s="36"/>
      <c r="R112" s="36"/>
      <c r="S112" s="36"/>
      <c r="T112" s="36"/>
      <c r="U112" s="36"/>
      <c r="V112" s="36"/>
      <c r="W112" s="36"/>
      <c r="X112" s="36"/>
      <c r="Y112" s="36"/>
      <c r="Z112" s="36"/>
      <c r="AA112" s="36"/>
      <c r="AB112" s="36"/>
    </row>
    <row r="113" spans="1:28" ht="48" customHeight="1">
      <c r="A113" s="30" t="str">
        <f>HYPERLINK("https://www.alcaldiabogota.gov.co/sisjur/normas/Norma1.jsp?i=61276&amp;dt=S","RESOLUCION 190")</f>
        <v>RESOLUCION 190</v>
      </c>
      <c r="B113" s="41">
        <v>42072</v>
      </c>
      <c r="C113" s="142" t="s">
        <v>130</v>
      </c>
      <c r="D113" s="33" t="s">
        <v>1840</v>
      </c>
      <c r="E113" s="32" t="s">
        <v>41</v>
      </c>
      <c r="F113" s="32" t="s">
        <v>97</v>
      </c>
      <c r="G113" s="147" t="s">
        <v>43</v>
      </c>
      <c r="H113" s="117" t="s">
        <v>1490</v>
      </c>
      <c r="I113" s="35"/>
      <c r="J113" s="36"/>
      <c r="K113" s="36"/>
      <c r="L113" s="36"/>
      <c r="M113" s="36"/>
      <c r="N113" s="36"/>
      <c r="O113" s="36"/>
      <c r="P113" s="36"/>
      <c r="Q113" s="36"/>
      <c r="R113" s="36"/>
      <c r="S113" s="36"/>
      <c r="T113" s="36"/>
      <c r="U113" s="36"/>
      <c r="V113" s="36"/>
      <c r="W113" s="36"/>
      <c r="X113" s="36"/>
      <c r="Y113" s="36"/>
      <c r="Z113" s="36"/>
      <c r="AA113" s="36"/>
      <c r="AB113" s="36"/>
    </row>
    <row r="114" spans="1:28" ht="24" customHeight="1">
      <c r="A114" s="30" t="str">
        <f>HYPERLINK("https://www.idrd.gov.co/sitio/idrd/sites/default/files/imagenes/RESOLUCION%20GUARDIANES%20DE%20CICLOVIA%20141%20DE%202016.pdf","RESOLUCIÓN 141")</f>
        <v>RESOLUCIÓN 141</v>
      </c>
      <c r="B114" s="41">
        <v>42440</v>
      </c>
      <c r="C114" s="142" t="s">
        <v>130</v>
      </c>
      <c r="D114" s="33" t="s">
        <v>1842</v>
      </c>
      <c r="E114" s="32" t="s">
        <v>41</v>
      </c>
      <c r="F114" s="32" t="s">
        <v>97</v>
      </c>
      <c r="G114" s="147" t="s">
        <v>43</v>
      </c>
      <c r="H114" s="117" t="s">
        <v>1490</v>
      </c>
      <c r="I114" s="35"/>
      <c r="J114" s="36"/>
      <c r="K114" s="36"/>
      <c r="L114" s="36"/>
      <c r="M114" s="36"/>
      <c r="N114" s="36"/>
      <c r="O114" s="36"/>
      <c r="P114" s="36"/>
      <c r="Q114" s="36"/>
      <c r="R114" s="36"/>
      <c r="S114" s="36"/>
      <c r="T114" s="36"/>
      <c r="U114" s="36"/>
      <c r="V114" s="36"/>
      <c r="W114" s="36"/>
      <c r="X114" s="36"/>
      <c r="Y114" s="36"/>
      <c r="Z114" s="36"/>
      <c r="AA114" s="36"/>
      <c r="AB114" s="36"/>
    </row>
    <row r="115" spans="1:28" ht="36" customHeight="1">
      <c r="A115" s="30" t="str">
        <f>HYPERLINK("https://www.alcaldiabogota.gov.co/sisjur/normas/Norma1.jsp?i=68085&amp;dt=S","RESOLUCIÓN 160")</f>
        <v>RESOLUCIÓN 160</v>
      </c>
      <c r="B115" s="41">
        <v>42768</v>
      </c>
      <c r="C115" s="32" t="s">
        <v>1800</v>
      </c>
      <c r="D115" s="33" t="s">
        <v>1848</v>
      </c>
      <c r="E115" s="32" t="s">
        <v>41</v>
      </c>
      <c r="F115" s="32" t="s">
        <v>97</v>
      </c>
      <c r="G115" s="147" t="s">
        <v>43</v>
      </c>
      <c r="H115" s="117" t="s">
        <v>1490</v>
      </c>
      <c r="I115" s="35"/>
      <c r="J115" s="36"/>
      <c r="K115" s="36"/>
      <c r="L115" s="36"/>
      <c r="M115" s="36"/>
      <c r="N115" s="36"/>
      <c r="O115" s="36"/>
      <c r="P115" s="36"/>
      <c r="Q115" s="36"/>
      <c r="R115" s="36"/>
      <c r="S115" s="36"/>
      <c r="T115" s="36"/>
      <c r="U115" s="36"/>
      <c r="V115" s="36"/>
      <c r="W115" s="36"/>
      <c r="X115" s="36"/>
      <c r="Y115" s="36"/>
      <c r="Z115" s="36"/>
      <c r="AA115" s="36"/>
      <c r="AB115" s="36"/>
    </row>
    <row r="116" spans="1:28" ht="24" customHeight="1">
      <c r="A116" s="275" t="s">
        <v>2985</v>
      </c>
      <c r="B116" s="41">
        <v>43909</v>
      </c>
      <c r="C116" s="40" t="s">
        <v>130</v>
      </c>
      <c r="D116" s="39" t="s">
        <v>2986</v>
      </c>
      <c r="E116" s="40" t="s">
        <v>41</v>
      </c>
      <c r="F116" s="32" t="s">
        <v>97</v>
      </c>
      <c r="G116" s="147"/>
      <c r="H116" s="117"/>
      <c r="I116" s="35"/>
      <c r="J116" s="36"/>
      <c r="K116" s="36"/>
      <c r="L116" s="36"/>
      <c r="M116" s="36"/>
      <c r="N116" s="36"/>
      <c r="O116" s="36"/>
      <c r="P116" s="36"/>
      <c r="Q116" s="36"/>
      <c r="R116" s="36"/>
      <c r="S116" s="36"/>
      <c r="T116" s="36"/>
      <c r="U116" s="36"/>
      <c r="V116" s="36"/>
      <c r="W116" s="36"/>
      <c r="X116" s="36"/>
      <c r="Y116" s="36"/>
      <c r="Z116" s="36"/>
      <c r="AA116" s="36"/>
      <c r="AB116" s="36"/>
    </row>
    <row r="117" spans="1:28" ht="24" customHeight="1">
      <c r="A117" s="275" t="s">
        <v>2987</v>
      </c>
      <c r="B117" s="41">
        <v>43955</v>
      </c>
      <c r="C117" s="40" t="s">
        <v>130</v>
      </c>
      <c r="D117" s="39" t="s">
        <v>2988</v>
      </c>
      <c r="E117" s="40" t="s">
        <v>41</v>
      </c>
      <c r="F117" s="32" t="s">
        <v>97</v>
      </c>
      <c r="G117" s="147"/>
      <c r="H117" s="117"/>
      <c r="I117" s="35"/>
      <c r="J117" s="36"/>
      <c r="K117" s="36"/>
      <c r="L117" s="36"/>
      <c r="M117" s="36"/>
      <c r="N117" s="36"/>
      <c r="O117" s="36"/>
      <c r="P117" s="36"/>
      <c r="Q117" s="36"/>
      <c r="R117" s="36"/>
      <c r="S117" s="36"/>
      <c r="T117" s="36"/>
      <c r="U117" s="36"/>
      <c r="V117" s="36"/>
      <c r="W117" s="36"/>
      <c r="X117" s="36"/>
      <c r="Y117" s="36"/>
      <c r="Z117" s="36"/>
      <c r="AA117" s="36"/>
      <c r="AB117" s="36"/>
    </row>
    <row r="118" spans="1:28" ht="24" customHeight="1">
      <c r="A118" s="297" t="s">
        <v>343</v>
      </c>
      <c r="B118" s="264">
        <v>2013</v>
      </c>
      <c r="C118" s="32"/>
      <c r="D118" s="268" t="s">
        <v>2989</v>
      </c>
      <c r="E118" s="264" t="s">
        <v>2990</v>
      </c>
      <c r="F118" s="264" t="s">
        <v>97</v>
      </c>
      <c r="G118" s="147"/>
      <c r="H118" s="117"/>
      <c r="I118" s="35"/>
      <c r="J118" s="36"/>
      <c r="K118" s="36"/>
      <c r="L118" s="36"/>
      <c r="M118" s="36"/>
      <c r="N118" s="36"/>
      <c r="O118" s="36"/>
      <c r="P118" s="36"/>
      <c r="Q118" s="36"/>
      <c r="R118" s="36"/>
      <c r="S118" s="36"/>
      <c r="T118" s="36"/>
      <c r="U118" s="36"/>
      <c r="V118" s="36"/>
      <c r="W118" s="36"/>
      <c r="X118" s="36"/>
      <c r="Y118" s="36"/>
      <c r="Z118" s="36"/>
      <c r="AA118" s="36"/>
      <c r="AB118" s="36"/>
    </row>
    <row r="119" spans="1:28" ht="24" customHeight="1">
      <c r="A119" s="63" t="s">
        <v>1624</v>
      </c>
      <c r="B119" s="32">
        <v>2016</v>
      </c>
      <c r="C119" s="32" t="s">
        <v>1849</v>
      </c>
      <c r="D119" s="33" t="s">
        <v>1626</v>
      </c>
      <c r="E119" s="32" t="s">
        <v>41</v>
      </c>
      <c r="F119" s="32" t="s">
        <v>97</v>
      </c>
      <c r="G119" s="147" t="s">
        <v>43</v>
      </c>
      <c r="H119" s="117" t="s">
        <v>1490</v>
      </c>
      <c r="I119" s="35"/>
      <c r="J119" s="36"/>
      <c r="K119" s="36"/>
      <c r="L119" s="36"/>
      <c r="M119" s="36"/>
      <c r="N119" s="36"/>
      <c r="O119" s="36"/>
      <c r="P119" s="36"/>
      <c r="Q119" s="36"/>
      <c r="R119" s="36"/>
      <c r="S119" s="36"/>
      <c r="T119" s="36"/>
      <c r="U119" s="36"/>
      <c r="V119" s="36"/>
      <c r="W119" s="36"/>
      <c r="X119" s="36"/>
      <c r="Y119" s="36"/>
      <c r="Z119" s="36"/>
      <c r="AA119" s="36"/>
      <c r="AB119" s="36"/>
    </row>
    <row r="120" spans="1:28" ht="48" customHeight="1">
      <c r="A120" s="30" t="str">
        <f>HYPERLINK("https://www.who.int/healthpromotion/conferences/6gchp/BCHP_es.pdf","CARTA DE BANGKOK")</f>
        <v>CARTA DE BANGKOK</v>
      </c>
      <c r="B120" s="41">
        <v>38569</v>
      </c>
      <c r="C120" s="32" t="s">
        <v>1851</v>
      </c>
      <c r="D120" s="33" t="s">
        <v>1852</v>
      </c>
      <c r="E120" s="32" t="s">
        <v>41</v>
      </c>
      <c r="F120" s="32" t="s">
        <v>97</v>
      </c>
      <c r="G120" s="147" t="s">
        <v>43</v>
      </c>
      <c r="H120" s="117" t="s">
        <v>1490</v>
      </c>
      <c r="I120" s="35"/>
      <c r="J120" s="36"/>
      <c r="K120" s="36"/>
      <c r="L120" s="36"/>
      <c r="M120" s="36"/>
      <c r="N120" s="36"/>
      <c r="O120" s="36"/>
      <c r="P120" s="36"/>
      <c r="Q120" s="36"/>
      <c r="R120" s="36"/>
      <c r="S120" s="36"/>
      <c r="T120" s="36"/>
      <c r="U120" s="36"/>
      <c r="V120" s="36"/>
      <c r="W120" s="36"/>
      <c r="X120" s="36"/>
      <c r="Y120" s="36"/>
      <c r="Z120" s="36"/>
      <c r="AA120" s="36"/>
      <c r="AB120" s="36"/>
    </row>
    <row r="121" spans="1:28" ht="48" customHeight="1">
      <c r="A121" s="63" t="s">
        <v>1853</v>
      </c>
      <c r="B121" s="32">
        <v>2010</v>
      </c>
      <c r="C121" s="32" t="s">
        <v>1854</v>
      </c>
      <c r="D121" s="33" t="s">
        <v>1855</v>
      </c>
      <c r="E121" s="32" t="s">
        <v>41</v>
      </c>
      <c r="F121" s="32" t="s">
        <v>97</v>
      </c>
      <c r="G121" s="147" t="s">
        <v>43</v>
      </c>
      <c r="H121" s="117" t="s">
        <v>1490</v>
      </c>
      <c r="I121" s="35"/>
      <c r="J121" s="36"/>
      <c r="K121" s="36"/>
      <c r="L121" s="36"/>
      <c r="M121" s="36"/>
      <c r="N121" s="36"/>
      <c r="O121" s="36"/>
      <c r="P121" s="36"/>
      <c r="Q121" s="36"/>
      <c r="R121" s="36"/>
      <c r="S121" s="36"/>
      <c r="T121" s="36"/>
      <c r="U121" s="36"/>
      <c r="V121" s="36"/>
      <c r="W121" s="36"/>
      <c r="X121" s="36"/>
      <c r="Y121" s="36"/>
      <c r="Z121" s="36"/>
      <c r="AA121" s="36"/>
      <c r="AB121" s="36"/>
    </row>
    <row r="122" spans="1:28" ht="24" customHeight="1">
      <c r="A122" s="30" t="str">
        <f>HYPERLINK("http://activate.gob.mx/Documentos/Carta%20de%20Toronto%20para%20la%20Actividad%20Fisica.pdf","CARTA INTERNACIONAL DE LA EDUCACION FISICA Y DEL DEPORTE ")</f>
        <v xml:space="preserve">CARTA INTERNACIONAL DE LA EDUCACION FISICA Y DEL DEPORTE </v>
      </c>
      <c r="B122" s="32">
        <v>1978</v>
      </c>
      <c r="C122" s="32" t="s">
        <v>1857</v>
      </c>
      <c r="D122" s="33" t="s">
        <v>1858</v>
      </c>
      <c r="E122" s="32" t="s">
        <v>41</v>
      </c>
      <c r="F122" s="32" t="s">
        <v>97</v>
      </c>
      <c r="G122" s="147" t="s">
        <v>43</v>
      </c>
      <c r="H122" s="117" t="s">
        <v>1490</v>
      </c>
      <c r="I122" s="35"/>
      <c r="J122" s="36"/>
      <c r="K122" s="36"/>
      <c r="L122" s="36"/>
      <c r="M122" s="36"/>
      <c r="N122" s="36"/>
      <c r="O122" s="36"/>
      <c r="P122" s="36"/>
      <c r="Q122" s="36"/>
      <c r="R122" s="36"/>
      <c r="S122" s="36"/>
      <c r="T122" s="36"/>
      <c r="U122" s="36"/>
      <c r="V122" s="36"/>
      <c r="W122" s="36"/>
      <c r="X122" s="36"/>
      <c r="Y122" s="36"/>
      <c r="Z122" s="36"/>
      <c r="AA122" s="36"/>
      <c r="AB122" s="36"/>
    </row>
    <row r="123" spans="1:28" ht="36" customHeight="1">
      <c r="A123" s="30" t="str">
        <f>HYPERLINK("http://portal.unesco.org/es/ev.php-URL_ID=13150&amp;URL_DO=DO_TOPIC&amp;URL_SECTION=201.html","CARTA INTERNACIONAL DE LA EDUCACIÓN FÍSICA, LA ACTIVIDAD FÍSICA Y EL DEPORTE ")</f>
        <v xml:space="preserve">CARTA INTERNACIONAL DE LA EDUCACIÓN FÍSICA, LA ACTIVIDAD FÍSICA Y EL DEPORTE </v>
      </c>
      <c r="B123" s="286">
        <v>42325</v>
      </c>
      <c r="C123" s="32" t="s">
        <v>1857</v>
      </c>
      <c r="D123" s="33" t="s">
        <v>1860</v>
      </c>
      <c r="E123" s="32" t="s">
        <v>41</v>
      </c>
      <c r="F123" s="32" t="s">
        <v>97</v>
      </c>
      <c r="G123" s="147" t="s">
        <v>43</v>
      </c>
      <c r="H123" s="117" t="s">
        <v>1490</v>
      </c>
      <c r="I123" s="35"/>
      <c r="J123" s="36"/>
      <c r="K123" s="36"/>
      <c r="L123" s="36"/>
      <c r="M123" s="36"/>
      <c r="N123" s="36"/>
      <c r="O123" s="36"/>
      <c r="P123" s="36"/>
      <c r="Q123" s="36"/>
      <c r="R123" s="36"/>
      <c r="S123" s="36"/>
      <c r="T123" s="36"/>
      <c r="U123" s="36"/>
      <c r="V123" s="36"/>
      <c r="W123" s="36"/>
      <c r="X123" s="36"/>
      <c r="Y123" s="36"/>
      <c r="Z123" s="36"/>
      <c r="AA123" s="36"/>
      <c r="AB123" s="36"/>
    </row>
    <row r="124" spans="1:28" ht="24" customHeight="1">
      <c r="A124" s="30" t="str">
        <f>HYPERLINK("https://drive.google.com/open?id=1Xkk4hScArTOaCowWWGYnzLmHGsvPhdMw","DECLARACIÓN DE GINEBRA")</f>
        <v>DECLARACIÓN DE GINEBRA</v>
      </c>
      <c r="B124" s="32">
        <v>1924</v>
      </c>
      <c r="C124" s="32" t="s">
        <v>1862</v>
      </c>
      <c r="D124" s="33" t="s">
        <v>1863</v>
      </c>
      <c r="E124" s="32" t="s">
        <v>41</v>
      </c>
      <c r="F124" s="32" t="s">
        <v>97</v>
      </c>
      <c r="G124" s="147" t="s">
        <v>43</v>
      </c>
      <c r="H124" s="117" t="s">
        <v>1490</v>
      </c>
      <c r="I124" s="35"/>
      <c r="J124" s="36"/>
      <c r="K124" s="36"/>
      <c r="L124" s="36"/>
      <c r="M124" s="36"/>
      <c r="N124" s="36"/>
      <c r="O124" s="36"/>
      <c r="P124" s="36"/>
      <c r="Q124" s="36"/>
      <c r="R124" s="36"/>
      <c r="S124" s="36"/>
      <c r="T124" s="36"/>
      <c r="U124" s="36"/>
      <c r="V124" s="36"/>
      <c r="W124" s="36"/>
      <c r="X124" s="36"/>
      <c r="Y124" s="36"/>
      <c r="Z124" s="36"/>
      <c r="AA124" s="36"/>
      <c r="AB124" s="36"/>
    </row>
    <row r="125" spans="1:28" ht="24" customHeight="1">
      <c r="A125" s="30" t="str">
        <f>HYPERLINK("https://drive.google.com/open?id=1MYVd9lpVw4GsAL_wbavR-6Mly5GurrEf","DECLARACIÓN UNIVERSAL DE LOS DERECHOS DEL NIÑO ")</f>
        <v xml:space="preserve">DECLARACIÓN UNIVERSAL DE LOS DERECHOS DEL NIÑO </v>
      </c>
      <c r="B125" s="32">
        <v>1959</v>
      </c>
      <c r="C125" s="32" t="s">
        <v>1865</v>
      </c>
      <c r="D125" s="33" t="s">
        <v>1866</v>
      </c>
      <c r="E125" s="32" t="s">
        <v>41</v>
      </c>
      <c r="F125" s="32" t="s">
        <v>97</v>
      </c>
      <c r="G125" s="147"/>
      <c r="H125" s="117"/>
      <c r="I125" s="35"/>
      <c r="J125" s="36"/>
      <c r="K125" s="36"/>
      <c r="L125" s="36"/>
      <c r="M125" s="36"/>
      <c r="N125" s="36"/>
      <c r="O125" s="36"/>
      <c r="P125" s="36"/>
      <c r="Q125" s="36"/>
      <c r="R125" s="36"/>
      <c r="S125" s="36"/>
      <c r="T125" s="36"/>
      <c r="U125" s="36"/>
      <c r="V125" s="36"/>
      <c r="W125" s="36"/>
      <c r="X125" s="36"/>
      <c r="Y125" s="36"/>
      <c r="Z125" s="36"/>
      <c r="AA125" s="36"/>
      <c r="AB125" s="36"/>
    </row>
    <row r="126" spans="1:28" ht="36" customHeight="1">
      <c r="A126" s="30" t="str">
        <f>HYPERLINK("https://guiatramitesyservicios.bogota.gov.co/wp-content/uploads/2017/11/Convenci%C3%B3n-sobre-los-derechos-de-las-personas-con-Discapacidad.pdf","CONVENCIÓN INTERAMERICANA PARA LA ELIMINACIÓN DE TODAS FORMAS DE DISCRIMINACIÓN CONTRA LAS PERSONAS CON DISCAPACIDAD - OEA")</f>
        <v>CONVENCIÓN INTERAMERICANA PARA LA ELIMINACIÓN DE TODAS FORMAS DE DISCRIMINACIÓN CONTRA LAS PERSONAS CON DISCAPACIDAD - OEA</v>
      </c>
      <c r="B126" s="40">
        <v>1999</v>
      </c>
      <c r="C126" s="32" t="s">
        <v>2991</v>
      </c>
      <c r="D126" s="33" t="s">
        <v>2992</v>
      </c>
      <c r="E126" s="32" t="s">
        <v>41</v>
      </c>
      <c r="F126" s="32" t="s">
        <v>2993</v>
      </c>
      <c r="G126" s="147"/>
      <c r="H126" s="117"/>
      <c r="I126" s="35"/>
      <c r="J126" s="36"/>
      <c r="K126" s="36"/>
      <c r="L126" s="36"/>
      <c r="M126" s="36"/>
      <c r="N126" s="36"/>
      <c r="O126" s="36"/>
      <c r="P126" s="36"/>
      <c r="Q126" s="36"/>
      <c r="R126" s="36"/>
      <c r="S126" s="36"/>
      <c r="T126" s="36"/>
      <c r="U126" s="36"/>
      <c r="V126" s="36"/>
      <c r="W126" s="36"/>
      <c r="X126" s="36"/>
      <c r="Y126" s="36"/>
      <c r="Z126" s="36"/>
      <c r="AA126" s="36"/>
      <c r="AB126" s="36"/>
    </row>
    <row r="127" spans="1:28" ht="36" customHeight="1">
      <c r="A127" s="42" t="s">
        <v>2994</v>
      </c>
      <c r="B127" s="40">
        <v>1982</v>
      </c>
      <c r="C127" s="32" t="s">
        <v>1865</v>
      </c>
      <c r="D127" s="33" t="s">
        <v>2995</v>
      </c>
      <c r="E127" s="32" t="s">
        <v>41</v>
      </c>
      <c r="F127" s="32" t="s">
        <v>2996</v>
      </c>
      <c r="G127" s="147"/>
      <c r="H127" s="117"/>
      <c r="I127" s="35"/>
      <c r="J127" s="36"/>
      <c r="K127" s="36"/>
      <c r="L127" s="36"/>
      <c r="M127" s="36"/>
      <c r="N127" s="36"/>
      <c r="O127" s="36"/>
      <c r="P127" s="36"/>
      <c r="Q127" s="36"/>
      <c r="R127" s="36"/>
      <c r="S127" s="36"/>
      <c r="T127" s="36"/>
      <c r="U127" s="36"/>
      <c r="V127" s="36"/>
      <c r="W127" s="36"/>
      <c r="X127" s="36"/>
      <c r="Y127" s="36"/>
      <c r="Z127" s="36"/>
      <c r="AA127" s="36"/>
      <c r="AB127" s="36"/>
    </row>
  </sheetData>
  <autoFilter ref="A5:AB127" xr:uid="{00000000-0009-0000-0000-00000B000000}"/>
  <mergeCells count="3">
    <mergeCell ref="A1:H1"/>
    <mergeCell ref="A2:F2"/>
    <mergeCell ref="A4:F4"/>
  </mergeCells>
  <hyperlinks>
    <hyperlink ref="F3" location="Menu por Procesos!A1" display="MENU" xr:uid="{00000000-0004-0000-0B00-000000000000}"/>
  </hyperlinks>
  <pageMargins left="0.7" right="0.7" top="0.75" bottom="0.75" header="0" footer="0"/>
  <pageSetup orientation="landscape"/>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A9D18E"/>
  </sheetPr>
  <dimension ref="A1:AA45"/>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7.5703125" customWidth="1"/>
    <col min="3" max="3" width="23.7109375" customWidth="1"/>
    <col min="4" max="4" width="61.7109375" customWidth="1"/>
    <col min="5" max="5" width="28.5703125" customWidth="1"/>
    <col min="6" max="6" width="55.5703125" customWidth="1"/>
    <col min="7" max="8" width="10" hidden="1" customWidth="1"/>
    <col min="9" max="9" width="18" customWidth="1"/>
    <col min="10" max="14" width="11.42578125" customWidth="1"/>
    <col min="15" max="15" width="16.28515625" customWidth="1"/>
    <col min="16" max="16" width="11.42578125" customWidth="1"/>
    <col min="17" max="17" width="15.140625" customWidth="1"/>
    <col min="18" max="27" width="11.42578125" customWidth="1"/>
  </cols>
  <sheetData>
    <row r="1" spans="1:27" ht="61.5" hidden="1" customHeight="1">
      <c r="A1" s="774"/>
      <c r="B1" s="769"/>
      <c r="C1" s="769"/>
      <c r="D1" s="769"/>
      <c r="E1" s="769"/>
      <c r="F1" s="769"/>
      <c r="G1" s="769"/>
      <c r="H1" s="769"/>
      <c r="I1" s="18"/>
      <c r="J1" s="18"/>
      <c r="K1" s="18"/>
      <c r="L1" s="18"/>
      <c r="M1" s="18"/>
      <c r="N1" s="18"/>
      <c r="O1" s="18"/>
      <c r="P1" s="18"/>
      <c r="Q1" s="18"/>
      <c r="R1" s="18"/>
      <c r="S1" s="18"/>
      <c r="T1" s="18"/>
      <c r="U1" s="18"/>
      <c r="V1" s="18"/>
      <c r="W1" s="18"/>
      <c r="X1" s="18"/>
      <c r="Y1" s="18"/>
      <c r="Z1" s="18"/>
      <c r="AA1" s="18"/>
    </row>
    <row r="2" spans="1:27" ht="27" hidden="1" customHeight="1">
      <c r="A2" s="767"/>
      <c r="B2" s="765"/>
      <c r="C2" s="765"/>
      <c r="D2" s="765"/>
      <c r="E2" s="765"/>
      <c r="F2" s="766"/>
      <c r="G2" s="15"/>
      <c r="H2" s="16"/>
      <c r="I2" s="18"/>
      <c r="J2" s="18"/>
      <c r="K2" s="18"/>
      <c r="L2" s="18"/>
      <c r="M2" s="18"/>
      <c r="N2" s="18"/>
      <c r="O2" s="18"/>
      <c r="P2" s="18"/>
      <c r="Q2" s="18"/>
      <c r="R2" s="18"/>
      <c r="S2" s="18"/>
      <c r="T2" s="18"/>
      <c r="U2" s="18"/>
      <c r="V2" s="18"/>
      <c r="W2" s="18"/>
      <c r="X2" s="18"/>
      <c r="Y2" s="18"/>
      <c r="Z2" s="18"/>
      <c r="AA2" s="18"/>
    </row>
    <row r="3" spans="1:27" ht="24" hidden="1" customHeight="1">
      <c r="A3" s="75"/>
      <c r="B3" s="19"/>
      <c r="C3" s="19"/>
      <c r="D3" s="19"/>
      <c r="E3" s="19"/>
      <c r="F3" s="298"/>
      <c r="G3" s="19"/>
      <c r="H3" s="21"/>
      <c r="I3" s="18"/>
      <c r="J3" s="18"/>
      <c r="K3" s="18"/>
      <c r="L3" s="18"/>
      <c r="M3" s="18"/>
      <c r="N3" s="18"/>
      <c r="O3" s="18"/>
      <c r="P3" s="18"/>
      <c r="Q3" s="18"/>
      <c r="R3" s="18"/>
      <c r="S3" s="18"/>
      <c r="T3" s="18"/>
      <c r="U3" s="18"/>
      <c r="V3" s="18"/>
      <c r="W3" s="18"/>
      <c r="X3" s="18"/>
      <c r="Y3" s="18"/>
      <c r="Z3" s="18"/>
      <c r="AA3" s="18"/>
    </row>
    <row r="4" spans="1:27" ht="33" customHeight="1">
      <c r="A4" s="775" t="s">
        <v>3006</v>
      </c>
      <c r="B4" s="765"/>
      <c r="C4" s="765"/>
      <c r="D4" s="765"/>
      <c r="E4" s="765"/>
      <c r="F4" s="766"/>
      <c r="G4" s="16"/>
      <c r="H4" s="22"/>
      <c r="I4" s="18"/>
      <c r="J4" s="18"/>
      <c r="K4" s="18"/>
      <c r="L4" s="18"/>
      <c r="M4" s="18"/>
      <c r="N4" s="18"/>
      <c r="O4" s="18"/>
      <c r="P4" s="18"/>
      <c r="Q4" s="18"/>
      <c r="R4" s="18"/>
      <c r="S4" s="18"/>
      <c r="T4" s="18"/>
      <c r="U4" s="18"/>
      <c r="V4" s="18"/>
      <c r="W4" s="18"/>
      <c r="X4" s="18"/>
      <c r="Y4" s="18"/>
      <c r="Z4" s="18"/>
      <c r="AA4" s="18"/>
    </row>
    <row r="5" spans="1:27" ht="34.5" customHeight="1">
      <c r="A5" s="76" t="s">
        <v>235</v>
      </c>
      <c r="B5" s="24" t="s">
        <v>32</v>
      </c>
      <c r="C5" s="25" t="s">
        <v>33</v>
      </c>
      <c r="D5" s="25" t="s">
        <v>34</v>
      </c>
      <c r="E5" s="25" t="s">
        <v>35</v>
      </c>
      <c r="F5" s="25" t="s">
        <v>36</v>
      </c>
      <c r="G5" s="26" t="s">
        <v>37</v>
      </c>
      <c r="H5" s="27" t="s">
        <v>38</v>
      </c>
      <c r="I5" s="29"/>
      <c r="J5" s="29"/>
      <c r="K5" s="29"/>
      <c r="L5" s="29"/>
      <c r="M5" s="29"/>
      <c r="N5" s="29"/>
      <c r="O5" s="29"/>
      <c r="P5" s="29"/>
      <c r="Q5" s="29"/>
      <c r="R5" s="29"/>
      <c r="S5" s="29"/>
      <c r="T5" s="29"/>
      <c r="U5" s="29"/>
      <c r="V5" s="29"/>
      <c r="W5" s="29"/>
      <c r="X5" s="29"/>
      <c r="Y5" s="29"/>
      <c r="Z5" s="29"/>
      <c r="AA5" s="29"/>
    </row>
    <row r="6" spans="1:27" ht="72">
      <c r="A6" s="30" t="str">
        <f>HYPERLINK("https://www.bogotajuridica.gov.co/sisjur/normas/Norma1.jsp?i=4125","CONSTITUCIÓN POLÍTICA DE COLOMBIA")</f>
        <v>CONSTITUCIÓN POLÍTICA DE COLOMBIA</v>
      </c>
      <c r="B6" s="78">
        <v>33423</v>
      </c>
      <c r="C6" s="32" t="s">
        <v>405</v>
      </c>
      <c r="D6" s="33" t="s">
        <v>406</v>
      </c>
      <c r="E6" s="32" t="s">
        <v>1488</v>
      </c>
      <c r="F6" s="33" t="s">
        <v>1489</v>
      </c>
      <c r="G6" s="119" t="s">
        <v>43</v>
      </c>
      <c r="H6" s="117" t="s">
        <v>1490</v>
      </c>
      <c r="I6" s="36"/>
      <c r="J6" s="36"/>
      <c r="K6" s="36"/>
      <c r="L6" s="36"/>
      <c r="M6" s="36"/>
      <c r="N6" s="36"/>
      <c r="O6" s="36"/>
      <c r="P6" s="36"/>
      <c r="Q6" s="36"/>
      <c r="R6" s="36"/>
      <c r="S6" s="36"/>
      <c r="T6" s="36"/>
      <c r="U6" s="36"/>
      <c r="V6" s="36"/>
      <c r="W6" s="36"/>
      <c r="X6" s="36"/>
      <c r="Y6" s="36"/>
      <c r="Z6" s="36"/>
      <c r="AA6" s="36"/>
    </row>
    <row r="7" spans="1:27" ht="24" customHeight="1">
      <c r="A7" s="30" t="str">
        <f>HYPERLINK("https://www.funcionpublica.gov.co/eva/gestornormativo/norma.php?i=66182","LEY 73")</f>
        <v>LEY 73</v>
      </c>
      <c r="B7" s="286">
        <v>29217</v>
      </c>
      <c r="C7" s="32" t="s">
        <v>507</v>
      </c>
      <c r="D7" s="33" t="s">
        <v>1492</v>
      </c>
      <c r="E7" s="32" t="s">
        <v>41</v>
      </c>
      <c r="F7" s="64" t="s">
        <v>97</v>
      </c>
      <c r="G7" s="119" t="s">
        <v>43</v>
      </c>
      <c r="H7" s="117" t="s">
        <v>1490</v>
      </c>
      <c r="I7" s="36"/>
      <c r="J7" s="36"/>
      <c r="K7" s="36"/>
      <c r="L7" s="36"/>
      <c r="M7" s="36"/>
      <c r="N7" s="36"/>
      <c r="O7" s="36"/>
      <c r="P7" s="36"/>
      <c r="Q7" s="36"/>
      <c r="R7" s="36"/>
      <c r="S7" s="36"/>
      <c r="T7" s="36"/>
      <c r="U7" s="36"/>
      <c r="V7" s="36"/>
      <c r="W7" s="36"/>
      <c r="X7" s="36"/>
      <c r="Y7" s="36"/>
      <c r="Z7" s="36"/>
      <c r="AA7" s="36"/>
    </row>
    <row r="8" spans="1:27" ht="24" customHeight="1">
      <c r="A8" s="30" t="str">
        <f>HYPERLINK("https://www.bogotajuridica.gov.co/sisjur/normas/Norma1.jsp?i=5248","LEY 100")</f>
        <v>LEY 100</v>
      </c>
      <c r="B8" s="286">
        <v>34326</v>
      </c>
      <c r="C8" s="32" t="s">
        <v>507</v>
      </c>
      <c r="D8" s="33" t="s">
        <v>1494</v>
      </c>
      <c r="E8" s="32" t="s">
        <v>41</v>
      </c>
      <c r="F8" s="64" t="s">
        <v>97</v>
      </c>
      <c r="G8" s="119" t="s">
        <v>43</v>
      </c>
      <c r="H8" s="117" t="s">
        <v>1490</v>
      </c>
      <c r="I8" s="36"/>
      <c r="J8" s="36"/>
      <c r="K8" s="36"/>
      <c r="L8" s="36"/>
      <c r="M8" s="36"/>
      <c r="N8" s="36"/>
      <c r="O8" s="36"/>
      <c r="P8" s="36"/>
      <c r="Q8" s="36"/>
      <c r="R8" s="36"/>
      <c r="S8" s="36"/>
      <c r="T8" s="36"/>
      <c r="U8" s="36"/>
      <c r="V8" s="36"/>
      <c r="W8" s="36"/>
      <c r="X8" s="36"/>
      <c r="Y8" s="36"/>
      <c r="Z8" s="36"/>
      <c r="AA8" s="36"/>
    </row>
    <row r="9" spans="1:27" ht="24" customHeight="1">
      <c r="A9" s="30" t="str">
        <f>HYPERLINK("http://www.secretariasenado.gov.co/senado/basedoc/ley_0115_1994.html","LEY 115")</f>
        <v>LEY 115</v>
      </c>
      <c r="B9" s="41">
        <v>34373</v>
      </c>
      <c r="C9" s="32" t="s">
        <v>507</v>
      </c>
      <c r="D9" s="33" t="s">
        <v>1496</v>
      </c>
      <c r="E9" s="32" t="s">
        <v>41</v>
      </c>
      <c r="F9" s="64" t="s">
        <v>97</v>
      </c>
      <c r="G9" s="119" t="s">
        <v>43</v>
      </c>
      <c r="H9" s="117" t="s">
        <v>1490</v>
      </c>
      <c r="I9" s="36"/>
      <c r="J9" s="36"/>
      <c r="K9" s="36"/>
      <c r="L9" s="36"/>
      <c r="M9" s="36"/>
      <c r="N9" s="36"/>
      <c r="O9" s="36"/>
      <c r="P9" s="36"/>
      <c r="Q9" s="36"/>
      <c r="R9" s="36"/>
      <c r="S9" s="36"/>
      <c r="T9" s="36"/>
      <c r="U9" s="36"/>
      <c r="V9" s="36"/>
      <c r="W9" s="36"/>
      <c r="X9" s="36"/>
      <c r="Y9" s="36"/>
      <c r="Z9" s="36"/>
      <c r="AA9" s="36"/>
    </row>
    <row r="10" spans="1:27" ht="73.5" customHeight="1">
      <c r="A10" s="30" t="str">
        <f>HYPERLINK("https://www.alcaldiabogota.gov.co/sisjur/normas/Norma1.jsp?i=3424","LEY 181")</f>
        <v>LEY 181</v>
      </c>
      <c r="B10" s="31">
        <v>34717</v>
      </c>
      <c r="C10" s="32" t="s">
        <v>39</v>
      </c>
      <c r="D10" s="39" t="s">
        <v>2916</v>
      </c>
      <c r="E10" s="32" t="s">
        <v>41</v>
      </c>
      <c r="F10" s="64" t="s">
        <v>97</v>
      </c>
      <c r="G10" s="119" t="s">
        <v>43</v>
      </c>
      <c r="H10" s="117" t="s">
        <v>1490</v>
      </c>
      <c r="I10" s="36"/>
      <c r="J10" s="36"/>
      <c r="K10" s="36"/>
      <c r="L10" s="36"/>
      <c r="M10" s="36"/>
      <c r="N10" s="36"/>
      <c r="O10" s="36"/>
      <c r="P10" s="36"/>
      <c r="Q10" s="36"/>
      <c r="R10" s="36"/>
      <c r="S10" s="36"/>
      <c r="T10" s="36"/>
      <c r="U10" s="36"/>
      <c r="V10" s="36"/>
      <c r="W10" s="36"/>
      <c r="X10" s="36"/>
      <c r="Y10" s="36"/>
      <c r="Z10" s="36"/>
      <c r="AA10" s="36"/>
    </row>
    <row r="11" spans="1:27" ht="24" customHeight="1">
      <c r="A11" s="287" t="str">
        <f>HYPERLINK("https://www.funcionpublica.gov.co/eva/gestornormativo/norma.php?i=90141","LEY 1946")</f>
        <v>LEY 1946</v>
      </c>
      <c r="B11" s="127">
        <v>43469</v>
      </c>
      <c r="C11" s="51" t="s">
        <v>507</v>
      </c>
      <c r="D11" s="52" t="s">
        <v>1506</v>
      </c>
      <c r="E11" s="51" t="s">
        <v>41</v>
      </c>
      <c r="F11" s="249" t="s">
        <v>1507</v>
      </c>
      <c r="G11" s="200" t="s">
        <v>43</v>
      </c>
      <c r="H11" s="201" t="s">
        <v>1490</v>
      </c>
      <c r="I11" s="36"/>
      <c r="J11" s="36"/>
      <c r="K11" s="36"/>
      <c r="L11" s="36"/>
      <c r="M11" s="36"/>
      <c r="N11" s="36"/>
      <c r="O11" s="36"/>
      <c r="P11" s="36"/>
      <c r="Q11" s="36"/>
      <c r="R11" s="36"/>
      <c r="S11" s="36"/>
      <c r="T11" s="36"/>
      <c r="U11" s="36"/>
      <c r="V11" s="36"/>
      <c r="W11" s="36"/>
      <c r="X11" s="36"/>
      <c r="Y11" s="36"/>
      <c r="Z11" s="36"/>
      <c r="AA11" s="36"/>
    </row>
    <row r="12" spans="1:27" ht="24" customHeight="1">
      <c r="A12" s="30" t="str">
        <f>HYPERLINK("https://www.mineducacion.gov.co/1621/articles-85833_archivo_pdf.pdf","LEY 934")</f>
        <v>LEY 934</v>
      </c>
      <c r="B12" s="286">
        <v>38351</v>
      </c>
      <c r="C12" s="32" t="s">
        <v>507</v>
      </c>
      <c r="D12" s="33" t="s">
        <v>1511</v>
      </c>
      <c r="E12" s="32" t="s">
        <v>41</v>
      </c>
      <c r="F12" s="64" t="s">
        <v>97</v>
      </c>
      <c r="G12" s="119" t="s">
        <v>43</v>
      </c>
      <c r="H12" s="117" t="s">
        <v>1490</v>
      </c>
      <c r="I12" s="36"/>
      <c r="J12" s="36"/>
      <c r="K12" s="36"/>
      <c r="L12" s="36"/>
      <c r="M12" s="36"/>
      <c r="N12" s="36"/>
      <c r="O12" s="36"/>
      <c r="P12" s="36"/>
      <c r="Q12" s="36"/>
      <c r="R12" s="36"/>
      <c r="S12" s="36"/>
      <c r="T12" s="36"/>
      <c r="U12" s="36"/>
      <c r="V12" s="36"/>
      <c r="W12" s="36"/>
      <c r="X12" s="36"/>
      <c r="Y12" s="36"/>
      <c r="Z12" s="36"/>
      <c r="AA12" s="36"/>
    </row>
    <row r="13" spans="1:27" ht="54.75" customHeight="1">
      <c r="A13" s="30" t="str">
        <f>HYPERLINK("https://www.alcaldiabogota.gov.co/sisjur/normas/Norma1.jsp?i=22106","LEY 1098")</f>
        <v>LEY 1098</v>
      </c>
      <c r="B13" s="41">
        <v>39029</v>
      </c>
      <c r="C13" s="32" t="s">
        <v>507</v>
      </c>
      <c r="D13" s="33" t="s">
        <v>1514</v>
      </c>
      <c r="E13" s="32" t="s">
        <v>1515</v>
      </c>
      <c r="F13" s="33" t="s">
        <v>1516</v>
      </c>
      <c r="G13" s="119" t="s">
        <v>43</v>
      </c>
      <c r="H13" s="117" t="s">
        <v>1490</v>
      </c>
      <c r="I13" s="36"/>
      <c r="J13" s="36"/>
      <c r="K13" s="36"/>
      <c r="L13" s="36"/>
      <c r="M13" s="36"/>
      <c r="N13" s="36"/>
      <c r="O13" s="36"/>
      <c r="P13" s="36"/>
      <c r="Q13" s="36"/>
      <c r="R13" s="36"/>
      <c r="S13" s="36"/>
      <c r="T13" s="36"/>
      <c r="U13" s="36"/>
      <c r="V13" s="36"/>
      <c r="W13" s="36"/>
      <c r="X13" s="36"/>
      <c r="Y13" s="36"/>
      <c r="Z13" s="36"/>
      <c r="AA13" s="36"/>
    </row>
    <row r="14" spans="1:27" ht="24" customHeight="1">
      <c r="A14" s="30" t="str">
        <f>HYPERLINK("http://www.secretariasenado.gov.co/senado/basedoc/ley_1209_2008.html","LEY 1209")</f>
        <v>LEY 1209</v>
      </c>
      <c r="B14" s="41">
        <v>39643</v>
      </c>
      <c r="C14" s="32" t="s">
        <v>507</v>
      </c>
      <c r="D14" s="33" t="s">
        <v>51</v>
      </c>
      <c r="E14" s="32" t="s">
        <v>41</v>
      </c>
      <c r="F14" s="64" t="s">
        <v>97</v>
      </c>
      <c r="G14" s="119" t="s">
        <v>43</v>
      </c>
      <c r="H14" s="117" t="s">
        <v>1490</v>
      </c>
      <c r="I14" s="36"/>
      <c r="J14" s="36"/>
      <c r="K14" s="36"/>
      <c r="L14" s="36"/>
      <c r="M14" s="36"/>
      <c r="N14" s="36"/>
      <c r="O14" s="36"/>
      <c r="P14" s="36"/>
      <c r="Q14" s="36"/>
      <c r="R14" s="36"/>
      <c r="S14" s="36"/>
      <c r="T14" s="36"/>
      <c r="U14" s="36"/>
      <c r="V14" s="36"/>
      <c r="W14" s="36"/>
      <c r="X14" s="36"/>
      <c r="Y14" s="36"/>
      <c r="Z14" s="36"/>
      <c r="AA14" s="36"/>
    </row>
    <row r="15" spans="1:27" ht="48" customHeight="1">
      <c r="A15" s="269" t="str">
        <f>HYPERLINK("https://www.alcaldiabogota.gov.co/sisjur/normas/Norma1.jsp?i=37604&amp;dt=S","LEY 1355")</f>
        <v>LEY 1355</v>
      </c>
      <c r="B15" s="286">
        <v>40100</v>
      </c>
      <c r="C15" s="32" t="s">
        <v>507</v>
      </c>
      <c r="D15" s="33" t="s">
        <v>1519</v>
      </c>
      <c r="E15" s="32" t="s">
        <v>41</v>
      </c>
      <c r="F15" s="64" t="s">
        <v>97</v>
      </c>
      <c r="G15" s="119" t="s">
        <v>43</v>
      </c>
      <c r="H15" s="117" t="s">
        <v>1490</v>
      </c>
      <c r="I15" s="36"/>
      <c r="J15" s="36"/>
      <c r="K15" s="36"/>
      <c r="L15" s="36"/>
      <c r="M15" s="36"/>
      <c r="N15" s="36"/>
      <c r="O15" s="36"/>
      <c r="P15" s="36"/>
      <c r="Q15" s="36"/>
      <c r="R15" s="36"/>
      <c r="S15" s="36"/>
      <c r="T15" s="36"/>
      <c r="U15" s="36"/>
      <c r="V15" s="36"/>
      <c r="W15" s="36"/>
      <c r="X15" s="36"/>
      <c r="Y15" s="36"/>
      <c r="Z15" s="36"/>
      <c r="AA15" s="36"/>
    </row>
    <row r="16" spans="1:27" ht="48" customHeight="1">
      <c r="A16" s="299" t="s">
        <v>3009</v>
      </c>
      <c r="B16" s="300"/>
      <c r="C16" s="301"/>
      <c r="D16" s="302"/>
      <c r="E16" s="301"/>
      <c r="F16" s="303"/>
      <c r="G16" s="304"/>
      <c r="H16" s="262"/>
      <c r="I16" s="305"/>
      <c r="J16" s="305"/>
      <c r="K16" s="305"/>
      <c r="L16" s="305"/>
      <c r="M16" s="305"/>
      <c r="N16" s="305"/>
      <c r="O16" s="305"/>
      <c r="P16" s="305"/>
      <c r="Q16" s="305"/>
      <c r="R16" s="305"/>
      <c r="S16" s="305"/>
      <c r="T16" s="305"/>
      <c r="U16" s="305"/>
      <c r="V16" s="305"/>
      <c r="W16" s="305"/>
      <c r="X16" s="305"/>
      <c r="Y16" s="305"/>
      <c r="Z16" s="305"/>
      <c r="AA16" s="305"/>
    </row>
    <row r="17" spans="1:27" ht="48" customHeight="1">
      <c r="A17" s="30" t="str">
        <f>HYPERLINK("https://www.funcionpublica.gov.co/eva/gestornormativo/norma.php?i=45246","LEY 1493")</f>
        <v>LEY 1493</v>
      </c>
      <c r="B17" s="286">
        <v>40903</v>
      </c>
      <c r="C17" s="32" t="s">
        <v>507</v>
      </c>
      <c r="D17" s="33" t="s">
        <v>55</v>
      </c>
      <c r="E17" s="32" t="s">
        <v>41</v>
      </c>
      <c r="F17" s="64" t="s">
        <v>97</v>
      </c>
      <c r="G17" s="119" t="s">
        <v>43</v>
      </c>
      <c r="H17" s="117" t="s">
        <v>1490</v>
      </c>
      <c r="I17" s="36"/>
      <c r="J17" s="36"/>
      <c r="K17" s="36"/>
      <c r="L17" s="36"/>
      <c r="M17" s="36"/>
      <c r="N17" s="36"/>
      <c r="O17" s="36"/>
      <c r="P17" s="36"/>
      <c r="Q17" s="36"/>
      <c r="R17" s="36"/>
      <c r="S17" s="36"/>
      <c r="T17" s="36"/>
      <c r="U17" s="36"/>
      <c r="V17" s="36"/>
      <c r="W17" s="36"/>
      <c r="X17" s="36"/>
      <c r="Y17" s="36"/>
      <c r="Z17" s="36"/>
      <c r="AA17" s="36"/>
    </row>
    <row r="18" spans="1:27" ht="36" customHeight="1">
      <c r="A18" s="43" t="str">
        <f>HYPERLINK("https://www.alcaldiabogota.gov.co/sisjur/normas/Norma1.jsp?i=66661","LEY 1801")</f>
        <v>LEY 1801</v>
      </c>
      <c r="B18" s="286">
        <v>42580</v>
      </c>
      <c r="C18" s="32" t="s">
        <v>507</v>
      </c>
      <c r="D18" s="33" t="s">
        <v>2917</v>
      </c>
      <c r="E18" s="32" t="s">
        <v>41</v>
      </c>
      <c r="F18" s="64" t="s">
        <v>97</v>
      </c>
      <c r="G18" s="119"/>
      <c r="H18" s="117"/>
      <c r="I18" s="36"/>
      <c r="J18" s="36"/>
      <c r="K18" s="36"/>
      <c r="L18" s="36"/>
      <c r="M18" s="36"/>
      <c r="N18" s="36"/>
      <c r="O18" s="36"/>
      <c r="P18" s="36"/>
      <c r="Q18" s="36"/>
      <c r="R18" s="36"/>
      <c r="S18" s="36"/>
      <c r="T18" s="36"/>
      <c r="U18" s="36"/>
      <c r="V18" s="36"/>
      <c r="W18" s="36"/>
      <c r="X18" s="36"/>
      <c r="Y18" s="36"/>
      <c r="Z18" s="36"/>
      <c r="AA18" s="36"/>
    </row>
    <row r="19" spans="1:27" ht="24" customHeight="1">
      <c r="A19" s="43" t="str">
        <f>HYPERLINK("http://www.suin-juriscol.gov.co/viewDocument.asp?id=1421468","DECRETO 2225")</f>
        <v>DECRETO 2225</v>
      </c>
      <c r="B19" s="32">
        <v>1985</v>
      </c>
      <c r="C19" s="32" t="s">
        <v>57</v>
      </c>
      <c r="D19" s="33" t="s">
        <v>1527</v>
      </c>
      <c r="E19" s="32" t="s">
        <v>41</v>
      </c>
      <c r="F19" s="64" t="s">
        <v>97</v>
      </c>
      <c r="G19" s="119" t="s">
        <v>43</v>
      </c>
      <c r="H19" s="117" t="s">
        <v>1490</v>
      </c>
      <c r="I19" s="36"/>
      <c r="J19" s="36"/>
      <c r="K19" s="36"/>
      <c r="L19" s="36"/>
      <c r="M19" s="36"/>
      <c r="N19" s="36"/>
      <c r="O19" s="36"/>
      <c r="P19" s="36"/>
      <c r="Q19" s="36"/>
      <c r="R19" s="36"/>
      <c r="S19" s="36"/>
      <c r="T19" s="36"/>
      <c r="U19" s="36"/>
      <c r="V19" s="36"/>
      <c r="W19" s="36"/>
      <c r="X19" s="36"/>
      <c r="Y19" s="36"/>
      <c r="Z19" s="36"/>
      <c r="AA19" s="36"/>
    </row>
    <row r="20" spans="1:27" ht="24" customHeight="1">
      <c r="A20" s="30" t="str">
        <f>HYPERLINK("https://www.mineducacion.gov.co/1621/articles-86240_archivo_pdf.pdf","DECRETO 1860")</f>
        <v>DECRETO 1860</v>
      </c>
      <c r="B20" s="41">
        <v>34549</v>
      </c>
      <c r="C20" s="32" t="s">
        <v>57</v>
      </c>
      <c r="D20" s="33" t="s">
        <v>1528</v>
      </c>
      <c r="E20" s="32" t="s">
        <v>41</v>
      </c>
      <c r="F20" s="64" t="s">
        <v>97</v>
      </c>
      <c r="G20" s="119" t="s">
        <v>43</v>
      </c>
      <c r="H20" s="117" t="s">
        <v>1490</v>
      </c>
      <c r="I20" s="36"/>
      <c r="J20" s="36"/>
      <c r="K20" s="36"/>
      <c r="L20" s="36"/>
      <c r="M20" s="36"/>
      <c r="N20" s="36"/>
      <c r="O20" s="36"/>
      <c r="P20" s="36"/>
      <c r="Q20" s="36"/>
      <c r="R20" s="36"/>
      <c r="S20" s="36"/>
      <c r="T20" s="36"/>
      <c r="U20" s="36"/>
      <c r="V20" s="36"/>
      <c r="W20" s="36"/>
      <c r="X20" s="36"/>
      <c r="Y20" s="36"/>
      <c r="Z20" s="36"/>
      <c r="AA20" s="36"/>
    </row>
    <row r="21" spans="1:27" ht="36" customHeight="1">
      <c r="A21" s="30" t="str">
        <f>HYPERLINK("https://www.alcaldiabogota.gov.co/sisjur/normas/Norma1.jsp?i=1485&amp;dt=S","DECRETO 1228")</f>
        <v>DECRETO 1228</v>
      </c>
      <c r="B21" s="41">
        <v>34898</v>
      </c>
      <c r="C21" s="32" t="s">
        <v>57</v>
      </c>
      <c r="D21" s="33" t="s">
        <v>1530</v>
      </c>
      <c r="E21" s="32" t="s">
        <v>41</v>
      </c>
      <c r="F21" s="64" t="s">
        <v>97</v>
      </c>
      <c r="G21" s="119" t="s">
        <v>43</v>
      </c>
      <c r="H21" s="117" t="s">
        <v>1490</v>
      </c>
      <c r="I21" s="36"/>
      <c r="J21" s="36"/>
      <c r="K21" s="36"/>
      <c r="L21" s="36"/>
      <c r="M21" s="36"/>
      <c r="N21" s="36"/>
      <c r="O21" s="36"/>
      <c r="P21" s="36"/>
      <c r="Q21" s="36"/>
      <c r="R21" s="36"/>
      <c r="S21" s="36"/>
      <c r="T21" s="36"/>
      <c r="U21" s="36"/>
      <c r="V21" s="36"/>
      <c r="W21" s="36"/>
      <c r="X21" s="36"/>
      <c r="Y21" s="36"/>
      <c r="Z21" s="36"/>
      <c r="AA21" s="36"/>
    </row>
    <row r="22" spans="1:27" ht="24" customHeight="1">
      <c r="A22" s="30" t="str">
        <f>HYPERLINK("https://www.alcaldiabogota.gov.co/sisjur/normas/Norma1.jsp?i=22240","DECRETO 482")</f>
        <v>DECRETO 482</v>
      </c>
      <c r="B22" s="286">
        <v>39048</v>
      </c>
      <c r="C22" s="32" t="s">
        <v>61</v>
      </c>
      <c r="D22" s="33" t="s">
        <v>1540</v>
      </c>
      <c r="E22" s="32" t="s">
        <v>41</v>
      </c>
      <c r="F22" s="64" t="s">
        <v>97</v>
      </c>
      <c r="G22" s="119" t="s">
        <v>43</v>
      </c>
      <c r="H22" s="117" t="s">
        <v>1490</v>
      </c>
      <c r="I22" s="242"/>
      <c r="J22" s="36"/>
      <c r="K22" s="36"/>
      <c r="L22" s="36"/>
      <c r="M22" s="36"/>
      <c r="N22" s="36"/>
      <c r="O22" s="36"/>
      <c r="P22" s="36"/>
      <c r="Q22" s="36"/>
      <c r="R22" s="36"/>
      <c r="S22" s="36"/>
      <c r="T22" s="36"/>
      <c r="U22" s="36"/>
      <c r="V22" s="36"/>
      <c r="W22" s="36"/>
      <c r="X22" s="36"/>
      <c r="Y22" s="36"/>
      <c r="Z22" s="36"/>
      <c r="AA22" s="36"/>
    </row>
    <row r="23" spans="1:27" ht="36" customHeight="1">
      <c r="A23" s="30" t="str">
        <f>HYPERLINK("https://www.alcaldiabogota.gov.co/sisjur/normas/Norma1.jsp?i=31692&amp;dt=S","DECRETO 2771")</f>
        <v>DECRETO 2771</v>
      </c>
      <c r="B23" s="41">
        <v>39659</v>
      </c>
      <c r="C23" s="32" t="s">
        <v>1546</v>
      </c>
      <c r="D23" s="33" t="s">
        <v>1547</v>
      </c>
      <c r="E23" s="32" t="s">
        <v>41</v>
      </c>
      <c r="F23" s="64" t="s">
        <v>97</v>
      </c>
      <c r="G23" s="119" t="s">
        <v>43</v>
      </c>
      <c r="H23" s="117" t="s">
        <v>1490</v>
      </c>
      <c r="I23" s="36"/>
      <c r="J23" s="36"/>
      <c r="K23" s="36"/>
      <c r="L23" s="36"/>
      <c r="M23" s="36"/>
      <c r="N23" s="36"/>
      <c r="O23" s="36"/>
      <c r="P23" s="36"/>
      <c r="Q23" s="36"/>
      <c r="R23" s="36"/>
      <c r="S23" s="36"/>
      <c r="T23" s="36"/>
      <c r="U23" s="36"/>
      <c r="V23" s="36"/>
      <c r="W23" s="36"/>
      <c r="X23" s="36"/>
      <c r="Y23" s="36"/>
      <c r="Z23" s="36"/>
      <c r="AA23" s="36"/>
    </row>
    <row r="24" spans="1:27" ht="72" customHeight="1">
      <c r="A24" s="30" t="str">
        <f>HYPERLINK("https://www.alcaldiabogota.gov.co/sisjur/normas/Norma1.jsp?i=56034","DECRETO 599")</f>
        <v>DECRETO 599</v>
      </c>
      <c r="B24" s="286">
        <v>41634</v>
      </c>
      <c r="C24" s="32" t="s">
        <v>61</v>
      </c>
      <c r="D24" s="33" t="s">
        <v>1549</v>
      </c>
      <c r="E24" s="32" t="s">
        <v>41</v>
      </c>
      <c r="F24" s="64" t="s">
        <v>97</v>
      </c>
      <c r="G24" s="119" t="s">
        <v>43</v>
      </c>
      <c r="H24" s="117" t="s">
        <v>1490</v>
      </c>
      <c r="I24" s="36"/>
      <c r="J24" s="36"/>
      <c r="K24" s="36"/>
      <c r="L24" s="36"/>
      <c r="M24" s="36"/>
      <c r="N24" s="36"/>
      <c r="O24" s="241"/>
      <c r="P24" s="36"/>
      <c r="Q24" s="241"/>
      <c r="R24" s="36"/>
      <c r="S24" s="36"/>
      <c r="T24" s="36"/>
      <c r="U24" s="36"/>
      <c r="V24" s="36"/>
      <c r="W24" s="36"/>
      <c r="X24" s="36"/>
      <c r="Y24" s="36"/>
      <c r="Z24" s="36"/>
      <c r="AA24" s="36"/>
    </row>
    <row r="25" spans="1:27" ht="24" customHeight="1">
      <c r="A25" s="30" t="str">
        <f>HYPERLINK("https://www.funcionpublica.gov.co/eva/gestornormativo/norma.php?i=60473","DECRETO 55")</f>
        <v>DECRETO 55</v>
      </c>
      <c r="B25" s="41">
        <v>42018</v>
      </c>
      <c r="C25" s="32" t="s">
        <v>57</v>
      </c>
      <c r="D25" s="33" t="s">
        <v>1551</v>
      </c>
      <c r="E25" s="32" t="s">
        <v>41</v>
      </c>
      <c r="F25" s="64" t="s">
        <v>97</v>
      </c>
      <c r="G25" s="119" t="s">
        <v>43</v>
      </c>
      <c r="H25" s="117" t="s">
        <v>1490</v>
      </c>
      <c r="I25" s="36"/>
      <c r="J25" s="36"/>
      <c r="K25" s="36"/>
      <c r="L25" s="36"/>
      <c r="M25" s="36"/>
      <c r="N25" s="36"/>
      <c r="O25" s="36"/>
      <c r="P25" s="36"/>
      <c r="Q25" s="36"/>
      <c r="R25" s="36"/>
      <c r="S25" s="36"/>
      <c r="T25" s="36"/>
      <c r="U25" s="36"/>
      <c r="V25" s="36"/>
      <c r="W25" s="36"/>
      <c r="X25" s="36"/>
      <c r="Y25" s="36"/>
      <c r="Z25" s="36"/>
      <c r="AA25" s="36"/>
    </row>
    <row r="26" spans="1:27" ht="84" customHeight="1">
      <c r="A26" s="30" t="str">
        <f>HYPERLINK("https://www.alcaldiabogota.gov.co/sisjur/normas/Norma1.jsp?i=67805","DECRETO 622")</f>
        <v>DECRETO 622</v>
      </c>
      <c r="B26" s="286">
        <v>42727</v>
      </c>
      <c r="C26" s="32" t="s">
        <v>61</v>
      </c>
      <c r="D26" s="33" t="s">
        <v>1552</v>
      </c>
      <c r="E26" s="32" t="s">
        <v>41</v>
      </c>
      <c r="F26" s="64" t="s">
        <v>97</v>
      </c>
      <c r="G26" s="119" t="s">
        <v>43</v>
      </c>
      <c r="H26" s="117" t="s">
        <v>1490</v>
      </c>
      <c r="I26" s="36"/>
      <c r="J26" s="36"/>
      <c r="K26" s="36"/>
      <c r="L26" s="36"/>
      <c r="M26" s="36"/>
      <c r="N26" s="36"/>
      <c r="O26" s="36"/>
      <c r="P26" s="36"/>
      <c r="Q26" s="36"/>
      <c r="R26" s="36"/>
      <c r="S26" s="36"/>
      <c r="T26" s="36"/>
      <c r="U26" s="36"/>
      <c r="V26" s="36"/>
      <c r="W26" s="36"/>
      <c r="X26" s="36"/>
      <c r="Y26" s="36"/>
      <c r="Z26" s="36"/>
      <c r="AA26" s="36"/>
    </row>
    <row r="27" spans="1:27" ht="72" customHeight="1">
      <c r="A27" s="30" t="str">
        <f>HYPERLINK("https://www.funcionpublica.gov.co/eva/gestornormativo/norma.php?i=69094","DECRETO 642")</f>
        <v>DECRETO 642</v>
      </c>
      <c r="B27" s="41">
        <v>42478</v>
      </c>
      <c r="C27" s="32" t="s">
        <v>57</v>
      </c>
      <c r="D27" s="33" t="s">
        <v>1554</v>
      </c>
      <c r="E27" s="32" t="s">
        <v>41</v>
      </c>
      <c r="F27" s="64" t="s">
        <v>97</v>
      </c>
      <c r="G27" s="119" t="s">
        <v>43</v>
      </c>
      <c r="H27" s="117" t="s">
        <v>1490</v>
      </c>
      <c r="I27" s="36"/>
      <c r="J27" s="36"/>
      <c r="K27" s="36"/>
      <c r="L27" s="36"/>
      <c r="M27" s="36"/>
      <c r="N27" s="36"/>
      <c r="O27" s="36"/>
      <c r="P27" s="36"/>
      <c r="Q27" s="36"/>
      <c r="R27" s="36"/>
      <c r="S27" s="36"/>
      <c r="T27" s="36"/>
      <c r="U27" s="36"/>
      <c r="V27" s="36"/>
      <c r="W27" s="36"/>
      <c r="X27" s="36"/>
      <c r="Y27" s="36"/>
      <c r="Z27" s="36"/>
      <c r="AA27" s="36"/>
    </row>
    <row r="28" spans="1:27" ht="30" customHeight="1">
      <c r="A28" s="30" t="str">
        <f>HYPERLINK("https://www.alcaldiabogota.gov.co/sisjur/normas/Norma1.jsp?i=72265&amp;dt=S","DECRETO 567")</f>
        <v>DECRETO 567</v>
      </c>
      <c r="B28" s="286">
        <v>43028</v>
      </c>
      <c r="C28" s="32" t="s">
        <v>61</v>
      </c>
      <c r="D28" s="33" t="s">
        <v>1556</v>
      </c>
      <c r="E28" s="32" t="s">
        <v>41</v>
      </c>
      <c r="F28" s="64" t="s">
        <v>97</v>
      </c>
      <c r="G28" s="119" t="s">
        <v>43</v>
      </c>
      <c r="H28" s="117" t="s">
        <v>1490</v>
      </c>
      <c r="I28" s="36"/>
      <c r="J28" s="36"/>
      <c r="K28" s="36"/>
      <c r="L28" s="36"/>
      <c r="M28" s="36"/>
      <c r="N28" s="36"/>
      <c r="O28" s="36"/>
      <c r="P28" s="36"/>
      <c r="Q28" s="36"/>
      <c r="R28" s="36"/>
      <c r="S28" s="36"/>
      <c r="T28" s="36"/>
      <c r="U28" s="36"/>
      <c r="V28" s="36"/>
      <c r="W28" s="36"/>
      <c r="X28" s="36"/>
      <c r="Y28" s="36"/>
      <c r="Z28" s="36"/>
      <c r="AA28" s="36"/>
    </row>
    <row r="29" spans="1:27" ht="36" customHeight="1">
      <c r="A29" s="30" t="str">
        <f>HYPERLINK("http://legal.legis.com.co/document/Index?obra=legcol&amp;document=legcol_f62fe41f45f7464b96636dd965d07923","DECRETO 153")</f>
        <v>DECRETO 153</v>
      </c>
      <c r="B29" s="286">
        <v>43175</v>
      </c>
      <c r="C29" s="32" t="s">
        <v>61</v>
      </c>
      <c r="D29" s="39" t="s">
        <v>2921</v>
      </c>
      <c r="E29" s="32" t="s">
        <v>41</v>
      </c>
      <c r="F29" s="64" t="s">
        <v>97</v>
      </c>
      <c r="G29" s="119"/>
      <c r="H29" s="117"/>
      <c r="I29" s="36"/>
      <c r="J29" s="36"/>
      <c r="K29" s="36"/>
      <c r="L29" s="36"/>
      <c r="M29" s="36"/>
      <c r="N29" s="36"/>
      <c r="O29" s="36"/>
      <c r="P29" s="36"/>
      <c r="Q29" s="36"/>
      <c r="R29" s="36"/>
      <c r="S29" s="36"/>
      <c r="T29" s="36"/>
      <c r="U29" s="36"/>
      <c r="V29" s="36"/>
      <c r="W29" s="36"/>
      <c r="X29" s="36"/>
      <c r="Y29" s="36"/>
      <c r="Z29" s="36"/>
      <c r="AA29" s="36"/>
    </row>
    <row r="30" spans="1:27" ht="48" customHeight="1">
      <c r="A30" s="30" t="str">
        <f>HYPERLINK("https://www.alcaldiabogota.gov.co/sisjur/normas/Norma1.jsp?i=64248&amp;dt=S","Decreto 597")</f>
        <v>Decreto 597</v>
      </c>
      <c r="B30" s="286">
        <v>42368</v>
      </c>
      <c r="C30" s="32" t="s">
        <v>1558</v>
      </c>
      <c r="D30" s="33" t="s">
        <v>1561</v>
      </c>
      <c r="E30" s="32" t="s">
        <v>41</v>
      </c>
      <c r="F30" s="64" t="s">
        <v>97</v>
      </c>
      <c r="G30" s="119" t="s">
        <v>43</v>
      </c>
      <c r="H30" s="117" t="s">
        <v>1490</v>
      </c>
      <c r="I30" s="36"/>
      <c r="J30" s="36"/>
      <c r="K30" s="36"/>
      <c r="L30" s="36"/>
      <c r="M30" s="36"/>
      <c r="N30" s="36"/>
      <c r="O30" s="36"/>
      <c r="P30" s="36"/>
      <c r="Q30" s="36"/>
      <c r="R30" s="36"/>
      <c r="S30" s="36"/>
      <c r="T30" s="36"/>
      <c r="U30" s="36"/>
      <c r="V30" s="36"/>
      <c r="W30" s="36"/>
      <c r="X30" s="36"/>
      <c r="Y30" s="36"/>
      <c r="Z30" s="36"/>
      <c r="AA30" s="36"/>
    </row>
    <row r="31" spans="1:27" ht="36" customHeight="1">
      <c r="A31" s="43" t="str">
        <f>HYPERLINK("https://www.alcaldiabogota.gov.co/sisjur/normas/Norma1.jsp?i=81080&amp;dt=S","Decreto 557 ")</f>
        <v xml:space="preserve">Decreto 557 </v>
      </c>
      <c r="B31" s="41">
        <v>43370</v>
      </c>
      <c r="C31" s="32" t="s">
        <v>1558</v>
      </c>
      <c r="D31" s="33" t="s">
        <v>1563</v>
      </c>
      <c r="E31" s="32" t="s">
        <v>41</v>
      </c>
      <c r="F31" s="64" t="s">
        <v>97</v>
      </c>
      <c r="G31" s="119" t="s">
        <v>43</v>
      </c>
      <c r="H31" s="117" t="s">
        <v>1490</v>
      </c>
      <c r="I31" s="36"/>
      <c r="J31" s="36"/>
      <c r="K31" s="36"/>
      <c r="L31" s="36"/>
      <c r="M31" s="36"/>
      <c r="N31" s="36"/>
      <c r="O31" s="36"/>
      <c r="P31" s="36"/>
      <c r="Q31" s="36"/>
      <c r="R31" s="36"/>
      <c r="S31" s="36"/>
      <c r="T31" s="36"/>
      <c r="U31" s="36"/>
      <c r="V31" s="36"/>
      <c r="W31" s="36"/>
      <c r="X31" s="36"/>
      <c r="Y31" s="36"/>
      <c r="Z31" s="36"/>
      <c r="AA31" s="36"/>
    </row>
    <row r="32" spans="1:27" ht="48" customHeight="1">
      <c r="A32" s="30" t="str">
        <f>HYPERLINK("https://www.alcaldiabogota.gov.co/sisjur/normas/Norma1.jsp?i=80554&amp;dt=S","Decreto 483")</f>
        <v>Decreto 483</v>
      </c>
      <c r="B32" s="41">
        <v>43329</v>
      </c>
      <c r="C32" s="32" t="s">
        <v>1558</v>
      </c>
      <c r="D32" s="33" t="s">
        <v>1565</v>
      </c>
      <c r="E32" s="32" t="s">
        <v>41</v>
      </c>
      <c r="F32" s="64" t="s">
        <v>97</v>
      </c>
      <c r="G32" s="119" t="s">
        <v>43</v>
      </c>
      <c r="H32" s="117" t="s">
        <v>1490</v>
      </c>
      <c r="I32" s="36"/>
      <c r="J32" s="36"/>
      <c r="K32" s="36"/>
      <c r="L32" s="36"/>
      <c r="M32" s="36"/>
      <c r="N32" s="36"/>
      <c r="O32" s="36"/>
      <c r="P32" s="36"/>
      <c r="Q32" s="36"/>
      <c r="R32" s="36"/>
      <c r="S32" s="36"/>
      <c r="T32" s="36"/>
      <c r="U32" s="36"/>
      <c r="V32" s="36"/>
      <c r="W32" s="36"/>
      <c r="X32" s="36"/>
      <c r="Y32" s="36"/>
      <c r="Z32" s="36"/>
      <c r="AA32" s="36"/>
    </row>
    <row r="33" spans="1:27" ht="24" customHeight="1">
      <c r="A33" s="30" t="str">
        <f>HYPERLINK("https://www.alcaldiabogota.gov.co/sisjur/normas/Norma1.jsp?i=897&amp;dt=S","ACUERDO 4")</f>
        <v>ACUERDO 4</v>
      </c>
      <c r="B33" s="41">
        <v>28529</v>
      </c>
      <c r="C33" s="32" t="s">
        <v>195</v>
      </c>
      <c r="D33" s="33" t="s">
        <v>1566</v>
      </c>
      <c r="E33" s="32" t="s">
        <v>41</v>
      </c>
      <c r="F33" s="64" t="s">
        <v>97</v>
      </c>
      <c r="G33" s="119" t="s">
        <v>43</v>
      </c>
      <c r="H33" s="117" t="s">
        <v>1490</v>
      </c>
      <c r="I33" s="36"/>
      <c r="J33" s="36"/>
      <c r="K33" s="36"/>
      <c r="L33" s="36"/>
      <c r="M33" s="36"/>
      <c r="N33" s="36"/>
      <c r="O33" s="36"/>
      <c r="P33" s="36"/>
      <c r="Q33" s="36"/>
      <c r="R33" s="36"/>
      <c r="S33" s="36"/>
      <c r="T33" s="36"/>
      <c r="U33" s="36"/>
      <c r="V33" s="36"/>
      <c r="W33" s="36"/>
      <c r="X33" s="36"/>
      <c r="Y33" s="36"/>
      <c r="Z33" s="36"/>
      <c r="AA33" s="36"/>
    </row>
    <row r="34" spans="1:27" ht="36" customHeight="1">
      <c r="A34" s="30" t="str">
        <f>HYPERLINK("https://www.alcaldiabogota.gov.co/sisjur/normas/Norma1.jsp?i=17652","ACUERDO 175")</f>
        <v>ACUERDO 175</v>
      </c>
      <c r="B34" s="41">
        <v>38623</v>
      </c>
      <c r="C34" s="32" t="s">
        <v>195</v>
      </c>
      <c r="D34" s="33" t="s">
        <v>1570</v>
      </c>
      <c r="E34" s="32" t="s">
        <v>41</v>
      </c>
      <c r="F34" s="64" t="s">
        <v>97</v>
      </c>
      <c r="G34" s="119" t="s">
        <v>43</v>
      </c>
      <c r="H34" s="117" t="s">
        <v>1490</v>
      </c>
      <c r="I34" s="36"/>
      <c r="J34" s="36"/>
      <c r="K34" s="36"/>
      <c r="L34" s="36"/>
      <c r="M34" s="36"/>
      <c r="N34" s="36"/>
      <c r="O34" s="36"/>
      <c r="P34" s="36"/>
      <c r="Q34" s="36"/>
      <c r="R34" s="36"/>
      <c r="S34" s="36"/>
      <c r="T34" s="36"/>
      <c r="U34" s="36"/>
      <c r="V34" s="36"/>
      <c r="W34" s="36"/>
      <c r="X34" s="36"/>
      <c r="Y34" s="36"/>
      <c r="Z34" s="36"/>
      <c r="AA34" s="36"/>
    </row>
    <row r="35" spans="1:27" ht="48" customHeight="1">
      <c r="A35" s="30" t="str">
        <f>HYPERLINK("http://concejodebogota.gov.co/cbogota/site/artic/20160803/asocfile/20160803160947/acuerdo_498_12.pdf","ACUERDO 498")</f>
        <v>ACUERDO 498</v>
      </c>
      <c r="B35" s="41">
        <v>41178</v>
      </c>
      <c r="C35" s="32" t="s">
        <v>195</v>
      </c>
      <c r="D35" s="33" t="s">
        <v>1572</v>
      </c>
      <c r="E35" s="32" t="s">
        <v>41</v>
      </c>
      <c r="F35" s="32" t="s">
        <v>41</v>
      </c>
      <c r="G35" s="119" t="s">
        <v>43</v>
      </c>
      <c r="H35" s="117" t="s">
        <v>1490</v>
      </c>
      <c r="I35" s="36"/>
      <c r="J35" s="36"/>
      <c r="K35" s="36"/>
      <c r="L35" s="36"/>
      <c r="M35" s="36"/>
      <c r="N35" s="36"/>
      <c r="O35" s="36"/>
      <c r="P35" s="36"/>
      <c r="Q35" s="36"/>
      <c r="R35" s="36"/>
      <c r="S35" s="36"/>
      <c r="T35" s="36"/>
      <c r="U35" s="36"/>
      <c r="V35" s="36"/>
      <c r="W35" s="36"/>
      <c r="X35" s="36"/>
      <c r="Y35" s="36"/>
      <c r="Z35" s="36"/>
      <c r="AA35" s="36"/>
    </row>
    <row r="36" spans="1:27" ht="69" customHeight="1">
      <c r="A36" s="30" t="str">
        <f>HYPERLINK("http://www.saludcapital.gov.co/Normo/gsp/acuerdo_614_de_2015.pdf","ACUERDO 614")</f>
        <v>ACUERDO 614</v>
      </c>
      <c r="B36" s="41">
        <v>42263</v>
      </c>
      <c r="C36" s="32" t="s">
        <v>195</v>
      </c>
      <c r="D36" s="33" t="s">
        <v>2922</v>
      </c>
      <c r="E36" s="32" t="s">
        <v>2923</v>
      </c>
      <c r="F36" s="33" t="s">
        <v>2924</v>
      </c>
      <c r="G36" s="119"/>
      <c r="H36" s="117"/>
      <c r="I36" s="36"/>
      <c r="J36" s="36"/>
      <c r="K36" s="36"/>
      <c r="L36" s="36"/>
      <c r="M36" s="36"/>
      <c r="N36" s="36"/>
      <c r="O36" s="36"/>
      <c r="P36" s="36"/>
      <c r="Q36" s="36"/>
      <c r="R36" s="36"/>
      <c r="S36" s="36"/>
      <c r="T36" s="36"/>
      <c r="U36" s="36"/>
      <c r="V36" s="36"/>
      <c r="W36" s="36"/>
      <c r="X36" s="36"/>
      <c r="Y36" s="36"/>
      <c r="Z36" s="36"/>
      <c r="AA36" s="36"/>
    </row>
    <row r="37" spans="1:27" ht="36" customHeight="1">
      <c r="A37" s="30" t="str">
        <f>HYPERLINK("https://www.idrd.gov.co/sitio/idrd/sites/default/files/imagenes/acuerdo%20058%20de%2019910.pdf","RESOLUCIÓN 58")</f>
        <v>RESOLUCIÓN 58</v>
      </c>
      <c r="B37" s="41">
        <v>33353</v>
      </c>
      <c r="C37" s="32" t="s">
        <v>1574</v>
      </c>
      <c r="D37" s="33" t="s">
        <v>1575</v>
      </c>
      <c r="E37" s="32" t="s">
        <v>41</v>
      </c>
      <c r="F37" s="32" t="s">
        <v>41</v>
      </c>
      <c r="G37" s="119" t="s">
        <v>43</v>
      </c>
      <c r="H37" s="117" t="s">
        <v>1490</v>
      </c>
      <c r="I37" s="36"/>
      <c r="J37" s="36"/>
      <c r="K37" s="36"/>
      <c r="L37" s="36"/>
      <c r="M37" s="36"/>
      <c r="N37" s="36"/>
      <c r="O37" s="36"/>
      <c r="P37" s="36"/>
      <c r="Q37" s="36"/>
      <c r="R37" s="36"/>
      <c r="S37" s="36"/>
      <c r="T37" s="36"/>
      <c r="U37" s="36"/>
      <c r="V37" s="36"/>
      <c r="W37" s="36"/>
      <c r="X37" s="36"/>
      <c r="Y37" s="36"/>
      <c r="Z37" s="36"/>
      <c r="AA37" s="36"/>
    </row>
    <row r="38" spans="1:27" ht="24" customHeight="1">
      <c r="A38" s="30" t="str">
        <f>HYPERLINK("uiatramitesyservicios.bogota.gov.co/wp-content/uploads/2017/11/Resolucion-001909-del-5-de-agosto-de-19910.pdf","RESOLUCIÓN 1909")</f>
        <v>RESOLUCIÓN 1909</v>
      </c>
      <c r="B38" s="41">
        <v>33455</v>
      </c>
      <c r="C38" s="32" t="s">
        <v>1574</v>
      </c>
      <c r="D38" s="33" t="s">
        <v>1577</v>
      </c>
      <c r="E38" s="32" t="s">
        <v>41</v>
      </c>
      <c r="F38" s="32" t="s">
        <v>41</v>
      </c>
      <c r="G38" s="119" t="s">
        <v>43</v>
      </c>
      <c r="H38" s="117" t="s">
        <v>1490</v>
      </c>
      <c r="I38" s="36"/>
      <c r="J38" s="36"/>
      <c r="K38" s="36"/>
      <c r="L38" s="36"/>
      <c r="M38" s="36"/>
      <c r="N38" s="36"/>
      <c r="O38" s="36"/>
      <c r="P38" s="36"/>
      <c r="Q38" s="36"/>
      <c r="R38" s="36"/>
      <c r="S38" s="36"/>
      <c r="T38" s="36"/>
      <c r="U38" s="36"/>
      <c r="V38" s="36"/>
      <c r="W38" s="36"/>
      <c r="X38" s="36"/>
      <c r="Y38" s="36"/>
      <c r="Z38" s="36"/>
      <c r="AA38" s="36"/>
    </row>
    <row r="39" spans="1:27" ht="24" customHeight="1">
      <c r="A39" s="43" t="str">
        <f>HYPERLINK("https://www.idrd.gov.co/sitio/idrd/sites/default/files/imagenes/resolucion%20334%20de%202014.pdf","RESOLUCIÓN 334 ")</f>
        <v xml:space="preserve">RESOLUCIÓN 334 </v>
      </c>
      <c r="B39" s="41">
        <v>41806</v>
      </c>
      <c r="C39" s="142" t="s">
        <v>130</v>
      </c>
      <c r="D39" s="39" t="s">
        <v>2925</v>
      </c>
      <c r="E39" s="40" t="s">
        <v>657</v>
      </c>
      <c r="F39" s="124" t="s">
        <v>2926</v>
      </c>
      <c r="G39" s="119"/>
      <c r="H39" s="117"/>
      <c r="I39" s="36"/>
      <c r="J39" s="36"/>
      <c r="K39" s="36"/>
      <c r="L39" s="36"/>
      <c r="M39" s="36"/>
      <c r="N39" s="36"/>
      <c r="O39" s="36"/>
      <c r="P39" s="36"/>
      <c r="Q39" s="36"/>
      <c r="R39" s="36"/>
      <c r="S39" s="36"/>
      <c r="T39" s="36"/>
      <c r="U39" s="36"/>
      <c r="V39" s="36"/>
      <c r="W39" s="36"/>
      <c r="X39" s="36"/>
      <c r="Y39" s="36"/>
      <c r="Z39" s="36"/>
      <c r="AA39" s="36"/>
    </row>
    <row r="40" spans="1:27" ht="24" customHeight="1">
      <c r="A40" s="30" t="str">
        <f>HYPERLINK("https://www.mineducacion.gov.co/1759/articles-96032_archivo_pdf.pdf","RESOLUCION 4210")</f>
        <v>RESOLUCION 4210</v>
      </c>
      <c r="B40" s="41">
        <v>35320</v>
      </c>
      <c r="C40" s="32" t="s">
        <v>1524</v>
      </c>
      <c r="D40" s="39" t="s">
        <v>2927</v>
      </c>
      <c r="E40" s="32" t="s">
        <v>41</v>
      </c>
      <c r="F40" s="64" t="s">
        <v>97</v>
      </c>
      <c r="G40" s="119" t="s">
        <v>43</v>
      </c>
      <c r="H40" s="117" t="s">
        <v>1490</v>
      </c>
      <c r="I40" s="36"/>
      <c r="J40" s="36"/>
      <c r="K40" s="36"/>
      <c r="L40" s="36"/>
      <c r="M40" s="36"/>
      <c r="N40" s="36"/>
      <c r="O40" s="36"/>
      <c r="P40" s="36"/>
      <c r="Q40" s="36"/>
      <c r="R40" s="36"/>
      <c r="S40" s="36"/>
      <c r="T40" s="36"/>
      <c r="U40" s="36"/>
      <c r="V40" s="36"/>
      <c r="W40" s="36"/>
      <c r="X40" s="36"/>
      <c r="Y40" s="36"/>
      <c r="Z40" s="36"/>
      <c r="AA40" s="36"/>
    </row>
    <row r="41" spans="1:27" ht="48" customHeight="1">
      <c r="A41" s="30" t="str">
        <f>HYPERLINK("https://idrd.gov.co/sitio/idrd/sites/default/files/imagenes/resolucion%20190%20de%202015%20modificion%20del%20manual%20de%20aprovechamiento%20economico%20del%20espacio%20publico0.pdf","RESOLUCION 190")</f>
        <v>RESOLUCION 190</v>
      </c>
      <c r="B41" s="41">
        <v>42072</v>
      </c>
      <c r="C41" s="142" t="s">
        <v>130</v>
      </c>
      <c r="D41" s="33" t="s">
        <v>157</v>
      </c>
      <c r="E41" s="32" t="s">
        <v>41</v>
      </c>
      <c r="F41" s="64" t="s">
        <v>97</v>
      </c>
      <c r="G41" s="119" t="s">
        <v>43</v>
      </c>
      <c r="H41" s="117" t="s">
        <v>1490</v>
      </c>
      <c r="I41" s="36"/>
      <c r="J41" s="36"/>
      <c r="K41" s="36"/>
      <c r="L41" s="36"/>
      <c r="M41" s="36"/>
      <c r="N41" s="36"/>
      <c r="O41" s="36"/>
      <c r="P41" s="36"/>
      <c r="Q41" s="36"/>
      <c r="R41" s="36"/>
      <c r="S41" s="36"/>
      <c r="T41" s="36"/>
      <c r="U41" s="36"/>
      <c r="V41" s="36"/>
      <c r="W41" s="36"/>
      <c r="X41" s="36"/>
      <c r="Y41" s="36"/>
      <c r="Z41" s="36"/>
      <c r="AA41" s="36"/>
    </row>
    <row r="42" spans="1:27" ht="24" customHeight="1">
      <c r="A42" s="102" t="str">
        <f>HYPERLINK("http://www.sdp.gov.co/transparencia/normatividad/actos-administrativos/resolucion-1134-de-2018-0","RESOLUCIÓN 1344")</f>
        <v>RESOLUCIÓN 1344</v>
      </c>
      <c r="B42" s="103">
        <v>43360</v>
      </c>
      <c r="C42" s="32" t="s">
        <v>61</v>
      </c>
      <c r="D42" s="54" t="s">
        <v>2930</v>
      </c>
      <c r="E42" s="51" t="s">
        <v>41</v>
      </c>
      <c r="F42" s="249" t="s">
        <v>97</v>
      </c>
      <c r="G42" s="119"/>
      <c r="H42" s="117"/>
      <c r="I42" s="36"/>
      <c r="J42" s="36"/>
      <c r="K42" s="36"/>
      <c r="L42" s="36"/>
      <c r="M42" s="36"/>
      <c r="N42" s="36"/>
      <c r="O42" s="36"/>
      <c r="P42" s="36"/>
      <c r="Q42" s="36"/>
      <c r="R42" s="36"/>
      <c r="S42" s="36"/>
      <c r="T42" s="36"/>
      <c r="U42" s="36"/>
      <c r="V42" s="36"/>
      <c r="W42" s="36"/>
      <c r="X42" s="36"/>
      <c r="Y42" s="36"/>
      <c r="Z42" s="36"/>
      <c r="AA42" s="36"/>
    </row>
    <row r="43" spans="1:27" ht="24" customHeight="1">
      <c r="A43" s="66" t="s">
        <v>2932</v>
      </c>
      <c r="B43" s="103">
        <v>43921</v>
      </c>
      <c r="C43" s="55" t="s">
        <v>2918</v>
      </c>
      <c r="D43" s="54" t="s">
        <v>2933</v>
      </c>
      <c r="E43" s="55" t="s">
        <v>41</v>
      </c>
      <c r="F43" s="249" t="s">
        <v>97</v>
      </c>
      <c r="G43" s="119"/>
      <c r="H43" s="117"/>
      <c r="I43" s="36"/>
      <c r="J43" s="36"/>
      <c r="K43" s="36"/>
      <c r="L43" s="36"/>
      <c r="M43" s="36"/>
      <c r="N43" s="36"/>
      <c r="O43" s="36"/>
      <c r="P43" s="36"/>
      <c r="Q43" s="36"/>
      <c r="R43" s="36"/>
      <c r="S43" s="36"/>
      <c r="T43" s="36"/>
      <c r="U43" s="36"/>
      <c r="V43" s="36"/>
      <c r="W43" s="36"/>
      <c r="X43" s="36"/>
      <c r="Y43" s="36"/>
      <c r="Z43" s="36"/>
      <c r="AA43" s="36"/>
    </row>
    <row r="44" spans="1:27" ht="24" customHeight="1">
      <c r="A44" s="102" t="str">
        <f>HYPERLINK("http://www.saludcapital.gov.co/Documents/Circular_0031_Aglomeraciones_publico_interna.pdf","CIRCULAR 31")</f>
        <v>CIRCULAR 31</v>
      </c>
      <c r="B44" s="103">
        <v>42732</v>
      </c>
      <c r="C44" s="51" t="s">
        <v>1625</v>
      </c>
      <c r="D44" s="52" t="s">
        <v>1626</v>
      </c>
      <c r="E44" s="51" t="s">
        <v>41</v>
      </c>
      <c r="F44" s="249" t="s">
        <v>97</v>
      </c>
      <c r="G44" s="119" t="s">
        <v>43</v>
      </c>
      <c r="H44" s="117" t="s">
        <v>1490</v>
      </c>
      <c r="I44" s="36"/>
      <c r="J44" s="36"/>
      <c r="K44" s="36"/>
      <c r="L44" s="36"/>
      <c r="M44" s="36"/>
      <c r="N44" s="36"/>
      <c r="O44" s="36"/>
      <c r="P44" s="36"/>
      <c r="Q44" s="36"/>
      <c r="R44" s="36"/>
      <c r="S44" s="36"/>
      <c r="T44" s="36"/>
      <c r="U44" s="36"/>
      <c r="V44" s="36"/>
      <c r="W44" s="36"/>
      <c r="X44" s="36"/>
      <c r="Y44" s="36"/>
      <c r="Z44" s="36"/>
      <c r="AA44" s="36"/>
    </row>
    <row r="45" spans="1:27" ht="36" customHeight="1">
      <c r="A45" s="30" t="str">
        <f>HYPERLINK("https://www.coldeportes.gov.co/normatividad/politica_publica","Politica Publica Nacional")</f>
        <v>Politica Publica Nacional</v>
      </c>
      <c r="B45" s="32">
        <v>2018</v>
      </c>
      <c r="C45" s="32" t="s">
        <v>1619</v>
      </c>
      <c r="D45" s="33" t="s">
        <v>1633</v>
      </c>
      <c r="E45" s="32" t="s">
        <v>97</v>
      </c>
      <c r="F45" s="64" t="s">
        <v>97</v>
      </c>
      <c r="G45" s="119" t="s">
        <v>43</v>
      </c>
      <c r="H45" s="117" t="s">
        <v>1490</v>
      </c>
      <c r="I45" s="36"/>
      <c r="J45" s="36"/>
      <c r="K45" s="36"/>
      <c r="L45" s="36"/>
      <c r="M45" s="36"/>
      <c r="N45" s="36"/>
      <c r="O45" s="36"/>
      <c r="P45" s="36"/>
      <c r="Q45" s="36"/>
      <c r="R45" s="36"/>
      <c r="S45" s="36"/>
      <c r="T45" s="36"/>
      <c r="U45" s="36"/>
      <c r="V45" s="36"/>
      <c r="W45" s="36"/>
      <c r="X45" s="36"/>
      <c r="Y45" s="36"/>
      <c r="Z45" s="36"/>
      <c r="AA45" s="36"/>
    </row>
  </sheetData>
  <autoFilter ref="A5:AA45" xr:uid="{00000000-0009-0000-0000-00000C000000}"/>
  <mergeCells count="3">
    <mergeCell ref="A1:H1"/>
    <mergeCell ref="A2:F2"/>
    <mergeCell ref="A4:F4"/>
  </mergeCells>
  <hyperlinks>
    <hyperlink ref="A43" r:id="rId1" xr:uid="{00000000-0004-0000-0C00-000000000000}"/>
  </hyperlinks>
  <pageMargins left="0.7" right="0.7" top="0.75" bottom="0.75" header="0" footer="0"/>
  <pageSetup orientation="landscape"/>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A9D18E"/>
  </sheetPr>
  <dimension ref="A1:AA45"/>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7.5703125" customWidth="1"/>
    <col min="3" max="3" width="27.42578125" customWidth="1"/>
    <col min="4" max="4" width="61.7109375" customWidth="1"/>
    <col min="5" max="5" width="28.5703125" customWidth="1"/>
    <col min="6" max="6" width="55.5703125" customWidth="1"/>
    <col min="7" max="8" width="10" hidden="1" customWidth="1"/>
    <col min="9" max="9" width="18" customWidth="1"/>
    <col min="10" max="14" width="11.42578125" customWidth="1"/>
    <col min="15" max="15" width="16.28515625" customWidth="1"/>
    <col min="16" max="16" width="11.42578125" customWidth="1"/>
    <col min="17" max="17" width="15.140625" customWidth="1"/>
    <col min="18" max="27" width="11.42578125" customWidth="1"/>
  </cols>
  <sheetData>
    <row r="1" spans="1:27" ht="61.5" customHeight="1">
      <c r="A1" s="774"/>
      <c r="B1" s="769"/>
      <c r="C1" s="769"/>
      <c r="D1" s="769"/>
      <c r="E1" s="769"/>
      <c r="F1" s="769"/>
      <c r="G1" s="769"/>
      <c r="H1" s="769"/>
      <c r="I1" s="18"/>
      <c r="J1" s="18"/>
      <c r="K1" s="18"/>
      <c r="L1" s="18"/>
      <c r="M1" s="18"/>
      <c r="N1" s="18"/>
      <c r="O1" s="18"/>
      <c r="P1" s="18"/>
      <c r="Q1" s="18"/>
      <c r="R1" s="18"/>
      <c r="S1" s="18"/>
      <c r="T1" s="18"/>
      <c r="U1" s="18"/>
      <c r="V1" s="18"/>
      <c r="W1" s="18"/>
      <c r="X1" s="18"/>
      <c r="Y1" s="18"/>
      <c r="Z1" s="18"/>
      <c r="AA1" s="18"/>
    </row>
    <row r="2" spans="1:27" ht="27" customHeight="1">
      <c r="A2" s="767" t="s">
        <v>28</v>
      </c>
      <c r="B2" s="765"/>
      <c r="C2" s="765"/>
      <c r="D2" s="765"/>
      <c r="E2" s="765"/>
      <c r="F2" s="766"/>
      <c r="G2" s="15"/>
      <c r="H2" s="16"/>
      <c r="I2" s="18"/>
      <c r="J2" s="18"/>
      <c r="K2" s="18"/>
      <c r="L2" s="18"/>
      <c r="M2" s="18"/>
      <c r="N2" s="18"/>
      <c r="O2" s="18"/>
      <c r="P2" s="18"/>
      <c r="Q2" s="18"/>
      <c r="R2" s="18"/>
      <c r="S2" s="18"/>
      <c r="T2" s="18"/>
      <c r="U2" s="18"/>
      <c r="V2" s="18"/>
      <c r="W2" s="18"/>
      <c r="X2" s="18"/>
      <c r="Y2" s="18"/>
      <c r="Z2" s="18"/>
      <c r="AA2" s="18"/>
    </row>
    <row r="3" spans="1:27" ht="24" customHeight="1">
      <c r="A3" s="75" t="s">
        <v>2997</v>
      </c>
      <c r="B3" s="19"/>
      <c r="C3" s="19"/>
      <c r="D3" s="19"/>
      <c r="E3" s="19"/>
      <c r="F3" s="20" t="s">
        <v>30</v>
      </c>
      <c r="G3" s="19"/>
      <c r="H3" s="21"/>
      <c r="I3" s="18"/>
      <c r="J3" s="18"/>
      <c r="K3" s="18"/>
      <c r="L3" s="18"/>
      <c r="M3" s="18"/>
      <c r="N3" s="18"/>
      <c r="O3" s="18"/>
      <c r="P3" s="18"/>
      <c r="Q3" s="18"/>
      <c r="R3" s="18"/>
      <c r="S3" s="18"/>
      <c r="T3" s="18"/>
      <c r="U3" s="18"/>
      <c r="V3" s="18"/>
      <c r="W3" s="18"/>
      <c r="X3" s="18"/>
      <c r="Y3" s="18"/>
      <c r="Z3" s="18"/>
      <c r="AA3" s="18"/>
    </row>
    <row r="4" spans="1:27" ht="33" customHeight="1">
      <c r="A4" s="775" t="s">
        <v>3006</v>
      </c>
      <c r="B4" s="765"/>
      <c r="C4" s="765"/>
      <c r="D4" s="765"/>
      <c r="E4" s="765"/>
      <c r="F4" s="766"/>
      <c r="G4" s="16"/>
      <c r="H4" s="22"/>
      <c r="I4" s="18"/>
      <c r="J4" s="18"/>
      <c r="K4" s="18"/>
      <c r="L4" s="18"/>
      <c r="M4" s="18"/>
      <c r="N4" s="18"/>
      <c r="O4" s="18"/>
      <c r="P4" s="18"/>
      <c r="Q4" s="18"/>
      <c r="R4" s="18"/>
      <c r="S4" s="18"/>
      <c r="T4" s="18"/>
      <c r="U4" s="18"/>
      <c r="V4" s="18"/>
      <c r="W4" s="18"/>
      <c r="X4" s="18"/>
      <c r="Y4" s="18"/>
      <c r="Z4" s="18"/>
      <c r="AA4" s="18"/>
    </row>
    <row r="5" spans="1:27" ht="34.5" customHeight="1">
      <c r="A5" s="76" t="s">
        <v>235</v>
      </c>
      <c r="B5" s="24" t="s">
        <v>32</v>
      </c>
      <c r="C5" s="25" t="s">
        <v>33</v>
      </c>
      <c r="D5" s="25" t="s">
        <v>34</v>
      </c>
      <c r="E5" s="25" t="s">
        <v>35</v>
      </c>
      <c r="F5" s="25" t="s">
        <v>36</v>
      </c>
      <c r="G5" s="26" t="s">
        <v>37</v>
      </c>
      <c r="H5" s="27" t="s">
        <v>38</v>
      </c>
      <c r="I5" s="29"/>
      <c r="J5" s="29"/>
      <c r="K5" s="29"/>
      <c r="L5" s="29"/>
      <c r="M5" s="29"/>
      <c r="N5" s="29"/>
      <c r="O5" s="29"/>
      <c r="P5" s="29"/>
      <c r="Q5" s="29"/>
      <c r="R5" s="29"/>
      <c r="S5" s="29"/>
      <c r="T5" s="29"/>
      <c r="U5" s="29"/>
      <c r="V5" s="29"/>
      <c r="W5" s="29"/>
      <c r="X5" s="29"/>
      <c r="Y5" s="29"/>
      <c r="Z5" s="29"/>
      <c r="AA5" s="29"/>
    </row>
    <row r="6" spans="1:27" ht="72">
      <c r="A6" s="30" t="str">
        <f>HYPERLINK("https://www.bogotajuridica.gov.co/sisjur/normas/Norma1.jsp?i=4125","CONSTITUCIÓN POLÍTICA DE COLOMBIA")</f>
        <v>CONSTITUCIÓN POLÍTICA DE COLOMBIA</v>
      </c>
      <c r="B6" s="78">
        <v>33423</v>
      </c>
      <c r="C6" s="32" t="s">
        <v>405</v>
      </c>
      <c r="D6" s="33" t="s">
        <v>406</v>
      </c>
      <c r="E6" s="32" t="s">
        <v>1488</v>
      </c>
      <c r="F6" s="33" t="s">
        <v>1489</v>
      </c>
      <c r="G6" s="119" t="s">
        <v>43</v>
      </c>
      <c r="H6" s="117" t="s">
        <v>1490</v>
      </c>
      <c r="I6" s="36"/>
      <c r="J6" s="36"/>
      <c r="K6" s="36"/>
      <c r="L6" s="36"/>
      <c r="M6" s="36"/>
      <c r="N6" s="36"/>
      <c r="O6" s="36"/>
      <c r="P6" s="36"/>
      <c r="Q6" s="36"/>
      <c r="R6" s="36"/>
      <c r="S6" s="36"/>
      <c r="T6" s="36"/>
      <c r="U6" s="36"/>
      <c r="V6" s="36"/>
      <c r="W6" s="36"/>
      <c r="X6" s="36"/>
      <c r="Y6" s="36"/>
      <c r="Z6" s="36"/>
      <c r="AA6" s="36"/>
    </row>
    <row r="7" spans="1:27" ht="24" customHeight="1">
      <c r="A7" s="30" t="str">
        <f>HYPERLINK("http://www.secretariasenado.gov.co/senado/basedoc/ley_0115_1994.html","LEY 115")</f>
        <v>LEY 115</v>
      </c>
      <c r="B7" s="41">
        <v>34373</v>
      </c>
      <c r="C7" s="32" t="s">
        <v>507</v>
      </c>
      <c r="D7" s="33" t="s">
        <v>1496</v>
      </c>
      <c r="E7" s="32" t="s">
        <v>41</v>
      </c>
      <c r="F7" s="64" t="s">
        <v>97</v>
      </c>
      <c r="G7" s="119" t="s">
        <v>43</v>
      </c>
      <c r="H7" s="117" t="s">
        <v>1490</v>
      </c>
      <c r="I7" s="36"/>
      <c r="J7" s="36"/>
      <c r="K7" s="36"/>
      <c r="L7" s="36"/>
      <c r="M7" s="36"/>
      <c r="N7" s="36"/>
      <c r="O7" s="36"/>
      <c r="P7" s="36"/>
      <c r="Q7" s="36"/>
      <c r="R7" s="36"/>
      <c r="S7" s="36"/>
      <c r="T7" s="36"/>
      <c r="U7" s="36"/>
      <c r="V7" s="36"/>
      <c r="W7" s="36"/>
      <c r="X7" s="36"/>
      <c r="Y7" s="36"/>
      <c r="Z7" s="36"/>
      <c r="AA7" s="36"/>
    </row>
    <row r="8" spans="1:27" ht="73.5" customHeight="1">
      <c r="A8" s="30" t="str">
        <f>HYPERLINK("https://www.alcaldiabogota.gov.co/sisjur/normas/Norma1.jsp?i=3424","LEY 181")</f>
        <v>LEY 181</v>
      </c>
      <c r="B8" s="31">
        <v>34717</v>
      </c>
      <c r="C8" s="32" t="s">
        <v>39</v>
      </c>
      <c r="D8" s="39" t="s">
        <v>2916</v>
      </c>
      <c r="E8" s="32" t="s">
        <v>41</v>
      </c>
      <c r="F8" s="64" t="s">
        <v>97</v>
      </c>
      <c r="G8" s="119" t="s">
        <v>43</v>
      </c>
      <c r="H8" s="117" t="s">
        <v>1490</v>
      </c>
      <c r="I8" s="36"/>
      <c r="J8" s="36"/>
      <c r="K8" s="36"/>
      <c r="L8" s="36"/>
      <c r="M8" s="36"/>
      <c r="N8" s="36"/>
      <c r="O8" s="36"/>
      <c r="P8" s="36"/>
      <c r="Q8" s="36"/>
      <c r="R8" s="36"/>
      <c r="S8" s="36"/>
      <c r="T8" s="36"/>
      <c r="U8" s="36"/>
      <c r="V8" s="36"/>
      <c r="W8" s="36"/>
      <c r="X8" s="36"/>
      <c r="Y8" s="36"/>
      <c r="Z8" s="36"/>
      <c r="AA8" s="36"/>
    </row>
    <row r="9" spans="1:27" ht="24" customHeight="1">
      <c r="A9" s="30" t="str">
        <f>HYPERLINK("https://www.mineducacion.gov.co/1621/articles-85833_archivo_pdf.pdf","LEY 934")</f>
        <v>LEY 934</v>
      </c>
      <c r="B9" s="286">
        <v>38351</v>
      </c>
      <c r="C9" s="32" t="s">
        <v>507</v>
      </c>
      <c r="D9" s="33" t="s">
        <v>1511</v>
      </c>
      <c r="E9" s="32" t="s">
        <v>41</v>
      </c>
      <c r="F9" s="64" t="s">
        <v>97</v>
      </c>
      <c r="G9" s="119" t="s">
        <v>43</v>
      </c>
      <c r="H9" s="117" t="s">
        <v>1490</v>
      </c>
      <c r="I9" s="36"/>
      <c r="J9" s="36"/>
      <c r="K9" s="36"/>
      <c r="L9" s="36"/>
      <c r="M9" s="36"/>
      <c r="N9" s="36"/>
      <c r="O9" s="36"/>
      <c r="P9" s="36"/>
      <c r="Q9" s="36"/>
      <c r="R9" s="36"/>
      <c r="S9" s="36"/>
      <c r="T9" s="36"/>
      <c r="U9" s="36"/>
      <c r="V9" s="36"/>
      <c r="W9" s="36"/>
      <c r="X9" s="36"/>
      <c r="Y9" s="36"/>
      <c r="Z9" s="36"/>
      <c r="AA9" s="36"/>
    </row>
    <row r="10" spans="1:27" ht="204" customHeight="1">
      <c r="A10" s="30" t="str">
        <f>HYPERLINK("https://www.alcaldiabogota.gov.co/sisjur/normas/Norma1.jsp?i=22106","LEY 1098")</f>
        <v>LEY 1098</v>
      </c>
      <c r="B10" s="41">
        <v>39029</v>
      </c>
      <c r="C10" s="32" t="s">
        <v>507</v>
      </c>
      <c r="D10" s="33" t="s">
        <v>1514</v>
      </c>
      <c r="E10" s="32" t="s">
        <v>1515</v>
      </c>
      <c r="F10" s="33" t="s">
        <v>1516</v>
      </c>
      <c r="G10" s="119" t="s">
        <v>43</v>
      </c>
      <c r="H10" s="117" t="s">
        <v>1490</v>
      </c>
      <c r="I10" s="36"/>
      <c r="J10" s="36"/>
      <c r="K10" s="36"/>
      <c r="L10" s="36"/>
      <c r="M10" s="36"/>
      <c r="N10" s="36"/>
      <c r="O10" s="36"/>
      <c r="P10" s="36"/>
      <c r="Q10" s="36"/>
      <c r="R10" s="36"/>
      <c r="S10" s="36"/>
      <c r="T10" s="36"/>
      <c r="U10" s="36"/>
      <c r="V10" s="36"/>
      <c r="W10" s="36"/>
      <c r="X10" s="36"/>
      <c r="Y10" s="36"/>
      <c r="Z10" s="36"/>
      <c r="AA10" s="36"/>
    </row>
    <row r="11" spans="1:27" ht="24" customHeight="1">
      <c r="A11" s="30" t="str">
        <f>HYPERLINK("http://www.secretariasenado.gov.co/senado/basedoc/ley_1209_2008.html","LEY 1209")</f>
        <v>LEY 1209</v>
      </c>
      <c r="B11" s="41">
        <v>39643</v>
      </c>
      <c r="C11" s="32" t="s">
        <v>507</v>
      </c>
      <c r="D11" s="33" t="s">
        <v>51</v>
      </c>
      <c r="E11" s="32" t="s">
        <v>41</v>
      </c>
      <c r="F11" s="64" t="s">
        <v>97</v>
      </c>
      <c r="G11" s="119" t="s">
        <v>43</v>
      </c>
      <c r="H11" s="117" t="s">
        <v>1490</v>
      </c>
      <c r="I11" s="36"/>
      <c r="J11" s="36"/>
      <c r="K11" s="36"/>
      <c r="L11" s="36"/>
      <c r="M11" s="36"/>
      <c r="N11" s="36"/>
      <c r="O11" s="36"/>
      <c r="P11" s="36"/>
      <c r="Q11" s="36"/>
      <c r="R11" s="36"/>
      <c r="S11" s="36"/>
      <c r="T11" s="36"/>
      <c r="U11" s="36"/>
      <c r="V11" s="36"/>
      <c r="W11" s="36"/>
      <c r="X11" s="36"/>
      <c r="Y11" s="36"/>
      <c r="Z11" s="36"/>
      <c r="AA11" s="36"/>
    </row>
    <row r="12" spans="1:27" ht="36" customHeight="1">
      <c r="A12" s="43" t="str">
        <f>HYPERLINK("https://www.funcionpublica.gov.co/eva/gestornormativo/norma.php?i=97210","LEY 1967")</f>
        <v>LEY 1967</v>
      </c>
      <c r="B12" s="286">
        <v>43657</v>
      </c>
      <c r="C12" s="32" t="s">
        <v>2918</v>
      </c>
      <c r="D12" s="33" t="s">
        <v>2919</v>
      </c>
      <c r="E12" s="32" t="s">
        <v>41</v>
      </c>
      <c r="F12" s="64" t="s">
        <v>97</v>
      </c>
      <c r="G12" s="119"/>
      <c r="H12" s="117"/>
      <c r="I12" s="36"/>
      <c r="J12" s="36"/>
      <c r="K12" s="36"/>
      <c r="L12" s="36"/>
      <c r="M12" s="36"/>
      <c r="N12" s="36"/>
      <c r="O12" s="36"/>
      <c r="P12" s="36"/>
      <c r="Q12" s="36"/>
      <c r="R12" s="36"/>
      <c r="S12" s="36"/>
      <c r="T12" s="36"/>
      <c r="U12" s="36"/>
      <c r="V12" s="36"/>
      <c r="W12" s="36"/>
      <c r="X12" s="36"/>
      <c r="Y12" s="36"/>
      <c r="Z12" s="36"/>
      <c r="AA12" s="36"/>
    </row>
    <row r="13" spans="1:27" ht="24" customHeight="1">
      <c r="A13" s="43" t="str">
        <f>HYPERLINK("http://www.suin-juriscol.gov.co/viewDocument.asp?id=1421468","DECRETO 2225")</f>
        <v>DECRETO 2225</v>
      </c>
      <c r="B13" s="32">
        <v>1985</v>
      </c>
      <c r="C13" s="32" t="s">
        <v>57</v>
      </c>
      <c r="D13" s="33" t="s">
        <v>1527</v>
      </c>
      <c r="E13" s="32" t="s">
        <v>41</v>
      </c>
      <c r="F13" s="64" t="s">
        <v>97</v>
      </c>
      <c r="G13" s="119" t="s">
        <v>43</v>
      </c>
      <c r="H13" s="117" t="s">
        <v>1490</v>
      </c>
      <c r="I13" s="36"/>
      <c r="J13" s="36"/>
      <c r="K13" s="36"/>
      <c r="L13" s="36"/>
      <c r="M13" s="36"/>
      <c r="N13" s="36"/>
      <c r="O13" s="36"/>
      <c r="P13" s="36"/>
      <c r="Q13" s="36"/>
      <c r="R13" s="36"/>
      <c r="S13" s="36"/>
      <c r="T13" s="36"/>
      <c r="U13" s="36"/>
      <c r="V13" s="36"/>
      <c r="W13" s="36"/>
      <c r="X13" s="36"/>
      <c r="Y13" s="36"/>
      <c r="Z13" s="36"/>
      <c r="AA13" s="36"/>
    </row>
    <row r="14" spans="1:27" ht="24" customHeight="1">
      <c r="A14" s="30" t="str">
        <f>HYPERLINK("https://www.mineducacion.gov.co/1621/articles-86240_archivo_pdf.pdf","DECRETO 1860")</f>
        <v>DECRETO 1860</v>
      </c>
      <c r="B14" s="41">
        <v>34549</v>
      </c>
      <c r="C14" s="32" t="s">
        <v>57</v>
      </c>
      <c r="D14" s="33" t="s">
        <v>1528</v>
      </c>
      <c r="E14" s="32" t="s">
        <v>41</v>
      </c>
      <c r="F14" s="64" t="s">
        <v>97</v>
      </c>
      <c r="G14" s="119" t="s">
        <v>43</v>
      </c>
      <c r="H14" s="117" t="s">
        <v>1490</v>
      </c>
      <c r="I14" s="36"/>
      <c r="J14" s="36"/>
      <c r="K14" s="36"/>
      <c r="L14" s="36"/>
      <c r="M14" s="36"/>
      <c r="N14" s="36"/>
      <c r="O14" s="36"/>
      <c r="P14" s="36"/>
      <c r="Q14" s="36"/>
      <c r="R14" s="36"/>
      <c r="S14" s="36"/>
      <c r="T14" s="36"/>
      <c r="U14" s="36"/>
      <c r="V14" s="36"/>
      <c r="W14" s="36"/>
      <c r="X14" s="36"/>
      <c r="Y14" s="36"/>
      <c r="Z14" s="36"/>
      <c r="AA14" s="36"/>
    </row>
    <row r="15" spans="1:27" ht="36" customHeight="1">
      <c r="A15" s="30" t="str">
        <f>HYPERLINK("https://www.alcaldiabogota.gov.co/sisjur/normas/Norma1.jsp?i=28152&amp;dt=S","DECRETO 633")</f>
        <v>DECRETO 633</v>
      </c>
      <c r="B15" s="286">
        <v>39444</v>
      </c>
      <c r="C15" s="32" t="s">
        <v>61</v>
      </c>
      <c r="D15" s="33" t="s">
        <v>1542</v>
      </c>
      <c r="E15" s="32" t="s">
        <v>41</v>
      </c>
      <c r="F15" s="64" t="s">
        <v>97</v>
      </c>
      <c r="G15" s="119" t="s">
        <v>43</v>
      </c>
      <c r="H15" s="117" t="s">
        <v>1490</v>
      </c>
      <c r="I15" s="241"/>
      <c r="J15" s="36"/>
      <c r="K15" s="36"/>
      <c r="L15" s="36"/>
      <c r="M15" s="36"/>
      <c r="N15" s="36"/>
      <c r="O15" s="36"/>
      <c r="P15" s="36"/>
      <c r="Q15" s="36"/>
      <c r="R15" s="36"/>
      <c r="S15" s="36"/>
      <c r="T15" s="36"/>
      <c r="U15" s="36"/>
      <c r="V15" s="36"/>
      <c r="W15" s="36"/>
      <c r="X15" s="36"/>
      <c r="Y15" s="36"/>
      <c r="Z15" s="36"/>
      <c r="AA15" s="36"/>
    </row>
    <row r="16" spans="1:27" ht="24" customHeight="1">
      <c r="A16" s="43" t="str">
        <f>HYPERLINK("http://legal.legis.com.co/document/Index?obra=legcol&amp;document=legcol_b3f1d94225d74478beb406a266b5cbd9","DECRETRO 593")</f>
        <v>DECRETRO 593</v>
      </c>
      <c r="B16" s="286">
        <v>43010</v>
      </c>
      <c r="C16" s="32" t="s">
        <v>61</v>
      </c>
      <c r="D16" s="39" t="s">
        <v>2920</v>
      </c>
      <c r="E16" s="32" t="s">
        <v>41</v>
      </c>
      <c r="F16" s="64" t="s">
        <v>97</v>
      </c>
      <c r="G16" s="119" t="s">
        <v>43</v>
      </c>
      <c r="H16" s="117" t="s">
        <v>1490</v>
      </c>
      <c r="I16" s="241"/>
      <c r="J16" s="36"/>
      <c r="K16" s="36"/>
      <c r="L16" s="36"/>
      <c r="M16" s="36"/>
      <c r="N16" s="36"/>
      <c r="O16" s="36"/>
      <c r="P16" s="36"/>
      <c r="Q16" s="36"/>
      <c r="R16" s="36"/>
      <c r="S16" s="36"/>
      <c r="T16" s="36"/>
      <c r="U16" s="36"/>
      <c r="V16" s="36"/>
      <c r="W16" s="36"/>
      <c r="X16" s="36"/>
      <c r="Y16" s="36"/>
      <c r="Z16" s="36"/>
      <c r="AA16" s="36"/>
    </row>
    <row r="17" spans="1:27" ht="36" customHeight="1">
      <c r="A17" s="30" t="str">
        <f>HYPERLINK("https://www.alcaldiabogota.gov.co/sisjur/normas/Norma1.jsp?i=31692&amp;dt=S","DECRETO 2771")</f>
        <v>DECRETO 2771</v>
      </c>
      <c r="B17" s="41">
        <v>39659</v>
      </c>
      <c r="C17" s="32" t="s">
        <v>1546</v>
      </c>
      <c r="D17" s="33" t="s">
        <v>1547</v>
      </c>
      <c r="E17" s="32" t="s">
        <v>41</v>
      </c>
      <c r="F17" s="64" t="s">
        <v>97</v>
      </c>
      <c r="G17" s="119" t="s">
        <v>43</v>
      </c>
      <c r="H17" s="117" t="s">
        <v>1490</v>
      </c>
      <c r="I17" s="36"/>
      <c r="J17" s="36"/>
      <c r="K17" s="36"/>
      <c r="L17" s="36"/>
      <c r="M17" s="36"/>
      <c r="N17" s="36"/>
      <c r="O17" s="36"/>
      <c r="P17" s="36"/>
      <c r="Q17" s="36"/>
      <c r="R17" s="36"/>
      <c r="S17" s="36"/>
      <c r="T17" s="36"/>
      <c r="U17" s="36"/>
      <c r="V17" s="36"/>
      <c r="W17" s="36"/>
      <c r="X17" s="36"/>
      <c r="Y17" s="36"/>
      <c r="Z17" s="36"/>
      <c r="AA17" s="36"/>
    </row>
    <row r="18" spans="1:27" ht="72" customHeight="1">
      <c r="A18" s="30" t="str">
        <f>HYPERLINK("https://www.alcaldiabogota.gov.co/sisjur/normas/Norma1.jsp?i=56034","DECRETO 599")</f>
        <v>DECRETO 599</v>
      </c>
      <c r="B18" s="286">
        <v>41634</v>
      </c>
      <c r="C18" s="32" t="s">
        <v>61</v>
      </c>
      <c r="D18" s="33" t="s">
        <v>1549</v>
      </c>
      <c r="E18" s="32" t="s">
        <v>41</v>
      </c>
      <c r="F18" s="64" t="s">
        <v>97</v>
      </c>
      <c r="G18" s="119" t="s">
        <v>43</v>
      </c>
      <c r="H18" s="117" t="s">
        <v>1490</v>
      </c>
      <c r="I18" s="36"/>
      <c r="J18" s="36"/>
      <c r="K18" s="36"/>
      <c r="L18" s="36"/>
      <c r="M18" s="36"/>
      <c r="N18" s="36"/>
      <c r="O18" s="241"/>
      <c r="P18" s="36"/>
      <c r="Q18" s="241"/>
      <c r="R18" s="36"/>
      <c r="S18" s="36"/>
      <c r="T18" s="36"/>
      <c r="U18" s="36"/>
      <c r="V18" s="36"/>
      <c r="W18" s="36"/>
      <c r="X18" s="36"/>
      <c r="Y18" s="36"/>
      <c r="Z18" s="36"/>
      <c r="AA18" s="36"/>
    </row>
    <row r="19" spans="1:27" ht="84" customHeight="1">
      <c r="A19" s="30" t="str">
        <f>HYPERLINK("https://www.alcaldiabogota.gov.co/sisjur/normas/Norma1.jsp?i=67805","DECRETO 622")</f>
        <v>DECRETO 622</v>
      </c>
      <c r="B19" s="286">
        <v>42727</v>
      </c>
      <c r="C19" s="32" t="s">
        <v>61</v>
      </c>
      <c r="D19" s="33" t="s">
        <v>1552</v>
      </c>
      <c r="E19" s="32" t="s">
        <v>41</v>
      </c>
      <c r="F19" s="64" t="s">
        <v>97</v>
      </c>
      <c r="G19" s="119" t="s">
        <v>43</v>
      </c>
      <c r="H19" s="117" t="s">
        <v>1490</v>
      </c>
      <c r="I19" s="36"/>
      <c r="J19" s="36"/>
      <c r="K19" s="36"/>
      <c r="L19" s="36"/>
      <c r="M19" s="36"/>
      <c r="N19" s="36"/>
      <c r="O19" s="36"/>
      <c r="P19" s="36"/>
      <c r="Q19" s="36"/>
      <c r="R19" s="36"/>
      <c r="S19" s="36"/>
      <c r="T19" s="36"/>
      <c r="U19" s="36"/>
      <c r="V19" s="36"/>
      <c r="W19" s="36"/>
      <c r="X19" s="36"/>
      <c r="Y19" s="36"/>
      <c r="Z19" s="36"/>
      <c r="AA19" s="36"/>
    </row>
    <row r="20" spans="1:27" ht="72" customHeight="1">
      <c r="A20" s="30" t="str">
        <f>HYPERLINK("https://www.funcionpublica.gov.co/eva/gestornormativo/norma.php?i=69094","DECRETO 642")</f>
        <v>DECRETO 642</v>
      </c>
      <c r="B20" s="41">
        <v>42478</v>
      </c>
      <c r="C20" s="32" t="s">
        <v>57</v>
      </c>
      <c r="D20" s="33" t="s">
        <v>1554</v>
      </c>
      <c r="E20" s="32" t="s">
        <v>41</v>
      </c>
      <c r="F20" s="64" t="s">
        <v>97</v>
      </c>
      <c r="G20" s="119" t="s">
        <v>43</v>
      </c>
      <c r="H20" s="117" t="s">
        <v>1490</v>
      </c>
      <c r="I20" s="36"/>
      <c r="J20" s="36"/>
      <c r="K20" s="36"/>
      <c r="L20" s="36"/>
      <c r="M20" s="36"/>
      <c r="N20" s="36"/>
      <c r="O20" s="36"/>
      <c r="P20" s="36"/>
      <c r="Q20" s="36"/>
      <c r="R20" s="36"/>
      <c r="S20" s="36"/>
      <c r="T20" s="36"/>
      <c r="U20" s="36"/>
      <c r="V20" s="36"/>
      <c r="W20" s="36"/>
      <c r="X20" s="36"/>
      <c r="Y20" s="36"/>
      <c r="Z20" s="36"/>
      <c r="AA20" s="36"/>
    </row>
    <row r="21" spans="1:27" ht="30" customHeight="1">
      <c r="A21" s="30" t="str">
        <f>HYPERLINK("https://www.alcaldiabogota.gov.co/sisjur/normas/Norma1.jsp?i=72265&amp;dt=S","DECRETO 567")</f>
        <v>DECRETO 567</v>
      </c>
      <c r="B21" s="286">
        <v>43028</v>
      </c>
      <c r="C21" s="32" t="s">
        <v>61</v>
      </c>
      <c r="D21" s="33" t="s">
        <v>1556</v>
      </c>
      <c r="E21" s="32" t="s">
        <v>41</v>
      </c>
      <c r="F21" s="64" t="s">
        <v>97</v>
      </c>
      <c r="G21" s="119" t="s">
        <v>43</v>
      </c>
      <c r="H21" s="117" t="s">
        <v>1490</v>
      </c>
      <c r="I21" s="36"/>
      <c r="J21" s="36"/>
      <c r="K21" s="36"/>
      <c r="L21" s="36"/>
      <c r="M21" s="36"/>
      <c r="N21" s="36"/>
      <c r="O21" s="36"/>
      <c r="P21" s="36"/>
      <c r="Q21" s="36"/>
      <c r="R21" s="36"/>
      <c r="S21" s="36"/>
      <c r="T21" s="36"/>
      <c r="U21" s="36"/>
      <c r="V21" s="36"/>
      <c r="W21" s="36"/>
      <c r="X21" s="36"/>
      <c r="Y21" s="36"/>
      <c r="Z21" s="36"/>
      <c r="AA21" s="36"/>
    </row>
    <row r="22" spans="1:27" ht="36" customHeight="1">
      <c r="A22" s="30" t="str">
        <f>HYPERLINK("http://legal.legis.com.co/document/Index?obra=legcol&amp;document=legcol_f62fe41f45f7464b96636dd965d07923","DECRETO 153")</f>
        <v>DECRETO 153</v>
      </c>
      <c r="B22" s="286">
        <v>43175</v>
      </c>
      <c r="C22" s="32" t="s">
        <v>61</v>
      </c>
      <c r="D22" s="39" t="s">
        <v>2921</v>
      </c>
      <c r="E22" s="32" t="s">
        <v>41</v>
      </c>
      <c r="F22" s="64" t="s">
        <v>97</v>
      </c>
      <c r="G22" s="119"/>
      <c r="H22" s="117"/>
      <c r="I22" s="36"/>
      <c r="J22" s="36"/>
      <c r="K22" s="36"/>
      <c r="L22" s="36"/>
      <c r="M22" s="36"/>
      <c r="N22" s="36"/>
      <c r="O22" s="36"/>
      <c r="P22" s="36"/>
      <c r="Q22" s="36"/>
      <c r="R22" s="36"/>
      <c r="S22" s="36"/>
      <c r="T22" s="36"/>
      <c r="U22" s="36"/>
      <c r="V22" s="36"/>
      <c r="W22" s="36"/>
      <c r="X22" s="36"/>
      <c r="Y22" s="36"/>
      <c r="Z22" s="36"/>
      <c r="AA22" s="36"/>
    </row>
    <row r="23" spans="1:27" ht="48" customHeight="1">
      <c r="A23" s="30" t="str">
        <f>HYPERLINK("https://www.alcaldiabogota.gov.co/sisjur/normas/Norma1.jsp?i=64248&amp;dt=S","Decreto 597")</f>
        <v>Decreto 597</v>
      </c>
      <c r="B23" s="286">
        <v>42368</v>
      </c>
      <c r="C23" s="32" t="s">
        <v>1558</v>
      </c>
      <c r="D23" s="33" t="s">
        <v>1561</v>
      </c>
      <c r="E23" s="32" t="s">
        <v>41</v>
      </c>
      <c r="F23" s="64" t="s">
        <v>97</v>
      </c>
      <c r="G23" s="119" t="s">
        <v>43</v>
      </c>
      <c r="H23" s="117" t="s">
        <v>1490</v>
      </c>
      <c r="I23" s="36"/>
      <c r="J23" s="36"/>
      <c r="K23" s="36"/>
      <c r="L23" s="36"/>
      <c r="M23" s="36"/>
      <c r="N23" s="36"/>
      <c r="O23" s="36"/>
      <c r="P23" s="36"/>
      <c r="Q23" s="36"/>
      <c r="R23" s="36"/>
      <c r="S23" s="36"/>
      <c r="T23" s="36"/>
      <c r="U23" s="36"/>
      <c r="V23" s="36"/>
      <c r="W23" s="36"/>
      <c r="X23" s="36"/>
      <c r="Y23" s="36"/>
      <c r="Z23" s="36"/>
      <c r="AA23" s="36"/>
    </row>
    <row r="24" spans="1:27" ht="36" customHeight="1">
      <c r="A24" s="43" t="str">
        <f>HYPERLINK("https://www.alcaldiabogota.gov.co/sisjur/normas/Norma1.jsp?i=81080&amp;dt=S","Decreto 557 ")</f>
        <v xml:space="preserve">Decreto 557 </v>
      </c>
      <c r="B24" s="41">
        <v>43370</v>
      </c>
      <c r="C24" s="32" t="s">
        <v>1558</v>
      </c>
      <c r="D24" s="33" t="s">
        <v>1563</v>
      </c>
      <c r="E24" s="32" t="s">
        <v>41</v>
      </c>
      <c r="F24" s="64" t="s">
        <v>97</v>
      </c>
      <c r="G24" s="119" t="s">
        <v>43</v>
      </c>
      <c r="H24" s="117" t="s">
        <v>1490</v>
      </c>
      <c r="I24" s="36"/>
      <c r="J24" s="36"/>
      <c r="K24" s="36"/>
      <c r="L24" s="36"/>
      <c r="M24" s="36"/>
      <c r="N24" s="36"/>
      <c r="O24" s="36"/>
      <c r="P24" s="36"/>
      <c r="Q24" s="36"/>
      <c r="R24" s="36"/>
      <c r="S24" s="36"/>
      <c r="T24" s="36"/>
      <c r="U24" s="36"/>
      <c r="V24" s="36"/>
      <c r="W24" s="36"/>
      <c r="X24" s="36"/>
      <c r="Y24" s="36"/>
      <c r="Z24" s="36"/>
      <c r="AA24" s="36"/>
    </row>
    <row r="25" spans="1:27" ht="48" customHeight="1">
      <c r="A25" s="30" t="str">
        <f>HYPERLINK("https://www.alcaldiabogota.gov.co/sisjur/normas/Norma1.jsp?i=80554&amp;dt=S","Decreto 483")</f>
        <v>Decreto 483</v>
      </c>
      <c r="B25" s="41">
        <v>43329</v>
      </c>
      <c r="C25" s="32" t="s">
        <v>1558</v>
      </c>
      <c r="D25" s="39" t="s">
        <v>3010</v>
      </c>
      <c r="E25" s="32" t="s">
        <v>41</v>
      </c>
      <c r="F25" s="64" t="s">
        <v>97</v>
      </c>
      <c r="G25" s="119" t="s">
        <v>43</v>
      </c>
      <c r="H25" s="117" t="s">
        <v>1490</v>
      </c>
      <c r="I25" s="36"/>
      <c r="J25" s="36"/>
      <c r="K25" s="36"/>
      <c r="L25" s="36"/>
      <c r="M25" s="36"/>
      <c r="N25" s="36"/>
      <c r="O25" s="36"/>
      <c r="P25" s="36"/>
      <c r="Q25" s="36"/>
      <c r="R25" s="36"/>
      <c r="S25" s="36"/>
      <c r="T25" s="36"/>
      <c r="U25" s="36"/>
      <c r="V25" s="36"/>
      <c r="W25" s="36"/>
      <c r="X25" s="36"/>
      <c r="Y25" s="36"/>
      <c r="Z25" s="36"/>
      <c r="AA25" s="36"/>
    </row>
    <row r="26" spans="1:27" ht="24" customHeight="1">
      <c r="A26" s="30" t="str">
        <f>HYPERLINK("https://www.alcaldiabogota.gov.co/sisjur/normas/Norma1.jsp?i=897&amp;dt=S","ACUERDO 4")</f>
        <v>ACUERDO 4</v>
      </c>
      <c r="B26" s="41">
        <v>28529</v>
      </c>
      <c r="C26" s="32" t="s">
        <v>195</v>
      </c>
      <c r="D26" s="33" t="s">
        <v>1566</v>
      </c>
      <c r="E26" s="32" t="s">
        <v>41</v>
      </c>
      <c r="F26" s="64" t="s">
        <v>97</v>
      </c>
      <c r="G26" s="119" t="s">
        <v>43</v>
      </c>
      <c r="H26" s="117" t="s">
        <v>1490</v>
      </c>
      <c r="I26" s="36"/>
      <c r="J26" s="36"/>
      <c r="K26" s="36"/>
      <c r="L26" s="36"/>
      <c r="M26" s="36"/>
      <c r="N26" s="36"/>
      <c r="O26" s="36"/>
      <c r="P26" s="36"/>
      <c r="Q26" s="36"/>
      <c r="R26" s="36"/>
      <c r="S26" s="36"/>
      <c r="T26" s="36"/>
      <c r="U26" s="36"/>
      <c r="V26" s="36"/>
      <c r="W26" s="36"/>
      <c r="X26" s="36"/>
      <c r="Y26" s="36"/>
      <c r="Z26" s="36"/>
      <c r="AA26" s="36"/>
    </row>
    <row r="27" spans="1:27" ht="24" customHeight="1">
      <c r="A27" s="30" t="str">
        <f>HYPERLINK("https://diario-oficial.vlex.com.co/vid/acuerdo-107-43189887","ACUERDO 107")</f>
        <v>ACUERDO 107</v>
      </c>
      <c r="B27" s="32">
        <v>2003</v>
      </c>
      <c r="C27" s="32" t="s">
        <v>195</v>
      </c>
      <c r="D27" s="33" t="s">
        <v>1568</v>
      </c>
      <c r="E27" s="32" t="s">
        <v>41</v>
      </c>
      <c r="F27" s="64" t="s">
        <v>97</v>
      </c>
      <c r="G27" s="119" t="s">
        <v>43</v>
      </c>
      <c r="H27" s="117" t="s">
        <v>1490</v>
      </c>
      <c r="I27" s="36"/>
      <c r="J27" s="36"/>
      <c r="K27" s="36"/>
      <c r="L27" s="36"/>
      <c r="M27" s="36"/>
      <c r="N27" s="36"/>
      <c r="O27" s="36"/>
      <c r="P27" s="36"/>
      <c r="Q27" s="36"/>
      <c r="R27" s="36"/>
      <c r="S27" s="36"/>
      <c r="T27" s="36"/>
      <c r="U27" s="36"/>
      <c r="V27" s="36"/>
      <c r="W27" s="36"/>
      <c r="X27" s="36"/>
      <c r="Y27" s="36"/>
      <c r="Z27" s="36"/>
      <c r="AA27" s="36"/>
    </row>
    <row r="28" spans="1:27" ht="36" customHeight="1">
      <c r="A28" s="30" t="str">
        <f>HYPERLINK("https://www.alcaldiabogota.gov.co/sisjur/normas/Norma1.jsp?i=17652","ACUERDO 175")</f>
        <v>ACUERDO 175</v>
      </c>
      <c r="B28" s="41">
        <v>38623</v>
      </c>
      <c r="C28" s="32" t="s">
        <v>195</v>
      </c>
      <c r="D28" s="33" t="s">
        <v>1570</v>
      </c>
      <c r="E28" s="32" t="s">
        <v>41</v>
      </c>
      <c r="F28" s="64" t="s">
        <v>97</v>
      </c>
      <c r="G28" s="119" t="s">
        <v>43</v>
      </c>
      <c r="H28" s="117" t="s">
        <v>1490</v>
      </c>
      <c r="I28" s="36"/>
      <c r="J28" s="36"/>
      <c r="K28" s="36"/>
      <c r="L28" s="36"/>
      <c r="M28" s="36"/>
      <c r="N28" s="36"/>
      <c r="O28" s="36"/>
      <c r="P28" s="36"/>
      <c r="Q28" s="36"/>
      <c r="R28" s="36"/>
      <c r="S28" s="36"/>
      <c r="T28" s="36"/>
      <c r="U28" s="36"/>
      <c r="V28" s="36"/>
      <c r="W28" s="36"/>
      <c r="X28" s="36"/>
      <c r="Y28" s="36"/>
      <c r="Z28" s="36"/>
      <c r="AA28" s="36"/>
    </row>
    <row r="29" spans="1:27" ht="48" customHeight="1">
      <c r="A29" s="30" t="str">
        <f>HYPERLINK("http://concejodebogota.gov.co/cbogota/site/artic/20160803/asocfile/20160803160947/acuerdo_498_12.pdf","ACUERDO 498")</f>
        <v>ACUERDO 498</v>
      </c>
      <c r="B29" s="41">
        <v>41178</v>
      </c>
      <c r="C29" s="32" t="s">
        <v>195</v>
      </c>
      <c r="D29" s="33" t="s">
        <v>1572</v>
      </c>
      <c r="E29" s="32" t="s">
        <v>41</v>
      </c>
      <c r="F29" s="32" t="s">
        <v>41</v>
      </c>
      <c r="G29" s="119" t="s">
        <v>43</v>
      </c>
      <c r="H29" s="117" t="s">
        <v>1490</v>
      </c>
      <c r="I29" s="36"/>
      <c r="J29" s="36"/>
      <c r="K29" s="36"/>
      <c r="L29" s="36"/>
      <c r="M29" s="36"/>
      <c r="N29" s="36"/>
      <c r="O29" s="36"/>
      <c r="P29" s="36"/>
      <c r="Q29" s="36"/>
      <c r="R29" s="36"/>
      <c r="S29" s="36"/>
      <c r="T29" s="36"/>
      <c r="U29" s="36"/>
      <c r="V29" s="36"/>
      <c r="W29" s="36"/>
      <c r="X29" s="36"/>
      <c r="Y29" s="36"/>
      <c r="Z29" s="36"/>
      <c r="AA29" s="36"/>
    </row>
    <row r="30" spans="1:27" ht="69" customHeight="1">
      <c r="A30" s="30" t="str">
        <f>HYPERLINK("http://www.saludcapital.gov.co/Normo/gsp/acuerdo_614_de_2015.pdf","ACUERDO 614")</f>
        <v>ACUERDO 614</v>
      </c>
      <c r="B30" s="41">
        <v>42263</v>
      </c>
      <c r="C30" s="32" t="s">
        <v>195</v>
      </c>
      <c r="D30" s="33" t="s">
        <v>2922</v>
      </c>
      <c r="E30" s="32" t="s">
        <v>2923</v>
      </c>
      <c r="F30" s="33" t="s">
        <v>2924</v>
      </c>
      <c r="G30" s="119"/>
      <c r="H30" s="117"/>
      <c r="I30" s="36"/>
      <c r="J30" s="36"/>
      <c r="K30" s="36"/>
      <c r="L30" s="36"/>
      <c r="M30" s="36"/>
      <c r="N30" s="36"/>
      <c r="O30" s="36"/>
      <c r="P30" s="36"/>
      <c r="Q30" s="36"/>
      <c r="R30" s="36"/>
      <c r="S30" s="36"/>
      <c r="T30" s="36"/>
      <c r="U30" s="36"/>
      <c r="V30" s="36"/>
      <c r="W30" s="36"/>
      <c r="X30" s="36"/>
      <c r="Y30" s="36"/>
      <c r="Z30" s="36"/>
      <c r="AA30" s="36"/>
    </row>
    <row r="31" spans="1:27" ht="48" customHeight="1">
      <c r="A31" s="30" t="str">
        <f>HYPERLINK("https://www.alcaldiabogota.gov.co/sisjur/normas/Norma1.jsp?i=53773&amp;dt=S","RESOLUCIÓN 406")</f>
        <v>RESOLUCIÓN 406</v>
      </c>
      <c r="B31" s="41">
        <v>41457</v>
      </c>
      <c r="C31" s="142" t="s">
        <v>130</v>
      </c>
      <c r="D31" s="33" t="s">
        <v>1591</v>
      </c>
      <c r="E31" s="32" t="s">
        <v>41</v>
      </c>
      <c r="F31" s="64" t="s">
        <v>97</v>
      </c>
      <c r="G31" s="119" t="s">
        <v>43</v>
      </c>
      <c r="H31" s="117" t="s">
        <v>1490</v>
      </c>
      <c r="I31" s="36"/>
      <c r="J31" s="36"/>
      <c r="K31" s="36"/>
      <c r="L31" s="36"/>
      <c r="M31" s="36"/>
      <c r="N31" s="36"/>
      <c r="O31" s="36"/>
      <c r="P31" s="36"/>
      <c r="Q31" s="36"/>
      <c r="R31" s="36"/>
      <c r="S31" s="36"/>
      <c r="T31" s="36"/>
      <c r="U31" s="36"/>
      <c r="V31" s="36"/>
      <c r="W31" s="36"/>
      <c r="X31" s="36"/>
      <c r="Y31" s="36"/>
      <c r="Z31" s="36"/>
      <c r="AA31" s="36"/>
    </row>
    <row r="32" spans="1:27" ht="36" customHeight="1">
      <c r="A32" s="30" t="str">
        <f>HYPERLINK("https://www.idrd.gov.co/sitio/idrd/sites/default/files/imagenes/resolucion%20099%20de%2020130.pdf","RESOLUCIÓN 099")</f>
        <v>RESOLUCIÓN 099</v>
      </c>
      <c r="B32" s="32">
        <v>2013</v>
      </c>
      <c r="C32" s="142" t="s">
        <v>130</v>
      </c>
      <c r="D32" s="33" t="s">
        <v>585</v>
      </c>
      <c r="E32" s="32" t="s">
        <v>41</v>
      </c>
      <c r="F32" s="64" t="s">
        <v>97</v>
      </c>
      <c r="G32" s="119" t="s">
        <v>43</v>
      </c>
      <c r="H32" s="117" t="s">
        <v>1490</v>
      </c>
      <c r="I32" s="36"/>
      <c r="J32" s="36"/>
      <c r="K32" s="36"/>
      <c r="L32" s="36"/>
      <c r="M32" s="36"/>
      <c r="N32" s="36"/>
      <c r="O32" s="36"/>
      <c r="P32" s="36"/>
      <c r="Q32" s="36"/>
      <c r="R32" s="36"/>
      <c r="S32" s="36"/>
      <c r="T32" s="36"/>
      <c r="U32" s="36"/>
      <c r="V32" s="36"/>
      <c r="W32" s="36"/>
      <c r="X32" s="36"/>
      <c r="Y32" s="36"/>
      <c r="Z32" s="36"/>
      <c r="AA32" s="36"/>
    </row>
    <row r="33" spans="1:27" ht="36" customHeight="1">
      <c r="A33" s="30" t="str">
        <f>HYPERLINK("https://repositoriosed.educacionbogota.edu.co/bitstream/001/2042/1/RESOLUCION%20No.%202068%20DEL%2017-11-2015.PDF","RESOLUCION 2068")</f>
        <v>RESOLUCION 2068</v>
      </c>
      <c r="B33" s="286">
        <v>42325</v>
      </c>
      <c r="C33" s="32" t="s">
        <v>1579</v>
      </c>
      <c r="D33" s="33" t="s">
        <v>1604</v>
      </c>
      <c r="E33" s="32" t="s">
        <v>41</v>
      </c>
      <c r="F33" s="64" t="s">
        <v>97</v>
      </c>
      <c r="G33" s="119" t="s">
        <v>43</v>
      </c>
      <c r="H33" s="117" t="s">
        <v>1490</v>
      </c>
      <c r="I33" s="36"/>
      <c r="J33" s="36"/>
      <c r="K33" s="36"/>
      <c r="L33" s="36"/>
      <c r="M33" s="36"/>
      <c r="N33" s="36"/>
      <c r="O33" s="36"/>
      <c r="P33" s="36"/>
      <c r="Q33" s="36"/>
      <c r="R33" s="36"/>
      <c r="S33" s="36"/>
      <c r="T33" s="36"/>
      <c r="U33" s="36"/>
      <c r="V33" s="36"/>
      <c r="W33" s="36"/>
      <c r="X33" s="36"/>
      <c r="Y33" s="36"/>
      <c r="Z33" s="36"/>
      <c r="AA33" s="36"/>
    </row>
    <row r="34" spans="1:27" ht="24" customHeight="1">
      <c r="A34" s="30" t="str">
        <f>HYPERLINK("https://www.alcaldiabogota.gov.co/sisjur/normas/Norma1.jsp?i=68558&amp;dt=S","RESOLUCIÓN 1839")</f>
        <v>RESOLUCIÓN 1839</v>
      </c>
      <c r="B34" s="286">
        <v>42654</v>
      </c>
      <c r="C34" s="32" t="s">
        <v>1579</v>
      </c>
      <c r="D34" s="33" t="s">
        <v>1608</v>
      </c>
      <c r="E34" s="32" t="s">
        <v>41</v>
      </c>
      <c r="F34" s="64" t="s">
        <v>97</v>
      </c>
      <c r="G34" s="119" t="s">
        <v>43</v>
      </c>
      <c r="H34" s="117" t="s">
        <v>1490</v>
      </c>
      <c r="I34" s="36"/>
      <c r="J34" s="36"/>
      <c r="K34" s="36"/>
      <c r="L34" s="36"/>
      <c r="M34" s="36"/>
      <c r="N34" s="36"/>
      <c r="O34" s="36"/>
      <c r="P34" s="36"/>
      <c r="Q34" s="36"/>
      <c r="R34" s="36"/>
      <c r="S34" s="36"/>
      <c r="T34" s="36"/>
      <c r="U34" s="36"/>
      <c r="V34" s="36"/>
      <c r="W34" s="36"/>
      <c r="X34" s="36"/>
      <c r="Y34" s="36"/>
      <c r="Z34" s="36"/>
      <c r="AA34" s="36"/>
    </row>
    <row r="35" spans="1:27" ht="24" customHeight="1">
      <c r="A35" s="30" t="str">
        <f>HYPERLINK("https://www.alcaldiabogota.gov.co/sisjur/normas/Norma1.jsp?i=68562&amp;dt=S","RESOLUCIÓN 2062")</f>
        <v>RESOLUCIÓN 2062</v>
      </c>
      <c r="B35" s="286">
        <v>42695</v>
      </c>
      <c r="C35" s="32" t="s">
        <v>1579</v>
      </c>
      <c r="D35" s="33" t="s">
        <v>1608</v>
      </c>
      <c r="E35" s="32" t="s">
        <v>41</v>
      </c>
      <c r="F35" s="64" t="s">
        <v>97</v>
      </c>
      <c r="G35" s="119" t="s">
        <v>43</v>
      </c>
      <c r="H35" s="117" t="s">
        <v>1490</v>
      </c>
      <c r="I35" s="36"/>
      <c r="J35" s="36"/>
      <c r="K35" s="36"/>
      <c r="L35" s="36"/>
      <c r="M35" s="36"/>
      <c r="N35" s="36"/>
      <c r="O35" s="36"/>
      <c r="P35" s="36"/>
      <c r="Q35" s="36"/>
      <c r="R35" s="36"/>
      <c r="S35" s="36"/>
      <c r="T35" s="36"/>
      <c r="U35" s="36"/>
      <c r="V35" s="36"/>
      <c r="W35" s="36"/>
      <c r="X35" s="36"/>
      <c r="Y35" s="36"/>
      <c r="Z35" s="36"/>
      <c r="AA35" s="36"/>
    </row>
    <row r="36" spans="1:27" ht="24" customHeight="1">
      <c r="A36" s="30" t="str">
        <f>HYPERLINK("https://educacionbogota.edu.co/portal_institucional/sites/default/files/2019-10/RESOLUCION%20No.%202000%20DEL%2010-11-2017.PDF","RESOLUCIÓN 2000")</f>
        <v>RESOLUCIÓN 2000</v>
      </c>
      <c r="B36" s="286">
        <v>43049</v>
      </c>
      <c r="C36" s="32" t="s">
        <v>1617</v>
      </c>
      <c r="D36" s="33" t="s">
        <v>1608</v>
      </c>
      <c r="E36" s="32" t="s">
        <v>41</v>
      </c>
      <c r="F36" s="64" t="s">
        <v>97</v>
      </c>
      <c r="G36" s="119" t="s">
        <v>43</v>
      </c>
      <c r="H36" s="117" t="s">
        <v>1490</v>
      </c>
      <c r="I36" s="36"/>
      <c r="J36" s="36"/>
      <c r="K36" s="36"/>
      <c r="L36" s="36"/>
      <c r="M36" s="36"/>
      <c r="N36" s="36"/>
      <c r="O36" s="36"/>
      <c r="P36" s="36"/>
      <c r="Q36" s="36"/>
      <c r="R36" s="36"/>
      <c r="S36" s="36"/>
      <c r="T36" s="36"/>
      <c r="U36" s="36"/>
      <c r="V36" s="36"/>
      <c r="W36" s="36"/>
      <c r="X36" s="36"/>
      <c r="Y36" s="36"/>
      <c r="Z36" s="36"/>
      <c r="AA36" s="36"/>
    </row>
    <row r="37" spans="1:27" ht="24" customHeight="1">
      <c r="A37" s="287" t="str">
        <f>HYPERLINK("https://www.superateintercolegiados.gov.co/recursos_user/2019/Superate/NORMA%20REGLAMENTARIA%20SUPERATE%202019.pdf","RESOLUCIÓN  389")</f>
        <v>RESOLUCIÓN  389</v>
      </c>
      <c r="B37" s="127">
        <v>43553</v>
      </c>
      <c r="C37" s="51" t="s">
        <v>1619</v>
      </c>
      <c r="D37" s="52" t="s">
        <v>1620</v>
      </c>
      <c r="E37" s="51" t="s">
        <v>41</v>
      </c>
      <c r="F37" s="249" t="s">
        <v>97</v>
      </c>
      <c r="G37" s="200" t="s">
        <v>1621</v>
      </c>
      <c r="H37" s="201" t="s">
        <v>1490</v>
      </c>
      <c r="I37" s="36"/>
      <c r="J37" s="36"/>
      <c r="K37" s="36"/>
      <c r="L37" s="36"/>
      <c r="M37" s="36"/>
      <c r="N37" s="36"/>
      <c r="O37" s="36"/>
      <c r="P37" s="36"/>
      <c r="Q37" s="36"/>
      <c r="R37" s="36"/>
      <c r="S37" s="36"/>
      <c r="T37" s="36"/>
      <c r="U37" s="36"/>
      <c r="V37" s="36"/>
      <c r="W37" s="36"/>
      <c r="X37" s="36"/>
      <c r="Y37" s="36"/>
      <c r="Z37" s="36"/>
      <c r="AA37" s="36"/>
    </row>
    <row r="38" spans="1:27" ht="24" customHeight="1">
      <c r="A38" s="102" t="str">
        <f>HYPERLINK("http://www.sdp.gov.co/transparencia/normatividad/actos-administrativos/resolucion-1134-de-2018-0","RESOLUCIÓN 1344")</f>
        <v>RESOLUCIÓN 1344</v>
      </c>
      <c r="B38" s="103">
        <v>43360</v>
      </c>
      <c r="C38" s="32" t="s">
        <v>61</v>
      </c>
      <c r="D38" s="54" t="s">
        <v>2930</v>
      </c>
      <c r="E38" s="51" t="s">
        <v>41</v>
      </c>
      <c r="F38" s="249" t="s">
        <v>97</v>
      </c>
      <c r="G38" s="119"/>
      <c r="H38" s="117"/>
      <c r="I38" s="36"/>
      <c r="J38" s="36"/>
      <c r="K38" s="36"/>
      <c r="L38" s="36"/>
      <c r="M38" s="36"/>
      <c r="N38" s="36"/>
      <c r="O38" s="36"/>
      <c r="P38" s="36"/>
      <c r="Q38" s="36"/>
      <c r="R38" s="36"/>
      <c r="S38" s="36"/>
      <c r="T38" s="36"/>
      <c r="U38" s="36"/>
      <c r="V38" s="36"/>
      <c r="W38" s="36"/>
      <c r="X38" s="36"/>
      <c r="Y38" s="36"/>
      <c r="Z38" s="36"/>
      <c r="AA38" s="36"/>
    </row>
    <row r="39" spans="1:27" ht="44.25" customHeight="1">
      <c r="A39" s="70" t="s">
        <v>3011</v>
      </c>
      <c r="B39" s="103">
        <v>44498</v>
      </c>
      <c r="C39" s="32" t="s">
        <v>1617</v>
      </c>
      <c r="D39" s="54" t="s">
        <v>3012</v>
      </c>
      <c r="E39" s="51" t="s">
        <v>41</v>
      </c>
      <c r="F39" s="249" t="s">
        <v>97</v>
      </c>
      <c r="G39" s="119"/>
      <c r="H39" s="117"/>
      <c r="I39" s="36"/>
      <c r="J39" s="36"/>
      <c r="K39" s="36"/>
      <c r="L39" s="36"/>
      <c r="M39" s="36"/>
      <c r="N39" s="36"/>
      <c r="O39" s="36"/>
      <c r="P39" s="36"/>
      <c r="Q39" s="36"/>
      <c r="R39" s="36"/>
      <c r="S39" s="36"/>
      <c r="T39" s="36"/>
      <c r="U39" s="36"/>
      <c r="V39" s="36"/>
      <c r="W39" s="36"/>
      <c r="X39" s="36"/>
      <c r="Y39" s="36"/>
      <c r="Z39" s="36"/>
      <c r="AA39" s="36"/>
    </row>
    <row r="40" spans="1:27" ht="39.75" customHeight="1">
      <c r="A40" s="66" t="s">
        <v>2932</v>
      </c>
      <c r="B40" s="103">
        <v>43921</v>
      </c>
      <c r="C40" s="55" t="s">
        <v>2918</v>
      </c>
      <c r="D40" s="54" t="s">
        <v>2933</v>
      </c>
      <c r="E40" s="55" t="s">
        <v>41</v>
      </c>
      <c r="F40" s="249" t="s">
        <v>97</v>
      </c>
      <c r="G40" s="119"/>
      <c r="H40" s="117"/>
      <c r="I40" s="36"/>
      <c r="J40" s="36"/>
      <c r="K40" s="36"/>
      <c r="L40" s="36"/>
      <c r="M40" s="36"/>
      <c r="N40" s="36"/>
      <c r="O40" s="36"/>
      <c r="P40" s="36"/>
      <c r="Q40" s="36"/>
      <c r="R40" s="36"/>
      <c r="S40" s="36"/>
      <c r="T40" s="36"/>
      <c r="U40" s="36"/>
      <c r="V40" s="36"/>
      <c r="W40" s="36"/>
      <c r="X40" s="36"/>
      <c r="Y40" s="36"/>
      <c r="Z40" s="36"/>
      <c r="AA40" s="36"/>
    </row>
    <row r="41" spans="1:27" ht="24" customHeight="1">
      <c r="A41" s="102" t="str">
        <f>HYPERLINK("http://www.saludcapital.gov.co/Documents/Circular_0031_Aglomeraciones_publico_interna.pdf","CIRCULAR 31")</f>
        <v>CIRCULAR 31</v>
      </c>
      <c r="B41" s="103">
        <v>42732</v>
      </c>
      <c r="C41" s="51" t="s">
        <v>1625</v>
      </c>
      <c r="D41" s="52" t="s">
        <v>1626</v>
      </c>
      <c r="E41" s="51" t="s">
        <v>41</v>
      </c>
      <c r="F41" s="249" t="s">
        <v>97</v>
      </c>
      <c r="G41" s="119" t="s">
        <v>43</v>
      </c>
      <c r="H41" s="117" t="s">
        <v>1490</v>
      </c>
      <c r="I41" s="36"/>
      <c r="J41" s="36"/>
      <c r="K41" s="36"/>
      <c r="L41" s="36"/>
      <c r="M41" s="36"/>
      <c r="N41" s="36"/>
      <c r="O41" s="36"/>
      <c r="P41" s="36"/>
      <c r="Q41" s="36"/>
      <c r="R41" s="36"/>
      <c r="S41" s="36"/>
      <c r="T41" s="36"/>
      <c r="U41" s="36"/>
      <c r="V41" s="36"/>
      <c r="W41" s="36"/>
      <c r="X41" s="36"/>
      <c r="Y41" s="36"/>
      <c r="Z41" s="36"/>
      <c r="AA41" s="36"/>
    </row>
    <row r="42" spans="1:27" ht="34.5" customHeight="1">
      <c r="A42" s="30" t="str">
        <f>HYPERLINK("https://www.mineducacion.gov.co/1759/articles-241887_archivo_pdf_evaluacion.pdf","Orientaciones Pedagógicas Educación Física Recreación y Deporte")</f>
        <v>Orientaciones Pedagógicas Educación Física Recreación y Deporte</v>
      </c>
      <c r="B42" s="40">
        <v>2010</v>
      </c>
      <c r="C42" s="40" t="s">
        <v>1524</v>
      </c>
      <c r="D42" s="33" t="s">
        <v>1629</v>
      </c>
      <c r="E42" s="32" t="s">
        <v>41</v>
      </c>
      <c r="F42" s="64" t="s">
        <v>97</v>
      </c>
      <c r="G42" s="119" t="s">
        <v>43</v>
      </c>
      <c r="H42" s="117" t="s">
        <v>1490</v>
      </c>
      <c r="I42" s="36"/>
      <c r="J42" s="36"/>
      <c r="K42" s="36"/>
      <c r="L42" s="36"/>
      <c r="M42" s="36"/>
      <c r="N42" s="36"/>
      <c r="O42" s="36"/>
      <c r="P42" s="36"/>
      <c r="Q42" s="36"/>
      <c r="R42" s="36"/>
      <c r="S42" s="36"/>
      <c r="T42" s="36"/>
      <c r="U42" s="36"/>
      <c r="V42" s="36"/>
      <c r="W42" s="36"/>
      <c r="X42" s="36"/>
      <c r="Y42" s="36"/>
      <c r="Z42" s="36"/>
      <c r="AA42" s="36"/>
    </row>
    <row r="43" spans="1:27" ht="36" customHeight="1">
      <c r="A43" s="70" t="s">
        <v>3013</v>
      </c>
      <c r="B43" s="40">
        <v>2022</v>
      </c>
      <c r="C43" s="40" t="s">
        <v>3014</v>
      </c>
      <c r="D43" s="39" t="s">
        <v>3015</v>
      </c>
      <c r="E43" s="32" t="s">
        <v>41</v>
      </c>
      <c r="F43" s="64" t="s">
        <v>97</v>
      </c>
      <c r="G43" s="119"/>
      <c r="H43" s="117"/>
      <c r="I43" s="36"/>
      <c r="J43" s="36"/>
      <c r="K43" s="36"/>
      <c r="L43" s="36"/>
      <c r="M43" s="36"/>
      <c r="N43" s="36"/>
      <c r="O43" s="36"/>
      <c r="P43" s="36"/>
      <c r="Q43" s="36"/>
      <c r="R43" s="36"/>
      <c r="S43" s="36"/>
      <c r="T43" s="36"/>
      <c r="U43" s="36"/>
      <c r="V43" s="36"/>
      <c r="W43" s="36"/>
      <c r="X43" s="36"/>
      <c r="Y43" s="36"/>
      <c r="Z43" s="36"/>
      <c r="AA43" s="36"/>
    </row>
    <row r="44" spans="1:27" ht="36" customHeight="1">
      <c r="A44" s="70" t="s">
        <v>3016</v>
      </c>
      <c r="B44" s="40">
        <v>2022</v>
      </c>
      <c r="C44" s="40" t="s">
        <v>3014</v>
      </c>
      <c r="D44" s="39" t="s">
        <v>3017</v>
      </c>
      <c r="E44" s="32" t="s">
        <v>41</v>
      </c>
      <c r="F44" s="64" t="s">
        <v>97</v>
      </c>
      <c r="G44" s="119"/>
      <c r="H44" s="117"/>
      <c r="I44" s="36"/>
      <c r="J44" s="36"/>
      <c r="K44" s="36"/>
      <c r="L44" s="36"/>
      <c r="M44" s="36"/>
      <c r="N44" s="36"/>
      <c r="O44" s="36"/>
      <c r="P44" s="36"/>
      <c r="Q44" s="36"/>
      <c r="R44" s="36"/>
      <c r="S44" s="36"/>
      <c r="T44" s="36"/>
      <c r="U44" s="36"/>
      <c r="V44" s="36"/>
      <c r="W44" s="36"/>
      <c r="X44" s="36"/>
      <c r="Y44" s="36"/>
      <c r="Z44" s="36"/>
      <c r="AA44" s="36"/>
    </row>
    <row r="45" spans="1:27" ht="36" customHeight="1">
      <c r="A45" s="30" t="str">
        <f>HYPERLINK("https://www.coldeportes.gov.co/normatividad/politica_publica","Politica Publica Nacional")</f>
        <v>Politica Publica Nacional</v>
      </c>
      <c r="B45" s="32">
        <v>2018</v>
      </c>
      <c r="C45" s="32" t="s">
        <v>1619</v>
      </c>
      <c r="D45" s="33" t="s">
        <v>1633</v>
      </c>
      <c r="E45" s="32" t="s">
        <v>97</v>
      </c>
      <c r="F45" s="64" t="s">
        <v>97</v>
      </c>
      <c r="G45" s="119" t="s">
        <v>43</v>
      </c>
      <c r="H45" s="117" t="s">
        <v>1490</v>
      </c>
      <c r="I45" s="36"/>
      <c r="J45" s="36"/>
      <c r="K45" s="36"/>
      <c r="L45" s="36"/>
      <c r="M45" s="36"/>
      <c r="N45" s="36"/>
      <c r="O45" s="36"/>
      <c r="P45" s="36"/>
      <c r="Q45" s="36"/>
      <c r="R45" s="36"/>
      <c r="S45" s="36"/>
      <c r="T45" s="36"/>
      <c r="U45" s="36"/>
      <c r="V45" s="36"/>
      <c r="W45" s="36"/>
      <c r="X45" s="36"/>
      <c r="Y45" s="36"/>
      <c r="Z45" s="36"/>
      <c r="AA45" s="36"/>
    </row>
  </sheetData>
  <autoFilter ref="A5:AA45" xr:uid="{00000000-0009-0000-0000-00000D000000}"/>
  <mergeCells count="3">
    <mergeCell ref="A1:H1"/>
    <mergeCell ref="A2:F2"/>
    <mergeCell ref="A4:F4"/>
  </mergeCells>
  <hyperlinks>
    <hyperlink ref="F3" location="Menu por Procesos!A1" display="MENU" xr:uid="{00000000-0004-0000-0D00-000000000000}"/>
    <hyperlink ref="A40" r:id="rId1" xr:uid="{00000000-0004-0000-0D00-000001000000}"/>
  </hyperlinks>
  <pageMargins left="0.7" right="0.7" top="0.75" bottom="0.75" header="0" footer="0"/>
  <pageSetup orientation="landscape"/>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A9D18E"/>
  </sheetPr>
  <dimension ref="A1:AB16"/>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773"/>
      <c r="B1" s="769"/>
      <c r="C1" s="769"/>
      <c r="D1" s="769"/>
      <c r="E1" s="769"/>
      <c r="F1" s="769"/>
      <c r="G1" s="769"/>
      <c r="H1" s="769"/>
      <c r="I1" s="17"/>
      <c r="J1" s="18"/>
      <c r="K1" s="18"/>
      <c r="L1" s="18"/>
      <c r="M1" s="18"/>
      <c r="N1" s="18"/>
      <c r="O1" s="18"/>
      <c r="P1" s="18"/>
      <c r="Q1" s="18"/>
      <c r="R1" s="18"/>
      <c r="S1" s="18"/>
      <c r="T1" s="18"/>
      <c r="U1" s="18"/>
      <c r="V1" s="18"/>
      <c r="W1" s="18"/>
      <c r="X1" s="18"/>
      <c r="Y1" s="18"/>
      <c r="Z1" s="18"/>
      <c r="AA1" s="18"/>
      <c r="AB1" s="18"/>
    </row>
    <row r="2" spans="1:28" ht="30.75" customHeight="1">
      <c r="A2" s="779" t="s">
        <v>28</v>
      </c>
      <c r="B2" s="765"/>
      <c r="C2" s="765"/>
      <c r="D2" s="765"/>
      <c r="E2" s="765"/>
      <c r="F2" s="766"/>
      <c r="G2" s="15"/>
      <c r="H2" s="16"/>
      <c r="I2" s="17"/>
      <c r="J2" s="18"/>
      <c r="K2" s="18"/>
      <c r="L2" s="18"/>
      <c r="M2" s="18"/>
      <c r="N2" s="18"/>
      <c r="O2" s="18"/>
      <c r="P2" s="18"/>
      <c r="Q2" s="18"/>
      <c r="R2" s="18"/>
      <c r="S2" s="18"/>
      <c r="T2" s="18"/>
      <c r="U2" s="18"/>
      <c r="V2" s="18"/>
      <c r="W2" s="18"/>
      <c r="X2" s="18"/>
      <c r="Y2" s="18"/>
      <c r="Z2" s="18"/>
      <c r="AA2" s="18"/>
      <c r="AB2" s="18"/>
    </row>
    <row r="3" spans="1:28" ht="33.75" customHeight="1">
      <c r="A3" s="75" t="s">
        <v>3018</v>
      </c>
      <c r="B3" s="289"/>
      <c r="C3" s="289"/>
      <c r="D3" s="289"/>
      <c r="E3" s="289"/>
      <c r="F3" s="290" t="s">
        <v>30</v>
      </c>
      <c r="G3" s="19"/>
      <c r="H3" s="21"/>
      <c r="I3" s="17"/>
      <c r="J3" s="18"/>
      <c r="K3" s="18"/>
      <c r="L3" s="18"/>
      <c r="M3" s="18"/>
      <c r="N3" s="18"/>
      <c r="O3" s="18"/>
      <c r="P3" s="18"/>
      <c r="Q3" s="18"/>
      <c r="R3" s="18"/>
      <c r="S3" s="18"/>
      <c r="T3" s="18"/>
      <c r="U3" s="18"/>
      <c r="V3" s="18"/>
      <c r="W3" s="18"/>
      <c r="X3" s="18"/>
      <c r="Y3" s="18"/>
      <c r="Z3" s="18"/>
      <c r="AA3" s="18"/>
      <c r="AB3" s="18"/>
    </row>
    <row r="4" spans="1:28" ht="33" customHeight="1">
      <c r="A4" s="775" t="s">
        <v>3019</v>
      </c>
      <c r="B4" s="765"/>
      <c r="C4" s="765"/>
      <c r="D4" s="765"/>
      <c r="E4" s="765"/>
      <c r="F4" s="766"/>
      <c r="G4" s="16"/>
      <c r="H4" s="22"/>
      <c r="I4" s="17"/>
      <c r="J4" s="18"/>
      <c r="K4" s="18"/>
      <c r="L4" s="18"/>
      <c r="M4" s="18"/>
      <c r="N4" s="18"/>
      <c r="O4" s="18"/>
      <c r="P4" s="18"/>
      <c r="Q4" s="18"/>
      <c r="R4" s="18"/>
      <c r="S4" s="18"/>
      <c r="T4" s="18"/>
      <c r="U4" s="18"/>
      <c r="V4" s="18"/>
      <c r="W4" s="18"/>
      <c r="X4" s="18"/>
      <c r="Y4" s="18"/>
      <c r="Z4" s="18"/>
      <c r="AA4" s="18"/>
      <c r="AB4" s="18"/>
    </row>
    <row r="5" spans="1:28" ht="34.5" customHeight="1">
      <c r="A5" s="76" t="s">
        <v>235</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ht="12" customHeight="1">
      <c r="A6" s="306" t="str">
        <f>HYPERLINK("https://www.culturarecreacionydeporte.gov.co/sites/default/files/adjuntos_paginas_2014/1._decreto_483_de_2018_politica_publica_modificacion_229-20152.pdf","DECRETO 483")</f>
        <v>DECRETO 483</v>
      </c>
      <c r="B6" s="307">
        <v>43329</v>
      </c>
      <c r="C6" s="79" t="s">
        <v>856</v>
      </c>
      <c r="D6" s="308" t="s">
        <v>2757</v>
      </c>
      <c r="E6" s="79" t="s">
        <v>41</v>
      </c>
      <c r="F6" s="79" t="s">
        <v>42</v>
      </c>
      <c r="G6" s="79" t="s">
        <v>43</v>
      </c>
      <c r="H6" s="79" t="s">
        <v>2741</v>
      </c>
      <c r="I6" s="309"/>
      <c r="J6" s="310"/>
      <c r="K6" s="310"/>
      <c r="L6" s="310"/>
      <c r="M6" s="310"/>
      <c r="N6" s="310"/>
      <c r="O6" s="310"/>
      <c r="P6" s="310"/>
      <c r="Q6" s="310"/>
      <c r="R6" s="310"/>
      <c r="S6" s="310"/>
      <c r="T6" s="310"/>
      <c r="U6" s="310"/>
      <c r="V6" s="310"/>
      <c r="W6" s="310"/>
      <c r="X6" s="310"/>
      <c r="Y6" s="310"/>
      <c r="Z6" s="310"/>
      <c r="AA6" s="310"/>
      <c r="AB6" s="310"/>
    </row>
    <row r="7" spans="1:28" ht="12" customHeight="1">
      <c r="A7" s="306" t="str">
        <f>HYPERLINK("https://www.alcaldiabogota.gov.co/sisjur/normas/Norma1.jsp?i=81080","DECRETO 557")</f>
        <v>DECRETO 557</v>
      </c>
      <c r="B7" s="307">
        <v>43370</v>
      </c>
      <c r="C7" s="79" t="s">
        <v>856</v>
      </c>
      <c r="D7" s="308" t="s">
        <v>2758</v>
      </c>
      <c r="E7" s="79" t="s">
        <v>41</v>
      </c>
      <c r="F7" s="79" t="s">
        <v>42</v>
      </c>
      <c r="G7" s="79" t="s">
        <v>43</v>
      </c>
      <c r="H7" s="79" t="s">
        <v>2741</v>
      </c>
      <c r="I7" s="309"/>
      <c r="J7" s="310"/>
      <c r="K7" s="310"/>
      <c r="L7" s="310"/>
      <c r="M7" s="310"/>
      <c r="N7" s="310"/>
      <c r="O7" s="310"/>
      <c r="P7" s="310"/>
      <c r="Q7" s="310"/>
      <c r="R7" s="310"/>
      <c r="S7" s="310"/>
      <c r="T7" s="310"/>
      <c r="U7" s="310"/>
      <c r="V7" s="310"/>
      <c r="W7" s="310"/>
      <c r="X7" s="310"/>
      <c r="Y7" s="310"/>
      <c r="Z7" s="310"/>
      <c r="AA7" s="310"/>
      <c r="AB7" s="310"/>
    </row>
    <row r="8" spans="1:28" ht="12" customHeight="1">
      <c r="A8" s="306" t="str">
        <f>HYPERLINK("https://www.bogotajuridica.gov.co/sisjur/normas/Norma1.jsp?i=83244","DECRETO 199")</f>
        <v>DECRETO 199</v>
      </c>
      <c r="B8" s="307">
        <v>43566</v>
      </c>
      <c r="C8" s="79" t="s">
        <v>856</v>
      </c>
      <c r="D8" s="308" t="s">
        <v>3020</v>
      </c>
      <c r="E8" s="79" t="s">
        <v>3021</v>
      </c>
      <c r="F8" s="79" t="s">
        <v>42</v>
      </c>
      <c r="G8" s="79" t="s">
        <v>43</v>
      </c>
      <c r="H8" s="79" t="s">
        <v>2741</v>
      </c>
      <c r="I8" s="309"/>
      <c r="J8" s="310"/>
      <c r="K8" s="310"/>
      <c r="L8" s="310"/>
      <c r="M8" s="310"/>
      <c r="N8" s="310"/>
      <c r="O8" s="310"/>
      <c r="P8" s="310"/>
      <c r="Q8" s="310"/>
      <c r="R8" s="310"/>
      <c r="S8" s="310"/>
      <c r="T8" s="310"/>
      <c r="U8" s="310"/>
      <c r="V8" s="310"/>
      <c r="W8" s="310"/>
      <c r="X8" s="310"/>
      <c r="Y8" s="310"/>
      <c r="Z8" s="310"/>
      <c r="AA8" s="310"/>
      <c r="AB8" s="310"/>
    </row>
    <row r="9" spans="1:28" ht="12" customHeight="1">
      <c r="A9" s="306" t="str">
        <f>HYPERLINK("https://www.alcaldiabogota.gov.co/sisjur/normas/Norma1.jsp?i=67395","DIRECTIVA 012")</f>
        <v>DIRECTIVA 012</v>
      </c>
      <c r="B9" s="311">
        <v>42685</v>
      </c>
      <c r="C9" s="79" t="s">
        <v>3022</v>
      </c>
      <c r="D9" s="308" t="s">
        <v>2765</v>
      </c>
      <c r="E9" s="79" t="s">
        <v>3023</v>
      </c>
      <c r="F9" s="79" t="s">
        <v>42</v>
      </c>
      <c r="G9" s="79" t="s">
        <v>43</v>
      </c>
      <c r="H9" s="79" t="s">
        <v>2741</v>
      </c>
      <c r="I9" s="309"/>
      <c r="J9" s="310"/>
      <c r="K9" s="310"/>
      <c r="L9" s="310"/>
      <c r="M9" s="310"/>
      <c r="N9" s="310"/>
      <c r="O9" s="310"/>
      <c r="P9" s="310"/>
      <c r="Q9" s="310"/>
      <c r="R9" s="310"/>
      <c r="S9" s="310"/>
      <c r="T9" s="310"/>
      <c r="U9" s="310"/>
      <c r="V9" s="310"/>
      <c r="W9" s="310"/>
      <c r="X9" s="310"/>
      <c r="Y9" s="310"/>
      <c r="Z9" s="310"/>
      <c r="AA9" s="310"/>
      <c r="AB9" s="310"/>
    </row>
    <row r="10" spans="1:28" ht="12" customHeight="1">
      <c r="A10" s="312" t="s">
        <v>3024</v>
      </c>
      <c r="B10" s="103">
        <v>43374</v>
      </c>
      <c r="C10" s="55" t="s">
        <v>3025</v>
      </c>
      <c r="D10" s="54" t="s">
        <v>3026</v>
      </c>
      <c r="E10" s="55" t="s">
        <v>41</v>
      </c>
      <c r="F10" s="55" t="s">
        <v>42</v>
      </c>
      <c r="G10" s="35"/>
      <c r="H10" s="104"/>
      <c r="I10" s="35"/>
      <c r="J10" s="36"/>
      <c r="K10" s="36"/>
      <c r="L10" s="36"/>
      <c r="M10" s="36"/>
      <c r="N10" s="36"/>
      <c r="O10" s="36"/>
      <c r="P10" s="36"/>
      <c r="Q10" s="36"/>
      <c r="R10" s="36"/>
      <c r="S10" s="36"/>
      <c r="T10" s="36"/>
      <c r="U10" s="36"/>
      <c r="V10" s="36"/>
      <c r="W10" s="36"/>
      <c r="X10" s="36"/>
      <c r="Y10" s="36"/>
      <c r="Z10" s="36"/>
      <c r="AA10" s="36"/>
      <c r="AB10" s="36"/>
    </row>
    <row r="11" spans="1:28" ht="12" customHeight="1">
      <c r="A11" s="312" t="s">
        <v>3027</v>
      </c>
      <c r="B11" s="127">
        <v>43259</v>
      </c>
      <c r="C11" s="55" t="s">
        <v>3028</v>
      </c>
      <c r="D11" s="54" t="s">
        <v>3029</v>
      </c>
      <c r="E11" s="55" t="s">
        <v>41</v>
      </c>
      <c r="F11" s="55" t="s">
        <v>42</v>
      </c>
      <c r="G11" s="35"/>
      <c r="H11" s="104"/>
      <c r="I11" s="35"/>
      <c r="J11" s="36"/>
      <c r="K11" s="36"/>
      <c r="L11" s="36"/>
      <c r="M11" s="36"/>
      <c r="N11" s="36"/>
      <c r="O11" s="36"/>
      <c r="P11" s="36"/>
      <c r="Q11" s="36"/>
      <c r="R11" s="36"/>
      <c r="S11" s="36"/>
      <c r="T11" s="36"/>
      <c r="U11" s="36"/>
      <c r="V11" s="36"/>
      <c r="W11" s="36"/>
      <c r="X11" s="36"/>
      <c r="Y11" s="36"/>
      <c r="Z11" s="36"/>
      <c r="AA11" s="36"/>
      <c r="AB11" s="36"/>
    </row>
    <row r="12" spans="1:28" ht="12" customHeight="1">
      <c r="A12" s="312" t="s">
        <v>3030</v>
      </c>
      <c r="B12" s="103">
        <v>43816</v>
      </c>
      <c r="C12" s="55" t="s">
        <v>856</v>
      </c>
      <c r="D12" s="54" t="s">
        <v>3031</v>
      </c>
      <c r="E12" s="54" t="s">
        <v>3032</v>
      </c>
      <c r="F12" s="55" t="s">
        <v>42</v>
      </c>
      <c r="G12" s="35"/>
      <c r="H12" s="104"/>
      <c r="I12" s="35"/>
      <c r="J12" s="36"/>
      <c r="K12" s="36"/>
      <c r="L12" s="36"/>
      <c r="M12" s="36"/>
      <c r="N12" s="36"/>
      <c r="O12" s="36"/>
      <c r="P12" s="36"/>
      <c r="Q12" s="36"/>
      <c r="R12" s="36"/>
      <c r="S12" s="36"/>
      <c r="T12" s="36"/>
      <c r="U12" s="36"/>
      <c r="V12" s="36"/>
      <c r="W12" s="36"/>
      <c r="X12" s="36"/>
      <c r="Y12" s="36"/>
      <c r="Z12" s="36"/>
      <c r="AA12" s="36"/>
      <c r="AB12" s="36"/>
    </row>
    <row r="13" spans="1:28" ht="12" customHeight="1">
      <c r="A13" s="312" t="s">
        <v>3033</v>
      </c>
      <c r="B13" s="127">
        <v>44323</v>
      </c>
      <c r="C13" s="55" t="s">
        <v>856</v>
      </c>
      <c r="D13" s="54" t="s">
        <v>3034</v>
      </c>
      <c r="E13" s="54" t="s">
        <v>3035</v>
      </c>
      <c r="F13" s="54" t="s">
        <v>3036</v>
      </c>
      <c r="G13" s="35"/>
      <c r="H13" s="104"/>
      <c r="I13" s="35"/>
      <c r="J13" s="36"/>
      <c r="K13" s="36"/>
      <c r="L13" s="36"/>
      <c r="M13" s="36"/>
      <c r="N13" s="36"/>
      <c r="O13" s="36"/>
      <c r="P13" s="36"/>
      <c r="Q13" s="36"/>
      <c r="R13" s="36"/>
      <c r="S13" s="36"/>
      <c r="T13" s="36"/>
      <c r="U13" s="36"/>
      <c r="V13" s="36"/>
      <c r="W13" s="36"/>
      <c r="X13" s="36"/>
      <c r="Y13" s="36"/>
      <c r="Z13" s="36"/>
      <c r="AA13" s="36"/>
      <c r="AB13" s="36"/>
    </row>
    <row r="14" spans="1:28" ht="12" customHeight="1">
      <c r="A14" s="313"/>
      <c r="B14" s="314"/>
      <c r="C14" s="107"/>
      <c r="D14" s="108"/>
      <c r="E14" s="108"/>
      <c r="F14" s="108"/>
      <c r="G14" s="35"/>
      <c r="H14" s="104"/>
      <c r="I14" s="35"/>
      <c r="J14" s="74"/>
      <c r="K14" s="74"/>
      <c r="L14" s="74"/>
      <c r="M14" s="74"/>
      <c r="N14" s="74"/>
      <c r="O14" s="74"/>
      <c r="P14" s="74"/>
      <c r="Q14" s="74"/>
      <c r="R14" s="74"/>
      <c r="S14" s="74"/>
      <c r="T14" s="74"/>
      <c r="U14" s="74"/>
      <c r="V14" s="74"/>
      <c r="W14" s="74"/>
      <c r="X14" s="74"/>
      <c r="Y14" s="74"/>
      <c r="Z14" s="74"/>
      <c r="AA14" s="74"/>
      <c r="AB14" s="74"/>
    </row>
    <row r="15" spans="1:28" ht="12" customHeight="1">
      <c r="A15" s="313"/>
      <c r="B15" s="314"/>
      <c r="C15" s="107"/>
      <c r="D15" s="108"/>
      <c r="E15" s="108"/>
      <c r="F15" s="108"/>
      <c r="G15" s="35"/>
      <c r="H15" s="104"/>
      <c r="I15" s="35"/>
      <c r="J15" s="74"/>
      <c r="K15" s="74"/>
      <c r="L15" s="74"/>
      <c r="M15" s="74"/>
      <c r="N15" s="74"/>
      <c r="O15" s="74"/>
      <c r="P15" s="74"/>
      <c r="Q15" s="74"/>
      <c r="R15" s="74"/>
      <c r="S15" s="74"/>
      <c r="T15" s="74"/>
      <c r="U15" s="74"/>
      <c r="V15" s="74"/>
      <c r="W15" s="74"/>
      <c r="X15" s="74"/>
      <c r="Y15" s="74"/>
      <c r="Z15" s="74"/>
      <c r="AA15" s="74"/>
      <c r="AB15" s="74"/>
    </row>
    <row r="16" spans="1:28" ht="12" customHeight="1">
      <c r="A16" s="313"/>
      <c r="B16" s="314"/>
      <c r="C16" s="107"/>
      <c r="D16" s="108"/>
      <c r="E16" s="108"/>
      <c r="F16" s="108"/>
      <c r="G16" s="35"/>
      <c r="H16" s="104"/>
      <c r="I16" s="35"/>
      <c r="J16" s="74"/>
      <c r="K16" s="74"/>
      <c r="L16" s="74"/>
      <c r="M16" s="74"/>
      <c r="N16" s="74"/>
      <c r="O16" s="74"/>
      <c r="P16" s="74"/>
      <c r="Q16" s="74"/>
      <c r="R16" s="74"/>
      <c r="S16" s="74"/>
      <c r="T16" s="74"/>
      <c r="U16" s="74"/>
      <c r="V16" s="74"/>
      <c r="W16" s="74"/>
      <c r="X16" s="74"/>
      <c r="Y16" s="74"/>
      <c r="Z16" s="74"/>
      <c r="AA16" s="74"/>
      <c r="AB16" s="74"/>
    </row>
  </sheetData>
  <autoFilter ref="A5:AB13" xr:uid="{00000000-0009-0000-0000-00000E000000}"/>
  <mergeCells count="3">
    <mergeCell ref="A1:H1"/>
    <mergeCell ref="A2:F2"/>
    <mergeCell ref="A4:F4"/>
  </mergeCells>
  <hyperlinks>
    <hyperlink ref="F3" location="Menu por Procesos!A1" display="MENU" xr:uid="{00000000-0004-0000-0E00-000000000000}"/>
  </hyperlinks>
  <pageMargins left="0.7" right="0.7" top="0.75" bottom="0.75" header="0" footer="0"/>
  <pageSetup orientation="landscape"/>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A9D18E"/>
  </sheetPr>
  <dimension ref="A1:AB2033"/>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771"/>
      <c r="B1" s="772"/>
      <c r="C1" s="772"/>
      <c r="D1" s="772"/>
      <c r="E1" s="772"/>
      <c r="F1" s="772"/>
      <c r="G1" s="772"/>
      <c r="H1" s="772"/>
      <c r="I1" s="17"/>
      <c r="J1" s="18"/>
      <c r="K1" s="18"/>
      <c r="L1" s="18"/>
      <c r="M1" s="18"/>
      <c r="N1" s="18"/>
      <c r="O1" s="18"/>
      <c r="P1" s="18"/>
      <c r="Q1" s="18"/>
      <c r="R1" s="18"/>
      <c r="S1" s="18"/>
      <c r="T1" s="18"/>
      <c r="U1" s="18"/>
      <c r="V1" s="18"/>
      <c r="W1" s="18"/>
      <c r="X1" s="18"/>
      <c r="Y1" s="18"/>
      <c r="Z1" s="18"/>
      <c r="AA1" s="18"/>
      <c r="AB1" s="18"/>
    </row>
    <row r="2" spans="1:28" ht="25.5" customHeight="1">
      <c r="A2" s="779" t="s">
        <v>28</v>
      </c>
      <c r="B2" s="765"/>
      <c r="C2" s="765"/>
      <c r="D2" s="765"/>
      <c r="E2" s="765"/>
      <c r="F2" s="766"/>
      <c r="G2" s="15"/>
      <c r="H2" s="16"/>
      <c r="I2" s="17"/>
      <c r="J2" s="18"/>
      <c r="K2" s="18"/>
      <c r="L2" s="18"/>
      <c r="M2" s="18"/>
      <c r="N2" s="18"/>
      <c r="O2" s="18"/>
      <c r="P2" s="18"/>
      <c r="Q2" s="18"/>
      <c r="R2" s="18"/>
      <c r="S2" s="18"/>
      <c r="T2" s="18"/>
      <c r="U2" s="18"/>
      <c r="V2" s="18"/>
      <c r="W2" s="18"/>
      <c r="X2" s="18"/>
      <c r="Y2" s="18"/>
      <c r="Z2" s="18"/>
      <c r="AA2" s="18"/>
      <c r="AB2" s="18"/>
    </row>
    <row r="3" spans="1:28" ht="30.75" customHeight="1">
      <c r="A3" s="75" t="s">
        <v>3037</v>
      </c>
      <c r="B3" s="315"/>
      <c r="C3" s="315"/>
      <c r="D3" s="316"/>
      <c r="E3" s="315"/>
      <c r="F3" s="317" t="s">
        <v>30</v>
      </c>
      <c r="G3" s="19"/>
      <c r="H3" s="21"/>
      <c r="I3" s="17"/>
      <c r="J3" s="18"/>
      <c r="K3" s="18"/>
      <c r="L3" s="18"/>
      <c r="M3" s="18"/>
      <c r="N3" s="18"/>
      <c r="O3" s="18"/>
      <c r="P3" s="18"/>
      <c r="Q3" s="18"/>
      <c r="R3" s="18"/>
      <c r="S3" s="18"/>
      <c r="T3" s="18"/>
      <c r="U3" s="18"/>
      <c r="V3" s="18"/>
      <c r="W3" s="18"/>
      <c r="X3" s="18"/>
      <c r="Y3" s="18"/>
      <c r="Z3" s="18"/>
      <c r="AA3" s="18"/>
      <c r="AB3" s="18"/>
    </row>
    <row r="4" spans="1:28" ht="33" customHeight="1">
      <c r="A4" s="780" t="s">
        <v>3019</v>
      </c>
      <c r="B4" s="777"/>
      <c r="C4" s="777"/>
      <c r="D4" s="777"/>
      <c r="E4" s="777"/>
      <c r="F4" s="778"/>
      <c r="G4" s="22"/>
      <c r="H4" s="22"/>
      <c r="I4" s="17"/>
      <c r="J4" s="18"/>
      <c r="K4" s="18"/>
      <c r="L4" s="18"/>
      <c r="M4" s="18"/>
      <c r="N4" s="18"/>
      <c r="O4" s="18"/>
      <c r="P4" s="18"/>
      <c r="Q4" s="18"/>
      <c r="R4" s="18"/>
      <c r="S4" s="18"/>
      <c r="T4" s="18"/>
      <c r="U4" s="18"/>
      <c r="V4" s="18"/>
      <c r="W4" s="18"/>
      <c r="X4" s="18"/>
      <c r="Y4" s="18"/>
      <c r="Z4" s="18"/>
      <c r="AA4" s="18"/>
      <c r="AB4" s="18"/>
    </row>
    <row r="5" spans="1:28" ht="34.5" customHeight="1">
      <c r="A5" s="318" t="s">
        <v>235</v>
      </c>
      <c r="B5" s="319" t="s">
        <v>32</v>
      </c>
      <c r="C5" s="27" t="s">
        <v>33</v>
      </c>
      <c r="D5" s="27" t="s">
        <v>34</v>
      </c>
      <c r="E5" s="27" t="s">
        <v>35</v>
      </c>
      <c r="F5" s="27" t="s">
        <v>36</v>
      </c>
      <c r="G5" s="27" t="s">
        <v>37</v>
      </c>
      <c r="H5" s="27" t="s">
        <v>38</v>
      </c>
      <c r="I5" s="28"/>
      <c r="J5" s="29"/>
      <c r="K5" s="29"/>
      <c r="L5" s="29"/>
      <c r="M5" s="29"/>
      <c r="N5" s="29"/>
      <c r="O5" s="29"/>
      <c r="P5" s="29"/>
      <c r="Q5" s="29"/>
      <c r="R5" s="29"/>
      <c r="S5" s="29"/>
      <c r="T5" s="29"/>
      <c r="U5" s="29"/>
      <c r="V5" s="29"/>
      <c r="W5" s="29"/>
      <c r="X5" s="29"/>
      <c r="Y5" s="29"/>
      <c r="Z5" s="29"/>
      <c r="AA5" s="29"/>
      <c r="AB5" s="29"/>
    </row>
    <row r="6" spans="1:28" ht="48" customHeight="1">
      <c r="A6" s="320" t="str">
        <f>HYPERLINK("https://www.alcaldiabogota.gov.co/sisjur/normas/Norma1.jsp?i=36913&amp;dt=S","LEY 1341")</f>
        <v>LEY 1341</v>
      </c>
      <c r="B6" s="321">
        <v>40024</v>
      </c>
      <c r="C6" s="117" t="s">
        <v>507</v>
      </c>
      <c r="D6" s="322" t="s">
        <v>3038</v>
      </c>
      <c r="E6" s="117" t="s">
        <v>41</v>
      </c>
      <c r="F6" s="117" t="s">
        <v>97</v>
      </c>
      <c r="G6" s="211" t="s">
        <v>43</v>
      </c>
      <c r="H6" s="117" t="s">
        <v>1868</v>
      </c>
      <c r="I6" s="35"/>
      <c r="J6" s="36"/>
      <c r="K6" s="36"/>
      <c r="L6" s="36"/>
      <c r="M6" s="36"/>
      <c r="N6" s="36"/>
      <c r="O6" s="36"/>
      <c r="P6" s="36"/>
      <c r="Q6" s="36"/>
      <c r="R6" s="36"/>
      <c r="S6" s="36"/>
      <c r="T6" s="36"/>
      <c r="U6" s="36"/>
      <c r="V6" s="36"/>
      <c r="W6" s="36"/>
      <c r="X6" s="36"/>
      <c r="Y6" s="36"/>
      <c r="Z6" s="36"/>
      <c r="AA6" s="36"/>
      <c r="AB6" s="36"/>
    </row>
    <row r="7" spans="1:28" ht="36" customHeight="1">
      <c r="A7" s="320" t="str">
        <f>HYPERLINK("https://www.alcaldiabogota.gov.co/sisjur/normas/Norma1.jsp?i=56882#0","LEY 1712")</f>
        <v>LEY 1712</v>
      </c>
      <c r="B7" s="323">
        <v>41704</v>
      </c>
      <c r="C7" s="117" t="s">
        <v>507</v>
      </c>
      <c r="D7" s="195" t="s">
        <v>295</v>
      </c>
      <c r="E7" s="324" t="s">
        <v>3039</v>
      </c>
      <c r="F7" s="324" t="s">
        <v>3040</v>
      </c>
      <c r="G7" s="211" t="s">
        <v>43</v>
      </c>
      <c r="H7" s="117" t="s">
        <v>1868</v>
      </c>
      <c r="I7" s="35"/>
      <c r="J7" s="36"/>
      <c r="K7" s="36"/>
      <c r="L7" s="36"/>
      <c r="M7" s="36"/>
      <c r="N7" s="36"/>
      <c r="O7" s="36"/>
      <c r="P7" s="36"/>
      <c r="Q7" s="36"/>
      <c r="R7" s="36"/>
      <c r="S7" s="36"/>
      <c r="T7" s="36"/>
      <c r="U7" s="36"/>
      <c r="V7" s="36"/>
      <c r="W7" s="36"/>
      <c r="X7" s="36"/>
      <c r="Y7" s="36"/>
      <c r="Z7" s="36"/>
      <c r="AA7" s="36"/>
      <c r="AB7" s="36"/>
    </row>
    <row r="8" spans="1:28" ht="48" customHeight="1">
      <c r="A8" s="320" t="str">
        <f>HYPERLINK("https://www.alcaldiabogota.gov.co/sisjur/normas/Norma1.jsp?i=76955&amp;dt=S","LEY 1887")</f>
        <v>LEY 1887</v>
      </c>
      <c r="B8" s="321">
        <v>43213</v>
      </c>
      <c r="C8" s="117" t="s">
        <v>507</v>
      </c>
      <c r="D8" s="322" t="s">
        <v>3041</v>
      </c>
      <c r="E8" s="117" t="s">
        <v>41</v>
      </c>
      <c r="F8" s="117" t="s">
        <v>97</v>
      </c>
      <c r="G8" s="211"/>
      <c r="H8" s="117"/>
      <c r="I8" s="35"/>
      <c r="J8" s="36"/>
      <c r="K8" s="36"/>
      <c r="L8" s="36"/>
      <c r="M8" s="36"/>
      <c r="N8" s="36"/>
      <c r="O8" s="36"/>
      <c r="P8" s="36"/>
      <c r="Q8" s="36"/>
      <c r="R8" s="36"/>
      <c r="S8" s="36"/>
      <c r="T8" s="36"/>
      <c r="U8" s="36"/>
      <c r="V8" s="36"/>
      <c r="W8" s="36"/>
      <c r="X8" s="36"/>
      <c r="Y8" s="36"/>
      <c r="Z8" s="36"/>
      <c r="AA8" s="36"/>
      <c r="AB8" s="36"/>
    </row>
    <row r="9" spans="1:28" ht="48" customHeight="1">
      <c r="A9" s="320" t="str">
        <f>HYPERLINK("https://www.alcaldiabogota.gov.co/sisjur/normas/Norma1.jsp?i=85632&amp;dt=S","LEY 1978")</f>
        <v>LEY 1978</v>
      </c>
      <c r="B9" s="321">
        <v>43671</v>
      </c>
      <c r="C9" s="117" t="s">
        <v>507</v>
      </c>
      <c r="D9" s="322" t="s">
        <v>3042</v>
      </c>
      <c r="E9" s="117" t="s">
        <v>41</v>
      </c>
      <c r="F9" s="117" t="s">
        <v>97</v>
      </c>
      <c r="G9" s="211"/>
      <c r="H9" s="117"/>
      <c r="I9" s="35"/>
      <c r="J9" s="36"/>
      <c r="K9" s="36"/>
      <c r="L9" s="36"/>
      <c r="M9" s="36"/>
      <c r="N9" s="36"/>
      <c r="O9" s="36"/>
      <c r="P9" s="36"/>
      <c r="Q9" s="36"/>
      <c r="R9" s="36"/>
      <c r="S9" s="36"/>
      <c r="T9" s="36"/>
      <c r="U9" s="36"/>
      <c r="V9" s="36"/>
      <c r="W9" s="36"/>
      <c r="X9" s="36"/>
      <c r="Y9" s="36"/>
      <c r="Z9" s="36"/>
      <c r="AA9" s="36"/>
      <c r="AB9" s="36"/>
    </row>
    <row r="10" spans="1:28" ht="48" customHeight="1">
      <c r="A10" s="325" t="str">
        <f>HYPERLINK("https://www.alcaldiabogota.gov.co/sisjur/normas/Norma1.jsp?dt=S&amp;i=29348#0","DECRETO 084")</f>
        <v>DECRETO 084</v>
      </c>
      <c r="B10" s="323">
        <v>39534</v>
      </c>
      <c r="C10" s="117" t="s">
        <v>61</v>
      </c>
      <c r="D10" s="195" t="s">
        <v>1876</v>
      </c>
      <c r="E10" s="117" t="s">
        <v>41</v>
      </c>
      <c r="F10" s="117" t="s">
        <v>97</v>
      </c>
      <c r="G10" s="211" t="s">
        <v>43</v>
      </c>
      <c r="H10" s="117" t="s">
        <v>1868</v>
      </c>
      <c r="I10" s="35"/>
      <c r="J10" s="36"/>
      <c r="K10" s="36"/>
      <c r="L10" s="36"/>
      <c r="M10" s="36"/>
      <c r="N10" s="36"/>
      <c r="O10" s="36"/>
      <c r="P10" s="36"/>
      <c r="Q10" s="36"/>
      <c r="R10" s="36"/>
      <c r="S10" s="36"/>
      <c r="T10" s="36"/>
      <c r="U10" s="36"/>
      <c r="V10" s="36"/>
      <c r="W10" s="36"/>
      <c r="X10" s="36"/>
      <c r="Y10" s="36"/>
      <c r="Z10" s="36"/>
      <c r="AA10" s="36"/>
      <c r="AB10" s="36"/>
    </row>
    <row r="11" spans="1:28" ht="24" customHeight="1">
      <c r="A11" s="320" t="str">
        <f>HYPERLINK("https://www.alcaldiabogota.gov.co/sisjur/normas/Norma1.jsp?i=60556","DECRETO 103")</f>
        <v>DECRETO 103</v>
      </c>
      <c r="B11" s="323">
        <v>42024</v>
      </c>
      <c r="C11" s="117" t="s">
        <v>57</v>
      </c>
      <c r="D11" s="195" t="s">
        <v>1881</v>
      </c>
      <c r="E11" s="117" t="s">
        <v>41</v>
      </c>
      <c r="F11" s="117" t="s">
        <v>97</v>
      </c>
      <c r="G11" s="211" t="s">
        <v>43</v>
      </c>
      <c r="H11" s="117" t="s">
        <v>1868</v>
      </c>
      <c r="I11" s="35"/>
      <c r="J11" s="36"/>
      <c r="K11" s="36"/>
      <c r="L11" s="36"/>
      <c r="M11" s="36"/>
      <c r="N11" s="36"/>
      <c r="O11" s="36"/>
      <c r="P11" s="36"/>
      <c r="Q11" s="36"/>
      <c r="R11" s="36"/>
      <c r="S11" s="36"/>
      <c r="T11" s="36"/>
      <c r="U11" s="36"/>
      <c r="V11" s="36"/>
      <c r="W11" s="36"/>
      <c r="X11" s="36"/>
      <c r="Y11" s="36"/>
      <c r="Z11" s="36"/>
      <c r="AA11" s="36"/>
      <c r="AB11" s="36"/>
    </row>
    <row r="12" spans="1:28" ht="36" customHeight="1">
      <c r="A12" s="320" t="str">
        <f>HYPERLINK("https://www.alcaldiabogota.gov.co/sisjur/normas/Norma1.jsp?i=65976#6","DECRETO 208")</f>
        <v>DECRETO 208</v>
      </c>
      <c r="B12" s="323">
        <v>42501</v>
      </c>
      <c r="C12" s="117" t="s">
        <v>61</v>
      </c>
      <c r="D12" s="195" t="s">
        <v>1885</v>
      </c>
      <c r="E12" s="117" t="s">
        <v>41</v>
      </c>
      <c r="F12" s="117" t="s">
        <v>97</v>
      </c>
      <c r="G12" s="211" t="s">
        <v>43</v>
      </c>
      <c r="H12" s="117" t="s">
        <v>1868</v>
      </c>
      <c r="I12" s="35"/>
      <c r="J12" s="36"/>
      <c r="K12" s="36"/>
      <c r="L12" s="36"/>
      <c r="M12" s="36"/>
      <c r="N12" s="36"/>
      <c r="O12" s="36"/>
      <c r="P12" s="36"/>
      <c r="Q12" s="36"/>
      <c r="R12" s="36"/>
      <c r="S12" s="36"/>
      <c r="T12" s="36"/>
      <c r="U12" s="36"/>
      <c r="V12" s="36"/>
      <c r="W12" s="36"/>
      <c r="X12" s="36"/>
      <c r="Y12" s="36"/>
      <c r="Z12" s="36"/>
      <c r="AA12" s="36"/>
      <c r="AB12" s="36"/>
    </row>
    <row r="13" spans="1:28" ht="24" customHeight="1">
      <c r="A13" s="325" t="str">
        <f>HYPERLINK("https://www.alcaldiabogota.gov.co/sisjur/normas/Norma1.jsp?i=85976","DECRETO 492")</f>
        <v>DECRETO 492</v>
      </c>
      <c r="B13" s="323">
        <v>43692</v>
      </c>
      <c r="C13" s="324" t="s">
        <v>3043</v>
      </c>
      <c r="D13" s="322" t="s">
        <v>319</v>
      </c>
      <c r="E13" s="324" t="s">
        <v>3044</v>
      </c>
      <c r="F13" s="324" t="s">
        <v>3045</v>
      </c>
      <c r="G13" s="211"/>
      <c r="H13" s="117"/>
      <c r="I13" s="35"/>
      <c r="J13" s="36"/>
      <c r="K13" s="36"/>
      <c r="L13" s="36"/>
      <c r="M13" s="36"/>
      <c r="N13" s="36"/>
      <c r="O13" s="36"/>
      <c r="P13" s="36"/>
      <c r="Q13" s="36"/>
      <c r="R13" s="36"/>
      <c r="S13" s="36"/>
      <c r="T13" s="36"/>
      <c r="U13" s="36"/>
      <c r="V13" s="36"/>
      <c r="W13" s="36"/>
      <c r="X13" s="36"/>
      <c r="Y13" s="36"/>
      <c r="Z13" s="36"/>
      <c r="AA13" s="36"/>
      <c r="AB13" s="36"/>
    </row>
    <row r="14" spans="1:28" ht="24" customHeight="1">
      <c r="A14" s="320" t="str">
        <f>HYPERLINK("https://www.alcaldiabogota.gov.co/sisjur/normas/Norma1.jsp?i=62513","DECRETO 1078")</f>
        <v>DECRETO 1078</v>
      </c>
      <c r="B14" s="323">
        <v>42150</v>
      </c>
      <c r="C14" s="117" t="s">
        <v>57</v>
      </c>
      <c r="D14" s="322" t="s">
        <v>3046</v>
      </c>
      <c r="E14" s="117" t="s">
        <v>41</v>
      </c>
      <c r="F14" s="117" t="s">
        <v>97</v>
      </c>
      <c r="G14" s="211" t="s">
        <v>43</v>
      </c>
      <c r="H14" s="117" t="s">
        <v>1868</v>
      </c>
      <c r="I14" s="35"/>
      <c r="J14" s="36"/>
      <c r="K14" s="36"/>
      <c r="L14" s="36"/>
      <c r="M14" s="36"/>
      <c r="N14" s="36"/>
      <c r="O14" s="36"/>
      <c r="P14" s="36"/>
      <c r="Q14" s="36"/>
      <c r="R14" s="36"/>
      <c r="S14" s="36"/>
      <c r="T14" s="36"/>
      <c r="U14" s="36"/>
      <c r="V14" s="36"/>
      <c r="W14" s="36"/>
      <c r="X14" s="36"/>
      <c r="Y14" s="36"/>
      <c r="Z14" s="36"/>
      <c r="AA14" s="36"/>
      <c r="AB14" s="36"/>
    </row>
    <row r="15" spans="1:28" ht="24" customHeight="1">
      <c r="A15" s="325" t="str">
        <f>HYPERLINK("https://www.alcaldiabogota.gov.co/sisjur/normas/Norma1.jsp?i=62516#L.2","DECRETO 1081")</f>
        <v>DECRETO 1081</v>
      </c>
      <c r="B15" s="323">
        <v>42150</v>
      </c>
      <c r="C15" s="117" t="s">
        <v>57</v>
      </c>
      <c r="D15" s="322" t="s">
        <v>3047</v>
      </c>
      <c r="E15" s="117" t="s">
        <v>41</v>
      </c>
      <c r="F15" s="117" t="s">
        <v>97</v>
      </c>
      <c r="G15" s="211"/>
      <c r="H15" s="117"/>
      <c r="I15" s="35"/>
      <c r="J15" s="36"/>
      <c r="K15" s="36"/>
      <c r="L15" s="36"/>
      <c r="M15" s="36"/>
      <c r="N15" s="36"/>
      <c r="O15" s="36"/>
      <c r="P15" s="36"/>
      <c r="Q15" s="36"/>
      <c r="R15" s="36"/>
      <c r="S15" s="36"/>
      <c r="T15" s="36"/>
      <c r="U15" s="36"/>
      <c r="V15" s="36"/>
      <c r="W15" s="36"/>
      <c r="X15" s="36"/>
      <c r="Y15" s="36"/>
      <c r="Z15" s="36"/>
      <c r="AA15" s="36"/>
      <c r="AB15" s="36"/>
    </row>
    <row r="16" spans="1:28" ht="36" customHeight="1">
      <c r="A16" s="320" t="str">
        <f>HYPERLINK("https://www.alcaldiabogota.gov.co/sisjur/normas/Norma1.jsp?dt=S&amp;i=60596#0","DECRETO 2573")</f>
        <v>DECRETO 2573</v>
      </c>
      <c r="B16" s="321">
        <v>41985</v>
      </c>
      <c r="C16" s="117" t="s">
        <v>57</v>
      </c>
      <c r="D16" s="195" t="s">
        <v>1880</v>
      </c>
      <c r="E16" s="117" t="s">
        <v>41</v>
      </c>
      <c r="F16" s="117" t="s">
        <v>97</v>
      </c>
      <c r="G16" s="211" t="s">
        <v>43</v>
      </c>
      <c r="H16" s="117" t="s">
        <v>1868</v>
      </c>
      <c r="I16" s="35"/>
      <c r="J16" s="36"/>
      <c r="K16" s="36"/>
      <c r="L16" s="36"/>
      <c r="M16" s="36"/>
      <c r="N16" s="36"/>
      <c r="O16" s="36"/>
      <c r="P16" s="36"/>
      <c r="Q16" s="36"/>
      <c r="R16" s="36"/>
      <c r="S16" s="36"/>
      <c r="T16" s="36"/>
      <c r="U16" s="36"/>
      <c r="V16" s="36"/>
      <c r="W16" s="36"/>
      <c r="X16" s="36"/>
      <c r="Y16" s="36"/>
      <c r="Z16" s="36"/>
      <c r="AA16" s="36"/>
      <c r="AB16" s="36"/>
    </row>
    <row r="17" spans="1:28" ht="32.25" customHeight="1">
      <c r="A17" s="325" t="str">
        <f>HYPERLINK("https://dapre.presidencia.gov.co/normativa/normativa/DECRETO%202106%20DEL%2022%20DE%20NOVIEMBRE%20DE%202019.pdf","DECRETO 2106")</f>
        <v>DECRETO 2106</v>
      </c>
      <c r="B17" s="321">
        <v>43791</v>
      </c>
      <c r="C17" s="117" t="s">
        <v>57</v>
      </c>
      <c r="D17" s="322" t="s">
        <v>323</v>
      </c>
      <c r="E17" s="324" t="s">
        <v>3048</v>
      </c>
      <c r="F17" s="324" t="s">
        <v>3049</v>
      </c>
      <c r="G17" s="211"/>
      <c r="H17" s="117"/>
      <c r="I17" s="35"/>
      <c r="J17" s="36"/>
      <c r="K17" s="36"/>
      <c r="L17" s="36"/>
      <c r="M17" s="36"/>
      <c r="N17" s="36"/>
      <c r="O17" s="36"/>
      <c r="P17" s="36"/>
      <c r="Q17" s="36"/>
      <c r="R17" s="36"/>
      <c r="S17" s="36"/>
      <c r="T17" s="36"/>
      <c r="U17" s="36"/>
      <c r="V17" s="36"/>
      <c r="W17" s="36"/>
      <c r="X17" s="36"/>
      <c r="Y17" s="36"/>
      <c r="Z17" s="36"/>
      <c r="AA17" s="36"/>
      <c r="AB17" s="36"/>
    </row>
    <row r="18" spans="1:28" ht="32.25" customHeight="1">
      <c r="A18" s="325" t="str">
        <f>HYPERLINK("https://www.alcaldiabogota.gov.co/sisjur/normas/Norma1.jsp?i=88588&amp;dt=S","DECRETO 847")</f>
        <v>DECRETO 847</v>
      </c>
      <c r="B18" s="323">
        <v>43829</v>
      </c>
      <c r="C18" s="117" t="s">
        <v>61</v>
      </c>
      <c r="D18" s="322" t="s">
        <v>117</v>
      </c>
      <c r="E18" s="324" t="s">
        <v>3050</v>
      </c>
      <c r="F18" s="324" t="s">
        <v>3051</v>
      </c>
      <c r="G18" s="211"/>
      <c r="H18" s="117"/>
      <c r="I18" s="35"/>
      <c r="J18" s="36"/>
      <c r="K18" s="36"/>
      <c r="L18" s="36"/>
      <c r="M18" s="36"/>
      <c r="N18" s="36"/>
      <c r="O18" s="36"/>
      <c r="P18" s="36"/>
      <c r="Q18" s="36"/>
      <c r="R18" s="36"/>
      <c r="S18" s="36"/>
      <c r="T18" s="36"/>
      <c r="U18" s="36"/>
      <c r="V18" s="36"/>
      <c r="W18" s="36"/>
      <c r="X18" s="36"/>
      <c r="Y18" s="36"/>
      <c r="Z18" s="36"/>
      <c r="AA18" s="36"/>
      <c r="AB18" s="36"/>
    </row>
    <row r="19" spans="1:28" ht="43.5" customHeight="1">
      <c r="A19" s="320" t="str">
        <f>HYPERLINK("https://www.alcaldiabogota.gov.co/sisjur/normas/Norma1.jsp?i=39632&amp;dt=S","RESOLUCIÓN 000202")</f>
        <v>RESOLUCIÓN 000202</v>
      </c>
      <c r="B19" s="323">
        <v>40245</v>
      </c>
      <c r="C19" s="324" t="s">
        <v>3052</v>
      </c>
      <c r="D19" s="322" t="s">
        <v>3053</v>
      </c>
      <c r="E19" s="324" t="s">
        <v>41</v>
      </c>
      <c r="F19" s="117" t="s">
        <v>97</v>
      </c>
      <c r="G19" s="211"/>
      <c r="H19" s="117"/>
      <c r="I19" s="35"/>
      <c r="J19" s="36"/>
      <c r="K19" s="36"/>
      <c r="L19" s="36"/>
      <c r="M19" s="36"/>
      <c r="N19" s="36"/>
      <c r="O19" s="36"/>
      <c r="P19" s="36"/>
      <c r="Q19" s="36"/>
      <c r="R19" s="36"/>
      <c r="S19" s="36"/>
      <c r="T19" s="36"/>
      <c r="U19" s="36"/>
      <c r="V19" s="36"/>
      <c r="W19" s="36"/>
      <c r="X19" s="36"/>
      <c r="Y19" s="36"/>
      <c r="Z19" s="36"/>
      <c r="AA19" s="36"/>
      <c r="AB19" s="36"/>
    </row>
    <row r="20" spans="1:28" ht="50.25" customHeight="1">
      <c r="A20" s="325" t="str">
        <f>HYPERLINK("https://secretariageneral.gov.co/sites/default/files/marco-legal/resolucion003de2017_0.pdf"";""Resolución 003","RESOLUCIÓN 003")</f>
        <v>RESOLUCIÓN 003</v>
      </c>
      <c r="B20" s="323">
        <v>42989</v>
      </c>
      <c r="C20" s="324" t="s">
        <v>3054</v>
      </c>
      <c r="D20" s="322" t="s">
        <v>2538</v>
      </c>
      <c r="E20" s="324" t="s">
        <v>41</v>
      </c>
      <c r="F20" s="117" t="s">
        <v>97</v>
      </c>
      <c r="G20" s="211"/>
      <c r="H20" s="117"/>
      <c r="I20" s="35"/>
      <c r="J20" s="36"/>
      <c r="K20" s="36"/>
      <c r="L20" s="36"/>
      <c r="M20" s="36"/>
      <c r="N20" s="36"/>
      <c r="O20" s="36"/>
      <c r="P20" s="36"/>
      <c r="Q20" s="36"/>
      <c r="R20" s="36"/>
      <c r="S20" s="36"/>
      <c r="T20" s="36"/>
      <c r="U20" s="36"/>
      <c r="V20" s="36"/>
      <c r="W20" s="36"/>
      <c r="X20" s="36"/>
      <c r="Y20" s="36"/>
      <c r="Z20" s="36"/>
      <c r="AA20" s="36"/>
      <c r="AB20" s="36"/>
    </row>
    <row r="21" spans="1:28" ht="24" customHeight="1">
      <c r="A21" s="320" t="str">
        <f>HYPERLINK("https://www.alcaldiabogota.gov.co/sisjur/normas/Norma1.jsp?i=66249","RESOLUCIÓN 3564")</f>
        <v>RESOLUCIÓN 3564</v>
      </c>
      <c r="B21" s="321">
        <v>42369</v>
      </c>
      <c r="C21" s="324" t="s">
        <v>3052</v>
      </c>
      <c r="D21" s="195" t="s">
        <v>1893</v>
      </c>
      <c r="E21" s="117" t="s">
        <v>41</v>
      </c>
      <c r="F21" s="117" t="s">
        <v>97</v>
      </c>
      <c r="G21" s="211" t="s">
        <v>43</v>
      </c>
      <c r="H21" s="117" t="s">
        <v>1868</v>
      </c>
      <c r="I21" s="35"/>
      <c r="J21" s="36"/>
      <c r="K21" s="36"/>
      <c r="L21" s="36"/>
      <c r="M21" s="36"/>
      <c r="N21" s="36"/>
      <c r="O21" s="36"/>
      <c r="P21" s="36"/>
      <c r="Q21" s="36"/>
      <c r="R21" s="36"/>
      <c r="S21" s="36"/>
      <c r="T21" s="36"/>
      <c r="U21" s="36"/>
      <c r="V21" s="36"/>
      <c r="W21" s="36"/>
      <c r="X21" s="36"/>
      <c r="Y21" s="36"/>
      <c r="Z21" s="36"/>
      <c r="AA21" s="36"/>
      <c r="AB21" s="36"/>
    </row>
    <row r="22" spans="1:28" ht="70.5" customHeight="1">
      <c r="A22" s="320" t="str">
        <f>HYPERLINK("https://www.alcaldiabogota.gov.co/sisjur/normas/Norma1.jsp?i=36560","ACUERDO 380")</f>
        <v>ACUERDO 380</v>
      </c>
      <c r="B22" s="321">
        <v>39994</v>
      </c>
      <c r="C22" s="324" t="s">
        <v>195</v>
      </c>
      <c r="D22" s="195" t="s">
        <v>1887</v>
      </c>
      <c r="E22" s="324" t="s">
        <v>3055</v>
      </c>
      <c r="F22" s="324" t="s">
        <v>3056</v>
      </c>
      <c r="G22" s="211" t="s">
        <v>43</v>
      </c>
      <c r="H22" s="117" t="s">
        <v>1868</v>
      </c>
      <c r="I22" s="35"/>
      <c r="J22" s="36"/>
      <c r="K22" s="36"/>
      <c r="L22" s="36"/>
      <c r="M22" s="36"/>
      <c r="N22" s="36"/>
      <c r="O22" s="36"/>
      <c r="P22" s="36"/>
      <c r="Q22" s="36"/>
      <c r="R22" s="36"/>
      <c r="S22" s="36"/>
      <c r="T22" s="36"/>
      <c r="U22" s="36"/>
      <c r="V22" s="36"/>
      <c r="W22" s="36"/>
      <c r="X22" s="36"/>
      <c r="Y22" s="36"/>
      <c r="Z22" s="36"/>
      <c r="AA22" s="36"/>
      <c r="AB22" s="36"/>
    </row>
    <row r="23" spans="1:28" ht="50.25" customHeight="1">
      <c r="A23" s="326" t="str">
        <f>HYPERLINK("https://www.alcaldiabogota.gov.co/sisjur/normas/Norma1.jsp?i=58273","ACUERDO 599")</f>
        <v>ACUERDO 599</v>
      </c>
      <c r="B23" s="323">
        <v>41814</v>
      </c>
      <c r="C23" s="117" t="s">
        <v>195</v>
      </c>
      <c r="D23" s="322" t="s">
        <v>3057</v>
      </c>
      <c r="E23" s="117" t="s">
        <v>41</v>
      </c>
      <c r="F23" s="117" t="s">
        <v>97</v>
      </c>
      <c r="G23" s="211"/>
      <c r="H23" s="117"/>
      <c r="I23" s="35"/>
      <c r="J23" s="36"/>
      <c r="K23" s="36"/>
      <c r="L23" s="36"/>
      <c r="M23" s="36"/>
      <c r="N23" s="36"/>
      <c r="O23" s="36"/>
      <c r="P23" s="36"/>
      <c r="Q23" s="36"/>
      <c r="R23" s="36"/>
      <c r="S23" s="36"/>
      <c r="T23" s="36"/>
      <c r="U23" s="36"/>
      <c r="V23" s="36"/>
      <c r="W23" s="36"/>
      <c r="X23" s="36"/>
      <c r="Y23" s="36"/>
      <c r="Z23" s="36"/>
      <c r="AA23" s="36"/>
      <c r="AB23" s="36"/>
    </row>
    <row r="24" spans="1:28" ht="48" customHeight="1">
      <c r="A24" s="325" t="str">
        <f>HYPERLINK("https://secretariageneral.gov.co/sites/default/files/marco-legal/acuerdo_no._744_de_2019.pdf"";""Acuerdo 744","ACUERDO 744")</f>
        <v>ACUERDO 744</v>
      </c>
      <c r="B24" s="323">
        <v>43711</v>
      </c>
      <c r="C24" s="117" t="s">
        <v>195</v>
      </c>
      <c r="D24" s="322" t="s">
        <v>3058</v>
      </c>
      <c r="E24" s="324" t="s">
        <v>41</v>
      </c>
      <c r="F24" s="117" t="s">
        <v>97</v>
      </c>
      <c r="G24" s="211"/>
      <c r="H24" s="117"/>
      <c r="I24" s="35"/>
      <c r="J24" s="36"/>
      <c r="K24" s="36"/>
      <c r="L24" s="36"/>
      <c r="M24" s="36"/>
      <c r="N24" s="36"/>
      <c r="O24" s="36"/>
      <c r="P24" s="36"/>
      <c r="Q24" s="36"/>
      <c r="R24" s="36"/>
      <c r="S24" s="36"/>
      <c r="T24" s="36"/>
      <c r="U24" s="36"/>
      <c r="V24" s="36"/>
      <c r="W24" s="36"/>
      <c r="X24" s="36"/>
      <c r="Y24" s="36"/>
      <c r="Z24" s="36"/>
      <c r="AA24" s="36"/>
      <c r="AB24" s="36"/>
    </row>
    <row r="25" spans="1:28" ht="12" customHeight="1">
      <c r="A25" s="327" t="str">
        <f>HYPERLINK("http://ticbogota.gov.co/sites/default/files/marco-legal/2-2019-5068_1.pdf","CIRCULAR 006")</f>
        <v>CIRCULAR 006</v>
      </c>
      <c r="B25" s="328" t="s">
        <v>3059</v>
      </c>
      <c r="C25" s="324" t="s">
        <v>3060</v>
      </c>
      <c r="D25" s="322" t="s">
        <v>3061</v>
      </c>
      <c r="E25" s="324" t="s">
        <v>41</v>
      </c>
      <c r="F25" s="117" t="s">
        <v>97</v>
      </c>
      <c r="G25" s="211"/>
      <c r="H25" s="117"/>
      <c r="I25" s="35"/>
      <c r="J25" s="36"/>
      <c r="K25" s="36"/>
      <c r="L25" s="36"/>
      <c r="M25" s="36"/>
      <c r="N25" s="36"/>
      <c r="O25" s="36"/>
      <c r="P25" s="36"/>
      <c r="Q25" s="36"/>
      <c r="R25" s="36"/>
      <c r="S25" s="36"/>
      <c r="T25" s="36"/>
      <c r="U25" s="36"/>
      <c r="V25" s="36"/>
      <c r="W25" s="36"/>
      <c r="X25" s="36"/>
      <c r="Y25" s="36"/>
      <c r="Z25" s="36"/>
      <c r="AA25" s="36"/>
      <c r="AB25" s="36"/>
    </row>
    <row r="26" spans="1:28" ht="12" customHeight="1">
      <c r="A26" s="320" t="str">
        <f>HYPERLINK("https://www.alcaldiabogota.gov.co/sisjur/normas/Norma1.jsp?i=59699&amp;dt=S","CIRCULAR 127")</f>
        <v>CIRCULAR 127</v>
      </c>
      <c r="B26" s="321">
        <v>41926</v>
      </c>
      <c r="C26" s="117" t="s">
        <v>1895</v>
      </c>
      <c r="D26" s="195" t="s">
        <v>1896</v>
      </c>
      <c r="E26" s="117" t="s">
        <v>41</v>
      </c>
      <c r="F26" s="117" t="s">
        <v>97</v>
      </c>
      <c r="G26" s="211" t="s">
        <v>43</v>
      </c>
      <c r="H26" s="117" t="s">
        <v>1868</v>
      </c>
      <c r="I26" s="35"/>
      <c r="J26" s="36"/>
      <c r="K26" s="36"/>
      <c r="L26" s="36"/>
      <c r="M26" s="36"/>
      <c r="N26" s="36"/>
      <c r="O26" s="36"/>
      <c r="P26" s="36"/>
      <c r="Q26" s="36"/>
      <c r="R26" s="36"/>
      <c r="S26" s="36"/>
      <c r="T26" s="36"/>
      <c r="U26" s="36"/>
      <c r="V26" s="36"/>
      <c r="W26" s="36"/>
      <c r="X26" s="36"/>
      <c r="Y26" s="36"/>
      <c r="Z26" s="36"/>
      <c r="AA26" s="36"/>
      <c r="AB26" s="36"/>
    </row>
    <row r="27" spans="1:28" ht="12" customHeight="1">
      <c r="A27" s="325" t="str">
        <f>HYPERLINK("https://www.alcaldiabogota.gov.co/sisjur/normas/Norma1.jsp?dt=S&amp;i=60555#0","CIRCULAR 006 - GUÍA SITIOS WEB 3.0")</f>
        <v>CIRCULAR 006 - GUÍA SITIOS WEB 3.0</v>
      </c>
      <c r="B27" s="323">
        <v>41667</v>
      </c>
      <c r="C27" s="324" t="s">
        <v>3060</v>
      </c>
      <c r="D27" s="322" t="s">
        <v>3062</v>
      </c>
      <c r="E27" s="117" t="s">
        <v>41</v>
      </c>
      <c r="F27" s="117" t="s">
        <v>97</v>
      </c>
      <c r="G27" s="211" t="s">
        <v>43</v>
      </c>
      <c r="H27" s="117" t="s">
        <v>1868</v>
      </c>
      <c r="I27" s="35"/>
      <c r="J27" s="36"/>
      <c r="K27" s="36"/>
      <c r="L27" s="36"/>
      <c r="M27" s="36"/>
      <c r="N27" s="36"/>
      <c r="O27" s="36"/>
      <c r="P27" s="36"/>
      <c r="Q27" s="36"/>
      <c r="R27" s="36"/>
      <c r="S27" s="36"/>
      <c r="T27" s="36"/>
      <c r="U27" s="36"/>
      <c r="V27" s="36"/>
      <c r="W27" s="36"/>
      <c r="X27" s="36"/>
      <c r="Y27" s="36"/>
      <c r="Z27" s="36"/>
      <c r="AA27" s="36"/>
      <c r="AB27" s="36"/>
    </row>
    <row r="28" spans="1:28" ht="38.25" customHeight="1">
      <c r="A28" s="320" t="str">
        <f>HYPERLINK("https://www.bogotajuridica.gov.co/sisjur/normas/Norma1.jsp?i=17424","DIRECTIVA 005 DE 2005 ")</f>
        <v xml:space="preserve">DIRECTIVA 005 DE 2005 </v>
      </c>
      <c r="B28" s="323">
        <v>38576</v>
      </c>
      <c r="C28" s="117" t="s">
        <v>61</v>
      </c>
      <c r="D28" s="322" t="s">
        <v>3063</v>
      </c>
      <c r="E28" s="117" t="s">
        <v>41</v>
      </c>
      <c r="F28" s="117" t="s">
        <v>97</v>
      </c>
      <c r="G28" s="211" t="s">
        <v>43</v>
      </c>
      <c r="H28" s="117" t="s">
        <v>1868</v>
      </c>
      <c r="I28" s="35"/>
      <c r="J28" s="36"/>
      <c r="K28" s="36"/>
      <c r="L28" s="36"/>
      <c r="M28" s="36"/>
      <c r="N28" s="36"/>
      <c r="O28" s="36"/>
      <c r="P28" s="36"/>
      <c r="Q28" s="36"/>
      <c r="R28" s="36"/>
      <c r="S28" s="36"/>
      <c r="T28" s="36"/>
      <c r="U28" s="36"/>
      <c r="V28" s="36"/>
      <c r="W28" s="36"/>
      <c r="X28" s="36"/>
      <c r="Y28" s="36"/>
      <c r="Z28" s="36"/>
      <c r="AA28" s="36"/>
      <c r="AB28" s="36"/>
    </row>
    <row r="29" spans="1:28" ht="60" customHeight="1">
      <c r="A29" s="325" t="str">
        <f>HYPERLINK("https://www.alcaldiabogota.gov.co/sisjur/normas/Norma1.jsp?i=85605","DIRECTIVA 005 DE 2019")</f>
        <v>DIRECTIVA 005 DE 2019</v>
      </c>
      <c r="B29" s="323">
        <v>43671</v>
      </c>
      <c r="C29" s="324" t="s">
        <v>223</v>
      </c>
      <c r="D29" s="322" t="s">
        <v>3064</v>
      </c>
      <c r="E29" s="117" t="s">
        <v>41</v>
      </c>
      <c r="F29" s="117" t="s">
        <v>97</v>
      </c>
      <c r="G29" s="211"/>
      <c r="H29" s="117"/>
      <c r="I29" s="35"/>
      <c r="J29" s="36"/>
      <c r="K29" s="36"/>
      <c r="L29" s="36"/>
      <c r="M29" s="36"/>
      <c r="N29" s="36"/>
      <c r="O29" s="36"/>
      <c r="P29" s="36"/>
      <c r="Q29" s="36"/>
      <c r="R29" s="36"/>
      <c r="S29" s="36"/>
      <c r="T29" s="36"/>
      <c r="U29" s="36"/>
      <c r="V29" s="36"/>
      <c r="W29" s="36"/>
      <c r="X29" s="36"/>
      <c r="Y29" s="36"/>
      <c r="Z29" s="36"/>
      <c r="AA29" s="36"/>
      <c r="AB29" s="36"/>
    </row>
    <row r="30" spans="1:28" ht="32.25" customHeight="1">
      <c r="A30" s="325" t="str">
        <f>HYPERLINK("https://www.secretariajuridica.gov.co/sites/default/files/marco-legal/circular%2029-2019.pdf","CIRCULAR 029")</f>
        <v>CIRCULAR 029</v>
      </c>
      <c r="B30" s="323">
        <v>43719</v>
      </c>
      <c r="C30" s="324" t="s">
        <v>223</v>
      </c>
      <c r="D30" s="322" t="s">
        <v>3065</v>
      </c>
      <c r="E30" s="117" t="s">
        <v>41</v>
      </c>
      <c r="F30" s="324" t="s">
        <v>97</v>
      </c>
      <c r="G30" s="211"/>
      <c r="H30" s="117"/>
      <c r="I30" s="35"/>
      <c r="J30" s="36"/>
      <c r="K30" s="36"/>
      <c r="L30" s="36"/>
      <c r="M30" s="36"/>
      <c r="N30" s="36"/>
      <c r="O30" s="36"/>
      <c r="P30" s="36"/>
      <c r="Q30" s="36"/>
      <c r="R30" s="36"/>
      <c r="S30" s="36"/>
      <c r="T30" s="36"/>
      <c r="U30" s="36"/>
      <c r="V30" s="36"/>
      <c r="W30" s="36"/>
      <c r="X30" s="36"/>
      <c r="Y30" s="36"/>
      <c r="Z30" s="36"/>
      <c r="AA30" s="36"/>
      <c r="AB30" s="36"/>
    </row>
    <row r="31" spans="1:28" ht="32.25" customHeight="1">
      <c r="A31" s="329" t="s">
        <v>3066</v>
      </c>
      <c r="B31" s="323">
        <v>44194</v>
      </c>
      <c r="C31" s="324" t="s">
        <v>3067</v>
      </c>
      <c r="D31" s="322" t="s">
        <v>3068</v>
      </c>
      <c r="E31" s="117" t="s">
        <v>41</v>
      </c>
      <c r="F31" s="324" t="s">
        <v>97</v>
      </c>
      <c r="G31" s="211" t="s">
        <v>43</v>
      </c>
      <c r="H31" s="117" t="s">
        <v>1868</v>
      </c>
      <c r="I31" s="35"/>
      <c r="J31" s="36"/>
      <c r="K31" s="36"/>
      <c r="L31" s="36"/>
      <c r="M31" s="36"/>
      <c r="N31" s="36"/>
      <c r="O31" s="36"/>
      <c r="P31" s="36"/>
      <c r="Q31" s="36"/>
      <c r="R31" s="36"/>
      <c r="S31" s="36"/>
      <c r="T31" s="36"/>
      <c r="U31" s="36"/>
      <c r="V31" s="36"/>
      <c r="W31" s="36"/>
      <c r="X31" s="36"/>
      <c r="Y31" s="36"/>
      <c r="Z31" s="36"/>
      <c r="AA31" s="36"/>
      <c r="AB31" s="36"/>
    </row>
    <row r="32" spans="1:28" ht="12" customHeight="1">
      <c r="A32" s="325" t="s">
        <v>3069</v>
      </c>
      <c r="B32" s="314">
        <v>44113</v>
      </c>
      <c r="C32" s="117" t="s">
        <v>61</v>
      </c>
      <c r="D32" s="108" t="s">
        <v>3070</v>
      </c>
      <c r="E32" s="117" t="s">
        <v>41</v>
      </c>
      <c r="F32" s="117" t="s">
        <v>97</v>
      </c>
      <c r="G32" s="35"/>
      <c r="H32" s="104"/>
      <c r="I32" s="35"/>
      <c r="J32" s="36"/>
      <c r="K32" s="36"/>
      <c r="L32" s="36"/>
      <c r="M32" s="36"/>
      <c r="N32" s="36"/>
      <c r="O32" s="36"/>
      <c r="P32" s="36"/>
      <c r="Q32" s="36"/>
      <c r="R32" s="36"/>
      <c r="S32" s="36"/>
      <c r="T32" s="36"/>
      <c r="U32" s="36"/>
      <c r="V32" s="36"/>
      <c r="W32" s="36"/>
      <c r="X32" s="36"/>
      <c r="Y32" s="36"/>
      <c r="Z32" s="36"/>
      <c r="AA32" s="36"/>
      <c r="AB32" s="36"/>
    </row>
    <row r="33" spans="1:28" ht="12" customHeight="1">
      <c r="A33" s="329" t="s">
        <v>3071</v>
      </c>
      <c r="B33" s="323">
        <v>44096</v>
      </c>
      <c r="C33" s="324" t="s">
        <v>130</v>
      </c>
      <c r="D33" s="322" t="s">
        <v>3072</v>
      </c>
      <c r="E33" s="117" t="s">
        <v>41</v>
      </c>
      <c r="F33" s="324" t="s">
        <v>97</v>
      </c>
      <c r="G33" s="211"/>
      <c r="H33" s="117"/>
      <c r="I33" s="35"/>
      <c r="J33" s="36"/>
      <c r="K33" s="36"/>
      <c r="L33" s="36"/>
      <c r="M33" s="36"/>
      <c r="N33" s="36"/>
      <c r="O33" s="36"/>
      <c r="P33" s="36"/>
      <c r="Q33" s="36"/>
      <c r="R33" s="36"/>
      <c r="S33" s="36"/>
      <c r="T33" s="36"/>
      <c r="U33" s="36"/>
      <c r="V33" s="36"/>
      <c r="W33" s="36"/>
      <c r="X33" s="36"/>
      <c r="Y33" s="36"/>
      <c r="Z33" s="36"/>
      <c r="AA33" s="36"/>
      <c r="AB33" s="36"/>
    </row>
    <row r="34" spans="1:28" ht="12" customHeight="1">
      <c r="A34" s="329" t="s">
        <v>3073</v>
      </c>
      <c r="B34" s="323">
        <v>44250</v>
      </c>
      <c r="C34" s="324" t="s">
        <v>3074</v>
      </c>
      <c r="D34" s="322" t="s">
        <v>3075</v>
      </c>
      <c r="E34" s="117" t="s">
        <v>41</v>
      </c>
      <c r="F34" s="324" t="s">
        <v>97</v>
      </c>
      <c r="G34" s="211"/>
      <c r="H34" s="117"/>
      <c r="I34" s="35"/>
      <c r="J34" s="36"/>
      <c r="K34" s="36"/>
      <c r="L34" s="36"/>
      <c r="M34" s="36"/>
      <c r="N34" s="36"/>
      <c r="O34" s="36"/>
      <c r="P34" s="36"/>
      <c r="Q34" s="36"/>
      <c r="R34" s="36"/>
      <c r="S34" s="36"/>
      <c r="T34" s="36"/>
      <c r="U34" s="36"/>
      <c r="V34" s="36"/>
      <c r="W34" s="36"/>
      <c r="X34" s="36"/>
      <c r="Y34" s="36"/>
      <c r="Z34" s="36"/>
      <c r="AA34" s="36"/>
      <c r="AB34" s="36"/>
    </row>
    <row r="35" spans="1:28" ht="12" customHeight="1">
      <c r="A35" s="329" t="s">
        <v>3076</v>
      </c>
      <c r="B35" s="323">
        <v>44253</v>
      </c>
      <c r="C35" s="324" t="s">
        <v>3074</v>
      </c>
      <c r="D35" s="322" t="s">
        <v>3077</v>
      </c>
      <c r="E35" s="117" t="s">
        <v>41</v>
      </c>
      <c r="F35" s="324" t="s">
        <v>97</v>
      </c>
      <c r="G35" s="211"/>
      <c r="H35" s="117"/>
      <c r="I35" s="35"/>
      <c r="J35" s="36"/>
      <c r="K35" s="36"/>
      <c r="L35" s="36"/>
      <c r="M35" s="36"/>
      <c r="N35" s="36"/>
      <c r="O35" s="36"/>
      <c r="P35" s="36"/>
      <c r="Q35" s="36"/>
      <c r="R35" s="36"/>
      <c r="S35" s="36"/>
      <c r="T35" s="36"/>
      <c r="U35" s="36"/>
      <c r="V35" s="36"/>
      <c r="W35" s="36"/>
      <c r="X35" s="36"/>
      <c r="Y35" s="36"/>
      <c r="Z35" s="36"/>
      <c r="AA35" s="36"/>
      <c r="AB35" s="36"/>
    </row>
    <row r="36" spans="1:28" ht="12" customHeight="1">
      <c r="A36" s="329" t="s">
        <v>3078</v>
      </c>
      <c r="B36" s="323">
        <v>44273</v>
      </c>
      <c r="C36" s="324" t="s">
        <v>3079</v>
      </c>
      <c r="D36" s="322" t="s">
        <v>3080</v>
      </c>
      <c r="E36" s="117" t="s">
        <v>41</v>
      </c>
      <c r="F36" s="324" t="s">
        <v>97</v>
      </c>
      <c r="G36" s="211"/>
      <c r="H36" s="117"/>
      <c r="I36" s="35"/>
      <c r="J36" s="36"/>
      <c r="K36" s="36"/>
      <c r="L36" s="36"/>
      <c r="M36" s="36"/>
      <c r="N36" s="36"/>
      <c r="O36" s="36"/>
      <c r="P36" s="36"/>
      <c r="Q36" s="36"/>
      <c r="R36" s="36"/>
      <c r="S36" s="36"/>
      <c r="T36" s="36"/>
      <c r="U36" s="36"/>
      <c r="V36" s="36"/>
      <c r="W36" s="36"/>
      <c r="X36" s="36"/>
      <c r="Y36" s="36"/>
      <c r="Z36" s="36"/>
      <c r="AA36" s="36"/>
      <c r="AB36" s="36"/>
    </row>
    <row r="37" spans="1:28" ht="12" customHeight="1">
      <c r="A37" s="330"/>
      <c r="B37" s="314"/>
      <c r="C37" s="285"/>
      <c r="D37" s="108"/>
      <c r="E37" s="285"/>
      <c r="F37" s="285"/>
      <c r="G37" s="35"/>
      <c r="H37" s="104"/>
      <c r="I37" s="35"/>
      <c r="J37" s="74"/>
      <c r="K37" s="74"/>
      <c r="L37" s="74"/>
      <c r="M37" s="74"/>
      <c r="N37" s="74"/>
      <c r="O37" s="74"/>
      <c r="P37" s="74"/>
      <c r="Q37" s="74"/>
      <c r="R37" s="74"/>
      <c r="S37" s="74"/>
      <c r="T37" s="74"/>
      <c r="U37" s="74"/>
      <c r="V37" s="74"/>
      <c r="W37" s="74"/>
      <c r="X37" s="74"/>
      <c r="Y37" s="74"/>
      <c r="Z37" s="74"/>
      <c r="AA37" s="74"/>
      <c r="AB37" s="74"/>
    </row>
    <row r="38" spans="1:28" ht="12" customHeight="1">
      <c r="A38" s="330"/>
      <c r="B38" s="314"/>
      <c r="C38" s="285"/>
      <c r="D38" s="108"/>
      <c r="E38" s="285"/>
      <c r="F38" s="285"/>
      <c r="G38" s="35"/>
      <c r="H38" s="104"/>
      <c r="I38" s="35"/>
      <c r="J38" s="74"/>
      <c r="K38" s="74"/>
      <c r="L38" s="74"/>
      <c r="M38" s="74"/>
      <c r="N38" s="74"/>
      <c r="O38" s="74"/>
      <c r="P38" s="74"/>
      <c r="Q38" s="74"/>
      <c r="R38" s="74"/>
      <c r="S38" s="74"/>
      <c r="T38" s="74"/>
      <c r="U38" s="74"/>
      <c r="V38" s="74"/>
      <c r="W38" s="74"/>
      <c r="X38" s="74"/>
      <c r="Y38" s="74"/>
      <c r="Z38" s="74"/>
      <c r="AA38" s="74"/>
      <c r="AB38" s="74"/>
    </row>
    <row r="39" spans="1:28" ht="12" customHeight="1">
      <c r="A39" s="330"/>
      <c r="B39" s="314"/>
      <c r="C39" s="285"/>
      <c r="D39" s="108"/>
      <c r="E39" s="285"/>
      <c r="F39" s="285"/>
      <c r="G39" s="35"/>
      <c r="H39" s="104"/>
      <c r="I39" s="35"/>
      <c r="J39" s="74"/>
      <c r="K39" s="74"/>
      <c r="L39" s="74"/>
      <c r="M39" s="74"/>
      <c r="N39" s="74"/>
      <c r="O39" s="74"/>
      <c r="P39" s="74"/>
      <c r="Q39" s="74"/>
      <c r="R39" s="74"/>
      <c r="S39" s="74"/>
      <c r="T39" s="74"/>
      <c r="U39" s="74"/>
      <c r="V39" s="74"/>
      <c r="W39" s="74"/>
      <c r="X39" s="74"/>
      <c r="Y39" s="74"/>
      <c r="Z39" s="74"/>
      <c r="AA39" s="74"/>
      <c r="AB39" s="74"/>
    </row>
    <row r="40" spans="1:28" ht="12" customHeight="1">
      <c r="A40" s="330"/>
      <c r="B40" s="314"/>
      <c r="C40" s="285"/>
      <c r="D40" s="108"/>
      <c r="E40" s="285"/>
      <c r="F40" s="285"/>
      <c r="G40" s="35"/>
      <c r="H40" s="104"/>
      <c r="I40" s="35"/>
      <c r="J40" s="74"/>
      <c r="K40" s="74"/>
      <c r="L40" s="74"/>
      <c r="M40" s="74"/>
      <c r="N40" s="74"/>
      <c r="O40" s="74"/>
      <c r="P40" s="74"/>
      <c r="Q40" s="74"/>
      <c r="R40" s="74"/>
      <c r="S40" s="74"/>
      <c r="T40" s="74"/>
      <c r="U40" s="74"/>
      <c r="V40" s="74"/>
      <c r="W40" s="74"/>
      <c r="X40" s="74"/>
      <c r="Y40" s="74"/>
      <c r="Z40" s="74"/>
      <c r="AA40" s="74"/>
      <c r="AB40" s="74"/>
    </row>
    <row r="41" spans="1:28" ht="12" customHeight="1">
      <c r="A41" s="330"/>
      <c r="B41" s="314"/>
      <c r="C41" s="285"/>
      <c r="D41" s="108"/>
      <c r="E41" s="285"/>
      <c r="F41" s="285"/>
      <c r="G41" s="35"/>
      <c r="H41" s="104"/>
      <c r="I41" s="35"/>
      <c r="J41" s="74"/>
      <c r="K41" s="74"/>
      <c r="L41" s="74"/>
      <c r="M41" s="74"/>
      <c r="N41" s="74"/>
      <c r="O41" s="74"/>
      <c r="P41" s="74"/>
      <c r="Q41" s="74"/>
      <c r="R41" s="74"/>
      <c r="S41" s="74"/>
      <c r="T41" s="74"/>
      <c r="U41" s="74"/>
      <c r="V41" s="74"/>
      <c r="W41" s="74"/>
      <c r="X41" s="74"/>
      <c r="Y41" s="74"/>
      <c r="Z41" s="74"/>
      <c r="AA41" s="74"/>
      <c r="AB41" s="74"/>
    </row>
    <row r="42" spans="1:28" ht="12" customHeight="1">
      <c r="A42" s="330"/>
      <c r="B42" s="314"/>
      <c r="C42" s="285"/>
      <c r="D42" s="108"/>
      <c r="E42" s="285"/>
      <c r="F42" s="285"/>
      <c r="G42" s="35"/>
      <c r="H42" s="104"/>
      <c r="I42" s="35"/>
      <c r="J42" s="74"/>
      <c r="K42" s="74"/>
      <c r="L42" s="74"/>
      <c r="M42" s="74"/>
      <c r="N42" s="74"/>
      <c r="O42" s="74"/>
      <c r="P42" s="74"/>
      <c r="Q42" s="74"/>
      <c r="R42" s="74"/>
      <c r="S42" s="74"/>
      <c r="T42" s="74"/>
      <c r="U42" s="74"/>
      <c r="V42" s="74"/>
      <c r="W42" s="74"/>
      <c r="X42" s="74"/>
      <c r="Y42" s="74"/>
      <c r="Z42" s="74"/>
      <c r="AA42" s="74"/>
      <c r="AB42" s="74"/>
    </row>
    <row r="43" spans="1:28" ht="12" customHeight="1">
      <c r="A43" s="330"/>
      <c r="B43" s="314"/>
      <c r="C43" s="285"/>
      <c r="D43" s="108"/>
      <c r="E43" s="285"/>
      <c r="F43" s="285"/>
      <c r="G43" s="35"/>
      <c r="H43" s="104"/>
      <c r="I43" s="35"/>
      <c r="J43" s="74"/>
      <c r="K43" s="74"/>
      <c r="L43" s="74"/>
      <c r="M43" s="74"/>
      <c r="N43" s="74"/>
      <c r="O43" s="74"/>
      <c r="P43" s="74"/>
      <c r="Q43" s="74"/>
      <c r="R43" s="74"/>
      <c r="S43" s="74"/>
      <c r="T43" s="74"/>
      <c r="U43" s="74"/>
      <c r="V43" s="74"/>
      <c r="W43" s="74"/>
      <c r="X43" s="74"/>
      <c r="Y43" s="74"/>
      <c r="Z43" s="74"/>
      <c r="AA43" s="74"/>
      <c r="AB43" s="74"/>
    </row>
    <row r="44" spans="1:28" ht="12" customHeight="1">
      <c r="A44" s="330"/>
      <c r="B44" s="314"/>
      <c r="C44" s="285"/>
      <c r="D44" s="108"/>
      <c r="E44" s="285"/>
      <c r="F44" s="285"/>
      <c r="G44" s="35"/>
      <c r="H44" s="104"/>
      <c r="I44" s="35"/>
      <c r="J44" s="74"/>
      <c r="K44" s="74"/>
      <c r="L44" s="74"/>
      <c r="M44" s="74"/>
      <c r="N44" s="74"/>
      <c r="O44" s="74"/>
      <c r="P44" s="74"/>
      <c r="Q44" s="74"/>
      <c r="R44" s="74"/>
      <c r="S44" s="74"/>
      <c r="T44" s="74"/>
      <c r="U44" s="74"/>
      <c r="V44" s="74"/>
      <c r="W44" s="74"/>
      <c r="X44" s="74"/>
      <c r="Y44" s="74"/>
      <c r="Z44" s="74"/>
      <c r="AA44" s="74"/>
      <c r="AB44" s="74"/>
    </row>
    <row r="45" spans="1:28" ht="12" customHeight="1">
      <c r="A45" s="330"/>
      <c r="B45" s="314"/>
      <c r="C45" s="285"/>
      <c r="D45" s="108"/>
      <c r="E45" s="285"/>
      <c r="F45" s="285"/>
      <c r="G45" s="35"/>
      <c r="H45" s="104"/>
      <c r="I45" s="35"/>
      <c r="J45" s="74"/>
      <c r="K45" s="74"/>
      <c r="L45" s="74"/>
      <c r="M45" s="74"/>
      <c r="N45" s="74"/>
      <c r="O45" s="74"/>
      <c r="P45" s="74"/>
      <c r="Q45" s="74"/>
      <c r="R45" s="74"/>
      <c r="S45" s="74"/>
      <c r="T45" s="74"/>
      <c r="U45" s="74"/>
      <c r="V45" s="74"/>
      <c r="W45" s="74"/>
      <c r="X45" s="74"/>
      <c r="Y45" s="74"/>
      <c r="Z45" s="74"/>
      <c r="AA45" s="74"/>
      <c r="AB45" s="74"/>
    </row>
    <row r="46" spans="1:28" ht="12" customHeight="1">
      <c r="A46" s="330"/>
      <c r="B46" s="314"/>
      <c r="C46" s="285"/>
      <c r="D46" s="108"/>
      <c r="E46" s="285"/>
      <c r="F46" s="285"/>
      <c r="G46" s="35"/>
      <c r="H46" s="104"/>
      <c r="I46" s="35"/>
      <c r="J46" s="74"/>
      <c r="K46" s="74"/>
      <c r="L46" s="74"/>
      <c r="M46" s="74"/>
      <c r="N46" s="74"/>
      <c r="O46" s="74"/>
      <c r="P46" s="74"/>
      <c r="Q46" s="74"/>
      <c r="R46" s="74"/>
      <c r="S46" s="74"/>
      <c r="T46" s="74"/>
      <c r="U46" s="74"/>
      <c r="V46" s="74"/>
      <c r="W46" s="74"/>
      <c r="X46" s="74"/>
      <c r="Y46" s="74"/>
      <c r="Z46" s="74"/>
      <c r="AA46" s="74"/>
      <c r="AB46" s="74"/>
    </row>
    <row r="47" spans="1:28" ht="12" customHeight="1">
      <c r="A47" s="330"/>
      <c r="B47" s="314"/>
      <c r="C47" s="285"/>
      <c r="D47" s="108"/>
      <c r="E47" s="285"/>
      <c r="F47" s="285"/>
      <c r="G47" s="35"/>
      <c r="H47" s="104"/>
      <c r="I47" s="35"/>
      <c r="J47" s="74"/>
      <c r="K47" s="74"/>
      <c r="L47" s="74"/>
      <c r="M47" s="74"/>
      <c r="N47" s="74"/>
      <c r="O47" s="74"/>
      <c r="P47" s="74"/>
      <c r="Q47" s="74"/>
      <c r="R47" s="74"/>
      <c r="S47" s="74"/>
      <c r="T47" s="74"/>
      <c r="U47" s="74"/>
      <c r="V47" s="74"/>
      <c r="W47" s="74"/>
      <c r="X47" s="74"/>
      <c r="Y47" s="74"/>
      <c r="Z47" s="74"/>
      <c r="AA47" s="74"/>
      <c r="AB47" s="74"/>
    </row>
    <row r="48" spans="1:28" ht="12" customHeight="1">
      <c r="A48" s="330"/>
      <c r="B48" s="314"/>
      <c r="C48" s="285"/>
      <c r="D48" s="108"/>
      <c r="E48" s="285"/>
      <c r="F48" s="285"/>
      <c r="G48" s="35"/>
      <c r="H48" s="104"/>
      <c r="I48" s="35"/>
      <c r="J48" s="74"/>
      <c r="K48" s="74"/>
      <c r="L48" s="74"/>
      <c r="M48" s="74"/>
      <c r="N48" s="74"/>
      <c r="O48" s="74"/>
      <c r="P48" s="74"/>
      <c r="Q48" s="74"/>
      <c r="R48" s="74"/>
      <c r="S48" s="74"/>
      <c r="T48" s="74"/>
      <c r="U48" s="74"/>
      <c r="V48" s="74"/>
      <c r="W48" s="74"/>
      <c r="X48" s="74"/>
      <c r="Y48" s="74"/>
      <c r="Z48" s="74"/>
      <c r="AA48" s="74"/>
      <c r="AB48" s="74"/>
    </row>
    <row r="49" spans="1:28" ht="12" customHeight="1">
      <c r="A49" s="330"/>
      <c r="B49" s="314"/>
      <c r="C49" s="285"/>
      <c r="D49" s="108"/>
      <c r="E49" s="285"/>
      <c r="F49" s="285"/>
      <c r="G49" s="35"/>
      <c r="H49" s="104"/>
      <c r="I49" s="35"/>
      <c r="J49" s="74"/>
      <c r="K49" s="74"/>
      <c r="L49" s="74"/>
      <c r="M49" s="74"/>
      <c r="N49" s="74"/>
      <c r="O49" s="74"/>
      <c r="P49" s="74"/>
      <c r="Q49" s="74"/>
      <c r="R49" s="74"/>
      <c r="S49" s="74"/>
      <c r="T49" s="74"/>
      <c r="U49" s="74"/>
      <c r="V49" s="74"/>
      <c r="W49" s="74"/>
      <c r="X49" s="74"/>
      <c r="Y49" s="74"/>
      <c r="Z49" s="74"/>
      <c r="AA49" s="74"/>
      <c r="AB49" s="74"/>
    </row>
    <row r="50" spans="1:28" ht="12" customHeight="1">
      <c r="A50" s="330"/>
      <c r="B50" s="314"/>
      <c r="C50" s="285"/>
      <c r="D50" s="108"/>
      <c r="E50" s="285"/>
      <c r="F50" s="285"/>
      <c r="G50" s="35"/>
      <c r="H50" s="104"/>
      <c r="I50" s="35"/>
      <c r="J50" s="74"/>
      <c r="K50" s="74"/>
      <c r="L50" s="74"/>
      <c r="M50" s="74"/>
      <c r="N50" s="74"/>
      <c r="O50" s="74"/>
      <c r="P50" s="74"/>
      <c r="Q50" s="74"/>
      <c r="R50" s="74"/>
      <c r="S50" s="74"/>
      <c r="T50" s="74"/>
      <c r="U50" s="74"/>
      <c r="V50" s="74"/>
      <c r="W50" s="74"/>
      <c r="X50" s="74"/>
      <c r="Y50" s="74"/>
      <c r="Z50" s="74"/>
      <c r="AA50" s="74"/>
      <c r="AB50" s="74"/>
    </row>
    <row r="51" spans="1:28" ht="12" customHeight="1">
      <c r="A51" s="330"/>
      <c r="B51" s="314"/>
      <c r="C51" s="285"/>
      <c r="D51" s="108"/>
      <c r="E51" s="285"/>
      <c r="F51" s="285"/>
      <c r="G51" s="35"/>
      <c r="H51" s="104"/>
      <c r="I51" s="35"/>
      <c r="J51" s="74"/>
      <c r="K51" s="74"/>
      <c r="L51" s="74"/>
      <c r="M51" s="74"/>
      <c r="N51" s="74"/>
      <c r="O51" s="74"/>
      <c r="P51" s="74"/>
      <c r="Q51" s="74"/>
      <c r="R51" s="74"/>
      <c r="S51" s="74"/>
      <c r="T51" s="74"/>
      <c r="U51" s="74"/>
      <c r="V51" s="74"/>
      <c r="W51" s="74"/>
      <c r="X51" s="74"/>
      <c r="Y51" s="74"/>
      <c r="Z51" s="74"/>
      <c r="AA51" s="74"/>
      <c r="AB51" s="74"/>
    </row>
    <row r="52" spans="1:28" ht="12" customHeight="1">
      <c r="A52" s="330"/>
      <c r="B52" s="314"/>
      <c r="C52" s="285"/>
      <c r="D52" s="108"/>
      <c r="E52" s="285"/>
      <c r="F52" s="285"/>
      <c r="G52" s="35"/>
      <c r="H52" s="104"/>
      <c r="I52" s="35"/>
      <c r="J52" s="74"/>
      <c r="K52" s="74"/>
      <c r="L52" s="74"/>
      <c r="M52" s="74"/>
      <c r="N52" s="74"/>
      <c r="O52" s="74"/>
      <c r="P52" s="74"/>
      <c r="Q52" s="74"/>
      <c r="R52" s="74"/>
      <c r="S52" s="74"/>
      <c r="T52" s="74"/>
      <c r="U52" s="74"/>
      <c r="V52" s="74"/>
      <c r="W52" s="74"/>
      <c r="X52" s="74"/>
      <c r="Y52" s="74"/>
      <c r="Z52" s="74"/>
      <c r="AA52" s="74"/>
      <c r="AB52" s="74"/>
    </row>
    <row r="53" spans="1:28" ht="12" customHeight="1">
      <c r="A53" s="330"/>
      <c r="B53" s="314"/>
      <c r="C53" s="285"/>
      <c r="D53" s="108"/>
      <c r="E53" s="285"/>
      <c r="F53" s="285"/>
      <c r="G53" s="35"/>
      <c r="H53" s="104"/>
      <c r="I53" s="35"/>
      <c r="J53" s="74"/>
      <c r="K53" s="74"/>
      <c r="L53" s="74"/>
      <c r="M53" s="74"/>
      <c r="N53" s="74"/>
      <c r="O53" s="74"/>
      <c r="P53" s="74"/>
      <c r="Q53" s="74"/>
      <c r="R53" s="74"/>
      <c r="S53" s="74"/>
      <c r="T53" s="74"/>
      <c r="U53" s="74"/>
      <c r="V53" s="74"/>
      <c r="W53" s="74"/>
      <c r="X53" s="74"/>
      <c r="Y53" s="74"/>
      <c r="Z53" s="74"/>
      <c r="AA53" s="74"/>
      <c r="AB53" s="74"/>
    </row>
    <row r="54" spans="1:28" ht="12" customHeight="1">
      <c r="A54" s="330"/>
      <c r="B54" s="314"/>
      <c r="C54" s="285"/>
      <c r="D54" s="108"/>
      <c r="E54" s="285"/>
      <c r="F54" s="285"/>
      <c r="G54" s="35"/>
      <c r="H54" s="104"/>
      <c r="I54" s="35"/>
      <c r="J54" s="74"/>
      <c r="K54" s="74"/>
      <c r="L54" s="74"/>
      <c r="M54" s="74"/>
      <c r="N54" s="74"/>
      <c r="O54" s="74"/>
      <c r="P54" s="74"/>
      <c r="Q54" s="74"/>
      <c r="R54" s="74"/>
      <c r="S54" s="74"/>
      <c r="T54" s="74"/>
      <c r="U54" s="74"/>
      <c r="V54" s="74"/>
      <c r="W54" s="74"/>
      <c r="X54" s="74"/>
      <c r="Y54" s="74"/>
      <c r="Z54" s="74"/>
      <c r="AA54" s="74"/>
      <c r="AB54" s="74"/>
    </row>
    <row r="55" spans="1:28" ht="12" customHeight="1">
      <c r="A55" s="330"/>
      <c r="B55" s="314"/>
      <c r="C55" s="285"/>
      <c r="D55" s="108"/>
      <c r="E55" s="285"/>
      <c r="F55" s="285"/>
      <c r="G55" s="35"/>
      <c r="H55" s="104"/>
      <c r="I55" s="35"/>
      <c r="J55" s="74"/>
      <c r="K55" s="74"/>
      <c r="L55" s="74"/>
      <c r="M55" s="74"/>
      <c r="N55" s="74"/>
      <c r="O55" s="74"/>
      <c r="P55" s="74"/>
      <c r="Q55" s="74"/>
      <c r="R55" s="74"/>
      <c r="S55" s="74"/>
      <c r="T55" s="74"/>
      <c r="U55" s="74"/>
      <c r="V55" s="74"/>
      <c r="W55" s="74"/>
      <c r="X55" s="74"/>
      <c r="Y55" s="74"/>
      <c r="Z55" s="74"/>
      <c r="AA55" s="74"/>
      <c r="AB55" s="74"/>
    </row>
    <row r="56" spans="1:28" ht="12" customHeight="1">
      <c r="A56" s="330"/>
      <c r="B56" s="314"/>
      <c r="C56" s="285"/>
      <c r="D56" s="108"/>
      <c r="E56" s="285"/>
      <c r="F56" s="285"/>
      <c r="G56" s="35"/>
      <c r="H56" s="104"/>
      <c r="I56" s="35"/>
      <c r="J56" s="74"/>
      <c r="K56" s="74"/>
      <c r="L56" s="74"/>
      <c r="M56" s="74"/>
      <c r="N56" s="74"/>
      <c r="O56" s="74"/>
      <c r="P56" s="74"/>
      <c r="Q56" s="74"/>
      <c r="R56" s="74"/>
      <c r="S56" s="74"/>
      <c r="T56" s="74"/>
      <c r="U56" s="74"/>
      <c r="V56" s="74"/>
      <c r="W56" s="74"/>
      <c r="X56" s="74"/>
      <c r="Y56" s="74"/>
      <c r="Z56" s="74"/>
      <c r="AA56" s="74"/>
      <c r="AB56" s="74"/>
    </row>
    <row r="57" spans="1:28" ht="12" customHeight="1">
      <c r="A57" s="330"/>
      <c r="B57" s="314"/>
      <c r="C57" s="285"/>
      <c r="D57" s="108"/>
      <c r="E57" s="285"/>
      <c r="F57" s="285"/>
      <c r="G57" s="35"/>
      <c r="H57" s="104"/>
      <c r="I57" s="35"/>
      <c r="J57" s="74"/>
      <c r="K57" s="74"/>
      <c r="L57" s="74"/>
      <c r="M57" s="74"/>
      <c r="N57" s="74"/>
      <c r="O57" s="74"/>
      <c r="P57" s="74"/>
      <c r="Q57" s="74"/>
      <c r="R57" s="74"/>
      <c r="S57" s="74"/>
      <c r="T57" s="74"/>
      <c r="U57" s="74"/>
      <c r="V57" s="74"/>
      <c r="W57" s="74"/>
      <c r="X57" s="74"/>
      <c r="Y57" s="74"/>
      <c r="Z57" s="74"/>
      <c r="AA57" s="74"/>
      <c r="AB57" s="74"/>
    </row>
    <row r="58" spans="1:28" ht="12" customHeight="1">
      <c r="A58" s="330"/>
      <c r="B58" s="314"/>
      <c r="C58" s="285"/>
      <c r="D58" s="108"/>
      <c r="E58" s="285"/>
      <c r="F58" s="285"/>
      <c r="G58" s="35"/>
      <c r="H58" s="104"/>
      <c r="I58" s="35"/>
      <c r="J58" s="74"/>
      <c r="K58" s="74"/>
      <c r="L58" s="74"/>
      <c r="M58" s="74"/>
      <c r="N58" s="74"/>
      <c r="O58" s="74"/>
      <c r="P58" s="74"/>
      <c r="Q58" s="74"/>
      <c r="R58" s="74"/>
      <c r="S58" s="74"/>
      <c r="T58" s="74"/>
      <c r="U58" s="74"/>
      <c r="V58" s="74"/>
      <c r="W58" s="74"/>
      <c r="X58" s="74"/>
      <c r="Y58" s="74"/>
      <c r="Z58" s="74"/>
      <c r="AA58" s="74"/>
      <c r="AB58" s="74"/>
    </row>
    <row r="59" spans="1:28" ht="12" customHeight="1">
      <c r="A59" s="330"/>
      <c r="B59" s="314"/>
      <c r="C59" s="285"/>
      <c r="D59" s="108"/>
      <c r="E59" s="285"/>
      <c r="F59" s="285"/>
      <c r="G59" s="35"/>
      <c r="H59" s="104"/>
      <c r="I59" s="35"/>
      <c r="J59" s="74"/>
      <c r="K59" s="74"/>
      <c r="L59" s="74"/>
      <c r="M59" s="74"/>
      <c r="N59" s="74"/>
      <c r="O59" s="74"/>
      <c r="P59" s="74"/>
      <c r="Q59" s="74"/>
      <c r="R59" s="74"/>
      <c r="S59" s="74"/>
      <c r="T59" s="74"/>
      <c r="U59" s="74"/>
      <c r="V59" s="74"/>
      <c r="W59" s="74"/>
      <c r="X59" s="74"/>
      <c r="Y59" s="74"/>
      <c r="Z59" s="74"/>
      <c r="AA59" s="74"/>
      <c r="AB59" s="74"/>
    </row>
    <row r="60" spans="1:28" ht="12" customHeight="1">
      <c r="A60" s="330"/>
      <c r="B60" s="314"/>
      <c r="C60" s="285"/>
      <c r="D60" s="108"/>
      <c r="E60" s="285"/>
      <c r="F60" s="285"/>
      <c r="G60" s="35"/>
      <c r="H60" s="104"/>
      <c r="I60" s="35"/>
      <c r="J60" s="74"/>
      <c r="K60" s="74"/>
      <c r="L60" s="74"/>
      <c r="M60" s="74"/>
      <c r="N60" s="74"/>
      <c r="O60" s="74"/>
      <c r="P60" s="74"/>
      <c r="Q60" s="74"/>
      <c r="R60" s="74"/>
      <c r="S60" s="74"/>
      <c r="T60" s="74"/>
      <c r="U60" s="74"/>
      <c r="V60" s="74"/>
      <c r="W60" s="74"/>
      <c r="X60" s="74"/>
      <c r="Y60" s="74"/>
      <c r="Z60" s="74"/>
      <c r="AA60" s="74"/>
      <c r="AB60" s="74"/>
    </row>
    <row r="61" spans="1:28" ht="12" customHeight="1">
      <c r="A61" s="330"/>
      <c r="B61" s="314"/>
      <c r="C61" s="285"/>
      <c r="D61" s="108"/>
      <c r="E61" s="285"/>
      <c r="F61" s="285"/>
      <c r="G61" s="35"/>
      <c r="H61" s="104"/>
      <c r="I61" s="35"/>
      <c r="J61" s="74"/>
      <c r="K61" s="74"/>
      <c r="L61" s="74"/>
      <c r="M61" s="74"/>
      <c r="N61" s="74"/>
      <c r="O61" s="74"/>
      <c r="P61" s="74"/>
      <c r="Q61" s="74"/>
      <c r="R61" s="74"/>
      <c r="S61" s="74"/>
      <c r="T61" s="74"/>
      <c r="U61" s="74"/>
      <c r="V61" s="74"/>
      <c r="W61" s="74"/>
      <c r="X61" s="74"/>
      <c r="Y61" s="74"/>
      <c r="Z61" s="74"/>
      <c r="AA61" s="74"/>
      <c r="AB61" s="74"/>
    </row>
    <row r="62" spans="1:28" ht="12" customHeight="1">
      <c r="A62" s="330"/>
      <c r="B62" s="314"/>
      <c r="C62" s="285"/>
      <c r="D62" s="108"/>
      <c r="E62" s="285"/>
      <c r="F62" s="285"/>
      <c r="G62" s="35"/>
      <c r="H62" s="104"/>
      <c r="I62" s="35"/>
      <c r="J62" s="74"/>
      <c r="K62" s="74"/>
      <c r="L62" s="74"/>
      <c r="M62" s="74"/>
      <c r="N62" s="74"/>
      <c r="O62" s="74"/>
      <c r="P62" s="74"/>
      <c r="Q62" s="74"/>
      <c r="R62" s="74"/>
      <c r="S62" s="74"/>
      <c r="T62" s="74"/>
      <c r="U62" s="74"/>
      <c r="V62" s="74"/>
      <c r="W62" s="74"/>
      <c r="X62" s="74"/>
      <c r="Y62" s="74"/>
      <c r="Z62" s="74"/>
      <c r="AA62" s="74"/>
      <c r="AB62" s="74"/>
    </row>
    <row r="63" spans="1:28" ht="12" customHeight="1">
      <c r="A63" s="330"/>
      <c r="B63" s="314"/>
      <c r="C63" s="285"/>
      <c r="D63" s="108"/>
      <c r="E63" s="285"/>
      <c r="F63" s="285"/>
      <c r="G63" s="35"/>
      <c r="H63" s="104"/>
      <c r="I63" s="35"/>
      <c r="J63" s="74"/>
      <c r="K63" s="74"/>
      <c r="L63" s="74"/>
      <c r="M63" s="74"/>
      <c r="N63" s="74"/>
      <c r="O63" s="74"/>
      <c r="P63" s="74"/>
      <c r="Q63" s="74"/>
      <c r="R63" s="74"/>
      <c r="S63" s="74"/>
      <c r="T63" s="74"/>
      <c r="U63" s="74"/>
      <c r="V63" s="74"/>
      <c r="W63" s="74"/>
      <c r="X63" s="74"/>
      <c r="Y63" s="74"/>
      <c r="Z63" s="74"/>
      <c r="AA63" s="74"/>
      <c r="AB63" s="74"/>
    </row>
    <row r="64" spans="1:28" ht="12" customHeight="1">
      <c r="A64" s="330"/>
      <c r="B64" s="314"/>
      <c r="C64" s="285"/>
      <c r="D64" s="108"/>
      <c r="E64" s="285"/>
      <c r="F64" s="285"/>
      <c r="G64" s="35"/>
      <c r="H64" s="104"/>
      <c r="I64" s="35"/>
      <c r="J64" s="74"/>
      <c r="K64" s="74"/>
      <c r="L64" s="74"/>
      <c r="M64" s="74"/>
      <c r="N64" s="74"/>
      <c r="O64" s="74"/>
      <c r="P64" s="74"/>
      <c r="Q64" s="74"/>
      <c r="R64" s="74"/>
      <c r="S64" s="74"/>
      <c r="T64" s="74"/>
      <c r="U64" s="74"/>
      <c r="V64" s="74"/>
      <c r="W64" s="74"/>
      <c r="X64" s="74"/>
      <c r="Y64" s="74"/>
      <c r="Z64" s="74"/>
      <c r="AA64" s="74"/>
      <c r="AB64" s="74"/>
    </row>
    <row r="65" spans="1:28" ht="12" customHeight="1">
      <c r="A65" s="330"/>
      <c r="B65" s="314"/>
      <c r="C65" s="285"/>
      <c r="D65" s="108"/>
      <c r="E65" s="285"/>
      <c r="F65" s="285"/>
      <c r="G65" s="35"/>
      <c r="H65" s="104"/>
      <c r="I65" s="35"/>
      <c r="J65" s="74"/>
      <c r="K65" s="74"/>
      <c r="L65" s="74"/>
      <c r="M65" s="74"/>
      <c r="N65" s="74"/>
      <c r="O65" s="74"/>
      <c r="P65" s="74"/>
      <c r="Q65" s="74"/>
      <c r="R65" s="74"/>
      <c r="S65" s="74"/>
      <c r="T65" s="74"/>
      <c r="U65" s="74"/>
      <c r="V65" s="74"/>
      <c r="W65" s="74"/>
      <c r="X65" s="74"/>
      <c r="Y65" s="74"/>
      <c r="Z65" s="74"/>
      <c r="AA65" s="74"/>
      <c r="AB65" s="74"/>
    </row>
    <row r="66" spans="1:28" ht="12" customHeight="1">
      <c r="A66" s="330"/>
      <c r="B66" s="314"/>
      <c r="C66" s="285"/>
      <c r="D66" s="108"/>
      <c r="E66" s="285"/>
      <c r="F66" s="285"/>
      <c r="G66" s="35"/>
      <c r="H66" s="104"/>
      <c r="I66" s="35"/>
      <c r="J66" s="74"/>
      <c r="K66" s="74"/>
      <c r="L66" s="74"/>
      <c r="M66" s="74"/>
      <c r="N66" s="74"/>
      <c r="O66" s="74"/>
      <c r="P66" s="74"/>
      <c r="Q66" s="74"/>
      <c r="R66" s="74"/>
      <c r="S66" s="74"/>
      <c r="T66" s="74"/>
      <c r="U66" s="74"/>
      <c r="V66" s="74"/>
      <c r="W66" s="74"/>
      <c r="X66" s="74"/>
      <c r="Y66" s="74"/>
      <c r="Z66" s="74"/>
      <c r="AA66" s="74"/>
      <c r="AB66" s="74"/>
    </row>
    <row r="67" spans="1:28" ht="12" customHeight="1">
      <c r="A67" s="330"/>
      <c r="B67" s="314"/>
      <c r="C67" s="285"/>
      <c r="D67" s="108"/>
      <c r="E67" s="285"/>
      <c r="F67" s="285"/>
      <c r="G67" s="35"/>
      <c r="H67" s="104"/>
      <c r="I67" s="35"/>
      <c r="J67" s="74"/>
      <c r="K67" s="74"/>
      <c r="L67" s="74"/>
      <c r="M67" s="74"/>
      <c r="N67" s="74"/>
      <c r="O67" s="74"/>
      <c r="P67" s="74"/>
      <c r="Q67" s="74"/>
      <c r="R67" s="74"/>
      <c r="S67" s="74"/>
      <c r="T67" s="74"/>
      <c r="U67" s="74"/>
      <c r="V67" s="74"/>
      <c r="W67" s="74"/>
      <c r="X67" s="74"/>
      <c r="Y67" s="74"/>
      <c r="Z67" s="74"/>
      <c r="AA67" s="74"/>
      <c r="AB67" s="74"/>
    </row>
    <row r="68" spans="1:28" ht="12" customHeight="1">
      <c r="A68" s="330"/>
      <c r="B68" s="314"/>
      <c r="C68" s="285"/>
      <c r="D68" s="108"/>
      <c r="E68" s="285"/>
      <c r="F68" s="285"/>
      <c r="G68" s="35"/>
      <c r="H68" s="104"/>
      <c r="I68" s="35"/>
      <c r="J68" s="74"/>
      <c r="K68" s="74"/>
      <c r="L68" s="74"/>
      <c r="M68" s="74"/>
      <c r="N68" s="74"/>
      <c r="O68" s="74"/>
      <c r="P68" s="74"/>
      <c r="Q68" s="74"/>
      <c r="R68" s="74"/>
      <c r="S68" s="74"/>
      <c r="T68" s="74"/>
      <c r="U68" s="74"/>
      <c r="V68" s="74"/>
      <c r="W68" s="74"/>
      <c r="X68" s="74"/>
      <c r="Y68" s="74"/>
      <c r="Z68" s="74"/>
      <c r="AA68" s="74"/>
      <c r="AB68" s="74"/>
    </row>
    <row r="69" spans="1:28" ht="12" customHeight="1">
      <c r="A69" s="330"/>
      <c r="B69" s="314"/>
      <c r="C69" s="285"/>
      <c r="D69" s="108"/>
      <c r="E69" s="285"/>
      <c r="F69" s="285"/>
      <c r="G69" s="35"/>
      <c r="H69" s="104"/>
      <c r="I69" s="35"/>
      <c r="J69" s="74"/>
      <c r="K69" s="74"/>
      <c r="L69" s="74"/>
      <c r="M69" s="74"/>
      <c r="N69" s="74"/>
      <c r="O69" s="74"/>
      <c r="P69" s="74"/>
      <c r="Q69" s="74"/>
      <c r="R69" s="74"/>
      <c r="S69" s="74"/>
      <c r="T69" s="74"/>
      <c r="U69" s="74"/>
      <c r="V69" s="74"/>
      <c r="W69" s="74"/>
      <c r="X69" s="74"/>
      <c r="Y69" s="74"/>
      <c r="Z69" s="74"/>
      <c r="AA69" s="74"/>
      <c r="AB69" s="74"/>
    </row>
    <row r="70" spans="1:28" ht="12" customHeight="1">
      <c r="A70" s="330"/>
      <c r="B70" s="314"/>
      <c r="C70" s="285"/>
      <c r="D70" s="108"/>
      <c r="E70" s="285"/>
      <c r="F70" s="285"/>
      <c r="G70" s="35"/>
      <c r="H70" s="104"/>
      <c r="I70" s="35"/>
      <c r="J70" s="74"/>
      <c r="K70" s="74"/>
      <c r="L70" s="74"/>
      <c r="M70" s="74"/>
      <c r="N70" s="74"/>
      <c r="O70" s="74"/>
      <c r="P70" s="74"/>
      <c r="Q70" s="74"/>
      <c r="R70" s="74"/>
      <c r="S70" s="74"/>
      <c r="T70" s="74"/>
      <c r="U70" s="74"/>
      <c r="V70" s="74"/>
      <c r="W70" s="74"/>
      <c r="X70" s="74"/>
      <c r="Y70" s="74"/>
      <c r="Z70" s="74"/>
      <c r="AA70" s="74"/>
      <c r="AB70" s="74"/>
    </row>
    <row r="71" spans="1:28" ht="12" customHeight="1">
      <c r="A71" s="330"/>
      <c r="B71" s="314"/>
      <c r="C71" s="285"/>
      <c r="D71" s="108"/>
      <c r="E71" s="285"/>
      <c r="F71" s="285"/>
      <c r="G71" s="35"/>
      <c r="H71" s="104"/>
      <c r="I71" s="35"/>
      <c r="J71" s="74"/>
      <c r="K71" s="74"/>
      <c r="L71" s="74"/>
      <c r="M71" s="74"/>
      <c r="N71" s="74"/>
      <c r="O71" s="74"/>
      <c r="P71" s="74"/>
      <c r="Q71" s="74"/>
      <c r="R71" s="74"/>
      <c r="S71" s="74"/>
      <c r="T71" s="74"/>
      <c r="U71" s="74"/>
      <c r="V71" s="74"/>
      <c r="W71" s="74"/>
      <c r="X71" s="74"/>
      <c r="Y71" s="74"/>
      <c r="Z71" s="74"/>
      <c r="AA71" s="74"/>
      <c r="AB71" s="74"/>
    </row>
    <row r="72" spans="1:28" ht="12" customHeight="1">
      <c r="A72" s="330"/>
      <c r="B72" s="314"/>
      <c r="C72" s="285"/>
      <c r="D72" s="108"/>
      <c r="E72" s="285"/>
      <c r="F72" s="285"/>
      <c r="G72" s="35"/>
      <c r="H72" s="104"/>
      <c r="I72" s="35"/>
      <c r="J72" s="74"/>
      <c r="K72" s="74"/>
      <c r="L72" s="74"/>
      <c r="M72" s="74"/>
      <c r="N72" s="74"/>
      <c r="O72" s="74"/>
      <c r="P72" s="74"/>
      <c r="Q72" s="74"/>
      <c r="R72" s="74"/>
      <c r="S72" s="74"/>
      <c r="T72" s="74"/>
      <c r="U72" s="74"/>
      <c r="V72" s="74"/>
      <c r="W72" s="74"/>
      <c r="X72" s="74"/>
      <c r="Y72" s="74"/>
      <c r="Z72" s="74"/>
      <c r="AA72" s="74"/>
      <c r="AB72" s="74"/>
    </row>
    <row r="73" spans="1:28" ht="12" customHeight="1">
      <c r="A73" s="330"/>
      <c r="B73" s="314"/>
      <c r="C73" s="285"/>
      <c r="D73" s="108"/>
      <c r="E73" s="285"/>
      <c r="F73" s="285"/>
      <c r="G73" s="35"/>
      <c r="H73" s="104"/>
      <c r="I73" s="35"/>
      <c r="J73" s="74"/>
      <c r="K73" s="74"/>
      <c r="L73" s="74"/>
      <c r="M73" s="74"/>
      <c r="N73" s="74"/>
      <c r="O73" s="74"/>
      <c r="P73" s="74"/>
      <c r="Q73" s="74"/>
      <c r="R73" s="74"/>
      <c r="S73" s="74"/>
      <c r="T73" s="74"/>
      <c r="U73" s="74"/>
      <c r="V73" s="74"/>
      <c r="W73" s="74"/>
      <c r="X73" s="74"/>
      <c r="Y73" s="74"/>
      <c r="Z73" s="74"/>
      <c r="AA73" s="74"/>
      <c r="AB73" s="74"/>
    </row>
    <row r="74" spans="1:28" ht="12" customHeight="1">
      <c r="A74" s="330"/>
      <c r="B74" s="314"/>
      <c r="C74" s="285"/>
      <c r="D74" s="108"/>
      <c r="E74" s="285"/>
      <c r="F74" s="285"/>
      <c r="G74" s="35"/>
      <c r="H74" s="104"/>
      <c r="I74" s="35"/>
      <c r="J74" s="74"/>
      <c r="K74" s="74"/>
      <c r="L74" s="74"/>
      <c r="M74" s="74"/>
      <c r="N74" s="74"/>
      <c r="O74" s="74"/>
      <c r="P74" s="74"/>
      <c r="Q74" s="74"/>
      <c r="R74" s="74"/>
      <c r="S74" s="74"/>
      <c r="T74" s="74"/>
      <c r="U74" s="74"/>
      <c r="V74" s="74"/>
      <c r="W74" s="74"/>
      <c r="X74" s="74"/>
      <c r="Y74" s="74"/>
      <c r="Z74" s="74"/>
      <c r="AA74" s="74"/>
      <c r="AB74" s="74"/>
    </row>
    <row r="75" spans="1:28" ht="12" customHeight="1">
      <c r="A75" s="330"/>
      <c r="B75" s="314"/>
      <c r="C75" s="285"/>
      <c r="D75" s="108"/>
      <c r="E75" s="285"/>
      <c r="F75" s="285"/>
      <c r="G75" s="35"/>
      <c r="H75" s="104"/>
      <c r="I75" s="35"/>
      <c r="J75" s="74"/>
      <c r="K75" s="74"/>
      <c r="L75" s="74"/>
      <c r="M75" s="74"/>
      <c r="N75" s="74"/>
      <c r="O75" s="74"/>
      <c r="P75" s="74"/>
      <c r="Q75" s="74"/>
      <c r="R75" s="74"/>
      <c r="S75" s="74"/>
      <c r="T75" s="74"/>
      <c r="U75" s="74"/>
      <c r="V75" s="74"/>
      <c r="W75" s="74"/>
      <c r="X75" s="74"/>
      <c r="Y75" s="74"/>
      <c r="Z75" s="74"/>
      <c r="AA75" s="74"/>
      <c r="AB75" s="74"/>
    </row>
    <row r="76" spans="1:28" ht="12" customHeight="1">
      <c r="A76" s="330"/>
      <c r="B76" s="314"/>
      <c r="C76" s="285"/>
      <c r="D76" s="108"/>
      <c r="E76" s="285"/>
      <c r="F76" s="285"/>
      <c r="G76" s="35"/>
      <c r="H76" s="104"/>
      <c r="I76" s="35"/>
      <c r="J76" s="74"/>
      <c r="K76" s="74"/>
      <c r="L76" s="74"/>
      <c r="M76" s="74"/>
      <c r="N76" s="74"/>
      <c r="O76" s="74"/>
      <c r="P76" s="74"/>
      <c r="Q76" s="74"/>
      <c r="R76" s="74"/>
      <c r="S76" s="74"/>
      <c r="T76" s="74"/>
      <c r="U76" s="74"/>
      <c r="V76" s="74"/>
      <c r="W76" s="74"/>
      <c r="X76" s="74"/>
      <c r="Y76" s="74"/>
      <c r="Z76" s="74"/>
      <c r="AA76" s="74"/>
      <c r="AB76" s="74"/>
    </row>
    <row r="77" spans="1:28" ht="12" customHeight="1">
      <c r="A77" s="330"/>
      <c r="B77" s="314"/>
      <c r="C77" s="285"/>
      <c r="D77" s="108"/>
      <c r="E77" s="285"/>
      <c r="F77" s="285"/>
      <c r="G77" s="35"/>
      <c r="H77" s="104"/>
      <c r="I77" s="35"/>
      <c r="J77" s="74"/>
      <c r="K77" s="74"/>
      <c r="L77" s="74"/>
      <c r="M77" s="74"/>
      <c r="N77" s="74"/>
      <c r="O77" s="74"/>
      <c r="P77" s="74"/>
      <c r="Q77" s="74"/>
      <c r="R77" s="74"/>
      <c r="S77" s="74"/>
      <c r="T77" s="74"/>
      <c r="U77" s="74"/>
      <c r="V77" s="74"/>
      <c r="W77" s="74"/>
      <c r="X77" s="74"/>
      <c r="Y77" s="74"/>
      <c r="Z77" s="74"/>
      <c r="AA77" s="74"/>
      <c r="AB77" s="74"/>
    </row>
    <row r="78" spans="1:28" ht="12" customHeight="1">
      <c r="A78" s="330"/>
      <c r="B78" s="314"/>
      <c r="C78" s="285"/>
      <c r="D78" s="108"/>
      <c r="E78" s="285"/>
      <c r="F78" s="285"/>
      <c r="G78" s="35"/>
      <c r="H78" s="104"/>
      <c r="I78" s="35"/>
      <c r="J78" s="74"/>
      <c r="K78" s="74"/>
      <c r="L78" s="74"/>
      <c r="M78" s="74"/>
      <c r="N78" s="74"/>
      <c r="O78" s="74"/>
      <c r="P78" s="74"/>
      <c r="Q78" s="74"/>
      <c r="R78" s="74"/>
      <c r="S78" s="74"/>
      <c r="T78" s="74"/>
      <c r="U78" s="74"/>
      <c r="V78" s="74"/>
      <c r="W78" s="74"/>
      <c r="X78" s="74"/>
      <c r="Y78" s="74"/>
      <c r="Z78" s="74"/>
      <c r="AA78" s="74"/>
      <c r="AB78" s="74"/>
    </row>
    <row r="79" spans="1:28" ht="12" customHeight="1">
      <c r="A79" s="330"/>
      <c r="B79" s="314"/>
      <c r="C79" s="285"/>
      <c r="D79" s="108"/>
      <c r="E79" s="285"/>
      <c r="F79" s="285"/>
      <c r="G79" s="35"/>
      <c r="H79" s="104"/>
      <c r="I79" s="35"/>
      <c r="J79" s="74"/>
      <c r="K79" s="74"/>
      <c r="L79" s="74"/>
      <c r="M79" s="74"/>
      <c r="N79" s="74"/>
      <c r="O79" s="74"/>
      <c r="P79" s="74"/>
      <c r="Q79" s="74"/>
      <c r="R79" s="74"/>
      <c r="S79" s="74"/>
      <c r="T79" s="74"/>
      <c r="U79" s="74"/>
      <c r="V79" s="74"/>
      <c r="W79" s="74"/>
      <c r="X79" s="74"/>
      <c r="Y79" s="74"/>
      <c r="Z79" s="74"/>
      <c r="AA79" s="74"/>
      <c r="AB79" s="74"/>
    </row>
    <row r="80" spans="1:28" ht="12" customHeight="1">
      <c r="A80" s="330"/>
      <c r="B80" s="314"/>
      <c r="C80" s="285"/>
      <c r="D80" s="108"/>
      <c r="E80" s="285"/>
      <c r="F80" s="285"/>
      <c r="G80" s="35"/>
      <c r="H80" s="104"/>
      <c r="I80" s="35"/>
      <c r="J80" s="74"/>
      <c r="K80" s="74"/>
      <c r="L80" s="74"/>
      <c r="M80" s="74"/>
      <c r="N80" s="74"/>
      <c r="O80" s="74"/>
      <c r="P80" s="74"/>
      <c r="Q80" s="74"/>
      <c r="R80" s="74"/>
      <c r="S80" s="74"/>
      <c r="T80" s="74"/>
      <c r="U80" s="74"/>
      <c r="V80" s="74"/>
      <c r="W80" s="74"/>
      <c r="X80" s="74"/>
      <c r="Y80" s="74"/>
      <c r="Z80" s="74"/>
      <c r="AA80" s="74"/>
      <c r="AB80" s="74"/>
    </row>
    <row r="81" spans="1:28" ht="12" customHeight="1">
      <c r="A81" s="330"/>
      <c r="B81" s="314"/>
      <c r="C81" s="285"/>
      <c r="D81" s="108"/>
      <c r="E81" s="285"/>
      <c r="F81" s="285"/>
      <c r="G81" s="35"/>
      <c r="H81" s="104"/>
      <c r="I81" s="35"/>
      <c r="J81" s="74"/>
      <c r="K81" s="74"/>
      <c r="L81" s="74"/>
      <c r="M81" s="74"/>
      <c r="N81" s="74"/>
      <c r="O81" s="74"/>
      <c r="P81" s="74"/>
      <c r="Q81" s="74"/>
      <c r="R81" s="74"/>
      <c r="S81" s="74"/>
      <c r="T81" s="74"/>
      <c r="U81" s="74"/>
      <c r="V81" s="74"/>
      <c r="W81" s="74"/>
      <c r="X81" s="74"/>
      <c r="Y81" s="74"/>
      <c r="Z81" s="74"/>
      <c r="AA81" s="74"/>
      <c r="AB81" s="74"/>
    </row>
    <row r="82" spans="1:28" ht="12" customHeight="1">
      <c r="A82" s="330"/>
      <c r="B82" s="314"/>
      <c r="C82" s="285"/>
      <c r="D82" s="108"/>
      <c r="E82" s="285"/>
      <c r="F82" s="285"/>
      <c r="G82" s="35"/>
      <c r="H82" s="104"/>
      <c r="I82" s="35"/>
      <c r="J82" s="74"/>
      <c r="K82" s="74"/>
      <c r="L82" s="74"/>
      <c r="M82" s="74"/>
      <c r="N82" s="74"/>
      <c r="O82" s="74"/>
      <c r="P82" s="74"/>
      <c r="Q82" s="74"/>
      <c r="R82" s="74"/>
      <c r="S82" s="74"/>
      <c r="T82" s="74"/>
      <c r="U82" s="74"/>
      <c r="V82" s="74"/>
      <c r="W82" s="74"/>
      <c r="X82" s="74"/>
      <c r="Y82" s="74"/>
      <c r="Z82" s="74"/>
      <c r="AA82" s="74"/>
      <c r="AB82" s="74"/>
    </row>
    <row r="83" spans="1:28" ht="12" customHeight="1">
      <c r="A83" s="330"/>
      <c r="B83" s="314"/>
      <c r="C83" s="285"/>
      <c r="D83" s="108"/>
      <c r="E83" s="285"/>
      <c r="F83" s="285"/>
      <c r="G83" s="35"/>
      <c r="H83" s="104"/>
      <c r="I83" s="35"/>
      <c r="J83" s="74"/>
      <c r="K83" s="74"/>
      <c r="L83" s="74"/>
      <c r="M83" s="74"/>
      <c r="N83" s="74"/>
      <c r="O83" s="74"/>
      <c r="P83" s="74"/>
      <c r="Q83" s="74"/>
      <c r="R83" s="74"/>
      <c r="S83" s="74"/>
      <c r="T83" s="74"/>
      <c r="U83" s="74"/>
      <c r="V83" s="74"/>
      <c r="W83" s="74"/>
      <c r="X83" s="74"/>
      <c r="Y83" s="74"/>
      <c r="Z83" s="74"/>
      <c r="AA83" s="74"/>
      <c r="AB83" s="74"/>
    </row>
    <row r="84" spans="1:28" ht="12" customHeight="1">
      <c r="A84" s="330"/>
      <c r="B84" s="314"/>
      <c r="C84" s="285"/>
      <c r="D84" s="108"/>
      <c r="E84" s="285"/>
      <c r="F84" s="285"/>
      <c r="G84" s="35"/>
      <c r="H84" s="104"/>
      <c r="I84" s="35"/>
      <c r="J84" s="74"/>
      <c r="K84" s="74"/>
      <c r="L84" s="74"/>
      <c r="M84" s="74"/>
      <c r="N84" s="74"/>
      <c r="O84" s="74"/>
      <c r="P84" s="74"/>
      <c r="Q84" s="74"/>
      <c r="R84" s="74"/>
      <c r="S84" s="74"/>
      <c r="T84" s="74"/>
      <c r="U84" s="74"/>
      <c r="V84" s="74"/>
      <c r="W84" s="74"/>
      <c r="X84" s="74"/>
      <c r="Y84" s="74"/>
      <c r="Z84" s="74"/>
      <c r="AA84" s="74"/>
      <c r="AB84" s="74"/>
    </row>
    <row r="85" spans="1:28" ht="12" customHeight="1">
      <c r="A85" s="330"/>
      <c r="B85" s="314"/>
      <c r="C85" s="285"/>
      <c r="D85" s="108"/>
      <c r="E85" s="285"/>
      <c r="F85" s="285"/>
      <c r="G85" s="35"/>
      <c r="H85" s="104"/>
      <c r="I85" s="35"/>
      <c r="J85" s="74"/>
      <c r="K85" s="74"/>
      <c r="L85" s="74"/>
      <c r="M85" s="74"/>
      <c r="N85" s="74"/>
      <c r="O85" s="74"/>
      <c r="P85" s="74"/>
      <c r="Q85" s="74"/>
      <c r="R85" s="74"/>
      <c r="S85" s="74"/>
      <c r="T85" s="74"/>
      <c r="U85" s="74"/>
      <c r="V85" s="74"/>
      <c r="W85" s="74"/>
      <c r="X85" s="74"/>
      <c r="Y85" s="74"/>
      <c r="Z85" s="74"/>
      <c r="AA85" s="74"/>
      <c r="AB85" s="74"/>
    </row>
    <row r="86" spans="1:28" ht="12" customHeight="1">
      <c r="A86" s="330"/>
      <c r="B86" s="314"/>
      <c r="C86" s="285"/>
      <c r="D86" s="108"/>
      <c r="E86" s="285"/>
      <c r="F86" s="285"/>
      <c r="G86" s="35"/>
      <c r="H86" s="104"/>
      <c r="I86" s="35"/>
      <c r="J86" s="74"/>
      <c r="K86" s="74"/>
      <c r="L86" s="74"/>
      <c r="M86" s="74"/>
      <c r="N86" s="74"/>
      <c r="O86" s="74"/>
      <c r="P86" s="74"/>
      <c r="Q86" s="74"/>
      <c r="R86" s="74"/>
      <c r="S86" s="74"/>
      <c r="T86" s="74"/>
      <c r="U86" s="74"/>
      <c r="V86" s="74"/>
      <c r="W86" s="74"/>
      <c r="X86" s="74"/>
      <c r="Y86" s="74"/>
      <c r="Z86" s="74"/>
      <c r="AA86" s="74"/>
      <c r="AB86" s="74"/>
    </row>
    <row r="87" spans="1:28" ht="12" customHeight="1">
      <c r="A87" s="330"/>
      <c r="B87" s="314"/>
      <c r="C87" s="285"/>
      <c r="D87" s="108"/>
      <c r="E87" s="285"/>
      <c r="F87" s="285"/>
      <c r="G87" s="35"/>
      <c r="H87" s="104"/>
      <c r="I87" s="35"/>
      <c r="J87" s="74"/>
      <c r="K87" s="74"/>
      <c r="L87" s="74"/>
      <c r="M87" s="74"/>
      <c r="N87" s="74"/>
      <c r="O87" s="74"/>
      <c r="P87" s="74"/>
      <c r="Q87" s="74"/>
      <c r="R87" s="74"/>
      <c r="S87" s="74"/>
      <c r="T87" s="74"/>
      <c r="U87" s="74"/>
      <c r="V87" s="74"/>
      <c r="W87" s="74"/>
      <c r="X87" s="74"/>
      <c r="Y87" s="74"/>
      <c r="Z87" s="74"/>
      <c r="AA87" s="74"/>
      <c r="AB87" s="74"/>
    </row>
    <row r="88" spans="1:28" ht="12" customHeight="1">
      <c r="A88" s="330"/>
      <c r="B88" s="314"/>
      <c r="C88" s="285"/>
      <c r="D88" s="108"/>
      <c r="E88" s="285"/>
      <c r="F88" s="285"/>
      <c r="G88" s="35"/>
      <c r="H88" s="104"/>
      <c r="I88" s="35"/>
      <c r="J88" s="74"/>
      <c r="K88" s="74"/>
      <c r="L88" s="74"/>
      <c r="M88" s="74"/>
      <c r="N88" s="74"/>
      <c r="O88" s="74"/>
      <c r="P88" s="74"/>
      <c r="Q88" s="74"/>
      <c r="R88" s="74"/>
      <c r="S88" s="74"/>
      <c r="T88" s="74"/>
      <c r="U88" s="74"/>
      <c r="V88" s="74"/>
      <c r="W88" s="74"/>
      <c r="X88" s="74"/>
      <c r="Y88" s="74"/>
      <c r="Z88" s="74"/>
      <c r="AA88" s="74"/>
      <c r="AB88" s="74"/>
    </row>
    <row r="89" spans="1:28" ht="12" customHeight="1">
      <c r="A89" s="330"/>
      <c r="B89" s="314"/>
      <c r="C89" s="285"/>
      <c r="D89" s="108"/>
      <c r="E89" s="285"/>
      <c r="F89" s="285"/>
      <c r="G89" s="35"/>
      <c r="H89" s="104"/>
      <c r="I89" s="35"/>
      <c r="J89" s="74"/>
      <c r="K89" s="74"/>
      <c r="L89" s="74"/>
      <c r="M89" s="74"/>
      <c r="N89" s="74"/>
      <c r="O89" s="74"/>
      <c r="P89" s="74"/>
      <c r="Q89" s="74"/>
      <c r="R89" s="74"/>
      <c r="S89" s="74"/>
      <c r="T89" s="74"/>
      <c r="U89" s="74"/>
      <c r="V89" s="74"/>
      <c r="W89" s="74"/>
      <c r="X89" s="74"/>
      <c r="Y89" s="74"/>
      <c r="Z89" s="74"/>
      <c r="AA89" s="74"/>
      <c r="AB89" s="74"/>
    </row>
    <row r="90" spans="1:28" ht="12" customHeight="1">
      <c r="A90" s="330"/>
      <c r="B90" s="314"/>
      <c r="C90" s="285"/>
      <c r="D90" s="108"/>
      <c r="E90" s="285"/>
      <c r="F90" s="285"/>
      <c r="G90" s="35"/>
      <c r="H90" s="104"/>
      <c r="I90" s="35"/>
      <c r="J90" s="74"/>
      <c r="K90" s="74"/>
      <c r="L90" s="74"/>
      <c r="M90" s="74"/>
      <c r="N90" s="74"/>
      <c r="O90" s="74"/>
      <c r="P90" s="74"/>
      <c r="Q90" s="74"/>
      <c r="R90" s="74"/>
      <c r="S90" s="74"/>
      <c r="T90" s="74"/>
      <c r="U90" s="74"/>
      <c r="V90" s="74"/>
      <c r="W90" s="74"/>
      <c r="X90" s="74"/>
      <c r="Y90" s="74"/>
      <c r="Z90" s="74"/>
      <c r="AA90" s="74"/>
      <c r="AB90" s="74"/>
    </row>
    <row r="91" spans="1:28" ht="12" customHeight="1">
      <c r="A91" s="330"/>
      <c r="B91" s="314"/>
      <c r="C91" s="285"/>
      <c r="D91" s="108"/>
      <c r="E91" s="285"/>
      <c r="F91" s="285"/>
      <c r="G91" s="35"/>
      <c r="H91" s="104"/>
      <c r="I91" s="35"/>
      <c r="J91" s="74"/>
      <c r="K91" s="74"/>
      <c r="L91" s="74"/>
      <c r="M91" s="74"/>
      <c r="N91" s="74"/>
      <c r="O91" s="74"/>
      <c r="P91" s="74"/>
      <c r="Q91" s="74"/>
      <c r="R91" s="74"/>
      <c r="S91" s="74"/>
      <c r="T91" s="74"/>
      <c r="U91" s="74"/>
      <c r="V91" s="74"/>
      <c r="W91" s="74"/>
      <c r="X91" s="74"/>
      <c r="Y91" s="74"/>
      <c r="Z91" s="74"/>
      <c r="AA91" s="74"/>
      <c r="AB91" s="74"/>
    </row>
    <row r="92" spans="1:28" ht="12" customHeight="1">
      <c r="A92" s="330"/>
      <c r="B92" s="314"/>
      <c r="C92" s="285"/>
      <c r="D92" s="108"/>
      <c r="E92" s="285"/>
      <c r="F92" s="285"/>
      <c r="G92" s="35"/>
      <c r="H92" s="104"/>
      <c r="I92" s="35"/>
      <c r="J92" s="74"/>
      <c r="K92" s="74"/>
      <c r="L92" s="74"/>
      <c r="M92" s="74"/>
      <c r="N92" s="74"/>
      <c r="O92" s="74"/>
      <c r="P92" s="74"/>
      <c r="Q92" s="74"/>
      <c r="R92" s="74"/>
      <c r="S92" s="74"/>
      <c r="T92" s="74"/>
      <c r="U92" s="74"/>
      <c r="V92" s="74"/>
      <c r="W92" s="74"/>
      <c r="X92" s="74"/>
      <c r="Y92" s="74"/>
      <c r="Z92" s="74"/>
      <c r="AA92" s="74"/>
      <c r="AB92" s="74"/>
    </row>
    <row r="93" spans="1:28" ht="12" customHeight="1">
      <c r="A93" s="330"/>
      <c r="B93" s="314"/>
      <c r="C93" s="285"/>
      <c r="D93" s="108"/>
      <c r="E93" s="285"/>
      <c r="F93" s="285"/>
      <c r="G93" s="35"/>
      <c r="H93" s="104"/>
      <c r="I93" s="35"/>
      <c r="J93" s="74"/>
      <c r="K93" s="74"/>
      <c r="L93" s="74"/>
      <c r="M93" s="74"/>
      <c r="N93" s="74"/>
      <c r="O93" s="74"/>
      <c r="P93" s="74"/>
      <c r="Q93" s="74"/>
      <c r="R93" s="74"/>
      <c r="S93" s="74"/>
      <c r="T93" s="74"/>
      <c r="U93" s="74"/>
      <c r="V93" s="74"/>
      <c r="W93" s="74"/>
      <c r="X93" s="74"/>
      <c r="Y93" s="74"/>
      <c r="Z93" s="74"/>
      <c r="AA93" s="74"/>
      <c r="AB93" s="74"/>
    </row>
    <row r="94" spans="1:28" ht="12" customHeight="1">
      <c r="A94" s="330"/>
      <c r="B94" s="314"/>
      <c r="C94" s="285"/>
      <c r="D94" s="108"/>
      <c r="E94" s="285"/>
      <c r="F94" s="285"/>
      <c r="G94" s="35"/>
      <c r="H94" s="104"/>
      <c r="I94" s="35"/>
      <c r="J94" s="74"/>
      <c r="K94" s="74"/>
      <c r="L94" s="74"/>
      <c r="M94" s="74"/>
      <c r="N94" s="74"/>
      <c r="O94" s="74"/>
      <c r="P94" s="74"/>
      <c r="Q94" s="74"/>
      <c r="R94" s="74"/>
      <c r="S94" s="74"/>
      <c r="T94" s="74"/>
      <c r="U94" s="74"/>
      <c r="V94" s="74"/>
      <c r="W94" s="74"/>
      <c r="X94" s="74"/>
      <c r="Y94" s="74"/>
      <c r="Z94" s="74"/>
      <c r="AA94" s="74"/>
      <c r="AB94" s="74"/>
    </row>
    <row r="95" spans="1:28" ht="12" customHeight="1">
      <c r="A95" s="330"/>
      <c r="B95" s="314"/>
      <c r="C95" s="285"/>
      <c r="D95" s="108"/>
      <c r="E95" s="285"/>
      <c r="F95" s="285"/>
      <c r="G95" s="35"/>
      <c r="H95" s="104"/>
      <c r="I95" s="35"/>
      <c r="J95" s="74"/>
      <c r="K95" s="74"/>
      <c r="L95" s="74"/>
      <c r="M95" s="74"/>
      <c r="N95" s="74"/>
      <c r="O95" s="74"/>
      <c r="P95" s="74"/>
      <c r="Q95" s="74"/>
      <c r="R95" s="74"/>
      <c r="S95" s="74"/>
      <c r="T95" s="74"/>
      <c r="U95" s="74"/>
      <c r="V95" s="74"/>
      <c r="W95" s="74"/>
      <c r="X95" s="74"/>
      <c r="Y95" s="74"/>
      <c r="Z95" s="74"/>
      <c r="AA95" s="74"/>
      <c r="AB95" s="74"/>
    </row>
    <row r="96" spans="1:28" ht="12" customHeight="1">
      <c r="A96" s="330"/>
      <c r="B96" s="314"/>
      <c r="C96" s="285"/>
      <c r="D96" s="108"/>
      <c r="E96" s="285"/>
      <c r="F96" s="285"/>
      <c r="G96" s="35"/>
      <c r="H96" s="104"/>
      <c r="I96" s="35"/>
      <c r="J96" s="74"/>
      <c r="K96" s="74"/>
      <c r="L96" s="74"/>
      <c r="M96" s="74"/>
      <c r="N96" s="74"/>
      <c r="O96" s="74"/>
      <c r="P96" s="74"/>
      <c r="Q96" s="74"/>
      <c r="R96" s="74"/>
      <c r="S96" s="74"/>
      <c r="T96" s="74"/>
      <c r="U96" s="74"/>
      <c r="V96" s="74"/>
      <c r="W96" s="74"/>
      <c r="X96" s="74"/>
      <c r="Y96" s="74"/>
      <c r="Z96" s="74"/>
      <c r="AA96" s="74"/>
      <c r="AB96" s="74"/>
    </row>
    <row r="97" spans="1:28" ht="12" customHeight="1">
      <c r="A97" s="330"/>
      <c r="B97" s="314"/>
      <c r="C97" s="285"/>
      <c r="D97" s="108"/>
      <c r="E97" s="285"/>
      <c r="F97" s="285"/>
      <c r="G97" s="35"/>
      <c r="H97" s="104"/>
      <c r="I97" s="35"/>
      <c r="J97" s="74"/>
      <c r="K97" s="74"/>
      <c r="L97" s="74"/>
      <c r="M97" s="74"/>
      <c r="N97" s="74"/>
      <c r="O97" s="74"/>
      <c r="P97" s="74"/>
      <c r="Q97" s="74"/>
      <c r="R97" s="74"/>
      <c r="S97" s="74"/>
      <c r="T97" s="74"/>
      <c r="U97" s="74"/>
      <c r="V97" s="74"/>
      <c r="W97" s="74"/>
      <c r="X97" s="74"/>
      <c r="Y97" s="74"/>
      <c r="Z97" s="74"/>
      <c r="AA97" s="74"/>
      <c r="AB97" s="74"/>
    </row>
    <row r="98" spans="1:28" ht="12" customHeight="1">
      <c r="A98" s="330"/>
      <c r="B98" s="314"/>
      <c r="C98" s="285"/>
      <c r="D98" s="108"/>
      <c r="E98" s="285"/>
      <c r="F98" s="285"/>
      <c r="G98" s="35"/>
      <c r="H98" s="104"/>
      <c r="I98" s="35"/>
      <c r="J98" s="74"/>
      <c r="K98" s="74"/>
      <c r="L98" s="74"/>
      <c r="M98" s="74"/>
      <c r="N98" s="74"/>
      <c r="O98" s="74"/>
      <c r="P98" s="74"/>
      <c r="Q98" s="74"/>
      <c r="R98" s="74"/>
      <c r="S98" s="74"/>
      <c r="T98" s="74"/>
      <c r="U98" s="74"/>
      <c r="V98" s="74"/>
      <c r="W98" s="74"/>
      <c r="X98" s="74"/>
      <c r="Y98" s="74"/>
      <c r="Z98" s="74"/>
      <c r="AA98" s="74"/>
      <c r="AB98" s="74"/>
    </row>
    <row r="99" spans="1:28" ht="12" customHeight="1">
      <c r="A99" s="330"/>
      <c r="B99" s="314"/>
      <c r="C99" s="285"/>
      <c r="D99" s="108"/>
      <c r="E99" s="285"/>
      <c r="F99" s="285"/>
      <c r="G99" s="35"/>
      <c r="H99" s="104"/>
      <c r="I99" s="35"/>
      <c r="J99" s="74"/>
      <c r="K99" s="74"/>
      <c r="L99" s="74"/>
      <c r="M99" s="74"/>
      <c r="N99" s="74"/>
      <c r="O99" s="74"/>
      <c r="P99" s="74"/>
      <c r="Q99" s="74"/>
      <c r="R99" s="74"/>
      <c r="S99" s="74"/>
      <c r="T99" s="74"/>
      <c r="U99" s="74"/>
      <c r="V99" s="74"/>
      <c r="W99" s="74"/>
      <c r="X99" s="74"/>
      <c r="Y99" s="74"/>
      <c r="Z99" s="74"/>
      <c r="AA99" s="74"/>
      <c r="AB99" s="74"/>
    </row>
    <row r="100" spans="1:28" ht="12" customHeight="1">
      <c r="A100" s="330"/>
      <c r="B100" s="314"/>
      <c r="C100" s="285"/>
      <c r="D100" s="108"/>
      <c r="E100" s="285"/>
      <c r="F100" s="285"/>
      <c r="G100" s="35"/>
      <c r="H100" s="104"/>
      <c r="I100" s="35"/>
      <c r="J100" s="74"/>
      <c r="K100" s="74"/>
      <c r="L100" s="74"/>
      <c r="M100" s="74"/>
      <c r="N100" s="74"/>
      <c r="O100" s="74"/>
      <c r="P100" s="74"/>
      <c r="Q100" s="74"/>
      <c r="R100" s="74"/>
      <c r="S100" s="74"/>
      <c r="T100" s="74"/>
      <c r="U100" s="74"/>
      <c r="V100" s="74"/>
      <c r="W100" s="74"/>
      <c r="X100" s="74"/>
      <c r="Y100" s="74"/>
      <c r="Z100" s="74"/>
      <c r="AA100" s="74"/>
      <c r="AB100" s="74"/>
    </row>
    <row r="101" spans="1:28" ht="12" customHeight="1">
      <c r="A101" s="330"/>
      <c r="B101" s="314"/>
      <c r="C101" s="285"/>
      <c r="D101" s="108"/>
      <c r="E101" s="285"/>
      <c r="F101" s="285"/>
      <c r="G101" s="35"/>
      <c r="H101" s="104"/>
      <c r="I101" s="35"/>
      <c r="J101" s="74"/>
      <c r="K101" s="74"/>
      <c r="L101" s="74"/>
      <c r="M101" s="74"/>
      <c r="N101" s="74"/>
      <c r="O101" s="74"/>
      <c r="P101" s="74"/>
      <c r="Q101" s="74"/>
      <c r="R101" s="74"/>
      <c r="S101" s="74"/>
      <c r="T101" s="74"/>
      <c r="U101" s="74"/>
      <c r="V101" s="74"/>
      <c r="W101" s="74"/>
      <c r="X101" s="74"/>
      <c r="Y101" s="74"/>
      <c r="Z101" s="74"/>
      <c r="AA101" s="74"/>
      <c r="AB101" s="74"/>
    </row>
    <row r="102" spans="1:28" ht="12" customHeight="1">
      <c r="A102" s="330"/>
      <c r="B102" s="314"/>
      <c r="C102" s="285"/>
      <c r="D102" s="108"/>
      <c r="E102" s="285"/>
      <c r="F102" s="285"/>
      <c r="G102" s="35"/>
      <c r="H102" s="104"/>
      <c r="I102" s="35"/>
      <c r="J102" s="74"/>
      <c r="K102" s="74"/>
      <c r="L102" s="74"/>
      <c r="M102" s="74"/>
      <c r="N102" s="74"/>
      <c r="O102" s="74"/>
      <c r="P102" s="74"/>
      <c r="Q102" s="74"/>
      <c r="R102" s="74"/>
      <c r="S102" s="74"/>
      <c r="T102" s="74"/>
      <c r="U102" s="74"/>
      <c r="V102" s="74"/>
      <c r="W102" s="74"/>
      <c r="X102" s="74"/>
      <c r="Y102" s="74"/>
      <c r="Z102" s="74"/>
      <c r="AA102" s="74"/>
      <c r="AB102" s="74"/>
    </row>
    <row r="103" spans="1:28" ht="12" customHeight="1">
      <c r="A103" s="330"/>
      <c r="B103" s="314"/>
      <c r="C103" s="285"/>
      <c r="D103" s="108"/>
      <c r="E103" s="285"/>
      <c r="F103" s="285"/>
      <c r="G103" s="35"/>
      <c r="H103" s="104"/>
      <c r="I103" s="35"/>
      <c r="J103" s="74"/>
      <c r="K103" s="74"/>
      <c r="L103" s="74"/>
      <c r="M103" s="74"/>
      <c r="N103" s="74"/>
      <c r="O103" s="74"/>
      <c r="P103" s="74"/>
      <c r="Q103" s="74"/>
      <c r="R103" s="74"/>
      <c r="S103" s="74"/>
      <c r="T103" s="74"/>
      <c r="U103" s="74"/>
      <c r="V103" s="74"/>
      <c r="W103" s="74"/>
      <c r="X103" s="74"/>
      <c r="Y103" s="74"/>
      <c r="Z103" s="74"/>
      <c r="AA103" s="74"/>
      <c r="AB103" s="74"/>
    </row>
    <row r="104" spans="1:28" ht="12" customHeight="1">
      <c r="A104" s="330"/>
      <c r="B104" s="314"/>
      <c r="C104" s="285"/>
      <c r="D104" s="108"/>
      <c r="E104" s="285"/>
      <c r="F104" s="285"/>
      <c r="G104" s="35"/>
      <c r="H104" s="104"/>
      <c r="I104" s="35"/>
      <c r="J104" s="74"/>
      <c r="K104" s="74"/>
      <c r="L104" s="74"/>
      <c r="M104" s="74"/>
      <c r="N104" s="74"/>
      <c r="O104" s="74"/>
      <c r="P104" s="74"/>
      <c r="Q104" s="74"/>
      <c r="R104" s="74"/>
      <c r="S104" s="74"/>
      <c r="T104" s="74"/>
      <c r="U104" s="74"/>
      <c r="V104" s="74"/>
      <c r="W104" s="74"/>
      <c r="X104" s="74"/>
      <c r="Y104" s="74"/>
      <c r="Z104" s="74"/>
      <c r="AA104" s="74"/>
      <c r="AB104" s="74"/>
    </row>
    <row r="105" spans="1:28" ht="12" customHeight="1">
      <c r="A105" s="330"/>
      <c r="B105" s="314"/>
      <c r="C105" s="285"/>
      <c r="D105" s="108"/>
      <c r="E105" s="285"/>
      <c r="F105" s="285"/>
      <c r="G105" s="35"/>
      <c r="H105" s="104"/>
      <c r="I105" s="35"/>
      <c r="J105" s="74"/>
      <c r="K105" s="74"/>
      <c r="L105" s="74"/>
      <c r="M105" s="74"/>
      <c r="N105" s="74"/>
      <c r="O105" s="74"/>
      <c r="P105" s="74"/>
      <c r="Q105" s="74"/>
      <c r="R105" s="74"/>
      <c r="S105" s="74"/>
      <c r="T105" s="74"/>
      <c r="U105" s="74"/>
      <c r="V105" s="74"/>
      <c r="W105" s="74"/>
      <c r="X105" s="74"/>
      <c r="Y105" s="74"/>
      <c r="Z105" s="74"/>
      <c r="AA105" s="74"/>
      <c r="AB105" s="74"/>
    </row>
    <row r="106" spans="1:28" ht="12" customHeight="1">
      <c r="A106" s="330"/>
      <c r="B106" s="314"/>
      <c r="C106" s="285"/>
      <c r="D106" s="108"/>
      <c r="E106" s="285"/>
      <c r="F106" s="285"/>
      <c r="G106" s="35"/>
      <c r="H106" s="104"/>
      <c r="I106" s="35"/>
      <c r="J106" s="74"/>
      <c r="K106" s="74"/>
      <c r="L106" s="74"/>
      <c r="M106" s="74"/>
      <c r="N106" s="74"/>
      <c r="O106" s="74"/>
      <c r="P106" s="74"/>
      <c r="Q106" s="74"/>
      <c r="R106" s="74"/>
      <c r="S106" s="74"/>
      <c r="T106" s="74"/>
      <c r="U106" s="74"/>
      <c r="V106" s="74"/>
      <c r="W106" s="74"/>
      <c r="X106" s="74"/>
      <c r="Y106" s="74"/>
      <c r="Z106" s="74"/>
      <c r="AA106" s="74"/>
      <c r="AB106" s="74"/>
    </row>
    <row r="107" spans="1:28" ht="12" customHeight="1">
      <c r="A107" s="330"/>
      <c r="B107" s="314"/>
      <c r="C107" s="285"/>
      <c r="D107" s="108"/>
      <c r="E107" s="285"/>
      <c r="F107" s="285"/>
      <c r="G107" s="35"/>
      <c r="H107" s="104"/>
      <c r="I107" s="35"/>
      <c r="J107" s="74"/>
      <c r="K107" s="74"/>
      <c r="L107" s="74"/>
      <c r="M107" s="74"/>
      <c r="N107" s="74"/>
      <c r="O107" s="74"/>
      <c r="P107" s="74"/>
      <c r="Q107" s="74"/>
      <c r="R107" s="74"/>
      <c r="S107" s="74"/>
      <c r="T107" s="74"/>
      <c r="U107" s="74"/>
      <c r="V107" s="74"/>
      <c r="W107" s="74"/>
      <c r="X107" s="74"/>
      <c r="Y107" s="74"/>
      <c r="Z107" s="74"/>
      <c r="AA107" s="74"/>
      <c r="AB107" s="74"/>
    </row>
    <row r="108" spans="1:28" ht="12" customHeight="1">
      <c r="A108" s="330"/>
      <c r="B108" s="314"/>
      <c r="C108" s="285"/>
      <c r="D108" s="108"/>
      <c r="E108" s="285"/>
      <c r="F108" s="285"/>
      <c r="G108" s="35"/>
      <c r="H108" s="104"/>
      <c r="I108" s="35"/>
      <c r="J108" s="74"/>
      <c r="K108" s="74"/>
      <c r="L108" s="74"/>
      <c r="M108" s="74"/>
      <c r="N108" s="74"/>
      <c r="O108" s="74"/>
      <c r="P108" s="74"/>
      <c r="Q108" s="74"/>
      <c r="R108" s="74"/>
      <c r="S108" s="74"/>
      <c r="T108" s="74"/>
      <c r="U108" s="74"/>
      <c r="V108" s="74"/>
      <c r="W108" s="74"/>
      <c r="X108" s="74"/>
      <c r="Y108" s="74"/>
      <c r="Z108" s="74"/>
      <c r="AA108" s="74"/>
      <c r="AB108" s="74"/>
    </row>
    <row r="109" spans="1:28" ht="12" customHeight="1">
      <c r="A109" s="330"/>
      <c r="B109" s="314"/>
      <c r="C109" s="285"/>
      <c r="D109" s="108"/>
      <c r="E109" s="285"/>
      <c r="F109" s="285"/>
      <c r="G109" s="35"/>
      <c r="H109" s="104"/>
      <c r="I109" s="35"/>
      <c r="J109" s="74"/>
      <c r="K109" s="74"/>
      <c r="L109" s="74"/>
      <c r="M109" s="74"/>
      <c r="N109" s="74"/>
      <c r="O109" s="74"/>
      <c r="P109" s="74"/>
      <c r="Q109" s="74"/>
      <c r="R109" s="74"/>
      <c r="S109" s="74"/>
      <c r="T109" s="74"/>
      <c r="U109" s="74"/>
      <c r="V109" s="74"/>
      <c r="W109" s="74"/>
      <c r="X109" s="74"/>
      <c r="Y109" s="74"/>
      <c r="Z109" s="74"/>
      <c r="AA109" s="74"/>
      <c r="AB109" s="74"/>
    </row>
    <row r="110" spans="1:28" ht="12" customHeight="1">
      <c r="A110" s="330"/>
      <c r="B110" s="314"/>
      <c r="C110" s="285"/>
      <c r="D110" s="108"/>
      <c r="E110" s="285"/>
      <c r="F110" s="285"/>
      <c r="G110" s="35"/>
      <c r="H110" s="104"/>
      <c r="I110" s="35"/>
      <c r="J110" s="74"/>
      <c r="K110" s="74"/>
      <c r="L110" s="74"/>
      <c r="M110" s="74"/>
      <c r="N110" s="74"/>
      <c r="O110" s="74"/>
      <c r="P110" s="74"/>
      <c r="Q110" s="74"/>
      <c r="R110" s="74"/>
      <c r="S110" s="74"/>
      <c r="T110" s="74"/>
      <c r="U110" s="74"/>
      <c r="V110" s="74"/>
      <c r="W110" s="74"/>
      <c r="X110" s="74"/>
      <c r="Y110" s="74"/>
      <c r="Z110" s="74"/>
      <c r="AA110" s="74"/>
      <c r="AB110" s="74"/>
    </row>
    <row r="111" spans="1:28" ht="12" customHeight="1">
      <c r="A111" s="330"/>
      <c r="B111" s="314"/>
      <c r="C111" s="285"/>
      <c r="D111" s="108"/>
      <c r="E111" s="285"/>
      <c r="F111" s="285"/>
      <c r="G111" s="35"/>
      <c r="H111" s="104"/>
      <c r="I111" s="35"/>
      <c r="J111" s="74"/>
      <c r="K111" s="74"/>
      <c r="L111" s="74"/>
      <c r="M111" s="74"/>
      <c r="N111" s="74"/>
      <c r="O111" s="74"/>
      <c r="P111" s="74"/>
      <c r="Q111" s="74"/>
      <c r="R111" s="74"/>
      <c r="S111" s="74"/>
      <c r="T111" s="74"/>
      <c r="U111" s="74"/>
      <c r="V111" s="74"/>
      <c r="W111" s="74"/>
      <c r="X111" s="74"/>
      <c r="Y111" s="74"/>
      <c r="Z111" s="74"/>
      <c r="AA111" s="74"/>
      <c r="AB111" s="74"/>
    </row>
    <row r="112" spans="1:28" ht="12" customHeight="1">
      <c r="A112" s="330"/>
      <c r="B112" s="314"/>
      <c r="C112" s="285"/>
      <c r="D112" s="108"/>
      <c r="E112" s="285"/>
      <c r="F112" s="285"/>
      <c r="G112" s="35"/>
      <c r="H112" s="104"/>
      <c r="I112" s="35"/>
      <c r="J112" s="74"/>
      <c r="K112" s="74"/>
      <c r="L112" s="74"/>
      <c r="M112" s="74"/>
      <c r="N112" s="74"/>
      <c r="O112" s="74"/>
      <c r="P112" s="74"/>
      <c r="Q112" s="74"/>
      <c r="R112" s="74"/>
      <c r="S112" s="74"/>
      <c r="T112" s="74"/>
      <c r="U112" s="74"/>
      <c r="V112" s="74"/>
      <c r="W112" s="74"/>
      <c r="X112" s="74"/>
      <c r="Y112" s="74"/>
      <c r="Z112" s="74"/>
      <c r="AA112" s="74"/>
      <c r="AB112" s="74"/>
    </row>
    <row r="113" spans="1:28" ht="12" customHeight="1">
      <c r="A113" s="330"/>
      <c r="B113" s="314"/>
      <c r="C113" s="285"/>
      <c r="D113" s="108"/>
      <c r="E113" s="285"/>
      <c r="F113" s="285"/>
      <c r="G113" s="35"/>
      <c r="H113" s="104"/>
      <c r="I113" s="35"/>
      <c r="J113" s="74"/>
      <c r="K113" s="74"/>
      <c r="L113" s="74"/>
      <c r="M113" s="74"/>
      <c r="N113" s="74"/>
      <c r="O113" s="74"/>
      <c r="P113" s="74"/>
      <c r="Q113" s="74"/>
      <c r="R113" s="74"/>
      <c r="S113" s="74"/>
      <c r="T113" s="74"/>
      <c r="U113" s="74"/>
      <c r="V113" s="74"/>
      <c r="W113" s="74"/>
      <c r="X113" s="74"/>
      <c r="Y113" s="74"/>
      <c r="Z113" s="74"/>
      <c r="AA113" s="74"/>
      <c r="AB113" s="74"/>
    </row>
    <row r="114" spans="1:28" ht="12" customHeight="1">
      <c r="A114" s="330"/>
      <c r="B114" s="314"/>
      <c r="C114" s="285"/>
      <c r="D114" s="108"/>
      <c r="E114" s="285"/>
      <c r="F114" s="285"/>
      <c r="G114" s="35"/>
      <c r="H114" s="104"/>
      <c r="I114" s="35"/>
      <c r="J114" s="74"/>
      <c r="K114" s="74"/>
      <c r="L114" s="74"/>
      <c r="M114" s="74"/>
      <c r="N114" s="74"/>
      <c r="O114" s="74"/>
      <c r="P114" s="74"/>
      <c r="Q114" s="74"/>
      <c r="R114" s="74"/>
      <c r="S114" s="74"/>
      <c r="T114" s="74"/>
      <c r="U114" s="74"/>
      <c r="V114" s="74"/>
      <c r="W114" s="74"/>
      <c r="X114" s="74"/>
      <c r="Y114" s="74"/>
      <c r="Z114" s="74"/>
      <c r="AA114" s="74"/>
      <c r="AB114" s="74"/>
    </row>
    <row r="115" spans="1:28" ht="12" customHeight="1">
      <c r="A115" s="330"/>
      <c r="B115" s="314"/>
      <c r="C115" s="285"/>
      <c r="D115" s="108"/>
      <c r="E115" s="285"/>
      <c r="F115" s="285"/>
      <c r="G115" s="35"/>
      <c r="H115" s="104"/>
      <c r="I115" s="35"/>
      <c r="J115" s="74"/>
      <c r="K115" s="74"/>
      <c r="L115" s="74"/>
      <c r="M115" s="74"/>
      <c r="N115" s="74"/>
      <c r="O115" s="74"/>
      <c r="P115" s="74"/>
      <c r="Q115" s="74"/>
      <c r="R115" s="74"/>
      <c r="S115" s="74"/>
      <c r="T115" s="74"/>
      <c r="U115" s="74"/>
      <c r="V115" s="74"/>
      <c r="W115" s="74"/>
      <c r="X115" s="74"/>
      <c r="Y115" s="74"/>
      <c r="Z115" s="74"/>
      <c r="AA115" s="74"/>
      <c r="AB115" s="74"/>
    </row>
    <row r="116" spans="1:28" ht="12" customHeight="1">
      <c r="A116" s="330"/>
      <c r="B116" s="314"/>
      <c r="C116" s="285"/>
      <c r="D116" s="108"/>
      <c r="E116" s="285"/>
      <c r="F116" s="285"/>
      <c r="G116" s="35"/>
      <c r="H116" s="104"/>
      <c r="I116" s="35"/>
      <c r="J116" s="74"/>
      <c r="K116" s="74"/>
      <c r="L116" s="74"/>
      <c r="M116" s="74"/>
      <c r="N116" s="74"/>
      <c r="O116" s="74"/>
      <c r="P116" s="74"/>
      <c r="Q116" s="74"/>
      <c r="R116" s="74"/>
      <c r="S116" s="74"/>
      <c r="T116" s="74"/>
      <c r="U116" s="74"/>
      <c r="V116" s="74"/>
      <c r="W116" s="74"/>
      <c r="X116" s="74"/>
      <c r="Y116" s="74"/>
      <c r="Z116" s="74"/>
      <c r="AA116" s="74"/>
      <c r="AB116" s="74"/>
    </row>
    <row r="117" spans="1:28" ht="12" customHeight="1">
      <c r="A117" s="330"/>
      <c r="B117" s="314"/>
      <c r="C117" s="285"/>
      <c r="D117" s="108"/>
      <c r="E117" s="285"/>
      <c r="F117" s="285"/>
      <c r="G117" s="35"/>
      <c r="H117" s="104"/>
      <c r="I117" s="35"/>
      <c r="J117" s="74"/>
      <c r="K117" s="74"/>
      <c r="L117" s="74"/>
      <c r="M117" s="74"/>
      <c r="N117" s="74"/>
      <c r="O117" s="74"/>
      <c r="P117" s="74"/>
      <c r="Q117" s="74"/>
      <c r="R117" s="74"/>
      <c r="S117" s="74"/>
      <c r="T117" s="74"/>
      <c r="U117" s="74"/>
      <c r="V117" s="74"/>
      <c r="W117" s="74"/>
      <c r="X117" s="74"/>
      <c r="Y117" s="74"/>
      <c r="Z117" s="74"/>
      <c r="AA117" s="74"/>
      <c r="AB117" s="74"/>
    </row>
    <row r="118" spans="1:28" ht="12" customHeight="1">
      <c r="A118" s="330"/>
      <c r="B118" s="314"/>
      <c r="C118" s="285"/>
      <c r="D118" s="108"/>
      <c r="E118" s="285"/>
      <c r="F118" s="285"/>
      <c r="G118" s="35"/>
      <c r="H118" s="104"/>
      <c r="I118" s="35"/>
      <c r="J118" s="74"/>
      <c r="K118" s="74"/>
      <c r="L118" s="74"/>
      <c r="M118" s="74"/>
      <c r="N118" s="74"/>
      <c r="O118" s="74"/>
      <c r="P118" s="74"/>
      <c r="Q118" s="74"/>
      <c r="R118" s="74"/>
      <c r="S118" s="74"/>
      <c r="T118" s="74"/>
      <c r="U118" s="74"/>
      <c r="V118" s="74"/>
      <c r="W118" s="74"/>
      <c r="X118" s="74"/>
      <c r="Y118" s="74"/>
      <c r="Z118" s="74"/>
      <c r="AA118" s="74"/>
      <c r="AB118" s="74"/>
    </row>
    <row r="119" spans="1:28" ht="12" customHeight="1">
      <c r="A119" s="330"/>
      <c r="B119" s="314"/>
      <c r="C119" s="285"/>
      <c r="D119" s="108"/>
      <c r="E119" s="285"/>
      <c r="F119" s="285"/>
      <c r="G119" s="35"/>
      <c r="H119" s="104"/>
      <c r="I119" s="35"/>
      <c r="J119" s="74"/>
      <c r="K119" s="74"/>
      <c r="L119" s="74"/>
      <c r="M119" s="74"/>
      <c r="N119" s="74"/>
      <c r="O119" s="74"/>
      <c r="P119" s="74"/>
      <c r="Q119" s="74"/>
      <c r="R119" s="74"/>
      <c r="S119" s="74"/>
      <c r="T119" s="74"/>
      <c r="U119" s="74"/>
      <c r="V119" s="74"/>
      <c r="W119" s="74"/>
      <c r="X119" s="74"/>
      <c r="Y119" s="74"/>
      <c r="Z119" s="74"/>
      <c r="AA119" s="74"/>
      <c r="AB119" s="74"/>
    </row>
    <row r="120" spans="1:28" ht="12" customHeight="1">
      <c r="A120" s="330"/>
      <c r="B120" s="314"/>
      <c r="C120" s="285"/>
      <c r="D120" s="108"/>
      <c r="E120" s="285"/>
      <c r="F120" s="285"/>
      <c r="G120" s="35"/>
      <c r="H120" s="104"/>
      <c r="I120" s="35"/>
      <c r="J120" s="74"/>
      <c r="K120" s="74"/>
      <c r="L120" s="74"/>
      <c r="M120" s="74"/>
      <c r="N120" s="74"/>
      <c r="O120" s="74"/>
      <c r="P120" s="74"/>
      <c r="Q120" s="74"/>
      <c r="R120" s="74"/>
      <c r="S120" s="74"/>
      <c r="T120" s="74"/>
      <c r="U120" s="74"/>
      <c r="V120" s="74"/>
      <c r="W120" s="74"/>
      <c r="X120" s="74"/>
      <c r="Y120" s="74"/>
      <c r="Z120" s="74"/>
      <c r="AA120" s="74"/>
      <c r="AB120" s="74"/>
    </row>
    <row r="121" spans="1:28" ht="12" customHeight="1">
      <c r="A121" s="330"/>
      <c r="B121" s="314"/>
      <c r="C121" s="285"/>
      <c r="D121" s="108"/>
      <c r="E121" s="285"/>
      <c r="F121" s="285"/>
      <c r="G121" s="35"/>
      <c r="H121" s="104"/>
      <c r="I121" s="35"/>
      <c r="J121" s="74"/>
      <c r="K121" s="74"/>
      <c r="L121" s="74"/>
      <c r="M121" s="74"/>
      <c r="N121" s="74"/>
      <c r="O121" s="74"/>
      <c r="P121" s="74"/>
      <c r="Q121" s="74"/>
      <c r="R121" s="74"/>
      <c r="S121" s="74"/>
      <c r="T121" s="74"/>
      <c r="U121" s="74"/>
      <c r="V121" s="74"/>
      <c r="W121" s="74"/>
      <c r="X121" s="74"/>
      <c r="Y121" s="74"/>
      <c r="Z121" s="74"/>
      <c r="AA121" s="74"/>
      <c r="AB121" s="74"/>
    </row>
    <row r="122" spans="1:28" ht="12" customHeight="1">
      <c r="A122" s="330"/>
      <c r="B122" s="314"/>
      <c r="C122" s="285"/>
      <c r="D122" s="108"/>
      <c r="E122" s="285"/>
      <c r="F122" s="285"/>
      <c r="G122" s="35"/>
      <c r="H122" s="104"/>
      <c r="I122" s="35"/>
      <c r="J122" s="74"/>
      <c r="K122" s="74"/>
      <c r="L122" s="74"/>
      <c r="M122" s="74"/>
      <c r="N122" s="74"/>
      <c r="O122" s="74"/>
      <c r="P122" s="74"/>
      <c r="Q122" s="74"/>
      <c r="R122" s="74"/>
      <c r="S122" s="74"/>
      <c r="T122" s="74"/>
      <c r="U122" s="74"/>
      <c r="V122" s="74"/>
      <c r="W122" s="74"/>
      <c r="X122" s="74"/>
      <c r="Y122" s="74"/>
      <c r="Z122" s="74"/>
      <c r="AA122" s="74"/>
      <c r="AB122" s="74"/>
    </row>
    <row r="123" spans="1:28" ht="12" customHeight="1">
      <c r="A123" s="330"/>
      <c r="B123" s="314"/>
      <c r="C123" s="285"/>
      <c r="D123" s="108"/>
      <c r="E123" s="285"/>
      <c r="F123" s="285"/>
      <c r="G123" s="35"/>
      <c r="H123" s="104"/>
      <c r="I123" s="35"/>
      <c r="J123" s="74"/>
      <c r="K123" s="74"/>
      <c r="L123" s="74"/>
      <c r="M123" s="74"/>
      <c r="N123" s="74"/>
      <c r="O123" s="74"/>
      <c r="P123" s="74"/>
      <c r="Q123" s="74"/>
      <c r="R123" s="74"/>
      <c r="S123" s="74"/>
      <c r="T123" s="74"/>
      <c r="U123" s="74"/>
      <c r="V123" s="74"/>
      <c r="W123" s="74"/>
      <c r="X123" s="74"/>
      <c r="Y123" s="74"/>
      <c r="Z123" s="74"/>
      <c r="AA123" s="74"/>
      <c r="AB123" s="74"/>
    </row>
    <row r="124" spans="1:28" ht="12" customHeight="1">
      <c r="A124" s="330"/>
      <c r="B124" s="314"/>
      <c r="C124" s="285"/>
      <c r="D124" s="108"/>
      <c r="E124" s="285"/>
      <c r="F124" s="285"/>
      <c r="G124" s="35"/>
      <c r="H124" s="104"/>
      <c r="I124" s="35"/>
      <c r="J124" s="74"/>
      <c r="K124" s="74"/>
      <c r="L124" s="74"/>
      <c r="M124" s="74"/>
      <c r="N124" s="74"/>
      <c r="O124" s="74"/>
      <c r="P124" s="74"/>
      <c r="Q124" s="74"/>
      <c r="R124" s="74"/>
      <c r="S124" s="74"/>
      <c r="T124" s="74"/>
      <c r="U124" s="74"/>
      <c r="V124" s="74"/>
      <c r="W124" s="74"/>
      <c r="X124" s="74"/>
      <c r="Y124" s="74"/>
      <c r="Z124" s="74"/>
      <c r="AA124" s="74"/>
      <c r="AB124" s="74"/>
    </row>
    <row r="125" spans="1:28" ht="12" customHeight="1">
      <c r="A125" s="330"/>
      <c r="B125" s="314"/>
      <c r="C125" s="285"/>
      <c r="D125" s="108"/>
      <c r="E125" s="285"/>
      <c r="F125" s="285"/>
      <c r="G125" s="35"/>
      <c r="H125" s="104"/>
      <c r="I125" s="35"/>
      <c r="J125" s="74"/>
      <c r="K125" s="74"/>
      <c r="L125" s="74"/>
      <c r="M125" s="74"/>
      <c r="N125" s="74"/>
      <c r="O125" s="74"/>
      <c r="P125" s="74"/>
      <c r="Q125" s="74"/>
      <c r="R125" s="74"/>
      <c r="S125" s="74"/>
      <c r="T125" s="74"/>
      <c r="U125" s="74"/>
      <c r="V125" s="74"/>
      <c r="W125" s="74"/>
      <c r="X125" s="74"/>
      <c r="Y125" s="74"/>
      <c r="Z125" s="74"/>
      <c r="AA125" s="74"/>
      <c r="AB125" s="74"/>
    </row>
    <row r="126" spans="1:28" ht="12" customHeight="1">
      <c r="A126" s="330"/>
      <c r="B126" s="314"/>
      <c r="C126" s="285"/>
      <c r="D126" s="108"/>
      <c r="E126" s="285"/>
      <c r="F126" s="285"/>
      <c r="G126" s="35"/>
      <c r="H126" s="104"/>
      <c r="I126" s="35"/>
      <c r="J126" s="74"/>
      <c r="K126" s="74"/>
      <c r="L126" s="74"/>
      <c r="M126" s="74"/>
      <c r="N126" s="74"/>
      <c r="O126" s="74"/>
      <c r="P126" s="74"/>
      <c r="Q126" s="74"/>
      <c r="R126" s="74"/>
      <c r="S126" s="74"/>
      <c r="T126" s="74"/>
      <c r="U126" s="74"/>
      <c r="V126" s="74"/>
      <c r="W126" s="74"/>
      <c r="X126" s="74"/>
      <c r="Y126" s="74"/>
      <c r="Z126" s="74"/>
      <c r="AA126" s="74"/>
      <c r="AB126" s="74"/>
    </row>
    <row r="127" spans="1:28" ht="12" customHeight="1">
      <c r="A127" s="330"/>
      <c r="B127" s="314"/>
      <c r="C127" s="285"/>
      <c r="D127" s="108"/>
      <c r="E127" s="285"/>
      <c r="F127" s="285"/>
      <c r="G127" s="35"/>
      <c r="H127" s="104"/>
      <c r="I127" s="35"/>
      <c r="J127" s="74"/>
      <c r="K127" s="74"/>
      <c r="L127" s="74"/>
      <c r="M127" s="74"/>
      <c r="N127" s="74"/>
      <c r="O127" s="74"/>
      <c r="P127" s="74"/>
      <c r="Q127" s="74"/>
      <c r="R127" s="74"/>
      <c r="S127" s="74"/>
      <c r="T127" s="74"/>
      <c r="U127" s="74"/>
      <c r="V127" s="74"/>
      <c r="W127" s="74"/>
      <c r="X127" s="74"/>
      <c r="Y127" s="74"/>
      <c r="Z127" s="74"/>
      <c r="AA127" s="74"/>
      <c r="AB127" s="74"/>
    </row>
    <row r="128" spans="1:28" ht="12" customHeight="1">
      <c r="A128" s="330"/>
      <c r="B128" s="314"/>
      <c r="C128" s="285"/>
      <c r="D128" s="108"/>
      <c r="E128" s="285"/>
      <c r="F128" s="285"/>
      <c r="G128" s="35"/>
      <c r="H128" s="104"/>
      <c r="I128" s="35"/>
      <c r="J128" s="74"/>
      <c r="K128" s="74"/>
      <c r="L128" s="74"/>
      <c r="M128" s="74"/>
      <c r="N128" s="74"/>
      <c r="O128" s="74"/>
      <c r="P128" s="74"/>
      <c r="Q128" s="74"/>
      <c r="R128" s="74"/>
      <c r="S128" s="74"/>
      <c r="T128" s="74"/>
      <c r="U128" s="74"/>
      <c r="V128" s="74"/>
      <c r="W128" s="74"/>
      <c r="X128" s="74"/>
      <c r="Y128" s="74"/>
      <c r="Z128" s="74"/>
      <c r="AA128" s="74"/>
      <c r="AB128" s="74"/>
    </row>
    <row r="129" spans="1:28" ht="12" customHeight="1">
      <c r="A129" s="330"/>
      <c r="B129" s="314"/>
      <c r="C129" s="285"/>
      <c r="D129" s="108"/>
      <c r="E129" s="285"/>
      <c r="F129" s="285"/>
      <c r="G129" s="35"/>
      <c r="H129" s="104"/>
      <c r="I129" s="35"/>
      <c r="J129" s="74"/>
      <c r="K129" s="74"/>
      <c r="L129" s="74"/>
      <c r="M129" s="74"/>
      <c r="N129" s="74"/>
      <c r="O129" s="74"/>
      <c r="P129" s="74"/>
      <c r="Q129" s="74"/>
      <c r="R129" s="74"/>
      <c r="S129" s="74"/>
      <c r="T129" s="74"/>
      <c r="U129" s="74"/>
      <c r="V129" s="74"/>
      <c r="W129" s="74"/>
      <c r="X129" s="74"/>
      <c r="Y129" s="74"/>
      <c r="Z129" s="74"/>
      <c r="AA129" s="74"/>
      <c r="AB129" s="74"/>
    </row>
    <row r="130" spans="1:28" ht="12" customHeight="1">
      <c r="A130" s="330"/>
      <c r="B130" s="314"/>
      <c r="C130" s="285"/>
      <c r="D130" s="108"/>
      <c r="E130" s="285"/>
      <c r="F130" s="285"/>
      <c r="G130" s="35"/>
      <c r="H130" s="104"/>
      <c r="I130" s="35"/>
      <c r="J130" s="74"/>
      <c r="K130" s="74"/>
      <c r="L130" s="74"/>
      <c r="M130" s="74"/>
      <c r="N130" s="74"/>
      <c r="O130" s="74"/>
      <c r="P130" s="74"/>
      <c r="Q130" s="74"/>
      <c r="R130" s="74"/>
      <c r="S130" s="74"/>
      <c r="T130" s="74"/>
      <c r="U130" s="74"/>
      <c r="V130" s="74"/>
      <c r="W130" s="74"/>
      <c r="X130" s="74"/>
      <c r="Y130" s="74"/>
      <c r="Z130" s="74"/>
      <c r="AA130" s="74"/>
      <c r="AB130" s="74"/>
    </row>
    <row r="131" spans="1:28" ht="12" customHeight="1">
      <c r="A131" s="330"/>
      <c r="B131" s="314"/>
      <c r="C131" s="285"/>
      <c r="D131" s="108"/>
      <c r="E131" s="285"/>
      <c r="F131" s="285"/>
      <c r="G131" s="35"/>
      <c r="H131" s="104"/>
      <c r="I131" s="35"/>
      <c r="J131" s="74"/>
      <c r="K131" s="74"/>
      <c r="L131" s="74"/>
      <c r="M131" s="74"/>
      <c r="N131" s="74"/>
      <c r="O131" s="74"/>
      <c r="P131" s="74"/>
      <c r="Q131" s="74"/>
      <c r="R131" s="74"/>
      <c r="S131" s="74"/>
      <c r="T131" s="74"/>
      <c r="U131" s="74"/>
      <c r="V131" s="74"/>
      <c r="W131" s="74"/>
      <c r="X131" s="74"/>
      <c r="Y131" s="74"/>
      <c r="Z131" s="74"/>
      <c r="AA131" s="74"/>
      <c r="AB131" s="74"/>
    </row>
    <row r="132" spans="1:28" ht="12" customHeight="1">
      <c r="A132" s="330"/>
      <c r="B132" s="314"/>
      <c r="C132" s="285"/>
      <c r="D132" s="108"/>
      <c r="E132" s="285"/>
      <c r="F132" s="285"/>
      <c r="G132" s="35"/>
      <c r="H132" s="104"/>
      <c r="I132" s="35"/>
      <c r="J132" s="74"/>
      <c r="K132" s="74"/>
      <c r="L132" s="74"/>
      <c r="M132" s="74"/>
      <c r="N132" s="74"/>
      <c r="O132" s="74"/>
      <c r="P132" s="74"/>
      <c r="Q132" s="74"/>
      <c r="R132" s="74"/>
      <c r="S132" s="74"/>
      <c r="T132" s="74"/>
      <c r="U132" s="74"/>
      <c r="V132" s="74"/>
      <c r="W132" s="74"/>
      <c r="X132" s="74"/>
      <c r="Y132" s="74"/>
      <c r="Z132" s="74"/>
      <c r="AA132" s="74"/>
      <c r="AB132" s="74"/>
    </row>
    <row r="133" spans="1:28" ht="12" customHeight="1">
      <c r="A133" s="330"/>
      <c r="B133" s="314"/>
      <c r="C133" s="285"/>
      <c r="D133" s="108"/>
      <c r="E133" s="285"/>
      <c r="F133" s="285"/>
      <c r="G133" s="35"/>
      <c r="H133" s="104"/>
      <c r="I133" s="35"/>
      <c r="J133" s="74"/>
      <c r="K133" s="74"/>
      <c r="L133" s="74"/>
      <c r="M133" s="74"/>
      <c r="N133" s="74"/>
      <c r="O133" s="74"/>
      <c r="P133" s="74"/>
      <c r="Q133" s="74"/>
      <c r="R133" s="74"/>
      <c r="S133" s="74"/>
      <c r="T133" s="74"/>
      <c r="U133" s="74"/>
      <c r="V133" s="74"/>
      <c r="W133" s="74"/>
      <c r="X133" s="74"/>
      <c r="Y133" s="74"/>
      <c r="Z133" s="74"/>
      <c r="AA133" s="74"/>
      <c r="AB133" s="74"/>
    </row>
    <row r="134" spans="1:28" ht="12" customHeight="1">
      <c r="A134" s="330"/>
      <c r="B134" s="314"/>
      <c r="C134" s="285"/>
      <c r="D134" s="108"/>
      <c r="E134" s="285"/>
      <c r="F134" s="285"/>
      <c r="G134" s="35"/>
      <c r="H134" s="104"/>
      <c r="I134" s="35"/>
      <c r="J134" s="74"/>
      <c r="K134" s="74"/>
      <c r="L134" s="74"/>
      <c r="M134" s="74"/>
      <c r="N134" s="74"/>
      <c r="O134" s="74"/>
      <c r="P134" s="74"/>
      <c r="Q134" s="74"/>
      <c r="R134" s="74"/>
      <c r="S134" s="74"/>
      <c r="T134" s="74"/>
      <c r="U134" s="74"/>
      <c r="V134" s="74"/>
      <c r="W134" s="74"/>
      <c r="X134" s="74"/>
      <c r="Y134" s="74"/>
      <c r="Z134" s="74"/>
      <c r="AA134" s="74"/>
      <c r="AB134" s="74"/>
    </row>
    <row r="135" spans="1:28" ht="12" customHeight="1">
      <c r="A135" s="330"/>
      <c r="B135" s="314"/>
      <c r="C135" s="285"/>
      <c r="D135" s="108"/>
      <c r="E135" s="285"/>
      <c r="F135" s="285"/>
      <c r="G135" s="35"/>
      <c r="H135" s="104"/>
      <c r="I135" s="35"/>
      <c r="J135" s="74"/>
      <c r="K135" s="74"/>
      <c r="L135" s="74"/>
      <c r="M135" s="74"/>
      <c r="N135" s="74"/>
      <c r="O135" s="74"/>
      <c r="P135" s="74"/>
      <c r="Q135" s="74"/>
      <c r="R135" s="74"/>
      <c r="S135" s="74"/>
      <c r="T135" s="74"/>
      <c r="U135" s="74"/>
      <c r="V135" s="74"/>
      <c r="W135" s="74"/>
      <c r="X135" s="74"/>
      <c r="Y135" s="74"/>
      <c r="Z135" s="74"/>
      <c r="AA135" s="74"/>
      <c r="AB135" s="74"/>
    </row>
    <row r="136" spans="1:28" ht="12" customHeight="1">
      <c r="A136" s="330"/>
      <c r="B136" s="314"/>
      <c r="C136" s="285"/>
      <c r="D136" s="108"/>
      <c r="E136" s="285"/>
      <c r="F136" s="285"/>
      <c r="G136" s="35"/>
      <c r="H136" s="104"/>
      <c r="I136" s="35"/>
      <c r="J136" s="74"/>
      <c r="K136" s="74"/>
      <c r="L136" s="74"/>
      <c r="M136" s="74"/>
      <c r="N136" s="74"/>
      <c r="O136" s="74"/>
      <c r="P136" s="74"/>
      <c r="Q136" s="74"/>
      <c r="R136" s="74"/>
      <c r="S136" s="74"/>
      <c r="T136" s="74"/>
      <c r="U136" s="74"/>
      <c r="V136" s="74"/>
      <c r="W136" s="74"/>
      <c r="X136" s="74"/>
      <c r="Y136" s="74"/>
      <c r="Z136" s="74"/>
      <c r="AA136" s="74"/>
      <c r="AB136" s="74"/>
    </row>
    <row r="137" spans="1:28" ht="12" customHeight="1">
      <c r="A137" s="330"/>
      <c r="B137" s="314"/>
      <c r="C137" s="285"/>
      <c r="D137" s="108"/>
      <c r="E137" s="285"/>
      <c r="F137" s="285"/>
      <c r="G137" s="35"/>
      <c r="H137" s="104"/>
      <c r="I137" s="35"/>
      <c r="J137" s="74"/>
      <c r="K137" s="74"/>
      <c r="L137" s="74"/>
      <c r="M137" s="74"/>
      <c r="N137" s="74"/>
      <c r="O137" s="74"/>
      <c r="P137" s="74"/>
      <c r="Q137" s="74"/>
      <c r="R137" s="74"/>
      <c r="S137" s="74"/>
      <c r="T137" s="74"/>
      <c r="U137" s="74"/>
      <c r="V137" s="74"/>
      <c r="W137" s="74"/>
      <c r="X137" s="74"/>
      <c r="Y137" s="74"/>
      <c r="Z137" s="74"/>
      <c r="AA137" s="74"/>
      <c r="AB137" s="74"/>
    </row>
    <row r="138" spans="1:28" ht="12" customHeight="1">
      <c r="A138" s="330"/>
      <c r="B138" s="314"/>
      <c r="C138" s="285"/>
      <c r="D138" s="108"/>
      <c r="E138" s="285"/>
      <c r="F138" s="285"/>
      <c r="G138" s="35"/>
      <c r="H138" s="104"/>
      <c r="I138" s="35"/>
      <c r="J138" s="74"/>
      <c r="K138" s="74"/>
      <c r="L138" s="74"/>
      <c r="M138" s="74"/>
      <c r="N138" s="74"/>
      <c r="O138" s="74"/>
      <c r="P138" s="74"/>
      <c r="Q138" s="74"/>
      <c r="R138" s="74"/>
      <c r="S138" s="74"/>
      <c r="T138" s="74"/>
      <c r="U138" s="74"/>
      <c r="V138" s="74"/>
      <c r="W138" s="74"/>
      <c r="X138" s="74"/>
      <c r="Y138" s="74"/>
      <c r="Z138" s="74"/>
      <c r="AA138" s="74"/>
      <c r="AB138" s="74"/>
    </row>
    <row r="139" spans="1:28" ht="12" customHeight="1">
      <c r="A139" s="330"/>
      <c r="B139" s="314"/>
      <c r="C139" s="285"/>
      <c r="D139" s="108"/>
      <c r="E139" s="285"/>
      <c r="F139" s="285"/>
      <c r="G139" s="35"/>
      <c r="H139" s="104"/>
      <c r="I139" s="35"/>
      <c r="J139" s="74"/>
      <c r="K139" s="74"/>
      <c r="L139" s="74"/>
      <c r="M139" s="74"/>
      <c r="N139" s="74"/>
      <c r="O139" s="74"/>
      <c r="P139" s="74"/>
      <c r="Q139" s="74"/>
      <c r="R139" s="74"/>
      <c r="S139" s="74"/>
      <c r="T139" s="74"/>
      <c r="U139" s="74"/>
      <c r="V139" s="74"/>
      <c r="W139" s="74"/>
      <c r="X139" s="74"/>
      <c r="Y139" s="74"/>
      <c r="Z139" s="74"/>
      <c r="AA139" s="74"/>
      <c r="AB139" s="74"/>
    </row>
    <row r="140" spans="1:28" ht="12" customHeight="1">
      <c r="A140" s="330"/>
      <c r="B140" s="314"/>
      <c r="C140" s="285"/>
      <c r="D140" s="108"/>
      <c r="E140" s="285"/>
      <c r="F140" s="285"/>
      <c r="G140" s="35"/>
      <c r="H140" s="104"/>
      <c r="I140" s="35"/>
      <c r="J140" s="74"/>
      <c r="K140" s="74"/>
      <c r="L140" s="74"/>
      <c r="M140" s="74"/>
      <c r="N140" s="74"/>
      <c r="O140" s="74"/>
      <c r="P140" s="74"/>
      <c r="Q140" s="74"/>
      <c r="R140" s="74"/>
      <c r="S140" s="74"/>
      <c r="T140" s="74"/>
      <c r="U140" s="74"/>
      <c r="V140" s="74"/>
      <c r="W140" s="74"/>
      <c r="X140" s="74"/>
      <c r="Y140" s="74"/>
      <c r="Z140" s="74"/>
      <c r="AA140" s="74"/>
      <c r="AB140" s="74"/>
    </row>
    <row r="141" spans="1:28" ht="12" customHeight="1">
      <c r="A141" s="330"/>
      <c r="B141" s="314"/>
      <c r="C141" s="285"/>
      <c r="D141" s="108"/>
      <c r="E141" s="285"/>
      <c r="F141" s="285"/>
      <c r="G141" s="35"/>
      <c r="H141" s="104"/>
      <c r="I141" s="35"/>
      <c r="J141" s="74"/>
      <c r="K141" s="74"/>
      <c r="L141" s="74"/>
      <c r="M141" s="74"/>
      <c r="N141" s="74"/>
      <c r="O141" s="74"/>
      <c r="P141" s="74"/>
      <c r="Q141" s="74"/>
      <c r="R141" s="74"/>
      <c r="S141" s="74"/>
      <c r="T141" s="74"/>
      <c r="U141" s="74"/>
      <c r="V141" s="74"/>
      <c r="W141" s="74"/>
      <c r="X141" s="74"/>
      <c r="Y141" s="74"/>
      <c r="Z141" s="74"/>
      <c r="AA141" s="74"/>
      <c r="AB141" s="74"/>
    </row>
    <row r="142" spans="1:28" ht="12" customHeight="1">
      <c r="A142" s="330"/>
      <c r="B142" s="314"/>
      <c r="C142" s="285"/>
      <c r="D142" s="108"/>
      <c r="E142" s="285"/>
      <c r="F142" s="285"/>
      <c r="G142" s="35"/>
      <c r="H142" s="104"/>
      <c r="I142" s="35"/>
      <c r="J142" s="74"/>
      <c r="K142" s="74"/>
      <c r="L142" s="74"/>
      <c r="M142" s="74"/>
      <c r="N142" s="74"/>
      <c r="O142" s="74"/>
      <c r="P142" s="74"/>
      <c r="Q142" s="74"/>
      <c r="R142" s="74"/>
      <c r="S142" s="74"/>
      <c r="T142" s="74"/>
      <c r="U142" s="74"/>
      <c r="V142" s="74"/>
      <c r="W142" s="74"/>
      <c r="X142" s="74"/>
      <c r="Y142" s="74"/>
      <c r="Z142" s="74"/>
      <c r="AA142" s="74"/>
      <c r="AB142" s="74"/>
    </row>
    <row r="143" spans="1:28" ht="12" customHeight="1">
      <c r="A143" s="330"/>
      <c r="B143" s="314"/>
      <c r="C143" s="285"/>
      <c r="D143" s="108"/>
      <c r="E143" s="285"/>
      <c r="F143" s="285"/>
      <c r="G143" s="35"/>
      <c r="H143" s="104"/>
      <c r="I143" s="35"/>
      <c r="J143" s="74"/>
      <c r="K143" s="74"/>
      <c r="L143" s="74"/>
      <c r="M143" s="74"/>
      <c r="N143" s="74"/>
      <c r="O143" s="74"/>
      <c r="P143" s="74"/>
      <c r="Q143" s="74"/>
      <c r="R143" s="74"/>
      <c r="S143" s="74"/>
      <c r="T143" s="74"/>
      <c r="U143" s="74"/>
      <c r="V143" s="74"/>
      <c r="W143" s="74"/>
      <c r="X143" s="74"/>
      <c r="Y143" s="74"/>
      <c r="Z143" s="74"/>
      <c r="AA143" s="74"/>
      <c r="AB143" s="74"/>
    </row>
    <row r="144" spans="1:28" ht="12" customHeight="1">
      <c r="A144" s="330"/>
      <c r="B144" s="314"/>
      <c r="C144" s="285"/>
      <c r="D144" s="108"/>
      <c r="E144" s="285"/>
      <c r="F144" s="285"/>
      <c r="G144" s="35"/>
      <c r="H144" s="104"/>
      <c r="I144" s="35"/>
      <c r="J144" s="74"/>
      <c r="K144" s="74"/>
      <c r="L144" s="74"/>
      <c r="M144" s="74"/>
      <c r="N144" s="74"/>
      <c r="O144" s="74"/>
      <c r="P144" s="74"/>
      <c r="Q144" s="74"/>
      <c r="R144" s="74"/>
      <c r="S144" s="74"/>
      <c r="T144" s="74"/>
      <c r="U144" s="74"/>
      <c r="V144" s="74"/>
      <c r="W144" s="74"/>
      <c r="X144" s="74"/>
      <c r="Y144" s="74"/>
      <c r="Z144" s="74"/>
      <c r="AA144" s="74"/>
      <c r="AB144" s="74"/>
    </row>
    <row r="145" spans="1:28" ht="12" customHeight="1">
      <c r="A145" s="330"/>
      <c r="B145" s="314"/>
      <c r="C145" s="285"/>
      <c r="D145" s="108"/>
      <c r="E145" s="285"/>
      <c r="F145" s="285"/>
      <c r="G145" s="35"/>
      <c r="H145" s="104"/>
      <c r="I145" s="35"/>
      <c r="J145" s="74"/>
      <c r="K145" s="74"/>
      <c r="L145" s="74"/>
      <c r="M145" s="74"/>
      <c r="N145" s="74"/>
      <c r="O145" s="74"/>
      <c r="P145" s="74"/>
      <c r="Q145" s="74"/>
      <c r="R145" s="74"/>
      <c r="S145" s="74"/>
      <c r="T145" s="74"/>
      <c r="U145" s="74"/>
      <c r="V145" s="74"/>
      <c r="W145" s="74"/>
      <c r="X145" s="74"/>
      <c r="Y145" s="74"/>
      <c r="Z145" s="74"/>
      <c r="AA145" s="74"/>
      <c r="AB145" s="74"/>
    </row>
    <row r="146" spans="1:28" ht="12" customHeight="1">
      <c r="A146" s="330"/>
      <c r="B146" s="314"/>
      <c r="C146" s="285"/>
      <c r="D146" s="108"/>
      <c r="E146" s="285"/>
      <c r="F146" s="285"/>
      <c r="G146" s="35"/>
      <c r="H146" s="104"/>
      <c r="I146" s="35"/>
      <c r="J146" s="74"/>
      <c r="K146" s="74"/>
      <c r="L146" s="74"/>
      <c r="M146" s="74"/>
      <c r="N146" s="74"/>
      <c r="O146" s="74"/>
      <c r="P146" s="74"/>
      <c r="Q146" s="74"/>
      <c r="R146" s="74"/>
      <c r="S146" s="74"/>
      <c r="T146" s="74"/>
      <c r="U146" s="74"/>
      <c r="V146" s="74"/>
      <c r="W146" s="74"/>
      <c r="X146" s="74"/>
      <c r="Y146" s="74"/>
      <c r="Z146" s="74"/>
      <c r="AA146" s="74"/>
      <c r="AB146" s="74"/>
    </row>
    <row r="147" spans="1:28" ht="12" customHeight="1">
      <c r="A147" s="330"/>
      <c r="B147" s="314"/>
      <c r="C147" s="285"/>
      <c r="D147" s="108"/>
      <c r="E147" s="285"/>
      <c r="F147" s="285"/>
      <c r="G147" s="35"/>
      <c r="H147" s="104"/>
      <c r="I147" s="35"/>
      <c r="J147" s="74"/>
      <c r="K147" s="74"/>
      <c r="L147" s="74"/>
      <c r="M147" s="74"/>
      <c r="N147" s="74"/>
      <c r="O147" s="74"/>
      <c r="P147" s="74"/>
      <c r="Q147" s="74"/>
      <c r="R147" s="74"/>
      <c r="S147" s="74"/>
      <c r="T147" s="74"/>
      <c r="U147" s="74"/>
      <c r="V147" s="74"/>
      <c r="W147" s="74"/>
      <c r="X147" s="74"/>
      <c r="Y147" s="74"/>
      <c r="Z147" s="74"/>
      <c r="AA147" s="74"/>
      <c r="AB147" s="74"/>
    </row>
    <row r="148" spans="1:28" ht="12" customHeight="1">
      <c r="A148" s="330"/>
      <c r="B148" s="314"/>
      <c r="C148" s="285"/>
      <c r="D148" s="108"/>
      <c r="E148" s="285"/>
      <c r="F148" s="285"/>
      <c r="G148" s="35"/>
      <c r="H148" s="104"/>
      <c r="I148" s="35"/>
      <c r="J148" s="74"/>
      <c r="K148" s="74"/>
      <c r="L148" s="74"/>
      <c r="M148" s="74"/>
      <c r="N148" s="74"/>
      <c r="O148" s="74"/>
      <c r="P148" s="74"/>
      <c r="Q148" s="74"/>
      <c r="R148" s="74"/>
      <c r="S148" s="74"/>
      <c r="T148" s="74"/>
      <c r="U148" s="74"/>
      <c r="V148" s="74"/>
      <c r="W148" s="74"/>
      <c r="X148" s="74"/>
      <c r="Y148" s="74"/>
      <c r="Z148" s="74"/>
      <c r="AA148" s="74"/>
      <c r="AB148" s="74"/>
    </row>
    <row r="149" spans="1:28" ht="12" customHeight="1">
      <c r="A149" s="330"/>
      <c r="B149" s="314"/>
      <c r="C149" s="285"/>
      <c r="D149" s="108"/>
      <c r="E149" s="285"/>
      <c r="F149" s="285"/>
      <c r="G149" s="35"/>
      <c r="H149" s="104"/>
      <c r="I149" s="35"/>
      <c r="J149" s="74"/>
      <c r="K149" s="74"/>
      <c r="L149" s="74"/>
      <c r="M149" s="74"/>
      <c r="N149" s="74"/>
      <c r="O149" s="74"/>
      <c r="P149" s="74"/>
      <c r="Q149" s="74"/>
      <c r="R149" s="74"/>
      <c r="S149" s="74"/>
      <c r="T149" s="74"/>
      <c r="U149" s="74"/>
      <c r="V149" s="74"/>
      <c r="W149" s="74"/>
      <c r="X149" s="74"/>
      <c r="Y149" s="74"/>
      <c r="Z149" s="74"/>
      <c r="AA149" s="74"/>
      <c r="AB149" s="74"/>
    </row>
    <row r="150" spans="1:28" ht="12" customHeight="1">
      <c r="A150" s="330"/>
      <c r="B150" s="314"/>
      <c r="C150" s="285"/>
      <c r="D150" s="108"/>
      <c r="E150" s="285"/>
      <c r="F150" s="285"/>
      <c r="G150" s="35"/>
      <c r="H150" s="104"/>
      <c r="I150" s="35"/>
      <c r="J150" s="74"/>
      <c r="K150" s="74"/>
      <c r="L150" s="74"/>
      <c r="M150" s="74"/>
      <c r="N150" s="74"/>
      <c r="O150" s="74"/>
      <c r="P150" s="74"/>
      <c r="Q150" s="74"/>
      <c r="R150" s="74"/>
      <c r="S150" s="74"/>
      <c r="T150" s="74"/>
      <c r="U150" s="74"/>
      <c r="V150" s="74"/>
      <c r="W150" s="74"/>
      <c r="X150" s="74"/>
      <c r="Y150" s="74"/>
      <c r="Z150" s="74"/>
      <c r="AA150" s="74"/>
      <c r="AB150" s="74"/>
    </row>
    <row r="151" spans="1:28" ht="12" customHeight="1">
      <c r="A151" s="330"/>
      <c r="B151" s="314"/>
      <c r="C151" s="285"/>
      <c r="D151" s="108"/>
      <c r="E151" s="285"/>
      <c r="F151" s="285"/>
      <c r="G151" s="35"/>
      <c r="H151" s="104"/>
      <c r="I151" s="35"/>
      <c r="J151" s="74"/>
      <c r="K151" s="74"/>
      <c r="L151" s="74"/>
      <c r="M151" s="74"/>
      <c r="N151" s="74"/>
      <c r="O151" s="74"/>
      <c r="P151" s="74"/>
      <c r="Q151" s="74"/>
      <c r="R151" s="74"/>
      <c r="S151" s="74"/>
      <c r="T151" s="74"/>
      <c r="U151" s="74"/>
      <c r="V151" s="74"/>
      <c r="W151" s="74"/>
      <c r="X151" s="74"/>
      <c r="Y151" s="74"/>
      <c r="Z151" s="74"/>
      <c r="AA151" s="74"/>
      <c r="AB151" s="74"/>
    </row>
    <row r="152" spans="1:28" ht="12" customHeight="1">
      <c r="A152" s="330"/>
      <c r="B152" s="314"/>
      <c r="C152" s="285"/>
      <c r="D152" s="108"/>
      <c r="E152" s="285"/>
      <c r="F152" s="285"/>
      <c r="G152" s="35"/>
      <c r="H152" s="104"/>
      <c r="I152" s="35"/>
      <c r="J152" s="74"/>
      <c r="K152" s="74"/>
      <c r="L152" s="74"/>
      <c r="M152" s="74"/>
      <c r="N152" s="74"/>
      <c r="O152" s="74"/>
      <c r="P152" s="74"/>
      <c r="Q152" s="74"/>
      <c r="R152" s="74"/>
      <c r="S152" s="74"/>
      <c r="T152" s="74"/>
      <c r="U152" s="74"/>
      <c r="V152" s="74"/>
      <c r="W152" s="74"/>
      <c r="X152" s="74"/>
      <c r="Y152" s="74"/>
      <c r="Z152" s="74"/>
      <c r="AA152" s="74"/>
      <c r="AB152" s="74"/>
    </row>
    <row r="153" spans="1:28" ht="12" customHeight="1">
      <c r="A153" s="330"/>
      <c r="B153" s="314"/>
      <c r="C153" s="285"/>
      <c r="D153" s="108"/>
      <c r="E153" s="285"/>
      <c r="F153" s="285"/>
      <c r="G153" s="35"/>
      <c r="H153" s="104"/>
      <c r="I153" s="35"/>
      <c r="J153" s="74"/>
      <c r="K153" s="74"/>
      <c r="L153" s="74"/>
      <c r="M153" s="74"/>
      <c r="N153" s="74"/>
      <c r="O153" s="74"/>
      <c r="P153" s="74"/>
      <c r="Q153" s="74"/>
      <c r="R153" s="74"/>
      <c r="S153" s="74"/>
      <c r="T153" s="74"/>
      <c r="U153" s="74"/>
      <c r="V153" s="74"/>
      <c r="W153" s="74"/>
      <c r="X153" s="74"/>
      <c r="Y153" s="74"/>
      <c r="Z153" s="74"/>
      <c r="AA153" s="74"/>
      <c r="AB153" s="74"/>
    </row>
    <row r="154" spans="1:28" ht="12" customHeight="1">
      <c r="A154" s="330"/>
      <c r="B154" s="314"/>
      <c r="C154" s="285"/>
      <c r="D154" s="108"/>
      <c r="E154" s="285"/>
      <c r="F154" s="285"/>
      <c r="G154" s="35"/>
      <c r="H154" s="104"/>
      <c r="I154" s="35"/>
      <c r="J154" s="74"/>
      <c r="K154" s="74"/>
      <c r="L154" s="74"/>
      <c r="M154" s="74"/>
      <c r="N154" s="74"/>
      <c r="O154" s="74"/>
      <c r="P154" s="74"/>
      <c r="Q154" s="74"/>
      <c r="R154" s="74"/>
      <c r="S154" s="74"/>
      <c r="T154" s="74"/>
      <c r="U154" s="74"/>
      <c r="V154" s="74"/>
      <c r="W154" s="74"/>
      <c r="X154" s="74"/>
      <c r="Y154" s="74"/>
      <c r="Z154" s="74"/>
      <c r="AA154" s="74"/>
      <c r="AB154" s="74"/>
    </row>
    <row r="155" spans="1:28" ht="12" customHeight="1">
      <c r="A155" s="330"/>
      <c r="B155" s="314"/>
      <c r="C155" s="285"/>
      <c r="D155" s="108"/>
      <c r="E155" s="285"/>
      <c r="F155" s="285"/>
      <c r="G155" s="35"/>
      <c r="H155" s="104"/>
      <c r="I155" s="35"/>
      <c r="J155" s="74"/>
      <c r="K155" s="74"/>
      <c r="L155" s="74"/>
      <c r="M155" s="74"/>
      <c r="N155" s="74"/>
      <c r="O155" s="74"/>
      <c r="P155" s="74"/>
      <c r="Q155" s="74"/>
      <c r="R155" s="74"/>
      <c r="S155" s="74"/>
      <c r="T155" s="74"/>
      <c r="U155" s="74"/>
      <c r="V155" s="74"/>
      <c r="W155" s="74"/>
      <c r="X155" s="74"/>
      <c r="Y155" s="74"/>
      <c r="Z155" s="74"/>
      <c r="AA155" s="74"/>
      <c r="AB155" s="74"/>
    </row>
    <row r="156" spans="1:28" ht="12" customHeight="1">
      <c r="A156" s="330"/>
      <c r="B156" s="314"/>
      <c r="C156" s="285"/>
      <c r="D156" s="108"/>
      <c r="E156" s="285"/>
      <c r="F156" s="285"/>
      <c r="G156" s="35"/>
      <c r="H156" s="104"/>
      <c r="I156" s="35"/>
      <c r="J156" s="74"/>
      <c r="K156" s="74"/>
      <c r="L156" s="74"/>
      <c r="M156" s="74"/>
      <c r="N156" s="74"/>
      <c r="O156" s="74"/>
      <c r="P156" s="74"/>
      <c r="Q156" s="74"/>
      <c r="R156" s="74"/>
      <c r="S156" s="74"/>
      <c r="T156" s="74"/>
      <c r="U156" s="74"/>
      <c r="V156" s="74"/>
      <c r="W156" s="74"/>
      <c r="X156" s="74"/>
      <c r="Y156" s="74"/>
      <c r="Z156" s="74"/>
      <c r="AA156" s="74"/>
      <c r="AB156" s="74"/>
    </row>
    <row r="157" spans="1:28" ht="12" customHeight="1">
      <c r="A157" s="330"/>
      <c r="B157" s="314"/>
      <c r="C157" s="285"/>
      <c r="D157" s="108"/>
      <c r="E157" s="285"/>
      <c r="F157" s="285"/>
      <c r="G157" s="35"/>
      <c r="H157" s="104"/>
      <c r="I157" s="35"/>
      <c r="J157" s="74"/>
      <c r="K157" s="74"/>
      <c r="L157" s="74"/>
      <c r="M157" s="74"/>
      <c r="N157" s="74"/>
      <c r="O157" s="74"/>
      <c r="P157" s="74"/>
      <c r="Q157" s="74"/>
      <c r="R157" s="74"/>
      <c r="S157" s="74"/>
      <c r="T157" s="74"/>
      <c r="U157" s="74"/>
      <c r="V157" s="74"/>
      <c r="W157" s="74"/>
      <c r="X157" s="74"/>
      <c r="Y157" s="74"/>
      <c r="Z157" s="74"/>
      <c r="AA157" s="74"/>
      <c r="AB157" s="74"/>
    </row>
    <row r="158" spans="1:28" ht="12" customHeight="1">
      <c r="A158" s="330"/>
      <c r="B158" s="314"/>
      <c r="C158" s="285"/>
      <c r="D158" s="108"/>
      <c r="E158" s="285"/>
      <c r="F158" s="285"/>
      <c r="G158" s="35"/>
      <c r="H158" s="104"/>
      <c r="I158" s="35"/>
      <c r="J158" s="74"/>
      <c r="K158" s="74"/>
      <c r="L158" s="74"/>
      <c r="M158" s="74"/>
      <c r="N158" s="74"/>
      <c r="O158" s="74"/>
      <c r="P158" s="74"/>
      <c r="Q158" s="74"/>
      <c r="R158" s="74"/>
      <c r="S158" s="74"/>
      <c r="T158" s="74"/>
      <c r="U158" s="74"/>
      <c r="V158" s="74"/>
      <c r="W158" s="74"/>
      <c r="X158" s="74"/>
      <c r="Y158" s="74"/>
      <c r="Z158" s="74"/>
      <c r="AA158" s="74"/>
      <c r="AB158" s="74"/>
    </row>
    <row r="159" spans="1:28" ht="12" customHeight="1">
      <c r="A159" s="330"/>
      <c r="B159" s="314"/>
      <c r="C159" s="285"/>
      <c r="D159" s="108"/>
      <c r="E159" s="285"/>
      <c r="F159" s="285"/>
      <c r="G159" s="35"/>
      <c r="H159" s="104"/>
      <c r="I159" s="35"/>
      <c r="J159" s="74"/>
      <c r="K159" s="74"/>
      <c r="L159" s="74"/>
      <c r="M159" s="74"/>
      <c r="N159" s="74"/>
      <c r="O159" s="74"/>
      <c r="P159" s="74"/>
      <c r="Q159" s="74"/>
      <c r="R159" s="74"/>
      <c r="S159" s="74"/>
      <c r="T159" s="74"/>
      <c r="U159" s="74"/>
      <c r="V159" s="74"/>
      <c r="W159" s="74"/>
      <c r="X159" s="74"/>
      <c r="Y159" s="74"/>
      <c r="Z159" s="74"/>
      <c r="AA159" s="74"/>
      <c r="AB159" s="74"/>
    </row>
    <row r="160" spans="1:28" ht="12" customHeight="1">
      <c r="A160" s="330"/>
      <c r="B160" s="314"/>
      <c r="C160" s="285"/>
      <c r="D160" s="108"/>
      <c r="E160" s="285"/>
      <c r="F160" s="285"/>
      <c r="G160" s="35"/>
      <c r="H160" s="104"/>
      <c r="I160" s="35"/>
      <c r="J160" s="74"/>
      <c r="K160" s="74"/>
      <c r="L160" s="74"/>
      <c r="M160" s="74"/>
      <c r="N160" s="74"/>
      <c r="O160" s="74"/>
      <c r="P160" s="74"/>
      <c r="Q160" s="74"/>
      <c r="R160" s="74"/>
      <c r="S160" s="74"/>
      <c r="T160" s="74"/>
      <c r="U160" s="74"/>
      <c r="V160" s="74"/>
      <c r="W160" s="74"/>
      <c r="X160" s="74"/>
      <c r="Y160" s="74"/>
      <c r="Z160" s="74"/>
      <c r="AA160" s="74"/>
      <c r="AB160" s="74"/>
    </row>
    <row r="161" spans="1:28" ht="12" customHeight="1">
      <c r="A161" s="330"/>
      <c r="B161" s="314"/>
      <c r="C161" s="285"/>
      <c r="D161" s="108"/>
      <c r="E161" s="285"/>
      <c r="F161" s="285"/>
      <c r="G161" s="35"/>
      <c r="H161" s="104"/>
      <c r="I161" s="35"/>
      <c r="J161" s="74"/>
      <c r="K161" s="74"/>
      <c r="L161" s="74"/>
      <c r="M161" s="74"/>
      <c r="N161" s="74"/>
      <c r="O161" s="74"/>
      <c r="P161" s="74"/>
      <c r="Q161" s="74"/>
      <c r="R161" s="74"/>
      <c r="S161" s="74"/>
      <c r="T161" s="74"/>
      <c r="U161" s="74"/>
      <c r="V161" s="74"/>
      <c r="W161" s="74"/>
      <c r="X161" s="74"/>
      <c r="Y161" s="74"/>
      <c r="Z161" s="74"/>
      <c r="AA161" s="74"/>
      <c r="AB161" s="74"/>
    </row>
    <row r="162" spans="1:28" ht="12" customHeight="1">
      <c r="A162" s="330"/>
      <c r="B162" s="314"/>
      <c r="C162" s="285"/>
      <c r="D162" s="108"/>
      <c r="E162" s="285"/>
      <c r="F162" s="285"/>
      <c r="G162" s="35"/>
      <c r="H162" s="104"/>
      <c r="I162" s="35"/>
      <c r="J162" s="74"/>
      <c r="K162" s="74"/>
      <c r="L162" s="74"/>
      <c r="M162" s="74"/>
      <c r="N162" s="74"/>
      <c r="O162" s="74"/>
      <c r="P162" s="74"/>
      <c r="Q162" s="74"/>
      <c r="R162" s="74"/>
      <c r="S162" s="74"/>
      <c r="T162" s="74"/>
      <c r="U162" s="74"/>
      <c r="V162" s="74"/>
      <c r="W162" s="74"/>
      <c r="X162" s="74"/>
      <c r="Y162" s="74"/>
      <c r="Z162" s="74"/>
      <c r="AA162" s="74"/>
      <c r="AB162" s="74"/>
    </row>
    <row r="163" spans="1:28" ht="12" customHeight="1">
      <c r="A163" s="330"/>
      <c r="B163" s="314"/>
      <c r="C163" s="285"/>
      <c r="D163" s="108"/>
      <c r="E163" s="285"/>
      <c r="F163" s="285"/>
      <c r="G163" s="35"/>
      <c r="H163" s="104"/>
      <c r="I163" s="35"/>
      <c r="J163" s="74"/>
      <c r="K163" s="74"/>
      <c r="L163" s="74"/>
      <c r="M163" s="74"/>
      <c r="N163" s="74"/>
      <c r="O163" s="74"/>
      <c r="P163" s="74"/>
      <c r="Q163" s="74"/>
      <c r="R163" s="74"/>
      <c r="S163" s="74"/>
      <c r="T163" s="74"/>
      <c r="U163" s="74"/>
      <c r="V163" s="74"/>
      <c r="W163" s="74"/>
      <c r="X163" s="74"/>
      <c r="Y163" s="74"/>
      <c r="Z163" s="74"/>
      <c r="AA163" s="74"/>
      <c r="AB163" s="74"/>
    </row>
    <row r="164" spans="1:28" ht="12" customHeight="1">
      <c r="A164" s="330"/>
      <c r="B164" s="314"/>
      <c r="C164" s="285"/>
      <c r="D164" s="108"/>
      <c r="E164" s="285"/>
      <c r="F164" s="285"/>
      <c r="G164" s="35"/>
      <c r="H164" s="104"/>
      <c r="I164" s="35"/>
      <c r="J164" s="74"/>
      <c r="K164" s="74"/>
      <c r="L164" s="74"/>
      <c r="M164" s="74"/>
      <c r="N164" s="74"/>
      <c r="O164" s="74"/>
      <c r="P164" s="74"/>
      <c r="Q164" s="74"/>
      <c r="R164" s="74"/>
      <c r="S164" s="74"/>
      <c r="T164" s="74"/>
      <c r="U164" s="74"/>
      <c r="V164" s="74"/>
      <c r="W164" s="74"/>
      <c r="X164" s="74"/>
      <c r="Y164" s="74"/>
      <c r="Z164" s="74"/>
      <c r="AA164" s="74"/>
      <c r="AB164" s="74"/>
    </row>
    <row r="165" spans="1:28" ht="12" customHeight="1">
      <c r="A165" s="330"/>
      <c r="B165" s="314"/>
      <c r="C165" s="285"/>
      <c r="D165" s="108"/>
      <c r="E165" s="285"/>
      <c r="F165" s="285"/>
      <c r="G165" s="35"/>
      <c r="H165" s="104"/>
      <c r="I165" s="35"/>
      <c r="J165" s="74"/>
      <c r="K165" s="74"/>
      <c r="L165" s="74"/>
      <c r="M165" s="74"/>
      <c r="N165" s="74"/>
      <c r="O165" s="74"/>
      <c r="P165" s="74"/>
      <c r="Q165" s="74"/>
      <c r="R165" s="74"/>
      <c r="S165" s="74"/>
      <c r="T165" s="74"/>
      <c r="U165" s="74"/>
      <c r="V165" s="74"/>
      <c r="W165" s="74"/>
      <c r="X165" s="74"/>
      <c r="Y165" s="74"/>
      <c r="Z165" s="74"/>
      <c r="AA165" s="74"/>
      <c r="AB165" s="74"/>
    </row>
    <row r="166" spans="1:28" ht="12" customHeight="1">
      <c r="A166" s="330"/>
      <c r="B166" s="314"/>
      <c r="C166" s="285"/>
      <c r="D166" s="108"/>
      <c r="E166" s="285"/>
      <c r="F166" s="285"/>
      <c r="G166" s="35"/>
      <c r="H166" s="104"/>
      <c r="I166" s="35"/>
      <c r="J166" s="74"/>
      <c r="K166" s="74"/>
      <c r="L166" s="74"/>
      <c r="M166" s="74"/>
      <c r="N166" s="74"/>
      <c r="O166" s="74"/>
      <c r="P166" s="74"/>
      <c r="Q166" s="74"/>
      <c r="R166" s="74"/>
      <c r="S166" s="74"/>
      <c r="T166" s="74"/>
      <c r="U166" s="74"/>
      <c r="V166" s="74"/>
      <c r="W166" s="74"/>
      <c r="X166" s="74"/>
      <c r="Y166" s="74"/>
      <c r="Z166" s="74"/>
      <c r="AA166" s="74"/>
      <c r="AB166" s="74"/>
    </row>
    <row r="167" spans="1:28" ht="12" customHeight="1">
      <c r="A167" s="330"/>
      <c r="B167" s="314"/>
      <c r="C167" s="285"/>
      <c r="D167" s="108"/>
      <c r="E167" s="285"/>
      <c r="F167" s="285"/>
      <c r="G167" s="35"/>
      <c r="H167" s="104"/>
      <c r="I167" s="35"/>
      <c r="J167" s="74"/>
      <c r="K167" s="74"/>
      <c r="L167" s="74"/>
      <c r="M167" s="74"/>
      <c r="N167" s="74"/>
      <c r="O167" s="74"/>
      <c r="P167" s="74"/>
      <c r="Q167" s="74"/>
      <c r="R167" s="74"/>
      <c r="S167" s="74"/>
      <c r="T167" s="74"/>
      <c r="U167" s="74"/>
      <c r="V167" s="74"/>
      <c r="W167" s="74"/>
      <c r="X167" s="74"/>
      <c r="Y167" s="74"/>
      <c r="Z167" s="74"/>
      <c r="AA167" s="74"/>
      <c r="AB167" s="74"/>
    </row>
    <row r="168" spans="1:28" ht="12" customHeight="1">
      <c r="A168" s="330"/>
      <c r="B168" s="314"/>
      <c r="C168" s="285"/>
      <c r="D168" s="108"/>
      <c r="E168" s="285"/>
      <c r="F168" s="285"/>
      <c r="G168" s="35"/>
      <c r="H168" s="104"/>
      <c r="I168" s="35"/>
      <c r="J168" s="74"/>
      <c r="K168" s="74"/>
      <c r="L168" s="74"/>
      <c r="M168" s="74"/>
      <c r="N168" s="74"/>
      <c r="O168" s="74"/>
      <c r="P168" s="74"/>
      <c r="Q168" s="74"/>
      <c r="R168" s="74"/>
      <c r="S168" s="74"/>
      <c r="T168" s="74"/>
      <c r="U168" s="74"/>
      <c r="V168" s="74"/>
      <c r="W168" s="74"/>
      <c r="X168" s="74"/>
      <c r="Y168" s="74"/>
      <c r="Z168" s="74"/>
      <c r="AA168" s="74"/>
      <c r="AB168" s="74"/>
    </row>
    <row r="169" spans="1:28" ht="12" customHeight="1">
      <c r="A169" s="330"/>
      <c r="B169" s="314"/>
      <c r="C169" s="285"/>
      <c r="D169" s="108"/>
      <c r="E169" s="285"/>
      <c r="F169" s="285"/>
      <c r="G169" s="35"/>
      <c r="H169" s="104"/>
      <c r="I169" s="35"/>
      <c r="J169" s="74"/>
      <c r="K169" s="74"/>
      <c r="L169" s="74"/>
      <c r="M169" s="74"/>
      <c r="N169" s="74"/>
      <c r="O169" s="74"/>
      <c r="P169" s="74"/>
      <c r="Q169" s="74"/>
      <c r="R169" s="74"/>
      <c r="S169" s="74"/>
      <c r="T169" s="74"/>
      <c r="U169" s="74"/>
      <c r="V169" s="74"/>
      <c r="W169" s="74"/>
      <c r="X169" s="74"/>
      <c r="Y169" s="74"/>
      <c r="Z169" s="74"/>
      <c r="AA169" s="74"/>
      <c r="AB169" s="74"/>
    </row>
    <row r="170" spans="1:28" ht="12" customHeight="1">
      <c r="A170" s="330"/>
      <c r="B170" s="314"/>
      <c r="C170" s="285"/>
      <c r="D170" s="108"/>
      <c r="E170" s="285"/>
      <c r="F170" s="285"/>
      <c r="G170" s="35"/>
      <c r="H170" s="104"/>
      <c r="I170" s="35"/>
      <c r="J170" s="74"/>
      <c r="K170" s="74"/>
      <c r="L170" s="74"/>
      <c r="M170" s="74"/>
      <c r="N170" s="74"/>
      <c r="O170" s="74"/>
      <c r="P170" s="74"/>
      <c r="Q170" s="74"/>
      <c r="R170" s="74"/>
      <c r="S170" s="74"/>
      <c r="T170" s="74"/>
      <c r="U170" s="74"/>
      <c r="V170" s="74"/>
      <c r="W170" s="74"/>
      <c r="X170" s="74"/>
      <c r="Y170" s="74"/>
      <c r="Z170" s="74"/>
      <c r="AA170" s="74"/>
      <c r="AB170" s="74"/>
    </row>
    <row r="171" spans="1:28" ht="12" customHeight="1">
      <c r="A171" s="330"/>
      <c r="B171" s="314"/>
      <c r="C171" s="285"/>
      <c r="D171" s="108"/>
      <c r="E171" s="285"/>
      <c r="F171" s="285"/>
      <c r="G171" s="35"/>
      <c r="H171" s="104"/>
      <c r="I171" s="35"/>
      <c r="J171" s="74"/>
      <c r="K171" s="74"/>
      <c r="L171" s="74"/>
      <c r="M171" s="74"/>
      <c r="N171" s="74"/>
      <c r="O171" s="74"/>
      <c r="P171" s="74"/>
      <c r="Q171" s="74"/>
      <c r="R171" s="74"/>
      <c r="S171" s="74"/>
      <c r="T171" s="74"/>
      <c r="U171" s="74"/>
      <c r="V171" s="74"/>
      <c r="W171" s="74"/>
      <c r="X171" s="74"/>
      <c r="Y171" s="74"/>
      <c r="Z171" s="74"/>
      <c r="AA171" s="74"/>
      <c r="AB171" s="74"/>
    </row>
    <row r="172" spans="1:28" ht="12" customHeight="1">
      <c r="A172" s="330"/>
      <c r="B172" s="314"/>
      <c r="C172" s="285"/>
      <c r="D172" s="108"/>
      <c r="E172" s="285"/>
      <c r="F172" s="285"/>
      <c r="G172" s="35"/>
      <c r="H172" s="104"/>
      <c r="I172" s="35"/>
      <c r="J172" s="74"/>
      <c r="K172" s="74"/>
      <c r="L172" s="74"/>
      <c r="M172" s="74"/>
      <c r="N172" s="74"/>
      <c r="O172" s="74"/>
      <c r="P172" s="74"/>
      <c r="Q172" s="74"/>
      <c r="R172" s="74"/>
      <c r="S172" s="74"/>
      <c r="T172" s="74"/>
      <c r="U172" s="74"/>
      <c r="V172" s="74"/>
      <c r="W172" s="74"/>
      <c r="X172" s="74"/>
      <c r="Y172" s="74"/>
      <c r="Z172" s="74"/>
      <c r="AA172" s="74"/>
      <c r="AB172" s="74"/>
    </row>
    <row r="173" spans="1:28" ht="12" customHeight="1">
      <c r="A173" s="330"/>
      <c r="B173" s="314"/>
      <c r="C173" s="285"/>
      <c r="D173" s="108"/>
      <c r="E173" s="285"/>
      <c r="F173" s="285"/>
      <c r="G173" s="35"/>
      <c r="H173" s="104"/>
      <c r="I173" s="35"/>
      <c r="J173" s="74"/>
      <c r="K173" s="74"/>
      <c r="L173" s="74"/>
      <c r="M173" s="74"/>
      <c r="N173" s="74"/>
      <c r="O173" s="74"/>
      <c r="P173" s="74"/>
      <c r="Q173" s="74"/>
      <c r="R173" s="74"/>
      <c r="S173" s="74"/>
      <c r="T173" s="74"/>
      <c r="U173" s="74"/>
      <c r="V173" s="74"/>
      <c r="W173" s="74"/>
      <c r="X173" s="74"/>
      <c r="Y173" s="74"/>
      <c r="Z173" s="74"/>
      <c r="AA173" s="74"/>
      <c r="AB173" s="74"/>
    </row>
    <row r="174" spans="1:28" ht="12" customHeight="1">
      <c r="A174" s="330"/>
      <c r="B174" s="314"/>
      <c r="C174" s="285"/>
      <c r="D174" s="108"/>
      <c r="E174" s="285"/>
      <c r="F174" s="285"/>
      <c r="G174" s="35"/>
      <c r="H174" s="104"/>
      <c r="I174" s="35"/>
      <c r="J174" s="74"/>
      <c r="K174" s="74"/>
      <c r="L174" s="74"/>
      <c r="M174" s="74"/>
      <c r="N174" s="74"/>
      <c r="O174" s="74"/>
      <c r="P174" s="74"/>
      <c r="Q174" s="74"/>
      <c r="R174" s="74"/>
      <c r="S174" s="74"/>
      <c r="T174" s="74"/>
      <c r="U174" s="74"/>
      <c r="V174" s="74"/>
      <c r="W174" s="74"/>
      <c r="X174" s="74"/>
      <c r="Y174" s="74"/>
      <c r="Z174" s="74"/>
      <c r="AA174" s="74"/>
      <c r="AB174" s="74"/>
    </row>
    <row r="175" spans="1:28" ht="12" customHeight="1">
      <c r="A175" s="330"/>
      <c r="B175" s="314"/>
      <c r="C175" s="285"/>
      <c r="D175" s="108"/>
      <c r="E175" s="285"/>
      <c r="F175" s="285"/>
      <c r="G175" s="35"/>
      <c r="H175" s="104"/>
      <c r="I175" s="35"/>
      <c r="J175" s="74"/>
      <c r="K175" s="74"/>
      <c r="L175" s="74"/>
      <c r="M175" s="74"/>
      <c r="N175" s="74"/>
      <c r="O175" s="74"/>
      <c r="P175" s="74"/>
      <c r="Q175" s="74"/>
      <c r="R175" s="74"/>
      <c r="S175" s="74"/>
      <c r="T175" s="74"/>
      <c r="U175" s="74"/>
      <c r="V175" s="74"/>
      <c r="W175" s="74"/>
      <c r="X175" s="74"/>
      <c r="Y175" s="74"/>
      <c r="Z175" s="74"/>
      <c r="AA175" s="74"/>
      <c r="AB175" s="74"/>
    </row>
    <row r="176" spans="1:28" ht="12" customHeight="1">
      <c r="A176" s="330"/>
      <c r="B176" s="314"/>
      <c r="C176" s="285"/>
      <c r="D176" s="108"/>
      <c r="E176" s="285"/>
      <c r="F176" s="285"/>
      <c r="G176" s="35"/>
      <c r="H176" s="104"/>
      <c r="I176" s="35"/>
      <c r="J176" s="74"/>
      <c r="K176" s="74"/>
      <c r="L176" s="74"/>
      <c r="M176" s="74"/>
      <c r="N176" s="74"/>
      <c r="O176" s="74"/>
      <c r="P176" s="74"/>
      <c r="Q176" s="74"/>
      <c r="R176" s="74"/>
      <c r="S176" s="74"/>
      <c r="T176" s="74"/>
      <c r="U176" s="74"/>
      <c r="V176" s="74"/>
      <c r="W176" s="74"/>
      <c r="X176" s="74"/>
      <c r="Y176" s="74"/>
      <c r="Z176" s="74"/>
      <c r="AA176" s="74"/>
      <c r="AB176" s="74"/>
    </row>
    <row r="177" spans="1:28" ht="12" customHeight="1">
      <c r="A177" s="330"/>
      <c r="B177" s="314"/>
      <c r="C177" s="285"/>
      <c r="D177" s="108"/>
      <c r="E177" s="285"/>
      <c r="F177" s="285"/>
      <c r="G177" s="35"/>
      <c r="H177" s="104"/>
      <c r="I177" s="35"/>
      <c r="J177" s="74"/>
      <c r="K177" s="74"/>
      <c r="L177" s="74"/>
      <c r="M177" s="74"/>
      <c r="N177" s="74"/>
      <c r="O177" s="74"/>
      <c r="P177" s="74"/>
      <c r="Q177" s="74"/>
      <c r="R177" s="74"/>
      <c r="S177" s="74"/>
      <c r="T177" s="74"/>
      <c r="U177" s="74"/>
      <c r="V177" s="74"/>
      <c r="W177" s="74"/>
      <c r="X177" s="74"/>
      <c r="Y177" s="74"/>
      <c r="Z177" s="74"/>
      <c r="AA177" s="74"/>
      <c r="AB177" s="74"/>
    </row>
    <row r="178" spans="1:28" ht="12" customHeight="1">
      <c r="A178" s="330"/>
      <c r="B178" s="314"/>
      <c r="C178" s="285"/>
      <c r="D178" s="108"/>
      <c r="E178" s="285"/>
      <c r="F178" s="285"/>
      <c r="G178" s="35"/>
      <c r="H178" s="104"/>
      <c r="I178" s="35"/>
      <c r="J178" s="74"/>
      <c r="K178" s="74"/>
      <c r="L178" s="74"/>
      <c r="M178" s="74"/>
      <c r="N178" s="74"/>
      <c r="O178" s="74"/>
      <c r="P178" s="74"/>
      <c r="Q178" s="74"/>
      <c r="R178" s="74"/>
      <c r="S178" s="74"/>
      <c r="T178" s="74"/>
      <c r="U178" s="74"/>
      <c r="V178" s="74"/>
      <c r="W178" s="74"/>
      <c r="X178" s="74"/>
      <c r="Y178" s="74"/>
      <c r="Z178" s="74"/>
      <c r="AA178" s="74"/>
      <c r="AB178" s="74"/>
    </row>
    <row r="179" spans="1:28" ht="12" customHeight="1">
      <c r="A179" s="330"/>
      <c r="B179" s="314"/>
      <c r="C179" s="285"/>
      <c r="D179" s="108"/>
      <c r="E179" s="285"/>
      <c r="F179" s="285"/>
      <c r="G179" s="35"/>
      <c r="H179" s="104"/>
      <c r="I179" s="35"/>
      <c r="J179" s="74"/>
      <c r="K179" s="74"/>
      <c r="L179" s="74"/>
      <c r="M179" s="74"/>
      <c r="N179" s="74"/>
      <c r="O179" s="74"/>
      <c r="P179" s="74"/>
      <c r="Q179" s="74"/>
      <c r="R179" s="74"/>
      <c r="S179" s="74"/>
      <c r="T179" s="74"/>
      <c r="U179" s="74"/>
      <c r="V179" s="74"/>
      <c r="W179" s="74"/>
      <c r="X179" s="74"/>
      <c r="Y179" s="74"/>
      <c r="Z179" s="74"/>
      <c r="AA179" s="74"/>
      <c r="AB179" s="74"/>
    </row>
    <row r="180" spans="1:28" ht="12" customHeight="1">
      <c r="A180" s="330"/>
      <c r="B180" s="314"/>
      <c r="C180" s="285"/>
      <c r="D180" s="108"/>
      <c r="E180" s="285"/>
      <c r="F180" s="285"/>
      <c r="G180" s="35"/>
      <c r="H180" s="104"/>
      <c r="I180" s="35"/>
      <c r="J180" s="74"/>
      <c r="K180" s="74"/>
      <c r="L180" s="74"/>
      <c r="M180" s="74"/>
      <c r="N180" s="74"/>
      <c r="O180" s="74"/>
      <c r="P180" s="74"/>
      <c r="Q180" s="74"/>
      <c r="R180" s="74"/>
      <c r="S180" s="74"/>
      <c r="T180" s="74"/>
      <c r="U180" s="74"/>
      <c r="V180" s="74"/>
      <c r="W180" s="74"/>
      <c r="X180" s="74"/>
      <c r="Y180" s="74"/>
      <c r="Z180" s="74"/>
      <c r="AA180" s="74"/>
      <c r="AB180" s="74"/>
    </row>
    <row r="181" spans="1:28" ht="12" customHeight="1">
      <c r="A181" s="330"/>
      <c r="B181" s="314"/>
      <c r="C181" s="285"/>
      <c r="D181" s="108"/>
      <c r="E181" s="285"/>
      <c r="F181" s="285"/>
      <c r="G181" s="35"/>
      <c r="H181" s="104"/>
      <c r="I181" s="35"/>
      <c r="J181" s="74"/>
      <c r="K181" s="74"/>
      <c r="L181" s="74"/>
      <c r="M181" s="74"/>
      <c r="N181" s="74"/>
      <c r="O181" s="74"/>
      <c r="P181" s="74"/>
      <c r="Q181" s="74"/>
      <c r="R181" s="74"/>
      <c r="S181" s="74"/>
      <c r="T181" s="74"/>
      <c r="U181" s="74"/>
      <c r="V181" s="74"/>
      <c r="W181" s="74"/>
      <c r="X181" s="74"/>
      <c r="Y181" s="74"/>
      <c r="Z181" s="74"/>
      <c r="AA181" s="74"/>
      <c r="AB181" s="74"/>
    </row>
    <row r="182" spans="1:28" ht="12" customHeight="1">
      <c r="A182" s="330"/>
      <c r="B182" s="314"/>
      <c r="C182" s="285"/>
      <c r="D182" s="108"/>
      <c r="E182" s="285"/>
      <c r="F182" s="285"/>
      <c r="G182" s="35"/>
      <c r="H182" s="104"/>
      <c r="I182" s="35"/>
      <c r="J182" s="74"/>
      <c r="K182" s="74"/>
      <c r="L182" s="74"/>
      <c r="M182" s="74"/>
      <c r="N182" s="74"/>
      <c r="O182" s="74"/>
      <c r="P182" s="74"/>
      <c r="Q182" s="74"/>
      <c r="R182" s="74"/>
      <c r="S182" s="74"/>
      <c r="T182" s="74"/>
      <c r="U182" s="74"/>
      <c r="V182" s="74"/>
      <c r="W182" s="74"/>
      <c r="X182" s="74"/>
      <c r="Y182" s="74"/>
      <c r="Z182" s="74"/>
      <c r="AA182" s="74"/>
      <c r="AB182" s="74"/>
    </row>
    <row r="183" spans="1:28" ht="12" customHeight="1">
      <c r="A183" s="330"/>
      <c r="B183" s="314"/>
      <c r="C183" s="285"/>
      <c r="D183" s="108"/>
      <c r="E183" s="285"/>
      <c r="F183" s="285"/>
      <c r="G183" s="35"/>
      <c r="H183" s="104"/>
      <c r="I183" s="35"/>
      <c r="J183" s="74"/>
      <c r="K183" s="74"/>
      <c r="L183" s="74"/>
      <c r="M183" s="74"/>
      <c r="N183" s="74"/>
      <c r="O183" s="74"/>
      <c r="P183" s="74"/>
      <c r="Q183" s="74"/>
      <c r="R183" s="74"/>
      <c r="S183" s="74"/>
      <c r="T183" s="74"/>
      <c r="U183" s="74"/>
      <c r="V183" s="74"/>
      <c r="W183" s="74"/>
      <c r="X183" s="74"/>
      <c r="Y183" s="74"/>
      <c r="Z183" s="74"/>
      <c r="AA183" s="74"/>
      <c r="AB183" s="74"/>
    </row>
    <row r="184" spans="1:28" ht="12" customHeight="1">
      <c r="A184" s="330"/>
      <c r="B184" s="314"/>
      <c r="C184" s="285"/>
      <c r="D184" s="108"/>
      <c r="E184" s="285"/>
      <c r="F184" s="285"/>
      <c r="G184" s="35"/>
      <c r="H184" s="104"/>
      <c r="I184" s="35"/>
      <c r="J184" s="74"/>
      <c r="K184" s="74"/>
      <c r="L184" s="74"/>
      <c r="M184" s="74"/>
      <c r="N184" s="74"/>
      <c r="O184" s="74"/>
      <c r="P184" s="74"/>
      <c r="Q184" s="74"/>
      <c r="R184" s="74"/>
      <c r="S184" s="74"/>
      <c r="T184" s="74"/>
      <c r="U184" s="74"/>
      <c r="V184" s="74"/>
      <c r="W184" s="74"/>
      <c r="X184" s="74"/>
      <c r="Y184" s="74"/>
      <c r="Z184" s="74"/>
      <c r="AA184" s="74"/>
      <c r="AB184" s="74"/>
    </row>
    <row r="185" spans="1:28" ht="12" customHeight="1">
      <c r="A185" s="330"/>
      <c r="B185" s="314"/>
      <c r="C185" s="285"/>
      <c r="D185" s="108"/>
      <c r="E185" s="285"/>
      <c r="F185" s="285"/>
      <c r="G185" s="35"/>
      <c r="H185" s="104"/>
      <c r="I185" s="35"/>
      <c r="J185" s="74"/>
      <c r="K185" s="74"/>
      <c r="L185" s="74"/>
      <c r="M185" s="74"/>
      <c r="N185" s="74"/>
      <c r="O185" s="74"/>
      <c r="P185" s="74"/>
      <c r="Q185" s="74"/>
      <c r="R185" s="74"/>
      <c r="S185" s="74"/>
      <c r="T185" s="74"/>
      <c r="U185" s="74"/>
      <c r="V185" s="74"/>
      <c r="W185" s="74"/>
      <c r="X185" s="74"/>
      <c r="Y185" s="74"/>
      <c r="Z185" s="74"/>
      <c r="AA185" s="74"/>
      <c r="AB185" s="74"/>
    </row>
    <row r="186" spans="1:28" ht="12" customHeight="1">
      <c r="A186" s="330"/>
      <c r="B186" s="314"/>
      <c r="C186" s="285"/>
      <c r="D186" s="108"/>
      <c r="E186" s="285"/>
      <c r="F186" s="285"/>
      <c r="G186" s="35"/>
      <c r="H186" s="104"/>
      <c r="I186" s="35"/>
      <c r="J186" s="74"/>
      <c r="K186" s="74"/>
      <c r="L186" s="74"/>
      <c r="M186" s="74"/>
      <c r="N186" s="74"/>
      <c r="O186" s="74"/>
      <c r="P186" s="74"/>
      <c r="Q186" s="74"/>
      <c r="R186" s="74"/>
      <c r="S186" s="74"/>
      <c r="T186" s="74"/>
      <c r="U186" s="74"/>
      <c r="V186" s="74"/>
      <c r="W186" s="74"/>
      <c r="X186" s="74"/>
      <c r="Y186" s="74"/>
      <c r="Z186" s="74"/>
      <c r="AA186" s="74"/>
      <c r="AB186" s="74"/>
    </row>
    <row r="187" spans="1:28" ht="12" customHeight="1">
      <c r="A187" s="330"/>
      <c r="B187" s="314"/>
      <c r="C187" s="285"/>
      <c r="D187" s="108"/>
      <c r="E187" s="285"/>
      <c r="F187" s="285"/>
      <c r="G187" s="35"/>
      <c r="H187" s="104"/>
      <c r="I187" s="35"/>
      <c r="J187" s="74"/>
      <c r="K187" s="74"/>
      <c r="L187" s="74"/>
      <c r="M187" s="74"/>
      <c r="N187" s="74"/>
      <c r="O187" s="74"/>
      <c r="P187" s="74"/>
      <c r="Q187" s="74"/>
      <c r="R187" s="74"/>
      <c r="S187" s="74"/>
      <c r="T187" s="74"/>
      <c r="U187" s="74"/>
      <c r="V187" s="74"/>
      <c r="W187" s="74"/>
      <c r="X187" s="74"/>
      <c r="Y187" s="74"/>
      <c r="Z187" s="74"/>
      <c r="AA187" s="74"/>
      <c r="AB187" s="74"/>
    </row>
    <row r="188" spans="1:28" ht="12" customHeight="1">
      <c r="A188" s="330"/>
      <c r="B188" s="314"/>
      <c r="C188" s="285"/>
      <c r="D188" s="108"/>
      <c r="E188" s="285"/>
      <c r="F188" s="285"/>
      <c r="G188" s="35"/>
      <c r="H188" s="104"/>
      <c r="I188" s="35"/>
      <c r="J188" s="74"/>
      <c r="K188" s="74"/>
      <c r="L188" s="74"/>
      <c r="M188" s="74"/>
      <c r="N188" s="74"/>
      <c r="O188" s="74"/>
      <c r="P188" s="74"/>
      <c r="Q188" s="74"/>
      <c r="R188" s="74"/>
      <c r="S188" s="74"/>
      <c r="T188" s="74"/>
      <c r="U188" s="74"/>
      <c r="V188" s="74"/>
      <c r="W188" s="74"/>
      <c r="X188" s="74"/>
      <c r="Y188" s="74"/>
      <c r="Z188" s="74"/>
      <c r="AA188" s="74"/>
      <c r="AB188" s="74"/>
    </row>
    <row r="189" spans="1:28" ht="12" customHeight="1">
      <c r="A189" s="330"/>
      <c r="B189" s="314"/>
      <c r="C189" s="285"/>
      <c r="D189" s="108"/>
      <c r="E189" s="285"/>
      <c r="F189" s="285"/>
      <c r="G189" s="35"/>
      <c r="H189" s="104"/>
      <c r="I189" s="35"/>
      <c r="J189" s="74"/>
      <c r="K189" s="74"/>
      <c r="L189" s="74"/>
      <c r="M189" s="74"/>
      <c r="N189" s="74"/>
      <c r="O189" s="74"/>
      <c r="P189" s="74"/>
      <c r="Q189" s="74"/>
      <c r="R189" s="74"/>
      <c r="S189" s="74"/>
      <c r="T189" s="74"/>
      <c r="U189" s="74"/>
      <c r="V189" s="74"/>
      <c r="W189" s="74"/>
      <c r="X189" s="74"/>
      <c r="Y189" s="74"/>
      <c r="Z189" s="74"/>
      <c r="AA189" s="74"/>
      <c r="AB189" s="74"/>
    </row>
    <row r="190" spans="1:28" ht="12" customHeight="1">
      <c r="A190" s="330"/>
      <c r="B190" s="314"/>
      <c r="C190" s="285"/>
      <c r="D190" s="108"/>
      <c r="E190" s="285"/>
      <c r="F190" s="285"/>
      <c r="G190" s="35"/>
      <c r="H190" s="104"/>
      <c r="I190" s="35"/>
      <c r="J190" s="74"/>
      <c r="K190" s="74"/>
      <c r="L190" s="74"/>
      <c r="M190" s="74"/>
      <c r="N190" s="74"/>
      <c r="O190" s="74"/>
      <c r="P190" s="74"/>
      <c r="Q190" s="74"/>
      <c r="R190" s="74"/>
      <c r="S190" s="74"/>
      <c r="T190" s="74"/>
      <c r="U190" s="74"/>
      <c r="V190" s="74"/>
      <c r="W190" s="74"/>
      <c r="X190" s="74"/>
      <c r="Y190" s="74"/>
      <c r="Z190" s="74"/>
      <c r="AA190" s="74"/>
      <c r="AB190" s="74"/>
    </row>
    <row r="191" spans="1:28" ht="12" customHeight="1">
      <c r="A191" s="330"/>
      <c r="B191" s="314"/>
      <c r="C191" s="285"/>
      <c r="D191" s="108"/>
      <c r="E191" s="285"/>
      <c r="F191" s="285"/>
      <c r="G191" s="35"/>
      <c r="H191" s="104"/>
      <c r="I191" s="35"/>
      <c r="J191" s="74"/>
      <c r="K191" s="74"/>
      <c r="L191" s="74"/>
      <c r="M191" s="74"/>
      <c r="N191" s="74"/>
      <c r="O191" s="74"/>
      <c r="P191" s="74"/>
      <c r="Q191" s="74"/>
      <c r="R191" s="74"/>
      <c r="S191" s="74"/>
      <c r="T191" s="74"/>
      <c r="U191" s="74"/>
      <c r="V191" s="74"/>
      <c r="W191" s="74"/>
      <c r="X191" s="74"/>
      <c r="Y191" s="74"/>
      <c r="Z191" s="74"/>
      <c r="AA191" s="74"/>
      <c r="AB191" s="74"/>
    </row>
    <row r="192" spans="1:28" ht="12" customHeight="1">
      <c r="A192" s="330"/>
      <c r="B192" s="314"/>
      <c r="C192" s="285"/>
      <c r="D192" s="108"/>
      <c r="E192" s="285"/>
      <c r="F192" s="285"/>
      <c r="G192" s="35"/>
      <c r="H192" s="104"/>
      <c r="I192" s="35"/>
      <c r="J192" s="74"/>
      <c r="K192" s="74"/>
      <c r="L192" s="74"/>
      <c r="M192" s="74"/>
      <c r="N192" s="74"/>
      <c r="O192" s="74"/>
      <c r="P192" s="74"/>
      <c r="Q192" s="74"/>
      <c r="R192" s="74"/>
      <c r="S192" s="74"/>
      <c r="T192" s="74"/>
      <c r="U192" s="74"/>
      <c r="V192" s="74"/>
      <c r="W192" s="74"/>
      <c r="X192" s="74"/>
      <c r="Y192" s="74"/>
      <c r="Z192" s="74"/>
      <c r="AA192" s="74"/>
      <c r="AB192" s="74"/>
    </row>
    <row r="193" spans="1:28" ht="12" customHeight="1">
      <c r="A193" s="330"/>
      <c r="B193" s="314"/>
      <c r="C193" s="285"/>
      <c r="D193" s="108"/>
      <c r="E193" s="285"/>
      <c r="F193" s="285"/>
      <c r="G193" s="35"/>
      <c r="H193" s="104"/>
      <c r="I193" s="35"/>
      <c r="J193" s="74"/>
      <c r="K193" s="74"/>
      <c r="L193" s="74"/>
      <c r="M193" s="74"/>
      <c r="N193" s="74"/>
      <c r="O193" s="74"/>
      <c r="P193" s="74"/>
      <c r="Q193" s="74"/>
      <c r="R193" s="74"/>
      <c r="S193" s="74"/>
      <c r="T193" s="74"/>
      <c r="U193" s="74"/>
      <c r="V193" s="74"/>
      <c r="W193" s="74"/>
      <c r="X193" s="74"/>
      <c r="Y193" s="74"/>
      <c r="Z193" s="74"/>
      <c r="AA193" s="74"/>
      <c r="AB193" s="74"/>
    </row>
    <row r="194" spans="1:28" ht="12" customHeight="1">
      <c r="A194" s="330"/>
      <c r="B194" s="314"/>
      <c r="C194" s="285"/>
      <c r="D194" s="108"/>
      <c r="E194" s="285"/>
      <c r="F194" s="285"/>
      <c r="G194" s="35"/>
      <c r="H194" s="104"/>
      <c r="I194" s="35"/>
      <c r="J194" s="74"/>
      <c r="K194" s="74"/>
      <c r="L194" s="74"/>
      <c r="M194" s="74"/>
      <c r="N194" s="74"/>
      <c r="O194" s="74"/>
      <c r="P194" s="74"/>
      <c r="Q194" s="74"/>
      <c r="R194" s="74"/>
      <c r="S194" s="74"/>
      <c r="T194" s="74"/>
      <c r="U194" s="74"/>
      <c r="V194" s="74"/>
      <c r="W194" s="74"/>
      <c r="X194" s="74"/>
      <c r="Y194" s="74"/>
      <c r="Z194" s="74"/>
      <c r="AA194" s="74"/>
      <c r="AB194" s="74"/>
    </row>
    <row r="195" spans="1:28" ht="12" customHeight="1">
      <c r="A195" s="330"/>
      <c r="B195" s="314"/>
      <c r="C195" s="285"/>
      <c r="D195" s="108"/>
      <c r="E195" s="285"/>
      <c r="F195" s="285"/>
      <c r="G195" s="35"/>
      <c r="H195" s="104"/>
      <c r="I195" s="35"/>
      <c r="J195" s="74"/>
      <c r="K195" s="74"/>
      <c r="L195" s="74"/>
      <c r="M195" s="74"/>
      <c r="N195" s="74"/>
      <c r="O195" s="74"/>
      <c r="P195" s="74"/>
      <c r="Q195" s="74"/>
      <c r="R195" s="74"/>
      <c r="S195" s="74"/>
      <c r="T195" s="74"/>
      <c r="U195" s="74"/>
      <c r="V195" s="74"/>
      <c r="W195" s="74"/>
      <c r="X195" s="74"/>
      <c r="Y195" s="74"/>
      <c r="Z195" s="74"/>
      <c r="AA195" s="74"/>
      <c r="AB195" s="74"/>
    </row>
    <row r="196" spans="1:28" ht="12" customHeight="1">
      <c r="A196" s="330"/>
      <c r="B196" s="314"/>
      <c r="C196" s="285"/>
      <c r="D196" s="108"/>
      <c r="E196" s="285"/>
      <c r="F196" s="285"/>
      <c r="G196" s="35"/>
      <c r="H196" s="104"/>
      <c r="I196" s="35"/>
      <c r="J196" s="74"/>
      <c r="K196" s="74"/>
      <c r="L196" s="74"/>
      <c r="M196" s="74"/>
      <c r="N196" s="74"/>
      <c r="O196" s="74"/>
      <c r="P196" s="74"/>
      <c r="Q196" s="74"/>
      <c r="R196" s="74"/>
      <c r="S196" s="74"/>
      <c r="T196" s="74"/>
      <c r="U196" s="74"/>
      <c r="V196" s="74"/>
      <c r="W196" s="74"/>
      <c r="X196" s="74"/>
      <c r="Y196" s="74"/>
      <c r="Z196" s="74"/>
      <c r="AA196" s="74"/>
      <c r="AB196" s="74"/>
    </row>
    <row r="197" spans="1:28" ht="12" customHeight="1">
      <c r="A197" s="330"/>
      <c r="B197" s="314"/>
      <c r="C197" s="285"/>
      <c r="D197" s="108"/>
      <c r="E197" s="285"/>
      <c r="F197" s="285"/>
      <c r="G197" s="35"/>
      <c r="H197" s="104"/>
      <c r="I197" s="35"/>
      <c r="J197" s="74"/>
      <c r="K197" s="74"/>
      <c r="L197" s="74"/>
      <c r="M197" s="74"/>
      <c r="N197" s="74"/>
      <c r="O197" s="74"/>
      <c r="P197" s="74"/>
      <c r="Q197" s="74"/>
      <c r="R197" s="74"/>
      <c r="S197" s="74"/>
      <c r="T197" s="74"/>
      <c r="U197" s="74"/>
      <c r="V197" s="74"/>
      <c r="W197" s="74"/>
      <c r="X197" s="74"/>
      <c r="Y197" s="74"/>
      <c r="Z197" s="74"/>
      <c r="AA197" s="74"/>
      <c r="AB197" s="74"/>
    </row>
    <row r="198" spans="1:28" ht="12" customHeight="1">
      <c r="A198" s="330"/>
      <c r="B198" s="314"/>
      <c r="C198" s="285"/>
      <c r="D198" s="108"/>
      <c r="E198" s="285"/>
      <c r="F198" s="285"/>
      <c r="G198" s="35"/>
      <c r="H198" s="104"/>
      <c r="I198" s="35"/>
      <c r="J198" s="74"/>
      <c r="K198" s="74"/>
      <c r="L198" s="74"/>
      <c r="M198" s="74"/>
      <c r="N198" s="74"/>
      <c r="O198" s="74"/>
      <c r="P198" s="74"/>
      <c r="Q198" s="74"/>
      <c r="R198" s="74"/>
      <c r="S198" s="74"/>
      <c r="T198" s="74"/>
      <c r="U198" s="74"/>
      <c r="V198" s="74"/>
      <c r="W198" s="74"/>
      <c r="X198" s="74"/>
      <c r="Y198" s="74"/>
      <c r="Z198" s="74"/>
      <c r="AA198" s="74"/>
      <c r="AB198" s="74"/>
    </row>
    <row r="199" spans="1:28" ht="12" customHeight="1">
      <c r="A199" s="330"/>
      <c r="B199" s="314"/>
      <c r="C199" s="285"/>
      <c r="D199" s="108"/>
      <c r="E199" s="285"/>
      <c r="F199" s="285"/>
      <c r="G199" s="35"/>
      <c r="H199" s="104"/>
      <c r="I199" s="35"/>
      <c r="J199" s="74"/>
      <c r="K199" s="74"/>
      <c r="L199" s="74"/>
      <c r="M199" s="74"/>
      <c r="N199" s="74"/>
      <c r="O199" s="74"/>
      <c r="P199" s="74"/>
      <c r="Q199" s="74"/>
      <c r="R199" s="74"/>
      <c r="S199" s="74"/>
      <c r="T199" s="74"/>
      <c r="U199" s="74"/>
      <c r="V199" s="74"/>
      <c r="W199" s="74"/>
      <c r="X199" s="74"/>
      <c r="Y199" s="74"/>
      <c r="Z199" s="74"/>
      <c r="AA199" s="74"/>
      <c r="AB199" s="74"/>
    </row>
    <row r="200" spans="1:28" ht="12" customHeight="1">
      <c r="A200" s="330"/>
      <c r="B200" s="314"/>
      <c r="C200" s="285"/>
      <c r="D200" s="108"/>
      <c r="E200" s="285"/>
      <c r="F200" s="285"/>
      <c r="G200" s="35"/>
      <c r="H200" s="104"/>
      <c r="I200" s="35"/>
      <c r="J200" s="74"/>
      <c r="K200" s="74"/>
      <c r="L200" s="74"/>
      <c r="M200" s="74"/>
      <c r="N200" s="74"/>
      <c r="O200" s="74"/>
      <c r="P200" s="74"/>
      <c r="Q200" s="74"/>
      <c r="R200" s="74"/>
      <c r="S200" s="74"/>
      <c r="T200" s="74"/>
      <c r="U200" s="74"/>
      <c r="V200" s="74"/>
      <c r="W200" s="74"/>
      <c r="X200" s="74"/>
      <c r="Y200" s="74"/>
      <c r="Z200" s="74"/>
      <c r="AA200" s="74"/>
      <c r="AB200" s="74"/>
    </row>
    <row r="201" spans="1:28" ht="12" customHeight="1">
      <c r="A201" s="330"/>
      <c r="B201" s="314"/>
      <c r="C201" s="285"/>
      <c r="D201" s="108"/>
      <c r="E201" s="285"/>
      <c r="F201" s="285"/>
      <c r="G201" s="35"/>
      <c r="H201" s="104"/>
      <c r="I201" s="35"/>
      <c r="J201" s="74"/>
      <c r="K201" s="74"/>
      <c r="L201" s="74"/>
      <c r="M201" s="74"/>
      <c r="N201" s="74"/>
      <c r="O201" s="74"/>
      <c r="P201" s="74"/>
      <c r="Q201" s="74"/>
      <c r="R201" s="74"/>
      <c r="S201" s="74"/>
      <c r="T201" s="74"/>
      <c r="U201" s="74"/>
      <c r="V201" s="74"/>
      <c r="W201" s="74"/>
      <c r="X201" s="74"/>
      <c r="Y201" s="74"/>
      <c r="Z201" s="74"/>
      <c r="AA201" s="74"/>
      <c r="AB201" s="74"/>
    </row>
    <row r="202" spans="1:28" ht="12" customHeight="1">
      <c r="A202" s="330"/>
      <c r="B202" s="314"/>
      <c r="C202" s="285"/>
      <c r="D202" s="108"/>
      <c r="E202" s="285"/>
      <c r="F202" s="285"/>
      <c r="G202" s="35"/>
      <c r="H202" s="104"/>
      <c r="I202" s="35"/>
      <c r="J202" s="74"/>
      <c r="K202" s="74"/>
      <c r="L202" s="74"/>
      <c r="M202" s="74"/>
      <c r="N202" s="74"/>
      <c r="O202" s="74"/>
      <c r="P202" s="74"/>
      <c r="Q202" s="74"/>
      <c r="R202" s="74"/>
      <c r="S202" s="74"/>
      <c r="T202" s="74"/>
      <c r="U202" s="74"/>
      <c r="V202" s="74"/>
      <c r="W202" s="74"/>
      <c r="X202" s="74"/>
      <c r="Y202" s="74"/>
      <c r="Z202" s="74"/>
      <c r="AA202" s="74"/>
      <c r="AB202" s="74"/>
    </row>
    <row r="203" spans="1:28" ht="12" customHeight="1">
      <c r="A203" s="330"/>
      <c r="B203" s="314"/>
      <c r="C203" s="285"/>
      <c r="D203" s="108"/>
      <c r="E203" s="285"/>
      <c r="F203" s="285"/>
      <c r="G203" s="35"/>
      <c r="H203" s="104"/>
      <c r="I203" s="35"/>
      <c r="J203" s="74"/>
      <c r="K203" s="74"/>
      <c r="L203" s="74"/>
      <c r="M203" s="74"/>
      <c r="N203" s="74"/>
      <c r="O203" s="74"/>
      <c r="P203" s="74"/>
      <c r="Q203" s="74"/>
      <c r="R203" s="74"/>
      <c r="S203" s="74"/>
      <c r="T203" s="74"/>
      <c r="U203" s="74"/>
      <c r="V203" s="74"/>
      <c r="W203" s="74"/>
      <c r="X203" s="74"/>
      <c r="Y203" s="74"/>
      <c r="Z203" s="74"/>
      <c r="AA203" s="74"/>
      <c r="AB203" s="74"/>
    </row>
    <row r="204" spans="1:28" ht="12" customHeight="1">
      <c r="A204" s="330"/>
      <c r="B204" s="314"/>
      <c r="C204" s="285"/>
      <c r="D204" s="108"/>
      <c r="E204" s="285"/>
      <c r="F204" s="285"/>
      <c r="G204" s="35"/>
      <c r="H204" s="104"/>
      <c r="I204" s="35"/>
      <c r="J204" s="74"/>
      <c r="K204" s="74"/>
      <c r="L204" s="74"/>
      <c r="M204" s="74"/>
      <c r="N204" s="74"/>
      <c r="O204" s="74"/>
      <c r="P204" s="74"/>
      <c r="Q204" s="74"/>
      <c r="R204" s="74"/>
      <c r="S204" s="74"/>
      <c r="T204" s="74"/>
      <c r="U204" s="74"/>
      <c r="V204" s="74"/>
      <c r="W204" s="74"/>
      <c r="X204" s="74"/>
      <c r="Y204" s="74"/>
      <c r="Z204" s="74"/>
      <c r="AA204" s="74"/>
      <c r="AB204" s="74"/>
    </row>
    <row r="205" spans="1:28" ht="12" customHeight="1">
      <c r="A205" s="330"/>
      <c r="B205" s="314"/>
      <c r="C205" s="285"/>
      <c r="D205" s="108"/>
      <c r="E205" s="285"/>
      <c r="F205" s="285"/>
      <c r="G205" s="35"/>
      <c r="H205" s="104"/>
      <c r="I205" s="35"/>
      <c r="J205" s="74"/>
      <c r="K205" s="74"/>
      <c r="L205" s="74"/>
      <c r="M205" s="74"/>
      <c r="N205" s="74"/>
      <c r="O205" s="74"/>
      <c r="P205" s="74"/>
      <c r="Q205" s="74"/>
      <c r="R205" s="74"/>
      <c r="S205" s="74"/>
      <c r="T205" s="74"/>
      <c r="U205" s="74"/>
      <c r="V205" s="74"/>
      <c r="W205" s="74"/>
      <c r="X205" s="74"/>
      <c r="Y205" s="74"/>
      <c r="Z205" s="74"/>
      <c r="AA205" s="74"/>
      <c r="AB205" s="74"/>
    </row>
    <row r="206" spans="1:28" ht="12" customHeight="1">
      <c r="A206" s="330"/>
      <c r="B206" s="314"/>
      <c r="C206" s="285"/>
      <c r="D206" s="108"/>
      <c r="E206" s="285"/>
      <c r="F206" s="285"/>
      <c r="G206" s="35"/>
      <c r="H206" s="104"/>
      <c r="I206" s="35"/>
      <c r="J206" s="74"/>
      <c r="K206" s="74"/>
      <c r="L206" s="74"/>
      <c r="M206" s="74"/>
      <c r="N206" s="74"/>
      <c r="O206" s="74"/>
      <c r="P206" s="74"/>
      <c r="Q206" s="74"/>
      <c r="R206" s="74"/>
      <c r="S206" s="74"/>
      <c r="T206" s="74"/>
      <c r="U206" s="74"/>
      <c r="V206" s="74"/>
      <c r="W206" s="74"/>
      <c r="X206" s="74"/>
      <c r="Y206" s="74"/>
      <c r="Z206" s="74"/>
      <c r="AA206" s="74"/>
      <c r="AB206" s="74"/>
    </row>
    <row r="207" spans="1:28" ht="12" customHeight="1">
      <c r="A207" s="330"/>
      <c r="B207" s="314"/>
      <c r="C207" s="285"/>
      <c r="D207" s="108"/>
      <c r="E207" s="285"/>
      <c r="F207" s="285"/>
      <c r="G207" s="35"/>
      <c r="H207" s="104"/>
      <c r="I207" s="35"/>
      <c r="J207" s="74"/>
      <c r="K207" s="74"/>
      <c r="L207" s="74"/>
      <c r="M207" s="74"/>
      <c r="N207" s="74"/>
      <c r="O207" s="74"/>
      <c r="P207" s="74"/>
      <c r="Q207" s="74"/>
      <c r="R207" s="74"/>
      <c r="S207" s="74"/>
      <c r="T207" s="74"/>
      <c r="U207" s="74"/>
      <c r="V207" s="74"/>
      <c r="W207" s="74"/>
      <c r="X207" s="74"/>
      <c r="Y207" s="74"/>
      <c r="Z207" s="74"/>
      <c r="AA207" s="74"/>
      <c r="AB207" s="74"/>
    </row>
    <row r="208" spans="1:28" ht="12" customHeight="1">
      <c r="A208" s="330"/>
      <c r="B208" s="314"/>
      <c r="C208" s="285"/>
      <c r="D208" s="108"/>
      <c r="E208" s="285"/>
      <c r="F208" s="285"/>
      <c r="G208" s="35"/>
      <c r="H208" s="104"/>
      <c r="I208" s="35"/>
      <c r="J208" s="74"/>
      <c r="K208" s="74"/>
      <c r="L208" s="74"/>
      <c r="M208" s="74"/>
      <c r="N208" s="74"/>
      <c r="O208" s="74"/>
      <c r="P208" s="74"/>
      <c r="Q208" s="74"/>
      <c r="R208" s="74"/>
      <c r="S208" s="74"/>
      <c r="T208" s="74"/>
      <c r="U208" s="74"/>
      <c r="V208" s="74"/>
      <c r="W208" s="74"/>
      <c r="X208" s="74"/>
      <c r="Y208" s="74"/>
      <c r="Z208" s="74"/>
      <c r="AA208" s="74"/>
      <c r="AB208" s="74"/>
    </row>
    <row r="209" spans="1:28" ht="12" customHeight="1">
      <c r="A209" s="330"/>
      <c r="B209" s="314"/>
      <c r="C209" s="285"/>
      <c r="D209" s="108"/>
      <c r="E209" s="285"/>
      <c r="F209" s="285"/>
      <c r="G209" s="35"/>
      <c r="H209" s="104"/>
      <c r="I209" s="35"/>
      <c r="J209" s="74"/>
      <c r="K209" s="74"/>
      <c r="L209" s="74"/>
      <c r="M209" s="74"/>
      <c r="N209" s="74"/>
      <c r="O209" s="74"/>
      <c r="P209" s="74"/>
      <c r="Q209" s="74"/>
      <c r="R209" s="74"/>
      <c r="S209" s="74"/>
      <c r="T209" s="74"/>
      <c r="U209" s="74"/>
      <c r="V209" s="74"/>
      <c r="W209" s="74"/>
      <c r="X209" s="74"/>
      <c r="Y209" s="74"/>
      <c r="Z209" s="74"/>
      <c r="AA209" s="74"/>
      <c r="AB209" s="74"/>
    </row>
    <row r="210" spans="1:28" ht="12" customHeight="1">
      <c r="A210" s="330"/>
      <c r="B210" s="314"/>
      <c r="C210" s="285"/>
      <c r="D210" s="108"/>
      <c r="E210" s="285"/>
      <c r="F210" s="285"/>
      <c r="G210" s="35"/>
      <c r="H210" s="104"/>
      <c r="I210" s="35"/>
      <c r="J210" s="74"/>
      <c r="K210" s="74"/>
      <c r="L210" s="74"/>
      <c r="M210" s="74"/>
      <c r="N210" s="74"/>
      <c r="O210" s="74"/>
      <c r="P210" s="74"/>
      <c r="Q210" s="74"/>
      <c r="R210" s="74"/>
      <c r="S210" s="74"/>
      <c r="T210" s="74"/>
      <c r="U210" s="74"/>
      <c r="V210" s="74"/>
      <c r="W210" s="74"/>
      <c r="X210" s="74"/>
      <c r="Y210" s="74"/>
      <c r="Z210" s="74"/>
      <c r="AA210" s="74"/>
      <c r="AB210" s="74"/>
    </row>
    <row r="211" spans="1:28" ht="12" customHeight="1">
      <c r="A211" s="330"/>
      <c r="B211" s="314"/>
      <c r="C211" s="285"/>
      <c r="D211" s="108"/>
      <c r="E211" s="285"/>
      <c r="F211" s="285"/>
      <c r="G211" s="35"/>
      <c r="H211" s="104"/>
      <c r="I211" s="35"/>
      <c r="J211" s="74"/>
      <c r="K211" s="74"/>
      <c r="L211" s="74"/>
      <c r="M211" s="74"/>
      <c r="N211" s="74"/>
      <c r="O211" s="74"/>
      <c r="P211" s="74"/>
      <c r="Q211" s="74"/>
      <c r="R211" s="74"/>
      <c r="S211" s="74"/>
      <c r="T211" s="74"/>
      <c r="U211" s="74"/>
      <c r="V211" s="74"/>
      <c r="W211" s="74"/>
      <c r="X211" s="74"/>
      <c r="Y211" s="74"/>
      <c r="Z211" s="74"/>
      <c r="AA211" s="74"/>
      <c r="AB211" s="74"/>
    </row>
    <row r="212" spans="1:28" ht="12" customHeight="1">
      <c r="A212" s="330"/>
      <c r="B212" s="314"/>
      <c r="C212" s="285"/>
      <c r="D212" s="108"/>
      <c r="E212" s="285"/>
      <c r="F212" s="285"/>
      <c r="G212" s="35"/>
      <c r="H212" s="104"/>
      <c r="I212" s="35"/>
      <c r="J212" s="74"/>
      <c r="K212" s="74"/>
      <c r="L212" s="74"/>
      <c r="M212" s="74"/>
      <c r="N212" s="74"/>
      <c r="O212" s="74"/>
      <c r="P212" s="74"/>
      <c r="Q212" s="74"/>
      <c r="R212" s="74"/>
      <c r="S212" s="74"/>
      <c r="T212" s="74"/>
      <c r="U212" s="74"/>
      <c r="V212" s="74"/>
      <c r="W212" s="74"/>
      <c r="X212" s="74"/>
      <c r="Y212" s="74"/>
      <c r="Z212" s="74"/>
      <c r="AA212" s="74"/>
      <c r="AB212" s="74"/>
    </row>
    <row r="213" spans="1:28" ht="12" customHeight="1">
      <c r="A213" s="330"/>
      <c r="B213" s="314"/>
      <c r="C213" s="285"/>
      <c r="D213" s="108"/>
      <c r="E213" s="285"/>
      <c r="F213" s="285"/>
      <c r="G213" s="35"/>
      <c r="H213" s="104"/>
      <c r="I213" s="35"/>
      <c r="J213" s="74"/>
      <c r="K213" s="74"/>
      <c r="L213" s="74"/>
      <c r="M213" s="74"/>
      <c r="N213" s="74"/>
      <c r="O213" s="74"/>
      <c r="P213" s="74"/>
      <c r="Q213" s="74"/>
      <c r="R213" s="74"/>
      <c r="S213" s="74"/>
      <c r="T213" s="74"/>
      <c r="U213" s="74"/>
      <c r="V213" s="74"/>
      <c r="W213" s="74"/>
      <c r="X213" s="74"/>
      <c r="Y213" s="74"/>
      <c r="Z213" s="74"/>
      <c r="AA213" s="74"/>
      <c r="AB213" s="74"/>
    </row>
    <row r="214" spans="1:28" ht="12" customHeight="1">
      <c r="A214" s="330"/>
      <c r="B214" s="314"/>
      <c r="C214" s="285"/>
      <c r="D214" s="108"/>
      <c r="E214" s="285"/>
      <c r="F214" s="285"/>
      <c r="G214" s="35"/>
      <c r="H214" s="104"/>
      <c r="I214" s="35"/>
      <c r="J214" s="74"/>
      <c r="K214" s="74"/>
      <c r="L214" s="74"/>
      <c r="M214" s="74"/>
      <c r="N214" s="74"/>
      <c r="O214" s="74"/>
      <c r="P214" s="74"/>
      <c r="Q214" s="74"/>
      <c r="R214" s="74"/>
      <c r="S214" s="74"/>
      <c r="T214" s="74"/>
      <c r="U214" s="74"/>
      <c r="V214" s="74"/>
      <c r="W214" s="74"/>
      <c r="X214" s="74"/>
      <c r="Y214" s="74"/>
      <c r="Z214" s="74"/>
      <c r="AA214" s="74"/>
      <c r="AB214" s="74"/>
    </row>
    <row r="215" spans="1:28" ht="12" customHeight="1">
      <c r="A215" s="330"/>
      <c r="B215" s="314"/>
      <c r="C215" s="285"/>
      <c r="D215" s="108"/>
      <c r="E215" s="285"/>
      <c r="F215" s="285"/>
      <c r="G215" s="35"/>
      <c r="H215" s="104"/>
      <c r="I215" s="35"/>
      <c r="J215" s="74"/>
      <c r="K215" s="74"/>
      <c r="L215" s="74"/>
      <c r="M215" s="74"/>
      <c r="N215" s="74"/>
      <c r="O215" s="74"/>
      <c r="P215" s="74"/>
      <c r="Q215" s="74"/>
      <c r="R215" s="74"/>
      <c r="S215" s="74"/>
      <c r="T215" s="74"/>
      <c r="U215" s="74"/>
      <c r="V215" s="74"/>
      <c r="W215" s="74"/>
      <c r="X215" s="74"/>
      <c r="Y215" s="74"/>
      <c r="Z215" s="74"/>
      <c r="AA215" s="74"/>
      <c r="AB215" s="74"/>
    </row>
    <row r="216" spans="1:28" ht="12" customHeight="1">
      <c r="A216" s="330"/>
      <c r="B216" s="314"/>
      <c r="C216" s="285"/>
      <c r="D216" s="108"/>
      <c r="E216" s="285"/>
      <c r="F216" s="285"/>
      <c r="G216" s="35"/>
      <c r="H216" s="104"/>
      <c r="I216" s="35"/>
      <c r="J216" s="74"/>
      <c r="K216" s="74"/>
      <c r="L216" s="74"/>
      <c r="M216" s="74"/>
      <c r="N216" s="74"/>
      <c r="O216" s="74"/>
      <c r="P216" s="74"/>
      <c r="Q216" s="74"/>
      <c r="R216" s="74"/>
      <c r="S216" s="74"/>
      <c r="T216" s="74"/>
      <c r="U216" s="74"/>
      <c r="V216" s="74"/>
      <c r="W216" s="74"/>
      <c r="X216" s="74"/>
      <c r="Y216" s="74"/>
      <c r="Z216" s="74"/>
      <c r="AA216" s="74"/>
      <c r="AB216" s="74"/>
    </row>
    <row r="217" spans="1:28" ht="12" customHeight="1">
      <c r="A217" s="330"/>
      <c r="B217" s="314"/>
      <c r="C217" s="285"/>
      <c r="D217" s="108"/>
      <c r="E217" s="285"/>
      <c r="F217" s="285"/>
      <c r="G217" s="35"/>
      <c r="H217" s="104"/>
      <c r="I217" s="35"/>
      <c r="J217" s="74"/>
      <c r="K217" s="74"/>
      <c r="L217" s="74"/>
      <c r="M217" s="74"/>
      <c r="N217" s="74"/>
      <c r="O217" s="74"/>
      <c r="P217" s="74"/>
      <c r="Q217" s="74"/>
      <c r="R217" s="74"/>
      <c r="S217" s="74"/>
      <c r="T217" s="74"/>
      <c r="U217" s="74"/>
      <c r="V217" s="74"/>
      <c r="W217" s="74"/>
      <c r="X217" s="74"/>
      <c r="Y217" s="74"/>
      <c r="Z217" s="74"/>
      <c r="AA217" s="74"/>
      <c r="AB217" s="74"/>
    </row>
    <row r="218" spans="1:28" ht="12" customHeight="1">
      <c r="A218" s="330"/>
      <c r="B218" s="314"/>
      <c r="C218" s="285"/>
      <c r="D218" s="108"/>
      <c r="E218" s="285"/>
      <c r="F218" s="285"/>
      <c r="G218" s="35"/>
      <c r="H218" s="104"/>
      <c r="I218" s="35"/>
      <c r="J218" s="74"/>
      <c r="K218" s="74"/>
      <c r="L218" s="74"/>
      <c r="M218" s="74"/>
      <c r="N218" s="74"/>
      <c r="O218" s="74"/>
      <c r="P218" s="74"/>
      <c r="Q218" s="74"/>
      <c r="R218" s="74"/>
      <c r="S218" s="74"/>
      <c r="T218" s="74"/>
      <c r="U218" s="74"/>
      <c r="V218" s="74"/>
      <c r="W218" s="74"/>
      <c r="X218" s="74"/>
      <c r="Y218" s="74"/>
      <c r="Z218" s="74"/>
      <c r="AA218" s="74"/>
      <c r="AB218" s="74"/>
    </row>
    <row r="219" spans="1:28" ht="12" customHeight="1">
      <c r="A219" s="330"/>
      <c r="B219" s="314"/>
      <c r="C219" s="285"/>
      <c r="D219" s="108"/>
      <c r="E219" s="285"/>
      <c r="F219" s="285"/>
      <c r="G219" s="35"/>
      <c r="H219" s="104"/>
      <c r="I219" s="35"/>
      <c r="J219" s="74"/>
      <c r="K219" s="74"/>
      <c r="L219" s="74"/>
      <c r="M219" s="74"/>
      <c r="N219" s="74"/>
      <c r="O219" s="74"/>
      <c r="P219" s="74"/>
      <c r="Q219" s="74"/>
      <c r="R219" s="74"/>
      <c r="S219" s="74"/>
      <c r="T219" s="74"/>
      <c r="U219" s="74"/>
      <c r="V219" s="74"/>
      <c r="W219" s="74"/>
      <c r="X219" s="74"/>
      <c r="Y219" s="74"/>
      <c r="Z219" s="74"/>
      <c r="AA219" s="74"/>
      <c r="AB219" s="74"/>
    </row>
    <row r="220" spans="1:28" ht="12" customHeight="1">
      <c r="A220" s="330"/>
      <c r="B220" s="314"/>
      <c r="C220" s="285"/>
      <c r="D220" s="108"/>
      <c r="E220" s="285"/>
      <c r="F220" s="285"/>
      <c r="G220" s="35"/>
      <c r="H220" s="104"/>
      <c r="I220" s="35"/>
      <c r="J220" s="74"/>
      <c r="K220" s="74"/>
      <c r="L220" s="74"/>
      <c r="M220" s="74"/>
      <c r="N220" s="74"/>
      <c r="O220" s="74"/>
      <c r="P220" s="74"/>
      <c r="Q220" s="74"/>
      <c r="R220" s="74"/>
      <c r="S220" s="74"/>
      <c r="T220" s="74"/>
      <c r="U220" s="74"/>
      <c r="V220" s="74"/>
      <c r="W220" s="74"/>
      <c r="X220" s="74"/>
      <c r="Y220" s="74"/>
      <c r="Z220" s="74"/>
      <c r="AA220" s="74"/>
      <c r="AB220" s="74"/>
    </row>
    <row r="221" spans="1:28" ht="12" customHeight="1">
      <c r="A221" s="330"/>
      <c r="B221" s="314"/>
      <c r="C221" s="285"/>
      <c r="D221" s="108"/>
      <c r="E221" s="285"/>
      <c r="F221" s="285"/>
      <c r="G221" s="35"/>
      <c r="H221" s="104"/>
      <c r="I221" s="35"/>
      <c r="J221" s="74"/>
      <c r="K221" s="74"/>
      <c r="L221" s="74"/>
      <c r="M221" s="74"/>
      <c r="N221" s="74"/>
      <c r="O221" s="74"/>
      <c r="P221" s="74"/>
      <c r="Q221" s="74"/>
      <c r="R221" s="74"/>
      <c r="S221" s="74"/>
      <c r="T221" s="74"/>
      <c r="U221" s="74"/>
      <c r="V221" s="74"/>
      <c r="W221" s="74"/>
      <c r="X221" s="74"/>
      <c r="Y221" s="74"/>
      <c r="Z221" s="74"/>
      <c r="AA221" s="74"/>
      <c r="AB221" s="74"/>
    </row>
    <row r="222" spans="1:28" ht="12" customHeight="1">
      <c r="A222" s="330"/>
      <c r="B222" s="314"/>
      <c r="C222" s="285"/>
      <c r="D222" s="108"/>
      <c r="E222" s="285"/>
      <c r="F222" s="285"/>
      <c r="G222" s="35"/>
      <c r="H222" s="104"/>
      <c r="I222" s="35"/>
      <c r="J222" s="74"/>
      <c r="K222" s="74"/>
      <c r="L222" s="74"/>
      <c r="M222" s="74"/>
      <c r="N222" s="74"/>
      <c r="O222" s="74"/>
      <c r="P222" s="74"/>
      <c r="Q222" s="74"/>
      <c r="R222" s="74"/>
      <c r="S222" s="74"/>
      <c r="T222" s="74"/>
      <c r="U222" s="74"/>
      <c r="V222" s="74"/>
      <c r="W222" s="74"/>
      <c r="X222" s="74"/>
      <c r="Y222" s="74"/>
      <c r="Z222" s="74"/>
      <c r="AA222" s="74"/>
      <c r="AB222" s="74"/>
    </row>
    <row r="223" spans="1:28" ht="12" customHeight="1">
      <c r="A223" s="330"/>
      <c r="B223" s="314"/>
      <c r="C223" s="285"/>
      <c r="D223" s="108"/>
      <c r="E223" s="285"/>
      <c r="F223" s="285"/>
      <c r="G223" s="35"/>
      <c r="H223" s="104"/>
      <c r="I223" s="35"/>
      <c r="J223" s="74"/>
      <c r="K223" s="74"/>
      <c r="L223" s="74"/>
      <c r="M223" s="74"/>
      <c r="N223" s="74"/>
      <c r="O223" s="74"/>
      <c r="P223" s="74"/>
      <c r="Q223" s="74"/>
      <c r="R223" s="74"/>
      <c r="S223" s="74"/>
      <c r="T223" s="74"/>
      <c r="U223" s="74"/>
      <c r="V223" s="74"/>
      <c r="W223" s="74"/>
      <c r="X223" s="74"/>
      <c r="Y223" s="74"/>
      <c r="Z223" s="74"/>
      <c r="AA223" s="74"/>
      <c r="AB223" s="74"/>
    </row>
    <row r="224" spans="1:28" ht="12" customHeight="1">
      <c r="A224" s="330"/>
      <c r="B224" s="314"/>
      <c r="C224" s="285"/>
      <c r="D224" s="108"/>
      <c r="E224" s="285"/>
      <c r="F224" s="285"/>
      <c r="G224" s="35"/>
      <c r="H224" s="104"/>
      <c r="I224" s="35"/>
      <c r="J224" s="74"/>
      <c r="K224" s="74"/>
      <c r="L224" s="74"/>
      <c r="M224" s="74"/>
      <c r="N224" s="74"/>
      <c r="O224" s="74"/>
      <c r="P224" s="74"/>
      <c r="Q224" s="74"/>
      <c r="R224" s="74"/>
      <c r="S224" s="74"/>
      <c r="T224" s="74"/>
      <c r="U224" s="74"/>
      <c r="V224" s="74"/>
      <c r="W224" s="74"/>
      <c r="X224" s="74"/>
      <c r="Y224" s="74"/>
      <c r="Z224" s="74"/>
      <c r="AA224" s="74"/>
      <c r="AB224" s="74"/>
    </row>
    <row r="225" spans="1:28" ht="12" customHeight="1">
      <c r="A225" s="330"/>
      <c r="B225" s="314"/>
      <c r="C225" s="285"/>
      <c r="D225" s="108"/>
      <c r="E225" s="285"/>
      <c r="F225" s="285"/>
      <c r="G225" s="35"/>
      <c r="H225" s="104"/>
      <c r="I225" s="35"/>
      <c r="J225" s="74"/>
      <c r="K225" s="74"/>
      <c r="L225" s="74"/>
      <c r="M225" s="74"/>
      <c r="N225" s="74"/>
      <c r="O225" s="74"/>
      <c r="P225" s="74"/>
      <c r="Q225" s="74"/>
      <c r="R225" s="74"/>
      <c r="S225" s="74"/>
      <c r="T225" s="74"/>
      <c r="U225" s="74"/>
      <c r="V225" s="74"/>
      <c r="W225" s="74"/>
      <c r="X225" s="74"/>
      <c r="Y225" s="74"/>
      <c r="Z225" s="74"/>
      <c r="AA225" s="74"/>
      <c r="AB225" s="74"/>
    </row>
    <row r="226" spans="1:28" ht="12" customHeight="1">
      <c r="A226" s="330"/>
      <c r="B226" s="314"/>
      <c r="C226" s="285"/>
      <c r="D226" s="108"/>
      <c r="E226" s="285"/>
      <c r="F226" s="285"/>
      <c r="G226" s="35"/>
      <c r="H226" s="104"/>
      <c r="I226" s="35"/>
      <c r="J226" s="74"/>
      <c r="K226" s="74"/>
      <c r="L226" s="74"/>
      <c r="M226" s="74"/>
      <c r="N226" s="74"/>
      <c r="O226" s="74"/>
      <c r="P226" s="74"/>
      <c r="Q226" s="74"/>
      <c r="R226" s="74"/>
      <c r="S226" s="74"/>
      <c r="T226" s="74"/>
      <c r="U226" s="74"/>
      <c r="V226" s="74"/>
      <c r="W226" s="74"/>
      <c r="X226" s="74"/>
      <c r="Y226" s="74"/>
      <c r="Z226" s="74"/>
      <c r="AA226" s="74"/>
      <c r="AB226" s="74"/>
    </row>
    <row r="227" spans="1:28" ht="12" customHeight="1">
      <c r="A227" s="330"/>
      <c r="B227" s="314"/>
      <c r="C227" s="285"/>
      <c r="D227" s="108"/>
      <c r="E227" s="285"/>
      <c r="F227" s="285"/>
      <c r="G227" s="35"/>
      <c r="H227" s="104"/>
      <c r="I227" s="35"/>
      <c r="J227" s="74"/>
      <c r="K227" s="74"/>
      <c r="L227" s="74"/>
      <c r="M227" s="74"/>
      <c r="N227" s="74"/>
      <c r="O227" s="74"/>
      <c r="P227" s="74"/>
      <c r="Q227" s="74"/>
      <c r="R227" s="74"/>
      <c r="S227" s="74"/>
      <c r="T227" s="74"/>
      <c r="U227" s="74"/>
      <c r="V227" s="74"/>
      <c r="W227" s="74"/>
      <c r="X227" s="74"/>
      <c r="Y227" s="74"/>
      <c r="Z227" s="74"/>
      <c r="AA227" s="74"/>
      <c r="AB227" s="74"/>
    </row>
    <row r="228" spans="1:28" ht="12" customHeight="1">
      <c r="A228" s="330"/>
      <c r="B228" s="314"/>
      <c r="C228" s="285"/>
      <c r="D228" s="108"/>
      <c r="E228" s="285"/>
      <c r="F228" s="285"/>
      <c r="G228" s="35"/>
      <c r="H228" s="104"/>
      <c r="I228" s="35"/>
      <c r="J228" s="74"/>
      <c r="K228" s="74"/>
      <c r="L228" s="74"/>
      <c r="M228" s="74"/>
      <c r="N228" s="74"/>
      <c r="O228" s="74"/>
      <c r="P228" s="74"/>
      <c r="Q228" s="74"/>
      <c r="R228" s="74"/>
      <c r="S228" s="74"/>
      <c r="T228" s="74"/>
      <c r="U228" s="74"/>
      <c r="V228" s="74"/>
      <c r="W228" s="74"/>
      <c r="X228" s="74"/>
      <c r="Y228" s="74"/>
      <c r="Z228" s="74"/>
      <c r="AA228" s="74"/>
      <c r="AB228" s="74"/>
    </row>
    <row r="229" spans="1:28" ht="12" customHeight="1">
      <c r="A229" s="330"/>
      <c r="B229" s="314"/>
      <c r="C229" s="285"/>
      <c r="D229" s="108"/>
      <c r="E229" s="285"/>
      <c r="F229" s="285"/>
      <c r="G229" s="35"/>
      <c r="H229" s="104"/>
      <c r="I229" s="35"/>
      <c r="J229" s="74"/>
      <c r="K229" s="74"/>
      <c r="L229" s="74"/>
      <c r="M229" s="74"/>
      <c r="N229" s="74"/>
      <c r="O229" s="74"/>
      <c r="P229" s="74"/>
      <c r="Q229" s="74"/>
      <c r="R229" s="74"/>
      <c r="S229" s="74"/>
      <c r="T229" s="74"/>
      <c r="U229" s="74"/>
      <c r="V229" s="74"/>
      <c r="W229" s="74"/>
      <c r="X229" s="74"/>
      <c r="Y229" s="74"/>
      <c r="Z229" s="74"/>
      <c r="AA229" s="74"/>
      <c r="AB229" s="74"/>
    </row>
    <row r="230" spans="1:28" ht="12" customHeight="1">
      <c r="A230" s="330"/>
      <c r="B230" s="314"/>
      <c r="C230" s="285"/>
      <c r="D230" s="108"/>
      <c r="E230" s="285"/>
      <c r="F230" s="285"/>
      <c r="G230" s="35"/>
      <c r="H230" s="104"/>
      <c r="I230" s="35"/>
      <c r="J230" s="74"/>
      <c r="K230" s="74"/>
      <c r="L230" s="74"/>
      <c r="M230" s="74"/>
      <c r="N230" s="74"/>
      <c r="O230" s="74"/>
      <c r="P230" s="74"/>
      <c r="Q230" s="74"/>
      <c r="R230" s="74"/>
      <c r="S230" s="74"/>
      <c r="T230" s="74"/>
      <c r="U230" s="74"/>
      <c r="V230" s="74"/>
      <c r="W230" s="74"/>
      <c r="X230" s="74"/>
      <c r="Y230" s="74"/>
      <c r="Z230" s="74"/>
      <c r="AA230" s="74"/>
      <c r="AB230" s="74"/>
    </row>
    <row r="231" spans="1:28" ht="12" customHeight="1">
      <c r="A231" s="330"/>
      <c r="B231" s="314"/>
      <c r="C231" s="285"/>
      <c r="D231" s="108"/>
      <c r="E231" s="285"/>
      <c r="F231" s="285"/>
      <c r="G231" s="35"/>
      <c r="H231" s="104"/>
      <c r="I231" s="35"/>
      <c r="J231" s="74"/>
      <c r="K231" s="74"/>
      <c r="L231" s="74"/>
      <c r="M231" s="74"/>
      <c r="N231" s="74"/>
      <c r="O231" s="74"/>
      <c r="P231" s="74"/>
      <c r="Q231" s="74"/>
      <c r="R231" s="74"/>
      <c r="S231" s="74"/>
      <c r="T231" s="74"/>
      <c r="U231" s="74"/>
      <c r="V231" s="74"/>
      <c r="W231" s="74"/>
      <c r="X231" s="74"/>
      <c r="Y231" s="74"/>
      <c r="Z231" s="74"/>
      <c r="AA231" s="74"/>
      <c r="AB231" s="74"/>
    </row>
    <row r="232" spans="1:28" ht="12" customHeight="1">
      <c r="A232" s="330"/>
      <c r="B232" s="314"/>
      <c r="C232" s="285"/>
      <c r="D232" s="108"/>
      <c r="E232" s="285"/>
      <c r="F232" s="285"/>
      <c r="G232" s="35"/>
      <c r="H232" s="104"/>
      <c r="I232" s="35"/>
      <c r="J232" s="74"/>
      <c r="K232" s="74"/>
      <c r="L232" s="74"/>
      <c r="M232" s="74"/>
      <c r="N232" s="74"/>
      <c r="O232" s="74"/>
      <c r="P232" s="74"/>
      <c r="Q232" s="74"/>
      <c r="R232" s="74"/>
      <c r="S232" s="74"/>
      <c r="T232" s="74"/>
      <c r="U232" s="74"/>
      <c r="V232" s="74"/>
      <c r="W232" s="74"/>
      <c r="X232" s="74"/>
      <c r="Y232" s="74"/>
      <c r="Z232" s="74"/>
      <c r="AA232" s="74"/>
      <c r="AB232" s="74"/>
    </row>
    <row r="233" spans="1:28" ht="12" customHeight="1">
      <c r="A233" s="330"/>
      <c r="B233" s="314"/>
      <c r="C233" s="285"/>
      <c r="D233" s="108"/>
      <c r="E233" s="285"/>
      <c r="F233" s="285"/>
      <c r="G233" s="35"/>
      <c r="H233" s="104"/>
      <c r="I233" s="35"/>
      <c r="J233" s="74"/>
      <c r="K233" s="74"/>
      <c r="L233" s="74"/>
      <c r="M233" s="74"/>
      <c r="N233" s="74"/>
      <c r="O233" s="74"/>
      <c r="P233" s="74"/>
      <c r="Q233" s="74"/>
      <c r="R233" s="74"/>
      <c r="S233" s="74"/>
      <c r="T233" s="74"/>
      <c r="U233" s="74"/>
      <c r="V233" s="74"/>
      <c r="W233" s="74"/>
      <c r="X233" s="74"/>
      <c r="Y233" s="74"/>
      <c r="Z233" s="74"/>
      <c r="AA233" s="74"/>
      <c r="AB233" s="74"/>
    </row>
    <row r="234" spans="1:28" ht="12" customHeight="1">
      <c r="A234" s="330"/>
      <c r="B234" s="314"/>
      <c r="C234" s="285"/>
      <c r="D234" s="108"/>
      <c r="E234" s="285"/>
      <c r="F234" s="285"/>
      <c r="G234" s="35"/>
      <c r="H234" s="104"/>
      <c r="I234" s="35"/>
      <c r="J234" s="74"/>
      <c r="K234" s="74"/>
      <c r="L234" s="74"/>
      <c r="M234" s="74"/>
      <c r="N234" s="74"/>
      <c r="O234" s="74"/>
      <c r="P234" s="74"/>
      <c r="Q234" s="74"/>
      <c r="R234" s="74"/>
      <c r="S234" s="74"/>
      <c r="T234" s="74"/>
      <c r="U234" s="74"/>
      <c r="V234" s="74"/>
      <c r="W234" s="74"/>
      <c r="X234" s="74"/>
      <c r="Y234" s="74"/>
      <c r="Z234" s="74"/>
      <c r="AA234" s="74"/>
      <c r="AB234" s="74"/>
    </row>
    <row r="235" spans="1:28" ht="12" customHeight="1">
      <c r="A235" s="330"/>
      <c r="B235" s="314"/>
      <c r="C235" s="285"/>
      <c r="D235" s="108"/>
      <c r="E235" s="285"/>
      <c r="F235" s="285"/>
      <c r="G235" s="35"/>
      <c r="H235" s="104"/>
      <c r="I235" s="35"/>
      <c r="J235" s="74"/>
      <c r="K235" s="74"/>
      <c r="L235" s="74"/>
      <c r="M235" s="74"/>
      <c r="N235" s="74"/>
      <c r="O235" s="74"/>
      <c r="P235" s="74"/>
      <c r="Q235" s="74"/>
      <c r="R235" s="74"/>
      <c r="S235" s="74"/>
      <c r="T235" s="74"/>
      <c r="U235" s="74"/>
      <c r="V235" s="74"/>
      <c r="W235" s="74"/>
      <c r="X235" s="74"/>
      <c r="Y235" s="74"/>
      <c r="Z235" s="74"/>
      <c r="AA235" s="74"/>
      <c r="AB235" s="74"/>
    </row>
    <row r="236" spans="1:28" ht="12" customHeight="1">
      <c r="A236" s="330"/>
      <c r="B236" s="314"/>
      <c r="C236" s="285"/>
      <c r="D236" s="108"/>
      <c r="E236" s="285"/>
      <c r="F236" s="285"/>
      <c r="G236" s="35"/>
      <c r="H236" s="104"/>
      <c r="I236" s="35"/>
      <c r="J236" s="74"/>
      <c r="K236" s="74"/>
      <c r="L236" s="74"/>
      <c r="M236" s="74"/>
      <c r="N236" s="74"/>
      <c r="O236" s="74"/>
      <c r="P236" s="74"/>
      <c r="Q236" s="74"/>
      <c r="R236" s="74"/>
      <c r="S236" s="74"/>
      <c r="T236" s="74"/>
      <c r="U236" s="74"/>
      <c r="V236" s="74"/>
      <c r="W236" s="74"/>
      <c r="X236" s="74"/>
      <c r="Y236" s="74"/>
      <c r="Z236" s="74"/>
      <c r="AA236" s="74"/>
      <c r="AB236" s="74"/>
    </row>
    <row r="237" spans="1:28" ht="12" customHeight="1">
      <c r="A237" s="330"/>
      <c r="B237" s="314"/>
      <c r="C237" s="285"/>
      <c r="D237" s="108"/>
      <c r="E237" s="285"/>
      <c r="F237" s="285"/>
      <c r="G237" s="35"/>
      <c r="H237" s="104"/>
      <c r="I237" s="35"/>
      <c r="J237" s="74"/>
      <c r="K237" s="74"/>
      <c r="L237" s="74"/>
      <c r="M237" s="74"/>
      <c r="N237" s="74"/>
      <c r="O237" s="74"/>
      <c r="P237" s="74"/>
      <c r="Q237" s="74"/>
      <c r="R237" s="74"/>
      <c r="S237" s="74"/>
      <c r="T237" s="74"/>
      <c r="U237" s="74"/>
      <c r="V237" s="74"/>
      <c r="W237" s="74"/>
      <c r="X237" s="74"/>
      <c r="Y237" s="74"/>
      <c r="Z237" s="74"/>
      <c r="AA237" s="74"/>
      <c r="AB237" s="74"/>
    </row>
    <row r="238" spans="1:28" ht="12" customHeight="1">
      <c r="A238" s="330"/>
      <c r="B238" s="314"/>
      <c r="C238" s="285"/>
      <c r="D238" s="108"/>
      <c r="E238" s="285"/>
      <c r="F238" s="285"/>
      <c r="G238" s="35"/>
      <c r="H238" s="104"/>
      <c r="I238" s="35"/>
      <c r="J238" s="74"/>
      <c r="K238" s="74"/>
      <c r="L238" s="74"/>
      <c r="M238" s="74"/>
      <c r="N238" s="74"/>
      <c r="O238" s="74"/>
      <c r="P238" s="74"/>
      <c r="Q238" s="74"/>
      <c r="R238" s="74"/>
      <c r="S238" s="74"/>
      <c r="T238" s="74"/>
      <c r="U238" s="74"/>
      <c r="V238" s="74"/>
      <c r="W238" s="74"/>
      <c r="X238" s="74"/>
      <c r="Y238" s="74"/>
      <c r="Z238" s="74"/>
      <c r="AA238" s="74"/>
      <c r="AB238" s="74"/>
    </row>
    <row r="239" spans="1:28" ht="12" customHeight="1">
      <c r="A239" s="330"/>
      <c r="B239" s="314"/>
      <c r="C239" s="285"/>
      <c r="D239" s="108"/>
      <c r="E239" s="285"/>
      <c r="F239" s="285"/>
      <c r="G239" s="35"/>
      <c r="H239" s="104"/>
      <c r="I239" s="35"/>
      <c r="J239" s="74"/>
      <c r="K239" s="74"/>
      <c r="L239" s="74"/>
      <c r="M239" s="74"/>
      <c r="N239" s="74"/>
      <c r="O239" s="74"/>
      <c r="P239" s="74"/>
      <c r="Q239" s="74"/>
      <c r="R239" s="74"/>
      <c r="S239" s="74"/>
      <c r="T239" s="74"/>
      <c r="U239" s="74"/>
      <c r="V239" s="74"/>
      <c r="W239" s="74"/>
      <c r="X239" s="74"/>
      <c r="Y239" s="74"/>
      <c r="Z239" s="74"/>
      <c r="AA239" s="74"/>
      <c r="AB239" s="74"/>
    </row>
    <row r="240" spans="1:28" ht="12" customHeight="1">
      <c r="A240" s="330"/>
      <c r="B240" s="314"/>
      <c r="C240" s="285"/>
      <c r="D240" s="108"/>
      <c r="E240" s="285"/>
      <c r="F240" s="285"/>
      <c r="G240" s="35"/>
      <c r="H240" s="104"/>
      <c r="I240" s="35"/>
      <c r="J240" s="74"/>
      <c r="K240" s="74"/>
      <c r="L240" s="74"/>
      <c r="M240" s="74"/>
      <c r="N240" s="74"/>
      <c r="O240" s="74"/>
      <c r="P240" s="74"/>
      <c r="Q240" s="74"/>
      <c r="R240" s="74"/>
      <c r="S240" s="74"/>
      <c r="T240" s="74"/>
      <c r="U240" s="74"/>
      <c r="V240" s="74"/>
      <c r="W240" s="74"/>
      <c r="X240" s="74"/>
      <c r="Y240" s="74"/>
      <c r="Z240" s="74"/>
      <c r="AA240" s="74"/>
      <c r="AB240" s="74"/>
    </row>
    <row r="241" spans="1:28" ht="12" customHeight="1">
      <c r="A241" s="330"/>
      <c r="B241" s="314"/>
      <c r="C241" s="285"/>
      <c r="D241" s="108"/>
      <c r="E241" s="285"/>
      <c r="F241" s="285"/>
      <c r="G241" s="35"/>
      <c r="H241" s="104"/>
      <c r="I241" s="35"/>
      <c r="J241" s="74"/>
      <c r="K241" s="74"/>
      <c r="L241" s="74"/>
      <c r="M241" s="74"/>
      <c r="N241" s="74"/>
      <c r="O241" s="74"/>
      <c r="P241" s="74"/>
      <c r="Q241" s="74"/>
      <c r="R241" s="74"/>
      <c r="S241" s="74"/>
      <c r="T241" s="74"/>
      <c r="U241" s="74"/>
      <c r="V241" s="74"/>
      <c r="W241" s="74"/>
      <c r="X241" s="74"/>
      <c r="Y241" s="74"/>
      <c r="Z241" s="74"/>
      <c r="AA241" s="74"/>
      <c r="AB241" s="74"/>
    </row>
    <row r="242" spans="1:28" ht="12" customHeight="1">
      <c r="A242" s="330"/>
      <c r="B242" s="314"/>
      <c r="C242" s="285"/>
      <c r="D242" s="108"/>
      <c r="E242" s="285"/>
      <c r="F242" s="285"/>
      <c r="G242" s="35"/>
      <c r="H242" s="104"/>
      <c r="I242" s="35"/>
      <c r="J242" s="74"/>
      <c r="K242" s="74"/>
      <c r="L242" s="74"/>
      <c r="M242" s="74"/>
      <c r="N242" s="74"/>
      <c r="O242" s="74"/>
      <c r="P242" s="74"/>
      <c r="Q242" s="74"/>
      <c r="R242" s="74"/>
      <c r="S242" s="74"/>
      <c r="T242" s="74"/>
      <c r="U242" s="74"/>
      <c r="V242" s="74"/>
      <c r="W242" s="74"/>
      <c r="X242" s="74"/>
      <c r="Y242" s="74"/>
      <c r="Z242" s="74"/>
      <c r="AA242" s="74"/>
      <c r="AB242" s="74"/>
    </row>
    <row r="243" spans="1:28" ht="12" customHeight="1">
      <c r="A243" s="330"/>
      <c r="B243" s="314"/>
      <c r="C243" s="285"/>
      <c r="D243" s="108"/>
      <c r="E243" s="285"/>
      <c r="F243" s="285"/>
      <c r="G243" s="35"/>
      <c r="H243" s="104"/>
      <c r="I243" s="35"/>
      <c r="J243" s="74"/>
      <c r="K243" s="74"/>
      <c r="L243" s="74"/>
      <c r="M243" s="74"/>
      <c r="N243" s="74"/>
      <c r="O243" s="74"/>
      <c r="P243" s="74"/>
      <c r="Q243" s="74"/>
      <c r="R243" s="74"/>
      <c r="S243" s="74"/>
      <c r="T243" s="74"/>
      <c r="U243" s="74"/>
      <c r="V243" s="74"/>
      <c r="W243" s="74"/>
      <c r="X243" s="74"/>
      <c r="Y243" s="74"/>
      <c r="Z243" s="74"/>
      <c r="AA243" s="74"/>
      <c r="AB243" s="74"/>
    </row>
    <row r="244" spans="1:28" ht="12" customHeight="1">
      <c r="A244" s="330"/>
      <c r="B244" s="314"/>
      <c r="C244" s="285"/>
      <c r="D244" s="108"/>
      <c r="E244" s="285"/>
      <c r="F244" s="285"/>
      <c r="G244" s="35"/>
      <c r="H244" s="104"/>
      <c r="I244" s="35"/>
      <c r="J244" s="74"/>
      <c r="K244" s="74"/>
      <c r="L244" s="74"/>
      <c r="M244" s="74"/>
      <c r="N244" s="74"/>
      <c r="O244" s="74"/>
      <c r="P244" s="74"/>
      <c r="Q244" s="74"/>
      <c r="R244" s="74"/>
      <c r="S244" s="74"/>
      <c r="T244" s="74"/>
      <c r="U244" s="74"/>
      <c r="V244" s="74"/>
      <c r="W244" s="74"/>
      <c r="X244" s="74"/>
      <c r="Y244" s="74"/>
      <c r="Z244" s="74"/>
      <c r="AA244" s="74"/>
      <c r="AB244" s="74"/>
    </row>
    <row r="245" spans="1:28" ht="12" customHeight="1">
      <c r="A245" s="330"/>
      <c r="B245" s="314"/>
      <c r="C245" s="285"/>
      <c r="D245" s="108"/>
      <c r="E245" s="285"/>
      <c r="F245" s="285"/>
      <c r="G245" s="35"/>
      <c r="H245" s="104"/>
      <c r="I245" s="35"/>
      <c r="J245" s="74"/>
      <c r="K245" s="74"/>
      <c r="L245" s="74"/>
      <c r="M245" s="74"/>
      <c r="N245" s="74"/>
      <c r="O245" s="74"/>
      <c r="P245" s="74"/>
      <c r="Q245" s="74"/>
      <c r="R245" s="74"/>
      <c r="S245" s="74"/>
      <c r="T245" s="74"/>
      <c r="U245" s="74"/>
      <c r="V245" s="74"/>
      <c r="W245" s="74"/>
      <c r="X245" s="74"/>
      <c r="Y245" s="74"/>
      <c r="Z245" s="74"/>
      <c r="AA245" s="74"/>
      <c r="AB245" s="74"/>
    </row>
    <row r="246" spans="1:28" ht="12" customHeight="1">
      <c r="A246" s="330"/>
      <c r="B246" s="314"/>
      <c r="C246" s="285"/>
      <c r="D246" s="108"/>
      <c r="E246" s="285"/>
      <c r="F246" s="285"/>
      <c r="G246" s="35"/>
      <c r="H246" s="104"/>
      <c r="I246" s="35"/>
      <c r="J246" s="74"/>
      <c r="K246" s="74"/>
      <c r="L246" s="74"/>
      <c r="M246" s="74"/>
      <c r="N246" s="74"/>
      <c r="O246" s="74"/>
      <c r="P246" s="74"/>
      <c r="Q246" s="74"/>
      <c r="R246" s="74"/>
      <c r="S246" s="74"/>
      <c r="T246" s="74"/>
      <c r="U246" s="74"/>
      <c r="V246" s="74"/>
      <c r="W246" s="74"/>
      <c r="X246" s="74"/>
      <c r="Y246" s="74"/>
      <c r="Z246" s="74"/>
      <c r="AA246" s="74"/>
      <c r="AB246" s="74"/>
    </row>
    <row r="247" spans="1:28" ht="12" customHeight="1">
      <c r="A247" s="330"/>
      <c r="B247" s="314"/>
      <c r="C247" s="285"/>
      <c r="D247" s="108"/>
      <c r="E247" s="285"/>
      <c r="F247" s="285"/>
      <c r="G247" s="35"/>
      <c r="H247" s="104"/>
      <c r="I247" s="35"/>
      <c r="J247" s="74"/>
      <c r="K247" s="74"/>
      <c r="L247" s="74"/>
      <c r="M247" s="74"/>
      <c r="N247" s="74"/>
      <c r="O247" s="74"/>
      <c r="P247" s="74"/>
      <c r="Q247" s="74"/>
      <c r="R247" s="74"/>
      <c r="S247" s="74"/>
      <c r="T247" s="74"/>
      <c r="U247" s="74"/>
      <c r="V247" s="74"/>
      <c r="W247" s="74"/>
      <c r="X247" s="74"/>
      <c r="Y247" s="74"/>
      <c r="Z247" s="74"/>
      <c r="AA247" s="74"/>
      <c r="AB247" s="74"/>
    </row>
    <row r="248" spans="1:28" ht="12" customHeight="1">
      <c r="A248" s="330"/>
      <c r="B248" s="314"/>
      <c r="C248" s="285"/>
      <c r="D248" s="108"/>
      <c r="E248" s="285"/>
      <c r="F248" s="285"/>
      <c r="G248" s="35"/>
      <c r="H248" s="104"/>
      <c r="I248" s="35"/>
      <c r="J248" s="74"/>
      <c r="K248" s="74"/>
      <c r="L248" s="74"/>
      <c r="M248" s="74"/>
      <c r="N248" s="74"/>
      <c r="O248" s="74"/>
      <c r="P248" s="74"/>
      <c r="Q248" s="74"/>
      <c r="R248" s="74"/>
      <c r="S248" s="74"/>
      <c r="T248" s="74"/>
      <c r="U248" s="74"/>
      <c r="V248" s="74"/>
      <c r="W248" s="74"/>
      <c r="X248" s="74"/>
      <c r="Y248" s="74"/>
      <c r="Z248" s="74"/>
      <c r="AA248" s="74"/>
      <c r="AB248" s="74"/>
    </row>
    <row r="249" spans="1:28" ht="12" customHeight="1">
      <c r="A249" s="330"/>
      <c r="B249" s="314"/>
      <c r="C249" s="285"/>
      <c r="D249" s="108"/>
      <c r="E249" s="285"/>
      <c r="F249" s="285"/>
      <c r="G249" s="35"/>
      <c r="H249" s="104"/>
      <c r="I249" s="35"/>
      <c r="J249" s="74"/>
      <c r="K249" s="74"/>
      <c r="L249" s="74"/>
      <c r="M249" s="74"/>
      <c r="N249" s="74"/>
      <c r="O249" s="74"/>
      <c r="P249" s="74"/>
      <c r="Q249" s="74"/>
      <c r="R249" s="74"/>
      <c r="S249" s="74"/>
      <c r="T249" s="74"/>
      <c r="U249" s="74"/>
      <c r="V249" s="74"/>
      <c r="W249" s="74"/>
      <c r="X249" s="74"/>
      <c r="Y249" s="74"/>
      <c r="Z249" s="74"/>
      <c r="AA249" s="74"/>
      <c r="AB249" s="74"/>
    </row>
    <row r="250" spans="1:28" ht="12" customHeight="1">
      <c r="A250" s="330"/>
      <c r="B250" s="314"/>
      <c r="C250" s="285"/>
      <c r="D250" s="108"/>
      <c r="E250" s="285"/>
      <c r="F250" s="285"/>
      <c r="G250" s="35"/>
      <c r="H250" s="104"/>
      <c r="I250" s="35"/>
      <c r="J250" s="74"/>
      <c r="K250" s="74"/>
      <c r="L250" s="74"/>
      <c r="M250" s="74"/>
      <c r="N250" s="74"/>
      <c r="O250" s="74"/>
      <c r="P250" s="74"/>
      <c r="Q250" s="74"/>
      <c r="R250" s="74"/>
      <c r="S250" s="74"/>
      <c r="T250" s="74"/>
      <c r="U250" s="74"/>
      <c r="V250" s="74"/>
      <c r="W250" s="74"/>
      <c r="X250" s="74"/>
      <c r="Y250" s="74"/>
      <c r="Z250" s="74"/>
      <c r="AA250" s="74"/>
      <c r="AB250" s="74"/>
    </row>
    <row r="251" spans="1:28" ht="12" customHeight="1">
      <c r="A251" s="330"/>
      <c r="B251" s="314"/>
      <c r="C251" s="285"/>
      <c r="D251" s="108"/>
      <c r="E251" s="285"/>
      <c r="F251" s="285"/>
      <c r="G251" s="35"/>
      <c r="H251" s="104"/>
      <c r="I251" s="35"/>
      <c r="J251" s="74"/>
      <c r="K251" s="74"/>
      <c r="L251" s="74"/>
      <c r="M251" s="74"/>
      <c r="N251" s="74"/>
      <c r="O251" s="74"/>
      <c r="P251" s="74"/>
      <c r="Q251" s="74"/>
      <c r="R251" s="74"/>
      <c r="S251" s="74"/>
      <c r="T251" s="74"/>
      <c r="U251" s="74"/>
      <c r="V251" s="74"/>
      <c r="W251" s="74"/>
      <c r="X251" s="74"/>
      <c r="Y251" s="74"/>
      <c r="Z251" s="74"/>
      <c r="AA251" s="74"/>
      <c r="AB251" s="74"/>
    </row>
    <row r="252" spans="1:28" ht="12" customHeight="1">
      <c r="A252" s="330"/>
      <c r="B252" s="314"/>
      <c r="C252" s="285"/>
      <c r="D252" s="108"/>
      <c r="E252" s="285"/>
      <c r="F252" s="285"/>
      <c r="G252" s="35"/>
      <c r="H252" s="104"/>
      <c r="I252" s="35"/>
      <c r="J252" s="74"/>
      <c r="K252" s="74"/>
      <c r="L252" s="74"/>
      <c r="M252" s="74"/>
      <c r="N252" s="74"/>
      <c r="O252" s="74"/>
      <c r="P252" s="74"/>
      <c r="Q252" s="74"/>
      <c r="R252" s="74"/>
      <c r="S252" s="74"/>
      <c r="T252" s="74"/>
      <c r="U252" s="74"/>
      <c r="V252" s="74"/>
      <c r="W252" s="74"/>
      <c r="X252" s="74"/>
      <c r="Y252" s="74"/>
      <c r="Z252" s="74"/>
      <c r="AA252" s="74"/>
      <c r="AB252" s="74"/>
    </row>
    <row r="253" spans="1:28" ht="12" customHeight="1">
      <c r="A253" s="330"/>
      <c r="B253" s="314"/>
      <c r="C253" s="285"/>
      <c r="D253" s="108"/>
      <c r="E253" s="285"/>
      <c r="F253" s="285"/>
      <c r="G253" s="35"/>
      <c r="H253" s="104"/>
      <c r="I253" s="35"/>
      <c r="J253" s="74"/>
      <c r="K253" s="74"/>
      <c r="L253" s="74"/>
      <c r="M253" s="74"/>
      <c r="N253" s="74"/>
      <c r="O253" s="74"/>
      <c r="P253" s="74"/>
      <c r="Q253" s="74"/>
      <c r="R253" s="74"/>
      <c r="S253" s="74"/>
      <c r="T253" s="74"/>
      <c r="U253" s="74"/>
      <c r="V253" s="74"/>
      <c r="W253" s="74"/>
      <c r="X253" s="74"/>
      <c r="Y253" s="74"/>
      <c r="Z253" s="74"/>
      <c r="AA253" s="74"/>
      <c r="AB253" s="74"/>
    </row>
    <row r="254" spans="1:28" ht="12" customHeight="1">
      <c r="A254" s="330"/>
      <c r="B254" s="314"/>
      <c r="C254" s="285"/>
      <c r="D254" s="108"/>
      <c r="E254" s="285"/>
      <c r="F254" s="285"/>
      <c r="G254" s="35"/>
      <c r="H254" s="104"/>
      <c r="I254" s="35"/>
      <c r="J254" s="74"/>
      <c r="K254" s="74"/>
      <c r="L254" s="74"/>
      <c r="M254" s="74"/>
      <c r="N254" s="74"/>
      <c r="O254" s="74"/>
      <c r="P254" s="74"/>
      <c r="Q254" s="74"/>
      <c r="R254" s="74"/>
      <c r="S254" s="74"/>
      <c r="T254" s="74"/>
      <c r="U254" s="74"/>
      <c r="V254" s="74"/>
      <c r="W254" s="74"/>
      <c r="X254" s="74"/>
      <c r="Y254" s="74"/>
      <c r="Z254" s="74"/>
      <c r="AA254" s="74"/>
      <c r="AB254" s="74"/>
    </row>
    <row r="255" spans="1:28" ht="12" customHeight="1">
      <c r="A255" s="330"/>
      <c r="B255" s="314"/>
      <c r="C255" s="285"/>
      <c r="D255" s="108"/>
      <c r="E255" s="285"/>
      <c r="F255" s="285"/>
      <c r="G255" s="35"/>
      <c r="H255" s="104"/>
      <c r="I255" s="35"/>
      <c r="J255" s="74"/>
      <c r="K255" s="74"/>
      <c r="L255" s="74"/>
      <c r="M255" s="74"/>
      <c r="N255" s="74"/>
      <c r="O255" s="74"/>
      <c r="P255" s="74"/>
      <c r="Q255" s="74"/>
      <c r="R255" s="74"/>
      <c r="S255" s="74"/>
      <c r="T255" s="74"/>
      <c r="U255" s="74"/>
      <c r="V255" s="74"/>
      <c r="W255" s="74"/>
      <c r="X255" s="74"/>
      <c r="Y255" s="74"/>
      <c r="Z255" s="74"/>
      <c r="AA255" s="74"/>
      <c r="AB255" s="74"/>
    </row>
    <row r="256" spans="1:28" ht="12" customHeight="1">
      <c r="A256" s="330"/>
      <c r="B256" s="314"/>
      <c r="C256" s="285"/>
      <c r="D256" s="108"/>
      <c r="E256" s="285"/>
      <c r="F256" s="285"/>
      <c r="G256" s="35"/>
      <c r="H256" s="104"/>
      <c r="I256" s="35"/>
      <c r="J256" s="74"/>
      <c r="K256" s="74"/>
      <c r="L256" s="74"/>
      <c r="M256" s="74"/>
      <c r="N256" s="74"/>
      <c r="O256" s="74"/>
      <c r="P256" s="74"/>
      <c r="Q256" s="74"/>
      <c r="R256" s="74"/>
      <c r="S256" s="74"/>
      <c r="T256" s="74"/>
      <c r="U256" s="74"/>
      <c r="V256" s="74"/>
      <c r="W256" s="74"/>
      <c r="X256" s="74"/>
      <c r="Y256" s="74"/>
      <c r="Z256" s="74"/>
      <c r="AA256" s="74"/>
      <c r="AB256" s="74"/>
    </row>
    <row r="257" spans="1:28" ht="12" customHeight="1">
      <c r="A257" s="330"/>
      <c r="B257" s="314"/>
      <c r="C257" s="285"/>
      <c r="D257" s="108"/>
      <c r="E257" s="285"/>
      <c r="F257" s="285"/>
      <c r="G257" s="35"/>
      <c r="H257" s="104"/>
      <c r="I257" s="35"/>
      <c r="J257" s="74"/>
      <c r="K257" s="74"/>
      <c r="L257" s="74"/>
      <c r="M257" s="74"/>
      <c r="N257" s="74"/>
      <c r="O257" s="74"/>
      <c r="P257" s="74"/>
      <c r="Q257" s="74"/>
      <c r="R257" s="74"/>
      <c r="S257" s="74"/>
      <c r="T257" s="74"/>
      <c r="U257" s="74"/>
      <c r="V257" s="74"/>
      <c r="W257" s="74"/>
      <c r="X257" s="74"/>
      <c r="Y257" s="74"/>
      <c r="Z257" s="74"/>
      <c r="AA257" s="74"/>
      <c r="AB257" s="74"/>
    </row>
    <row r="258" spans="1:28" ht="12" customHeight="1">
      <c r="A258" s="330"/>
      <c r="B258" s="314"/>
      <c r="C258" s="285"/>
      <c r="D258" s="108"/>
      <c r="E258" s="285"/>
      <c r="F258" s="285"/>
      <c r="G258" s="35"/>
      <c r="H258" s="104"/>
      <c r="I258" s="35"/>
      <c r="J258" s="74"/>
      <c r="K258" s="74"/>
      <c r="L258" s="74"/>
      <c r="M258" s="74"/>
      <c r="N258" s="74"/>
      <c r="O258" s="74"/>
      <c r="P258" s="74"/>
      <c r="Q258" s="74"/>
      <c r="R258" s="74"/>
      <c r="S258" s="74"/>
      <c r="T258" s="74"/>
      <c r="U258" s="74"/>
      <c r="V258" s="74"/>
      <c r="W258" s="74"/>
      <c r="X258" s="74"/>
      <c r="Y258" s="74"/>
      <c r="Z258" s="74"/>
      <c r="AA258" s="74"/>
      <c r="AB258" s="74"/>
    </row>
    <row r="259" spans="1:28" ht="12" customHeight="1">
      <c r="A259" s="330"/>
      <c r="B259" s="314"/>
      <c r="C259" s="285"/>
      <c r="D259" s="108"/>
      <c r="E259" s="285"/>
      <c r="F259" s="285"/>
      <c r="G259" s="35"/>
      <c r="H259" s="104"/>
      <c r="I259" s="35"/>
      <c r="J259" s="74"/>
      <c r="K259" s="74"/>
      <c r="L259" s="74"/>
      <c r="M259" s="74"/>
      <c r="N259" s="74"/>
      <c r="O259" s="74"/>
      <c r="P259" s="74"/>
      <c r="Q259" s="74"/>
      <c r="R259" s="74"/>
      <c r="S259" s="74"/>
      <c r="T259" s="74"/>
      <c r="U259" s="74"/>
      <c r="V259" s="74"/>
      <c r="W259" s="74"/>
      <c r="X259" s="74"/>
      <c r="Y259" s="74"/>
      <c r="Z259" s="74"/>
      <c r="AA259" s="74"/>
      <c r="AB259" s="74"/>
    </row>
    <row r="260" spans="1:28" ht="12" customHeight="1">
      <c r="A260" s="330"/>
      <c r="B260" s="314"/>
      <c r="C260" s="285"/>
      <c r="D260" s="108"/>
      <c r="E260" s="285"/>
      <c r="F260" s="285"/>
      <c r="G260" s="35"/>
      <c r="H260" s="104"/>
      <c r="I260" s="35"/>
      <c r="J260" s="74"/>
      <c r="K260" s="74"/>
      <c r="L260" s="74"/>
      <c r="M260" s="74"/>
      <c r="N260" s="74"/>
      <c r="O260" s="74"/>
      <c r="P260" s="74"/>
      <c r="Q260" s="74"/>
      <c r="R260" s="74"/>
      <c r="S260" s="74"/>
      <c r="T260" s="74"/>
      <c r="U260" s="74"/>
      <c r="V260" s="74"/>
      <c r="W260" s="74"/>
      <c r="X260" s="74"/>
      <c r="Y260" s="74"/>
      <c r="Z260" s="74"/>
      <c r="AA260" s="74"/>
      <c r="AB260" s="74"/>
    </row>
    <row r="261" spans="1:28" ht="12" customHeight="1">
      <c r="A261" s="330"/>
      <c r="B261" s="314"/>
      <c r="C261" s="285"/>
      <c r="D261" s="108"/>
      <c r="E261" s="285"/>
      <c r="F261" s="285"/>
      <c r="G261" s="35"/>
      <c r="H261" s="104"/>
      <c r="I261" s="35"/>
      <c r="J261" s="74"/>
      <c r="K261" s="74"/>
      <c r="L261" s="74"/>
      <c r="M261" s="74"/>
      <c r="N261" s="74"/>
      <c r="O261" s="74"/>
      <c r="P261" s="74"/>
      <c r="Q261" s="74"/>
      <c r="R261" s="74"/>
      <c r="S261" s="74"/>
      <c r="T261" s="74"/>
      <c r="U261" s="74"/>
      <c r="V261" s="74"/>
      <c r="W261" s="74"/>
      <c r="X261" s="74"/>
      <c r="Y261" s="74"/>
      <c r="Z261" s="74"/>
      <c r="AA261" s="74"/>
      <c r="AB261" s="74"/>
    </row>
    <row r="262" spans="1:28" ht="12" customHeight="1">
      <c r="A262" s="330"/>
      <c r="B262" s="314"/>
      <c r="C262" s="285"/>
      <c r="D262" s="108"/>
      <c r="E262" s="285"/>
      <c r="F262" s="285"/>
      <c r="G262" s="35"/>
      <c r="H262" s="104"/>
      <c r="I262" s="35"/>
      <c r="J262" s="74"/>
      <c r="K262" s="74"/>
      <c r="L262" s="74"/>
      <c r="M262" s="74"/>
      <c r="N262" s="74"/>
      <c r="O262" s="74"/>
      <c r="P262" s="74"/>
      <c r="Q262" s="74"/>
      <c r="R262" s="74"/>
      <c r="S262" s="74"/>
      <c r="T262" s="74"/>
      <c r="U262" s="74"/>
      <c r="V262" s="74"/>
      <c r="W262" s="74"/>
      <c r="X262" s="74"/>
      <c r="Y262" s="74"/>
      <c r="Z262" s="74"/>
      <c r="AA262" s="74"/>
      <c r="AB262" s="74"/>
    </row>
    <row r="263" spans="1:28" ht="12" customHeight="1">
      <c r="A263" s="330"/>
      <c r="B263" s="314"/>
      <c r="C263" s="285"/>
      <c r="D263" s="108"/>
      <c r="E263" s="285"/>
      <c r="F263" s="285"/>
      <c r="G263" s="35"/>
      <c r="H263" s="104"/>
      <c r="I263" s="35"/>
      <c r="J263" s="74"/>
      <c r="K263" s="74"/>
      <c r="L263" s="74"/>
      <c r="M263" s="74"/>
      <c r="N263" s="74"/>
      <c r="O263" s="74"/>
      <c r="P263" s="74"/>
      <c r="Q263" s="74"/>
      <c r="R263" s="74"/>
      <c r="S263" s="74"/>
      <c r="T263" s="74"/>
      <c r="U263" s="74"/>
      <c r="V263" s="74"/>
      <c r="W263" s="74"/>
      <c r="X263" s="74"/>
      <c r="Y263" s="74"/>
      <c r="Z263" s="74"/>
      <c r="AA263" s="74"/>
      <c r="AB263" s="74"/>
    </row>
    <row r="264" spans="1:28" ht="12" customHeight="1">
      <c r="A264" s="330"/>
      <c r="B264" s="314"/>
      <c r="C264" s="285"/>
      <c r="D264" s="108"/>
      <c r="E264" s="285"/>
      <c r="F264" s="285"/>
      <c r="G264" s="35"/>
      <c r="H264" s="104"/>
      <c r="I264" s="35"/>
      <c r="J264" s="74"/>
      <c r="K264" s="74"/>
      <c r="L264" s="74"/>
      <c r="M264" s="74"/>
      <c r="N264" s="74"/>
      <c r="O264" s="74"/>
      <c r="P264" s="74"/>
      <c r="Q264" s="74"/>
      <c r="R264" s="74"/>
      <c r="S264" s="74"/>
      <c r="T264" s="74"/>
      <c r="U264" s="74"/>
      <c r="V264" s="74"/>
      <c r="W264" s="74"/>
      <c r="X264" s="74"/>
      <c r="Y264" s="74"/>
      <c r="Z264" s="74"/>
      <c r="AA264" s="74"/>
      <c r="AB264" s="74"/>
    </row>
    <row r="265" spans="1:28" ht="12" customHeight="1">
      <c r="A265" s="330"/>
      <c r="B265" s="314"/>
      <c r="C265" s="285"/>
      <c r="D265" s="108"/>
      <c r="E265" s="285"/>
      <c r="F265" s="285"/>
      <c r="G265" s="35"/>
      <c r="H265" s="104"/>
      <c r="I265" s="35"/>
      <c r="J265" s="74"/>
      <c r="K265" s="74"/>
      <c r="L265" s="74"/>
      <c r="M265" s="74"/>
      <c r="N265" s="74"/>
      <c r="O265" s="74"/>
      <c r="P265" s="74"/>
      <c r="Q265" s="74"/>
      <c r="R265" s="74"/>
      <c r="S265" s="74"/>
      <c r="T265" s="74"/>
      <c r="U265" s="74"/>
      <c r="V265" s="74"/>
      <c r="W265" s="74"/>
      <c r="X265" s="74"/>
      <c r="Y265" s="74"/>
      <c r="Z265" s="74"/>
      <c r="AA265" s="74"/>
      <c r="AB265" s="74"/>
    </row>
    <row r="266" spans="1:28" ht="12" customHeight="1">
      <c r="A266" s="330"/>
      <c r="B266" s="314"/>
      <c r="C266" s="285"/>
      <c r="D266" s="108"/>
      <c r="E266" s="285"/>
      <c r="F266" s="285"/>
      <c r="G266" s="35"/>
      <c r="H266" s="104"/>
      <c r="I266" s="35"/>
      <c r="J266" s="74"/>
      <c r="K266" s="74"/>
      <c r="L266" s="74"/>
      <c r="M266" s="74"/>
      <c r="N266" s="74"/>
      <c r="O266" s="74"/>
      <c r="P266" s="74"/>
      <c r="Q266" s="74"/>
      <c r="R266" s="74"/>
      <c r="S266" s="74"/>
      <c r="T266" s="74"/>
      <c r="U266" s="74"/>
      <c r="V266" s="74"/>
      <c r="W266" s="74"/>
      <c r="X266" s="74"/>
      <c r="Y266" s="74"/>
      <c r="Z266" s="74"/>
      <c r="AA266" s="74"/>
      <c r="AB266" s="74"/>
    </row>
    <row r="267" spans="1:28" ht="12" customHeight="1">
      <c r="A267" s="330"/>
      <c r="B267" s="314"/>
      <c r="C267" s="285"/>
      <c r="D267" s="108"/>
      <c r="E267" s="285"/>
      <c r="F267" s="285"/>
      <c r="G267" s="35"/>
      <c r="H267" s="104"/>
      <c r="I267" s="35"/>
      <c r="J267" s="74"/>
      <c r="K267" s="74"/>
      <c r="L267" s="74"/>
      <c r="M267" s="74"/>
      <c r="N267" s="74"/>
      <c r="O267" s="74"/>
      <c r="P267" s="74"/>
      <c r="Q267" s="74"/>
      <c r="R267" s="74"/>
      <c r="S267" s="74"/>
      <c r="T267" s="74"/>
      <c r="U267" s="74"/>
      <c r="V267" s="74"/>
      <c r="W267" s="74"/>
      <c r="X267" s="74"/>
      <c r="Y267" s="74"/>
      <c r="Z267" s="74"/>
      <c r="AA267" s="74"/>
      <c r="AB267" s="74"/>
    </row>
    <row r="268" spans="1:28" ht="12" customHeight="1">
      <c r="A268" s="330"/>
      <c r="B268" s="314"/>
      <c r="C268" s="285"/>
      <c r="D268" s="108"/>
      <c r="E268" s="285"/>
      <c r="F268" s="285"/>
      <c r="G268" s="35"/>
      <c r="H268" s="104"/>
      <c r="I268" s="35"/>
      <c r="J268" s="74"/>
      <c r="K268" s="74"/>
      <c r="L268" s="74"/>
      <c r="M268" s="74"/>
      <c r="N268" s="74"/>
      <c r="O268" s="74"/>
      <c r="P268" s="74"/>
      <c r="Q268" s="74"/>
      <c r="R268" s="74"/>
      <c r="S268" s="74"/>
      <c r="T268" s="74"/>
      <c r="U268" s="74"/>
      <c r="V268" s="74"/>
      <c r="W268" s="74"/>
      <c r="X268" s="74"/>
      <c r="Y268" s="74"/>
      <c r="Z268" s="74"/>
      <c r="AA268" s="74"/>
      <c r="AB268" s="74"/>
    </row>
    <row r="269" spans="1:28" ht="12" customHeight="1">
      <c r="A269" s="330"/>
      <c r="B269" s="314"/>
      <c r="C269" s="285"/>
      <c r="D269" s="108"/>
      <c r="E269" s="285"/>
      <c r="F269" s="285"/>
      <c r="G269" s="35"/>
      <c r="H269" s="104"/>
      <c r="I269" s="35"/>
      <c r="J269" s="74"/>
      <c r="K269" s="74"/>
      <c r="L269" s="74"/>
      <c r="M269" s="74"/>
      <c r="N269" s="74"/>
      <c r="O269" s="74"/>
      <c r="P269" s="74"/>
      <c r="Q269" s="74"/>
      <c r="R269" s="74"/>
      <c r="S269" s="74"/>
      <c r="T269" s="74"/>
      <c r="U269" s="74"/>
      <c r="V269" s="74"/>
      <c r="W269" s="74"/>
      <c r="X269" s="74"/>
      <c r="Y269" s="74"/>
      <c r="Z269" s="74"/>
      <c r="AA269" s="74"/>
      <c r="AB269" s="74"/>
    </row>
    <row r="270" spans="1:28" ht="12" customHeight="1">
      <c r="A270" s="330"/>
      <c r="B270" s="314"/>
      <c r="C270" s="285"/>
      <c r="D270" s="108"/>
      <c r="E270" s="285"/>
      <c r="F270" s="285"/>
      <c r="G270" s="35"/>
      <c r="H270" s="104"/>
      <c r="I270" s="35"/>
      <c r="J270" s="74"/>
      <c r="K270" s="74"/>
      <c r="L270" s="74"/>
      <c r="M270" s="74"/>
      <c r="N270" s="74"/>
      <c r="O270" s="74"/>
      <c r="P270" s="74"/>
      <c r="Q270" s="74"/>
      <c r="R270" s="74"/>
      <c r="S270" s="74"/>
      <c r="T270" s="74"/>
      <c r="U270" s="74"/>
      <c r="V270" s="74"/>
      <c r="W270" s="74"/>
      <c r="X270" s="74"/>
      <c r="Y270" s="74"/>
      <c r="Z270" s="74"/>
      <c r="AA270" s="74"/>
      <c r="AB270" s="74"/>
    </row>
    <row r="271" spans="1:28" ht="12" customHeight="1">
      <c r="A271" s="330"/>
      <c r="B271" s="314"/>
      <c r="C271" s="285"/>
      <c r="D271" s="108"/>
      <c r="E271" s="285"/>
      <c r="F271" s="285"/>
      <c r="G271" s="35"/>
      <c r="H271" s="104"/>
      <c r="I271" s="35"/>
      <c r="J271" s="74"/>
      <c r="K271" s="74"/>
      <c r="L271" s="74"/>
      <c r="M271" s="74"/>
      <c r="N271" s="74"/>
      <c r="O271" s="74"/>
      <c r="P271" s="74"/>
      <c r="Q271" s="74"/>
      <c r="R271" s="74"/>
      <c r="S271" s="74"/>
      <c r="T271" s="74"/>
      <c r="U271" s="74"/>
      <c r="V271" s="74"/>
      <c r="W271" s="74"/>
      <c r="X271" s="74"/>
      <c r="Y271" s="74"/>
      <c r="Z271" s="74"/>
      <c r="AA271" s="74"/>
      <c r="AB271" s="74"/>
    </row>
    <row r="272" spans="1:28" ht="12" customHeight="1">
      <c r="A272" s="330"/>
      <c r="B272" s="314"/>
      <c r="C272" s="285"/>
      <c r="D272" s="108"/>
      <c r="E272" s="285"/>
      <c r="F272" s="285"/>
      <c r="G272" s="35"/>
      <c r="H272" s="104"/>
      <c r="I272" s="35"/>
      <c r="J272" s="74"/>
      <c r="K272" s="74"/>
      <c r="L272" s="74"/>
      <c r="M272" s="74"/>
      <c r="N272" s="74"/>
      <c r="O272" s="74"/>
      <c r="P272" s="74"/>
      <c r="Q272" s="74"/>
      <c r="R272" s="74"/>
      <c r="S272" s="74"/>
      <c r="T272" s="74"/>
      <c r="U272" s="74"/>
      <c r="V272" s="74"/>
      <c r="W272" s="74"/>
      <c r="X272" s="74"/>
      <c r="Y272" s="74"/>
      <c r="Z272" s="74"/>
      <c r="AA272" s="74"/>
      <c r="AB272" s="74"/>
    </row>
    <row r="273" spans="1:28" ht="12" customHeight="1">
      <c r="A273" s="330"/>
      <c r="B273" s="314"/>
      <c r="C273" s="285"/>
      <c r="D273" s="108"/>
      <c r="E273" s="285"/>
      <c r="F273" s="285"/>
      <c r="G273" s="35"/>
      <c r="H273" s="104"/>
      <c r="I273" s="35"/>
      <c r="J273" s="74"/>
      <c r="K273" s="74"/>
      <c r="L273" s="74"/>
      <c r="M273" s="74"/>
      <c r="N273" s="74"/>
      <c r="O273" s="74"/>
      <c r="P273" s="74"/>
      <c r="Q273" s="74"/>
      <c r="R273" s="74"/>
      <c r="S273" s="74"/>
      <c r="T273" s="74"/>
      <c r="U273" s="74"/>
      <c r="V273" s="74"/>
      <c r="W273" s="74"/>
      <c r="X273" s="74"/>
      <c r="Y273" s="74"/>
      <c r="Z273" s="74"/>
      <c r="AA273" s="74"/>
      <c r="AB273" s="74"/>
    </row>
    <row r="274" spans="1:28" ht="12" customHeight="1">
      <c r="A274" s="330"/>
      <c r="B274" s="314"/>
      <c r="C274" s="285"/>
      <c r="D274" s="108"/>
      <c r="E274" s="285"/>
      <c r="F274" s="285"/>
      <c r="G274" s="35"/>
      <c r="H274" s="104"/>
      <c r="I274" s="35"/>
      <c r="J274" s="74"/>
      <c r="K274" s="74"/>
      <c r="L274" s="74"/>
      <c r="M274" s="74"/>
      <c r="N274" s="74"/>
      <c r="O274" s="74"/>
      <c r="P274" s="74"/>
      <c r="Q274" s="74"/>
      <c r="R274" s="74"/>
      <c r="S274" s="74"/>
      <c r="T274" s="74"/>
      <c r="U274" s="74"/>
      <c r="V274" s="74"/>
      <c r="W274" s="74"/>
      <c r="X274" s="74"/>
      <c r="Y274" s="74"/>
      <c r="Z274" s="74"/>
      <c r="AA274" s="74"/>
      <c r="AB274" s="74"/>
    </row>
    <row r="275" spans="1:28" ht="12" customHeight="1">
      <c r="A275" s="330"/>
      <c r="B275" s="314"/>
      <c r="C275" s="285"/>
      <c r="D275" s="108"/>
      <c r="E275" s="285"/>
      <c r="F275" s="285"/>
      <c r="G275" s="35"/>
      <c r="H275" s="104"/>
      <c r="I275" s="35"/>
      <c r="J275" s="74"/>
      <c r="K275" s="74"/>
      <c r="L275" s="74"/>
      <c r="M275" s="74"/>
      <c r="N275" s="74"/>
      <c r="O275" s="74"/>
      <c r="P275" s="74"/>
      <c r="Q275" s="74"/>
      <c r="R275" s="74"/>
      <c r="S275" s="74"/>
      <c r="T275" s="74"/>
      <c r="U275" s="74"/>
      <c r="V275" s="74"/>
      <c r="W275" s="74"/>
      <c r="X275" s="74"/>
      <c r="Y275" s="74"/>
      <c r="Z275" s="74"/>
      <c r="AA275" s="74"/>
      <c r="AB275" s="74"/>
    </row>
    <row r="276" spans="1:28" ht="12" customHeight="1">
      <c r="A276" s="330"/>
      <c r="B276" s="314"/>
      <c r="C276" s="285"/>
      <c r="D276" s="108"/>
      <c r="E276" s="285"/>
      <c r="F276" s="285"/>
      <c r="G276" s="35"/>
      <c r="H276" s="104"/>
      <c r="I276" s="35"/>
      <c r="J276" s="74"/>
      <c r="K276" s="74"/>
      <c r="L276" s="74"/>
      <c r="M276" s="74"/>
      <c r="N276" s="74"/>
      <c r="O276" s="74"/>
      <c r="P276" s="74"/>
      <c r="Q276" s="74"/>
      <c r="R276" s="74"/>
      <c r="S276" s="74"/>
      <c r="T276" s="74"/>
      <c r="U276" s="74"/>
      <c r="V276" s="74"/>
      <c r="W276" s="74"/>
      <c r="X276" s="74"/>
      <c r="Y276" s="74"/>
      <c r="Z276" s="74"/>
      <c r="AA276" s="74"/>
      <c r="AB276" s="74"/>
    </row>
    <row r="277" spans="1:28" ht="12" customHeight="1">
      <c r="A277" s="330"/>
      <c r="B277" s="314"/>
      <c r="C277" s="285"/>
      <c r="D277" s="108"/>
      <c r="E277" s="285"/>
      <c r="F277" s="285"/>
      <c r="G277" s="35"/>
      <c r="H277" s="104"/>
      <c r="I277" s="35"/>
      <c r="J277" s="74"/>
      <c r="K277" s="74"/>
      <c r="L277" s="74"/>
      <c r="M277" s="74"/>
      <c r="N277" s="74"/>
      <c r="O277" s="74"/>
      <c r="P277" s="74"/>
      <c r="Q277" s="74"/>
      <c r="R277" s="74"/>
      <c r="S277" s="74"/>
      <c r="T277" s="74"/>
      <c r="U277" s="74"/>
      <c r="V277" s="74"/>
      <c r="W277" s="74"/>
      <c r="X277" s="74"/>
      <c r="Y277" s="74"/>
      <c r="Z277" s="74"/>
      <c r="AA277" s="74"/>
      <c r="AB277" s="74"/>
    </row>
    <row r="278" spans="1:28" ht="12" customHeight="1">
      <c r="A278" s="330"/>
      <c r="B278" s="314"/>
      <c r="C278" s="285"/>
      <c r="D278" s="108"/>
      <c r="E278" s="285"/>
      <c r="F278" s="285"/>
      <c r="G278" s="35"/>
      <c r="H278" s="104"/>
      <c r="I278" s="35"/>
      <c r="J278" s="74"/>
      <c r="K278" s="74"/>
      <c r="L278" s="74"/>
      <c r="M278" s="74"/>
      <c r="N278" s="74"/>
      <c r="O278" s="74"/>
      <c r="P278" s="74"/>
      <c r="Q278" s="74"/>
      <c r="R278" s="74"/>
      <c r="S278" s="74"/>
      <c r="T278" s="74"/>
      <c r="U278" s="74"/>
      <c r="V278" s="74"/>
      <c r="W278" s="74"/>
      <c r="X278" s="74"/>
      <c r="Y278" s="74"/>
      <c r="Z278" s="74"/>
      <c r="AA278" s="74"/>
      <c r="AB278" s="74"/>
    </row>
    <row r="279" spans="1:28" ht="12" customHeight="1">
      <c r="A279" s="330"/>
      <c r="B279" s="314"/>
      <c r="C279" s="285"/>
      <c r="D279" s="108"/>
      <c r="E279" s="285"/>
      <c r="F279" s="285"/>
      <c r="G279" s="35"/>
      <c r="H279" s="104"/>
      <c r="I279" s="35"/>
      <c r="J279" s="74"/>
      <c r="K279" s="74"/>
      <c r="L279" s="74"/>
      <c r="M279" s="74"/>
      <c r="N279" s="74"/>
      <c r="O279" s="74"/>
      <c r="P279" s="74"/>
      <c r="Q279" s="74"/>
      <c r="R279" s="74"/>
      <c r="S279" s="74"/>
      <c r="T279" s="74"/>
      <c r="U279" s="74"/>
      <c r="V279" s="74"/>
      <c r="W279" s="74"/>
      <c r="X279" s="74"/>
      <c r="Y279" s="74"/>
      <c r="Z279" s="74"/>
      <c r="AA279" s="74"/>
      <c r="AB279" s="74"/>
    </row>
    <row r="280" spans="1:28" ht="12" customHeight="1">
      <c r="A280" s="330"/>
      <c r="B280" s="314"/>
      <c r="C280" s="285"/>
      <c r="D280" s="108"/>
      <c r="E280" s="285"/>
      <c r="F280" s="285"/>
      <c r="G280" s="35"/>
      <c r="H280" s="104"/>
      <c r="I280" s="35"/>
      <c r="J280" s="74"/>
      <c r="K280" s="74"/>
      <c r="L280" s="74"/>
      <c r="M280" s="74"/>
      <c r="N280" s="74"/>
      <c r="O280" s="74"/>
      <c r="P280" s="74"/>
      <c r="Q280" s="74"/>
      <c r="R280" s="74"/>
      <c r="S280" s="74"/>
      <c r="T280" s="74"/>
      <c r="U280" s="74"/>
      <c r="V280" s="74"/>
      <c r="W280" s="74"/>
      <c r="X280" s="74"/>
      <c r="Y280" s="74"/>
      <c r="Z280" s="74"/>
      <c r="AA280" s="74"/>
      <c r="AB280" s="74"/>
    </row>
    <row r="281" spans="1:28" ht="12" customHeight="1">
      <c r="A281" s="330"/>
      <c r="B281" s="314"/>
      <c r="C281" s="285"/>
      <c r="D281" s="108"/>
      <c r="E281" s="285"/>
      <c r="F281" s="285"/>
      <c r="G281" s="35"/>
      <c r="H281" s="104"/>
      <c r="I281" s="35"/>
      <c r="J281" s="74"/>
      <c r="K281" s="74"/>
      <c r="L281" s="74"/>
      <c r="M281" s="74"/>
      <c r="N281" s="74"/>
      <c r="O281" s="74"/>
      <c r="P281" s="74"/>
      <c r="Q281" s="74"/>
      <c r="R281" s="74"/>
      <c r="S281" s="74"/>
      <c r="T281" s="74"/>
      <c r="U281" s="74"/>
      <c r="V281" s="74"/>
      <c r="W281" s="74"/>
      <c r="X281" s="74"/>
      <c r="Y281" s="74"/>
      <c r="Z281" s="74"/>
      <c r="AA281" s="74"/>
      <c r="AB281" s="74"/>
    </row>
    <row r="282" spans="1:28" ht="12" customHeight="1">
      <c r="A282" s="330"/>
      <c r="B282" s="314"/>
      <c r="C282" s="285"/>
      <c r="D282" s="108"/>
      <c r="E282" s="285"/>
      <c r="F282" s="285"/>
      <c r="G282" s="35"/>
      <c r="H282" s="104"/>
      <c r="I282" s="35"/>
      <c r="J282" s="74"/>
      <c r="K282" s="74"/>
      <c r="L282" s="74"/>
      <c r="M282" s="74"/>
      <c r="N282" s="74"/>
      <c r="O282" s="74"/>
      <c r="P282" s="74"/>
      <c r="Q282" s="74"/>
      <c r="R282" s="74"/>
      <c r="S282" s="74"/>
      <c r="T282" s="74"/>
      <c r="U282" s="74"/>
      <c r="V282" s="74"/>
      <c r="W282" s="74"/>
      <c r="X282" s="74"/>
      <c r="Y282" s="74"/>
      <c r="Z282" s="74"/>
      <c r="AA282" s="74"/>
      <c r="AB282" s="74"/>
    </row>
    <row r="283" spans="1:28" ht="12" customHeight="1">
      <c r="A283" s="330"/>
      <c r="B283" s="314"/>
      <c r="C283" s="285"/>
      <c r="D283" s="108"/>
      <c r="E283" s="285"/>
      <c r="F283" s="285"/>
      <c r="G283" s="35"/>
      <c r="H283" s="104"/>
      <c r="I283" s="35"/>
      <c r="J283" s="74"/>
      <c r="K283" s="74"/>
      <c r="L283" s="74"/>
      <c r="M283" s="74"/>
      <c r="N283" s="74"/>
      <c r="O283" s="74"/>
      <c r="P283" s="74"/>
      <c r="Q283" s="74"/>
      <c r="R283" s="74"/>
      <c r="S283" s="74"/>
      <c r="T283" s="74"/>
      <c r="U283" s="74"/>
      <c r="V283" s="74"/>
      <c r="W283" s="74"/>
      <c r="X283" s="74"/>
      <c r="Y283" s="74"/>
      <c r="Z283" s="74"/>
      <c r="AA283" s="74"/>
      <c r="AB283" s="74"/>
    </row>
    <row r="284" spans="1:28" ht="12" customHeight="1">
      <c r="A284" s="330"/>
      <c r="B284" s="314"/>
      <c r="C284" s="285"/>
      <c r="D284" s="108"/>
      <c r="E284" s="285"/>
      <c r="F284" s="285"/>
      <c r="G284" s="35"/>
      <c r="H284" s="104"/>
      <c r="I284" s="35"/>
      <c r="J284" s="74"/>
      <c r="K284" s="74"/>
      <c r="L284" s="74"/>
      <c r="M284" s="74"/>
      <c r="N284" s="74"/>
      <c r="O284" s="74"/>
      <c r="P284" s="74"/>
      <c r="Q284" s="74"/>
      <c r="R284" s="74"/>
      <c r="S284" s="74"/>
      <c r="T284" s="74"/>
      <c r="U284" s="74"/>
      <c r="V284" s="74"/>
      <c r="W284" s="74"/>
      <c r="X284" s="74"/>
      <c r="Y284" s="74"/>
      <c r="Z284" s="74"/>
      <c r="AA284" s="74"/>
      <c r="AB284" s="74"/>
    </row>
    <row r="285" spans="1:28" ht="12" customHeight="1">
      <c r="A285" s="330"/>
      <c r="B285" s="314"/>
      <c r="C285" s="285"/>
      <c r="D285" s="108"/>
      <c r="E285" s="285"/>
      <c r="F285" s="285"/>
      <c r="G285" s="35"/>
      <c r="H285" s="104"/>
      <c r="I285" s="35"/>
      <c r="J285" s="74"/>
      <c r="K285" s="74"/>
      <c r="L285" s="74"/>
      <c r="M285" s="74"/>
      <c r="N285" s="74"/>
      <c r="O285" s="74"/>
      <c r="P285" s="74"/>
      <c r="Q285" s="74"/>
      <c r="R285" s="74"/>
      <c r="S285" s="74"/>
      <c r="T285" s="74"/>
      <c r="U285" s="74"/>
      <c r="V285" s="74"/>
      <c r="W285" s="74"/>
      <c r="X285" s="74"/>
      <c r="Y285" s="74"/>
      <c r="Z285" s="74"/>
      <c r="AA285" s="74"/>
      <c r="AB285" s="74"/>
    </row>
    <row r="286" spans="1:28" ht="12" customHeight="1">
      <c r="A286" s="330"/>
      <c r="B286" s="314"/>
      <c r="C286" s="285"/>
      <c r="D286" s="108"/>
      <c r="E286" s="285"/>
      <c r="F286" s="285"/>
      <c r="G286" s="35"/>
      <c r="H286" s="104"/>
      <c r="I286" s="35"/>
      <c r="J286" s="74"/>
      <c r="K286" s="74"/>
      <c r="L286" s="74"/>
      <c r="M286" s="74"/>
      <c r="N286" s="74"/>
      <c r="O286" s="74"/>
      <c r="P286" s="74"/>
      <c r="Q286" s="74"/>
      <c r="R286" s="74"/>
      <c r="S286" s="74"/>
      <c r="T286" s="74"/>
      <c r="U286" s="74"/>
      <c r="V286" s="74"/>
      <c r="W286" s="74"/>
      <c r="X286" s="74"/>
      <c r="Y286" s="74"/>
      <c r="Z286" s="74"/>
      <c r="AA286" s="74"/>
      <c r="AB286" s="74"/>
    </row>
    <row r="287" spans="1:28" ht="12" customHeight="1">
      <c r="A287" s="330"/>
      <c r="B287" s="314"/>
      <c r="C287" s="285"/>
      <c r="D287" s="108"/>
      <c r="E287" s="285"/>
      <c r="F287" s="285"/>
      <c r="G287" s="35"/>
      <c r="H287" s="104"/>
      <c r="I287" s="35"/>
      <c r="J287" s="74"/>
      <c r="K287" s="74"/>
      <c r="L287" s="74"/>
      <c r="M287" s="74"/>
      <c r="N287" s="74"/>
      <c r="O287" s="74"/>
      <c r="P287" s="74"/>
      <c r="Q287" s="74"/>
      <c r="R287" s="74"/>
      <c r="S287" s="74"/>
      <c r="T287" s="74"/>
      <c r="U287" s="74"/>
      <c r="V287" s="74"/>
      <c r="W287" s="74"/>
      <c r="X287" s="74"/>
      <c r="Y287" s="74"/>
      <c r="Z287" s="74"/>
      <c r="AA287" s="74"/>
      <c r="AB287" s="74"/>
    </row>
    <row r="288" spans="1:28" ht="12" customHeight="1">
      <c r="A288" s="330"/>
      <c r="B288" s="314"/>
      <c r="C288" s="285"/>
      <c r="D288" s="108"/>
      <c r="E288" s="285"/>
      <c r="F288" s="285"/>
      <c r="G288" s="35"/>
      <c r="H288" s="104"/>
      <c r="I288" s="35"/>
      <c r="J288" s="74"/>
      <c r="K288" s="74"/>
      <c r="L288" s="74"/>
      <c r="M288" s="74"/>
      <c r="N288" s="74"/>
      <c r="O288" s="74"/>
      <c r="P288" s="74"/>
      <c r="Q288" s="74"/>
      <c r="R288" s="74"/>
      <c r="S288" s="74"/>
      <c r="T288" s="74"/>
      <c r="U288" s="74"/>
      <c r="V288" s="74"/>
      <c r="W288" s="74"/>
      <c r="X288" s="74"/>
      <c r="Y288" s="74"/>
      <c r="Z288" s="74"/>
      <c r="AA288" s="74"/>
      <c r="AB288" s="74"/>
    </row>
    <row r="289" spans="1:28" ht="12" customHeight="1">
      <c r="A289" s="330"/>
      <c r="B289" s="314"/>
      <c r="C289" s="285"/>
      <c r="D289" s="108"/>
      <c r="E289" s="285"/>
      <c r="F289" s="285"/>
      <c r="G289" s="35"/>
      <c r="H289" s="104"/>
      <c r="I289" s="35"/>
      <c r="J289" s="74"/>
      <c r="K289" s="74"/>
      <c r="L289" s="74"/>
      <c r="M289" s="74"/>
      <c r="N289" s="74"/>
      <c r="O289" s="74"/>
      <c r="P289" s="74"/>
      <c r="Q289" s="74"/>
      <c r="R289" s="74"/>
      <c r="S289" s="74"/>
      <c r="T289" s="74"/>
      <c r="U289" s="74"/>
      <c r="V289" s="74"/>
      <c r="W289" s="74"/>
      <c r="X289" s="74"/>
      <c r="Y289" s="74"/>
      <c r="Z289" s="74"/>
      <c r="AA289" s="74"/>
      <c r="AB289" s="74"/>
    </row>
    <row r="290" spans="1:28" ht="12" customHeight="1">
      <c r="A290" s="330"/>
      <c r="B290" s="314"/>
      <c r="C290" s="285"/>
      <c r="D290" s="108"/>
      <c r="E290" s="285"/>
      <c r="F290" s="285"/>
      <c r="G290" s="35"/>
      <c r="H290" s="104"/>
      <c r="I290" s="35"/>
      <c r="J290" s="74"/>
      <c r="K290" s="74"/>
      <c r="L290" s="74"/>
      <c r="M290" s="74"/>
      <c r="N290" s="74"/>
      <c r="O290" s="74"/>
      <c r="P290" s="74"/>
      <c r="Q290" s="74"/>
      <c r="R290" s="74"/>
      <c r="S290" s="74"/>
      <c r="T290" s="74"/>
      <c r="U290" s="74"/>
      <c r="V290" s="74"/>
      <c r="W290" s="74"/>
      <c r="X290" s="74"/>
      <c r="Y290" s="74"/>
      <c r="Z290" s="74"/>
      <c r="AA290" s="74"/>
      <c r="AB290" s="74"/>
    </row>
    <row r="291" spans="1:28" ht="12" customHeight="1">
      <c r="A291" s="330"/>
      <c r="B291" s="314"/>
      <c r="C291" s="285"/>
      <c r="D291" s="108"/>
      <c r="E291" s="285"/>
      <c r="F291" s="285"/>
      <c r="G291" s="35"/>
      <c r="H291" s="104"/>
      <c r="I291" s="35"/>
      <c r="J291" s="74"/>
      <c r="K291" s="74"/>
      <c r="L291" s="74"/>
      <c r="M291" s="74"/>
      <c r="N291" s="74"/>
      <c r="O291" s="74"/>
      <c r="P291" s="74"/>
      <c r="Q291" s="74"/>
      <c r="R291" s="74"/>
      <c r="S291" s="74"/>
      <c r="T291" s="74"/>
      <c r="U291" s="74"/>
      <c r="V291" s="74"/>
      <c r="W291" s="74"/>
      <c r="X291" s="74"/>
      <c r="Y291" s="74"/>
      <c r="Z291" s="74"/>
      <c r="AA291" s="74"/>
      <c r="AB291" s="74"/>
    </row>
    <row r="292" spans="1:28" ht="12" customHeight="1">
      <c r="A292" s="330"/>
      <c r="B292" s="314"/>
      <c r="C292" s="285"/>
      <c r="D292" s="108"/>
      <c r="E292" s="285"/>
      <c r="F292" s="285"/>
      <c r="G292" s="35"/>
      <c r="H292" s="104"/>
      <c r="I292" s="35"/>
      <c r="J292" s="74"/>
      <c r="K292" s="74"/>
      <c r="L292" s="74"/>
      <c r="M292" s="74"/>
      <c r="N292" s="74"/>
      <c r="O292" s="74"/>
      <c r="P292" s="74"/>
      <c r="Q292" s="74"/>
      <c r="R292" s="74"/>
      <c r="S292" s="74"/>
      <c r="T292" s="74"/>
      <c r="U292" s="74"/>
      <c r="V292" s="74"/>
      <c r="W292" s="74"/>
      <c r="X292" s="74"/>
      <c r="Y292" s="74"/>
      <c r="Z292" s="74"/>
      <c r="AA292" s="74"/>
      <c r="AB292" s="74"/>
    </row>
    <row r="293" spans="1:28" ht="12" customHeight="1">
      <c r="A293" s="330"/>
      <c r="B293" s="314"/>
      <c r="C293" s="285"/>
      <c r="D293" s="108"/>
      <c r="E293" s="285"/>
      <c r="F293" s="285"/>
      <c r="G293" s="35"/>
      <c r="H293" s="104"/>
      <c r="I293" s="35"/>
      <c r="J293" s="74"/>
      <c r="K293" s="74"/>
      <c r="L293" s="74"/>
      <c r="M293" s="74"/>
      <c r="N293" s="74"/>
      <c r="O293" s="74"/>
      <c r="P293" s="74"/>
      <c r="Q293" s="74"/>
      <c r="R293" s="74"/>
      <c r="S293" s="74"/>
      <c r="T293" s="74"/>
      <c r="U293" s="74"/>
      <c r="V293" s="74"/>
      <c r="W293" s="74"/>
      <c r="X293" s="74"/>
      <c r="Y293" s="74"/>
      <c r="Z293" s="74"/>
      <c r="AA293" s="74"/>
      <c r="AB293" s="74"/>
    </row>
    <row r="294" spans="1:28" ht="12" customHeight="1">
      <c r="A294" s="330"/>
      <c r="B294" s="314"/>
      <c r="C294" s="285"/>
      <c r="D294" s="108"/>
      <c r="E294" s="285"/>
      <c r="F294" s="285"/>
      <c r="G294" s="35"/>
      <c r="H294" s="104"/>
      <c r="I294" s="35"/>
      <c r="J294" s="74"/>
      <c r="K294" s="74"/>
      <c r="L294" s="74"/>
      <c r="M294" s="74"/>
      <c r="N294" s="74"/>
      <c r="O294" s="74"/>
      <c r="P294" s="74"/>
      <c r="Q294" s="74"/>
      <c r="R294" s="74"/>
      <c r="S294" s="74"/>
      <c r="T294" s="74"/>
      <c r="U294" s="74"/>
      <c r="V294" s="74"/>
      <c r="W294" s="74"/>
      <c r="X294" s="74"/>
      <c r="Y294" s="74"/>
      <c r="Z294" s="74"/>
      <c r="AA294" s="74"/>
      <c r="AB294" s="74"/>
    </row>
    <row r="295" spans="1:28" ht="12" customHeight="1">
      <c r="A295" s="330"/>
      <c r="B295" s="314"/>
      <c r="C295" s="285"/>
      <c r="D295" s="108"/>
      <c r="E295" s="285"/>
      <c r="F295" s="285"/>
      <c r="G295" s="35"/>
      <c r="H295" s="104"/>
      <c r="I295" s="35"/>
      <c r="J295" s="74"/>
      <c r="K295" s="74"/>
      <c r="L295" s="74"/>
      <c r="M295" s="74"/>
      <c r="N295" s="74"/>
      <c r="O295" s="74"/>
      <c r="P295" s="74"/>
      <c r="Q295" s="74"/>
      <c r="R295" s="74"/>
      <c r="S295" s="74"/>
      <c r="T295" s="74"/>
      <c r="U295" s="74"/>
      <c r="V295" s="74"/>
      <c r="W295" s="74"/>
      <c r="X295" s="74"/>
      <c r="Y295" s="74"/>
      <c r="Z295" s="74"/>
      <c r="AA295" s="74"/>
      <c r="AB295" s="74"/>
    </row>
    <row r="296" spans="1:28" ht="12" customHeight="1">
      <c r="A296" s="330"/>
      <c r="B296" s="314"/>
      <c r="C296" s="285"/>
      <c r="D296" s="108"/>
      <c r="E296" s="285"/>
      <c r="F296" s="285"/>
      <c r="G296" s="35"/>
      <c r="H296" s="104"/>
      <c r="I296" s="35"/>
      <c r="J296" s="74"/>
      <c r="K296" s="74"/>
      <c r="L296" s="74"/>
      <c r="M296" s="74"/>
      <c r="N296" s="74"/>
      <c r="O296" s="74"/>
      <c r="P296" s="74"/>
      <c r="Q296" s="74"/>
      <c r="R296" s="74"/>
      <c r="S296" s="74"/>
      <c r="T296" s="74"/>
      <c r="U296" s="74"/>
      <c r="V296" s="74"/>
      <c r="W296" s="74"/>
      <c r="X296" s="74"/>
      <c r="Y296" s="74"/>
      <c r="Z296" s="74"/>
      <c r="AA296" s="74"/>
      <c r="AB296" s="74"/>
    </row>
    <row r="297" spans="1:28" ht="12" customHeight="1">
      <c r="A297" s="330"/>
      <c r="B297" s="314"/>
      <c r="C297" s="285"/>
      <c r="D297" s="108"/>
      <c r="E297" s="285"/>
      <c r="F297" s="285"/>
      <c r="G297" s="35"/>
      <c r="H297" s="104"/>
      <c r="I297" s="35"/>
      <c r="J297" s="74"/>
      <c r="K297" s="74"/>
      <c r="L297" s="74"/>
      <c r="M297" s="74"/>
      <c r="N297" s="74"/>
      <c r="O297" s="74"/>
      <c r="P297" s="74"/>
      <c r="Q297" s="74"/>
      <c r="R297" s="74"/>
      <c r="S297" s="74"/>
      <c r="T297" s="74"/>
      <c r="U297" s="74"/>
      <c r="V297" s="74"/>
      <c r="W297" s="74"/>
      <c r="X297" s="74"/>
      <c r="Y297" s="74"/>
      <c r="Z297" s="74"/>
      <c r="AA297" s="74"/>
      <c r="AB297" s="74"/>
    </row>
    <row r="298" spans="1:28" ht="12" customHeight="1">
      <c r="A298" s="330"/>
      <c r="B298" s="314"/>
      <c r="C298" s="285"/>
      <c r="D298" s="108"/>
      <c r="E298" s="285"/>
      <c r="F298" s="285"/>
      <c r="G298" s="35"/>
      <c r="H298" s="104"/>
      <c r="I298" s="35"/>
      <c r="J298" s="74"/>
      <c r="K298" s="74"/>
      <c r="L298" s="74"/>
      <c r="M298" s="74"/>
      <c r="N298" s="74"/>
      <c r="O298" s="74"/>
      <c r="P298" s="74"/>
      <c r="Q298" s="74"/>
      <c r="R298" s="74"/>
      <c r="S298" s="74"/>
      <c r="T298" s="74"/>
      <c r="U298" s="74"/>
      <c r="V298" s="74"/>
      <c r="W298" s="74"/>
      <c r="X298" s="74"/>
      <c r="Y298" s="74"/>
      <c r="Z298" s="74"/>
      <c r="AA298" s="74"/>
      <c r="AB298" s="74"/>
    </row>
    <row r="299" spans="1:28" ht="12" customHeight="1">
      <c r="A299" s="330"/>
      <c r="B299" s="314"/>
      <c r="C299" s="285"/>
      <c r="D299" s="108"/>
      <c r="E299" s="285"/>
      <c r="F299" s="285"/>
      <c r="G299" s="35"/>
      <c r="H299" s="104"/>
      <c r="I299" s="35"/>
      <c r="J299" s="74"/>
      <c r="K299" s="74"/>
      <c r="L299" s="74"/>
      <c r="M299" s="74"/>
      <c r="N299" s="74"/>
      <c r="O299" s="74"/>
      <c r="P299" s="74"/>
      <c r="Q299" s="74"/>
      <c r="R299" s="74"/>
      <c r="S299" s="74"/>
      <c r="T299" s="74"/>
      <c r="U299" s="74"/>
      <c r="V299" s="74"/>
      <c r="W299" s="74"/>
      <c r="X299" s="74"/>
      <c r="Y299" s="74"/>
      <c r="Z299" s="74"/>
      <c r="AA299" s="74"/>
      <c r="AB299" s="74"/>
    </row>
    <row r="300" spans="1:28" ht="12" customHeight="1">
      <c r="A300" s="330"/>
      <c r="B300" s="314"/>
      <c r="C300" s="285"/>
      <c r="D300" s="108"/>
      <c r="E300" s="285"/>
      <c r="F300" s="285"/>
      <c r="G300" s="35"/>
      <c r="H300" s="104"/>
      <c r="I300" s="35"/>
      <c r="J300" s="74"/>
      <c r="K300" s="74"/>
      <c r="L300" s="74"/>
      <c r="M300" s="74"/>
      <c r="N300" s="74"/>
      <c r="O300" s="74"/>
      <c r="P300" s="74"/>
      <c r="Q300" s="74"/>
      <c r="R300" s="74"/>
      <c r="S300" s="74"/>
      <c r="T300" s="74"/>
      <c r="U300" s="74"/>
      <c r="V300" s="74"/>
      <c r="W300" s="74"/>
      <c r="X300" s="74"/>
      <c r="Y300" s="74"/>
      <c r="Z300" s="74"/>
      <c r="AA300" s="74"/>
      <c r="AB300" s="74"/>
    </row>
    <row r="301" spans="1:28" ht="12" customHeight="1">
      <c r="A301" s="330"/>
      <c r="B301" s="314"/>
      <c r="C301" s="285"/>
      <c r="D301" s="108"/>
      <c r="E301" s="285"/>
      <c r="F301" s="285"/>
      <c r="G301" s="35"/>
      <c r="H301" s="104"/>
      <c r="I301" s="35"/>
      <c r="J301" s="74"/>
      <c r="K301" s="74"/>
      <c r="L301" s="74"/>
      <c r="M301" s="74"/>
      <c r="N301" s="74"/>
      <c r="O301" s="74"/>
      <c r="P301" s="74"/>
      <c r="Q301" s="74"/>
      <c r="R301" s="74"/>
      <c r="S301" s="74"/>
      <c r="T301" s="74"/>
      <c r="U301" s="74"/>
      <c r="V301" s="74"/>
      <c r="W301" s="74"/>
      <c r="X301" s="74"/>
      <c r="Y301" s="74"/>
      <c r="Z301" s="74"/>
      <c r="AA301" s="74"/>
      <c r="AB301" s="74"/>
    </row>
    <row r="302" spans="1:28" ht="12" customHeight="1">
      <c r="A302" s="330"/>
      <c r="B302" s="314"/>
      <c r="C302" s="285"/>
      <c r="D302" s="108"/>
      <c r="E302" s="285"/>
      <c r="F302" s="285"/>
      <c r="G302" s="35"/>
      <c r="H302" s="104"/>
      <c r="I302" s="35"/>
      <c r="J302" s="74"/>
      <c r="K302" s="74"/>
      <c r="L302" s="74"/>
      <c r="M302" s="74"/>
      <c r="N302" s="74"/>
      <c r="O302" s="74"/>
      <c r="P302" s="74"/>
      <c r="Q302" s="74"/>
      <c r="R302" s="74"/>
      <c r="S302" s="74"/>
      <c r="T302" s="74"/>
      <c r="U302" s="74"/>
      <c r="V302" s="74"/>
      <c r="W302" s="74"/>
      <c r="X302" s="74"/>
      <c r="Y302" s="74"/>
      <c r="Z302" s="74"/>
      <c r="AA302" s="74"/>
      <c r="AB302" s="74"/>
    </row>
    <row r="303" spans="1:28" ht="12" customHeight="1">
      <c r="A303" s="330"/>
      <c r="B303" s="314"/>
      <c r="C303" s="285"/>
      <c r="D303" s="108"/>
      <c r="E303" s="285"/>
      <c r="F303" s="285"/>
      <c r="G303" s="35"/>
      <c r="H303" s="104"/>
      <c r="I303" s="35"/>
      <c r="J303" s="74"/>
      <c r="K303" s="74"/>
      <c r="L303" s="74"/>
      <c r="M303" s="74"/>
      <c r="N303" s="74"/>
      <c r="O303" s="74"/>
      <c r="P303" s="74"/>
      <c r="Q303" s="74"/>
      <c r="R303" s="74"/>
      <c r="S303" s="74"/>
      <c r="T303" s="74"/>
      <c r="U303" s="74"/>
      <c r="V303" s="74"/>
      <c r="W303" s="74"/>
      <c r="X303" s="74"/>
      <c r="Y303" s="74"/>
      <c r="Z303" s="74"/>
      <c r="AA303" s="74"/>
      <c r="AB303" s="74"/>
    </row>
    <row r="304" spans="1:28" ht="12" customHeight="1">
      <c r="A304" s="330"/>
      <c r="B304" s="314"/>
      <c r="C304" s="285"/>
      <c r="D304" s="108"/>
      <c r="E304" s="285"/>
      <c r="F304" s="285"/>
      <c r="G304" s="35"/>
      <c r="H304" s="104"/>
      <c r="I304" s="35"/>
      <c r="J304" s="74"/>
      <c r="K304" s="74"/>
      <c r="L304" s="74"/>
      <c r="M304" s="74"/>
      <c r="N304" s="74"/>
      <c r="O304" s="74"/>
      <c r="P304" s="74"/>
      <c r="Q304" s="74"/>
      <c r="R304" s="74"/>
      <c r="S304" s="74"/>
      <c r="T304" s="74"/>
      <c r="U304" s="74"/>
      <c r="V304" s="74"/>
      <c r="W304" s="74"/>
      <c r="X304" s="74"/>
      <c r="Y304" s="74"/>
      <c r="Z304" s="74"/>
      <c r="AA304" s="74"/>
      <c r="AB304" s="74"/>
    </row>
    <row r="305" spans="1:28" ht="12" customHeight="1">
      <c r="A305" s="330"/>
      <c r="B305" s="314"/>
      <c r="C305" s="285"/>
      <c r="D305" s="108"/>
      <c r="E305" s="285"/>
      <c r="F305" s="285"/>
      <c r="G305" s="35"/>
      <c r="H305" s="104"/>
      <c r="I305" s="35"/>
      <c r="J305" s="74"/>
      <c r="K305" s="74"/>
      <c r="L305" s="74"/>
      <c r="M305" s="74"/>
      <c r="N305" s="74"/>
      <c r="O305" s="74"/>
      <c r="P305" s="74"/>
      <c r="Q305" s="74"/>
      <c r="R305" s="74"/>
      <c r="S305" s="74"/>
      <c r="T305" s="74"/>
      <c r="U305" s="74"/>
      <c r="V305" s="74"/>
      <c r="W305" s="74"/>
      <c r="X305" s="74"/>
      <c r="Y305" s="74"/>
      <c r="Z305" s="74"/>
      <c r="AA305" s="74"/>
      <c r="AB305" s="74"/>
    </row>
    <row r="306" spans="1:28" ht="12" customHeight="1">
      <c r="A306" s="330"/>
      <c r="B306" s="314"/>
      <c r="C306" s="285"/>
      <c r="D306" s="108"/>
      <c r="E306" s="285"/>
      <c r="F306" s="285"/>
      <c r="G306" s="35"/>
      <c r="H306" s="104"/>
      <c r="I306" s="35"/>
      <c r="J306" s="74"/>
      <c r="K306" s="74"/>
      <c r="L306" s="74"/>
      <c r="M306" s="74"/>
      <c r="N306" s="74"/>
      <c r="O306" s="74"/>
      <c r="P306" s="74"/>
      <c r="Q306" s="74"/>
      <c r="R306" s="74"/>
      <c r="S306" s="74"/>
      <c r="T306" s="74"/>
      <c r="U306" s="74"/>
      <c r="V306" s="74"/>
      <c r="W306" s="74"/>
      <c r="X306" s="74"/>
      <c r="Y306" s="74"/>
      <c r="Z306" s="74"/>
      <c r="AA306" s="74"/>
      <c r="AB306" s="74"/>
    </row>
    <row r="307" spans="1:28" ht="12" customHeight="1">
      <c r="A307" s="330"/>
      <c r="B307" s="314"/>
      <c r="C307" s="285"/>
      <c r="D307" s="108"/>
      <c r="E307" s="285"/>
      <c r="F307" s="285"/>
      <c r="G307" s="35"/>
      <c r="H307" s="104"/>
      <c r="I307" s="35"/>
      <c r="J307" s="74"/>
      <c r="K307" s="74"/>
      <c r="L307" s="74"/>
      <c r="M307" s="74"/>
      <c r="N307" s="74"/>
      <c r="O307" s="74"/>
      <c r="P307" s="74"/>
      <c r="Q307" s="74"/>
      <c r="R307" s="74"/>
      <c r="S307" s="74"/>
      <c r="T307" s="74"/>
      <c r="U307" s="74"/>
      <c r="V307" s="74"/>
      <c r="W307" s="74"/>
      <c r="X307" s="74"/>
      <c r="Y307" s="74"/>
      <c r="Z307" s="74"/>
      <c r="AA307" s="74"/>
      <c r="AB307" s="74"/>
    </row>
    <row r="308" spans="1:28" ht="12" customHeight="1">
      <c r="A308" s="330"/>
      <c r="B308" s="314"/>
      <c r="C308" s="285"/>
      <c r="D308" s="108"/>
      <c r="E308" s="285"/>
      <c r="F308" s="285"/>
      <c r="G308" s="35"/>
      <c r="H308" s="104"/>
      <c r="I308" s="35"/>
      <c r="J308" s="74"/>
      <c r="K308" s="74"/>
      <c r="L308" s="74"/>
      <c r="M308" s="74"/>
      <c r="N308" s="74"/>
      <c r="O308" s="74"/>
      <c r="P308" s="74"/>
      <c r="Q308" s="74"/>
      <c r="R308" s="74"/>
      <c r="S308" s="74"/>
      <c r="T308" s="74"/>
      <c r="U308" s="74"/>
      <c r="V308" s="74"/>
      <c r="W308" s="74"/>
      <c r="X308" s="74"/>
      <c r="Y308" s="74"/>
      <c r="Z308" s="74"/>
      <c r="AA308" s="74"/>
      <c r="AB308" s="74"/>
    </row>
    <row r="309" spans="1:28" ht="12" customHeight="1">
      <c r="A309" s="330"/>
      <c r="B309" s="314"/>
      <c r="C309" s="285"/>
      <c r="D309" s="108"/>
      <c r="E309" s="285"/>
      <c r="F309" s="285"/>
      <c r="G309" s="35"/>
      <c r="H309" s="104"/>
      <c r="I309" s="35"/>
      <c r="J309" s="74"/>
      <c r="K309" s="74"/>
      <c r="L309" s="74"/>
      <c r="M309" s="74"/>
      <c r="N309" s="74"/>
      <c r="O309" s="74"/>
      <c r="P309" s="74"/>
      <c r="Q309" s="74"/>
      <c r="R309" s="74"/>
      <c r="S309" s="74"/>
      <c r="T309" s="74"/>
      <c r="U309" s="74"/>
      <c r="V309" s="74"/>
      <c r="W309" s="74"/>
      <c r="X309" s="74"/>
      <c r="Y309" s="74"/>
      <c r="Z309" s="74"/>
      <c r="AA309" s="74"/>
      <c r="AB309" s="74"/>
    </row>
    <row r="310" spans="1:28" ht="12" customHeight="1">
      <c r="A310" s="330"/>
      <c r="B310" s="314"/>
      <c r="C310" s="285"/>
      <c r="D310" s="108"/>
      <c r="E310" s="285"/>
      <c r="F310" s="285"/>
      <c r="G310" s="35"/>
      <c r="H310" s="104"/>
      <c r="I310" s="35"/>
      <c r="J310" s="74"/>
      <c r="K310" s="74"/>
      <c r="L310" s="74"/>
      <c r="M310" s="74"/>
      <c r="N310" s="74"/>
      <c r="O310" s="74"/>
      <c r="P310" s="74"/>
      <c r="Q310" s="74"/>
      <c r="R310" s="74"/>
      <c r="S310" s="74"/>
      <c r="T310" s="74"/>
      <c r="U310" s="74"/>
      <c r="V310" s="74"/>
      <c r="W310" s="74"/>
      <c r="X310" s="74"/>
      <c r="Y310" s="74"/>
      <c r="Z310" s="74"/>
      <c r="AA310" s="74"/>
      <c r="AB310" s="74"/>
    </row>
    <row r="311" spans="1:28" ht="12" customHeight="1">
      <c r="A311" s="330"/>
      <c r="B311" s="314"/>
      <c r="C311" s="285"/>
      <c r="D311" s="108"/>
      <c r="E311" s="285"/>
      <c r="F311" s="285"/>
      <c r="G311" s="35"/>
      <c r="H311" s="104"/>
      <c r="I311" s="35"/>
      <c r="J311" s="74"/>
      <c r="K311" s="74"/>
      <c r="L311" s="74"/>
      <c r="M311" s="74"/>
      <c r="N311" s="74"/>
      <c r="O311" s="74"/>
      <c r="P311" s="74"/>
      <c r="Q311" s="74"/>
      <c r="R311" s="74"/>
      <c r="S311" s="74"/>
      <c r="T311" s="74"/>
      <c r="U311" s="74"/>
      <c r="V311" s="74"/>
      <c r="W311" s="74"/>
      <c r="X311" s="74"/>
      <c r="Y311" s="74"/>
      <c r="Z311" s="74"/>
      <c r="AA311" s="74"/>
      <c r="AB311" s="74"/>
    </row>
    <row r="312" spans="1:28" ht="12" customHeight="1">
      <c r="A312" s="330"/>
      <c r="B312" s="314"/>
      <c r="C312" s="285"/>
      <c r="D312" s="108"/>
      <c r="E312" s="285"/>
      <c r="F312" s="285"/>
      <c r="G312" s="35"/>
      <c r="H312" s="104"/>
      <c r="I312" s="35"/>
      <c r="J312" s="74"/>
      <c r="K312" s="74"/>
      <c r="L312" s="74"/>
      <c r="M312" s="74"/>
      <c r="N312" s="74"/>
      <c r="O312" s="74"/>
      <c r="P312" s="74"/>
      <c r="Q312" s="74"/>
      <c r="R312" s="74"/>
      <c r="S312" s="74"/>
      <c r="T312" s="74"/>
      <c r="U312" s="74"/>
      <c r="V312" s="74"/>
      <c r="W312" s="74"/>
      <c r="X312" s="74"/>
      <c r="Y312" s="74"/>
      <c r="Z312" s="74"/>
      <c r="AA312" s="74"/>
      <c r="AB312" s="74"/>
    </row>
    <row r="313" spans="1:28" ht="12" customHeight="1">
      <c r="A313" s="330"/>
      <c r="B313" s="314"/>
      <c r="C313" s="285"/>
      <c r="D313" s="108"/>
      <c r="E313" s="285"/>
      <c r="F313" s="285"/>
      <c r="G313" s="35"/>
      <c r="H313" s="104"/>
      <c r="I313" s="35"/>
      <c r="J313" s="74"/>
      <c r="K313" s="74"/>
      <c r="L313" s="74"/>
      <c r="M313" s="74"/>
      <c r="N313" s="74"/>
      <c r="O313" s="74"/>
      <c r="P313" s="74"/>
      <c r="Q313" s="74"/>
      <c r="R313" s="74"/>
      <c r="S313" s="74"/>
      <c r="T313" s="74"/>
      <c r="U313" s="74"/>
      <c r="V313" s="74"/>
      <c r="W313" s="74"/>
      <c r="X313" s="74"/>
      <c r="Y313" s="74"/>
      <c r="Z313" s="74"/>
      <c r="AA313" s="74"/>
      <c r="AB313" s="74"/>
    </row>
    <row r="314" spans="1:28" ht="12" customHeight="1">
      <c r="A314" s="330"/>
      <c r="B314" s="314"/>
      <c r="C314" s="285"/>
      <c r="D314" s="108"/>
      <c r="E314" s="285"/>
      <c r="F314" s="285"/>
      <c r="G314" s="35"/>
      <c r="H314" s="104"/>
      <c r="I314" s="35"/>
      <c r="J314" s="74"/>
      <c r="K314" s="74"/>
      <c r="L314" s="74"/>
      <c r="M314" s="74"/>
      <c r="N314" s="74"/>
      <c r="O314" s="74"/>
      <c r="P314" s="74"/>
      <c r="Q314" s="74"/>
      <c r="R314" s="74"/>
      <c r="S314" s="74"/>
      <c r="T314" s="74"/>
      <c r="U314" s="74"/>
      <c r="V314" s="74"/>
      <c r="W314" s="74"/>
      <c r="X314" s="74"/>
      <c r="Y314" s="74"/>
      <c r="Z314" s="74"/>
      <c r="AA314" s="74"/>
      <c r="AB314" s="74"/>
    </row>
    <row r="315" spans="1:28" ht="12" customHeight="1">
      <c r="A315" s="330"/>
      <c r="B315" s="314"/>
      <c r="C315" s="285"/>
      <c r="D315" s="108"/>
      <c r="E315" s="285"/>
      <c r="F315" s="285"/>
      <c r="G315" s="35"/>
      <c r="H315" s="104"/>
      <c r="I315" s="35"/>
      <c r="J315" s="74"/>
      <c r="K315" s="74"/>
      <c r="L315" s="74"/>
      <c r="M315" s="74"/>
      <c r="N315" s="74"/>
      <c r="O315" s="74"/>
      <c r="P315" s="74"/>
      <c r="Q315" s="74"/>
      <c r="R315" s="74"/>
      <c r="S315" s="74"/>
      <c r="T315" s="74"/>
      <c r="U315" s="74"/>
      <c r="V315" s="74"/>
      <c r="W315" s="74"/>
      <c r="X315" s="74"/>
      <c r="Y315" s="74"/>
      <c r="Z315" s="74"/>
      <c r="AA315" s="74"/>
      <c r="AB315" s="74"/>
    </row>
    <row r="316" spans="1:28" ht="12" customHeight="1">
      <c r="A316" s="330"/>
      <c r="B316" s="314"/>
      <c r="C316" s="285"/>
      <c r="D316" s="108"/>
      <c r="E316" s="285"/>
      <c r="F316" s="285"/>
      <c r="G316" s="35"/>
      <c r="H316" s="104"/>
      <c r="I316" s="35"/>
      <c r="J316" s="74"/>
      <c r="K316" s="74"/>
      <c r="L316" s="74"/>
      <c r="M316" s="74"/>
      <c r="N316" s="74"/>
      <c r="O316" s="74"/>
      <c r="P316" s="74"/>
      <c r="Q316" s="74"/>
      <c r="R316" s="74"/>
      <c r="S316" s="74"/>
      <c r="T316" s="74"/>
      <c r="U316" s="74"/>
      <c r="V316" s="74"/>
      <c r="W316" s="74"/>
      <c r="X316" s="74"/>
      <c r="Y316" s="74"/>
      <c r="Z316" s="74"/>
      <c r="AA316" s="74"/>
      <c r="AB316" s="74"/>
    </row>
    <row r="317" spans="1:28" ht="12" customHeight="1">
      <c r="A317" s="330"/>
      <c r="B317" s="314"/>
      <c r="C317" s="285"/>
      <c r="D317" s="108"/>
      <c r="E317" s="285"/>
      <c r="F317" s="285"/>
      <c r="G317" s="35"/>
      <c r="H317" s="104"/>
      <c r="I317" s="35"/>
      <c r="J317" s="74"/>
      <c r="K317" s="74"/>
      <c r="L317" s="74"/>
      <c r="M317" s="74"/>
      <c r="N317" s="74"/>
      <c r="O317" s="74"/>
      <c r="P317" s="74"/>
      <c r="Q317" s="74"/>
      <c r="R317" s="74"/>
      <c r="S317" s="74"/>
      <c r="T317" s="74"/>
      <c r="U317" s="74"/>
      <c r="V317" s="74"/>
      <c r="W317" s="74"/>
      <c r="X317" s="74"/>
      <c r="Y317" s="74"/>
      <c r="Z317" s="74"/>
      <c r="AA317" s="74"/>
      <c r="AB317" s="74"/>
    </row>
    <row r="318" spans="1:28" ht="12" customHeight="1">
      <c r="A318" s="330"/>
      <c r="B318" s="314"/>
      <c r="C318" s="285"/>
      <c r="D318" s="108"/>
      <c r="E318" s="285"/>
      <c r="F318" s="285"/>
      <c r="G318" s="35"/>
      <c r="H318" s="104"/>
      <c r="I318" s="35"/>
      <c r="J318" s="74"/>
      <c r="K318" s="74"/>
      <c r="L318" s="74"/>
      <c r="M318" s="74"/>
      <c r="N318" s="74"/>
      <c r="O318" s="74"/>
      <c r="P318" s="74"/>
      <c r="Q318" s="74"/>
      <c r="R318" s="74"/>
      <c r="S318" s="74"/>
      <c r="T318" s="74"/>
      <c r="U318" s="74"/>
      <c r="V318" s="74"/>
      <c r="W318" s="74"/>
      <c r="X318" s="74"/>
      <c r="Y318" s="74"/>
      <c r="Z318" s="74"/>
      <c r="AA318" s="74"/>
      <c r="AB318" s="74"/>
    </row>
    <row r="319" spans="1:28" ht="12" customHeight="1">
      <c r="A319" s="330"/>
      <c r="B319" s="314"/>
      <c r="C319" s="285"/>
      <c r="D319" s="108"/>
      <c r="E319" s="285"/>
      <c r="F319" s="285"/>
      <c r="G319" s="35"/>
      <c r="H319" s="104"/>
      <c r="I319" s="35"/>
      <c r="J319" s="74"/>
      <c r="K319" s="74"/>
      <c r="L319" s="74"/>
      <c r="M319" s="74"/>
      <c r="N319" s="74"/>
      <c r="O319" s="74"/>
      <c r="P319" s="74"/>
      <c r="Q319" s="74"/>
      <c r="R319" s="74"/>
      <c r="S319" s="74"/>
      <c r="T319" s="74"/>
      <c r="U319" s="74"/>
      <c r="V319" s="74"/>
      <c r="W319" s="74"/>
      <c r="X319" s="74"/>
      <c r="Y319" s="74"/>
      <c r="Z319" s="74"/>
      <c r="AA319" s="74"/>
      <c r="AB319" s="74"/>
    </row>
    <row r="320" spans="1:28" ht="12" customHeight="1">
      <c r="A320" s="330"/>
      <c r="B320" s="314"/>
      <c r="C320" s="285"/>
      <c r="D320" s="108"/>
      <c r="E320" s="285"/>
      <c r="F320" s="285"/>
      <c r="G320" s="35"/>
      <c r="H320" s="104"/>
      <c r="I320" s="35"/>
      <c r="J320" s="74"/>
      <c r="K320" s="74"/>
      <c r="L320" s="74"/>
      <c r="M320" s="74"/>
      <c r="N320" s="74"/>
      <c r="O320" s="74"/>
      <c r="P320" s="74"/>
      <c r="Q320" s="74"/>
      <c r="R320" s="74"/>
      <c r="S320" s="74"/>
      <c r="T320" s="74"/>
      <c r="U320" s="74"/>
      <c r="V320" s="74"/>
      <c r="W320" s="74"/>
      <c r="X320" s="74"/>
      <c r="Y320" s="74"/>
      <c r="Z320" s="74"/>
      <c r="AA320" s="74"/>
      <c r="AB320" s="74"/>
    </row>
    <row r="321" spans="1:28" ht="12" customHeight="1">
      <c r="A321" s="330"/>
      <c r="B321" s="314"/>
      <c r="C321" s="285"/>
      <c r="D321" s="108"/>
      <c r="E321" s="285"/>
      <c r="F321" s="285"/>
      <c r="G321" s="35"/>
      <c r="H321" s="104"/>
      <c r="I321" s="35"/>
      <c r="J321" s="74"/>
      <c r="K321" s="74"/>
      <c r="L321" s="74"/>
      <c r="M321" s="74"/>
      <c r="N321" s="74"/>
      <c r="O321" s="74"/>
      <c r="P321" s="74"/>
      <c r="Q321" s="74"/>
      <c r="R321" s="74"/>
      <c r="S321" s="74"/>
      <c r="T321" s="74"/>
      <c r="U321" s="74"/>
      <c r="V321" s="74"/>
      <c r="W321" s="74"/>
      <c r="X321" s="74"/>
      <c r="Y321" s="74"/>
      <c r="Z321" s="74"/>
      <c r="AA321" s="74"/>
      <c r="AB321" s="74"/>
    </row>
    <row r="322" spans="1:28" ht="12" customHeight="1">
      <c r="A322" s="330"/>
      <c r="B322" s="314"/>
      <c r="C322" s="285"/>
      <c r="D322" s="108"/>
      <c r="E322" s="285"/>
      <c r="F322" s="285"/>
      <c r="G322" s="35"/>
      <c r="H322" s="104"/>
      <c r="I322" s="35"/>
      <c r="J322" s="74"/>
      <c r="K322" s="74"/>
      <c r="L322" s="74"/>
      <c r="M322" s="74"/>
      <c r="N322" s="74"/>
      <c r="O322" s="74"/>
      <c r="P322" s="74"/>
      <c r="Q322" s="74"/>
      <c r="R322" s="74"/>
      <c r="S322" s="74"/>
      <c r="T322" s="74"/>
      <c r="U322" s="74"/>
      <c r="V322" s="74"/>
      <c r="W322" s="74"/>
      <c r="X322" s="74"/>
      <c r="Y322" s="74"/>
      <c r="Z322" s="74"/>
      <c r="AA322" s="74"/>
      <c r="AB322" s="74"/>
    </row>
    <row r="323" spans="1:28" ht="12" customHeight="1">
      <c r="A323" s="330"/>
      <c r="B323" s="314"/>
      <c r="C323" s="285"/>
      <c r="D323" s="108"/>
      <c r="E323" s="285"/>
      <c r="F323" s="285"/>
      <c r="G323" s="35"/>
      <c r="H323" s="104"/>
      <c r="I323" s="35"/>
      <c r="J323" s="74"/>
      <c r="K323" s="74"/>
      <c r="L323" s="74"/>
      <c r="M323" s="74"/>
      <c r="N323" s="74"/>
      <c r="O323" s="74"/>
      <c r="P323" s="74"/>
      <c r="Q323" s="74"/>
      <c r="R323" s="74"/>
      <c r="S323" s="74"/>
      <c r="T323" s="74"/>
      <c r="U323" s="74"/>
      <c r="V323" s="74"/>
      <c r="W323" s="74"/>
      <c r="X323" s="74"/>
      <c r="Y323" s="74"/>
      <c r="Z323" s="74"/>
      <c r="AA323" s="74"/>
      <c r="AB323" s="74"/>
    </row>
    <row r="324" spans="1:28" ht="12" customHeight="1">
      <c r="A324" s="330"/>
      <c r="B324" s="314"/>
      <c r="C324" s="285"/>
      <c r="D324" s="108"/>
      <c r="E324" s="285"/>
      <c r="F324" s="285"/>
      <c r="G324" s="35"/>
      <c r="H324" s="104"/>
      <c r="I324" s="35"/>
      <c r="J324" s="74"/>
      <c r="K324" s="74"/>
      <c r="L324" s="74"/>
      <c r="M324" s="74"/>
      <c r="N324" s="74"/>
      <c r="O324" s="74"/>
      <c r="P324" s="74"/>
      <c r="Q324" s="74"/>
      <c r="R324" s="74"/>
      <c r="S324" s="74"/>
      <c r="T324" s="74"/>
      <c r="U324" s="74"/>
      <c r="V324" s="74"/>
      <c r="W324" s="74"/>
      <c r="X324" s="74"/>
      <c r="Y324" s="74"/>
      <c r="Z324" s="74"/>
      <c r="AA324" s="74"/>
      <c r="AB324" s="74"/>
    </row>
    <row r="325" spans="1:28" ht="12" customHeight="1">
      <c r="A325" s="330"/>
      <c r="B325" s="314"/>
      <c r="C325" s="285"/>
      <c r="D325" s="108"/>
      <c r="E325" s="285"/>
      <c r="F325" s="285"/>
      <c r="G325" s="35"/>
      <c r="H325" s="104"/>
      <c r="I325" s="35"/>
      <c r="J325" s="74"/>
      <c r="K325" s="74"/>
      <c r="L325" s="74"/>
      <c r="M325" s="74"/>
      <c r="N325" s="74"/>
      <c r="O325" s="74"/>
      <c r="P325" s="74"/>
      <c r="Q325" s="74"/>
      <c r="R325" s="74"/>
      <c r="S325" s="74"/>
      <c r="T325" s="74"/>
      <c r="U325" s="74"/>
      <c r="V325" s="74"/>
      <c r="W325" s="74"/>
      <c r="X325" s="74"/>
      <c r="Y325" s="74"/>
      <c r="Z325" s="74"/>
      <c r="AA325" s="74"/>
      <c r="AB325" s="74"/>
    </row>
    <row r="326" spans="1:28" ht="12" customHeight="1">
      <c r="A326" s="330"/>
      <c r="B326" s="314"/>
      <c r="C326" s="285"/>
      <c r="D326" s="108"/>
      <c r="E326" s="285"/>
      <c r="F326" s="285"/>
      <c r="G326" s="35"/>
      <c r="H326" s="104"/>
      <c r="I326" s="35"/>
      <c r="J326" s="74"/>
      <c r="K326" s="74"/>
      <c r="L326" s="74"/>
      <c r="M326" s="74"/>
      <c r="N326" s="74"/>
      <c r="O326" s="74"/>
      <c r="P326" s="74"/>
      <c r="Q326" s="74"/>
      <c r="R326" s="74"/>
      <c r="S326" s="74"/>
      <c r="T326" s="74"/>
      <c r="U326" s="74"/>
      <c r="V326" s="74"/>
      <c r="W326" s="74"/>
      <c r="X326" s="74"/>
      <c r="Y326" s="74"/>
      <c r="Z326" s="74"/>
      <c r="AA326" s="74"/>
      <c r="AB326" s="74"/>
    </row>
    <row r="327" spans="1:28" ht="12" customHeight="1">
      <c r="A327" s="330"/>
      <c r="B327" s="314"/>
      <c r="C327" s="285"/>
      <c r="D327" s="108"/>
      <c r="E327" s="285"/>
      <c r="F327" s="285"/>
      <c r="G327" s="35"/>
      <c r="H327" s="104"/>
      <c r="I327" s="35"/>
      <c r="J327" s="74"/>
      <c r="K327" s="74"/>
      <c r="L327" s="74"/>
      <c r="M327" s="74"/>
      <c r="N327" s="74"/>
      <c r="O327" s="74"/>
      <c r="P327" s="74"/>
      <c r="Q327" s="74"/>
      <c r="R327" s="74"/>
      <c r="S327" s="74"/>
      <c r="T327" s="74"/>
      <c r="U327" s="74"/>
      <c r="V327" s="74"/>
      <c r="W327" s="74"/>
      <c r="X327" s="74"/>
      <c r="Y327" s="74"/>
      <c r="Z327" s="74"/>
      <c r="AA327" s="74"/>
      <c r="AB327" s="74"/>
    </row>
    <row r="328" spans="1:28" ht="12" customHeight="1">
      <c r="A328" s="330"/>
      <c r="B328" s="314"/>
      <c r="C328" s="285"/>
      <c r="D328" s="108"/>
      <c r="E328" s="285"/>
      <c r="F328" s="285"/>
      <c r="G328" s="35"/>
      <c r="H328" s="104"/>
      <c r="I328" s="35"/>
      <c r="J328" s="74"/>
      <c r="K328" s="74"/>
      <c r="L328" s="74"/>
      <c r="M328" s="74"/>
      <c r="N328" s="74"/>
      <c r="O328" s="74"/>
      <c r="P328" s="74"/>
      <c r="Q328" s="74"/>
      <c r="R328" s="74"/>
      <c r="S328" s="74"/>
      <c r="T328" s="74"/>
      <c r="U328" s="74"/>
      <c r="V328" s="74"/>
      <c r="W328" s="74"/>
      <c r="X328" s="74"/>
      <c r="Y328" s="74"/>
      <c r="Z328" s="74"/>
      <c r="AA328" s="74"/>
      <c r="AB328" s="74"/>
    </row>
    <row r="329" spans="1:28" ht="12" customHeight="1">
      <c r="A329" s="330"/>
      <c r="B329" s="314"/>
      <c r="C329" s="285"/>
      <c r="D329" s="108"/>
      <c r="E329" s="285"/>
      <c r="F329" s="285"/>
      <c r="G329" s="35"/>
      <c r="H329" s="104"/>
      <c r="I329" s="35"/>
      <c r="J329" s="74"/>
      <c r="K329" s="74"/>
      <c r="L329" s="74"/>
      <c r="M329" s="74"/>
      <c r="N329" s="74"/>
      <c r="O329" s="74"/>
      <c r="P329" s="74"/>
      <c r="Q329" s="74"/>
      <c r="R329" s="74"/>
      <c r="S329" s="74"/>
      <c r="T329" s="74"/>
      <c r="U329" s="74"/>
      <c r="V329" s="74"/>
      <c r="W329" s="74"/>
      <c r="X329" s="74"/>
      <c r="Y329" s="74"/>
      <c r="Z329" s="74"/>
      <c r="AA329" s="74"/>
      <c r="AB329" s="74"/>
    </row>
    <row r="330" spans="1:28" ht="12" customHeight="1">
      <c r="A330" s="330"/>
      <c r="B330" s="314"/>
      <c r="C330" s="285"/>
      <c r="D330" s="108"/>
      <c r="E330" s="285"/>
      <c r="F330" s="285"/>
      <c r="G330" s="35"/>
      <c r="H330" s="104"/>
      <c r="I330" s="35"/>
      <c r="J330" s="74"/>
      <c r="K330" s="74"/>
      <c r="L330" s="74"/>
      <c r="M330" s="74"/>
      <c r="N330" s="74"/>
      <c r="O330" s="74"/>
      <c r="P330" s="74"/>
      <c r="Q330" s="74"/>
      <c r="R330" s="74"/>
      <c r="S330" s="74"/>
      <c r="T330" s="74"/>
      <c r="U330" s="74"/>
      <c r="V330" s="74"/>
      <c r="W330" s="74"/>
      <c r="X330" s="74"/>
      <c r="Y330" s="74"/>
      <c r="Z330" s="74"/>
      <c r="AA330" s="74"/>
      <c r="AB330" s="74"/>
    </row>
    <row r="331" spans="1:28" ht="12" customHeight="1">
      <c r="A331" s="330"/>
      <c r="B331" s="314"/>
      <c r="C331" s="285"/>
      <c r="D331" s="108"/>
      <c r="E331" s="285"/>
      <c r="F331" s="285"/>
      <c r="G331" s="35"/>
      <c r="H331" s="104"/>
      <c r="I331" s="35"/>
      <c r="J331" s="74"/>
      <c r="K331" s="74"/>
      <c r="L331" s="74"/>
      <c r="M331" s="74"/>
      <c r="N331" s="74"/>
      <c r="O331" s="74"/>
      <c r="P331" s="74"/>
      <c r="Q331" s="74"/>
      <c r="R331" s="74"/>
      <c r="S331" s="74"/>
      <c r="T331" s="74"/>
      <c r="U331" s="74"/>
      <c r="V331" s="74"/>
      <c r="W331" s="74"/>
      <c r="X331" s="74"/>
      <c r="Y331" s="74"/>
      <c r="Z331" s="74"/>
      <c r="AA331" s="74"/>
      <c r="AB331" s="74"/>
    </row>
    <row r="332" spans="1:28" ht="12" customHeight="1">
      <c r="A332" s="330"/>
      <c r="B332" s="314"/>
      <c r="C332" s="285"/>
      <c r="D332" s="108"/>
      <c r="E332" s="285"/>
      <c r="F332" s="285"/>
      <c r="G332" s="35"/>
      <c r="H332" s="104"/>
      <c r="I332" s="35"/>
      <c r="J332" s="74"/>
      <c r="K332" s="74"/>
      <c r="L332" s="74"/>
      <c r="M332" s="74"/>
      <c r="N332" s="74"/>
      <c r="O332" s="74"/>
      <c r="P332" s="74"/>
      <c r="Q332" s="74"/>
      <c r="R332" s="74"/>
      <c r="S332" s="74"/>
      <c r="T332" s="74"/>
      <c r="U332" s="74"/>
      <c r="V332" s="74"/>
      <c r="W332" s="74"/>
      <c r="X332" s="74"/>
      <c r="Y332" s="74"/>
      <c r="Z332" s="74"/>
      <c r="AA332" s="74"/>
      <c r="AB332" s="74"/>
    </row>
    <row r="333" spans="1:28" ht="12" customHeight="1">
      <c r="A333" s="330"/>
      <c r="B333" s="314"/>
      <c r="C333" s="285"/>
      <c r="D333" s="108"/>
      <c r="E333" s="285"/>
      <c r="F333" s="285"/>
      <c r="G333" s="35"/>
      <c r="H333" s="104"/>
      <c r="I333" s="35"/>
      <c r="J333" s="74"/>
      <c r="K333" s="74"/>
      <c r="L333" s="74"/>
      <c r="M333" s="74"/>
      <c r="N333" s="74"/>
      <c r="O333" s="74"/>
      <c r="P333" s="74"/>
      <c r="Q333" s="74"/>
      <c r="R333" s="74"/>
      <c r="S333" s="74"/>
      <c r="T333" s="74"/>
      <c r="U333" s="74"/>
      <c r="V333" s="74"/>
      <c r="W333" s="74"/>
      <c r="X333" s="74"/>
      <c r="Y333" s="74"/>
      <c r="Z333" s="74"/>
      <c r="AA333" s="74"/>
      <c r="AB333" s="74"/>
    </row>
    <row r="334" spans="1:28" ht="12" customHeight="1">
      <c r="A334" s="330"/>
      <c r="B334" s="314"/>
      <c r="C334" s="285"/>
      <c r="D334" s="108"/>
      <c r="E334" s="285"/>
      <c r="F334" s="285"/>
      <c r="G334" s="35"/>
      <c r="H334" s="104"/>
      <c r="I334" s="35"/>
      <c r="J334" s="74"/>
      <c r="K334" s="74"/>
      <c r="L334" s="74"/>
      <c r="M334" s="74"/>
      <c r="N334" s="74"/>
      <c r="O334" s="74"/>
      <c r="P334" s="74"/>
      <c r="Q334" s="74"/>
      <c r="R334" s="74"/>
      <c r="S334" s="74"/>
      <c r="T334" s="74"/>
      <c r="U334" s="74"/>
      <c r="V334" s="74"/>
      <c r="W334" s="74"/>
      <c r="X334" s="74"/>
      <c r="Y334" s="74"/>
      <c r="Z334" s="74"/>
      <c r="AA334" s="74"/>
      <c r="AB334" s="74"/>
    </row>
    <row r="335" spans="1:28" ht="12" customHeight="1">
      <c r="A335" s="330"/>
      <c r="B335" s="314"/>
      <c r="C335" s="285"/>
      <c r="D335" s="108"/>
      <c r="E335" s="285"/>
      <c r="F335" s="285"/>
      <c r="G335" s="35"/>
      <c r="H335" s="104"/>
      <c r="I335" s="35"/>
      <c r="J335" s="74"/>
      <c r="K335" s="74"/>
      <c r="L335" s="74"/>
      <c r="M335" s="74"/>
      <c r="N335" s="74"/>
      <c r="O335" s="74"/>
      <c r="P335" s="74"/>
      <c r="Q335" s="74"/>
      <c r="R335" s="74"/>
      <c r="S335" s="74"/>
      <c r="T335" s="74"/>
      <c r="U335" s="74"/>
      <c r="V335" s="74"/>
      <c r="W335" s="74"/>
      <c r="X335" s="74"/>
      <c r="Y335" s="74"/>
      <c r="Z335" s="74"/>
      <c r="AA335" s="74"/>
      <c r="AB335" s="74"/>
    </row>
    <row r="336" spans="1:28" ht="12" customHeight="1">
      <c r="A336" s="330"/>
      <c r="B336" s="314"/>
      <c r="C336" s="285"/>
      <c r="D336" s="108"/>
      <c r="E336" s="285"/>
      <c r="F336" s="285"/>
      <c r="G336" s="35"/>
      <c r="H336" s="104"/>
      <c r="I336" s="35"/>
      <c r="J336" s="74"/>
      <c r="K336" s="74"/>
      <c r="L336" s="74"/>
      <c r="M336" s="74"/>
      <c r="N336" s="74"/>
      <c r="O336" s="74"/>
      <c r="P336" s="74"/>
      <c r="Q336" s="74"/>
      <c r="R336" s="74"/>
      <c r="S336" s="74"/>
      <c r="T336" s="74"/>
      <c r="U336" s="74"/>
      <c r="V336" s="74"/>
      <c r="W336" s="74"/>
      <c r="X336" s="74"/>
      <c r="Y336" s="74"/>
      <c r="Z336" s="74"/>
      <c r="AA336" s="74"/>
      <c r="AB336" s="74"/>
    </row>
    <row r="337" spans="1:28" ht="12" customHeight="1">
      <c r="A337" s="330"/>
      <c r="B337" s="314"/>
      <c r="C337" s="285"/>
      <c r="D337" s="108"/>
      <c r="E337" s="285"/>
      <c r="F337" s="285"/>
      <c r="G337" s="35"/>
      <c r="H337" s="104"/>
      <c r="I337" s="35"/>
      <c r="J337" s="74"/>
      <c r="K337" s="74"/>
      <c r="L337" s="74"/>
      <c r="M337" s="74"/>
      <c r="N337" s="74"/>
      <c r="O337" s="74"/>
      <c r="P337" s="74"/>
      <c r="Q337" s="74"/>
      <c r="R337" s="74"/>
      <c r="S337" s="74"/>
      <c r="T337" s="74"/>
      <c r="U337" s="74"/>
      <c r="V337" s="74"/>
      <c r="W337" s="74"/>
      <c r="X337" s="74"/>
      <c r="Y337" s="74"/>
      <c r="Z337" s="74"/>
      <c r="AA337" s="74"/>
      <c r="AB337" s="74"/>
    </row>
    <row r="338" spans="1:28" ht="12" customHeight="1">
      <c r="A338" s="330"/>
      <c r="B338" s="314"/>
      <c r="C338" s="285"/>
      <c r="D338" s="108"/>
      <c r="E338" s="285"/>
      <c r="F338" s="285"/>
      <c r="G338" s="35"/>
      <c r="H338" s="104"/>
      <c r="I338" s="35"/>
      <c r="J338" s="74"/>
      <c r="K338" s="74"/>
      <c r="L338" s="74"/>
      <c r="M338" s="74"/>
      <c r="N338" s="74"/>
      <c r="O338" s="74"/>
      <c r="P338" s="74"/>
      <c r="Q338" s="74"/>
      <c r="R338" s="74"/>
      <c r="S338" s="74"/>
      <c r="T338" s="74"/>
      <c r="U338" s="74"/>
      <c r="V338" s="74"/>
      <c r="W338" s="74"/>
      <c r="X338" s="74"/>
      <c r="Y338" s="74"/>
      <c r="Z338" s="74"/>
      <c r="AA338" s="74"/>
      <c r="AB338" s="74"/>
    </row>
    <row r="339" spans="1:28" ht="12" customHeight="1">
      <c r="A339" s="330"/>
      <c r="B339" s="314"/>
      <c r="C339" s="285"/>
      <c r="D339" s="108"/>
      <c r="E339" s="285"/>
      <c r="F339" s="285"/>
      <c r="G339" s="35"/>
      <c r="H339" s="104"/>
      <c r="I339" s="35"/>
      <c r="J339" s="74"/>
      <c r="K339" s="74"/>
      <c r="L339" s="74"/>
      <c r="M339" s="74"/>
      <c r="N339" s="74"/>
      <c r="O339" s="74"/>
      <c r="P339" s="74"/>
      <c r="Q339" s="74"/>
      <c r="R339" s="74"/>
      <c r="S339" s="74"/>
      <c r="T339" s="74"/>
      <c r="U339" s="74"/>
      <c r="V339" s="74"/>
      <c r="W339" s="74"/>
      <c r="X339" s="74"/>
      <c r="Y339" s="74"/>
      <c r="Z339" s="74"/>
      <c r="AA339" s="74"/>
      <c r="AB339" s="74"/>
    </row>
    <row r="340" spans="1:28" ht="12" customHeight="1">
      <c r="A340" s="330"/>
      <c r="B340" s="314"/>
      <c r="C340" s="285"/>
      <c r="D340" s="108"/>
      <c r="E340" s="285"/>
      <c r="F340" s="285"/>
      <c r="G340" s="35"/>
      <c r="H340" s="104"/>
      <c r="I340" s="35"/>
      <c r="J340" s="74"/>
      <c r="K340" s="74"/>
      <c r="L340" s="74"/>
      <c r="M340" s="74"/>
      <c r="N340" s="74"/>
      <c r="O340" s="74"/>
      <c r="P340" s="74"/>
      <c r="Q340" s="74"/>
      <c r="R340" s="74"/>
      <c r="S340" s="74"/>
      <c r="T340" s="74"/>
      <c r="U340" s="74"/>
      <c r="V340" s="74"/>
      <c r="W340" s="74"/>
      <c r="X340" s="74"/>
      <c r="Y340" s="74"/>
      <c r="Z340" s="74"/>
      <c r="AA340" s="74"/>
      <c r="AB340" s="74"/>
    </row>
    <row r="341" spans="1:28" ht="12" customHeight="1">
      <c r="A341" s="330"/>
      <c r="B341" s="314"/>
      <c r="C341" s="285"/>
      <c r="D341" s="108"/>
      <c r="E341" s="285"/>
      <c r="F341" s="285"/>
      <c r="G341" s="35"/>
      <c r="H341" s="104"/>
      <c r="I341" s="35"/>
      <c r="J341" s="74"/>
      <c r="K341" s="74"/>
      <c r="L341" s="74"/>
      <c r="M341" s="74"/>
      <c r="N341" s="74"/>
      <c r="O341" s="74"/>
      <c r="P341" s="74"/>
      <c r="Q341" s="74"/>
      <c r="R341" s="74"/>
      <c r="S341" s="74"/>
      <c r="T341" s="74"/>
      <c r="U341" s="74"/>
      <c r="V341" s="74"/>
      <c r="W341" s="74"/>
      <c r="X341" s="74"/>
      <c r="Y341" s="74"/>
      <c r="Z341" s="74"/>
      <c r="AA341" s="74"/>
      <c r="AB341" s="74"/>
    </row>
    <row r="342" spans="1:28" ht="12" customHeight="1">
      <c r="A342" s="330"/>
      <c r="B342" s="314"/>
      <c r="C342" s="285"/>
      <c r="D342" s="108"/>
      <c r="E342" s="285"/>
      <c r="F342" s="285"/>
      <c r="G342" s="35"/>
      <c r="H342" s="104"/>
      <c r="I342" s="35"/>
      <c r="J342" s="74"/>
      <c r="K342" s="74"/>
      <c r="L342" s="74"/>
      <c r="M342" s="74"/>
      <c r="N342" s="74"/>
      <c r="O342" s="74"/>
      <c r="P342" s="74"/>
      <c r="Q342" s="74"/>
      <c r="R342" s="74"/>
      <c r="S342" s="74"/>
      <c r="T342" s="74"/>
      <c r="U342" s="74"/>
      <c r="V342" s="74"/>
      <c r="W342" s="74"/>
      <c r="X342" s="74"/>
      <c r="Y342" s="74"/>
      <c r="Z342" s="74"/>
      <c r="AA342" s="74"/>
      <c r="AB342" s="74"/>
    </row>
    <row r="343" spans="1:28" ht="12" customHeight="1">
      <c r="A343" s="330"/>
      <c r="B343" s="314"/>
      <c r="C343" s="285"/>
      <c r="D343" s="108"/>
      <c r="E343" s="285"/>
      <c r="F343" s="285"/>
      <c r="G343" s="35"/>
      <c r="H343" s="104"/>
      <c r="I343" s="35"/>
      <c r="J343" s="74"/>
      <c r="K343" s="74"/>
      <c r="L343" s="74"/>
      <c r="M343" s="74"/>
      <c r="N343" s="74"/>
      <c r="O343" s="74"/>
      <c r="P343" s="74"/>
      <c r="Q343" s="74"/>
      <c r="R343" s="74"/>
      <c r="S343" s="74"/>
      <c r="T343" s="74"/>
      <c r="U343" s="74"/>
      <c r="V343" s="74"/>
      <c r="W343" s="74"/>
      <c r="X343" s="74"/>
      <c r="Y343" s="74"/>
      <c r="Z343" s="74"/>
      <c r="AA343" s="74"/>
      <c r="AB343" s="74"/>
    </row>
    <row r="344" spans="1:28" ht="12" customHeight="1">
      <c r="A344" s="330"/>
      <c r="B344" s="314"/>
      <c r="C344" s="285"/>
      <c r="D344" s="108"/>
      <c r="E344" s="285"/>
      <c r="F344" s="285"/>
      <c r="G344" s="35"/>
      <c r="H344" s="104"/>
      <c r="I344" s="35"/>
      <c r="J344" s="74"/>
      <c r="K344" s="74"/>
      <c r="L344" s="74"/>
      <c r="M344" s="74"/>
      <c r="N344" s="74"/>
      <c r="O344" s="74"/>
      <c r="P344" s="74"/>
      <c r="Q344" s="74"/>
      <c r="R344" s="74"/>
      <c r="S344" s="74"/>
      <c r="T344" s="74"/>
      <c r="U344" s="74"/>
      <c r="V344" s="74"/>
      <c r="W344" s="74"/>
      <c r="X344" s="74"/>
      <c r="Y344" s="74"/>
      <c r="Z344" s="74"/>
      <c r="AA344" s="74"/>
      <c r="AB344" s="74"/>
    </row>
    <row r="345" spans="1:28" ht="12" customHeight="1">
      <c r="A345" s="330"/>
      <c r="B345" s="314"/>
      <c r="C345" s="285"/>
      <c r="D345" s="108"/>
      <c r="E345" s="285"/>
      <c r="F345" s="285"/>
      <c r="G345" s="35"/>
      <c r="H345" s="104"/>
      <c r="I345" s="35"/>
      <c r="J345" s="74"/>
      <c r="K345" s="74"/>
      <c r="L345" s="74"/>
      <c r="M345" s="74"/>
      <c r="N345" s="74"/>
      <c r="O345" s="74"/>
      <c r="P345" s="74"/>
      <c r="Q345" s="74"/>
      <c r="R345" s="74"/>
      <c r="S345" s="74"/>
      <c r="T345" s="74"/>
      <c r="U345" s="74"/>
      <c r="V345" s="74"/>
      <c r="W345" s="74"/>
      <c r="X345" s="74"/>
      <c r="Y345" s="74"/>
      <c r="Z345" s="74"/>
      <c r="AA345" s="74"/>
      <c r="AB345" s="74"/>
    </row>
    <row r="346" spans="1:28" ht="12" customHeight="1">
      <c r="A346" s="330"/>
      <c r="B346" s="314"/>
      <c r="C346" s="285"/>
      <c r="D346" s="108"/>
      <c r="E346" s="285"/>
      <c r="F346" s="285"/>
      <c r="G346" s="35"/>
      <c r="H346" s="104"/>
      <c r="I346" s="35"/>
      <c r="J346" s="74"/>
      <c r="K346" s="74"/>
      <c r="L346" s="74"/>
      <c r="M346" s="74"/>
      <c r="N346" s="74"/>
      <c r="O346" s="74"/>
      <c r="P346" s="74"/>
      <c r="Q346" s="74"/>
      <c r="R346" s="74"/>
      <c r="S346" s="74"/>
      <c r="T346" s="74"/>
      <c r="U346" s="74"/>
      <c r="V346" s="74"/>
      <c r="W346" s="74"/>
      <c r="X346" s="74"/>
      <c r="Y346" s="74"/>
      <c r="Z346" s="74"/>
      <c r="AA346" s="74"/>
      <c r="AB346" s="74"/>
    </row>
    <row r="347" spans="1:28" ht="12" customHeight="1">
      <c r="A347" s="330"/>
      <c r="B347" s="314"/>
      <c r="C347" s="285"/>
      <c r="D347" s="108"/>
      <c r="E347" s="285"/>
      <c r="F347" s="285"/>
      <c r="G347" s="35"/>
      <c r="H347" s="104"/>
      <c r="I347" s="35"/>
      <c r="J347" s="74"/>
      <c r="K347" s="74"/>
      <c r="L347" s="74"/>
      <c r="M347" s="74"/>
      <c r="N347" s="74"/>
      <c r="O347" s="74"/>
      <c r="P347" s="74"/>
      <c r="Q347" s="74"/>
      <c r="R347" s="74"/>
      <c r="S347" s="74"/>
      <c r="T347" s="74"/>
      <c r="U347" s="74"/>
      <c r="V347" s="74"/>
      <c r="W347" s="74"/>
      <c r="X347" s="74"/>
      <c r="Y347" s="74"/>
      <c r="Z347" s="74"/>
      <c r="AA347" s="74"/>
      <c r="AB347" s="74"/>
    </row>
    <row r="348" spans="1:28" ht="12" customHeight="1">
      <c r="A348" s="330"/>
      <c r="B348" s="314"/>
      <c r="C348" s="285"/>
      <c r="D348" s="108"/>
      <c r="E348" s="285"/>
      <c r="F348" s="285"/>
      <c r="G348" s="35"/>
      <c r="H348" s="104"/>
      <c r="I348" s="35"/>
      <c r="J348" s="74"/>
      <c r="K348" s="74"/>
      <c r="L348" s="74"/>
      <c r="M348" s="74"/>
      <c r="N348" s="74"/>
      <c r="O348" s="74"/>
      <c r="P348" s="74"/>
      <c r="Q348" s="74"/>
      <c r="R348" s="74"/>
      <c r="S348" s="74"/>
      <c r="T348" s="74"/>
      <c r="U348" s="74"/>
      <c r="V348" s="74"/>
      <c r="W348" s="74"/>
      <c r="X348" s="74"/>
      <c r="Y348" s="74"/>
      <c r="Z348" s="74"/>
      <c r="AA348" s="74"/>
      <c r="AB348" s="74"/>
    </row>
    <row r="349" spans="1:28" ht="12" customHeight="1">
      <c r="A349" s="330"/>
      <c r="B349" s="314"/>
      <c r="C349" s="285"/>
      <c r="D349" s="108"/>
      <c r="E349" s="285"/>
      <c r="F349" s="285"/>
      <c r="G349" s="35"/>
      <c r="H349" s="104"/>
      <c r="I349" s="35"/>
      <c r="J349" s="74"/>
      <c r="K349" s="74"/>
      <c r="L349" s="74"/>
      <c r="M349" s="74"/>
      <c r="N349" s="74"/>
      <c r="O349" s="74"/>
      <c r="P349" s="74"/>
      <c r="Q349" s="74"/>
      <c r="R349" s="74"/>
      <c r="S349" s="74"/>
      <c r="T349" s="74"/>
      <c r="U349" s="74"/>
      <c r="V349" s="74"/>
      <c r="W349" s="74"/>
      <c r="X349" s="74"/>
      <c r="Y349" s="74"/>
      <c r="Z349" s="74"/>
      <c r="AA349" s="74"/>
      <c r="AB349" s="74"/>
    </row>
    <row r="350" spans="1:28" ht="12" customHeight="1">
      <c r="A350" s="330"/>
      <c r="B350" s="314"/>
      <c r="C350" s="285"/>
      <c r="D350" s="108"/>
      <c r="E350" s="285"/>
      <c r="F350" s="285"/>
      <c r="G350" s="35"/>
      <c r="H350" s="104"/>
      <c r="I350" s="35"/>
      <c r="J350" s="74"/>
      <c r="K350" s="74"/>
      <c r="L350" s="74"/>
      <c r="M350" s="74"/>
      <c r="N350" s="74"/>
      <c r="O350" s="74"/>
      <c r="P350" s="74"/>
      <c r="Q350" s="74"/>
      <c r="R350" s="74"/>
      <c r="S350" s="74"/>
      <c r="T350" s="74"/>
      <c r="U350" s="74"/>
      <c r="V350" s="74"/>
      <c r="W350" s="74"/>
      <c r="X350" s="74"/>
      <c r="Y350" s="74"/>
      <c r="Z350" s="74"/>
      <c r="AA350" s="74"/>
      <c r="AB350" s="74"/>
    </row>
    <row r="351" spans="1:28" ht="12" customHeight="1">
      <c r="A351" s="330"/>
      <c r="B351" s="314"/>
      <c r="C351" s="285"/>
      <c r="D351" s="108"/>
      <c r="E351" s="285"/>
      <c r="F351" s="285"/>
      <c r="G351" s="35"/>
      <c r="H351" s="104"/>
      <c r="I351" s="35"/>
      <c r="J351" s="74"/>
      <c r="K351" s="74"/>
      <c r="L351" s="74"/>
      <c r="M351" s="74"/>
      <c r="N351" s="74"/>
      <c r="O351" s="74"/>
      <c r="P351" s="74"/>
      <c r="Q351" s="74"/>
      <c r="R351" s="74"/>
      <c r="S351" s="74"/>
      <c r="T351" s="74"/>
      <c r="U351" s="74"/>
      <c r="V351" s="74"/>
      <c r="W351" s="74"/>
      <c r="X351" s="74"/>
      <c r="Y351" s="74"/>
      <c r="Z351" s="74"/>
      <c r="AA351" s="74"/>
      <c r="AB351" s="74"/>
    </row>
    <row r="352" spans="1:28" ht="12" customHeight="1">
      <c r="A352" s="330"/>
      <c r="B352" s="314"/>
      <c r="C352" s="285"/>
      <c r="D352" s="108"/>
      <c r="E352" s="285"/>
      <c r="F352" s="285"/>
      <c r="G352" s="35"/>
      <c r="H352" s="104"/>
      <c r="I352" s="35"/>
      <c r="J352" s="74"/>
      <c r="K352" s="74"/>
      <c r="L352" s="74"/>
      <c r="M352" s="74"/>
      <c r="N352" s="74"/>
      <c r="O352" s="74"/>
      <c r="P352" s="74"/>
      <c r="Q352" s="74"/>
      <c r="R352" s="74"/>
      <c r="S352" s="74"/>
      <c r="T352" s="74"/>
      <c r="U352" s="74"/>
      <c r="V352" s="74"/>
      <c r="W352" s="74"/>
      <c r="X352" s="74"/>
      <c r="Y352" s="74"/>
      <c r="Z352" s="74"/>
      <c r="AA352" s="74"/>
      <c r="AB352" s="74"/>
    </row>
    <row r="353" spans="1:28" ht="12" customHeight="1">
      <c r="A353" s="330"/>
      <c r="B353" s="314"/>
      <c r="C353" s="285"/>
      <c r="D353" s="108"/>
      <c r="E353" s="285"/>
      <c r="F353" s="285"/>
      <c r="G353" s="35"/>
      <c r="H353" s="104"/>
      <c r="I353" s="35"/>
      <c r="J353" s="74"/>
      <c r="K353" s="74"/>
      <c r="L353" s="74"/>
      <c r="M353" s="74"/>
      <c r="N353" s="74"/>
      <c r="O353" s="74"/>
      <c r="P353" s="74"/>
      <c r="Q353" s="74"/>
      <c r="R353" s="74"/>
      <c r="S353" s="74"/>
      <c r="T353" s="74"/>
      <c r="U353" s="74"/>
      <c r="V353" s="74"/>
      <c r="W353" s="74"/>
      <c r="X353" s="74"/>
      <c r="Y353" s="74"/>
      <c r="Z353" s="74"/>
      <c r="AA353" s="74"/>
      <c r="AB353" s="74"/>
    </row>
    <row r="354" spans="1:28" ht="12" customHeight="1">
      <c r="A354" s="330"/>
      <c r="B354" s="314"/>
      <c r="C354" s="285"/>
      <c r="D354" s="108"/>
      <c r="E354" s="285"/>
      <c r="F354" s="285"/>
      <c r="G354" s="35"/>
      <c r="H354" s="104"/>
      <c r="I354" s="35"/>
      <c r="J354" s="74"/>
      <c r="K354" s="74"/>
      <c r="L354" s="74"/>
      <c r="M354" s="74"/>
      <c r="N354" s="74"/>
      <c r="O354" s="74"/>
      <c r="P354" s="74"/>
      <c r="Q354" s="74"/>
      <c r="R354" s="74"/>
      <c r="S354" s="74"/>
      <c r="T354" s="74"/>
      <c r="U354" s="74"/>
      <c r="V354" s="74"/>
      <c r="W354" s="74"/>
      <c r="X354" s="74"/>
      <c r="Y354" s="74"/>
      <c r="Z354" s="74"/>
      <c r="AA354" s="74"/>
      <c r="AB354" s="74"/>
    </row>
    <row r="355" spans="1:28" ht="12" customHeight="1">
      <c r="A355" s="330"/>
      <c r="B355" s="314"/>
      <c r="C355" s="285"/>
      <c r="D355" s="108"/>
      <c r="E355" s="285"/>
      <c r="F355" s="285"/>
      <c r="G355" s="35"/>
      <c r="H355" s="104"/>
      <c r="I355" s="35"/>
      <c r="J355" s="74"/>
      <c r="K355" s="74"/>
      <c r="L355" s="74"/>
      <c r="M355" s="74"/>
      <c r="N355" s="74"/>
      <c r="O355" s="74"/>
      <c r="P355" s="74"/>
      <c r="Q355" s="74"/>
      <c r="R355" s="74"/>
      <c r="S355" s="74"/>
      <c r="T355" s="74"/>
      <c r="U355" s="74"/>
      <c r="V355" s="74"/>
      <c r="W355" s="74"/>
      <c r="X355" s="74"/>
      <c r="Y355" s="74"/>
      <c r="Z355" s="74"/>
      <c r="AA355" s="74"/>
      <c r="AB355" s="74"/>
    </row>
    <row r="356" spans="1:28" ht="12" customHeight="1">
      <c r="A356" s="330"/>
      <c r="B356" s="314"/>
      <c r="C356" s="285"/>
      <c r="D356" s="108"/>
      <c r="E356" s="285"/>
      <c r="F356" s="285"/>
      <c r="G356" s="35"/>
      <c r="H356" s="104"/>
      <c r="I356" s="35"/>
      <c r="J356" s="74"/>
      <c r="K356" s="74"/>
      <c r="L356" s="74"/>
      <c r="M356" s="74"/>
      <c r="N356" s="74"/>
      <c r="O356" s="74"/>
      <c r="P356" s="74"/>
      <c r="Q356" s="74"/>
      <c r="R356" s="74"/>
      <c r="S356" s="74"/>
      <c r="T356" s="74"/>
      <c r="U356" s="74"/>
      <c r="V356" s="74"/>
      <c r="W356" s="74"/>
      <c r="X356" s="74"/>
      <c r="Y356" s="74"/>
      <c r="Z356" s="74"/>
      <c r="AA356" s="74"/>
      <c r="AB356" s="74"/>
    </row>
    <row r="357" spans="1:28" ht="12" customHeight="1">
      <c r="A357" s="330"/>
      <c r="B357" s="314"/>
      <c r="C357" s="285"/>
      <c r="D357" s="108"/>
      <c r="E357" s="285"/>
      <c r="F357" s="285"/>
      <c r="G357" s="35"/>
      <c r="H357" s="104"/>
      <c r="I357" s="35"/>
      <c r="J357" s="74"/>
      <c r="K357" s="74"/>
      <c r="L357" s="74"/>
      <c r="M357" s="74"/>
      <c r="N357" s="74"/>
      <c r="O357" s="74"/>
      <c r="P357" s="74"/>
      <c r="Q357" s="74"/>
      <c r="R357" s="74"/>
      <c r="S357" s="74"/>
      <c r="T357" s="74"/>
      <c r="U357" s="74"/>
      <c r="V357" s="74"/>
      <c r="W357" s="74"/>
      <c r="X357" s="74"/>
      <c r="Y357" s="74"/>
      <c r="Z357" s="74"/>
      <c r="AA357" s="74"/>
      <c r="AB357" s="74"/>
    </row>
    <row r="358" spans="1:28" ht="12" customHeight="1">
      <c r="A358" s="330"/>
      <c r="B358" s="314"/>
      <c r="C358" s="285"/>
      <c r="D358" s="108"/>
      <c r="E358" s="285"/>
      <c r="F358" s="285"/>
      <c r="G358" s="35"/>
      <c r="H358" s="104"/>
      <c r="I358" s="35"/>
      <c r="J358" s="74"/>
      <c r="K358" s="74"/>
      <c r="L358" s="74"/>
      <c r="M358" s="74"/>
      <c r="N358" s="74"/>
      <c r="O358" s="74"/>
      <c r="P358" s="74"/>
      <c r="Q358" s="74"/>
      <c r="R358" s="74"/>
      <c r="S358" s="74"/>
      <c r="T358" s="74"/>
      <c r="U358" s="74"/>
      <c r="V358" s="74"/>
      <c r="W358" s="74"/>
      <c r="X358" s="74"/>
      <c r="Y358" s="74"/>
      <c r="Z358" s="74"/>
      <c r="AA358" s="74"/>
      <c r="AB358" s="74"/>
    </row>
    <row r="359" spans="1:28" ht="12" customHeight="1">
      <c r="A359" s="330"/>
      <c r="B359" s="314"/>
      <c r="C359" s="285"/>
      <c r="D359" s="108"/>
      <c r="E359" s="285"/>
      <c r="F359" s="285"/>
      <c r="G359" s="35"/>
      <c r="H359" s="104"/>
      <c r="I359" s="35"/>
      <c r="J359" s="74"/>
      <c r="K359" s="74"/>
      <c r="L359" s="74"/>
      <c r="M359" s="74"/>
      <c r="N359" s="74"/>
      <c r="O359" s="74"/>
      <c r="P359" s="74"/>
      <c r="Q359" s="74"/>
      <c r="R359" s="74"/>
      <c r="S359" s="74"/>
      <c r="T359" s="74"/>
      <c r="U359" s="74"/>
      <c r="V359" s="74"/>
      <c r="W359" s="74"/>
      <c r="X359" s="74"/>
      <c r="Y359" s="74"/>
      <c r="Z359" s="74"/>
      <c r="AA359" s="74"/>
      <c r="AB359" s="74"/>
    </row>
    <row r="360" spans="1:28" ht="12" customHeight="1">
      <c r="A360" s="330"/>
      <c r="B360" s="314"/>
      <c r="C360" s="285"/>
      <c r="D360" s="108"/>
      <c r="E360" s="285"/>
      <c r="F360" s="285"/>
      <c r="G360" s="35"/>
      <c r="H360" s="104"/>
      <c r="I360" s="35"/>
      <c r="J360" s="74"/>
      <c r="K360" s="74"/>
      <c r="L360" s="74"/>
      <c r="M360" s="74"/>
      <c r="N360" s="74"/>
      <c r="O360" s="74"/>
      <c r="P360" s="74"/>
      <c r="Q360" s="74"/>
      <c r="R360" s="74"/>
      <c r="S360" s="74"/>
      <c r="T360" s="74"/>
      <c r="U360" s="74"/>
      <c r="V360" s="74"/>
      <c r="W360" s="74"/>
      <c r="X360" s="74"/>
      <c r="Y360" s="74"/>
      <c r="Z360" s="74"/>
      <c r="AA360" s="74"/>
      <c r="AB360" s="74"/>
    </row>
    <row r="361" spans="1:28" ht="12" customHeight="1">
      <c r="A361" s="330"/>
      <c r="B361" s="314"/>
      <c r="C361" s="285"/>
      <c r="D361" s="108"/>
      <c r="E361" s="285"/>
      <c r="F361" s="285"/>
      <c r="G361" s="35"/>
      <c r="H361" s="104"/>
      <c r="I361" s="35"/>
      <c r="J361" s="74"/>
      <c r="K361" s="74"/>
      <c r="L361" s="74"/>
      <c r="M361" s="74"/>
      <c r="N361" s="74"/>
      <c r="O361" s="74"/>
      <c r="P361" s="74"/>
      <c r="Q361" s="74"/>
      <c r="R361" s="74"/>
      <c r="S361" s="74"/>
      <c r="T361" s="74"/>
      <c r="U361" s="74"/>
      <c r="V361" s="74"/>
      <c r="W361" s="74"/>
      <c r="X361" s="74"/>
      <c r="Y361" s="74"/>
      <c r="Z361" s="74"/>
      <c r="AA361" s="74"/>
      <c r="AB361" s="74"/>
    </row>
    <row r="362" spans="1:28" ht="12" customHeight="1">
      <c r="A362" s="330"/>
      <c r="B362" s="314"/>
      <c r="C362" s="285"/>
      <c r="D362" s="108"/>
      <c r="E362" s="285"/>
      <c r="F362" s="285"/>
      <c r="G362" s="35"/>
      <c r="H362" s="104"/>
      <c r="I362" s="35"/>
      <c r="J362" s="74"/>
      <c r="K362" s="74"/>
      <c r="L362" s="74"/>
      <c r="M362" s="74"/>
      <c r="N362" s="74"/>
      <c r="O362" s="74"/>
      <c r="P362" s="74"/>
      <c r="Q362" s="74"/>
      <c r="R362" s="74"/>
      <c r="S362" s="74"/>
      <c r="T362" s="74"/>
      <c r="U362" s="74"/>
      <c r="V362" s="74"/>
      <c r="W362" s="74"/>
      <c r="X362" s="74"/>
      <c r="Y362" s="74"/>
      <c r="Z362" s="74"/>
      <c r="AA362" s="74"/>
      <c r="AB362" s="74"/>
    </row>
    <row r="363" spans="1:28" ht="12" customHeight="1">
      <c r="A363" s="330"/>
      <c r="B363" s="314"/>
      <c r="C363" s="285"/>
      <c r="D363" s="108"/>
      <c r="E363" s="285"/>
      <c r="F363" s="285"/>
      <c r="G363" s="35"/>
      <c r="H363" s="104"/>
      <c r="I363" s="35"/>
      <c r="J363" s="74"/>
      <c r="K363" s="74"/>
      <c r="L363" s="74"/>
      <c r="M363" s="74"/>
      <c r="N363" s="74"/>
      <c r="O363" s="74"/>
      <c r="P363" s="74"/>
      <c r="Q363" s="74"/>
      <c r="R363" s="74"/>
      <c r="S363" s="74"/>
      <c r="T363" s="74"/>
      <c r="U363" s="74"/>
      <c r="V363" s="74"/>
      <c r="W363" s="74"/>
      <c r="X363" s="74"/>
      <c r="Y363" s="74"/>
      <c r="Z363" s="74"/>
      <c r="AA363" s="74"/>
      <c r="AB363" s="74"/>
    </row>
    <row r="364" spans="1:28" ht="12" customHeight="1">
      <c r="A364" s="330"/>
      <c r="B364" s="314"/>
      <c r="C364" s="285"/>
      <c r="D364" s="108"/>
      <c r="E364" s="285"/>
      <c r="F364" s="285"/>
      <c r="G364" s="35"/>
      <c r="H364" s="104"/>
      <c r="I364" s="35"/>
      <c r="J364" s="74"/>
      <c r="K364" s="74"/>
      <c r="L364" s="74"/>
      <c r="M364" s="74"/>
      <c r="N364" s="74"/>
      <c r="O364" s="74"/>
      <c r="P364" s="74"/>
      <c r="Q364" s="74"/>
      <c r="R364" s="74"/>
      <c r="S364" s="74"/>
      <c r="T364" s="74"/>
      <c r="U364" s="74"/>
      <c r="V364" s="74"/>
      <c r="W364" s="74"/>
      <c r="X364" s="74"/>
      <c r="Y364" s="74"/>
      <c r="Z364" s="74"/>
      <c r="AA364" s="74"/>
      <c r="AB364" s="74"/>
    </row>
    <row r="365" spans="1:28" ht="12" customHeight="1">
      <c r="A365" s="330"/>
      <c r="B365" s="314"/>
      <c r="C365" s="285"/>
      <c r="D365" s="108"/>
      <c r="E365" s="285"/>
      <c r="F365" s="285"/>
      <c r="G365" s="35"/>
      <c r="H365" s="104"/>
      <c r="I365" s="35"/>
      <c r="J365" s="74"/>
      <c r="K365" s="74"/>
      <c r="L365" s="74"/>
      <c r="M365" s="74"/>
      <c r="N365" s="74"/>
      <c r="O365" s="74"/>
      <c r="P365" s="74"/>
      <c r="Q365" s="74"/>
      <c r="R365" s="74"/>
      <c r="S365" s="74"/>
      <c r="T365" s="74"/>
      <c r="U365" s="74"/>
      <c r="V365" s="74"/>
      <c r="W365" s="74"/>
      <c r="X365" s="74"/>
      <c r="Y365" s="74"/>
      <c r="Z365" s="74"/>
      <c r="AA365" s="74"/>
      <c r="AB365" s="74"/>
    </row>
    <row r="366" spans="1:28" ht="12" customHeight="1">
      <c r="A366" s="330"/>
      <c r="B366" s="314"/>
      <c r="C366" s="285"/>
      <c r="D366" s="108"/>
      <c r="E366" s="285"/>
      <c r="F366" s="285"/>
      <c r="G366" s="35"/>
      <c r="H366" s="104"/>
      <c r="I366" s="35"/>
      <c r="J366" s="74"/>
      <c r="K366" s="74"/>
      <c r="L366" s="74"/>
      <c r="M366" s="74"/>
      <c r="N366" s="74"/>
      <c r="O366" s="74"/>
      <c r="P366" s="74"/>
      <c r="Q366" s="74"/>
      <c r="R366" s="74"/>
      <c r="S366" s="74"/>
      <c r="T366" s="74"/>
      <c r="U366" s="74"/>
      <c r="V366" s="74"/>
      <c r="W366" s="74"/>
      <c r="X366" s="74"/>
      <c r="Y366" s="74"/>
      <c r="Z366" s="74"/>
      <c r="AA366" s="74"/>
      <c r="AB366" s="74"/>
    </row>
    <row r="367" spans="1:28" ht="12" customHeight="1">
      <c r="A367" s="330"/>
      <c r="B367" s="314"/>
      <c r="C367" s="285"/>
      <c r="D367" s="108"/>
      <c r="E367" s="285"/>
      <c r="F367" s="285"/>
      <c r="G367" s="35"/>
      <c r="H367" s="104"/>
      <c r="I367" s="35"/>
      <c r="J367" s="74"/>
      <c r="K367" s="74"/>
      <c r="L367" s="74"/>
      <c r="M367" s="74"/>
      <c r="N367" s="74"/>
      <c r="O367" s="74"/>
      <c r="P367" s="74"/>
      <c r="Q367" s="74"/>
      <c r="R367" s="74"/>
      <c r="S367" s="74"/>
      <c r="T367" s="74"/>
      <c r="U367" s="74"/>
      <c r="V367" s="74"/>
      <c r="W367" s="74"/>
      <c r="X367" s="74"/>
      <c r="Y367" s="74"/>
      <c r="Z367" s="74"/>
      <c r="AA367" s="74"/>
      <c r="AB367" s="74"/>
    </row>
    <row r="368" spans="1:28" ht="12" customHeight="1">
      <c r="A368" s="330"/>
      <c r="B368" s="314"/>
      <c r="C368" s="285"/>
      <c r="D368" s="108"/>
      <c r="E368" s="285"/>
      <c r="F368" s="285"/>
      <c r="G368" s="35"/>
      <c r="H368" s="104"/>
      <c r="I368" s="35"/>
      <c r="J368" s="74"/>
      <c r="K368" s="74"/>
      <c r="L368" s="74"/>
      <c r="M368" s="74"/>
      <c r="N368" s="74"/>
      <c r="O368" s="74"/>
      <c r="P368" s="74"/>
      <c r="Q368" s="74"/>
      <c r="R368" s="74"/>
      <c r="S368" s="74"/>
      <c r="T368" s="74"/>
      <c r="U368" s="74"/>
      <c r="V368" s="74"/>
      <c r="W368" s="74"/>
      <c r="X368" s="74"/>
      <c r="Y368" s="74"/>
      <c r="Z368" s="74"/>
      <c r="AA368" s="74"/>
      <c r="AB368" s="74"/>
    </row>
    <row r="369" spans="1:28" ht="12" customHeight="1">
      <c r="A369" s="330"/>
      <c r="B369" s="314"/>
      <c r="C369" s="285"/>
      <c r="D369" s="108"/>
      <c r="E369" s="285"/>
      <c r="F369" s="285"/>
      <c r="G369" s="35"/>
      <c r="H369" s="104"/>
      <c r="I369" s="35"/>
      <c r="J369" s="74"/>
      <c r="K369" s="74"/>
      <c r="L369" s="74"/>
      <c r="M369" s="74"/>
      <c r="N369" s="74"/>
      <c r="O369" s="74"/>
      <c r="P369" s="74"/>
      <c r="Q369" s="74"/>
      <c r="R369" s="74"/>
      <c r="S369" s="74"/>
      <c r="T369" s="74"/>
      <c r="U369" s="74"/>
      <c r="V369" s="74"/>
      <c r="W369" s="74"/>
      <c r="X369" s="74"/>
      <c r="Y369" s="74"/>
      <c r="Z369" s="74"/>
      <c r="AA369" s="74"/>
      <c r="AB369" s="74"/>
    </row>
    <row r="370" spans="1:28" ht="12" customHeight="1">
      <c r="A370" s="330"/>
      <c r="B370" s="314"/>
      <c r="C370" s="285"/>
      <c r="D370" s="108"/>
      <c r="E370" s="285"/>
      <c r="F370" s="285"/>
      <c r="G370" s="35"/>
      <c r="H370" s="104"/>
      <c r="I370" s="35"/>
      <c r="J370" s="74"/>
      <c r="K370" s="74"/>
      <c r="L370" s="74"/>
      <c r="M370" s="74"/>
      <c r="N370" s="74"/>
      <c r="O370" s="74"/>
      <c r="P370" s="74"/>
      <c r="Q370" s="74"/>
      <c r="R370" s="74"/>
      <c r="S370" s="74"/>
      <c r="T370" s="74"/>
      <c r="U370" s="74"/>
      <c r="V370" s="74"/>
      <c r="W370" s="74"/>
      <c r="X370" s="74"/>
      <c r="Y370" s="74"/>
      <c r="Z370" s="74"/>
      <c r="AA370" s="74"/>
      <c r="AB370" s="74"/>
    </row>
    <row r="371" spans="1:28" ht="12" customHeight="1">
      <c r="A371" s="330"/>
      <c r="B371" s="314"/>
      <c r="C371" s="285"/>
      <c r="D371" s="108"/>
      <c r="E371" s="285"/>
      <c r="F371" s="285"/>
      <c r="G371" s="35"/>
      <c r="H371" s="104"/>
      <c r="I371" s="35"/>
      <c r="J371" s="74"/>
      <c r="K371" s="74"/>
      <c r="L371" s="74"/>
      <c r="M371" s="74"/>
      <c r="N371" s="74"/>
      <c r="O371" s="74"/>
      <c r="P371" s="74"/>
      <c r="Q371" s="74"/>
      <c r="R371" s="74"/>
      <c r="S371" s="74"/>
      <c r="T371" s="74"/>
      <c r="U371" s="74"/>
      <c r="V371" s="74"/>
      <c r="W371" s="74"/>
      <c r="X371" s="74"/>
      <c r="Y371" s="74"/>
      <c r="Z371" s="74"/>
      <c r="AA371" s="74"/>
      <c r="AB371" s="74"/>
    </row>
    <row r="372" spans="1:28" ht="12" customHeight="1">
      <c r="A372" s="330"/>
      <c r="B372" s="314"/>
      <c r="C372" s="285"/>
      <c r="D372" s="108"/>
      <c r="E372" s="285"/>
      <c r="F372" s="285"/>
      <c r="G372" s="35"/>
      <c r="H372" s="104"/>
      <c r="I372" s="35"/>
      <c r="J372" s="74"/>
      <c r="K372" s="74"/>
      <c r="L372" s="74"/>
      <c r="M372" s="74"/>
      <c r="N372" s="74"/>
      <c r="O372" s="74"/>
      <c r="P372" s="74"/>
      <c r="Q372" s="74"/>
      <c r="R372" s="74"/>
      <c r="S372" s="74"/>
      <c r="T372" s="74"/>
      <c r="U372" s="74"/>
      <c r="V372" s="74"/>
      <c r="W372" s="74"/>
      <c r="X372" s="74"/>
      <c r="Y372" s="74"/>
      <c r="Z372" s="74"/>
      <c r="AA372" s="74"/>
      <c r="AB372" s="74"/>
    </row>
    <row r="373" spans="1:28" ht="12" customHeight="1">
      <c r="A373" s="330"/>
      <c r="B373" s="314"/>
      <c r="C373" s="285"/>
      <c r="D373" s="108"/>
      <c r="E373" s="285"/>
      <c r="F373" s="285"/>
      <c r="G373" s="35"/>
      <c r="H373" s="104"/>
      <c r="I373" s="35"/>
      <c r="J373" s="74"/>
      <c r="K373" s="74"/>
      <c r="L373" s="74"/>
      <c r="M373" s="74"/>
      <c r="N373" s="74"/>
      <c r="O373" s="74"/>
      <c r="P373" s="74"/>
      <c r="Q373" s="74"/>
      <c r="R373" s="74"/>
      <c r="S373" s="74"/>
      <c r="T373" s="74"/>
      <c r="U373" s="74"/>
      <c r="V373" s="74"/>
      <c r="W373" s="74"/>
      <c r="X373" s="74"/>
      <c r="Y373" s="74"/>
      <c r="Z373" s="74"/>
      <c r="AA373" s="74"/>
      <c r="AB373" s="74"/>
    </row>
    <row r="374" spans="1:28" ht="12" customHeight="1">
      <c r="A374" s="330"/>
      <c r="B374" s="314"/>
      <c r="C374" s="285"/>
      <c r="D374" s="108"/>
      <c r="E374" s="285"/>
      <c r="F374" s="285"/>
      <c r="G374" s="35"/>
      <c r="H374" s="104"/>
      <c r="I374" s="35"/>
      <c r="J374" s="74"/>
      <c r="K374" s="74"/>
      <c r="L374" s="74"/>
      <c r="M374" s="74"/>
      <c r="N374" s="74"/>
      <c r="O374" s="74"/>
      <c r="P374" s="74"/>
      <c r="Q374" s="74"/>
      <c r="R374" s="74"/>
      <c r="S374" s="74"/>
      <c r="T374" s="74"/>
      <c r="U374" s="74"/>
      <c r="V374" s="74"/>
      <c r="W374" s="74"/>
      <c r="X374" s="74"/>
      <c r="Y374" s="74"/>
      <c r="Z374" s="74"/>
      <c r="AA374" s="74"/>
      <c r="AB374" s="74"/>
    </row>
    <row r="375" spans="1:28" ht="12" customHeight="1">
      <c r="A375" s="330"/>
      <c r="B375" s="314"/>
      <c r="C375" s="285"/>
      <c r="D375" s="108"/>
      <c r="E375" s="285"/>
      <c r="F375" s="285"/>
      <c r="G375" s="35"/>
      <c r="H375" s="104"/>
      <c r="I375" s="35"/>
      <c r="J375" s="74"/>
      <c r="K375" s="74"/>
      <c r="L375" s="74"/>
      <c r="M375" s="74"/>
      <c r="N375" s="74"/>
      <c r="O375" s="74"/>
      <c r="P375" s="74"/>
      <c r="Q375" s="74"/>
      <c r="R375" s="74"/>
      <c r="S375" s="74"/>
      <c r="T375" s="74"/>
      <c r="U375" s="74"/>
      <c r="V375" s="74"/>
      <c r="W375" s="74"/>
      <c r="X375" s="74"/>
      <c r="Y375" s="74"/>
      <c r="Z375" s="74"/>
      <c r="AA375" s="74"/>
      <c r="AB375" s="74"/>
    </row>
    <row r="376" spans="1:28" ht="12" customHeight="1">
      <c r="A376" s="330"/>
      <c r="B376" s="314"/>
      <c r="C376" s="285"/>
      <c r="D376" s="108"/>
      <c r="E376" s="285"/>
      <c r="F376" s="285"/>
      <c r="G376" s="35"/>
      <c r="H376" s="104"/>
      <c r="I376" s="35"/>
      <c r="J376" s="74"/>
      <c r="K376" s="74"/>
      <c r="L376" s="74"/>
      <c r="M376" s="74"/>
      <c r="N376" s="74"/>
      <c r="O376" s="74"/>
      <c r="P376" s="74"/>
      <c r="Q376" s="74"/>
      <c r="R376" s="74"/>
      <c r="S376" s="74"/>
      <c r="T376" s="74"/>
      <c r="U376" s="74"/>
      <c r="V376" s="74"/>
      <c r="W376" s="74"/>
      <c r="X376" s="74"/>
      <c r="Y376" s="74"/>
      <c r="Z376" s="74"/>
      <c r="AA376" s="74"/>
      <c r="AB376" s="74"/>
    </row>
    <row r="377" spans="1:28" ht="12" customHeight="1">
      <c r="A377" s="330"/>
      <c r="B377" s="314"/>
      <c r="C377" s="285"/>
      <c r="D377" s="108"/>
      <c r="E377" s="285"/>
      <c r="F377" s="285"/>
      <c r="G377" s="35"/>
      <c r="H377" s="104"/>
      <c r="I377" s="35"/>
      <c r="J377" s="74"/>
      <c r="K377" s="74"/>
      <c r="L377" s="74"/>
      <c r="M377" s="74"/>
      <c r="N377" s="74"/>
      <c r="O377" s="74"/>
      <c r="P377" s="74"/>
      <c r="Q377" s="74"/>
      <c r="R377" s="74"/>
      <c r="S377" s="74"/>
      <c r="T377" s="74"/>
      <c r="U377" s="74"/>
      <c r="V377" s="74"/>
      <c r="W377" s="74"/>
      <c r="X377" s="74"/>
      <c r="Y377" s="74"/>
      <c r="Z377" s="74"/>
      <c r="AA377" s="74"/>
      <c r="AB377" s="74"/>
    </row>
    <row r="378" spans="1:28" ht="12" customHeight="1">
      <c r="A378" s="330"/>
      <c r="B378" s="314"/>
      <c r="C378" s="285"/>
      <c r="D378" s="108"/>
      <c r="E378" s="285"/>
      <c r="F378" s="285"/>
      <c r="G378" s="35"/>
      <c r="H378" s="104"/>
      <c r="I378" s="35"/>
      <c r="J378" s="74"/>
      <c r="K378" s="74"/>
      <c r="L378" s="74"/>
      <c r="M378" s="74"/>
      <c r="N378" s="74"/>
      <c r="O378" s="74"/>
      <c r="P378" s="74"/>
      <c r="Q378" s="74"/>
      <c r="R378" s="74"/>
      <c r="S378" s="74"/>
      <c r="T378" s="74"/>
      <c r="U378" s="74"/>
      <c r="V378" s="74"/>
      <c r="W378" s="74"/>
      <c r="X378" s="74"/>
      <c r="Y378" s="74"/>
      <c r="Z378" s="74"/>
      <c r="AA378" s="74"/>
      <c r="AB378" s="74"/>
    </row>
    <row r="379" spans="1:28" ht="12" customHeight="1">
      <c r="A379" s="330"/>
      <c r="B379" s="314"/>
      <c r="C379" s="285"/>
      <c r="D379" s="108"/>
      <c r="E379" s="285"/>
      <c r="F379" s="285"/>
      <c r="G379" s="35"/>
      <c r="H379" s="104"/>
      <c r="I379" s="35"/>
      <c r="J379" s="74"/>
      <c r="K379" s="74"/>
      <c r="L379" s="74"/>
      <c r="M379" s="74"/>
      <c r="N379" s="74"/>
      <c r="O379" s="74"/>
      <c r="P379" s="74"/>
      <c r="Q379" s="74"/>
      <c r="R379" s="74"/>
      <c r="S379" s="74"/>
      <c r="T379" s="74"/>
      <c r="U379" s="74"/>
      <c r="V379" s="74"/>
      <c r="W379" s="74"/>
      <c r="X379" s="74"/>
      <c r="Y379" s="74"/>
      <c r="Z379" s="74"/>
      <c r="AA379" s="74"/>
      <c r="AB379" s="74"/>
    </row>
    <row r="380" spans="1:28" ht="12" customHeight="1">
      <c r="A380" s="330"/>
      <c r="B380" s="314"/>
      <c r="C380" s="285"/>
      <c r="D380" s="108"/>
      <c r="E380" s="285"/>
      <c r="F380" s="285"/>
      <c r="G380" s="35"/>
      <c r="H380" s="104"/>
      <c r="I380" s="35"/>
      <c r="J380" s="74"/>
      <c r="K380" s="74"/>
      <c r="L380" s="74"/>
      <c r="M380" s="74"/>
      <c r="N380" s="74"/>
      <c r="O380" s="74"/>
      <c r="P380" s="74"/>
      <c r="Q380" s="74"/>
      <c r="R380" s="74"/>
      <c r="S380" s="74"/>
      <c r="T380" s="74"/>
      <c r="U380" s="74"/>
      <c r="V380" s="74"/>
      <c r="W380" s="74"/>
      <c r="X380" s="74"/>
      <c r="Y380" s="74"/>
      <c r="Z380" s="74"/>
      <c r="AA380" s="74"/>
      <c r="AB380" s="74"/>
    </row>
    <row r="381" spans="1:28" ht="12" customHeight="1">
      <c r="A381" s="330"/>
      <c r="B381" s="314"/>
      <c r="C381" s="285"/>
      <c r="D381" s="108"/>
      <c r="E381" s="285"/>
      <c r="F381" s="285"/>
      <c r="G381" s="35"/>
      <c r="H381" s="104"/>
      <c r="I381" s="35"/>
      <c r="J381" s="74"/>
      <c r="K381" s="74"/>
      <c r="L381" s="74"/>
      <c r="M381" s="74"/>
      <c r="N381" s="74"/>
      <c r="O381" s="74"/>
      <c r="P381" s="74"/>
      <c r="Q381" s="74"/>
      <c r="R381" s="74"/>
      <c r="S381" s="74"/>
      <c r="T381" s="74"/>
      <c r="U381" s="74"/>
      <c r="V381" s="74"/>
      <c r="W381" s="74"/>
      <c r="X381" s="74"/>
      <c r="Y381" s="74"/>
      <c r="Z381" s="74"/>
      <c r="AA381" s="74"/>
      <c r="AB381" s="74"/>
    </row>
    <row r="382" spans="1:28" ht="12" customHeight="1">
      <c r="A382" s="330"/>
      <c r="B382" s="314"/>
      <c r="C382" s="285"/>
      <c r="D382" s="108"/>
      <c r="E382" s="285"/>
      <c r="F382" s="285"/>
      <c r="G382" s="35"/>
      <c r="H382" s="104"/>
      <c r="I382" s="35"/>
      <c r="J382" s="74"/>
      <c r="K382" s="74"/>
      <c r="L382" s="74"/>
      <c r="M382" s="74"/>
      <c r="N382" s="74"/>
      <c r="O382" s="74"/>
      <c r="P382" s="74"/>
      <c r="Q382" s="74"/>
      <c r="R382" s="74"/>
      <c r="S382" s="74"/>
      <c r="T382" s="74"/>
      <c r="U382" s="74"/>
      <c r="V382" s="74"/>
      <c r="W382" s="74"/>
      <c r="X382" s="74"/>
      <c r="Y382" s="74"/>
      <c r="Z382" s="74"/>
      <c r="AA382" s="74"/>
      <c r="AB382" s="74"/>
    </row>
    <row r="383" spans="1:28" ht="12" customHeight="1">
      <c r="A383" s="330"/>
      <c r="B383" s="314"/>
      <c r="C383" s="285"/>
      <c r="D383" s="108"/>
      <c r="E383" s="285"/>
      <c r="F383" s="285"/>
      <c r="G383" s="35"/>
      <c r="H383" s="104"/>
      <c r="I383" s="35"/>
      <c r="J383" s="74"/>
      <c r="K383" s="74"/>
      <c r="L383" s="74"/>
      <c r="M383" s="74"/>
      <c r="N383" s="74"/>
      <c r="O383" s="74"/>
      <c r="P383" s="74"/>
      <c r="Q383" s="74"/>
      <c r="R383" s="74"/>
      <c r="S383" s="74"/>
      <c r="T383" s="74"/>
      <c r="U383" s="74"/>
      <c r="V383" s="74"/>
      <c r="W383" s="74"/>
      <c r="X383" s="74"/>
      <c r="Y383" s="74"/>
      <c r="Z383" s="74"/>
      <c r="AA383" s="74"/>
      <c r="AB383" s="74"/>
    </row>
    <row r="384" spans="1:28" ht="12" customHeight="1">
      <c r="A384" s="330"/>
      <c r="B384" s="314"/>
      <c r="C384" s="285"/>
      <c r="D384" s="108"/>
      <c r="E384" s="285"/>
      <c r="F384" s="285"/>
      <c r="G384" s="35"/>
      <c r="H384" s="104"/>
      <c r="I384" s="35"/>
      <c r="J384" s="74"/>
      <c r="K384" s="74"/>
      <c r="L384" s="74"/>
      <c r="M384" s="74"/>
      <c r="N384" s="74"/>
      <c r="O384" s="74"/>
      <c r="P384" s="74"/>
      <c r="Q384" s="74"/>
      <c r="R384" s="74"/>
      <c r="S384" s="74"/>
      <c r="T384" s="74"/>
      <c r="U384" s="74"/>
      <c r="V384" s="74"/>
      <c r="W384" s="74"/>
      <c r="X384" s="74"/>
      <c r="Y384" s="74"/>
      <c r="Z384" s="74"/>
      <c r="AA384" s="74"/>
      <c r="AB384" s="74"/>
    </row>
    <row r="385" spans="1:28" ht="12" customHeight="1">
      <c r="A385" s="330"/>
      <c r="B385" s="314"/>
      <c r="C385" s="285"/>
      <c r="D385" s="108"/>
      <c r="E385" s="285"/>
      <c r="F385" s="285"/>
      <c r="G385" s="35"/>
      <c r="H385" s="104"/>
      <c r="I385" s="35"/>
      <c r="J385" s="74"/>
      <c r="K385" s="74"/>
      <c r="L385" s="74"/>
      <c r="M385" s="74"/>
      <c r="N385" s="74"/>
      <c r="O385" s="74"/>
      <c r="P385" s="74"/>
      <c r="Q385" s="74"/>
      <c r="R385" s="74"/>
      <c r="S385" s="74"/>
      <c r="T385" s="74"/>
      <c r="U385" s="74"/>
      <c r="V385" s="74"/>
      <c r="W385" s="74"/>
      <c r="X385" s="74"/>
      <c r="Y385" s="74"/>
      <c r="Z385" s="74"/>
      <c r="AA385" s="74"/>
      <c r="AB385" s="74"/>
    </row>
    <row r="386" spans="1:28" ht="12" customHeight="1">
      <c r="A386" s="330"/>
      <c r="B386" s="314"/>
      <c r="C386" s="285"/>
      <c r="D386" s="108"/>
      <c r="E386" s="285"/>
      <c r="F386" s="285"/>
      <c r="G386" s="35"/>
      <c r="H386" s="104"/>
      <c r="I386" s="35"/>
      <c r="J386" s="74"/>
      <c r="K386" s="74"/>
      <c r="L386" s="74"/>
      <c r="M386" s="74"/>
      <c r="N386" s="74"/>
      <c r="O386" s="74"/>
      <c r="P386" s="74"/>
      <c r="Q386" s="74"/>
      <c r="R386" s="74"/>
      <c r="S386" s="74"/>
      <c r="T386" s="74"/>
      <c r="U386" s="74"/>
      <c r="V386" s="74"/>
      <c r="W386" s="74"/>
      <c r="X386" s="74"/>
      <c r="Y386" s="74"/>
      <c r="Z386" s="74"/>
      <c r="AA386" s="74"/>
      <c r="AB386" s="74"/>
    </row>
    <row r="387" spans="1:28" ht="12" customHeight="1">
      <c r="A387" s="330"/>
      <c r="B387" s="314"/>
      <c r="C387" s="285"/>
      <c r="D387" s="108"/>
      <c r="E387" s="285"/>
      <c r="F387" s="285"/>
      <c r="G387" s="35"/>
      <c r="H387" s="104"/>
      <c r="I387" s="35"/>
      <c r="J387" s="74"/>
      <c r="K387" s="74"/>
      <c r="L387" s="74"/>
      <c r="M387" s="74"/>
      <c r="N387" s="74"/>
      <c r="O387" s="74"/>
      <c r="P387" s="74"/>
      <c r="Q387" s="74"/>
      <c r="R387" s="74"/>
      <c r="S387" s="74"/>
      <c r="T387" s="74"/>
      <c r="U387" s="74"/>
      <c r="V387" s="74"/>
      <c r="W387" s="74"/>
      <c r="X387" s="74"/>
      <c r="Y387" s="74"/>
      <c r="Z387" s="74"/>
      <c r="AA387" s="74"/>
      <c r="AB387" s="74"/>
    </row>
    <row r="388" spans="1:28" ht="12" customHeight="1">
      <c r="A388" s="330"/>
      <c r="B388" s="314"/>
      <c r="C388" s="285"/>
      <c r="D388" s="108"/>
      <c r="E388" s="285"/>
      <c r="F388" s="285"/>
      <c r="G388" s="35"/>
      <c r="H388" s="104"/>
      <c r="I388" s="35"/>
      <c r="J388" s="74"/>
      <c r="K388" s="74"/>
      <c r="L388" s="74"/>
      <c r="M388" s="74"/>
      <c r="N388" s="74"/>
      <c r="O388" s="74"/>
      <c r="P388" s="74"/>
      <c r="Q388" s="74"/>
      <c r="R388" s="74"/>
      <c r="S388" s="74"/>
      <c r="T388" s="74"/>
      <c r="U388" s="74"/>
      <c r="V388" s="74"/>
      <c r="W388" s="74"/>
      <c r="X388" s="74"/>
      <c r="Y388" s="74"/>
      <c r="Z388" s="74"/>
      <c r="AA388" s="74"/>
      <c r="AB388" s="74"/>
    </row>
    <row r="389" spans="1:28" ht="12" customHeight="1">
      <c r="A389" s="330"/>
      <c r="B389" s="314"/>
      <c r="C389" s="285"/>
      <c r="D389" s="108"/>
      <c r="E389" s="285"/>
      <c r="F389" s="285"/>
      <c r="G389" s="35"/>
      <c r="H389" s="104"/>
      <c r="I389" s="35"/>
      <c r="J389" s="74"/>
      <c r="K389" s="74"/>
      <c r="L389" s="74"/>
      <c r="M389" s="74"/>
      <c r="N389" s="74"/>
      <c r="O389" s="74"/>
      <c r="P389" s="74"/>
      <c r="Q389" s="74"/>
      <c r="R389" s="74"/>
      <c r="S389" s="74"/>
      <c r="T389" s="74"/>
      <c r="U389" s="74"/>
      <c r="V389" s="74"/>
      <c r="W389" s="74"/>
      <c r="X389" s="74"/>
      <c r="Y389" s="74"/>
      <c r="Z389" s="74"/>
      <c r="AA389" s="74"/>
      <c r="AB389" s="74"/>
    </row>
    <row r="390" spans="1:28" ht="12" customHeight="1">
      <c r="A390" s="330"/>
      <c r="B390" s="314"/>
      <c r="C390" s="285"/>
      <c r="D390" s="108"/>
      <c r="E390" s="285"/>
      <c r="F390" s="285"/>
      <c r="G390" s="35"/>
      <c r="H390" s="104"/>
      <c r="I390" s="35"/>
      <c r="J390" s="74"/>
      <c r="K390" s="74"/>
      <c r="L390" s="74"/>
      <c r="M390" s="74"/>
      <c r="N390" s="74"/>
      <c r="O390" s="74"/>
      <c r="P390" s="74"/>
      <c r="Q390" s="74"/>
      <c r="R390" s="74"/>
      <c r="S390" s="74"/>
      <c r="T390" s="74"/>
      <c r="U390" s="74"/>
      <c r="V390" s="74"/>
      <c r="W390" s="74"/>
      <c r="X390" s="74"/>
      <c r="Y390" s="74"/>
      <c r="Z390" s="74"/>
      <c r="AA390" s="74"/>
      <c r="AB390" s="74"/>
    </row>
    <row r="391" spans="1:28" ht="12" customHeight="1">
      <c r="A391" s="330"/>
      <c r="B391" s="314"/>
      <c r="C391" s="285"/>
      <c r="D391" s="108"/>
      <c r="E391" s="285"/>
      <c r="F391" s="285"/>
      <c r="G391" s="35"/>
      <c r="H391" s="104"/>
      <c r="I391" s="35"/>
      <c r="J391" s="74"/>
      <c r="K391" s="74"/>
      <c r="L391" s="74"/>
      <c r="M391" s="74"/>
      <c r="N391" s="74"/>
      <c r="O391" s="74"/>
      <c r="P391" s="74"/>
      <c r="Q391" s="74"/>
      <c r="R391" s="74"/>
      <c r="S391" s="74"/>
      <c r="T391" s="74"/>
      <c r="U391" s="74"/>
      <c r="V391" s="74"/>
      <c r="W391" s="74"/>
      <c r="X391" s="74"/>
      <c r="Y391" s="74"/>
      <c r="Z391" s="74"/>
      <c r="AA391" s="74"/>
      <c r="AB391" s="74"/>
    </row>
    <row r="392" spans="1:28" ht="12" customHeight="1">
      <c r="A392" s="330"/>
      <c r="B392" s="314"/>
      <c r="C392" s="285"/>
      <c r="D392" s="108"/>
      <c r="E392" s="285"/>
      <c r="F392" s="285"/>
      <c r="G392" s="35"/>
      <c r="H392" s="104"/>
      <c r="I392" s="35"/>
      <c r="J392" s="74"/>
      <c r="K392" s="74"/>
      <c r="L392" s="74"/>
      <c r="M392" s="74"/>
      <c r="N392" s="74"/>
      <c r="O392" s="74"/>
      <c r="P392" s="74"/>
      <c r="Q392" s="74"/>
      <c r="R392" s="74"/>
      <c r="S392" s="74"/>
      <c r="T392" s="74"/>
      <c r="U392" s="74"/>
      <c r="V392" s="74"/>
      <c r="W392" s="74"/>
      <c r="X392" s="74"/>
      <c r="Y392" s="74"/>
      <c r="Z392" s="74"/>
      <c r="AA392" s="74"/>
      <c r="AB392" s="74"/>
    </row>
    <row r="393" spans="1:28" ht="12" customHeight="1">
      <c r="A393" s="330"/>
      <c r="B393" s="314"/>
      <c r="C393" s="285"/>
      <c r="D393" s="108"/>
      <c r="E393" s="285"/>
      <c r="F393" s="285"/>
      <c r="G393" s="35"/>
      <c r="H393" s="104"/>
      <c r="I393" s="35"/>
      <c r="J393" s="74"/>
      <c r="K393" s="74"/>
      <c r="L393" s="74"/>
      <c r="M393" s="74"/>
      <c r="N393" s="74"/>
      <c r="O393" s="74"/>
      <c r="P393" s="74"/>
      <c r="Q393" s="74"/>
      <c r="R393" s="74"/>
      <c r="S393" s="74"/>
      <c r="T393" s="74"/>
      <c r="U393" s="74"/>
      <c r="V393" s="74"/>
      <c r="W393" s="74"/>
      <c r="X393" s="74"/>
      <c r="Y393" s="74"/>
      <c r="Z393" s="74"/>
      <c r="AA393" s="74"/>
      <c r="AB393" s="74"/>
    </row>
    <row r="394" spans="1:28" ht="12" customHeight="1">
      <c r="A394" s="330"/>
      <c r="B394" s="314"/>
      <c r="C394" s="285"/>
      <c r="D394" s="108"/>
      <c r="E394" s="285"/>
      <c r="F394" s="285"/>
      <c r="G394" s="35"/>
      <c r="H394" s="104"/>
      <c r="I394" s="35"/>
      <c r="J394" s="74"/>
      <c r="K394" s="74"/>
      <c r="L394" s="74"/>
      <c r="M394" s="74"/>
      <c r="N394" s="74"/>
      <c r="O394" s="74"/>
      <c r="P394" s="74"/>
      <c r="Q394" s="74"/>
      <c r="R394" s="74"/>
      <c r="S394" s="74"/>
      <c r="T394" s="74"/>
      <c r="U394" s="74"/>
      <c r="V394" s="74"/>
      <c r="W394" s="74"/>
      <c r="X394" s="74"/>
      <c r="Y394" s="74"/>
      <c r="Z394" s="74"/>
      <c r="AA394" s="74"/>
      <c r="AB394" s="74"/>
    </row>
    <row r="395" spans="1:28" ht="12" customHeight="1">
      <c r="A395" s="330"/>
      <c r="B395" s="314"/>
      <c r="C395" s="285"/>
      <c r="D395" s="108"/>
      <c r="E395" s="285"/>
      <c r="F395" s="285"/>
      <c r="G395" s="35"/>
      <c r="H395" s="104"/>
      <c r="I395" s="35"/>
      <c r="J395" s="74"/>
      <c r="K395" s="74"/>
      <c r="L395" s="74"/>
      <c r="M395" s="74"/>
      <c r="N395" s="74"/>
      <c r="O395" s="74"/>
      <c r="P395" s="74"/>
      <c r="Q395" s="74"/>
      <c r="R395" s="74"/>
      <c r="S395" s="74"/>
      <c r="T395" s="74"/>
      <c r="U395" s="74"/>
      <c r="V395" s="74"/>
      <c r="W395" s="74"/>
      <c r="X395" s="74"/>
      <c r="Y395" s="74"/>
      <c r="Z395" s="74"/>
      <c r="AA395" s="74"/>
      <c r="AB395" s="74"/>
    </row>
    <row r="396" spans="1:28" ht="12" customHeight="1">
      <c r="A396" s="330"/>
      <c r="B396" s="314"/>
      <c r="C396" s="285"/>
      <c r="D396" s="108"/>
      <c r="E396" s="285"/>
      <c r="F396" s="285"/>
      <c r="G396" s="35"/>
      <c r="H396" s="104"/>
      <c r="I396" s="35"/>
      <c r="J396" s="74"/>
      <c r="K396" s="74"/>
      <c r="L396" s="74"/>
      <c r="M396" s="74"/>
      <c r="N396" s="74"/>
      <c r="O396" s="74"/>
      <c r="P396" s="74"/>
      <c r="Q396" s="74"/>
      <c r="R396" s="74"/>
      <c r="S396" s="74"/>
      <c r="T396" s="74"/>
      <c r="U396" s="74"/>
      <c r="V396" s="74"/>
      <c r="W396" s="74"/>
      <c r="X396" s="74"/>
      <c r="Y396" s="74"/>
      <c r="Z396" s="74"/>
      <c r="AA396" s="74"/>
      <c r="AB396" s="74"/>
    </row>
    <row r="397" spans="1:28" ht="12" customHeight="1">
      <c r="A397" s="330"/>
      <c r="B397" s="314"/>
      <c r="C397" s="285"/>
      <c r="D397" s="108"/>
      <c r="E397" s="285"/>
      <c r="F397" s="285"/>
      <c r="G397" s="35"/>
      <c r="H397" s="104"/>
      <c r="I397" s="35"/>
      <c r="J397" s="74"/>
      <c r="K397" s="74"/>
      <c r="L397" s="74"/>
      <c r="M397" s="74"/>
      <c r="N397" s="74"/>
      <c r="O397" s="74"/>
      <c r="P397" s="74"/>
      <c r="Q397" s="74"/>
      <c r="R397" s="74"/>
      <c r="S397" s="74"/>
      <c r="T397" s="74"/>
      <c r="U397" s="74"/>
      <c r="V397" s="74"/>
      <c r="W397" s="74"/>
      <c r="X397" s="74"/>
      <c r="Y397" s="74"/>
      <c r="Z397" s="74"/>
      <c r="AA397" s="74"/>
      <c r="AB397" s="74"/>
    </row>
    <row r="398" spans="1:28" ht="12" customHeight="1">
      <c r="A398" s="330"/>
      <c r="B398" s="314"/>
      <c r="C398" s="285"/>
      <c r="D398" s="108"/>
      <c r="E398" s="285"/>
      <c r="F398" s="285"/>
      <c r="G398" s="35"/>
      <c r="H398" s="104"/>
      <c r="I398" s="35"/>
      <c r="J398" s="74"/>
      <c r="K398" s="74"/>
      <c r="L398" s="74"/>
      <c r="M398" s="74"/>
      <c r="N398" s="74"/>
      <c r="O398" s="74"/>
      <c r="P398" s="74"/>
      <c r="Q398" s="74"/>
      <c r="R398" s="74"/>
      <c r="S398" s="74"/>
      <c r="T398" s="74"/>
      <c r="U398" s="74"/>
      <c r="V398" s="74"/>
      <c r="W398" s="74"/>
      <c r="X398" s="74"/>
      <c r="Y398" s="74"/>
      <c r="Z398" s="74"/>
      <c r="AA398" s="74"/>
      <c r="AB398" s="74"/>
    </row>
    <row r="399" spans="1:28" ht="12" customHeight="1">
      <c r="A399" s="330"/>
      <c r="B399" s="314"/>
      <c r="C399" s="285"/>
      <c r="D399" s="108"/>
      <c r="E399" s="285"/>
      <c r="F399" s="285"/>
      <c r="G399" s="35"/>
      <c r="H399" s="104"/>
      <c r="I399" s="35"/>
      <c r="J399" s="74"/>
      <c r="K399" s="74"/>
      <c r="L399" s="74"/>
      <c r="M399" s="74"/>
      <c r="N399" s="74"/>
      <c r="O399" s="74"/>
      <c r="P399" s="74"/>
      <c r="Q399" s="74"/>
      <c r="R399" s="74"/>
      <c r="S399" s="74"/>
      <c r="T399" s="74"/>
      <c r="U399" s="74"/>
      <c r="V399" s="74"/>
      <c r="W399" s="74"/>
      <c r="X399" s="74"/>
      <c r="Y399" s="74"/>
      <c r="Z399" s="74"/>
      <c r="AA399" s="74"/>
      <c r="AB399" s="74"/>
    </row>
    <row r="400" spans="1:28" ht="12" customHeight="1">
      <c r="A400" s="330"/>
      <c r="B400" s="314"/>
      <c r="C400" s="285"/>
      <c r="D400" s="108"/>
      <c r="E400" s="285"/>
      <c r="F400" s="285"/>
      <c r="G400" s="35"/>
      <c r="H400" s="104"/>
      <c r="I400" s="35"/>
      <c r="J400" s="74"/>
      <c r="K400" s="74"/>
      <c r="L400" s="74"/>
      <c r="M400" s="74"/>
      <c r="N400" s="74"/>
      <c r="O400" s="74"/>
      <c r="P400" s="74"/>
      <c r="Q400" s="74"/>
      <c r="R400" s="74"/>
      <c r="S400" s="74"/>
      <c r="T400" s="74"/>
      <c r="U400" s="74"/>
      <c r="V400" s="74"/>
      <c r="W400" s="74"/>
      <c r="X400" s="74"/>
      <c r="Y400" s="74"/>
      <c r="Z400" s="74"/>
      <c r="AA400" s="74"/>
      <c r="AB400" s="74"/>
    </row>
    <row r="401" spans="1:28" ht="12" customHeight="1">
      <c r="A401" s="330"/>
      <c r="B401" s="314"/>
      <c r="C401" s="285"/>
      <c r="D401" s="108"/>
      <c r="E401" s="285"/>
      <c r="F401" s="285"/>
      <c r="G401" s="35"/>
      <c r="H401" s="104"/>
      <c r="I401" s="35"/>
      <c r="J401" s="74"/>
      <c r="K401" s="74"/>
      <c r="L401" s="74"/>
      <c r="M401" s="74"/>
      <c r="N401" s="74"/>
      <c r="O401" s="74"/>
      <c r="P401" s="74"/>
      <c r="Q401" s="74"/>
      <c r="R401" s="74"/>
      <c r="S401" s="74"/>
      <c r="T401" s="74"/>
      <c r="U401" s="74"/>
      <c r="V401" s="74"/>
      <c r="W401" s="74"/>
      <c r="X401" s="74"/>
      <c r="Y401" s="74"/>
      <c r="Z401" s="74"/>
      <c r="AA401" s="74"/>
      <c r="AB401" s="74"/>
    </row>
    <row r="402" spans="1:28" ht="12" customHeight="1">
      <c r="A402" s="330"/>
      <c r="B402" s="314"/>
      <c r="C402" s="285"/>
      <c r="D402" s="108"/>
      <c r="E402" s="285"/>
      <c r="F402" s="285"/>
      <c r="G402" s="35"/>
      <c r="H402" s="104"/>
      <c r="I402" s="35"/>
      <c r="J402" s="74"/>
      <c r="K402" s="74"/>
      <c r="L402" s="74"/>
      <c r="M402" s="74"/>
      <c r="N402" s="74"/>
      <c r="O402" s="74"/>
      <c r="P402" s="74"/>
      <c r="Q402" s="74"/>
      <c r="R402" s="74"/>
      <c r="S402" s="74"/>
      <c r="T402" s="74"/>
      <c r="U402" s="74"/>
      <c r="V402" s="74"/>
      <c r="W402" s="74"/>
      <c r="X402" s="74"/>
      <c r="Y402" s="74"/>
      <c r="Z402" s="74"/>
      <c r="AA402" s="74"/>
      <c r="AB402" s="74"/>
    </row>
    <row r="403" spans="1:28" ht="12" customHeight="1">
      <c r="A403" s="330"/>
      <c r="B403" s="314"/>
      <c r="C403" s="285"/>
      <c r="D403" s="108"/>
      <c r="E403" s="285"/>
      <c r="F403" s="285"/>
      <c r="G403" s="35"/>
      <c r="H403" s="104"/>
      <c r="I403" s="35"/>
      <c r="J403" s="74"/>
      <c r="K403" s="74"/>
      <c r="L403" s="74"/>
      <c r="M403" s="74"/>
      <c r="N403" s="74"/>
      <c r="O403" s="74"/>
      <c r="P403" s="74"/>
      <c r="Q403" s="74"/>
      <c r="R403" s="74"/>
      <c r="S403" s="74"/>
      <c r="T403" s="74"/>
      <c r="U403" s="74"/>
      <c r="V403" s="74"/>
      <c r="W403" s="74"/>
      <c r="X403" s="74"/>
      <c r="Y403" s="74"/>
      <c r="Z403" s="74"/>
      <c r="AA403" s="74"/>
      <c r="AB403" s="74"/>
    </row>
    <row r="404" spans="1:28" ht="12" customHeight="1">
      <c r="A404" s="330"/>
      <c r="B404" s="314"/>
      <c r="C404" s="285"/>
      <c r="D404" s="108"/>
      <c r="E404" s="285"/>
      <c r="F404" s="285"/>
      <c r="G404" s="35"/>
      <c r="H404" s="104"/>
      <c r="I404" s="35"/>
      <c r="J404" s="74"/>
      <c r="K404" s="74"/>
      <c r="L404" s="74"/>
      <c r="M404" s="74"/>
      <c r="N404" s="74"/>
      <c r="O404" s="74"/>
      <c r="P404" s="74"/>
      <c r="Q404" s="74"/>
      <c r="R404" s="74"/>
      <c r="S404" s="74"/>
      <c r="T404" s="74"/>
      <c r="U404" s="74"/>
      <c r="V404" s="74"/>
      <c r="W404" s="74"/>
      <c r="X404" s="74"/>
      <c r="Y404" s="74"/>
      <c r="Z404" s="74"/>
      <c r="AA404" s="74"/>
      <c r="AB404" s="74"/>
    </row>
    <row r="405" spans="1:28" ht="12" customHeight="1">
      <c r="A405" s="330"/>
      <c r="B405" s="314"/>
      <c r="C405" s="285"/>
      <c r="D405" s="108"/>
      <c r="E405" s="285"/>
      <c r="F405" s="285"/>
      <c r="G405" s="35"/>
      <c r="H405" s="104"/>
      <c r="I405" s="35"/>
      <c r="J405" s="74"/>
      <c r="K405" s="74"/>
      <c r="L405" s="74"/>
      <c r="M405" s="74"/>
      <c r="N405" s="74"/>
      <c r="O405" s="74"/>
      <c r="P405" s="74"/>
      <c r="Q405" s="74"/>
      <c r="R405" s="74"/>
      <c r="S405" s="74"/>
      <c r="T405" s="74"/>
      <c r="U405" s="74"/>
      <c r="V405" s="74"/>
      <c r="W405" s="74"/>
      <c r="X405" s="74"/>
      <c r="Y405" s="74"/>
      <c r="Z405" s="74"/>
      <c r="AA405" s="74"/>
      <c r="AB405" s="74"/>
    </row>
    <row r="406" spans="1:28" ht="12" customHeight="1">
      <c r="A406" s="330"/>
      <c r="B406" s="314"/>
      <c r="C406" s="285"/>
      <c r="D406" s="108"/>
      <c r="E406" s="285"/>
      <c r="F406" s="285"/>
      <c r="G406" s="35"/>
      <c r="H406" s="104"/>
      <c r="I406" s="35"/>
      <c r="J406" s="74"/>
      <c r="K406" s="74"/>
      <c r="L406" s="74"/>
      <c r="M406" s="74"/>
      <c r="N406" s="74"/>
      <c r="O406" s="74"/>
      <c r="P406" s="74"/>
      <c r="Q406" s="74"/>
      <c r="R406" s="74"/>
      <c r="S406" s="74"/>
      <c r="T406" s="74"/>
      <c r="U406" s="74"/>
      <c r="V406" s="74"/>
      <c r="W406" s="74"/>
      <c r="X406" s="74"/>
      <c r="Y406" s="74"/>
      <c r="Z406" s="74"/>
      <c r="AA406" s="74"/>
      <c r="AB406" s="74"/>
    </row>
    <row r="407" spans="1:28" ht="12" customHeight="1">
      <c r="A407" s="330"/>
      <c r="B407" s="314"/>
      <c r="C407" s="285"/>
      <c r="D407" s="108"/>
      <c r="E407" s="285"/>
      <c r="F407" s="285"/>
      <c r="G407" s="35"/>
      <c r="H407" s="104"/>
      <c r="I407" s="35"/>
      <c r="J407" s="74"/>
      <c r="K407" s="74"/>
      <c r="L407" s="74"/>
      <c r="M407" s="74"/>
      <c r="N407" s="74"/>
      <c r="O407" s="74"/>
      <c r="P407" s="74"/>
      <c r="Q407" s="74"/>
      <c r="R407" s="74"/>
      <c r="S407" s="74"/>
      <c r="T407" s="74"/>
      <c r="U407" s="74"/>
      <c r="V407" s="74"/>
      <c r="W407" s="74"/>
      <c r="X407" s="74"/>
      <c r="Y407" s="74"/>
      <c r="Z407" s="74"/>
      <c r="AA407" s="74"/>
      <c r="AB407" s="74"/>
    </row>
    <row r="408" spans="1:28" ht="12" customHeight="1">
      <c r="A408" s="330"/>
      <c r="B408" s="314"/>
      <c r="C408" s="285"/>
      <c r="D408" s="108"/>
      <c r="E408" s="285"/>
      <c r="F408" s="285"/>
      <c r="G408" s="35"/>
      <c r="H408" s="104"/>
      <c r="I408" s="35"/>
      <c r="J408" s="74"/>
      <c r="K408" s="74"/>
      <c r="L408" s="74"/>
      <c r="M408" s="74"/>
      <c r="N408" s="74"/>
      <c r="O408" s="74"/>
      <c r="P408" s="74"/>
      <c r="Q408" s="74"/>
      <c r="R408" s="74"/>
      <c r="S408" s="74"/>
      <c r="T408" s="74"/>
      <c r="U408" s="74"/>
      <c r="V408" s="74"/>
      <c r="W408" s="74"/>
      <c r="X408" s="74"/>
      <c r="Y408" s="74"/>
      <c r="Z408" s="74"/>
      <c r="AA408" s="74"/>
      <c r="AB408" s="74"/>
    </row>
    <row r="409" spans="1:28" ht="12" customHeight="1">
      <c r="A409" s="330"/>
      <c r="B409" s="314"/>
      <c r="C409" s="285"/>
      <c r="D409" s="108"/>
      <c r="E409" s="285"/>
      <c r="F409" s="285"/>
      <c r="G409" s="35"/>
      <c r="H409" s="104"/>
      <c r="I409" s="35"/>
      <c r="J409" s="74"/>
      <c r="K409" s="74"/>
      <c r="L409" s="74"/>
      <c r="M409" s="74"/>
      <c r="N409" s="74"/>
      <c r="O409" s="74"/>
      <c r="P409" s="74"/>
      <c r="Q409" s="74"/>
      <c r="R409" s="74"/>
      <c r="S409" s="74"/>
      <c r="T409" s="74"/>
      <c r="U409" s="74"/>
      <c r="V409" s="74"/>
      <c r="W409" s="74"/>
      <c r="X409" s="74"/>
      <c r="Y409" s="74"/>
      <c r="Z409" s="74"/>
      <c r="AA409" s="74"/>
      <c r="AB409" s="74"/>
    </row>
    <row r="410" spans="1:28" ht="12" customHeight="1">
      <c r="A410" s="330"/>
      <c r="B410" s="314"/>
      <c r="C410" s="285"/>
      <c r="D410" s="108"/>
      <c r="E410" s="285"/>
      <c r="F410" s="285"/>
      <c r="G410" s="35"/>
      <c r="H410" s="104"/>
      <c r="I410" s="35"/>
      <c r="J410" s="74"/>
      <c r="K410" s="74"/>
      <c r="L410" s="74"/>
      <c r="M410" s="74"/>
      <c r="N410" s="74"/>
      <c r="O410" s="74"/>
      <c r="P410" s="74"/>
      <c r="Q410" s="74"/>
      <c r="R410" s="74"/>
      <c r="S410" s="74"/>
      <c r="T410" s="74"/>
      <c r="U410" s="74"/>
      <c r="V410" s="74"/>
      <c r="W410" s="74"/>
      <c r="X410" s="74"/>
      <c r="Y410" s="74"/>
      <c r="Z410" s="74"/>
      <c r="AA410" s="74"/>
      <c r="AB410" s="74"/>
    </row>
    <row r="411" spans="1:28" ht="12" customHeight="1">
      <c r="A411" s="330"/>
      <c r="B411" s="314"/>
      <c r="C411" s="285"/>
      <c r="D411" s="108"/>
      <c r="E411" s="285"/>
      <c r="F411" s="285"/>
      <c r="G411" s="35"/>
      <c r="H411" s="104"/>
      <c r="I411" s="35"/>
      <c r="J411" s="74"/>
      <c r="K411" s="74"/>
      <c r="L411" s="74"/>
      <c r="M411" s="74"/>
      <c r="N411" s="74"/>
      <c r="O411" s="74"/>
      <c r="P411" s="74"/>
      <c r="Q411" s="74"/>
      <c r="R411" s="74"/>
      <c r="S411" s="74"/>
      <c r="T411" s="74"/>
      <c r="U411" s="74"/>
      <c r="V411" s="74"/>
      <c r="W411" s="74"/>
      <c r="X411" s="74"/>
      <c r="Y411" s="74"/>
      <c r="Z411" s="74"/>
      <c r="AA411" s="74"/>
      <c r="AB411" s="74"/>
    </row>
    <row r="412" spans="1:28" ht="12" customHeight="1">
      <c r="A412" s="330"/>
      <c r="B412" s="314"/>
      <c r="C412" s="285"/>
      <c r="D412" s="108"/>
      <c r="E412" s="285"/>
      <c r="F412" s="285"/>
      <c r="G412" s="35"/>
      <c r="H412" s="104"/>
      <c r="I412" s="35"/>
      <c r="J412" s="74"/>
      <c r="K412" s="74"/>
      <c r="L412" s="74"/>
      <c r="M412" s="74"/>
      <c r="N412" s="74"/>
      <c r="O412" s="74"/>
      <c r="P412" s="74"/>
      <c r="Q412" s="74"/>
      <c r="R412" s="74"/>
      <c r="S412" s="74"/>
      <c r="T412" s="74"/>
      <c r="U412" s="74"/>
      <c r="V412" s="74"/>
      <c r="W412" s="74"/>
      <c r="X412" s="74"/>
      <c r="Y412" s="74"/>
      <c r="Z412" s="74"/>
      <c r="AA412" s="74"/>
      <c r="AB412" s="74"/>
    </row>
    <row r="413" spans="1:28" ht="12" customHeight="1">
      <c r="A413" s="330"/>
      <c r="B413" s="314"/>
      <c r="C413" s="285"/>
      <c r="D413" s="108"/>
      <c r="E413" s="285"/>
      <c r="F413" s="285"/>
      <c r="G413" s="35"/>
      <c r="H413" s="104"/>
      <c r="I413" s="35"/>
      <c r="J413" s="74"/>
      <c r="K413" s="74"/>
      <c r="L413" s="74"/>
      <c r="M413" s="74"/>
      <c r="N413" s="74"/>
      <c r="O413" s="74"/>
      <c r="P413" s="74"/>
      <c r="Q413" s="74"/>
      <c r="R413" s="74"/>
      <c r="S413" s="74"/>
      <c r="T413" s="74"/>
      <c r="U413" s="74"/>
      <c r="V413" s="74"/>
      <c r="W413" s="74"/>
      <c r="X413" s="74"/>
      <c r="Y413" s="74"/>
      <c r="Z413" s="74"/>
      <c r="AA413" s="74"/>
      <c r="AB413" s="74"/>
    </row>
    <row r="414" spans="1:28" ht="12" customHeight="1">
      <c r="A414" s="330"/>
      <c r="B414" s="314"/>
      <c r="C414" s="285"/>
      <c r="D414" s="108"/>
      <c r="E414" s="285"/>
      <c r="F414" s="285"/>
      <c r="G414" s="35"/>
      <c r="H414" s="104"/>
      <c r="I414" s="35"/>
      <c r="J414" s="74"/>
      <c r="K414" s="74"/>
      <c r="L414" s="74"/>
      <c r="M414" s="74"/>
      <c r="N414" s="74"/>
      <c r="O414" s="74"/>
      <c r="P414" s="74"/>
      <c r="Q414" s="74"/>
      <c r="R414" s="74"/>
      <c r="S414" s="74"/>
      <c r="T414" s="74"/>
      <c r="U414" s="74"/>
      <c r="V414" s="74"/>
      <c r="W414" s="74"/>
      <c r="X414" s="74"/>
      <c r="Y414" s="74"/>
      <c r="Z414" s="74"/>
      <c r="AA414" s="74"/>
      <c r="AB414" s="74"/>
    </row>
    <row r="415" spans="1:28" ht="12" customHeight="1">
      <c r="A415" s="330"/>
      <c r="B415" s="314"/>
      <c r="C415" s="285"/>
      <c r="D415" s="108"/>
      <c r="E415" s="285"/>
      <c r="F415" s="285"/>
      <c r="G415" s="35"/>
      <c r="H415" s="104"/>
      <c r="I415" s="35"/>
      <c r="J415" s="74"/>
      <c r="K415" s="74"/>
      <c r="L415" s="74"/>
      <c r="M415" s="74"/>
      <c r="N415" s="74"/>
      <c r="O415" s="74"/>
      <c r="P415" s="74"/>
      <c r="Q415" s="74"/>
      <c r="R415" s="74"/>
      <c r="S415" s="74"/>
      <c r="T415" s="74"/>
      <c r="U415" s="74"/>
      <c r="V415" s="74"/>
      <c r="W415" s="74"/>
      <c r="X415" s="74"/>
      <c r="Y415" s="74"/>
      <c r="Z415" s="74"/>
      <c r="AA415" s="74"/>
      <c r="AB415" s="74"/>
    </row>
    <row r="416" spans="1:28" ht="12" customHeight="1">
      <c r="A416" s="330"/>
      <c r="B416" s="314"/>
      <c r="C416" s="285"/>
      <c r="D416" s="108"/>
      <c r="E416" s="285"/>
      <c r="F416" s="285"/>
      <c r="G416" s="35"/>
      <c r="H416" s="104"/>
      <c r="I416" s="35"/>
      <c r="J416" s="74"/>
      <c r="K416" s="74"/>
      <c r="L416" s="74"/>
      <c r="M416" s="74"/>
      <c r="N416" s="74"/>
      <c r="O416" s="74"/>
      <c r="P416" s="74"/>
      <c r="Q416" s="74"/>
      <c r="R416" s="74"/>
      <c r="S416" s="74"/>
      <c r="T416" s="74"/>
      <c r="U416" s="74"/>
      <c r="V416" s="74"/>
      <c r="W416" s="74"/>
      <c r="X416" s="74"/>
      <c r="Y416" s="74"/>
      <c r="Z416" s="74"/>
      <c r="AA416" s="74"/>
      <c r="AB416" s="74"/>
    </row>
    <row r="417" spans="1:28" ht="12" customHeight="1">
      <c r="A417" s="330"/>
      <c r="B417" s="314"/>
      <c r="C417" s="285"/>
      <c r="D417" s="108"/>
      <c r="E417" s="285"/>
      <c r="F417" s="285"/>
      <c r="G417" s="35"/>
      <c r="H417" s="104"/>
      <c r="I417" s="35"/>
      <c r="J417" s="74"/>
      <c r="K417" s="74"/>
      <c r="L417" s="74"/>
      <c r="M417" s="74"/>
      <c r="N417" s="74"/>
      <c r="O417" s="74"/>
      <c r="P417" s="74"/>
      <c r="Q417" s="74"/>
      <c r="R417" s="74"/>
      <c r="S417" s="74"/>
      <c r="T417" s="74"/>
      <c r="U417" s="74"/>
      <c r="V417" s="74"/>
      <c r="W417" s="74"/>
      <c r="X417" s="74"/>
      <c r="Y417" s="74"/>
      <c r="Z417" s="74"/>
      <c r="AA417" s="74"/>
      <c r="AB417" s="74"/>
    </row>
    <row r="418" spans="1:28" ht="12" customHeight="1">
      <c r="A418" s="330"/>
      <c r="B418" s="314"/>
      <c r="C418" s="285"/>
      <c r="D418" s="108"/>
      <c r="E418" s="285"/>
      <c r="F418" s="285"/>
      <c r="G418" s="35"/>
      <c r="H418" s="104"/>
      <c r="I418" s="35"/>
      <c r="J418" s="74"/>
      <c r="K418" s="74"/>
      <c r="L418" s="74"/>
      <c r="M418" s="74"/>
      <c r="N418" s="74"/>
      <c r="O418" s="74"/>
      <c r="P418" s="74"/>
      <c r="Q418" s="74"/>
      <c r="R418" s="74"/>
      <c r="S418" s="74"/>
      <c r="T418" s="74"/>
      <c r="U418" s="74"/>
      <c r="V418" s="74"/>
      <c r="W418" s="74"/>
      <c r="X418" s="74"/>
      <c r="Y418" s="74"/>
      <c r="Z418" s="74"/>
      <c r="AA418" s="74"/>
      <c r="AB418" s="74"/>
    </row>
    <row r="419" spans="1:28" ht="12" customHeight="1">
      <c r="A419" s="330"/>
      <c r="B419" s="314"/>
      <c r="C419" s="285"/>
      <c r="D419" s="108"/>
      <c r="E419" s="285"/>
      <c r="F419" s="285"/>
      <c r="G419" s="35"/>
      <c r="H419" s="104"/>
      <c r="I419" s="35"/>
      <c r="J419" s="74"/>
      <c r="K419" s="74"/>
      <c r="L419" s="74"/>
      <c r="M419" s="74"/>
      <c r="N419" s="74"/>
      <c r="O419" s="74"/>
      <c r="P419" s="74"/>
      <c r="Q419" s="74"/>
      <c r="R419" s="74"/>
      <c r="S419" s="74"/>
      <c r="T419" s="74"/>
      <c r="U419" s="74"/>
      <c r="V419" s="74"/>
      <c r="W419" s="74"/>
      <c r="X419" s="74"/>
      <c r="Y419" s="74"/>
      <c r="Z419" s="74"/>
      <c r="AA419" s="74"/>
      <c r="AB419" s="74"/>
    </row>
    <row r="420" spans="1:28" ht="12" customHeight="1">
      <c r="A420" s="330"/>
      <c r="B420" s="314"/>
      <c r="C420" s="285"/>
      <c r="D420" s="108"/>
      <c r="E420" s="285"/>
      <c r="F420" s="285"/>
      <c r="G420" s="35"/>
      <c r="H420" s="104"/>
      <c r="I420" s="35"/>
      <c r="J420" s="74"/>
      <c r="K420" s="74"/>
      <c r="L420" s="74"/>
      <c r="M420" s="74"/>
      <c r="N420" s="74"/>
      <c r="O420" s="74"/>
      <c r="P420" s="74"/>
      <c r="Q420" s="74"/>
      <c r="R420" s="74"/>
      <c r="S420" s="74"/>
      <c r="T420" s="74"/>
      <c r="U420" s="74"/>
      <c r="V420" s="74"/>
      <c r="W420" s="74"/>
      <c r="X420" s="74"/>
      <c r="Y420" s="74"/>
      <c r="Z420" s="74"/>
      <c r="AA420" s="74"/>
      <c r="AB420" s="74"/>
    </row>
    <row r="421" spans="1:28" ht="12" customHeight="1">
      <c r="A421" s="330"/>
      <c r="B421" s="314"/>
      <c r="C421" s="285"/>
      <c r="D421" s="108"/>
      <c r="E421" s="285"/>
      <c r="F421" s="285"/>
      <c r="G421" s="35"/>
      <c r="H421" s="104"/>
      <c r="I421" s="35"/>
      <c r="J421" s="74"/>
      <c r="K421" s="74"/>
      <c r="L421" s="74"/>
      <c r="M421" s="74"/>
      <c r="N421" s="74"/>
      <c r="O421" s="74"/>
      <c r="P421" s="74"/>
      <c r="Q421" s="74"/>
      <c r="R421" s="74"/>
      <c r="S421" s="74"/>
      <c r="T421" s="74"/>
      <c r="U421" s="74"/>
      <c r="V421" s="74"/>
      <c r="W421" s="74"/>
      <c r="X421" s="74"/>
      <c r="Y421" s="74"/>
      <c r="Z421" s="74"/>
      <c r="AA421" s="74"/>
      <c r="AB421" s="74"/>
    </row>
    <row r="422" spans="1:28" ht="12" customHeight="1">
      <c r="A422" s="330"/>
      <c r="B422" s="314"/>
      <c r="C422" s="285"/>
      <c r="D422" s="108"/>
      <c r="E422" s="285"/>
      <c r="F422" s="285"/>
      <c r="G422" s="35"/>
      <c r="H422" s="104"/>
      <c r="I422" s="35"/>
      <c r="J422" s="74"/>
      <c r="K422" s="74"/>
      <c r="L422" s="74"/>
      <c r="M422" s="74"/>
      <c r="N422" s="74"/>
      <c r="O422" s="74"/>
      <c r="P422" s="74"/>
      <c r="Q422" s="74"/>
      <c r="R422" s="74"/>
      <c r="S422" s="74"/>
      <c r="T422" s="74"/>
      <c r="U422" s="74"/>
      <c r="V422" s="74"/>
      <c r="W422" s="74"/>
      <c r="X422" s="74"/>
      <c r="Y422" s="74"/>
      <c r="Z422" s="74"/>
      <c r="AA422" s="74"/>
      <c r="AB422" s="74"/>
    </row>
    <row r="423" spans="1:28" ht="12" customHeight="1">
      <c r="A423" s="330"/>
      <c r="B423" s="314"/>
      <c r="C423" s="285"/>
      <c r="D423" s="108"/>
      <c r="E423" s="285"/>
      <c r="F423" s="285"/>
      <c r="G423" s="35"/>
      <c r="H423" s="104"/>
      <c r="I423" s="35"/>
      <c r="J423" s="74"/>
      <c r="K423" s="74"/>
      <c r="L423" s="74"/>
      <c r="M423" s="74"/>
      <c r="N423" s="74"/>
      <c r="O423" s="74"/>
      <c r="P423" s="74"/>
      <c r="Q423" s="74"/>
      <c r="R423" s="74"/>
      <c r="S423" s="74"/>
      <c r="T423" s="74"/>
      <c r="U423" s="74"/>
      <c r="V423" s="74"/>
      <c r="W423" s="74"/>
      <c r="X423" s="74"/>
      <c r="Y423" s="74"/>
      <c r="Z423" s="74"/>
      <c r="AA423" s="74"/>
      <c r="AB423" s="74"/>
    </row>
    <row r="424" spans="1:28" ht="12" customHeight="1">
      <c r="A424" s="330"/>
      <c r="B424" s="314"/>
      <c r="C424" s="285"/>
      <c r="D424" s="108"/>
      <c r="E424" s="285"/>
      <c r="F424" s="285"/>
      <c r="G424" s="35"/>
      <c r="H424" s="104"/>
      <c r="I424" s="35"/>
      <c r="J424" s="74"/>
      <c r="K424" s="74"/>
      <c r="L424" s="74"/>
      <c r="M424" s="74"/>
      <c r="N424" s="74"/>
      <c r="O424" s="74"/>
      <c r="P424" s="74"/>
      <c r="Q424" s="74"/>
      <c r="R424" s="74"/>
      <c r="S424" s="74"/>
      <c r="T424" s="74"/>
      <c r="U424" s="74"/>
      <c r="V424" s="74"/>
      <c r="W424" s="74"/>
      <c r="X424" s="74"/>
      <c r="Y424" s="74"/>
      <c r="Z424" s="74"/>
      <c r="AA424" s="74"/>
      <c r="AB424" s="74"/>
    </row>
    <row r="425" spans="1:28" ht="12" customHeight="1">
      <c r="A425" s="330"/>
      <c r="B425" s="314"/>
      <c r="C425" s="285"/>
      <c r="D425" s="108"/>
      <c r="E425" s="285"/>
      <c r="F425" s="285"/>
      <c r="G425" s="35"/>
      <c r="H425" s="104"/>
      <c r="I425" s="35"/>
      <c r="J425" s="74"/>
      <c r="K425" s="74"/>
      <c r="L425" s="74"/>
      <c r="M425" s="74"/>
      <c r="N425" s="74"/>
      <c r="O425" s="74"/>
      <c r="P425" s="74"/>
      <c r="Q425" s="74"/>
      <c r="R425" s="74"/>
      <c r="S425" s="74"/>
      <c r="T425" s="74"/>
      <c r="U425" s="74"/>
      <c r="V425" s="74"/>
      <c r="W425" s="74"/>
      <c r="X425" s="74"/>
      <c r="Y425" s="74"/>
      <c r="Z425" s="74"/>
      <c r="AA425" s="74"/>
      <c r="AB425" s="74"/>
    </row>
    <row r="426" spans="1:28" ht="12" customHeight="1">
      <c r="A426" s="330"/>
      <c r="B426" s="314"/>
      <c r="C426" s="285"/>
      <c r="D426" s="108"/>
      <c r="E426" s="285"/>
      <c r="F426" s="285"/>
      <c r="G426" s="35"/>
      <c r="H426" s="104"/>
      <c r="I426" s="35"/>
      <c r="J426" s="74"/>
      <c r="K426" s="74"/>
      <c r="L426" s="74"/>
      <c r="M426" s="74"/>
      <c r="N426" s="74"/>
      <c r="O426" s="74"/>
      <c r="P426" s="74"/>
      <c r="Q426" s="74"/>
      <c r="R426" s="74"/>
      <c r="S426" s="74"/>
      <c r="T426" s="74"/>
      <c r="U426" s="74"/>
      <c r="V426" s="74"/>
      <c r="W426" s="74"/>
      <c r="X426" s="74"/>
      <c r="Y426" s="74"/>
      <c r="Z426" s="74"/>
      <c r="AA426" s="74"/>
      <c r="AB426" s="74"/>
    </row>
    <row r="427" spans="1:28" ht="12" customHeight="1">
      <c r="A427" s="330"/>
      <c r="B427" s="314"/>
      <c r="C427" s="285"/>
      <c r="D427" s="108"/>
      <c r="E427" s="285"/>
      <c r="F427" s="285"/>
      <c r="G427" s="35"/>
      <c r="H427" s="104"/>
      <c r="I427" s="35"/>
      <c r="J427" s="74"/>
      <c r="K427" s="74"/>
      <c r="L427" s="74"/>
      <c r="M427" s="74"/>
      <c r="N427" s="74"/>
      <c r="O427" s="74"/>
      <c r="P427" s="74"/>
      <c r="Q427" s="74"/>
      <c r="R427" s="74"/>
      <c r="S427" s="74"/>
      <c r="T427" s="74"/>
      <c r="U427" s="74"/>
      <c r="V427" s="74"/>
      <c r="W427" s="74"/>
      <c r="X427" s="74"/>
      <c r="Y427" s="74"/>
      <c r="Z427" s="74"/>
      <c r="AA427" s="74"/>
      <c r="AB427" s="74"/>
    </row>
    <row r="428" spans="1:28" ht="12" customHeight="1">
      <c r="A428" s="330"/>
      <c r="B428" s="314"/>
      <c r="C428" s="285"/>
      <c r="D428" s="108"/>
      <c r="E428" s="285"/>
      <c r="F428" s="285"/>
      <c r="G428" s="35"/>
      <c r="H428" s="104"/>
      <c r="I428" s="35"/>
      <c r="J428" s="74"/>
      <c r="K428" s="74"/>
      <c r="L428" s="74"/>
      <c r="M428" s="74"/>
      <c r="N428" s="74"/>
      <c r="O428" s="74"/>
      <c r="P428" s="74"/>
      <c r="Q428" s="74"/>
      <c r="R428" s="74"/>
      <c r="S428" s="74"/>
      <c r="T428" s="74"/>
      <c r="U428" s="74"/>
      <c r="V428" s="74"/>
      <c r="W428" s="74"/>
      <c r="X428" s="74"/>
      <c r="Y428" s="74"/>
      <c r="Z428" s="74"/>
      <c r="AA428" s="74"/>
      <c r="AB428" s="74"/>
    </row>
    <row r="429" spans="1:28" ht="12" customHeight="1">
      <c r="A429" s="330"/>
      <c r="B429" s="314"/>
      <c r="C429" s="285"/>
      <c r="D429" s="108"/>
      <c r="E429" s="285"/>
      <c r="F429" s="285"/>
      <c r="G429" s="35"/>
      <c r="H429" s="104"/>
      <c r="I429" s="35"/>
      <c r="J429" s="74"/>
      <c r="K429" s="74"/>
      <c r="L429" s="74"/>
      <c r="M429" s="74"/>
      <c r="N429" s="74"/>
      <c r="O429" s="74"/>
      <c r="P429" s="74"/>
      <c r="Q429" s="74"/>
      <c r="R429" s="74"/>
      <c r="S429" s="74"/>
      <c r="T429" s="74"/>
      <c r="U429" s="74"/>
      <c r="V429" s="74"/>
      <c r="W429" s="74"/>
      <c r="X429" s="74"/>
      <c r="Y429" s="74"/>
      <c r="Z429" s="74"/>
      <c r="AA429" s="74"/>
      <c r="AB429" s="74"/>
    </row>
    <row r="430" spans="1:28" ht="12" customHeight="1">
      <c r="A430" s="330"/>
      <c r="B430" s="314"/>
      <c r="C430" s="285"/>
      <c r="D430" s="108"/>
      <c r="E430" s="285"/>
      <c r="F430" s="285"/>
      <c r="G430" s="35"/>
      <c r="H430" s="104"/>
      <c r="I430" s="35"/>
      <c r="J430" s="74"/>
      <c r="K430" s="74"/>
      <c r="L430" s="74"/>
      <c r="M430" s="74"/>
      <c r="N430" s="74"/>
      <c r="O430" s="74"/>
      <c r="P430" s="74"/>
      <c r="Q430" s="74"/>
      <c r="R430" s="74"/>
      <c r="S430" s="74"/>
      <c r="T430" s="74"/>
      <c r="U430" s="74"/>
      <c r="V430" s="74"/>
      <c r="W430" s="74"/>
      <c r="X430" s="74"/>
      <c r="Y430" s="74"/>
      <c r="Z430" s="74"/>
      <c r="AA430" s="74"/>
      <c r="AB430" s="74"/>
    </row>
    <row r="431" spans="1:28" ht="12" customHeight="1">
      <c r="A431" s="330"/>
      <c r="B431" s="314"/>
      <c r="C431" s="285"/>
      <c r="D431" s="108"/>
      <c r="E431" s="285"/>
      <c r="F431" s="285"/>
      <c r="G431" s="35"/>
      <c r="H431" s="104"/>
      <c r="I431" s="35"/>
      <c r="J431" s="74"/>
      <c r="K431" s="74"/>
      <c r="L431" s="74"/>
      <c r="M431" s="74"/>
      <c r="N431" s="74"/>
      <c r="O431" s="74"/>
      <c r="P431" s="74"/>
      <c r="Q431" s="74"/>
      <c r="R431" s="74"/>
      <c r="S431" s="74"/>
      <c r="T431" s="74"/>
      <c r="U431" s="74"/>
      <c r="V431" s="74"/>
      <c r="W431" s="74"/>
      <c r="X431" s="74"/>
      <c r="Y431" s="74"/>
      <c r="Z431" s="74"/>
      <c r="AA431" s="74"/>
      <c r="AB431" s="74"/>
    </row>
    <row r="432" spans="1:28" ht="12" customHeight="1">
      <c r="A432" s="330"/>
      <c r="B432" s="314"/>
      <c r="C432" s="285"/>
      <c r="D432" s="108"/>
      <c r="E432" s="285"/>
      <c r="F432" s="285"/>
      <c r="G432" s="35"/>
      <c r="H432" s="104"/>
      <c r="I432" s="35"/>
      <c r="J432" s="74"/>
      <c r="K432" s="74"/>
      <c r="L432" s="74"/>
      <c r="M432" s="74"/>
      <c r="N432" s="74"/>
      <c r="O432" s="74"/>
      <c r="P432" s="74"/>
      <c r="Q432" s="74"/>
      <c r="R432" s="74"/>
      <c r="S432" s="74"/>
      <c r="T432" s="74"/>
      <c r="U432" s="74"/>
      <c r="V432" s="74"/>
      <c r="W432" s="74"/>
      <c r="X432" s="74"/>
      <c r="Y432" s="74"/>
      <c r="Z432" s="74"/>
      <c r="AA432" s="74"/>
      <c r="AB432" s="74"/>
    </row>
    <row r="433" spans="1:28" ht="12" customHeight="1">
      <c r="A433" s="330"/>
      <c r="B433" s="314"/>
      <c r="C433" s="285"/>
      <c r="D433" s="108"/>
      <c r="E433" s="285"/>
      <c r="F433" s="285"/>
      <c r="G433" s="35"/>
      <c r="H433" s="104"/>
      <c r="I433" s="35"/>
      <c r="J433" s="74"/>
      <c r="K433" s="74"/>
      <c r="L433" s="74"/>
      <c r="M433" s="74"/>
      <c r="N433" s="74"/>
      <c r="O433" s="74"/>
      <c r="P433" s="74"/>
      <c r="Q433" s="74"/>
      <c r="R433" s="74"/>
      <c r="S433" s="74"/>
      <c r="T433" s="74"/>
      <c r="U433" s="74"/>
      <c r="V433" s="74"/>
      <c r="W433" s="74"/>
      <c r="X433" s="74"/>
      <c r="Y433" s="74"/>
      <c r="Z433" s="74"/>
      <c r="AA433" s="74"/>
      <c r="AB433" s="74"/>
    </row>
    <row r="434" spans="1:28" ht="12" customHeight="1">
      <c r="A434" s="330"/>
      <c r="B434" s="314"/>
      <c r="C434" s="285"/>
      <c r="D434" s="108"/>
      <c r="E434" s="285"/>
      <c r="F434" s="285"/>
      <c r="G434" s="35"/>
      <c r="H434" s="104"/>
      <c r="I434" s="35"/>
      <c r="J434" s="74"/>
      <c r="K434" s="74"/>
      <c r="L434" s="74"/>
      <c r="M434" s="74"/>
      <c r="N434" s="74"/>
      <c r="O434" s="74"/>
      <c r="P434" s="74"/>
      <c r="Q434" s="74"/>
      <c r="R434" s="74"/>
      <c r="S434" s="74"/>
      <c r="T434" s="74"/>
      <c r="U434" s="74"/>
      <c r="V434" s="74"/>
      <c r="W434" s="74"/>
      <c r="X434" s="74"/>
      <c r="Y434" s="74"/>
      <c r="Z434" s="74"/>
      <c r="AA434" s="74"/>
      <c r="AB434" s="74"/>
    </row>
    <row r="435" spans="1:28" ht="12" customHeight="1">
      <c r="A435" s="330"/>
      <c r="B435" s="314"/>
      <c r="C435" s="285"/>
      <c r="D435" s="108"/>
      <c r="E435" s="285"/>
      <c r="F435" s="285"/>
      <c r="G435" s="35"/>
      <c r="H435" s="104"/>
      <c r="I435" s="35"/>
      <c r="J435" s="74"/>
      <c r="K435" s="74"/>
      <c r="L435" s="74"/>
      <c r="M435" s="74"/>
      <c r="N435" s="74"/>
      <c r="O435" s="74"/>
      <c r="P435" s="74"/>
      <c r="Q435" s="74"/>
      <c r="R435" s="74"/>
      <c r="S435" s="74"/>
      <c r="T435" s="74"/>
      <c r="U435" s="74"/>
      <c r="V435" s="74"/>
      <c r="W435" s="74"/>
      <c r="X435" s="74"/>
      <c r="Y435" s="74"/>
      <c r="Z435" s="74"/>
      <c r="AA435" s="74"/>
      <c r="AB435" s="74"/>
    </row>
    <row r="436" spans="1:28" ht="12" customHeight="1">
      <c r="A436" s="330"/>
      <c r="B436" s="314"/>
      <c r="C436" s="285"/>
      <c r="D436" s="108"/>
      <c r="E436" s="285"/>
      <c r="F436" s="285"/>
      <c r="G436" s="35"/>
      <c r="H436" s="104"/>
      <c r="I436" s="35"/>
      <c r="J436" s="74"/>
      <c r="K436" s="74"/>
      <c r="L436" s="74"/>
      <c r="M436" s="74"/>
      <c r="N436" s="74"/>
      <c r="O436" s="74"/>
      <c r="P436" s="74"/>
      <c r="Q436" s="74"/>
      <c r="R436" s="74"/>
      <c r="S436" s="74"/>
      <c r="T436" s="74"/>
      <c r="U436" s="74"/>
      <c r="V436" s="74"/>
      <c r="W436" s="74"/>
      <c r="X436" s="74"/>
      <c r="Y436" s="74"/>
      <c r="Z436" s="74"/>
      <c r="AA436" s="74"/>
      <c r="AB436" s="74"/>
    </row>
    <row r="437" spans="1:28" ht="12" customHeight="1">
      <c r="A437" s="330"/>
      <c r="B437" s="314"/>
      <c r="C437" s="285"/>
      <c r="D437" s="108"/>
      <c r="E437" s="285"/>
      <c r="F437" s="285"/>
      <c r="G437" s="35"/>
      <c r="H437" s="104"/>
      <c r="I437" s="35"/>
      <c r="J437" s="74"/>
      <c r="K437" s="74"/>
      <c r="L437" s="74"/>
      <c r="M437" s="74"/>
      <c r="N437" s="74"/>
      <c r="O437" s="74"/>
      <c r="P437" s="74"/>
      <c r="Q437" s="74"/>
      <c r="R437" s="74"/>
      <c r="S437" s="74"/>
      <c r="T437" s="74"/>
      <c r="U437" s="74"/>
      <c r="V437" s="74"/>
      <c r="W437" s="74"/>
      <c r="X437" s="74"/>
      <c r="Y437" s="74"/>
      <c r="Z437" s="74"/>
      <c r="AA437" s="74"/>
      <c r="AB437" s="74"/>
    </row>
    <row r="438" spans="1:28" ht="12" customHeight="1">
      <c r="A438" s="330"/>
      <c r="B438" s="314"/>
      <c r="C438" s="285"/>
      <c r="D438" s="108"/>
      <c r="E438" s="285"/>
      <c r="F438" s="285"/>
      <c r="G438" s="35"/>
      <c r="H438" s="104"/>
      <c r="I438" s="35"/>
      <c r="J438" s="74"/>
      <c r="K438" s="74"/>
      <c r="L438" s="74"/>
      <c r="M438" s="74"/>
      <c r="N438" s="74"/>
      <c r="O438" s="74"/>
      <c r="P438" s="74"/>
      <c r="Q438" s="74"/>
      <c r="R438" s="74"/>
      <c r="S438" s="74"/>
      <c r="T438" s="74"/>
      <c r="U438" s="74"/>
      <c r="V438" s="74"/>
      <c r="W438" s="74"/>
      <c r="X438" s="74"/>
      <c r="Y438" s="74"/>
      <c r="Z438" s="74"/>
      <c r="AA438" s="74"/>
      <c r="AB438" s="74"/>
    </row>
    <row r="439" spans="1:28" ht="12" customHeight="1">
      <c r="A439" s="330"/>
      <c r="B439" s="314"/>
      <c r="C439" s="285"/>
      <c r="D439" s="108"/>
      <c r="E439" s="285"/>
      <c r="F439" s="285"/>
      <c r="G439" s="35"/>
      <c r="H439" s="104"/>
      <c r="I439" s="35"/>
      <c r="J439" s="74"/>
      <c r="K439" s="74"/>
      <c r="L439" s="74"/>
      <c r="M439" s="74"/>
      <c r="N439" s="74"/>
      <c r="O439" s="74"/>
      <c r="P439" s="74"/>
      <c r="Q439" s="74"/>
      <c r="R439" s="74"/>
      <c r="S439" s="74"/>
      <c r="T439" s="74"/>
      <c r="U439" s="74"/>
      <c r="V439" s="74"/>
      <c r="W439" s="74"/>
      <c r="X439" s="74"/>
      <c r="Y439" s="74"/>
      <c r="Z439" s="74"/>
      <c r="AA439" s="74"/>
      <c r="AB439" s="74"/>
    </row>
    <row r="440" spans="1:28" ht="12" customHeight="1">
      <c r="A440" s="330"/>
      <c r="B440" s="314"/>
      <c r="C440" s="285"/>
      <c r="D440" s="108"/>
      <c r="E440" s="285"/>
      <c r="F440" s="285"/>
      <c r="G440" s="35"/>
      <c r="H440" s="104"/>
      <c r="I440" s="35"/>
      <c r="J440" s="74"/>
      <c r="K440" s="74"/>
      <c r="L440" s="74"/>
      <c r="M440" s="74"/>
      <c r="N440" s="74"/>
      <c r="O440" s="74"/>
      <c r="P440" s="74"/>
      <c r="Q440" s="74"/>
      <c r="R440" s="74"/>
      <c r="S440" s="74"/>
      <c r="T440" s="74"/>
      <c r="U440" s="74"/>
      <c r="V440" s="74"/>
      <c r="W440" s="74"/>
      <c r="X440" s="74"/>
      <c r="Y440" s="74"/>
      <c r="Z440" s="74"/>
      <c r="AA440" s="74"/>
      <c r="AB440" s="74"/>
    </row>
    <row r="441" spans="1:28" ht="12" customHeight="1">
      <c r="A441" s="330"/>
      <c r="B441" s="314"/>
      <c r="C441" s="285"/>
      <c r="D441" s="108"/>
      <c r="E441" s="285"/>
      <c r="F441" s="285"/>
      <c r="G441" s="35"/>
      <c r="H441" s="104"/>
      <c r="I441" s="35"/>
      <c r="J441" s="74"/>
      <c r="K441" s="74"/>
      <c r="L441" s="74"/>
      <c r="M441" s="74"/>
      <c r="N441" s="74"/>
      <c r="O441" s="74"/>
      <c r="P441" s="74"/>
      <c r="Q441" s="74"/>
      <c r="R441" s="74"/>
      <c r="S441" s="74"/>
      <c r="T441" s="74"/>
      <c r="U441" s="74"/>
      <c r="V441" s="74"/>
      <c r="W441" s="74"/>
      <c r="X441" s="74"/>
      <c r="Y441" s="74"/>
      <c r="Z441" s="74"/>
      <c r="AA441" s="74"/>
      <c r="AB441" s="74"/>
    </row>
    <row r="442" spans="1:28" ht="12" customHeight="1">
      <c r="A442" s="330"/>
      <c r="B442" s="314"/>
      <c r="C442" s="285"/>
      <c r="D442" s="108"/>
      <c r="E442" s="285"/>
      <c r="F442" s="285"/>
      <c r="G442" s="35"/>
      <c r="H442" s="104"/>
      <c r="I442" s="35"/>
      <c r="J442" s="74"/>
      <c r="K442" s="74"/>
      <c r="L442" s="74"/>
      <c r="M442" s="74"/>
      <c r="N442" s="74"/>
      <c r="O442" s="74"/>
      <c r="P442" s="74"/>
      <c r="Q442" s="74"/>
      <c r="R442" s="74"/>
      <c r="S442" s="74"/>
      <c r="T442" s="74"/>
      <c r="U442" s="74"/>
      <c r="V442" s="74"/>
      <c r="W442" s="74"/>
      <c r="X442" s="74"/>
      <c r="Y442" s="74"/>
      <c r="Z442" s="74"/>
      <c r="AA442" s="74"/>
      <c r="AB442" s="74"/>
    </row>
    <row r="443" spans="1:28" ht="12" customHeight="1">
      <c r="A443" s="330"/>
      <c r="B443" s="314"/>
      <c r="C443" s="285"/>
      <c r="D443" s="108"/>
      <c r="E443" s="285"/>
      <c r="F443" s="285"/>
      <c r="G443" s="35"/>
      <c r="H443" s="104"/>
      <c r="I443" s="35"/>
      <c r="J443" s="74"/>
      <c r="K443" s="74"/>
      <c r="L443" s="74"/>
      <c r="M443" s="74"/>
      <c r="N443" s="74"/>
      <c r="O443" s="74"/>
      <c r="P443" s="74"/>
      <c r="Q443" s="74"/>
      <c r="R443" s="74"/>
      <c r="S443" s="74"/>
      <c r="T443" s="74"/>
      <c r="U443" s="74"/>
      <c r="V443" s="74"/>
      <c r="W443" s="74"/>
      <c r="X443" s="74"/>
      <c r="Y443" s="74"/>
      <c r="Z443" s="74"/>
      <c r="AA443" s="74"/>
      <c r="AB443" s="74"/>
    </row>
    <row r="444" spans="1:28" ht="12" customHeight="1">
      <c r="A444" s="330"/>
      <c r="B444" s="314"/>
      <c r="C444" s="285"/>
      <c r="D444" s="108"/>
      <c r="E444" s="285"/>
      <c r="F444" s="285"/>
      <c r="G444" s="35"/>
      <c r="H444" s="104"/>
      <c r="I444" s="35"/>
      <c r="J444" s="74"/>
      <c r="K444" s="74"/>
      <c r="L444" s="74"/>
      <c r="M444" s="74"/>
      <c r="N444" s="74"/>
      <c r="O444" s="74"/>
      <c r="P444" s="74"/>
      <c r="Q444" s="74"/>
      <c r="R444" s="74"/>
      <c r="S444" s="74"/>
      <c r="T444" s="74"/>
      <c r="U444" s="74"/>
      <c r="V444" s="74"/>
      <c r="W444" s="74"/>
      <c r="X444" s="74"/>
      <c r="Y444" s="74"/>
      <c r="Z444" s="74"/>
      <c r="AA444" s="74"/>
      <c r="AB444" s="74"/>
    </row>
    <row r="445" spans="1:28" ht="12" customHeight="1">
      <c r="A445" s="330"/>
      <c r="B445" s="314"/>
      <c r="C445" s="285"/>
      <c r="D445" s="108"/>
      <c r="E445" s="285"/>
      <c r="F445" s="285"/>
      <c r="G445" s="35"/>
      <c r="H445" s="104"/>
      <c r="I445" s="35"/>
      <c r="J445" s="74"/>
      <c r="K445" s="74"/>
      <c r="L445" s="74"/>
      <c r="M445" s="74"/>
      <c r="N445" s="74"/>
      <c r="O445" s="74"/>
      <c r="P445" s="74"/>
      <c r="Q445" s="74"/>
      <c r="R445" s="74"/>
      <c r="S445" s="74"/>
      <c r="T445" s="74"/>
      <c r="U445" s="74"/>
      <c r="V445" s="74"/>
      <c r="W445" s="74"/>
      <c r="X445" s="74"/>
      <c r="Y445" s="74"/>
      <c r="Z445" s="74"/>
      <c r="AA445" s="74"/>
      <c r="AB445" s="74"/>
    </row>
    <row r="446" spans="1:28" ht="12" customHeight="1">
      <c r="A446" s="330"/>
      <c r="B446" s="314"/>
      <c r="C446" s="285"/>
      <c r="D446" s="108"/>
      <c r="E446" s="285"/>
      <c r="F446" s="285"/>
      <c r="G446" s="35"/>
      <c r="H446" s="104"/>
      <c r="I446" s="35"/>
      <c r="J446" s="74"/>
      <c r="K446" s="74"/>
      <c r="L446" s="74"/>
      <c r="M446" s="74"/>
      <c r="N446" s="74"/>
      <c r="O446" s="74"/>
      <c r="P446" s="74"/>
      <c r="Q446" s="74"/>
      <c r="R446" s="74"/>
      <c r="S446" s="74"/>
      <c r="T446" s="74"/>
      <c r="U446" s="74"/>
      <c r="V446" s="74"/>
      <c r="W446" s="74"/>
      <c r="X446" s="74"/>
      <c r="Y446" s="74"/>
      <c r="Z446" s="74"/>
      <c r="AA446" s="74"/>
      <c r="AB446" s="74"/>
    </row>
    <row r="447" spans="1:28" ht="12" customHeight="1">
      <c r="A447" s="330"/>
      <c r="B447" s="314"/>
      <c r="C447" s="285"/>
      <c r="D447" s="108"/>
      <c r="E447" s="285"/>
      <c r="F447" s="285"/>
      <c r="G447" s="35"/>
      <c r="H447" s="104"/>
      <c r="I447" s="35"/>
      <c r="J447" s="74"/>
      <c r="K447" s="74"/>
      <c r="L447" s="74"/>
      <c r="M447" s="74"/>
      <c r="N447" s="74"/>
      <c r="O447" s="74"/>
      <c r="P447" s="74"/>
      <c r="Q447" s="74"/>
      <c r="R447" s="74"/>
      <c r="S447" s="74"/>
      <c r="T447" s="74"/>
      <c r="U447" s="74"/>
      <c r="V447" s="74"/>
      <c r="W447" s="74"/>
      <c r="X447" s="74"/>
      <c r="Y447" s="74"/>
      <c r="Z447" s="74"/>
      <c r="AA447" s="74"/>
      <c r="AB447" s="74"/>
    </row>
    <row r="448" spans="1:28" ht="12" customHeight="1">
      <c r="A448" s="330"/>
      <c r="B448" s="314"/>
      <c r="C448" s="285"/>
      <c r="D448" s="108"/>
      <c r="E448" s="285"/>
      <c r="F448" s="285"/>
      <c r="G448" s="35"/>
      <c r="H448" s="104"/>
      <c r="I448" s="35"/>
      <c r="J448" s="74"/>
      <c r="K448" s="74"/>
      <c r="L448" s="74"/>
      <c r="M448" s="74"/>
      <c r="N448" s="74"/>
      <c r="O448" s="74"/>
      <c r="P448" s="74"/>
      <c r="Q448" s="74"/>
      <c r="R448" s="74"/>
      <c r="S448" s="74"/>
      <c r="T448" s="74"/>
      <c r="U448" s="74"/>
      <c r="V448" s="74"/>
      <c r="W448" s="74"/>
      <c r="X448" s="74"/>
      <c r="Y448" s="74"/>
      <c r="Z448" s="74"/>
      <c r="AA448" s="74"/>
      <c r="AB448" s="74"/>
    </row>
    <row r="449" spans="1:28" ht="12" customHeight="1">
      <c r="A449" s="330"/>
      <c r="B449" s="314"/>
      <c r="C449" s="285"/>
      <c r="D449" s="108"/>
      <c r="E449" s="285"/>
      <c r="F449" s="285"/>
      <c r="G449" s="35"/>
      <c r="H449" s="104"/>
      <c r="I449" s="35"/>
      <c r="J449" s="74"/>
      <c r="K449" s="74"/>
      <c r="L449" s="74"/>
      <c r="M449" s="74"/>
      <c r="N449" s="74"/>
      <c r="O449" s="74"/>
      <c r="P449" s="74"/>
      <c r="Q449" s="74"/>
      <c r="R449" s="74"/>
      <c r="S449" s="74"/>
      <c r="T449" s="74"/>
      <c r="U449" s="74"/>
      <c r="V449" s="74"/>
      <c r="W449" s="74"/>
      <c r="X449" s="74"/>
      <c r="Y449" s="74"/>
      <c r="Z449" s="74"/>
      <c r="AA449" s="74"/>
      <c r="AB449" s="74"/>
    </row>
    <row r="450" spans="1:28" ht="12" customHeight="1">
      <c r="A450" s="330"/>
      <c r="B450" s="314"/>
      <c r="C450" s="285"/>
      <c r="D450" s="108"/>
      <c r="E450" s="285"/>
      <c r="F450" s="285"/>
      <c r="G450" s="35"/>
      <c r="H450" s="104"/>
      <c r="I450" s="35"/>
      <c r="J450" s="74"/>
      <c r="K450" s="74"/>
      <c r="L450" s="74"/>
      <c r="M450" s="74"/>
      <c r="N450" s="74"/>
      <c r="O450" s="74"/>
      <c r="P450" s="74"/>
      <c r="Q450" s="74"/>
      <c r="R450" s="74"/>
      <c r="S450" s="74"/>
      <c r="T450" s="74"/>
      <c r="U450" s="74"/>
      <c r="V450" s="74"/>
      <c r="W450" s="74"/>
      <c r="X450" s="74"/>
      <c r="Y450" s="74"/>
      <c r="Z450" s="74"/>
      <c r="AA450" s="74"/>
      <c r="AB450" s="74"/>
    </row>
    <row r="451" spans="1:28" ht="12" customHeight="1">
      <c r="A451" s="330"/>
      <c r="B451" s="314"/>
      <c r="C451" s="285"/>
      <c r="D451" s="108"/>
      <c r="E451" s="285"/>
      <c r="F451" s="285"/>
      <c r="G451" s="35"/>
      <c r="H451" s="104"/>
      <c r="I451" s="35"/>
      <c r="J451" s="74"/>
      <c r="K451" s="74"/>
      <c r="L451" s="74"/>
      <c r="M451" s="74"/>
      <c r="N451" s="74"/>
      <c r="O451" s="74"/>
      <c r="P451" s="74"/>
      <c r="Q451" s="74"/>
      <c r="R451" s="74"/>
      <c r="S451" s="74"/>
      <c r="T451" s="74"/>
      <c r="U451" s="74"/>
      <c r="V451" s="74"/>
      <c r="W451" s="74"/>
      <c r="X451" s="74"/>
      <c r="Y451" s="74"/>
      <c r="Z451" s="74"/>
      <c r="AA451" s="74"/>
      <c r="AB451" s="74"/>
    </row>
    <row r="452" spans="1:28" ht="12" customHeight="1">
      <c r="A452" s="330"/>
      <c r="B452" s="314"/>
      <c r="C452" s="285"/>
      <c r="D452" s="108"/>
      <c r="E452" s="285"/>
      <c r="F452" s="285"/>
      <c r="G452" s="35"/>
      <c r="H452" s="104"/>
      <c r="I452" s="35"/>
      <c r="J452" s="74"/>
      <c r="K452" s="74"/>
      <c r="L452" s="74"/>
      <c r="M452" s="74"/>
      <c r="N452" s="74"/>
      <c r="O452" s="74"/>
      <c r="P452" s="74"/>
      <c r="Q452" s="74"/>
      <c r="R452" s="74"/>
      <c r="S452" s="74"/>
      <c r="T452" s="74"/>
      <c r="U452" s="74"/>
      <c r="V452" s="74"/>
      <c r="W452" s="74"/>
      <c r="X452" s="74"/>
      <c r="Y452" s="74"/>
      <c r="Z452" s="74"/>
      <c r="AA452" s="74"/>
      <c r="AB452" s="74"/>
    </row>
    <row r="453" spans="1:28" ht="12" customHeight="1">
      <c r="A453" s="330"/>
      <c r="B453" s="314"/>
      <c r="C453" s="285"/>
      <c r="D453" s="108"/>
      <c r="E453" s="285"/>
      <c r="F453" s="285"/>
      <c r="G453" s="35"/>
      <c r="H453" s="104"/>
      <c r="I453" s="35"/>
      <c r="J453" s="74"/>
      <c r="K453" s="74"/>
      <c r="L453" s="74"/>
      <c r="M453" s="74"/>
      <c r="N453" s="74"/>
      <c r="O453" s="74"/>
      <c r="P453" s="74"/>
      <c r="Q453" s="74"/>
      <c r="R453" s="74"/>
      <c r="S453" s="74"/>
      <c r="T453" s="74"/>
      <c r="U453" s="74"/>
      <c r="V453" s="74"/>
      <c r="W453" s="74"/>
      <c r="X453" s="74"/>
      <c r="Y453" s="74"/>
      <c r="Z453" s="74"/>
      <c r="AA453" s="74"/>
      <c r="AB453" s="74"/>
    </row>
    <row r="454" spans="1:28" ht="12" customHeight="1">
      <c r="A454" s="330"/>
      <c r="B454" s="314"/>
      <c r="C454" s="285"/>
      <c r="D454" s="108"/>
      <c r="E454" s="285"/>
      <c r="F454" s="285"/>
      <c r="G454" s="35"/>
      <c r="H454" s="104"/>
      <c r="I454" s="35"/>
      <c r="J454" s="74"/>
      <c r="K454" s="74"/>
      <c r="L454" s="74"/>
      <c r="M454" s="74"/>
      <c r="N454" s="74"/>
      <c r="O454" s="74"/>
      <c r="P454" s="74"/>
      <c r="Q454" s="74"/>
      <c r="R454" s="74"/>
      <c r="S454" s="74"/>
      <c r="T454" s="74"/>
      <c r="U454" s="74"/>
      <c r="V454" s="74"/>
      <c r="W454" s="74"/>
      <c r="X454" s="74"/>
      <c r="Y454" s="74"/>
      <c r="Z454" s="74"/>
      <c r="AA454" s="74"/>
      <c r="AB454" s="74"/>
    </row>
    <row r="455" spans="1:28" ht="12" customHeight="1">
      <c r="A455" s="330"/>
      <c r="B455" s="314"/>
      <c r="C455" s="285"/>
      <c r="D455" s="108"/>
      <c r="E455" s="285"/>
      <c r="F455" s="285"/>
      <c r="G455" s="35"/>
      <c r="H455" s="104"/>
      <c r="I455" s="35"/>
      <c r="J455" s="74"/>
      <c r="K455" s="74"/>
      <c r="L455" s="74"/>
      <c r="M455" s="74"/>
      <c r="N455" s="74"/>
      <c r="O455" s="74"/>
      <c r="P455" s="74"/>
      <c r="Q455" s="74"/>
      <c r="R455" s="74"/>
      <c r="S455" s="74"/>
      <c r="T455" s="74"/>
      <c r="U455" s="74"/>
      <c r="V455" s="74"/>
      <c r="W455" s="74"/>
      <c r="X455" s="74"/>
      <c r="Y455" s="74"/>
      <c r="Z455" s="74"/>
      <c r="AA455" s="74"/>
      <c r="AB455" s="74"/>
    </row>
    <row r="456" spans="1:28" ht="12" customHeight="1">
      <c r="A456" s="330"/>
      <c r="B456" s="314"/>
      <c r="C456" s="285"/>
      <c r="D456" s="108"/>
      <c r="E456" s="285"/>
      <c r="F456" s="285"/>
      <c r="G456" s="35"/>
      <c r="H456" s="104"/>
      <c r="I456" s="35"/>
      <c r="J456" s="74"/>
      <c r="K456" s="74"/>
      <c r="L456" s="74"/>
      <c r="M456" s="74"/>
      <c r="N456" s="74"/>
      <c r="O456" s="74"/>
      <c r="P456" s="74"/>
      <c r="Q456" s="74"/>
      <c r="R456" s="74"/>
      <c r="S456" s="74"/>
      <c r="T456" s="74"/>
      <c r="U456" s="74"/>
      <c r="V456" s="74"/>
      <c r="W456" s="74"/>
      <c r="X456" s="74"/>
      <c r="Y456" s="74"/>
      <c r="Z456" s="74"/>
      <c r="AA456" s="74"/>
      <c r="AB456" s="74"/>
    </row>
    <row r="457" spans="1:28" ht="12" customHeight="1">
      <c r="A457" s="330"/>
      <c r="B457" s="314"/>
      <c r="C457" s="285"/>
      <c r="D457" s="108"/>
      <c r="E457" s="285"/>
      <c r="F457" s="285"/>
      <c r="G457" s="35"/>
      <c r="H457" s="104"/>
      <c r="I457" s="35"/>
      <c r="J457" s="74"/>
      <c r="K457" s="74"/>
      <c r="L457" s="74"/>
      <c r="M457" s="74"/>
      <c r="N457" s="74"/>
      <c r="O457" s="74"/>
      <c r="P457" s="74"/>
      <c r="Q457" s="74"/>
      <c r="R457" s="74"/>
      <c r="S457" s="74"/>
      <c r="T457" s="74"/>
      <c r="U457" s="74"/>
      <c r="V457" s="74"/>
      <c r="W457" s="74"/>
      <c r="X457" s="74"/>
      <c r="Y457" s="74"/>
      <c r="Z457" s="74"/>
      <c r="AA457" s="74"/>
      <c r="AB457" s="74"/>
    </row>
    <row r="458" spans="1:28" ht="12" customHeight="1">
      <c r="A458" s="330"/>
      <c r="B458" s="314"/>
      <c r="C458" s="285"/>
      <c r="D458" s="108"/>
      <c r="E458" s="285"/>
      <c r="F458" s="285"/>
      <c r="G458" s="35"/>
      <c r="H458" s="104"/>
      <c r="I458" s="35"/>
      <c r="J458" s="74"/>
      <c r="K458" s="74"/>
      <c r="L458" s="74"/>
      <c r="M458" s="74"/>
      <c r="N458" s="74"/>
      <c r="O458" s="74"/>
      <c r="P458" s="74"/>
      <c r="Q458" s="74"/>
      <c r="R458" s="74"/>
      <c r="S458" s="74"/>
      <c r="T458" s="74"/>
      <c r="U458" s="74"/>
      <c r="V458" s="74"/>
      <c r="W458" s="74"/>
      <c r="X458" s="74"/>
      <c r="Y458" s="74"/>
      <c r="Z458" s="74"/>
      <c r="AA458" s="74"/>
      <c r="AB458" s="74"/>
    </row>
    <row r="459" spans="1:28" ht="12" customHeight="1">
      <c r="A459" s="330"/>
      <c r="B459" s="314"/>
      <c r="C459" s="285"/>
      <c r="D459" s="108"/>
      <c r="E459" s="285"/>
      <c r="F459" s="285"/>
      <c r="G459" s="35"/>
      <c r="H459" s="104"/>
      <c r="I459" s="35"/>
      <c r="J459" s="74"/>
      <c r="K459" s="74"/>
      <c r="L459" s="74"/>
      <c r="M459" s="74"/>
      <c r="N459" s="74"/>
      <c r="O459" s="74"/>
      <c r="P459" s="74"/>
      <c r="Q459" s="74"/>
      <c r="R459" s="74"/>
      <c r="S459" s="74"/>
      <c r="T459" s="74"/>
      <c r="U459" s="74"/>
      <c r="V459" s="74"/>
      <c r="W459" s="74"/>
      <c r="X459" s="74"/>
      <c r="Y459" s="74"/>
      <c r="Z459" s="74"/>
      <c r="AA459" s="74"/>
      <c r="AB459" s="74"/>
    </row>
    <row r="460" spans="1:28" ht="12" customHeight="1">
      <c r="A460" s="330"/>
      <c r="B460" s="314"/>
      <c r="C460" s="285"/>
      <c r="D460" s="108"/>
      <c r="E460" s="285"/>
      <c r="F460" s="285"/>
      <c r="G460" s="35"/>
      <c r="H460" s="104"/>
      <c r="I460" s="35"/>
      <c r="J460" s="74"/>
      <c r="K460" s="74"/>
      <c r="L460" s="74"/>
      <c r="M460" s="74"/>
      <c r="N460" s="74"/>
      <c r="O460" s="74"/>
      <c r="P460" s="74"/>
      <c r="Q460" s="74"/>
      <c r="R460" s="74"/>
      <c r="S460" s="74"/>
      <c r="T460" s="74"/>
      <c r="U460" s="74"/>
      <c r="V460" s="74"/>
      <c r="W460" s="74"/>
      <c r="X460" s="74"/>
      <c r="Y460" s="74"/>
      <c r="Z460" s="74"/>
      <c r="AA460" s="74"/>
      <c r="AB460" s="74"/>
    </row>
    <row r="461" spans="1:28" ht="12" customHeight="1">
      <c r="A461" s="330"/>
      <c r="B461" s="314"/>
      <c r="C461" s="285"/>
      <c r="D461" s="108"/>
      <c r="E461" s="285"/>
      <c r="F461" s="285"/>
      <c r="G461" s="35"/>
      <c r="H461" s="104"/>
      <c r="I461" s="35"/>
      <c r="J461" s="74"/>
      <c r="K461" s="74"/>
      <c r="L461" s="74"/>
      <c r="M461" s="74"/>
      <c r="N461" s="74"/>
      <c r="O461" s="74"/>
      <c r="P461" s="74"/>
      <c r="Q461" s="74"/>
      <c r="R461" s="74"/>
      <c r="S461" s="74"/>
      <c r="T461" s="74"/>
      <c r="U461" s="74"/>
      <c r="V461" s="74"/>
      <c r="W461" s="74"/>
      <c r="X461" s="74"/>
      <c r="Y461" s="74"/>
      <c r="Z461" s="74"/>
      <c r="AA461" s="74"/>
      <c r="AB461" s="74"/>
    </row>
    <row r="462" spans="1:28" ht="12" customHeight="1">
      <c r="A462" s="330"/>
      <c r="B462" s="314"/>
      <c r="C462" s="285"/>
      <c r="D462" s="108"/>
      <c r="E462" s="285"/>
      <c r="F462" s="285"/>
      <c r="G462" s="35"/>
      <c r="H462" s="104"/>
      <c r="I462" s="35"/>
      <c r="J462" s="74"/>
      <c r="K462" s="74"/>
      <c r="L462" s="74"/>
      <c r="M462" s="74"/>
      <c r="N462" s="74"/>
      <c r="O462" s="74"/>
      <c r="P462" s="74"/>
      <c r="Q462" s="74"/>
      <c r="R462" s="74"/>
      <c r="S462" s="74"/>
      <c r="T462" s="74"/>
      <c r="U462" s="74"/>
      <c r="V462" s="74"/>
      <c r="W462" s="74"/>
      <c r="X462" s="74"/>
      <c r="Y462" s="74"/>
      <c r="Z462" s="74"/>
      <c r="AA462" s="74"/>
      <c r="AB462" s="74"/>
    </row>
    <row r="463" spans="1:28" ht="12" customHeight="1">
      <c r="A463" s="330"/>
      <c r="B463" s="314"/>
      <c r="C463" s="285"/>
      <c r="D463" s="108"/>
      <c r="E463" s="285"/>
      <c r="F463" s="285"/>
      <c r="G463" s="35"/>
      <c r="H463" s="104"/>
      <c r="I463" s="35"/>
      <c r="J463" s="74"/>
      <c r="K463" s="74"/>
      <c r="L463" s="74"/>
      <c r="M463" s="74"/>
      <c r="N463" s="74"/>
      <c r="O463" s="74"/>
      <c r="P463" s="74"/>
      <c r="Q463" s="74"/>
      <c r="R463" s="74"/>
      <c r="S463" s="74"/>
      <c r="T463" s="74"/>
      <c r="U463" s="74"/>
      <c r="V463" s="74"/>
      <c r="W463" s="74"/>
      <c r="X463" s="74"/>
      <c r="Y463" s="74"/>
      <c r="Z463" s="74"/>
      <c r="AA463" s="74"/>
      <c r="AB463" s="74"/>
    </row>
    <row r="464" spans="1:28" ht="12" customHeight="1">
      <c r="A464" s="330"/>
      <c r="B464" s="314"/>
      <c r="C464" s="285"/>
      <c r="D464" s="108"/>
      <c r="E464" s="285"/>
      <c r="F464" s="285"/>
      <c r="G464" s="35"/>
      <c r="H464" s="104"/>
      <c r="I464" s="35"/>
      <c r="J464" s="74"/>
      <c r="K464" s="74"/>
      <c r="L464" s="74"/>
      <c r="M464" s="74"/>
      <c r="N464" s="74"/>
      <c r="O464" s="74"/>
      <c r="P464" s="74"/>
      <c r="Q464" s="74"/>
      <c r="R464" s="74"/>
      <c r="S464" s="74"/>
      <c r="T464" s="74"/>
      <c r="U464" s="74"/>
      <c r="V464" s="74"/>
      <c r="W464" s="74"/>
      <c r="X464" s="74"/>
      <c r="Y464" s="74"/>
      <c r="Z464" s="74"/>
      <c r="AA464" s="74"/>
      <c r="AB464" s="74"/>
    </row>
    <row r="465" spans="1:28" ht="12" customHeight="1">
      <c r="A465" s="330"/>
      <c r="B465" s="314"/>
      <c r="C465" s="285"/>
      <c r="D465" s="108"/>
      <c r="E465" s="285"/>
      <c r="F465" s="285"/>
      <c r="G465" s="35"/>
      <c r="H465" s="104"/>
      <c r="I465" s="35"/>
      <c r="J465" s="74"/>
      <c r="K465" s="74"/>
      <c r="L465" s="74"/>
      <c r="M465" s="74"/>
      <c r="N465" s="74"/>
      <c r="O465" s="74"/>
      <c r="P465" s="74"/>
      <c r="Q465" s="74"/>
      <c r="R465" s="74"/>
      <c r="S465" s="74"/>
      <c r="T465" s="74"/>
      <c r="U465" s="74"/>
      <c r="V465" s="74"/>
      <c r="W465" s="74"/>
      <c r="X465" s="74"/>
      <c r="Y465" s="74"/>
      <c r="Z465" s="74"/>
      <c r="AA465" s="74"/>
      <c r="AB465" s="74"/>
    </row>
    <row r="466" spans="1:28" ht="12" customHeight="1">
      <c r="A466" s="330"/>
      <c r="B466" s="314"/>
      <c r="C466" s="285"/>
      <c r="D466" s="108"/>
      <c r="E466" s="285"/>
      <c r="F466" s="285"/>
      <c r="G466" s="35"/>
      <c r="H466" s="104"/>
      <c r="I466" s="35"/>
      <c r="J466" s="74"/>
      <c r="K466" s="74"/>
      <c r="L466" s="74"/>
      <c r="M466" s="74"/>
      <c r="N466" s="74"/>
      <c r="O466" s="74"/>
      <c r="P466" s="74"/>
      <c r="Q466" s="74"/>
      <c r="R466" s="74"/>
      <c r="S466" s="74"/>
      <c r="T466" s="74"/>
      <c r="U466" s="74"/>
      <c r="V466" s="74"/>
      <c r="W466" s="74"/>
      <c r="X466" s="74"/>
      <c r="Y466" s="74"/>
      <c r="Z466" s="74"/>
      <c r="AA466" s="74"/>
      <c r="AB466" s="74"/>
    </row>
    <row r="467" spans="1:28" ht="12" customHeight="1">
      <c r="A467" s="330"/>
      <c r="B467" s="314"/>
      <c r="C467" s="285"/>
      <c r="D467" s="108"/>
      <c r="E467" s="285"/>
      <c r="F467" s="285"/>
      <c r="G467" s="35"/>
      <c r="H467" s="104"/>
      <c r="I467" s="35"/>
      <c r="J467" s="74"/>
      <c r="K467" s="74"/>
      <c r="L467" s="74"/>
      <c r="M467" s="74"/>
      <c r="N467" s="74"/>
      <c r="O467" s="74"/>
      <c r="P467" s="74"/>
      <c r="Q467" s="74"/>
      <c r="R467" s="74"/>
      <c r="S467" s="74"/>
      <c r="T467" s="74"/>
      <c r="U467" s="74"/>
      <c r="V467" s="74"/>
      <c r="W467" s="74"/>
      <c r="X467" s="74"/>
      <c r="Y467" s="74"/>
      <c r="Z467" s="74"/>
      <c r="AA467" s="74"/>
      <c r="AB467" s="74"/>
    </row>
    <row r="468" spans="1:28" ht="12" customHeight="1">
      <c r="A468" s="330"/>
      <c r="B468" s="314"/>
      <c r="C468" s="285"/>
      <c r="D468" s="108"/>
      <c r="E468" s="285"/>
      <c r="F468" s="285"/>
      <c r="G468" s="35"/>
      <c r="H468" s="104"/>
      <c r="I468" s="35"/>
      <c r="J468" s="74"/>
      <c r="K468" s="74"/>
      <c r="L468" s="74"/>
      <c r="M468" s="74"/>
      <c r="N468" s="74"/>
      <c r="O468" s="74"/>
      <c r="P468" s="74"/>
      <c r="Q468" s="74"/>
      <c r="R468" s="74"/>
      <c r="S468" s="74"/>
      <c r="T468" s="74"/>
      <c r="U468" s="74"/>
      <c r="V468" s="74"/>
      <c r="W468" s="74"/>
      <c r="X468" s="74"/>
      <c r="Y468" s="74"/>
      <c r="Z468" s="74"/>
      <c r="AA468" s="74"/>
      <c r="AB468" s="74"/>
    </row>
    <row r="469" spans="1:28" ht="12" customHeight="1">
      <c r="A469" s="330"/>
      <c r="B469" s="314"/>
      <c r="C469" s="285"/>
      <c r="D469" s="108"/>
      <c r="E469" s="285"/>
      <c r="F469" s="285"/>
      <c r="G469" s="35"/>
      <c r="H469" s="104"/>
      <c r="I469" s="35"/>
      <c r="J469" s="74"/>
      <c r="K469" s="74"/>
      <c r="L469" s="74"/>
      <c r="M469" s="74"/>
      <c r="N469" s="74"/>
      <c r="O469" s="74"/>
      <c r="P469" s="74"/>
      <c r="Q469" s="74"/>
      <c r="R469" s="74"/>
      <c r="S469" s="74"/>
      <c r="T469" s="74"/>
      <c r="U469" s="74"/>
      <c r="V469" s="74"/>
      <c r="W469" s="74"/>
      <c r="X469" s="74"/>
      <c r="Y469" s="74"/>
      <c r="Z469" s="74"/>
      <c r="AA469" s="74"/>
      <c r="AB469" s="74"/>
    </row>
    <row r="470" spans="1:28" ht="12" customHeight="1">
      <c r="A470" s="330"/>
      <c r="B470" s="314"/>
      <c r="C470" s="285"/>
      <c r="D470" s="108"/>
      <c r="E470" s="285"/>
      <c r="F470" s="285"/>
      <c r="G470" s="35"/>
      <c r="H470" s="104"/>
      <c r="I470" s="35"/>
      <c r="J470" s="74"/>
      <c r="K470" s="74"/>
      <c r="L470" s="74"/>
      <c r="M470" s="74"/>
      <c r="N470" s="74"/>
      <c r="O470" s="74"/>
      <c r="P470" s="74"/>
      <c r="Q470" s="74"/>
      <c r="R470" s="74"/>
      <c r="S470" s="74"/>
      <c r="T470" s="74"/>
      <c r="U470" s="74"/>
      <c r="V470" s="74"/>
      <c r="W470" s="74"/>
      <c r="X470" s="74"/>
      <c r="Y470" s="74"/>
      <c r="Z470" s="74"/>
      <c r="AA470" s="74"/>
      <c r="AB470" s="74"/>
    </row>
    <row r="471" spans="1:28" ht="12" customHeight="1">
      <c r="A471" s="330"/>
      <c r="B471" s="314"/>
      <c r="C471" s="285"/>
      <c r="D471" s="108"/>
      <c r="E471" s="285"/>
      <c r="F471" s="285"/>
      <c r="G471" s="35"/>
      <c r="H471" s="104"/>
      <c r="I471" s="35"/>
      <c r="J471" s="74"/>
      <c r="K471" s="74"/>
      <c r="L471" s="74"/>
      <c r="M471" s="74"/>
      <c r="N471" s="74"/>
      <c r="O471" s="74"/>
      <c r="P471" s="74"/>
      <c r="Q471" s="74"/>
      <c r="R471" s="74"/>
      <c r="S471" s="74"/>
      <c r="T471" s="74"/>
      <c r="U471" s="74"/>
      <c r="V471" s="74"/>
      <c r="W471" s="74"/>
      <c r="X471" s="74"/>
      <c r="Y471" s="74"/>
      <c r="Z471" s="74"/>
      <c r="AA471" s="74"/>
      <c r="AB471" s="74"/>
    </row>
    <row r="472" spans="1:28" ht="12" customHeight="1">
      <c r="A472" s="330"/>
      <c r="B472" s="314"/>
      <c r="C472" s="285"/>
      <c r="D472" s="108"/>
      <c r="E472" s="285"/>
      <c r="F472" s="285"/>
      <c r="G472" s="35"/>
      <c r="H472" s="104"/>
      <c r="I472" s="35"/>
      <c r="J472" s="74"/>
      <c r="K472" s="74"/>
      <c r="L472" s="74"/>
      <c r="M472" s="74"/>
      <c r="N472" s="74"/>
      <c r="O472" s="74"/>
      <c r="P472" s="74"/>
      <c r="Q472" s="74"/>
      <c r="R472" s="74"/>
      <c r="S472" s="74"/>
      <c r="T472" s="74"/>
      <c r="U472" s="74"/>
      <c r="V472" s="74"/>
      <c r="W472" s="74"/>
      <c r="X472" s="74"/>
      <c r="Y472" s="74"/>
      <c r="Z472" s="74"/>
      <c r="AA472" s="74"/>
      <c r="AB472" s="74"/>
    </row>
    <row r="473" spans="1:28" ht="12" customHeight="1">
      <c r="A473" s="330"/>
      <c r="B473" s="314"/>
      <c r="C473" s="285"/>
      <c r="D473" s="108"/>
      <c r="E473" s="285"/>
      <c r="F473" s="285"/>
      <c r="G473" s="35"/>
      <c r="H473" s="104"/>
      <c r="I473" s="35"/>
      <c r="J473" s="74"/>
      <c r="K473" s="74"/>
      <c r="L473" s="74"/>
      <c r="M473" s="74"/>
      <c r="N473" s="74"/>
      <c r="O473" s="74"/>
      <c r="P473" s="74"/>
      <c r="Q473" s="74"/>
      <c r="R473" s="74"/>
      <c r="S473" s="74"/>
      <c r="T473" s="74"/>
      <c r="U473" s="74"/>
      <c r="V473" s="74"/>
      <c r="W473" s="74"/>
      <c r="X473" s="74"/>
      <c r="Y473" s="74"/>
      <c r="Z473" s="74"/>
      <c r="AA473" s="74"/>
      <c r="AB473" s="74"/>
    </row>
    <row r="474" spans="1:28" ht="12" customHeight="1">
      <c r="A474" s="330"/>
      <c r="B474" s="314"/>
      <c r="C474" s="285"/>
      <c r="D474" s="108"/>
      <c r="E474" s="285"/>
      <c r="F474" s="285"/>
      <c r="G474" s="35"/>
      <c r="H474" s="104"/>
      <c r="I474" s="35"/>
      <c r="J474" s="74"/>
      <c r="K474" s="74"/>
      <c r="L474" s="74"/>
      <c r="M474" s="74"/>
      <c r="N474" s="74"/>
      <c r="O474" s="74"/>
      <c r="P474" s="74"/>
      <c r="Q474" s="74"/>
      <c r="R474" s="74"/>
      <c r="S474" s="74"/>
      <c r="T474" s="74"/>
      <c r="U474" s="74"/>
      <c r="V474" s="74"/>
      <c r="W474" s="74"/>
      <c r="X474" s="74"/>
      <c r="Y474" s="74"/>
      <c r="Z474" s="74"/>
      <c r="AA474" s="74"/>
      <c r="AB474" s="74"/>
    </row>
    <row r="475" spans="1:28" ht="12" customHeight="1">
      <c r="A475" s="330"/>
      <c r="B475" s="314"/>
      <c r="C475" s="285"/>
      <c r="D475" s="108"/>
      <c r="E475" s="285"/>
      <c r="F475" s="285"/>
      <c r="G475" s="35"/>
      <c r="H475" s="104"/>
      <c r="I475" s="35"/>
      <c r="J475" s="74"/>
      <c r="K475" s="74"/>
      <c r="L475" s="74"/>
      <c r="M475" s="74"/>
      <c r="N475" s="74"/>
      <c r="O475" s="74"/>
      <c r="P475" s="74"/>
      <c r="Q475" s="74"/>
      <c r="R475" s="74"/>
      <c r="S475" s="74"/>
      <c r="T475" s="74"/>
      <c r="U475" s="74"/>
      <c r="V475" s="74"/>
      <c r="W475" s="74"/>
      <c r="X475" s="74"/>
      <c r="Y475" s="74"/>
      <c r="Z475" s="74"/>
      <c r="AA475" s="74"/>
      <c r="AB475" s="74"/>
    </row>
    <row r="476" spans="1:28" ht="12" customHeight="1">
      <c r="A476" s="330"/>
      <c r="B476" s="314"/>
      <c r="C476" s="285"/>
      <c r="D476" s="108"/>
      <c r="E476" s="285"/>
      <c r="F476" s="285"/>
      <c r="G476" s="35"/>
      <c r="H476" s="104"/>
      <c r="I476" s="35"/>
      <c r="J476" s="74"/>
      <c r="K476" s="74"/>
      <c r="L476" s="74"/>
      <c r="M476" s="74"/>
      <c r="N476" s="74"/>
      <c r="O476" s="74"/>
      <c r="P476" s="74"/>
      <c r="Q476" s="74"/>
      <c r="R476" s="74"/>
      <c r="S476" s="74"/>
      <c r="T476" s="74"/>
      <c r="U476" s="74"/>
      <c r="V476" s="74"/>
      <c r="W476" s="74"/>
      <c r="X476" s="74"/>
      <c r="Y476" s="74"/>
      <c r="Z476" s="74"/>
      <c r="AA476" s="74"/>
      <c r="AB476" s="74"/>
    </row>
    <row r="477" spans="1:28" ht="12" customHeight="1">
      <c r="A477" s="330"/>
      <c r="B477" s="314"/>
      <c r="C477" s="285"/>
      <c r="D477" s="108"/>
      <c r="E477" s="285"/>
      <c r="F477" s="285"/>
      <c r="G477" s="35"/>
      <c r="H477" s="104"/>
      <c r="I477" s="35"/>
      <c r="J477" s="74"/>
      <c r="K477" s="74"/>
      <c r="L477" s="74"/>
      <c r="M477" s="74"/>
      <c r="N477" s="74"/>
      <c r="O477" s="74"/>
      <c r="P477" s="74"/>
      <c r="Q477" s="74"/>
      <c r="R477" s="74"/>
      <c r="S477" s="74"/>
      <c r="T477" s="74"/>
      <c r="U477" s="74"/>
      <c r="V477" s="74"/>
      <c r="W477" s="74"/>
      <c r="X477" s="74"/>
      <c r="Y477" s="74"/>
      <c r="Z477" s="74"/>
      <c r="AA477" s="74"/>
      <c r="AB477" s="74"/>
    </row>
    <row r="478" spans="1:28" ht="12" customHeight="1">
      <c r="A478" s="330"/>
      <c r="B478" s="314"/>
      <c r="C478" s="285"/>
      <c r="D478" s="108"/>
      <c r="E478" s="285"/>
      <c r="F478" s="285"/>
      <c r="G478" s="35"/>
      <c r="H478" s="104"/>
      <c r="I478" s="35"/>
      <c r="J478" s="74"/>
      <c r="K478" s="74"/>
      <c r="L478" s="74"/>
      <c r="M478" s="74"/>
      <c r="N478" s="74"/>
      <c r="O478" s="74"/>
      <c r="P478" s="74"/>
      <c r="Q478" s="74"/>
      <c r="R478" s="74"/>
      <c r="S478" s="74"/>
      <c r="T478" s="74"/>
      <c r="U478" s="74"/>
      <c r="V478" s="74"/>
      <c r="W478" s="74"/>
      <c r="X478" s="74"/>
      <c r="Y478" s="74"/>
      <c r="Z478" s="74"/>
      <c r="AA478" s="74"/>
      <c r="AB478" s="74"/>
    </row>
    <row r="479" spans="1:28" ht="12" customHeight="1">
      <c r="A479" s="330"/>
      <c r="B479" s="314"/>
      <c r="C479" s="285"/>
      <c r="D479" s="108"/>
      <c r="E479" s="285"/>
      <c r="F479" s="285"/>
      <c r="G479" s="35"/>
      <c r="H479" s="104"/>
      <c r="I479" s="35"/>
      <c r="J479" s="74"/>
      <c r="K479" s="74"/>
      <c r="L479" s="74"/>
      <c r="M479" s="74"/>
      <c r="N479" s="74"/>
      <c r="O479" s="74"/>
      <c r="P479" s="74"/>
      <c r="Q479" s="74"/>
      <c r="R479" s="74"/>
      <c r="S479" s="74"/>
      <c r="T479" s="74"/>
      <c r="U479" s="74"/>
      <c r="V479" s="74"/>
      <c r="W479" s="74"/>
      <c r="X479" s="74"/>
      <c r="Y479" s="74"/>
      <c r="Z479" s="74"/>
      <c r="AA479" s="74"/>
      <c r="AB479" s="74"/>
    </row>
    <row r="480" spans="1:28" ht="12" customHeight="1">
      <c r="A480" s="330"/>
      <c r="B480" s="314"/>
      <c r="C480" s="285"/>
      <c r="D480" s="108"/>
      <c r="E480" s="285"/>
      <c r="F480" s="285"/>
      <c r="G480" s="35"/>
      <c r="H480" s="104"/>
      <c r="I480" s="35"/>
      <c r="J480" s="74"/>
      <c r="K480" s="74"/>
      <c r="L480" s="74"/>
      <c r="M480" s="74"/>
      <c r="N480" s="74"/>
      <c r="O480" s="74"/>
      <c r="P480" s="74"/>
      <c r="Q480" s="74"/>
      <c r="R480" s="74"/>
      <c r="S480" s="74"/>
      <c r="T480" s="74"/>
      <c r="U480" s="74"/>
      <c r="V480" s="74"/>
      <c r="W480" s="74"/>
      <c r="X480" s="74"/>
      <c r="Y480" s="74"/>
      <c r="Z480" s="74"/>
      <c r="AA480" s="74"/>
      <c r="AB480" s="74"/>
    </row>
    <row r="481" spans="1:28" ht="12" customHeight="1">
      <c r="A481" s="330"/>
      <c r="B481" s="314"/>
      <c r="C481" s="285"/>
      <c r="D481" s="108"/>
      <c r="E481" s="285"/>
      <c r="F481" s="285"/>
      <c r="G481" s="35"/>
      <c r="H481" s="104"/>
      <c r="I481" s="35"/>
      <c r="J481" s="74"/>
      <c r="K481" s="74"/>
      <c r="L481" s="74"/>
      <c r="M481" s="74"/>
      <c r="N481" s="74"/>
      <c r="O481" s="74"/>
      <c r="P481" s="74"/>
      <c r="Q481" s="74"/>
      <c r="R481" s="74"/>
      <c r="S481" s="74"/>
      <c r="T481" s="74"/>
      <c r="U481" s="74"/>
      <c r="V481" s="74"/>
      <c r="W481" s="74"/>
      <c r="X481" s="74"/>
      <c r="Y481" s="74"/>
      <c r="Z481" s="74"/>
      <c r="AA481" s="74"/>
      <c r="AB481" s="74"/>
    </row>
    <row r="482" spans="1:28" ht="12" customHeight="1">
      <c r="A482" s="330"/>
      <c r="B482" s="314"/>
      <c r="C482" s="285"/>
      <c r="D482" s="108"/>
      <c r="E482" s="285"/>
      <c r="F482" s="285"/>
      <c r="G482" s="35"/>
      <c r="H482" s="104"/>
      <c r="I482" s="35"/>
      <c r="J482" s="74"/>
      <c r="K482" s="74"/>
      <c r="L482" s="74"/>
      <c r="M482" s="74"/>
      <c r="N482" s="74"/>
      <c r="O482" s="74"/>
      <c r="P482" s="74"/>
      <c r="Q482" s="74"/>
      <c r="R482" s="74"/>
      <c r="S482" s="74"/>
      <c r="T482" s="74"/>
      <c r="U482" s="74"/>
      <c r="V482" s="74"/>
      <c r="W482" s="74"/>
      <c r="X482" s="74"/>
      <c r="Y482" s="74"/>
      <c r="Z482" s="74"/>
      <c r="AA482" s="74"/>
      <c r="AB482" s="74"/>
    </row>
    <row r="483" spans="1:28" ht="12" customHeight="1">
      <c r="A483" s="330"/>
      <c r="B483" s="314"/>
      <c r="C483" s="285"/>
      <c r="D483" s="108"/>
      <c r="E483" s="285"/>
      <c r="F483" s="285"/>
      <c r="G483" s="35"/>
      <c r="H483" s="104"/>
      <c r="I483" s="35"/>
      <c r="J483" s="74"/>
      <c r="K483" s="74"/>
      <c r="L483" s="74"/>
      <c r="M483" s="74"/>
      <c r="N483" s="74"/>
      <c r="O483" s="74"/>
      <c r="P483" s="74"/>
      <c r="Q483" s="74"/>
      <c r="R483" s="74"/>
      <c r="S483" s="74"/>
      <c r="T483" s="74"/>
      <c r="U483" s="74"/>
      <c r="V483" s="74"/>
      <c r="W483" s="74"/>
      <c r="X483" s="74"/>
      <c r="Y483" s="74"/>
      <c r="Z483" s="74"/>
      <c r="AA483" s="74"/>
      <c r="AB483" s="74"/>
    </row>
    <row r="484" spans="1:28" ht="12" customHeight="1">
      <c r="A484" s="330"/>
      <c r="B484" s="314"/>
      <c r="C484" s="285"/>
      <c r="D484" s="108"/>
      <c r="E484" s="285"/>
      <c r="F484" s="285"/>
      <c r="G484" s="35"/>
      <c r="H484" s="104"/>
      <c r="I484" s="35"/>
      <c r="J484" s="74"/>
      <c r="K484" s="74"/>
      <c r="L484" s="74"/>
      <c r="M484" s="74"/>
      <c r="N484" s="74"/>
      <c r="O484" s="74"/>
      <c r="P484" s="74"/>
      <c r="Q484" s="74"/>
      <c r="R484" s="74"/>
      <c r="S484" s="74"/>
      <c r="T484" s="74"/>
      <c r="U484" s="74"/>
      <c r="V484" s="74"/>
      <c r="W484" s="74"/>
      <c r="X484" s="74"/>
      <c r="Y484" s="74"/>
      <c r="Z484" s="74"/>
      <c r="AA484" s="74"/>
      <c r="AB484" s="74"/>
    </row>
    <row r="485" spans="1:28" ht="12" customHeight="1">
      <c r="A485" s="330"/>
      <c r="B485" s="314"/>
      <c r="C485" s="285"/>
      <c r="D485" s="108"/>
      <c r="E485" s="285"/>
      <c r="F485" s="285"/>
      <c r="G485" s="35"/>
      <c r="H485" s="104"/>
      <c r="I485" s="35"/>
      <c r="J485" s="74"/>
      <c r="K485" s="74"/>
      <c r="L485" s="74"/>
      <c r="M485" s="74"/>
      <c r="N485" s="74"/>
      <c r="O485" s="74"/>
      <c r="P485" s="74"/>
      <c r="Q485" s="74"/>
      <c r="R485" s="74"/>
      <c r="S485" s="74"/>
      <c r="T485" s="74"/>
      <c r="U485" s="74"/>
      <c r="V485" s="74"/>
      <c r="W485" s="74"/>
      <c r="X485" s="74"/>
      <c r="Y485" s="74"/>
      <c r="Z485" s="74"/>
      <c r="AA485" s="74"/>
      <c r="AB485" s="74"/>
    </row>
    <row r="486" spans="1:28" ht="12" customHeight="1">
      <c r="A486" s="330"/>
      <c r="B486" s="314"/>
      <c r="C486" s="285"/>
      <c r="D486" s="108"/>
      <c r="E486" s="285"/>
      <c r="F486" s="285"/>
      <c r="G486" s="35"/>
      <c r="H486" s="104"/>
      <c r="I486" s="35"/>
      <c r="J486" s="74"/>
      <c r="K486" s="74"/>
      <c r="L486" s="74"/>
      <c r="M486" s="74"/>
      <c r="N486" s="74"/>
      <c r="O486" s="74"/>
      <c r="P486" s="74"/>
      <c r="Q486" s="74"/>
      <c r="R486" s="74"/>
      <c r="S486" s="74"/>
      <c r="T486" s="74"/>
      <c r="U486" s="74"/>
      <c r="V486" s="74"/>
      <c r="W486" s="74"/>
      <c r="X486" s="74"/>
      <c r="Y486" s="74"/>
      <c r="Z486" s="74"/>
      <c r="AA486" s="74"/>
      <c r="AB486" s="74"/>
    </row>
    <row r="487" spans="1:28" ht="12" customHeight="1">
      <c r="A487" s="330"/>
      <c r="B487" s="314"/>
      <c r="C487" s="285"/>
      <c r="D487" s="108"/>
      <c r="E487" s="285"/>
      <c r="F487" s="285"/>
      <c r="G487" s="35"/>
      <c r="H487" s="104"/>
      <c r="I487" s="35"/>
      <c r="J487" s="74"/>
      <c r="K487" s="74"/>
      <c r="L487" s="74"/>
      <c r="M487" s="74"/>
      <c r="N487" s="74"/>
      <c r="O487" s="74"/>
      <c r="P487" s="74"/>
      <c r="Q487" s="74"/>
      <c r="R487" s="74"/>
      <c r="S487" s="74"/>
      <c r="T487" s="74"/>
      <c r="U487" s="74"/>
      <c r="V487" s="74"/>
      <c r="W487" s="74"/>
      <c r="X487" s="74"/>
      <c r="Y487" s="74"/>
      <c r="Z487" s="74"/>
      <c r="AA487" s="74"/>
      <c r="AB487" s="74"/>
    </row>
    <row r="488" spans="1:28" ht="12" customHeight="1">
      <c r="A488" s="330"/>
      <c r="B488" s="314"/>
      <c r="C488" s="285"/>
      <c r="D488" s="108"/>
      <c r="E488" s="285"/>
      <c r="F488" s="285"/>
      <c r="G488" s="35"/>
      <c r="H488" s="104"/>
      <c r="I488" s="35"/>
      <c r="J488" s="74"/>
      <c r="K488" s="74"/>
      <c r="L488" s="74"/>
      <c r="M488" s="74"/>
      <c r="N488" s="74"/>
      <c r="O488" s="74"/>
      <c r="P488" s="74"/>
      <c r="Q488" s="74"/>
      <c r="R488" s="74"/>
      <c r="S488" s="74"/>
      <c r="T488" s="74"/>
      <c r="U488" s="74"/>
      <c r="V488" s="74"/>
      <c r="W488" s="74"/>
      <c r="X488" s="74"/>
      <c r="Y488" s="74"/>
      <c r="Z488" s="74"/>
      <c r="AA488" s="74"/>
      <c r="AB488" s="74"/>
    </row>
    <row r="489" spans="1:28" ht="12" customHeight="1">
      <c r="A489" s="330"/>
      <c r="B489" s="314"/>
      <c r="C489" s="285"/>
      <c r="D489" s="108"/>
      <c r="E489" s="285"/>
      <c r="F489" s="285"/>
      <c r="G489" s="35"/>
      <c r="H489" s="104"/>
      <c r="I489" s="35"/>
      <c r="J489" s="74"/>
      <c r="K489" s="74"/>
      <c r="L489" s="74"/>
      <c r="M489" s="74"/>
      <c r="N489" s="74"/>
      <c r="O489" s="74"/>
      <c r="P489" s="74"/>
      <c r="Q489" s="74"/>
      <c r="R489" s="74"/>
      <c r="S489" s="74"/>
      <c r="T489" s="74"/>
      <c r="U489" s="74"/>
      <c r="V489" s="74"/>
      <c r="W489" s="74"/>
      <c r="X489" s="74"/>
      <c r="Y489" s="74"/>
      <c r="Z489" s="74"/>
      <c r="AA489" s="74"/>
      <c r="AB489" s="74"/>
    </row>
    <row r="490" spans="1:28" ht="12" customHeight="1">
      <c r="A490" s="330"/>
      <c r="B490" s="314"/>
      <c r="C490" s="285"/>
      <c r="D490" s="108"/>
      <c r="E490" s="285"/>
      <c r="F490" s="285"/>
      <c r="G490" s="35"/>
      <c r="H490" s="104"/>
      <c r="I490" s="35"/>
      <c r="J490" s="74"/>
      <c r="K490" s="74"/>
      <c r="L490" s="74"/>
      <c r="M490" s="74"/>
      <c r="N490" s="74"/>
      <c r="O490" s="74"/>
      <c r="P490" s="74"/>
      <c r="Q490" s="74"/>
      <c r="R490" s="74"/>
      <c r="S490" s="74"/>
      <c r="T490" s="74"/>
      <c r="U490" s="74"/>
      <c r="V490" s="74"/>
      <c r="W490" s="74"/>
      <c r="X490" s="74"/>
      <c r="Y490" s="74"/>
      <c r="Z490" s="74"/>
      <c r="AA490" s="74"/>
      <c r="AB490" s="74"/>
    </row>
    <row r="491" spans="1:28" ht="12" customHeight="1">
      <c r="A491" s="330"/>
      <c r="B491" s="314"/>
      <c r="C491" s="285"/>
      <c r="D491" s="108"/>
      <c r="E491" s="285"/>
      <c r="F491" s="285"/>
      <c r="G491" s="35"/>
      <c r="H491" s="104"/>
      <c r="I491" s="35"/>
      <c r="J491" s="74"/>
      <c r="K491" s="74"/>
      <c r="L491" s="74"/>
      <c r="M491" s="74"/>
      <c r="N491" s="74"/>
      <c r="O491" s="74"/>
      <c r="P491" s="74"/>
      <c r="Q491" s="74"/>
      <c r="R491" s="74"/>
      <c r="S491" s="74"/>
      <c r="T491" s="74"/>
      <c r="U491" s="74"/>
      <c r="V491" s="74"/>
      <c r="W491" s="74"/>
      <c r="X491" s="74"/>
      <c r="Y491" s="74"/>
      <c r="Z491" s="74"/>
      <c r="AA491" s="74"/>
      <c r="AB491" s="74"/>
    </row>
    <row r="492" spans="1:28" ht="12" customHeight="1">
      <c r="A492" s="330"/>
      <c r="B492" s="314"/>
      <c r="C492" s="285"/>
      <c r="D492" s="108"/>
      <c r="E492" s="285"/>
      <c r="F492" s="285"/>
      <c r="G492" s="35"/>
      <c r="H492" s="104"/>
      <c r="I492" s="35"/>
      <c r="J492" s="74"/>
      <c r="K492" s="74"/>
      <c r="L492" s="74"/>
      <c r="M492" s="74"/>
      <c r="N492" s="74"/>
      <c r="O492" s="74"/>
      <c r="P492" s="74"/>
      <c r="Q492" s="74"/>
      <c r="R492" s="74"/>
      <c r="S492" s="74"/>
      <c r="T492" s="74"/>
      <c r="U492" s="74"/>
      <c r="V492" s="74"/>
      <c r="W492" s="74"/>
      <c r="X492" s="74"/>
      <c r="Y492" s="74"/>
      <c r="Z492" s="74"/>
      <c r="AA492" s="74"/>
      <c r="AB492" s="74"/>
    </row>
    <row r="493" spans="1:28" ht="12" customHeight="1">
      <c r="A493" s="330"/>
      <c r="B493" s="314"/>
      <c r="C493" s="285"/>
      <c r="D493" s="108"/>
      <c r="E493" s="285"/>
      <c r="F493" s="285"/>
      <c r="G493" s="35"/>
      <c r="H493" s="104"/>
      <c r="I493" s="35"/>
      <c r="J493" s="74"/>
      <c r="K493" s="74"/>
      <c r="L493" s="74"/>
      <c r="M493" s="74"/>
      <c r="N493" s="74"/>
      <c r="O493" s="74"/>
      <c r="P493" s="74"/>
      <c r="Q493" s="74"/>
      <c r="R493" s="74"/>
      <c r="S493" s="74"/>
      <c r="T493" s="74"/>
      <c r="U493" s="74"/>
      <c r="V493" s="74"/>
      <c r="W493" s="74"/>
      <c r="X493" s="74"/>
      <c r="Y493" s="74"/>
      <c r="Z493" s="74"/>
      <c r="AA493" s="74"/>
      <c r="AB493" s="74"/>
    </row>
    <row r="494" spans="1:28" ht="12" customHeight="1">
      <c r="A494" s="330"/>
      <c r="B494" s="314"/>
      <c r="C494" s="285"/>
      <c r="D494" s="108"/>
      <c r="E494" s="285"/>
      <c r="F494" s="285"/>
      <c r="G494" s="35"/>
      <c r="H494" s="104"/>
      <c r="I494" s="35"/>
      <c r="J494" s="74"/>
      <c r="K494" s="74"/>
      <c r="L494" s="74"/>
      <c r="M494" s="74"/>
      <c r="N494" s="74"/>
      <c r="O494" s="74"/>
      <c r="P494" s="74"/>
      <c r="Q494" s="74"/>
      <c r="R494" s="74"/>
      <c r="S494" s="74"/>
      <c r="T494" s="74"/>
      <c r="U494" s="74"/>
      <c r="V494" s="74"/>
      <c r="W494" s="74"/>
      <c r="X494" s="74"/>
      <c r="Y494" s="74"/>
      <c r="Z494" s="74"/>
      <c r="AA494" s="74"/>
      <c r="AB494" s="74"/>
    </row>
    <row r="495" spans="1:28" ht="12" customHeight="1">
      <c r="A495" s="330"/>
      <c r="B495" s="314"/>
      <c r="C495" s="285"/>
      <c r="D495" s="108"/>
      <c r="E495" s="285"/>
      <c r="F495" s="285"/>
      <c r="G495" s="35"/>
      <c r="H495" s="104"/>
      <c r="I495" s="35"/>
      <c r="J495" s="74"/>
      <c r="K495" s="74"/>
      <c r="L495" s="74"/>
      <c r="M495" s="74"/>
      <c r="N495" s="74"/>
      <c r="O495" s="74"/>
      <c r="P495" s="74"/>
      <c r="Q495" s="74"/>
      <c r="R495" s="74"/>
      <c r="S495" s="74"/>
      <c r="T495" s="74"/>
      <c r="U495" s="74"/>
      <c r="V495" s="74"/>
      <c r="W495" s="74"/>
      <c r="X495" s="74"/>
      <c r="Y495" s="74"/>
      <c r="Z495" s="74"/>
      <c r="AA495" s="74"/>
      <c r="AB495" s="74"/>
    </row>
    <row r="496" spans="1:28" ht="12" customHeight="1">
      <c r="A496" s="330"/>
      <c r="B496" s="314"/>
      <c r="C496" s="285"/>
      <c r="D496" s="108"/>
      <c r="E496" s="285"/>
      <c r="F496" s="285"/>
      <c r="G496" s="35"/>
      <c r="H496" s="104"/>
      <c r="I496" s="35"/>
      <c r="J496" s="74"/>
      <c r="K496" s="74"/>
      <c r="L496" s="74"/>
      <c r="M496" s="74"/>
      <c r="N496" s="74"/>
      <c r="O496" s="74"/>
      <c r="P496" s="74"/>
      <c r="Q496" s="74"/>
      <c r="R496" s="74"/>
      <c r="S496" s="74"/>
      <c r="T496" s="74"/>
      <c r="U496" s="74"/>
      <c r="V496" s="74"/>
      <c r="W496" s="74"/>
      <c r="X496" s="74"/>
      <c r="Y496" s="74"/>
      <c r="Z496" s="74"/>
      <c r="AA496" s="74"/>
      <c r="AB496" s="74"/>
    </row>
    <row r="497" spans="1:28" ht="12" customHeight="1">
      <c r="A497" s="330"/>
      <c r="B497" s="314"/>
      <c r="C497" s="285"/>
      <c r="D497" s="108"/>
      <c r="E497" s="285"/>
      <c r="F497" s="285"/>
      <c r="G497" s="35"/>
      <c r="H497" s="104"/>
      <c r="I497" s="35"/>
      <c r="J497" s="74"/>
      <c r="K497" s="74"/>
      <c r="L497" s="74"/>
      <c r="M497" s="74"/>
      <c r="N497" s="74"/>
      <c r="O497" s="74"/>
      <c r="P497" s="74"/>
      <c r="Q497" s="74"/>
      <c r="R497" s="74"/>
      <c r="S497" s="74"/>
      <c r="T497" s="74"/>
      <c r="U497" s="74"/>
      <c r="V497" s="74"/>
      <c r="W497" s="74"/>
      <c r="X497" s="74"/>
      <c r="Y497" s="74"/>
      <c r="Z497" s="74"/>
      <c r="AA497" s="74"/>
      <c r="AB497" s="74"/>
    </row>
    <row r="498" spans="1:28" ht="12" customHeight="1">
      <c r="A498" s="330"/>
      <c r="B498" s="314"/>
      <c r="C498" s="285"/>
      <c r="D498" s="108"/>
      <c r="E498" s="285"/>
      <c r="F498" s="285"/>
      <c r="G498" s="35"/>
      <c r="H498" s="104"/>
      <c r="I498" s="35"/>
      <c r="J498" s="74"/>
      <c r="K498" s="74"/>
      <c r="L498" s="74"/>
      <c r="M498" s="74"/>
      <c r="N498" s="74"/>
      <c r="O498" s="74"/>
      <c r="P498" s="74"/>
      <c r="Q498" s="74"/>
      <c r="R498" s="74"/>
      <c r="S498" s="74"/>
      <c r="T498" s="74"/>
      <c r="U498" s="74"/>
      <c r="V498" s="74"/>
      <c r="W498" s="74"/>
      <c r="X498" s="74"/>
      <c r="Y498" s="74"/>
      <c r="Z498" s="74"/>
      <c r="AA498" s="74"/>
      <c r="AB498" s="74"/>
    </row>
    <row r="499" spans="1:28" ht="12" customHeight="1">
      <c r="A499" s="330"/>
      <c r="B499" s="314"/>
      <c r="C499" s="285"/>
      <c r="D499" s="108"/>
      <c r="E499" s="285"/>
      <c r="F499" s="285"/>
      <c r="G499" s="35"/>
      <c r="H499" s="104"/>
      <c r="I499" s="35"/>
      <c r="J499" s="74"/>
      <c r="K499" s="74"/>
      <c r="L499" s="74"/>
      <c r="M499" s="74"/>
      <c r="N499" s="74"/>
      <c r="O499" s="74"/>
      <c r="P499" s="74"/>
      <c r="Q499" s="74"/>
      <c r="R499" s="74"/>
      <c r="S499" s="74"/>
      <c r="T499" s="74"/>
      <c r="U499" s="74"/>
      <c r="V499" s="74"/>
      <c r="W499" s="74"/>
      <c r="X499" s="74"/>
      <c r="Y499" s="74"/>
      <c r="Z499" s="74"/>
      <c r="AA499" s="74"/>
      <c r="AB499" s="74"/>
    </row>
    <row r="500" spans="1:28" ht="12" customHeight="1">
      <c r="A500" s="330"/>
      <c r="B500" s="314"/>
      <c r="C500" s="285"/>
      <c r="D500" s="108"/>
      <c r="E500" s="285"/>
      <c r="F500" s="285"/>
      <c r="G500" s="35"/>
      <c r="H500" s="104"/>
      <c r="I500" s="35"/>
      <c r="J500" s="74"/>
      <c r="K500" s="74"/>
      <c r="L500" s="74"/>
      <c r="M500" s="74"/>
      <c r="N500" s="74"/>
      <c r="O500" s="74"/>
      <c r="P500" s="74"/>
      <c r="Q500" s="74"/>
      <c r="R500" s="74"/>
      <c r="S500" s="74"/>
      <c r="T500" s="74"/>
      <c r="U500" s="74"/>
      <c r="V500" s="74"/>
      <c r="W500" s="74"/>
      <c r="X500" s="74"/>
      <c r="Y500" s="74"/>
      <c r="Z500" s="74"/>
      <c r="AA500" s="74"/>
      <c r="AB500" s="74"/>
    </row>
    <row r="501" spans="1:28" ht="12" customHeight="1">
      <c r="A501" s="330"/>
      <c r="B501" s="314"/>
      <c r="C501" s="285"/>
      <c r="D501" s="108"/>
      <c r="E501" s="285"/>
      <c r="F501" s="285"/>
      <c r="G501" s="35"/>
      <c r="H501" s="104"/>
      <c r="I501" s="35"/>
      <c r="J501" s="74"/>
      <c r="K501" s="74"/>
      <c r="L501" s="74"/>
      <c r="M501" s="74"/>
      <c r="N501" s="74"/>
      <c r="O501" s="74"/>
      <c r="P501" s="74"/>
      <c r="Q501" s="74"/>
      <c r="R501" s="74"/>
      <c r="S501" s="74"/>
      <c r="T501" s="74"/>
      <c r="U501" s="74"/>
      <c r="V501" s="74"/>
      <c r="W501" s="74"/>
      <c r="X501" s="74"/>
      <c r="Y501" s="74"/>
      <c r="Z501" s="74"/>
      <c r="AA501" s="74"/>
      <c r="AB501" s="74"/>
    </row>
    <row r="502" spans="1:28" ht="12" customHeight="1">
      <c r="A502" s="330"/>
      <c r="B502" s="314"/>
      <c r="C502" s="285"/>
      <c r="D502" s="108"/>
      <c r="E502" s="285"/>
      <c r="F502" s="285"/>
      <c r="G502" s="35"/>
      <c r="H502" s="104"/>
      <c r="I502" s="35"/>
      <c r="J502" s="74"/>
      <c r="K502" s="74"/>
      <c r="L502" s="74"/>
      <c r="M502" s="74"/>
      <c r="N502" s="74"/>
      <c r="O502" s="74"/>
      <c r="P502" s="74"/>
      <c r="Q502" s="74"/>
      <c r="R502" s="74"/>
      <c r="S502" s="74"/>
      <c r="T502" s="74"/>
      <c r="U502" s="74"/>
      <c r="V502" s="74"/>
      <c r="W502" s="74"/>
      <c r="X502" s="74"/>
      <c r="Y502" s="74"/>
      <c r="Z502" s="74"/>
      <c r="AA502" s="74"/>
      <c r="AB502" s="74"/>
    </row>
    <row r="503" spans="1:28" ht="12" customHeight="1">
      <c r="A503" s="330"/>
      <c r="B503" s="314"/>
      <c r="C503" s="285"/>
      <c r="D503" s="108"/>
      <c r="E503" s="285"/>
      <c r="F503" s="285"/>
      <c r="G503" s="35"/>
      <c r="H503" s="104"/>
      <c r="I503" s="35"/>
      <c r="J503" s="74"/>
      <c r="K503" s="74"/>
      <c r="L503" s="74"/>
      <c r="M503" s="74"/>
      <c r="N503" s="74"/>
      <c r="O503" s="74"/>
      <c r="P503" s="74"/>
      <c r="Q503" s="74"/>
      <c r="R503" s="74"/>
      <c r="S503" s="74"/>
      <c r="T503" s="74"/>
      <c r="U503" s="74"/>
      <c r="V503" s="74"/>
      <c r="W503" s="74"/>
      <c r="X503" s="74"/>
      <c r="Y503" s="74"/>
      <c r="Z503" s="74"/>
      <c r="AA503" s="74"/>
      <c r="AB503" s="74"/>
    </row>
    <row r="504" spans="1:28" ht="12" customHeight="1">
      <c r="A504" s="330"/>
      <c r="B504" s="314"/>
      <c r="C504" s="285"/>
      <c r="D504" s="108"/>
      <c r="E504" s="285"/>
      <c r="F504" s="285"/>
      <c r="G504" s="35"/>
      <c r="H504" s="104"/>
      <c r="I504" s="35"/>
      <c r="J504" s="74"/>
      <c r="K504" s="74"/>
      <c r="L504" s="74"/>
      <c r="M504" s="74"/>
      <c r="N504" s="74"/>
      <c r="O504" s="74"/>
      <c r="P504" s="74"/>
      <c r="Q504" s="74"/>
      <c r="R504" s="74"/>
      <c r="S504" s="74"/>
      <c r="T504" s="74"/>
      <c r="U504" s="74"/>
      <c r="V504" s="74"/>
      <c r="W504" s="74"/>
      <c r="X504" s="74"/>
      <c r="Y504" s="74"/>
      <c r="Z504" s="74"/>
      <c r="AA504" s="74"/>
      <c r="AB504" s="74"/>
    </row>
    <row r="505" spans="1:28" ht="12" customHeight="1">
      <c r="A505" s="330"/>
      <c r="B505" s="314"/>
      <c r="C505" s="285"/>
      <c r="D505" s="108"/>
      <c r="E505" s="285"/>
      <c r="F505" s="285"/>
      <c r="G505" s="35"/>
      <c r="H505" s="104"/>
      <c r="I505" s="35"/>
      <c r="J505" s="74"/>
      <c r="K505" s="74"/>
      <c r="L505" s="74"/>
      <c r="M505" s="74"/>
      <c r="N505" s="74"/>
      <c r="O505" s="74"/>
      <c r="P505" s="74"/>
      <c r="Q505" s="74"/>
      <c r="R505" s="74"/>
      <c r="S505" s="74"/>
      <c r="T505" s="74"/>
      <c r="U505" s="74"/>
      <c r="V505" s="74"/>
      <c r="W505" s="74"/>
      <c r="X505" s="74"/>
      <c r="Y505" s="74"/>
      <c r="Z505" s="74"/>
      <c r="AA505" s="74"/>
      <c r="AB505" s="74"/>
    </row>
    <row r="506" spans="1:28" ht="12" customHeight="1">
      <c r="A506" s="330"/>
      <c r="B506" s="314"/>
      <c r="C506" s="285"/>
      <c r="D506" s="108"/>
      <c r="E506" s="285"/>
      <c r="F506" s="285"/>
      <c r="G506" s="35"/>
      <c r="H506" s="104"/>
      <c r="I506" s="35"/>
      <c r="J506" s="74"/>
      <c r="K506" s="74"/>
      <c r="L506" s="74"/>
      <c r="M506" s="74"/>
      <c r="N506" s="74"/>
      <c r="O506" s="74"/>
      <c r="P506" s="74"/>
      <c r="Q506" s="74"/>
      <c r="R506" s="74"/>
      <c r="S506" s="74"/>
      <c r="T506" s="74"/>
      <c r="U506" s="74"/>
      <c r="V506" s="74"/>
      <c r="W506" s="74"/>
      <c r="X506" s="74"/>
      <c r="Y506" s="74"/>
      <c r="Z506" s="74"/>
      <c r="AA506" s="74"/>
      <c r="AB506" s="74"/>
    </row>
    <row r="507" spans="1:28" ht="12" customHeight="1">
      <c r="A507" s="330"/>
      <c r="B507" s="314"/>
      <c r="C507" s="285"/>
      <c r="D507" s="108"/>
      <c r="E507" s="285"/>
      <c r="F507" s="285"/>
      <c r="G507" s="35"/>
      <c r="H507" s="104"/>
      <c r="I507" s="35"/>
      <c r="J507" s="74"/>
      <c r="K507" s="74"/>
      <c r="L507" s="74"/>
      <c r="M507" s="74"/>
      <c r="N507" s="74"/>
      <c r="O507" s="74"/>
      <c r="P507" s="74"/>
      <c r="Q507" s="74"/>
      <c r="R507" s="74"/>
      <c r="S507" s="74"/>
      <c r="T507" s="74"/>
      <c r="U507" s="74"/>
      <c r="V507" s="74"/>
      <c r="W507" s="74"/>
      <c r="X507" s="74"/>
      <c r="Y507" s="74"/>
      <c r="Z507" s="74"/>
      <c r="AA507" s="74"/>
      <c r="AB507" s="74"/>
    </row>
    <row r="508" spans="1:28" ht="12" customHeight="1">
      <c r="A508" s="330"/>
      <c r="B508" s="314"/>
      <c r="C508" s="285"/>
      <c r="D508" s="108"/>
      <c r="E508" s="285"/>
      <c r="F508" s="285"/>
      <c r="G508" s="35"/>
      <c r="H508" s="104"/>
      <c r="I508" s="35"/>
      <c r="J508" s="74"/>
      <c r="K508" s="74"/>
      <c r="L508" s="74"/>
      <c r="M508" s="74"/>
      <c r="N508" s="74"/>
      <c r="O508" s="74"/>
      <c r="P508" s="74"/>
      <c r="Q508" s="74"/>
      <c r="R508" s="74"/>
      <c r="S508" s="74"/>
      <c r="T508" s="74"/>
      <c r="U508" s="74"/>
      <c r="V508" s="74"/>
      <c r="W508" s="74"/>
      <c r="X508" s="74"/>
      <c r="Y508" s="74"/>
      <c r="Z508" s="74"/>
      <c r="AA508" s="74"/>
      <c r="AB508" s="74"/>
    </row>
    <row r="509" spans="1:28" ht="12" customHeight="1">
      <c r="A509" s="330"/>
      <c r="B509" s="314"/>
      <c r="C509" s="285"/>
      <c r="D509" s="108"/>
      <c r="E509" s="285"/>
      <c r="F509" s="285"/>
      <c r="G509" s="35"/>
      <c r="H509" s="104"/>
      <c r="I509" s="35"/>
      <c r="J509" s="74"/>
      <c r="K509" s="74"/>
      <c r="L509" s="74"/>
      <c r="M509" s="74"/>
      <c r="N509" s="74"/>
      <c r="O509" s="74"/>
      <c r="P509" s="74"/>
      <c r="Q509" s="74"/>
      <c r="R509" s="74"/>
      <c r="S509" s="74"/>
      <c r="T509" s="74"/>
      <c r="U509" s="74"/>
      <c r="V509" s="74"/>
      <c r="W509" s="74"/>
      <c r="X509" s="74"/>
      <c r="Y509" s="74"/>
      <c r="Z509" s="74"/>
      <c r="AA509" s="74"/>
      <c r="AB509" s="74"/>
    </row>
    <row r="510" spans="1:28" ht="12" customHeight="1">
      <c r="A510" s="330"/>
      <c r="B510" s="314"/>
      <c r="C510" s="285"/>
      <c r="D510" s="108"/>
      <c r="E510" s="285"/>
      <c r="F510" s="285"/>
      <c r="G510" s="35"/>
      <c r="H510" s="104"/>
      <c r="I510" s="35"/>
      <c r="J510" s="74"/>
      <c r="K510" s="74"/>
      <c r="L510" s="74"/>
      <c r="M510" s="74"/>
      <c r="N510" s="74"/>
      <c r="O510" s="74"/>
      <c r="P510" s="74"/>
      <c r="Q510" s="74"/>
      <c r="R510" s="74"/>
      <c r="S510" s="74"/>
      <c r="T510" s="74"/>
      <c r="U510" s="74"/>
      <c r="V510" s="74"/>
      <c r="W510" s="74"/>
      <c r="X510" s="74"/>
      <c r="Y510" s="74"/>
      <c r="Z510" s="74"/>
      <c r="AA510" s="74"/>
      <c r="AB510" s="74"/>
    </row>
    <row r="511" spans="1:28" ht="12" customHeight="1">
      <c r="A511" s="330"/>
      <c r="B511" s="314"/>
      <c r="C511" s="285"/>
      <c r="D511" s="108"/>
      <c r="E511" s="285"/>
      <c r="F511" s="285"/>
      <c r="G511" s="35"/>
      <c r="H511" s="104"/>
      <c r="I511" s="35"/>
      <c r="J511" s="74"/>
      <c r="K511" s="74"/>
      <c r="L511" s="74"/>
      <c r="M511" s="74"/>
      <c r="N511" s="74"/>
      <c r="O511" s="74"/>
      <c r="P511" s="74"/>
      <c r="Q511" s="74"/>
      <c r="R511" s="74"/>
      <c r="S511" s="74"/>
      <c r="T511" s="74"/>
      <c r="U511" s="74"/>
      <c r="V511" s="74"/>
      <c r="W511" s="74"/>
      <c r="X511" s="74"/>
      <c r="Y511" s="74"/>
      <c r="Z511" s="74"/>
      <c r="AA511" s="74"/>
      <c r="AB511" s="74"/>
    </row>
    <row r="512" spans="1:28" ht="12" customHeight="1">
      <c r="A512" s="330"/>
      <c r="B512" s="314"/>
      <c r="C512" s="285"/>
      <c r="D512" s="108"/>
      <c r="E512" s="285"/>
      <c r="F512" s="285"/>
      <c r="G512" s="35"/>
      <c r="H512" s="104"/>
      <c r="I512" s="35"/>
      <c r="J512" s="74"/>
      <c r="K512" s="74"/>
      <c r="L512" s="74"/>
      <c r="M512" s="74"/>
      <c r="N512" s="74"/>
      <c r="O512" s="74"/>
      <c r="P512" s="74"/>
      <c r="Q512" s="74"/>
      <c r="R512" s="74"/>
      <c r="S512" s="74"/>
      <c r="T512" s="74"/>
      <c r="U512" s="74"/>
      <c r="V512" s="74"/>
      <c r="W512" s="74"/>
      <c r="X512" s="74"/>
      <c r="Y512" s="74"/>
      <c r="Z512" s="74"/>
      <c r="AA512" s="74"/>
      <c r="AB512" s="74"/>
    </row>
    <row r="513" spans="1:28" ht="12" customHeight="1">
      <c r="A513" s="330"/>
      <c r="B513" s="314"/>
      <c r="C513" s="285"/>
      <c r="D513" s="108"/>
      <c r="E513" s="285"/>
      <c r="F513" s="285"/>
      <c r="G513" s="35"/>
      <c r="H513" s="104"/>
      <c r="I513" s="35"/>
      <c r="J513" s="74"/>
      <c r="K513" s="74"/>
      <c r="L513" s="74"/>
      <c r="M513" s="74"/>
      <c r="N513" s="74"/>
      <c r="O513" s="74"/>
      <c r="P513" s="74"/>
      <c r="Q513" s="74"/>
      <c r="R513" s="74"/>
      <c r="S513" s="74"/>
      <c r="T513" s="74"/>
      <c r="U513" s="74"/>
      <c r="V513" s="74"/>
      <c r="W513" s="74"/>
      <c r="X513" s="74"/>
      <c r="Y513" s="74"/>
      <c r="Z513" s="74"/>
      <c r="AA513" s="74"/>
      <c r="AB513" s="74"/>
    </row>
    <row r="514" spans="1:28" ht="12" customHeight="1">
      <c r="A514" s="330"/>
      <c r="B514" s="314"/>
      <c r="C514" s="285"/>
      <c r="D514" s="108"/>
      <c r="E514" s="285"/>
      <c r="F514" s="285"/>
      <c r="G514" s="35"/>
      <c r="H514" s="104"/>
      <c r="I514" s="35"/>
      <c r="J514" s="74"/>
      <c r="K514" s="74"/>
      <c r="L514" s="74"/>
      <c r="M514" s="74"/>
      <c r="N514" s="74"/>
      <c r="O514" s="74"/>
      <c r="P514" s="74"/>
      <c r="Q514" s="74"/>
      <c r="R514" s="74"/>
      <c r="S514" s="74"/>
      <c r="T514" s="74"/>
      <c r="U514" s="74"/>
      <c r="V514" s="74"/>
      <c r="W514" s="74"/>
      <c r="X514" s="74"/>
      <c r="Y514" s="74"/>
      <c r="Z514" s="74"/>
      <c r="AA514" s="74"/>
      <c r="AB514" s="74"/>
    </row>
    <row r="515" spans="1:28" ht="12" customHeight="1">
      <c r="A515" s="330"/>
      <c r="B515" s="314"/>
      <c r="C515" s="285"/>
      <c r="D515" s="108"/>
      <c r="E515" s="285"/>
      <c r="F515" s="285"/>
      <c r="G515" s="35"/>
      <c r="H515" s="104"/>
      <c r="I515" s="35"/>
      <c r="J515" s="74"/>
      <c r="K515" s="74"/>
      <c r="L515" s="74"/>
      <c r="M515" s="74"/>
      <c r="N515" s="74"/>
      <c r="O515" s="74"/>
      <c r="P515" s="74"/>
      <c r="Q515" s="74"/>
      <c r="R515" s="74"/>
      <c r="S515" s="74"/>
      <c r="T515" s="74"/>
      <c r="U515" s="74"/>
      <c r="V515" s="74"/>
      <c r="W515" s="74"/>
      <c r="X515" s="74"/>
      <c r="Y515" s="74"/>
      <c r="Z515" s="74"/>
      <c r="AA515" s="74"/>
      <c r="AB515" s="74"/>
    </row>
    <row r="516" spans="1:28" ht="12" customHeight="1">
      <c r="A516" s="330"/>
      <c r="B516" s="314"/>
      <c r="C516" s="285"/>
      <c r="D516" s="108"/>
      <c r="E516" s="285"/>
      <c r="F516" s="285"/>
      <c r="G516" s="35"/>
      <c r="H516" s="104"/>
      <c r="I516" s="35"/>
      <c r="J516" s="74"/>
      <c r="K516" s="74"/>
      <c r="L516" s="74"/>
      <c r="M516" s="74"/>
      <c r="N516" s="74"/>
      <c r="O516" s="74"/>
      <c r="P516" s="74"/>
      <c r="Q516" s="74"/>
      <c r="R516" s="74"/>
      <c r="S516" s="74"/>
      <c r="T516" s="74"/>
      <c r="U516" s="74"/>
      <c r="V516" s="74"/>
      <c r="W516" s="74"/>
      <c r="X516" s="74"/>
      <c r="Y516" s="74"/>
      <c r="Z516" s="74"/>
      <c r="AA516" s="74"/>
      <c r="AB516" s="74"/>
    </row>
    <row r="517" spans="1:28" ht="12" customHeight="1">
      <c r="A517" s="330"/>
      <c r="B517" s="314"/>
      <c r="C517" s="285"/>
      <c r="D517" s="108"/>
      <c r="E517" s="285"/>
      <c r="F517" s="285"/>
      <c r="G517" s="35"/>
      <c r="H517" s="104"/>
      <c r="I517" s="35"/>
      <c r="J517" s="74"/>
      <c r="K517" s="74"/>
      <c r="L517" s="74"/>
      <c r="M517" s="74"/>
      <c r="N517" s="74"/>
      <c r="O517" s="74"/>
      <c r="P517" s="74"/>
      <c r="Q517" s="74"/>
      <c r="R517" s="74"/>
      <c r="S517" s="74"/>
      <c r="T517" s="74"/>
      <c r="U517" s="74"/>
      <c r="V517" s="74"/>
      <c r="W517" s="74"/>
      <c r="X517" s="74"/>
      <c r="Y517" s="74"/>
      <c r="Z517" s="74"/>
      <c r="AA517" s="74"/>
      <c r="AB517" s="74"/>
    </row>
    <row r="518" spans="1:28" ht="12" customHeight="1">
      <c r="A518" s="330"/>
      <c r="B518" s="314"/>
      <c r="C518" s="285"/>
      <c r="D518" s="108"/>
      <c r="E518" s="285"/>
      <c r="F518" s="285"/>
      <c r="G518" s="35"/>
      <c r="H518" s="104"/>
      <c r="I518" s="35"/>
      <c r="J518" s="74"/>
      <c r="K518" s="74"/>
      <c r="L518" s="74"/>
      <c r="M518" s="74"/>
      <c r="N518" s="74"/>
      <c r="O518" s="74"/>
      <c r="P518" s="74"/>
      <c r="Q518" s="74"/>
      <c r="R518" s="74"/>
      <c r="S518" s="74"/>
      <c r="T518" s="74"/>
      <c r="U518" s="74"/>
      <c r="V518" s="74"/>
      <c r="W518" s="74"/>
      <c r="X518" s="74"/>
      <c r="Y518" s="74"/>
      <c r="Z518" s="74"/>
      <c r="AA518" s="74"/>
      <c r="AB518" s="74"/>
    </row>
    <row r="519" spans="1:28" ht="12" customHeight="1">
      <c r="A519" s="330"/>
      <c r="B519" s="314"/>
      <c r="C519" s="285"/>
      <c r="D519" s="108"/>
      <c r="E519" s="285"/>
      <c r="F519" s="285"/>
      <c r="G519" s="35"/>
      <c r="H519" s="104"/>
      <c r="I519" s="35"/>
      <c r="J519" s="74"/>
      <c r="K519" s="74"/>
      <c r="L519" s="74"/>
      <c r="M519" s="74"/>
      <c r="N519" s="74"/>
      <c r="O519" s="74"/>
      <c r="P519" s="74"/>
      <c r="Q519" s="74"/>
      <c r="R519" s="74"/>
      <c r="S519" s="74"/>
      <c r="T519" s="74"/>
      <c r="U519" s="74"/>
      <c r="V519" s="74"/>
      <c r="W519" s="74"/>
      <c r="X519" s="74"/>
      <c r="Y519" s="74"/>
      <c r="Z519" s="74"/>
      <c r="AA519" s="74"/>
      <c r="AB519" s="74"/>
    </row>
    <row r="520" spans="1:28" ht="12" customHeight="1">
      <c r="A520" s="330"/>
      <c r="B520" s="314"/>
      <c r="C520" s="285"/>
      <c r="D520" s="108"/>
      <c r="E520" s="285"/>
      <c r="F520" s="285"/>
      <c r="G520" s="35"/>
      <c r="H520" s="104"/>
      <c r="I520" s="35"/>
      <c r="J520" s="74"/>
      <c r="K520" s="74"/>
      <c r="L520" s="74"/>
      <c r="M520" s="74"/>
      <c r="N520" s="74"/>
      <c r="O520" s="74"/>
      <c r="P520" s="74"/>
      <c r="Q520" s="74"/>
      <c r="R520" s="74"/>
      <c r="S520" s="74"/>
      <c r="T520" s="74"/>
      <c r="U520" s="74"/>
      <c r="V520" s="74"/>
      <c r="W520" s="74"/>
      <c r="X520" s="74"/>
      <c r="Y520" s="74"/>
      <c r="Z520" s="74"/>
      <c r="AA520" s="74"/>
      <c r="AB520" s="74"/>
    </row>
    <row r="521" spans="1:28" ht="12" customHeight="1">
      <c r="A521" s="330"/>
      <c r="B521" s="314"/>
      <c r="C521" s="285"/>
      <c r="D521" s="108"/>
      <c r="E521" s="285"/>
      <c r="F521" s="285"/>
      <c r="G521" s="35"/>
      <c r="H521" s="104"/>
      <c r="I521" s="35"/>
      <c r="J521" s="74"/>
      <c r="K521" s="74"/>
      <c r="L521" s="74"/>
      <c r="M521" s="74"/>
      <c r="N521" s="74"/>
      <c r="O521" s="74"/>
      <c r="P521" s="74"/>
      <c r="Q521" s="74"/>
      <c r="R521" s="74"/>
      <c r="S521" s="74"/>
      <c r="T521" s="74"/>
      <c r="U521" s="74"/>
      <c r="V521" s="74"/>
      <c r="W521" s="74"/>
      <c r="X521" s="74"/>
      <c r="Y521" s="74"/>
      <c r="Z521" s="74"/>
      <c r="AA521" s="74"/>
      <c r="AB521" s="74"/>
    </row>
    <row r="522" spans="1:28" ht="12" customHeight="1">
      <c r="A522" s="330"/>
      <c r="B522" s="314"/>
      <c r="C522" s="285"/>
      <c r="D522" s="108"/>
      <c r="E522" s="285"/>
      <c r="F522" s="285"/>
      <c r="G522" s="35"/>
      <c r="H522" s="104"/>
      <c r="I522" s="35"/>
      <c r="J522" s="74"/>
      <c r="K522" s="74"/>
      <c r="L522" s="74"/>
      <c r="M522" s="74"/>
      <c r="N522" s="74"/>
      <c r="O522" s="74"/>
      <c r="P522" s="74"/>
      <c r="Q522" s="74"/>
      <c r="R522" s="74"/>
      <c r="S522" s="74"/>
      <c r="T522" s="74"/>
      <c r="U522" s="74"/>
      <c r="V522" s="74"/>
      <c r="W522" s="74"/>
      <c r="X522" s="74"/>
      <c r="Y522" s="74"/>
      <c r="Z522" s="74"/>
      <c r="AA522" s="74"/>
      <c r="AB522" s="74"/>
    </row>
    <row r="523" spans="1:28" ht="12" customHeight="1">
      <c r="A523" s="330"/>
      <c r="B523" s="314"/>
      <c r="C523" s="285"/>
      <c r="D523" s="108"/>
      <c r="E523" s="285"/>
      <c r="F523" s="285"/>
      <c r="G523" s="35"/>
      <c r="H523" s="104"/>
      <c r="I523" s="35"/>
      <c r="J523" s="74"/>
      <c r="K523" s="74"/>
      <c r="L523" s="74"/>
      <c r="M523" s="74"/>
      <c r="N523" s="74"/>
      <c r="O523" s="74"/>
      <c r="P523" s="74"/>
      <c r="Q523" s="74"/>
      <c r="R523" s="74"/>
      <c r="S523" s="74"/>
      <c r="T523" s="74"/>
      <c r="U523" s="74"/>
      <c r="V523" s="74"/>
      <c r="W523" s="74"/>
      <c r="X523" s="74"/>
      <c r="Y523" s="74"/>
      <c r="Z523" s="74"/>
      <c r="AA523" s="74"/>
      <c r="AB523" s="74"/>
    </row>
    <row r="524" spans="1:28" ht="12" customHeight="1">
      <c r="A524" s="330"/>
      <c r="B524" s="314"/>
      <c r="C524" s="285"/>
      <c r="D524" s="108"/>
      <c r="E524" s="285"/>
      <c r="F524" s="285"/>
      <c r="G524" s="35"/>
      <c r="H524" s="104"/>
      <c r="I524" s="35"/>
      <c r="J524" s="74"/>
      <c r="K524" s="74"/>
      <c r="L524" s="74"/>
      <c r="M524" s="74"/>
      <c r="N524" s="74"/>
      <c r="O524" s="74"/>
      <c r="P524" s="74"/>
      <c r="Q524" s="74"/>
      <c r="R524" s="74"/>
      <c r="S524" s="74"/>
      <c r="T524" s="74"/>
      <c r="U524" s="74"/>
      <c r="V524" s="74"/>
      <c r="W524" s="74"/>
      <c r="X524" s="74"/>
      <c r="Y524" s="74"/>
      <c r="Z524" s="74"/>
      <c r="AA524" s="74"/>
      <c r="AB524" s="74"/>
    </row>
    <row r="525" spans="1:28" ht="12" customHeight="1">
      <c r="A525" s="330"/>
      <c r="B525" s="314"/>
      <c r="C525" s="285"/>
      <c r="D525" s="108"/>
      <c r="E525" s="285"/>
      <c r="F525" s="285"/>
      <c r="G525" s="35"/>
      <c r="H525" s="104"/>
      <c r="I525" s="35"/>
      <c r="J525" s="74"/>
      <c r="K525" s="74"/>
      <c r="L525" s="74"/>
      <c r="M525" s="74"/>
      <c r="N525" s="74"/>
      <c r="O525" s="74"/>
      <c r="P525" s="74"/>
      <c r="Q525" s="74"/>
      <c r="R525" s="74"/>
      <c r="S525" s="74"/>
      <c r="T525" s="74"/>
      <c r="U525" s="74"/>
      <c r="V525" s="74"/>
      <c r="W525" s="74"/>
      <c r="X525" s="74"/>
      <c r="Y525" s="74"/>
      <c r="Z525" s="74"/>
      <c r="AA525" s="74"/>
      <c r="AB525" s="74"/>
    </row>
    <row r="526" spans="1:28" ht="12" customHeight="1">
      <c r="A526" s="330"/>
      <c r="B526" s="314"/>
      <c r="C526" s="285"/>
      <c r="D526" s="108"/>
      <c r="E526" s="285"/>
      <c r="F526" s="285"/>
      <c r="G526" s="35"/>
      <c r="H526" s="104"/>
      <c r="I526" s="35"/>
      <c r="J526" s="74"/>
      <c r="K526" s="74"/>
      <c r="L526" s="74"/>
      <c r="M526" s="74"/>
      <c r="N526" s="74"/>
      <c r="O526" s="74"/>
      <c r="P526" s="74"/>
      <c r="Q526" s="74"/>
      <c r="R526" s="74"/>
      <c r="S526" s="74"/>
      <c r="T526" s="74"/>
      <c r="U526" s="74"/>
      <c r="V526" s="74"/>
      <c r="W526" s="74"/>
      <c r="X526" s="74"/>
      <c r="Y526" s="74"/>
      <c r="Z526" s="74"/>
      <c r="AA526" s="74"/>
      <c r="AB526" s="74"/>
    </row>
    <row r="527" spans="1:28" ht="12" customHeight="1">
      <c r="A527" s="330"/>
      <c r="B527" s="314"/>
      <c r="C527" s="285"/>
      <c r="D527" s="108"/>
      <c r="E527" s="285"/>
      <c r="F527" s="285"/>
      <c r="G527" s="35"/>
      <c r="H527" s="104"/>
      <c r="I527" s="35"/>
      <c r="J527" s="74"/>
      <c r="K527" s="74"/>
      <c r="L527" s="74"/>
      <c r="M527" s="74"/>
      <c r="N527" s="74"/>
      <c r="O527" s="74"/>
      <c r="P527" s="74"/>
      <c r="Q527" s="74"/>
      <c r="R527" s="74"/>
      <c r="S527" s="74"/>
      <c r="T527" s="74"/>
      <c r="U527" s="74"/>
      <c r="V527" s="74"/>
      <c r="W527" s="74"/>
      <c r="X527" s="74"/>
      <c r="Y527" s="74"/>
      <c r="Z527" s="74"/>
      <c r="AA527" s="74"/>
      <c r="AB527" s="74"/>
    </row>
    <row r="528" spans="1:28" ht="12" customHeight="1">
      <c r="A528" s="330"/>
      <c r="B528" s="314"/>
      <c r="C528" s="285"/>
      <c r="D528" s="108"/>
      <c r="E528" s="285"/>
      <c r="F528" s="285"/>
      <c r="G528" s="35"/>
      <c r="H528" s="104"/>
      <c r="I528" s="35"/>
      <c r="J528" s="74"/>
      <c r="K528" s="74"/>
      <c r="L528" s="74"/>
      <c r="M528" s="74"/>
      <c r="N528" s="74"/>
      <c r="O528" s="74"/>
      <c r="P528" s="74"/>
      <c r="Q528" s="74"/>
      <c r="R528" s="74"/>
      <c r="S528" s="74"/>
      <c r="T528" s="74"/>
      <c r="U528" s="74"/>
      <c r="V528" s="74"/>
      <c r="W528" s="74"/>
      <c r="X528" s="74"/>
      <c r="Y528" s="74"/>
      <c r="Z528" s="74"/>
      <c r="AA528" s="74"/>
      <c r="AB528" s="74"/>
    </row>
    <row r="529" spans="1:28" ht="12" customHeight="1">
      <c r="A529" s="330"/>
      <c r="B529" s="314"/>
      <c r="C529" s="285"/>
      <c r="D529" s="108"/>
      <c r="E529" s="285"/>
      <c r="F529" s="285"/>
      <c r="G529" s="35"/>
      <c r="H529" s="104"/>
      <c r="I529" s="35"/>
      <c r="J529" s="74"/>
      <c r="K529" s="74"/>
      <c r="L529" s="74"/>
      <c r="M529" s="74"/>
      <c r="N529" s="74"/>
      <c r="O529" s="74"/>
      <c r="P529" s="74"/>
      <c r="Q529" s="74"/>
      <c r="R529" s="74"/>
      <c r="S529" s="74"/>
      <c r="T529" s="74"/>
      <c r="U529" s="74"/>
      <c r="V529" s="74"/>
      <c r="W529" s="74"/>
      <c r="X529" s="74"/>
      <c r="Y529" s="74"/>
      <c r="Z529" s="74"/>
      <c r="AA529" s="74"/>
      <c r="AB529" s="74"/>
    </row>
    <row r="530" spans="1:28" ht="12" customHeight="1">
      <c r="A530" s="330"/>
      <c r="B530" s="314"/>
      <c r="C530" s="285"/>
      <c r="D530" s="108"/>
      <c r="E530" s="285"/>
      <c r="F530" s="285"/>
      <c r="G530" s="35"/>
      <c r="H530" s="104"/>
      <c r="I530" s="35"/>
      <c r="J530" s="74"/>
      <c r="K530" s="74"/>
      <c r="L530" s="74"/>
      <c r="M530" s="74"/>
      <c r="N530" s="74"/>
      <c r="O530" s="74"/>
      <c r="P530" s="74"/>
      <c r="Q530" s="74"/>
      <c r="R530" s="74"/>
      <c r="S530" s="74"/>
      <c r="T530" s="74"/>
      <c r="U530" s="74"/>
      <c r="V530" s="74"/>
      <c r="W530" s="74"/>
      <c r="X530" s="74"/>
      <c r="Y530" s="74"/>
      <c r="Z530" s="74"/>
      <c r="AA530" s="74"/>
      <c r="AB530" s="74"/>
    </row>
    <row r="531" spans="1:28" ht="12" customHeight="1">
      <c r="A531" s="330"/>
      <c r="B531" s="314"/>
      <c r="C531" s="285"/>
      <c r="D531" s="108"/>
      <c r="E531" s="285"/>
      <c r="F531" s="285"/>
      <c r="G531" s="35"/>
      <c r="H531" s="104"/>
      <c r="I531" s="35"/>
      <c r="J531" s="74"/>
      <c r="K531" s="74"/>
      <c r="L531" s="74"/>
      <c r="M531" s="74"/>
      <c r="N531" s="74"/>
      <c r="O531" s="74"/>
      <c r="P531" s="74"/>
      <c r="Q531" s="74"/>
      <c r="R531" s="74"/>
      <c r="S531" s="74"/>
      <c r="T531" s="74"/>
      <c r="U531" s="74"/>
      <c r="V531" s="74"/>
      <c r="W531" s="74"/>
      <c r="X531" s="74"/>
      <c r="Y531" s="74"/>
      <c r="Z531" s="74"/>
      <c r="AA531" s="74"/>
      <c r="AB531" s="74"/>
    </row>
    <row r="532" spans="1:28" ht="12" customHeight="1">
      <c r="A532" s="330"/>
      <c r="B532" s="314"/>
      <c r="C532" s="285"/>
      <c r="D532" s="108"/>
      <c r="E532" s="285"/>
      <c r="F532" s="285"/>
      <c r="G532" s="35"/>
      <c r="H532" s="104"/>
      <c r="I532" s="35"/>
      <c r="J532" s="74"/>
      <c r="K532" s="74"/>
      <c r="L532" s="74"/>
      <c r="M532" s="74"/>
      <c r="N532" s="74"/>
      <c r="O532" s="74"/>
      <c r="P532" s="74"/>
      <c r="Q532" s="74"/>
      <c r="R532" s="74"/>
      <c r="S532" s="74"/>
      <c r="T532" s="74"/>
      <c r="U532" s="74"/>
      <c r="V532" s="74"/>
      <c r="W532" s="74"/>
      <c r="X532" s="74"/>
      <c r="Y532" s="74"/>
      <c r="Z532" s="74"/>
      <c r="AA532" s="74"/>
      <c r="AB532" s="74"/>
    </row>
    <row r="533" spans="1:28" ht="12" customHeight="1">
      <c r="A533" s="330"/>
      <c r="B533" s="314"/>
      <c r="C533" s="285"/>
      <c r="D533" s="108"/>
      <c r="E533" s="285"/>
      <c r="F533" s="285"/>
      <c r="G533" s="35"/>
      <c r="H533" s="104"/>
      <c r="I533" s="35"/>
      <c r="J533" s="74"/>
      <c r="K533" s="74"/>
      <c r="L533" s="74"/>
      <c r="M533" s="74"/>
      <c r="N533" s="74"/>
      <c r="O533" s="74"/>
      <c r="P533" s="74"/>
      <c r="Q533" s="74"/>
      <c r="R533" s="74"/>
      <c r="S533" s="74"/>
      <c r="T533" s="74"/>
      <c r="U533" s="74"/>
      <c r="V533" s="74"/>
      <c r="W533" s="74"/>
      <c r="X533" s="74"/>
      <c r="Y533" s="74"/>
      <c r="Z533" s="74"/>
      <c r="AA533" s="74"/>
      <c r="AB533" s="74"/>
    </row>
    <row r="534" spans="1:28" ht="12" customHeight="1">
      <c r="A534" s="330"/>
      <c r="B534" s="314"/>
      <c r="C534" s="285"/>
      <c r="D534" s="108"/>
      <c r="E534" s="285"/>
      <c r="F534" s="285"/>
      <c r="G534" s="35"/>
      <c r="H534" s="104"/>
      <c r="I534" s="35"/>
      <c r="J534" s="74"/>
      <c r="K534" s="74"/>
      <c r="L534" s="74"/>
      <c r="M534" s="74"/>
      <c r="N534" s="74"/>
      <c r="O534" s="74"/>
      <c r="P534" s="74"/>
      <c r="Q534" s="74"/>
      <c r="R534" s="74"/>
      <c r="S534" s="74"/>
      <c r="T534" s="74"/>
      <c r="U534" s="74"/>
      <c r="V534" s="74"/>
      <c r="W534" s="74"/>
      <c r="X534" s="74"/>
      <c r="Y534" s="74"/>
      <c r="Z534" s="74"/>
      <c r="AA534" s="74"/>
      <c r="AB534" s="74"/>
    </row>
    <row r="535" spans="1:28" ht="12" customHeight="1">
      <c r="A535" s="330"/>
      <c r="B535" s="314"/>
      <c r="C535" s="285"/>
      <c r="D535" s="108"/>
      <c r="E535" s="285"/>
      <c r="F535" s="285"/>
      <c r="G535" s="35"/>
      <c r="H535" s="104"/>
      <c r="I535" s="35"/>
      <c r="J535" s="74"/>
      <c r="K535" s="74"/>
      <c r="L535" s="74"/>
      <c r="M535" s="74"/>
      <c r="N535" s="74"/>
      <c r="O535" s="74"/>
      <c r="P535" s="74"/>
      <c r="Q535" s="74"/>
      <c r="R535" s="74"/>
      <c r="S535" s="74"/>
      <c r="T535" s="74"/>
      <c r="U535" s="74"/>
      <c r="V535" s="74"/>
      <c r="W535" s="74"/>
      <c r="X535" s="74"/>
      <c r="Y535" s="74"/>
      <c r="Z535" s="74"/>
      <c r="AA535" s="74"/>
      <c r="AB535" s="74"/>
    </row>
    <row r="536" spans="1:28" ht="12" customHeight="1">
      <c r="A536" s="330"/>
      <c r="B536" s="314"/>
      <c r="C536" s="285"/>
      <c r="D536" s="108"/>
      <c r="E536" s="285"/>
      <c r="F536" s="285"/>
      <c r="G536" s="35"/>
      <c r="H536" s="104"/>
      <c r="I536" s="35"/>
      <c r="J536" s="74"/>
      <c r="K536" s="74"/>
      <c r="L536" s="74"/>
      <c r="M536" s="74"/>
      <c r="N536" s="74"/>
      <c r="O536" s="74"/>
      <c r="P536" s="74"/>
      <c r="Q536" s="74"/>
      <c r="R536" s="74"/>
      <c r="S536" s="74"/>
      <c r="T536" s="74"/>
      <c r="U536" s="74"/>
      <c r="V536" s="74"/>
      <c r="W536" s="74"/>
      <c r="X536" s="74"/>
      <c r="Y536" s="74"/>
      <c r="Z536" s="74"/>
      <c r="AA536" s="74"/>
      <c r="AB536" s="74"/>
    </row>
    <row r="537" spans="1:28" ht="12" customHeight="1">
      <c r="A537" s="330"/>
      <c r="B537" s="314"/>
      <c r="C537" s="285"/>
      <c r="D537" s="108"/>
      <c r="E537" s="285"/>
      <c r="F537" s="285"/>
      <c r="G537" s="35"/>
      <c r="H537" s="104"/>
      <c r="I537" s="35"/>
      <c r="J537" s="74"/>
      <c r="K537" s="74"/>
      <c r="L537" s="74"/>
      <c r="M537" s="74"/>
      <c r="N537" s="74"/>
      <c r="O537" s="74"/>
      <c r="P537" s="74"/>
      <c r="Q537" s="74"/>
      <c r="R537" s="74"/>
      <c r="S537" s="74"/>
      <c r="T537" s="74"/>
      <c r="U537" s="74"/>
      <c r="V537" s="74"/>
      <c r="W537" s="74"/>
      <c r="X537" s="74"/>
      <c r="Y537" s="74"/>
      <c r="Z537" s="74"/>
      <c r="AA537" s="74"/>
      <c r="AB537" s="74"/>
    </row>
    <row r="538" spans="1:28" ht="12" customHeight="1">
      <c r="A538" s="330"/>
      <c r="B538" s="314"/>
      <c r="C538" s="285"/>
      <c r="D538" s="108"/>
      <c r="E538" s="285"/>
      <c r="F538" s="285"/>
      <c r="G538" s="35"/>
      <c r="H538" s="104"/>
      <c r="I538" s="35"/>
      <c r="J538" s="74"/>
      <c r="K538" s="74"/>
      <c r="L538" s="74"/>
      <c r="M538" s="74"/>
      <c r="N538" s="74"/>
      <c r="O538" s="74"/>
      <c r="P538" s="74"/>
      <c r="Q538" s="74"/>
      <c r="R538" s="74"/>
      <c r="S538" s="74"/>
      <c r="T538" s="74"/>
      <c r="U538" s="74"/>
      <c r="V538" s="74"/>
      <c r="W538" s="74"/>
      <c r="X538" s="74"/>
      <c r="Y538" s="74"/>
      <c r="Z538" s="74"/>
      <c r="AA538" s="74"/>
      <c r="AB538" s="74"/>
    </row>
    <row r="539" spans="1:28" ht="12" customHeight="1">
      <c r="A539" s="330"/>
      <c r="B539" s="314"/>
      <c r="C539" s="285"/>
      <c r="D539" s="108"/>
      <c r="E539" s="285"/>
      <c r="F539" s="285"/>
      <c r="G539" s="35"/>
      <c r="H539" s="104"/>
      <c r="I539" s="35"/>
      <c r="J539" s="74"/>
      <c r="K539" s="74"/>
      <c r="L539" s="74"/>
      <c r="M539" s="74"/>
      <c r="N539" s="74"/>
      <c r="O539" s="74"/>
      <c r="P539" s="74"/>
      <c r="Q539" s="74"/>
      <c r="R539" s="74"/>
      <c r="S539" s="74"/>
      <c r="T539" s="74"/>
      <c r="U539" s="74"/>
      <c r="V539" s="74"/>
      <c r="W539" s="74"/>
      <c r="X539" s="74"/>
      <c r="Y539" s="74"/>
      <c r="Z539" s="74"/>
      <c r="AA539" s="74"/>
      <c r="AB539" s="74"/>
    </row>
    <row r="540" spans="1:28" ht="12" customHeight="1">
      <c r="A540" s="330"/>
      <c r="B540" s="314"/>
      <c r="C540" s="285"/>
      <c r="D540" s="108"/>
      <c r="E540" s="285"/>
      <c r="F540" s="285"/>
      <c r="G540" s="35"/>
      <c r="H540" s="104"/>
      <c r="I540" s="35"/>
      <c r="J540" s="74"/>
      <c r="K540" s="74"/>
      <c r="L540" s="74"/>
      <c r="M540" s="74"/>
      <c r="N540" s="74"/>
      <c r="O540" s="74"/>
      <c r="P540" s="74"/>
      <c r="Q540" s="74"/>
      <c r="R540" s="74"/>
      <c r="S540" s="74"/>
      <c r="T540" s="74"/>
      <c r="U540" s="74"/>
      <c r="V540" s="74"/>
      <c r="W540" s="74"/>
      <c r="X540" s="74"/>
      <c r="Y540" s="74"/>
      <c r="Z540" s="74"/>
      <c r="AA540" s="74"/>
      <c r="AB540" s="74"/>
    </row>
    <row r="541" spans="1:28" ht="12" customHeight="1">
      <c r="A541" s="330"/>
      <c r="B541" s="314"/>
      <c r="C541" s="285"/>
      <c r="D541" s="108"/>
      <c r="E541" s="285"/>
      <c r="F541" s="285"/>
      <c r="G541" s="35"/>
      <c r="H541" s="104"/>
      <c r="I541" s="35"/>
      <c r="J541" s="74"/>
      <c r="K541" s="74"/>
      <c r="L541" s="74"/>
      <c r="M541" s="74"/>
      <c r="N541" s="74"/>
      <c r="O541" s="74"/>
      <c r="P541" s="74"/>
      <c r="Q541" s="74"/>
      <c r="R541" s="74"/>
      <c r="S541" s="74"/>
      <c r="T541" s="74"/>
      <c r="U541" s="74"/>
      <c r="V541" s="74"/>
      <c r="W541" s="74"/>
      <c r="X541" s="74"/>
      <c r="Y541" s="74"/>
      <c r="Z541" s="74"/>
      <c r="AA541" s="74"/>
      <c r="AB541" s="74"/>
    </row>
    <row r="542" spans="1:28" ht="12" customHeight="1">
      <c r="A542" s="330"/>
      <c r="B542" s="314"/>
      <c r="C542" s="285"/>
      <c r="D542" s="108"/>
      <c r="E542" s="285"/>
      <c r="F542" s="285"/>
      <c r="G542" s="35"/>
      <c r="H542" s="104"/>
      <c r="I542" s="35"/>
      <c r="J542" s="74"/>
      <c r="K542" s="74"/>
      <c r="L542" s="74"/>
      <c r="M542" s="74"/>
      <c r="N542" s="74"/>
      <c r="O542" s="74"/>
      <c r="P542" s="74"/>
      <c r="Q542" s="74"/>
      <c r="R542" s="74"/>
      <c r="S542" s="74"/>
      <c r="T542" s="74"/>
      <c r="U542" s="74"/>
      <c r="V542" s="74"/>
      <c r="W542" s="74"/>
      <c r="X542" s="74"/>
      <c r="Y542" s="74"/>
      <c r="Z542" s="74"/>
      <c r="AA542" s="74"/>
      <c r="AB542" s="74"/>
    </row>
    <row r="543" spans="1:28" ht="12" customHeight="1">
      <c r="A543" s="330"/>
      <c r="B543" s="314"/>
      <c r="C543" s="285"/>
      <c r="D543" s="108"/>
      <c r="E543" s="285"/>
      <c r="F543" s="285"/>
      <c r="G543" s="35"/>
      <c r="H543" s="104"/>
      <c r="I543" s="35"/>
      <c r="J543" s="74"/>
      <c r="K543" s="74"/>
      <c r="L543" s="74"/>
      <c r="M543" s="74"/>
      <c r="N543" s="74"/>
      <c r="O543" s="74"/>
      <c r="P543" s="74"/>
      <c r="Q543" s="74"/>
      <c r="R543" s="74"/>
      <c r="S543" s="74"/>
      <c r="T543" s="74"/>
      <c r="U543" s="74"/>
      <c r="V543" s="74"/>
      <c r="W543" s="74"/>
      <c r="X543" s="74"/>
      <c r="Y543" s="74"/>
      <c r="Z543" s="74"/>
      <c r="AA543" s="74"/>
      <c r="AB543" s="74"/>
    </row>
    <row r="544" spans="1:28" ht="12" customHeight="1">
      <c r="A544" s="330"/>
      <c r="B544" s="314"/>
      <c r="C544" s="285"/>
      <c r="D544" s="108"/>
      <c r="E544" s="285"/>
      <c r="F544" s="285"/>
      <c r="G544" s="35"/>
      <c r="H544" s="104"/>
      <c r="I544" s="35"/>
      <c r="J544" s="74"/>
      <c r="K544" s="74"/>
      <c r="L544" s="74"/>
      <c r="M544" s="74"/>
      <c r="N544" s="74"/>
      <c r="O544" s="74"/>
      <c r="P544" s="74"/>
      <c r="Q544" s="74"/>
      <c r="R544" s="74"/>
      <c r="S544" s="74"/>
      <c r="T544" s="74"/>
      <c r="U544" s="74"/>
      <c r="V544" s="74"/>
      <c r="W544" s="74"/>
      <c r="X544" s="74"/>
      <c r="Y544" s="74"/>
      <c r="Z544" s="74"/>
      <c r="AA544" s="74"/>
      <c r="AB544" s="74"/>
    </row>
    <row r="545" spans="1:28" ht="12" customHeight="1">
      <c r="A545" s="330"/>
      <c r="B545" s="314"/>
      <c r="C545" s="285"/>
      <c r="D545" s="108"/>
      <c r="E545" s="285"/>
      <c r="F545" s="285"/>
      <c r="G545" s="35"/>
      <c r="H545" s="104"/>
      <c r="I545" s="35"/>
      <c r="J545" s="74"/>
      <c r="K545" s="74"/>
      <c r="L545" s="74"/>
      <c r="M545" s="74"/>
      <c r="N545" s="74"/>
      <c r="O545" s="74"/>
      <c r="P545" s="74"/>
      <c r="Q545" s="74"/>
      <c r="R545" s="74"/>
      <c r="S545" s="74"/>
      <c r="T545" s="74"/>
      <c r="U545" s="74"/>
      <c r="V545" s="74"/>
      <c r="W545" s="74"/>
      <c r="X545" s="74"/>
      <c r="Y545" s="74"/>
      <c r="Z545" s="74"/>
      <c r="AA545" s="74"/>
      <c r="AB545" s="74"/>
    </row>
    <row r="546" spans="1:28" ht="12" customHeight="1">
      <c r="A546" s="330"/>
      <c r="B546" s="314"/>
      <c r="C546" s="285"/>
      <c r="D546" s="108"/>
      <c r="E546" s="285"/>
      <c r="F546" s="285"/>
      <c r="G546" s="35"/>
      <c r="H546" s="104"/>
      <c r="I546" s="35"/>
      <c r="J546" s="74"/>
      <c r="K546" s="74"/>
      <c r="L546" s="74"/>
      <c r="M546" s="74"/>
      <c r="N546" s="74"/>
      <c r="O546" s="74"/>
      <c r="P546" s="74"/>
      <c r="Q546" s="74"/>
      <c r="R546" s="74"/>
      <c r="S546" s="74"/>
      <c r="T546" s="74"/>
      <c r="U546" s="74"/>
      <c r="V546" s="74"/>
      <c r="W546" s="74"/>
      <c r="X546" s="74"/>
      <c r="Y546" s="74"/>
      <c r="Z546" s="74"/>
      <c r="AA546" s="74"/>
      <c r="AB546" s="74"/>
    </row>
    <row r="547" spans="1:28" ht="12" customHeight="1">
      <c r="A547" s="330"/>
      <c r="B547" s="314"/>
      <c r="C547" s="285"/>
      <c r="D547" s="108"/>
      <c r="E547" s="285"/>
      <c r="F547" s="285"/>
      <c r="G547" s="35"/>
      <c r="H547" s="104"/>
      <c r="I547" s="35"/>
      <c r="J547" s="74"/>
      <c r="K547" s="74"/>
      <c r="L547" s="74"/>
      <c r="M547" s="74"/>
      <c r="N547" s="74"/>
      <c r="O547" s="74"/>
      <c r="P547" s="74"/>
      <c r="Q547" s="74"/>
      <c r="R547" s="74"/>
      <c r="S547" s="74"/>
      <c r="T547" s="74"/>
      <c r="U547" s="74"/>
      <c r="V547" s="74"/>
      <c r="W547" s="74"/>
      <c r="X547" s="74"/>
      <c r="Y547" s="74"/>
      <c r="Z547" s="74"/>
      <c r="AA547" s="74"/>
      <c r="AB547" s="74"/>
    </row>
    <row r="548" spans="1:28" ht="12" customHeight="1">
      <c r="A548" s="330"/>
      <c r="B548" s="314"/>
      <c r="C548" s="285"/>
      <c r="D548" s="108"/>
      <c r="E548" s="285"/>
      <c r="F548" s="285"/>
      <c r="G548" s="35"/>
      <c r="H548" s="104"/>
      <c r="I548" s="35"/>
      <c r="J548" s="74"/>
      <c r="K548" s="74"/>
      <c r="L548" s="74"/>
      <c r="M548" s="74"/>
      <c r="N548" s="74"/>
      <c r="O548" s="74"/>
      <c r="P548" s="74"/>
      <c r="Q548" s="74"/>
      <c r="R548" s="74"/>
      <c r="S548" s="74"/>
      <c r="T548" s="74"/>
      <c r="U548" s="74"/>
      <c r="V548" s="74"/>
      <c r="W548" s="74"/>
      <c r="X548" s="74"/>
      <c r="Y548" s="74"/>
      <c r="Z548" s="74"/>
      <c r="AA548" s="74"/>
      <c r="AB548" s="74"/>
    </row>
    <row r="549" spans="1:28" ht="12" customHeight="1">
      <c r="A549" s="330"/>
      <c r="B549" s="314"/>
      <c r="C549" s="285"/>
      <c r="D549" s="108"/>
      <c r="E549" s="285"/>
      <c r="F549" s="285"/>
      <c r="G549" s="35"/>
      <c r="H549" s="104"/>
      <c r="I549" s="35"/>
      <c r="J549" s="74"/>
      <c r="K549" s="74"/>
      <c r="L549" s="74"/>
      <c r="M549" s="74"/>
      <c r="N549" s="74"/>
      <c r="O549" s="74"/>
      <c r="P549" s="74"/>
      <c r="Q549" s="74"/>
      <c r="R549" s="74"/>
      <c r="S549" s="74"/>
      <c r="T549" s="74"/>
      <c r="U549" s="74"/>
      <c r="V549" s="74"/>
      <c r="W549" s="74"/>
      <c r="X549" s="74"/>
      <c r="Y549" s="74"/>
      <c r="Z549" s="74"/>
      <c r="AA549" s="74"/>
      <c r="AB549" s="74"/>
    </row>
    <row r="550" spans="1:28" ht="12" customHeight="1">
      <c r="A550" s="330"/>
      <c r="B550" s="314"/>
      <c r="C550" s="285"/>
      <c r="D550" s="108"/>
      <c r="E550" s="285"/>
      <c r="F550" s="285"/>
      <c r="G550" s="35"/>
      <c r="H550" s="104"/>
      <c r="I550" s="35"/>
      <c r="J550" s="74"/>
      <c r="K550" s="74"/>
      <c r="L550" s="74"/>
      <c r="M550" s="74"/>
      <c r="N550" s="74"/>
      <c r="O550" s="74"/>
      <c r="P550" s="74"/>
      <c r="Q550" s="74"/>
      <c r="R550" s="74"/>
      <c r="S550" s="74"/>
      <c r="T550" s="74"/>
      <c r="U550" s="74"/>
      <c r="V550" s="74"/>
      <c r="W550" s="74"/>
      <c r="X550" s="74"/>
      <c r="Y550" s="74"/>
      <c r="Z550" s="74"/>
      <c r="AA550" s="74"/>
      <c r="AB550" s="74"/>
    </row>
    <row r="551" spans="1:28" ht="12" customHeight="1">
      <c r="A551" s="330"/>
      <c r="B551" s="314"/>
      <c r="C551" s="285"/>
      <c r="D551" s="108"/>
      <c r="E551" s="285"/>
      <c r="F551" s="285"/>
      <c r="G551" s="35"/>
      <c r="H551" s="104"/>
      <c r="I551" s="35"/>
      <c r="J551" s="74"/>
      <c r="K551" s="74"/>
      <c r="L551" s="74"/>
      <c r="M551" s="74"/>
      <c r="N551" s="74"/>
      <c r="O551" s="74"/>
      <c r="P551" s="74"/>
      <c r="Q551" s="74"/>
      <c r="R551" s="74"/>
      <c r="S551" s="74"/>
      <c r="T551" s="74"/>
      <c r="U551" s="74"/>
      <c r="V551" s="74"/>
      <c r="W551" s="74"/>
      <c r="X551" s="74"/>
      <c r="Y551" s="74"/>
      <c r="Z551" s="74"/>
      <c r="AA551" s="74"/>
      <c r="AB551" s="74"/>
    </row>
    <row r="552" spans="1:28" ht="12" customHeight="1">
      <c r="A552" s="330"/>
      <c r="B552" s="314"/>
      <c r="C552" s="285"/>
      <c r="D552" s="108"/>
      <c r="E552" s="285"/>
      <c r="F552" s="285"/>
      <c r="G552" s="35"/>
      <c r="H552" s="104"/>
      <c r="I552" s="35"/>
      <c r="J552" s="74"/>
      <c r="K552" s="74"/>
      <c r="L552" s="74"/>
      <c r="M552" s="74"/>
      <c r="N552" s="74"/>
      <c r="O552" s="74"/>
      <c r="P552" s="74"/>
      <c r="Q552" s="74"/>
      <c r="R552" s="74"/>
      <c r="S552" s="74"/>
      <c r="T552" s="74"/>
      <c r="U552" s="74"/>
      <c r="V552" s="74"/>
      <c r="W552" s="74"/>
      <c r="X552" s="74"/>
      <c r="Y552" s="74"/>
      <c r="Z552" s="74"/>
      <c r="AA552" s="74"/>
      <c r="AB552" s="74"/>
    </row>
    <row r="553" spans="1:28" ht="12" customHeight="1">
      <c r="A553" s="330"/>
      <c r="B553" s="314"/>
      <c r="C553" s="285"/>
      <c r="D553" s="108"/>
      <c r="E553" s="285"/>
      <c r="F553" s="285"/>
      <c r="G553" s="35"/>
      <c r="H553" s="104"/>
      <c r="I553" s="35"/>
      <c r="J553" s="74"/>
      <c r="K553" s="74"/>
      <c r="L553" s="74"/>
      <c r="M553" s="74"/>
      <c r="N553" s="74"/>
      <c r="O553" s="74"/>
      <c r="P553" s="74"/>
      <c r="Q553" s="74"/>
      <c r="R553" s="74"/>
      <c r="S553" s="74"/>
      <c r="T553" s="74"/>
      <c r="U553" s="74"/>
      <c r="V553" s="74"/>
      <c r="W553" s="74"/>
      <c r="X553" s="74"/>
      <c r="Y553" s="74"/>
      <c r="Z553" s="74"/>
      <c r="AA553" s="74"/>
      <c r="AB553" s="74"/>
    </row>
    <row r="554" spans="1:28" ht="12" customHeight="1">
      <c r="A554" s="330"/>
      <c r="B554" s="314"/>
      <c r="C554" s="285"/>
      <c r="D554" s="108"/>
      <c r="E554" s="285"/>
      <c r="F554" s="285"/>
      <c r="G554" s="35"/>
      <c r="H554" s="104"/>
      <c r="I554" s="35"/>
      <c r="J554" s="74"/>
      <c r="K554" s="74"/>
      <c r="L554" s="74"/>
      <c r="M554" s="74"/>
      <c r="N554" s="74"/>
      <c r="O554" s="74"/>
      <c r="P554" s="74"/>
      <c r="Q554" s="74"/>
      <c r="R554" s="74"/>
      <c r="S554" s="74"/>
      <c r="T554" s="74"/>
      <c r="U554" s="74"/>
      <c r="V554" s="74"/>
      <c r="W554" s="74"/>
      <c r="X554" s="74"/>
      <c r="Y554" s="74"/>
      <c r="Z554" s="74"/>
      <c r="AA554" s="74"/>
      <c r="AB554" s="74"/>
    </row>
    <row r="555" spans="1:28" ht="12" customHeight="1">
      <c r="A555" s="330"/>
      <c r="B555" s="314"/>
      <c r="C555" s="285"/>
      <c r="D555" s="108"/>
      <c r="E555" s="285"/>
      <c r="F555" s="285"/>
      <c r="G555" s="35"/>
      <c r="H555" s="104"/>
      <c r="I555" s="35"/>
      <c r="J555" s="74"/>
      <c r="K555" s="74"/>
      <c r="L555" s="74"/>
      <c r="M555" s="74"/>
      <c r="N555" s="74"/>
      <c r="O555" s="74"/>
      <c r="P555" s="74"/>
      <c r="Q555" s="74"/>
      <c r="R555" s="74"/>
      <c r="S555" s="74"/>
      <c r="T555" s="74"/>
      <c r="U555" s="74"/>
      <c r="V555" s="74"/>
      <c r="W555" s="74"/>
      <c r="X555" s="74"/>
      <c r="Y555" s="74"/>
      <c r="Z555" s="74"/>
      <c r="AA555" s="74"/>
      <c r="AB555" s="74"/>
    </row>
    <row r="556" spans="1:28" ht="12" customHeight="1">
      <c r="A556" s="330"/>
      <c r="B556" s="314"/>
      <c r="C556" s="285"/>
      <c r="D556" s="108"/>
      <c r="E556" s="285"/>
      <c r="F556" s="285"/>
      <c r="G556" s="35"/>
      <c r="H556" s="104"/>
      <c r="I556" s="35"/>
      <c r="J556" s="74"/>
      <c r="K556" s="74"/>
      <c r="L556" s="74"/>
      <c r="M556" s="74"/>
      <c r="N556" s="74"/>
      <c r="O556" s="74"/>
      <c r="P556" s="74"/>
      <c r="Q556" s="74"/>
      <c r="R556" s="74"/>
      <c r="S556" s="74"/>
      <c r="T556" s="74"/>
      <c r="U556" s="74"/>
      <c r="V556" s="74"/>
      <c r="W556" s="74"/>
      <c r="X556" s="74"/>
      <c r="Y556" s="74"/>
      <c r="Z556" s="74"/>
      <c r="AA556" s="74"/>
      <c r="AB556" s="74"/>
    </row>
    <row r="557" spans="1:28" ht="12" customHeight="1">
      <c r="A557" s="330"/>
      <c r="B557" s="314"/>
      <c r="C557" s="285"/>
      <c r="D557" s="108"/>
      <c r="E557" s="285"/>
      <c r="F557" s="285"/>
      <c r="G557" s="35"/>
      <c r="H557" s="104"/>
      <c r="I557" s="35"/>
      <c r="J557" s="74"/>
      <c r="K557" s="74"/>
      <c r="L557" s="74"/>
      <c r="M557" s="74"/>
      <c r="N557" s="74"/>
      <c r="O557" s="74"/>
      <c r="P557" s="74"/>
      <c r="Q557" s="74"/>
      <c r="R557" s="74"/>
      <c r="S557" s="74"/>
      <c r="T557" s="74"/>
      <c r="U557" s="74"/>
      <c r="V557" s="74"/>
      <c r="W557" s="74"/>
      <c r="X557" s="74"/>
      <c r="Y557" s="74"/>
      <c r="Z557" s="74"/>
      <c r="AA557" s="74"/>
      <c r="AB557" s="74"/>
    </row>
    <row r="558" spans="1:28" ht="12" customHeight="1">
      <c r="A558" s="330"/>
      <c r="B558" s="314"/>
      <c r="C558" s="285"/>
      <c r="D558" s="108"/>
      <c r="E558" s="285"/>
      <c r="F558" s="285"/>
      <c r="G558" s="35"/>
      <c r="H558" s="104"/>
      <c r="I558" s="35"/>
      <c r="J558" s="74"/>
      <c r="K558" s="74"/>
      <c r="L558" s="74"/>
      <c r="M558" s="74"/>
      <c r="N558" s="74"/>
      <c r="O558" s="74"/>
      <c r="P558" s="74"/>
      <c r="Q558" s="74"/>
      <c r="R558" s="74"/>
      <c r="S558" s="74"/>
      <c r="T558" s="74"/>
      <c r="U558" s="74"/>
      <c r="V558" s="74"/>
      <c r="W558" s="74"/>
      <c r="X558" s="74"/>
      <c r="Y558" s="74"/>
      <c r="Z558" s="74"/>
      <c r="AA558" s="74"/>
      <c r="AB558" s="74"/>
    </row>
    <row r="559" spans="1:28" ht="12" customHeight="1">
      <c r="A559" s="330"/>
      <c r="B559" s="314"/>
      <c r="C559" s="285"/>
      <c r="D559" s="108"/>
      <c r="E559" s="285"/>
      <c r="F559" s="285"/>
      <c r="G559" s="35"/>
      <c r="H559" s="104"/>
      <c r="I559" s="35"/>
      <c r="J559" s="74"/>
      <c r="K559" s="74"/>
      <c r="L559" s="74"/>
      <c r="M559" s="74"/>
      <c r="N559" s="74"/>
      <c r="O559" s="74"/>
      <c r="P559" s="74"/>
      <c r="Q559" s="74"/>
      <c r="R559" s="74"/>
      <c r="S559" s="74"/>
      <c r="T559" s="74"/>
      <c r="U559" s="74"/>
      <c r="V559" s="74"/>
      <c r="W559" s="74"/>
      <c r="X559" s="74"/>
      <c r="Y559" s="74"/>
      <c r="Z559" s="74"/>
      <c r="AA559" s="74"/>
      <c r="AB559" s="74"/>
    </row>
    <row r="560" spans="1:28" ht="12" customHeight="1">
      <c r="A560" s="330"/>
      <c r="B560" s="314"/>
      <c r="C560" s="285"/>
      <c r="D560" s="108"/>
      <c r="E560" s="285"/>
      <c r="F560" s="285"/>
      <c r="G560" s="35"/>
      <c r="H560" s="104"/>
      <c r="I560" s="35"/>
      <c r="J560" s="74"/>
      <c r="K560" s="74"/>
      <c r="L560" s="74"/>
      <c r="M560" s="74"/>
      <c r="N560" s="74"/>
      <c r="O560" s="74"/>
      <c r="P560" s="74"/>
      <c r="Q560" s="74"/>
      <c r="R560" s="74"/>
      <c r="S560" s="74"/>
      <c r="T560" s="74"/>
      <c r="U560" s="74"/>
      <c r="V560" s="74"/>
      <c r="W560" s="74"/>
      <c r="X560" s="74"/>
      <c r="Y560" s="74"/>
      <c r="Z560" s="74"/>
      <c r="AA560" s="74"/>
      <c r="AB560" s="74"/>
    </row>
    <row r="561" spans="1:28" ht="12" customHeight="1">
      <c r="A561" s="330"/>
      <c r="B561" s="314"/>
      <c r="C561" s="285"/>
      <c r="D561" s="108"/>
      <c r="E561" s="285"/>
      <c r="F561" s="285"/>
      <c r="G561" s="35"/>
      <c r="H561" s="104"/>
      <c r="I561" s="35"/>
      <c r="J561" s="74"/>
      <c r="K561" s="74"/>
      <c r="L561" s="74"/>
      <c r="M561" s="74"/>
      <c r="N561" s="74"/>
      <c r="O561" s="74"/>
      <c r="P561" s="74"/>
      <c r="Q561" s="74"/>
      <c r="R561" s="74"/>
      <c r="S561" s="74"/>
      <c r="T561" s="74"/>
      <c r="U561" s="74"/>
      <c r="V561" s="74"/>
      <c r="W561" s="74"/>
      <c r="X561" s="74"/>
      <c r="Y561" s="74"/>
      <c r="Z561" s="74"/>
      <c r="AA561" s="74"/>
      <c r="AB561" s="74"/>
    </row>
    <row r="562" spans="1:28" ht="12" customHeight="1">
      <c r="A562" s="330"/>
      <c r="B562" s="314"/>
      <c r="C562" s="285"/>
      <c r="D562" s="108"/>
      <c r="E562" s="285"/>
      <c r="F562" s="285"/>
      <c r="G562" s="35"/>
      <c r="H562" s="104"/>
      <c r="I562" s="35"/>
      <c r="J562" s="74"/>
      <c r="K562" s="74"/>
      <c r="L562" s="74"/>
      <c r="M562" s="74"/>
      <c r="N562" s="74"/>
      <c r="O562" s="74"/>
      <c r="P562" s="74"/>
      <c r="Q562" s="74"/>
      <c r="R562" s="74"/>
      <c r="S562" s="74"/>
      <c r="T562" s="74"/>
      <c r="U562" s="74"/>
      <c r="V562" s="74"/>
      <c r="W562" s="74"/>
      <c r="X562" s="74"/>
      <c r="Y562" s="74"/>
      <c r="Z562" s="74"/>
      <c r="AA562" s="74"/>
      <c r="AB562" s="74"/>
    </row>
    <row r="563" spans="1:28" ht="12" customHeight="1">
      <c r="A563" s="330"/>
      <c r="B563" s="314"/>
      <c r="C563" s="285"/>
      <c r="D563" s="108"/>
      <c r="E563" s="285"/>
      <c r="F563" s="285"/>
      <c r="G563" s="35"/>
      <c r="H563" s="104"/>
      <c r="I563" s="35"/>
      <c r="J563" s="74"/>
      <c r="K563" s="74"/>
      <c r="L563" s="74"/>
      <c r="M563" s="74"/>
      <c r="N563" s="74"/>
      <c r="O563" s="74"/>
      <c r="P563" s="74"/>
      <c r="Q563" s="74"/>
      <c r="R563" s="74"/>
      <c r="S563" s="74"/>
      <c r="T563" s="74"/>
      <c r="U563" s="74"/>
      <c r="V563" s="74"/>
      <c r="W563" s="74"/>
      <c r="X563" s="74"/>
      <c r="Y563" s="74"/>
      <c r="Z563" s="74"/>
      <c r="AA563" s="74"/>
      <c r="AB563" s="74"/>
    </row>
    <row r="564" spans="1:28" ht="12" customHeight="1">
      <c r="A564" s="330"/>
      <c r="B564" s="314"/>
      <c r="C564" s="285"/>
      <c r="D564" s="108"/>
      <c r="E564" s="285"/>
      <c r="F564" s="285"/>
      <c r="G564" s="35"/>
      <c r="H564" s="104"/>
      <c r="I564" s="35"/>
      <c r="J564" s="74"/>
      <c r="K564" s="74"/>
      <c r="L564" s="74"/>
      <c r="M564" s="74"/>
      <c r="N564" s="74"/>
      <c r="O564" s="74"/>
      <c r="P564" s="74"/>
      <c r="Q564" s="74"/>
      <c r="R564" s="74"/>
      <c r="S564" s="74"/>
      <c r="T564" s="74"/>
      <c r="U564" s="74"/>
      <c r="V564" s="74"/>
      <c r="W564" s="74"/>
      <c r="X564" s="74"/>
      <c r="Y564" s="74"/>
      <c r="Z564" s="74"/>
      <c r="AA564" s="74"/>
      <c r="AB564" s="74"/>
    </row>
    <row r="565" spans="1:28" ht="12" customHeight="1">
      <c r="A565" s="330"/>
      <c r="B565" s="314"/>
      <c r="C565" s="285"/>
      <c r="D565" s="108"/>
      <c r="E565" s="285"/>
      <c r="F565" s="285"/>
      <c r="G565" s="35"/>
      <c r="H565" s="104"/>
      <c r="I565" s="35"/>
      <c r="J565" s="74"/>
      <c r="K565" s="74"/>
      <c r="L565" s="74"/>
      <c r="M565" s="74"/>
      <c r="N565" s="74"/>
      <c r="O565" s="74"/>
      <c r="P565" s="74"/>
      <c r="Q565" s="74"/>
      <c r="R565" s="74"/>
      <c r="S565" s="74"/>
      <c r="T565" s="74"/>
      <c r="U565" s="74"/>
      <c r="V565" s="74"/>
      <c r="W565" s="74"/>
      <c r="X565" s="74"/>
      <c r="Y565" s="74"/>
      <c r="Z565" s="74"/>
      <c r="AA565" s="74"/>
      <c r="AB565" s="74"/>
    </row>
    <row r="566" spans="1:28" ht="12" customHeight="1">
      <c r="A566" s="330"/>
      <c r="B566" s="314"/>
      <c r="C566" s="285"/>
      <c r="D566" s="108"/>
      <c r="E566" s="285"/>
      <c r="F566" s="285"/>
      <c r="G566" s="35"/>
      <c r="H566" s="104"/>
      <c r="I566" s="35"/>
      <c r="J566" s="74"/>
      <c r="K566" s="74"/>
      <c r="L566" s="74"/>
      <c r="M566" s="74"/>
      <c r="N566" s="74"/>
      <c r="O566" s="74"/>
      <c r="P566" s="74"/>
      <c r="Q566" s="74"/>
      <c r="R566" s="74"/>
      <c r="S566" s="74"/>
      <c r="T566" s="74"/>
      <c r="U566" s="74"/>
      <c r="V566" s="74"/>
      <c r="W566" s="74"/>
      <c r="X566" s="74"/>
      <c r="Y566" s="74"/>
      <c r="Z566" s="74"/>
      <c r="AA566" s="74"/>
      <c r="AB566" s="74"/>
    </row>
    <row r="567" spans="1:28" ht="12" customHeight="1">
      <c r="A567" s="330"/>
      <c r="B567" s="314"/>
      <c r="C567" s="285"/>
      <c r="D567" s="108"/>
      <c r="E567" s="285"/>
      <c r="F567" s="285"/>
      <c r="G567" s="35"/>
      <c r="H567" s="104"/>
      <c r="I567" s="35"/>
      <c r="J567" s="74"/>
      <c r="K567" s="74"/>
      <c r="L567" s="74"/>
      <c r="M567" s="74"/>
      <c r="N567" s="74"/>
      <c r="O567" s="74"/>
      <c r="P567" s="74"/>
      <c r="Q567" s="74"/>
      <c r="R567" s="74"/>
      <c r="S567" s="74"/>
      <c r="T567" s="74"/>
      <c r="U567" s="74"/>
      <c r="V567" s="74"/>
      <c r="W567" s="74"/>
      <c r="X567" s="74"/>
      <c r="Y567" s="74"/>
      <c r="Z567" s="74"/>
      <c r="AA567" s="74"/>
      <c r="AB567" s="74"/>
    </row>
    <row r="568" spans="1:28" ht="12" customHeight="1">
      <c r="A568" s="330"/>
      <c r="B568" s="314"/>
      <c r="C568" s="285"/>
      <c r="D568" s="108"/>
      <c r="E568" s="285"/>
      <c r="F568" s="285"/>
      <c r="G568" s="35"/>
      <c r="H568" s="104"/>
      <c r="I568" s="35"/>
      <c r="J568" s="74"/>
      <c r="K568" s="74"/>
      <c r="L568" s="74"/>
      <c r="M568" s="74"/>
      <c r="N568" s="74"/>
      <c r="O568" s="74"/>
      <c r="P568" s="74"/>
      <c r="Q568" s="74"/>
      <c r="R568" s="74"/>
      <c r="S568" s="74"/>
      <c r="T568" s="74"/>
      <c r="U568" s="74"/>
      <c r="V568" s="74"/>
      <c r="W568" s="74"/>
      <c r="X568" s="74"/>
      <c r="Y568" s="74"/>
      <c r="Z568" s="74"/>
      <c r="AA568" s="74"/>
      <c r="AB568" s="74"/>
    </row>
    <row r="569" spans="1:28" ht="12" customHeight="1">
      <c r="A569" s="330"/>
      <c r="B569" s="314"/>
      <c r="C569" s="285"/>
      <c r="D569" s="108"/>
      <c r="E569" s="285"/>
      <c r="F569" s="285"/>
      <c r="G569" s="35"/>
      <c r="H569" s="104"/>
      <c r="I569" s="35"/>
      <c r="J569" s="74"/>
      <c r="K569" s="74"/>
      <c r="L569" s="74"/>
      <c r="M569" s="74"/>
      <c r="N569" s="74"/>
      <c r="O569" s="74"/>
      <c r="P569" s="74"/>
      <c r="Q569" s="74"/>
      <c r="R569" s="74"/>
      <c r="S569" s="74"/>
      <c r="T569" s="74"/>
      <c r="U569" s="74"/>
      <c r="V569" s="74"/>
      <c r="W569" s="74"/>
      <c r="X569" s="74"/>
      <c r="Y569" s="74"/>
      <c r="Z569" s="74"/>
      <c r="AA569" s="74"/>
      <c r="AB569" s="74"/>
    </row>
    <row r="570" spans="1:28" ht="12" customHeight="1">
      <c r="A570" s="330"/>
      <c r="B570" s="314"/>
      <c r="C570" s="285"/>
      <c r="D570" s="108"/>
      <c r="E570" s="285"/>
      <c r="F570" s="285"/>
      <c r="G570" s="35"/>
      <c r="H570" s="104"/>
      <c r="I570" s="35"/>
      <c r="J570" s="74"/>
      <c r="K570" s="74"/>
      <c r="L570" s="74"/>
      <c r="M570" s="74"/>
      <c r="N570" s="74"/>
      <c r="O570" s="74"/>
      <c r="P570" s="74"/>
      <c r="Q570" s="74"/>
      <c r="R570" s="74"/>
      <c r="S570" s="74"/>
      <c r="T570" s="74"/>
      <c r="U570" s="74"/>
      <c r="V570" s="74"/>
      <c r="W570" s="74"/>
      <c r="X570" s="74"/>
      <c r="Y570" s="74"/>
      <c r="Z570" s="74"/>
      <c r="AA570" s="74"/>
      <c r="AB570" s="74"/>
    </row>
    <row r="571" spans="1:28" ht="12" customHeight="1">
      <c r="A571" s="330"/>
      <c r="B571" s="314"/>
      <c r="C571" s="285"/>
      <c r="D571" s="108"/>
      <c r="E571" s="285"/>
      <c r="F571" s="285"/>
      <c r="G571" s="35"/>
      <c r="H571" s="104"/>
      <c r="I571" s="35"/>
      <c r="J571" s="74"/>
      <c r="K571" s="74"/>
      <c r="L571" s="74"/>
      <c r="M571" s="74"/>
      <c r="N571" s="74"/>
      <c r="O571" s="74"/>
      <c r="P571" s="74"/>
      <c r="Q571" s="74"/>
      <c r="R571" s="74"/>
      <c r="S571" s="74"/>
      <c r="T571" s="74"/>
      <c r="U571" s="74"/>
      <c r="V571" s="74"/>
      <c r="W571" s="74"/>
      <c r="X571" s="74"/>
      <c r="Y571" s="74"/>
      <c r="Z571" s="74"/>
      <c r="AA571" s="74"/>
      <c r="AB571" s="74"/>
    </row>
    <row r="572" spans="1:28" ht="12" customHeight="1">
      <c r="A572" s="330"/>
      <c r="B572" s="314"/>
      <c r="C572" s="285"/>
      <c r="D572" s="108"/>
      <c r="E572" s="285"/>
      <c r="F572" s="285"/>
      <c r="G572" s="35"/>
      <c r="H572" s="104"/>
      <c r="I572" s="35"/>
      <c r="J572" s="74"/>
      <c r="K572" s="74"/>
      <c r="L572" s="74"/>
      <c r="M572" s="74"/>
      <c r="N572" s="74"/>
      <c r="O572" s="74"/>
      <c r="P572" s="74"/>
      <c r="Q572" s="74"/>
      <c r="R572" s="74"/>
      <c r="S572" s="74"/>
      <c r="T572" s="74"/>
      <c r="U572" s="74"/>
      <c r="V572" s="74"/>
      <c r="W572" s="74"/>
      <c r="X572" s="74"/>
      <c r="Y572" s="74"/>
      <c r="Z572" s="74"/>
      <c r="AA572" s="74"/>
      <c r="AB572" s="74"/>
    </row>
    <row r="573" spans="1:28" ht="12" customHeight="1">
      <c r="A573" s="330"/>
      <c r="B573" s="314"/>
      <c r="C573" s="285"/>
      <c r="D573" s="108"/>
      <c r="E573" s="285"/>
      <c r="F573" s="285"/>
      <c r="G573" s="35"/>
      <c r="H573" s="104"/>
      <c r="I573" s="35"/>
      <c r="J573" s="74"/>
      <c r="K573" s="74"/>
      <c r="L573" s="74"/>
      <c r="M573" s="74"/>
      <c r="N573" s="74"/>
      <c r="O573" s="74"/>
      <c r="P573" s="74"/>
      <c r="Q573" s="74"/>
      <c r="R573" s="74"/>
      <c r="S573" s="74"/>
      <c r="T573" s="74"/>
      <c r="U573" s="74"/>
      <c r="V573" s="74"/>
      <c r="W573" s="74"/>
      <c r="X573" s="74"/>
      <c r="Y573" s="74"/>
      <c r="Z573" s="74"/>
      <c r="AA573" s="74"/>
      <c r="AB573" s="74"/>
    </row>
    <row r="574" spans="1:28" ht="12" customHeight="1">
      <c r="A574" s="330"/>
      <c r="B574" s="314"/>
      <c r="C574" s="285"/>
      <c r="D574" s="108"/>
      <c r="E574" s="285"/>
      <c r="F574" s="285"/>
      <c r="G574" s="35"/>
      <c r="H574" s="104"/>
      <c r="I574" s="35"/>
      <c r="J574" s="74"/>
      <c r="K574" s="74"/>
      <c r="L574" s="74"/>
      <c r="M574" s="74"/>
      <c r="N574" s="74"/>
      <c r="O574" s="74"/>
      <c r="P574" s="74"/>
      <c r="Q574" s="74"/>
      <c r="R574" s="74"/>
      <c r="S574" s="74"/>
      <c r="T574" s="74"/>
      <c r="U574" s="74"/>
      <c r="V574" s="74"/>
      <c r="W574" s="74"/>
      <c r="X574" s="74"/>
      <c r="Y574" s="74"/>
      <c r="Z574" s="74"/>
      <c r="AA574" s="74"/>
      <c r="AB574" s="74"/>
    </row>
    <row r="575" spans="1:28" ht="12" customHeight="1">
      <c r="A575" s="330"/>
      <c r="B575" s="314"/>
      <c r="C575" s="285"/>
      <c r="D575" s="108"/>
      <c r="E575" s="285"/>
      <c r="F575" s="285"/>
      <c r="G575" s="35"/>
      <c r="H575" s="104"/>
      <c r="I575" s="35"/>
      <c r="J575" s="74"/>
      <c r="K575" s="74"/>
      <c r="L575" s="74"/>
      <c r="M575" s="74"/>
      <c r="N575" s="74"/>
      <c r="O575" s="74"/>
      <c r="P575" s="74"/>
      <c r="Q575" s="74"/>
      <c r="R575" s="74"/>
      <c r="S575" s="74"/>
      <c r="T575" s="74"/>
      <c r="U575" s="74"/>
      <c r="V575" s="74"/>
      <c r="W575" s="74"/>
      <c r="X575" s="74"/>
      <c r="Y575" s="74"/>
      <c r="Z575" s="74"/>
      <c r="AA575" s="74"/>
      <c r="AB575" s="74"/>
    </row>
    <row r="576" spans="1:28" ht="12" customHeight="1">
      <c r="A576" s="330"/>
      <c r="B576" s="314"/>
      <c r="C576" s="285"/>
      <c r="D576" s="108"/>
      <c r="E576" s="285"/>
      <c r="F576" s="285"/>
      <c r="G576" s="35"/>
      <c r="H576" s="104"/>
      <c r="I576" s="35"/>
      <c r="J576" s="74"/>
      <c r="K576" s="74"/>
      <c r="L576" s="74"/>
      <c r="M576" s="74"/>
      <c r="N576" s="74"/>
      <c r="O576" s="74"/>
      <c r="P576" s="74"/>
      <c r="Q576" s="74"/>
      <c r="R576" s="74"/>
      <c r="S576" s="74"/>
      <c r="T576" s="74"/>
      <c r="U576" s="74"/>
      <c r="V576" s="74"/>
      <c r="W576" s="74"/>
      <c r="X576" s="74"/>
      <c r="Y576" s="74"/>
      <c r="Z576" s="74"/>
      <c r="AA576" s="74"/>
      <c r="AB576" s="74"/>
    </row>
    <row r="577" spans="1:28" ht="12" customHeight="1">
      <c r="A577" s="330"/>
      <c r="B577" s="314"/>
      <c r="C577" s="285"/>
      <c r="D577" s="108"/>
      <c r="E577" s="285"/>
      <c r="F577" s="285"/>
      <c r="G577" s="35"/>
      <c r="H577" s="104"/>
      <c r="I577" s="35"/>
      <c r="J577" s="74"/>
      <c r="K577" s="74"/>
      <c r="L577" s="74"/>
      <c r="M577" s="74"/>
      <c r="N577" s="74"/>
      <c r="O577" s="74"/>
      <c r="P577" s="74"/>
      <c r="Q577" s="74"/>
      <c r="R577" s="74"/>
      <c r="S577" s="74"/>
      <c r="T577" s="74"/>
      <c r="U577" s="74"/>
      <c r="V577" s="74"/>
      <c r="W577" s="74"/>
      <c r="X577" s="74"/>
      <c r="Y577" s="74"/>
      <c r="Z577" s="74"/>
      <c r="AA577" s="74"/>
      <c r="AB577" s="74"/>
    </row>
    <row r="578" spans="1:28" ht="12" customHeight="1">
      <c r="A578" s="330"/>
      <c r="B578" s="314"/>
      <c r="C578" s="285"/>
      <c r="D578" s="108"/>
      <c r="E578" s="285"/>
      <c r="F578" s="285"/>
      <c r="G578" s="35"/>
      <c r="H578" s="104"/>
      <c r="I578" s="35"/>
      <c r="J578" s="74"/>
      <c r="K578" s="74"/>
      <c r="L578" s="74"/>
      <c r="M578" s="74"/>
      <c r="N578" s="74"/>
      <c r="O578" s="74"/>
      <c r="P578" s="74"/>
      <c r="Q578" s="74"/>
      <c r="R578" s="74"/>
      <c r="S578" s="74"/>
      <c r="T578" s="74"/>
      <c r="U578" s="74"/>
      <c r="V578" s="74"/>
      <c r="W578" s="74"/>
      <c r="X578" s="74"/>
      <c r="Y578" s="74"/>
      <c r="Z578" s="74"/>
      <c r="AA578" s="74"/>
      <c r="AB578" s="74"/>
    </row>
    <row r="579" spans="1:28" ht="12" customHeight="1">
      <c r="A579" s="330"/>
      <c r="B579" s="314"/>
      <c r="C579" s="285"/>
      <c r="D579" s="108"/>
      <c r="E579" s="285"/>
      <c r="F579" s="285"/>
      <c r="G579" s="35"/>
      <c r="H579" s="104"/>
      <c r="I579" s="35"/>
      <c r="J579" s="74"/>
      <c r="K579" s="74"/>
      <c r="L579" s="74"/>
      <c r="M579" s="74"/>
      <c r="N579" s="74"/>
      <c r="O579" s="74"/>
      <c r="P579" s="74"/>
      <c r="Q579" s="74"/>
      <c r="R579" s="74"/>
      <c r="S579" s="74"/>
      <c r="T579" s="74"/>
      <c r="U579" s="74"/>
      <c r="V579" s="74"/>
      <c r="W579" s="74"/>
      <c r="X579" s="74"/>
      <c r="Y579" s="74"/>
      <c r="Z579" s="74"/>
      <c r="AA579" s="74"/>
      <c r="AB579" s="74"/>
    </row>
    <row r="580" spans="1:28" ht="12" customHeight="1">
      <c r="A580" s="330"/>
      <c r="B580" s="314"/>
      <c r="C580" s="285"/>
      <c r="D580" s="108"/>
      <c r="E580" s="285"/>
      <c r="F580" s="285"/>
      <c r="G580" s="35"/>
      <c r="H580" s="104"/>
      <c r="I580" s="35"/>
      <c r="J580" s="74"/>
      <c r="K580" s="74"/>
      <c r="L580" s="74"/>
      <c r="M580" s="74"/>
      <c r="N580" s="74"/>
      <c r="O580" s="74"/>
      <c r="P580" s="74"/>
      <c r="Q580" s="74"/>
      <c r="R580" s="74"/>
      <c r="S580" s="74"/>
      <c r="T580" s="74"/>
      <c r="U580" s="74"/>
      <c r="V580" s="74"/>
      <c r="W580" s="74"/>
      <c r="X580" s="74"/>
      <c r="Y580" s="74"/>
      <c r="Z580" s="74"/>
      <c r="AA580" s="74"/>
      <c r="AB580" s="74"/>
    </row>
    <row r="581" spans="1:28" ht="12" customHeight="1">
      <c r="A581" s="330"/>
      <c r="B581" s="314"/>
      <c r="C581" s="285"/>
      <c r="D581" s="108"/>
      <c r="E581" s="285"/>
      <c r="F581" s="285"/>
      <c r="G581" s="35"/>
      <c r="H581" s="104"/>
      <c r="I581" s="35"/>
      <c r="J581" s="74"/>
      <c r="K581" s="74"/>
      <c r="L581" s="74"/>
      <c r="M581" s="74"/>
      <c r="N581" s="74"/>
      <c r="O581" s="74"/>
      <c r="P581" s="74"/>
      <c r="Q581" s="74"/>
      <c r="R581" s="74"/>
      <c r="S581" s="74"/>
      <c r="T581" s="74"/>
      <c r="U581" s="74"/>
      <c r="V581" s="74"/>
      <c r="W581" s="74"/>
      <c r="X581" s="74"/>
      <c r="Y581" s="74"/>
      <c r="Z581" s="74"/>
      <c r="AA581" s="74"/>
      <c r="AB581" s="74"/>
    </row>
    <row r="582" spans="1:28" ht="12" customHeight="1">
      <c r="A582" s="330"/>
      <c r="B582" s="314"/>
      <c r="C582" s="285"/>
      <c r="D582" s="108"/>
      <c r="E582" s="285"/>
      <c r="F582" s="285"/>
      <c r="G582" s="35"/>
      <c r="H582" s="104"/>
      <c r="I582" s="35"/>
      <c r="J582" s="74"/>
      <c r="K582" s="74"/>
      <c r="L582" s="74"/>
      <c r="M582" s="74"/>
      <c r="N582" s="74"/>
      <c r="O582" s="74"/>
      <c r="P582" s="74"/>
      <c r="Q582" s="74"/>
      <c r="R582" s="74"/>
      <c r="S582" s="74"/>
      <c r="T582" s="74"/>
      <c r="U582" s="74"/>
      <c r="V582" s="74"/>
      <c r="W582" s="74"/>
      <c r="X582" s="74"/>
      <c r="Y582" s="74"/>
      <c r="Z582" s="74"/>
      <c r="AA582" s="74"/>
      <c r="AB582" s="74"/>
    </row>
    <row r="583" spans="1:28" ht="12" customHeight="1">
      <c r="A583" s="330"/>
      <c r="B583" s="314"/>
      <c r="C583" s="285"/>
      <c r="D583" s="108"/>
      <c r="E583" s="285"/>
      <c r="F583" s="285"/>
      <c r="G583" s="35"/>
      <c r="H583" s="104"/>
      <c r="I583" s="35"/>
      <c r="J583" s="74"/>
      <c r="K583" s="74"/>
      <c r="L583" s="74"/>
      <c r="M583" s="74"/>
      <c r="N583" s="74"/>
      <c r="O583" s="74"/>
      <c r="P583" s="74"/>
      <c r="Q583" s="74"/>
      <c r="R583" s="74"/>
      <c r="S583" s="74"/>
      <c r="T583" s="74"/>
      <c r="U583" s="74"/>
      <c r="V583" s="74"/>
      <c r="W583" s="74"/>
      <c r="X583" s="74"/>
      <c r="Y583" s="74"/>
      <c r="Z583" s="74"/>
      <c r="AA583" s="74"/>
      <c r="AB583" s="74"/>
    </row>
    <row r="584" spans="1:28" ht="12" customHeight="1">
      <c r="A584" s="330"/>
      <c r="B584" s="314"/>
      <c r="C584" s="285"/>
      <c r="D584" s="108"/>
      <c r="E584" s="285"/>
      <c r="F584" s="285"/>
      <c r="G584" s="35"/>
      <c r="H584" s="104"/>
      <c r="I584" s="35"/>
      <c r="J584" s="74"/>
      <c r="K584" s="74"/>
      <c r="L584" s="74"/>
      <c r="M584" s="74"/>
      <c r="N584" s="74"/>
      <c r="O584" s="74"/>
      <c r="P584" s="74"/>
      <c r="Q584" s="74"/>
      <c r="R584" s="74"/>
      <c r="S584" s="74"/>
      <c r="T584" s="74"/>
      <c r="U584" s="74"/>
      <c r="V584" s="74"/>
      <c r="W584" s="74"/>
      <c r="X584" s="74"/>
      <c r="Y584" s="74"/>
      <c r="Z584" s="74"/>
      <c r="AA584" s="74"/>
      <c r="AB584" s="74"/>
    </row>
    <row r="585" spans="1:28" ht="12" customHeight="1">
      <c r="A585" s="330"/>
      <c r="B585" s="314"/>
      <c r="C585" s="285"/>
      <c r="D585" s="108"/>
      <c r="E585" s="285"/>
      <c r="F585" s="285"/>
      <c r="G585" s="35"/>
      <c r="H585" s="104"/>
      <c r="I585" s="35"/>
      <c r="J585" s="74"/>
      <c r="K585" s="74"/>
      <c r="L585" s="74"/>
      <c r="M585" s="74"/>
      <c r="N585" s="74"/>
      <c r="O585" s="74"/>
      <c r="P585" s="74"/>
      <c r="Q585" s="74"/>
      <c r="R585" s="74"/>
      <c r="S585" s="74"/>
      <c r="T585" s="74"/>
      <c r="U585" s="74"/>
      <c r="V585" s="74"/>
      <c r="W585" s="74"/>
      <c r="X585" s="74"/>
      <c r="Y585" s="74"/>
      <c r="Z585" s="74"/>
      <c r="AA585" s="74"/>
      <c r="AB585" s="74"/>
    </row>
    <row r="586" spans="1:28" ht="12" customHeight="1">
      <c r="A586" s="330"/>
      <c r="B586" s="314"/>
      <c r="C586" s="285"/>
      <c r="D586" s="108"/>
      <c r="E586" s="285"/>
      <c r="F586" s="285"/>
      <c r="G586" s="35"/>
      <c r="H586" s="104"/>
      <c r="I586" s="35"/>
      <c r="J586" s="74"/>
      <c r="K586" s="74"/>
      <c r="L586" s="74"/>
      <c r="M586" s="74"/>
      <c r="N586" s="74"/>
      <c r="O586" s="74"/>
      <c r="P586" s="74"/>
      <c r="Q586" s="74"/>
      <c r="R586" s="74"/>
      <c r="S586" s="74"/>
      <c r="T586" s="74"/>
      <c r="U586" s="74"/>
      <c r="V586" s="74"/>
      <c r="W586" s="74"/>
      <c r="X586" s="74"/>
      <c r="Y586" s="74"/>
      <c r="Z586" s="74"/>
      <c r="AA586" s="74"/>
      <c r="AB586" s="74"/>
    </row>
    <row r="587" spans="1:28" ht="12" customHeight="1">
      <c r="A587" s="330"/>
      <c r="B587" s="314"/>
      <c r="C587" s="285"/>
      <c r="D587" s="108"/>
      <c r="E587" s="285"/>
      <c r="F587" s="285"/>
      <c r="G587" s="35"/>
      <c r="H587" s="104"/>
      <c r="I587" s="35"/>
      <c r="J587" s="74"/>
      <c r="K587" s="74"/>
      <c r="L587" s="74"/>
      <c r="M587" s="74"/>
      <c r="N587" s="74"/>
      <c r="O587" s="74"/>
      <c r="P587" s="74"/>
      <c r="Q587" s="74"/>
      <c r="R587" s="74"/>
      <c r="S587" s="74"/>
      <c r="T587" s="74"/>
      <c r="U587" s="74"/>
      <c r="V587" s="74"/>
      <c r="W587" s="74"/>
      <c r="X587" s="74"/>
      <c r="Y587" s="74"/>
      <c r="Z587" s="74"/>
      <c r="AA587" s="74"/>
      <c r="AB587" s="74"/>
    </row>
    <row r="588" spans="1:28" ht="12" customHeight="1">
      <c r="A588" s="330"/>
      <c r="B588" s="314"/>
      <c r="C588" s="285"/>
      <c r="D588" s="108"/>
      <c r="E588" s="285"/>
      <c r="F588" s="285"/>
      <c r="G588" s="35"/>
      <c r="H588" s="104"/>
      <c r="I588" s="35"/>
      <c r="J588" s="74"/>
      <c r="K588" s="74"/>
      <c r="L588" s="74"/>
      <c r="M588" s="74"/>
      <c r="N588" s="74"/>
      <c r="O588" s="74"/>
      <c r="P588" s="74"/>
      <c r="Q588" s="74"/>
      <c r="R588" s="74"/>
      <c r="S588" s="74"/>
      <c r="T588" s="74"/>
      <c r="U588" s="74"/>
      <c r="V588" s="74"/>
      <c r="W588" s="74"/>
      <c r="X588" s="74"/>
      <c r="Y588" s="74"/>
      <c r="Z588" s="74"/>
      <c r="AA588" s="74"/>
      <c r="AB588" s="74"/>
    </row>
    <row r="589" spans="1:28" ht="12" customHeight="1">
      <c r="A589" s="330"/>
      <c r="B589" s="314"/>
      <c r="C589" s="285"/>
      <c r="D589" s="108"/>
      <c r="E589" s="285"/>
      <c r="F589" s="285"/>
      <c r="G589" s="35"/>
      <c r="H589" s="104"/>
      <c r="I589" s="35"/>
      <c r="J589" s="74"/>
      <c r="K589" s="74"/>
      <c r="L589" s="74"/>
      <c r="M589" s="74"/>
      <c r="N589" s="74"/>
      <c r="O589" s="74"/>
      <c r="P589" s="74"/>
      <c r="Q589" s="74"/>
      <c r="R589" s="74"/>
      <c r="S589" s="74"/>
      <c r="T589" s="74"/>
      <c r="U589" s="74"/>
      <c r="V589" s="74"/>
      <c r="W589" s="74"/>
      <c r="X589" s="74"/>
      <c r="Y589" s="74"/>
      <c r="Z589" s="74"/>
      <c r="AA589" s="74"/>
      <c r="AB589" s="74"/>
    </row>
    <row r="590" spans="1:28" ht="12" customHeight="1">
      <c r="A590" s="330"/>
      <c r="B590" s="314"/>
      <c r="C590" s="285"/>
      <c r="D590" s="108"/>
      <c r="E590" s="285"/>
      <c r="F590" s="285"/>
      <c r="G590" s="35"/>
      <c r="H590" s="104"/>
      <c r="I590" s="35"/>
      <c r="J590" s="74"/>
      <c r="K590" s="74"/>
      <c r="L590" s="74"/>
      <c r="M590" s="74"/>
      <c r="N590" s="74"/>
      <c r="O590" s="74"/>
      <c r="P590" s="74"/>
      <c r="Q590" s="74"/>
      <c r="R590" s="74"/>
      <c r="S590" s="74"/>
      <c r="T590" s="74"/>
      <c r="U590" s="74"/>
      <c r="V590" s="74"/>
      <c r="W590" s="74"/>
      <c r="X590" s="74"/>
      <c r="Y590" s="74"/>
      <c r="Z590" s="74"/>
      <c r="AA590" s="74"/>
      <c r="AB590" s="74"/>
    </row>
    <row r="591" spans="1:28" ht="12" customHeight="1">
      <c r="A591" s="330"/>
      <c r="B591" s="314"/>
      <c r="C591" s="285"/>
      <c r="D591" s="108"/>
      <c r="E591" s="285"/>
      <c r="F591" s="285"/>
      <c r="G591" s="35"/>
      <c r="H591" s="104"/>
      <c r="I591" s="35"/>
      <c r="J591" s="74"/>
      <c r="K591" s="74"/>
      <c r="L591" s="74"/>
      <c r="M591" s="74"/>
      <c r="N591" s="74"/>
      <c r="O591" s="74"/>
      <c r="P591" s="74"/>
      <c r="Q591" s="74"/>
      <c r="R591" s="74"/>
      <c r="S591" s="74"/>
      <c r="T591" s="74"/>
      <c r="U591" s="74"/>
      <c r="V591" s="74"/>
      <c r="W591" s="74"/>
      <c r="X591" s="74"/>
      <c r="Y591" s="74"/>
      <c r="Z591" s="74"/>
      <c r="AA591" s="74"/>
      <c r="AB591" s="74"/>
    </row>
    <row r="592" spans="1:28" ht="12" customHeight="1">
      <c r="A592" s="330"/>
      <c r="B592" s="314"/>
      <c r="C592" s="285"/>
      <c r="D592" s="108"/>
      <c r="E592" s="285"/>
      <c r="F592" s="285"/>
      <c r="G592" s="35"/>
      <c r="H592" s="104"/>
      <c r="I592" s="35"/>
      <c r="J592" s="74"/>
      <c r="K592" s="74"/>
      <c r="L592" s="74"/>
      <c r="M592" s="74"/>
      <c r="N592" s="74"/>
      <c r="O592" s="74"/>
      <c r="P592" s="74"/>
      <c r="Q592" s="74"/>
      <c r="R592" s="74"/>
      <c r="S592" s="74"/>
      <c r="T592" s="74"/>
      <c r="U592" s="74"/>
      <c r="V592" s="74"/>
      <c r="W592" s="74"/>
      <c r="X592" s="74"/>
      <c r="Y592" s="74"/>
      <c r="Z592" s="74"/>
      <c r="AA592" s="74"/>
      <c r="AB592" s="74"/>
    </row>
    <row r="593" spans="1:28" ht="12" customHeight="1">
      <c r="A593" s="330"/>
      <c r="B593" s="314"/>
      <c r="C593" s="285"/>
      <c r="D593" s="108"/>
      <c r="E593" s="285"/>
      <c r="F593" s="285"/>
      <c r="G593" s="35"/>
      <c r="H593" s="104"/>
      <c r="I593" s="35"/>
      <c r="J593" s="74"/>
      <c r="K593" s="74"/>
      <c r="L593" s="74"/>
      <c r="M593" s="74"/>
      <c r="N593" s="74"/>
      <c r="O593" s="74"/>
      <c r="P593" s="74"/>
      <c r="Q593" s="74"/>
      <c r="R593" s="74"/>
      <c r="S593" s="74"/>
      <c r="T593" s="74"/>
      <c r="U593" s="74"/>
      <c r="V593" s="74"/>
      <c r="W593" s="74"/>
      <c r="X593" s="74"/>
      <c r="Y593" s="74"/>
      <c r="Z593" s="74"/>
      <c r="AA593" s="74"/>
      <c r="AB593" s="74"/>
    </row>
    <row r="594" spans="1:28" ht="12" customHeight="1">
      <c r="A594" s="330"/>
      <c r="B594" s="314"/>
      <c r="C594" s="285"/>
      <c r="D594" s="108"/>
      <c r="E594" s="285"/>
      <c r="F594" s="285"/>
      <c r="G594" s="35"/>
      <c r="H594" s="104"/>
      <c r="I594" s="35"/>
      <c r="J594" s="74"/>
      <c r="K594" s="74"/>
      <c r="L594" s="74"/>
      <c r="M594" s="74"/>
      <c r="N594" s="74"/>
      <c r="O594" s="74"/>
      <c r="P594" s="74"/>
      <c r="Q594" s="74"/>
      <c r="R594" s="74"/>
      <c r="S594" s="74"/>
      <c r="T594" s="74"/>
      <c r="U594" s="74"/>
      <c r="V594" s="74"/>
      <c r="W594" s="74"/>
      <c r="X594" s="74"/>
      <c r="Y594" s="74"/>
      <c r="Z594" s="74"/>
      <c r="AA594" s="74"/>
      <c r="AB594" s="74"/>
    </row>
    <row r="595" spans="1:28" ht="12" customHeight="1">
      <c r="A595" s="330"/>
      <c r="B595" s="314"/>
      <c r="C595" s="285"/>
      <c r="D595" s="108"/>
      <c r="E595" s="285"/>
      <c r="F595" s="285"/>
      <c r="G595" s="35"/>
      <c r="H595" s="104"/>
      <c r="I595" s="35"/>
      <c r="J595" s="74"/>
      <c r="K595" s="74"/>
      <c r="L595" s="74"/>
      <c r="M595" s="74"/>
      <c r="N595" s="74"/>
      <c r="O595" s="74"/>
      <c r="P595" s="74"/>
      <c r="Q595" s="74"/>
      <c r="R595" s="74"/>
      <c r="S595" s="74"/>
      <c r="T595" s="74"/>
      <c r="U595" s="74"/>
      <c r="V595" s="74"/>
      <c r="W595" s="74"/>
      <c r="X595" s="74"/>
      <c r="Y595" s="74"/>
      <c r="Z595" s="74"/>
      <c r="AA595" s="74"/>
      <c r="AB595" s="74"/>
    </row>
    <row r="596" spans="1:28" ht="12" customHeight="1">
      <c r="A596" s="330"/>
      <c r="B596" s="314"/>
      <c r="C596" s="285"/>
      <c r="D596" s="108"/>
      <c r="E596" s="285"/>
      <c r="F596" s="285"/>
      <c r="G596" s="35"/>
      <c r="H596" s="104"/>
      <c r="I596" s="35"/>
      <c r="J596" s="74"/>
      <c r="K596" s="74"/>
      <c r="L596" s="74"/>
      <c r="M596" s="74"/>
      <c r="N596" s="74"/>
      <c r="O596" s="74"/>
      <c r="P596" s="74"/>
      <c r="Q596" s="74"/>
      <c r="R596" s="74"/>
      <c r="S596" s="74"/>
      <c r="T596" s="74"/>
      <c r="U596" s="74"/>
      <c r="V596" s="74"/>
      <c r="W596" s="74"/>
      <c r="X596" s="74"/>
      <c r="Y596" s="74"/>
      <c r="Z596" s="74"/>
      <c r="AA596" s="74"/>
      <c r="AB596" s="74"/>
    </row>
    <row r="597" spans="1:28" ht="12" customHeight="1">
      <c r="A597" s="330"/>
      <c r="B597" s="314"/>
      <c r="C597" s="285"/>
      <c r="D597" s="108"/>
      <c r="E597" s="285"/>
      <c r="F597" s="285"/>
      <c r="G597" s="35"/>
      <c r="H597" s="104"/>
      <c r="I597" s="35"/>
      <c r="J597" s="74"/>
      <c r="K597" s="74"/>
      <c r="L597" s="74"/>
      <c r="M597" s="74"/>
      <c r="N597" s="74"/>
      <c r="O597" s="74"/>
      <c r="P597" s="74"/>
      <c r="Q597" s="74"/>
      <c r="R597" s="74"/>
      <c r="S597" s="74"/>
      <c r="T597" s="74"/>
      <c r="U597" s="74"/>
      <c r="V597" s="74"/>
      <c r="W597" s="74"/>
      <c r="X597" s="74"/>
      <c r="Y597" s="74"/>
      <c r="Z597" s="74"/>
      <c r="AA597" s="74"/>
      <c r="AB597" s="74"/>
    </row>
    <row r="598" spans="1:28" ht="12" customHeight="1">
      <c r="A598" s="330"/>
      <c r="B598" s="314"/>
      <c r="C598" s="285"/>
      <c r="D598" s="108"/>
      <c r="E598" s="285"/>
      <c r="F598" s="285"/>
      <c r="G598" s="35"/>
      <c r="H598" s="104"/>
      <c r="I598" s="35"/>
      <c r="J598" s="74"/>
      <c r="K598" s="74"/>
      <c r="L598" s="74"/>
      <c r="M598" s="74"/>
      <c r="N598" s="74"/>
      <c r="O598" s="74"/>
      <c r="P598" s="74"/>
      <c r="Q598" s="74"/>
      <c r="R598" s="74"/>
      <c r="S598" s="74"/>
      <c r="T598" s="74"/>
      <c r="U598" s="74"/>
      <c r="V598" s="74"/>
      <c r="W598" s="74"/>
      <c r="X598" s="74"/>
      <c r="Y598" s="74"/>
      <c r="Z598" s="74"/>
      <c r="AA598" s="74"/>
      <c r="AB598" s="74"/>
    </row>
    <row r="599" spans="1:28" ht="12" customHeight="1">
      <c r="A599" s="330"/>
      <c r="B599" s="314"/>
      <c r="C599" s="285"/>
      <c r="D599" s="108"/>
      <c r="E599" s="285"/>
      <c r="F599" s="285"/>
      <c r="G599" s="35"/>
      <c r="H599" s="104"/>
      <c r="I599" s="35"/>
      <c r="J599" s="74"/>
      <c r="K599" s="74"/>
      <c r="L599" s="74"/>
      <c r="M599" s="74"/>
      <c r="N599" s="74"/>
      <c r="O599" s="74"/>
      <c r="P599" s="74"/>
      <c r="Q599" s="74"/>
      <c r="R599" s="74"/>
      <c r="S599" s="74"/>
      <c r="T599" s="74"/>
      <c r="U599" s="74"/>
      <c r="V599" s="74"/>
      <c r="W599" s="74"/>
      <c r="X599" s="74"/>
      <c r="Y599" s="74"/>
      <c r="Z599" s="74"/>
      <c r="AA599" s="74"/>
      <c r="AB599" s="74"/>
    </row>
    <row r="600" spans="1:28" ht="12" customHeight="1">
      <c r="A600" s="330"/>
      <c r="B600" s="314"/>
      <c r="C600" s="285"/>
      <c r="D600" s="108"/>
      <c r="E600" s="285"/>
      <c r="F600" s="285"/>
      <c r="G600" s="35"/>
      <c r="H600" s="104"/>
      <c r="I600" s="35"/>
      <c r="J600" s="74"/>
      <c r="K600" s="74"/>
      <c r="L600" s="74"/>
      <c r="M600" s="74"/>
      <c r="N600" s="74"/>
      <c r="O600" s="74"/>
      <c r="P600" s="74"/>
      <c r="Q600" s="74"/>
      <c r="R600" s="74"/>
      <c r="S600" s="74"/>
      <c r="T600" s="74"/>
      <c r="U600" s="74"/>
      <c r="V600" s="74"/>
      <c r="W600" s="74"/>
      <c r="X600" s="74"/>
      <c r="Y600" s="74"/>
      <c r="Z600" s="74"/>
      <c r="AA600" s="74"/>
      <c r="AB600" s="74"/>
    </row>
    <row r="601" spans="1:28" ht="12" customHeight="1">
      <c r="A601" s="330"/>
      <c r="B601" s="314"/>
      <c r="C601" s="285"/>
      <c r="D601" s="108"/>
      <c r="E601" s="285"/>
      <c r="F601" s="285"/>
      <c r="G601" s="35"/>
      <c r="H601" s="104"/>
      <c r="I601" s="35"/>
      <c r="J601" s="74"/>
      <c r="K601" s="74"/>
      <c r="L601" s="74"/>
      <c r="M601" s="74"/>
      <c r="N601" s="74"/>
      <c r="O601" s="74"/>
      <c r="P601" s="74"/>
      <c r="Q601" s="74"/>
      <c r="R601" s="74"/>
      <c r="S601" s="74"/>
      <c r="T601" s="74"/>
      <c r="U601" s="74"/>
      <c r="V601" s="74"/>
      <c r="W601" s="74"/>
      <c r="X601" s="74"/>
      <c r="Y601" s="74"/>
      <c r="Z601" s="74"/>
      <c r="AA601" s="74"/>
      <c r="AB601" s="74"/>
    </row>
    <row r="602" spans="1:28" ht="12" customHeight="1">
      <c r="A602" s="330"/>
      <c r="B602" s="314"/>
      <c r="C602" s="285"/>
      <c r="D602" s="108"/>
      <c r="E602" s="285"/>
      <c r="F602" s="285"/>
      <c r="G602" s="35"/>
      <c r="H602" s="104"/>
      <c r="I602" s="35"/>
      <c r="J602" s="74"/>
      <c r="K602" s="74"/>
      <c r="L602" s="74"/>
      <c r="M602" s="74"/>
      <c r="N602" s="74"/>
      <c r="O602" s="74"/>
      <c r="P602" s="74"/>
      <c r="Q602" s="74"/>
      <c r="R602" s="74"/>
      <c r="S602" s="74"/>
      <c r="T602" s="74"/>
      <c r="U602" s="74"/>
      <c r="V602" s="74"/>
      <c r="W602" s="74"/>
      <c r="X602" s="74"/>
      <c r="Y602" s="74"/>
      <c r="Z602" s="74"/>
      <c r="AA602" s="74"/>
      <c r="AB602" s="74"/>
    </row>
    <row r="603" spans="1:28" ht="12" customHeight="1">
      <c r="A603" s="330"/>
      <c r="B603" s="314"/>
      <c r="C603" s="285"/>
      <c r="D603" s="108"/>
      <c r="E603" s="285"/>
      <c r="F603" s="285"/>
      <c r="G603" s="35"/>
      <c r="H603" s="104"/>
      <c r="I603" s="35"/>
      <c r="J603" s="74"/>
      <c r="K603" s="74"/>
      <c r="L603" s="74"/>
      <c r="M603" s="74"/>
      <c r="N603" s="74"/>
      <c r="O603" s="74"/>
      <c r="P603" s="74"/>
      <c r="Q603" s="74"/>
      <c r="R603" s="74"/>
      <c r="S603" s="74"/>
      <c r="T603" s="74"/>
      <c r="U603" s="74"/>
      <c r="V603" s="74"/>
      <c r="W603" s="74"/>
      <c r="X603" s="74"/>
      <c r="Y603" s="74"/>
      <c r="Z603" s="74"/>
      <c r="AA603" s="74"/>
      <c r="AB603" s="74"/>
    </row>
    <row r="604" spans="1:28" ht="12" customHeight="1">
      <c r="A604" s="330"/>
      <c r="B604" s="314"/>
      <c r="C604" s="285"/>
      <c r="D604" s="108"/>
      <c r="E604" s="285"/>
      <c r="F604" s="285"/>
      <c r="G604" s="35"/>
      <c r="H604" s="104"/>
      <c r="I604" s="35"/>
      <c r="J604" s="74"/>
      <c r="K604" s="74"/>
      <c r="L604" s="74"/>
      <c r="M604" s="74"/>
      <c r="N604" s="74"/>
      <c r="O604" s="74"/>
      <c r="P604" s="74"/>
      <c r="Q604" s="74"/>
      <c r="R604" s="74"/>
      <c r="S604" s="74"/>
      <c r="T604" s="74"/>
      <c r="U604" s="74"/>
      <c r="V604" s="74"/>
      <c r="W604" s="74"/>
      <c r="X604" s="74"/>
      <c r="Y604" s="74"/>
      <c r="Z604" s="74"/>
      <c r="AA604" s="74"/>
      <c r="AB604" s="74"/>
    </row>
    <row r="605" spans="1:28" ht="12" customHeight="1">
      <c r="A605" s="330"/>
      <c r="B605" s="314"/>
      <c r="C605" s="285"/>
      <c r="D605" s="108"/>
      <c r="E605" s="285"/>
      <c r="F605" s="285"/>
      <c r="G605" s="35"/>
      <c r="H605" s="104"/>
      <c r="I605" s="35"/>
      <c r="J605" s="74"/>
      <c r="K605" s="74"/>
      <c r="L605" s="74"/>
      <c r="M605" s="74"/>
      <c r="N605" s="74"/>
      <c r="O605" s="74"/>
      <c r="P605" s="74"/>
      <c r="Q605" s="74"/>
      <c r="R605" s="74"/>
      <c r="S605" s="74"/>
      <c r="T605" s="74"/>
      <c r="U605" s="74"/>
      <c r="V605" s="74"/>
      <c r="W605" s="74"/>
      <c r="X605" s="74"/>
      <c r="Y605" s="74"/>
      <c r="Z605" s="74"/>
      <c r="AA605" s="74"/>
      <c r="AB605" s="74"/>
    </row>
    <row r="606" spans="1:28" ht="12" customHeight="1">
      <c r="A606" s="330"/>
      <c r="B606" s="314"/>
      <c r="C606" s="285"/>
      <c r="D606" s="108"/>
      <c r="E606" s="285"/>
      <c r="F606" s="285"/>
      <c r="G606" s="35"/>
      <c r="H606" s="104"/>
      <c r="I606" s="35"/>
      <c r="J606" s="74"/>
      <c r="K606" s="74"/>
      <c r="L606" s="74"/>
      <c r="M606" s="74"/>
      <c r="N606" s="74"/>
      <c r="O606" s="74"/>
      <c r="P606" s="74"/>
      <c r="Q606" s="74"/>
      <c r="R606" s="74"/>
      <c r="S606" s="74"/>
      <c r="T606" s="74"/>
      <c r="U606" s="74"/>
      <c r="V606" s="74"/>
      <c r="W606" s="74"/>
      <c r="X606" s="74"/>
      <c r="Y606" s="74"/>
      <c r="Z606" s="74"/>
      <c r="AA606" s="74"/>
      <c r="AB606" s="74"/>
    </row>
    <row r="607" spans="1:28" ht="12" customHeight="1">
      <c r="A607" s="330"/>
      <c r="B607" s="314"/>
      <c r="C607" s="285"/>
      <c r="D607" s="108"/>
      <c r="E607" s="285"/>
      <c r="F607" s="285"/>
      <c r="G607" s="35"/>
      <c r="H607" s="104"/>
      <c r="I607" s="35"/>
      <c r="J607" s="74"/>
      <c r="K607" s="74"/>
      <c r="L607" s="74"/>
      <c r="M607" s="74"/>
      <c r="N607" s="74"/>
      <c r="O607" s="74"/>
      <c r="P607" s="74"/>
      <c r="Q607" s="74"/>
      <c r="R607" s="74"/>
      <c r="S607" s="74"/>
      <c r="T607" s="74"/>
      <c r="U607" s="74"/>
      <c r="V607" s="74"/>
      <c r="W607" s="74"/>
      <c r="X607" s="74"/>
      <c r="Y607" s="74"/>
      <c r="Z607" s="74"/>
      <c r="AA607" s="74"/>
      <c r="AB607" s="74"/>
    </row>
    <row r="608" spans="1:28" ht="12" customHeight="1">
      <c r="A608" s="330"/>
      <c r="B608" s="314"/>
      <c r="C608" s="285"/>
      <c r="D608" s="108"/>
      <c r="E608" s="285"/>
      <c r="F608" s="285"/>
      <c r="G608" s="35"/>
      <c r="H608" s="104"/>
      <c r="I608" s="35"/>
      <c r="J608" s="74"/>
      <c r="K608" s="74"/>
      <c r="L608" s="74"/>
      <c r="M608" s="74"/>
      <c r="N608" s="74"/>
      <c r="O608" s="74"/>
      <c r="P608" s="74"/>
      <c r="Q608" s="74"/>
      <c r="R608" s="74"/>
      <c r="S608" s="74"/>
      <c r="T608" s="74"/>
      <c r="U608" s="74"/>
      <c r="V608" s="74"/>
      <c r="W608" s="74"/>
      <c r="X608" s="74"/>
      <c r="Y608" s="74"/>
      <c r="Z608" s="74"/>
      <c r="AA608" s="74"/>
      <c r="AB608" s="74"/>
    </row>
    <row r="609" spans="1:28" ht="12" customHeight="1">
      <c r="A609" s="330"/>
      <c r="B609" s="314"/>
      <c r="C609" s="285"/>
      <c r="D609" s="108"/>
      <c r="E609" s="285"/>
      <c r="F609" s="285"/>
      <c r="G609" s="35"/>
      <c r="H609" s="104"/>
      <c r="I609" s="35"/>
      <c r="J609" s="74"/>
      <c r="K609" s="74"/>
      <c r="L609" s="74"/>
      <c r="M609" s="74"/>
      <c r="N609" s="74"/>
      <c r="O609" s="74"/>
      <c r="P609" s="74"/>
      <c r="Q609" s="74"/>
      <c r="R609" s="74"/>
      <c r="S609" s="74"/>
      <c r="T609" s="74"/>
      <c r="U609" s="74"/>
      <c r="V609" s="74"/>
      <c r="W609" s="74"/>
      <c r="X609" s="74"/>
      <c r="Y609" s="74"/>
      <c r="Z609" s="74"/>
      <c r="AA609" s="74"/>
      <c r="AB609" s="74"/>
    </row>
    <row r="610" spans="1:28" ht="12" customHeight="1">
      <c r="A610" s="330"/>
      <c r="B610" s="314"/>
      <c r="C610" s="285"/>
      <c r="D610" s="108"/>
      <c r="E610" s="285"/>
      <c r="F610" s="285"/>
      <c r="G610" s="35"/>
      <c r="H610" s="104"/>
      <c r="I610" s="35"/>
      <c r="J610" s="74"/>
      <c r="K610" s="74"/>
      <c r="L610" s="74"/>
      <c r="M610" s="74"/>
      <c r="N610" s="74"/>
      <c r="O610" s="74"/>
      <c r="P610" s="74"/>
      <c r="Q610" s="74"/>
      <c r="R610" s="74"/>
      <c r="S610" s="74"/>
      <c r="T610" s="74"/>
      <c r="U610" s="74"/>
      <c r="V610" s="74"/>
      <c r="W610" s="74"/>
      <c r="X610" s="74"/>
      <c r="Y610" s="74"/>
      <c r="Z610" s="74"/>
      <c r="AA610" s="74"/>
      <c r="AB610" s="74"/>
    </row>
    <row r="611" spans="1:28" ht="12" customHeight="1">
      <c r="A611" s="330"/>
      <c r="B611" s="314"/>
      <c r="C611" s="285"/>
      <c r="D611" s="108"/>
      <c r="E611" s="285"/>
      <c r="F611" s="285"/>
      <c r="G611" s="35"/>
      <c r="H611" s="104"/>
      <c r="I611" s="35"/>
      <c r="J611" s="74"/>
      <c r="K611" s="74"/>
      <c r="L611" s="74"/>
      <c r="M611" s="74"/>
      <c r="N611" s="74"/>
      <c r="O611" s="74"/>
      <c r="P611" s="74"/>
      <c r="Q611" s="74"/>
      <c r="R611" s="74"/>
      <c r="S611" s="74"/>
      <c r="T611" s="74"/>
      <c r="U611" s="74"/>
      <c r="V611" s="74"/>
      <c r="W611" s="74"/>
      <c r="X611" s="74"/>
      <c r="Y611" s="74"/>
      <c r="Z611" s="74"/>
      <c r="AA611" s="74"/>
      <c r="AB611" s="74"/>
    </row>
    <row r="612" spans="1:28" ht="12" customHeight="1">
      <c r="A612" s="330"/>
      <c r="B612" s="314"/>
      <c r="C612" s="285"/>
      <c r="D612" s="108"/>
      <c r="E612" s="285"/>
      <c r="F612" s="285"/>
      <c r="G612" s="35"/>
      <c r="H612" s="104"/>
      <c r="I612" s="35"/>
      <c r="J612" s="74"/>
      <c r="K612" s="74"/>
      <c r="L612" s="74"/>
      <c r="M612" s="74"/>
      <c r="N612" s="74"/>
      <c r="O612" s="74"/>
      <c r="P612" s="74"/>
      <c r="Q612" s="74"/>
      <c r="R612" s="74"/>
      <c r="S612" s="74"/>
      <c r="T612" s="74"/>
      <c r="U612" s="74"/>
      <c r="V612" s="74"/>
      <c r="W612" s="74"/>
      <c r="X612" s="74"/>
      <c r="Y612" s="74"/>
      <c r="Z612" s="74"/>
      <c r="AA612" s="74"/>
      <c r="AB612" s="74"/>
    </row>
    <row r="613" spans="1:28" ht="12" customHeight="1">
      <c r="A613" s="330"/>
      <c r="B613" s="314"/>
      <c r="C613" s="285"/>
      <c r="D613" s="108"/>
      <c r="E613" s="285"/>
      <c r="F613" s="285"/>
      <c r="G613" s="35"/>
      <c r="H613" s="104"/>
      <c r="I613" s="35"/>
      <c r="J613" s="74"/>
      <c r="K613" s="74"/>
      <c r="L613" s="74"/>
      <c r="M613" s="74"/>
      <c r="N613" s="74"/>
      <c r="O613" s="74"/>
      <c r="P613" s="74"/>
      <c r="Q613" s="74"/>
      <c r="R613" s="74"/>
      <c r="S613" s="74"/>
      <c r="T613" s="74"/>
      <c r="U613" s="74"/>
      <c r="V613" s="74"/>
      <c r="W613" s="74"/>
      <c r="X613" s="74"/>
      <c r="Y613" s="74"/>
      <c r="Z613" s="74"/>
      <c r="AA613" s="74"/>
      <c r="AB613" s="74"/>
    </row>
    <row r="614" spans="1:28" ht="12" customHeight="1">
      <c r="A614" s="330"/>
      <c r="B614" s="314"/>
      <c r="C614" s="285"/>
      <c r="D614" s="108"/>
      <c r="E614" s="285"/>
      <c r="F614" s="285"/>
      <c r="G614" s="35"/>
      <c r="H614" s="104"/>
      <c r="I614" s="35"/>
      <c r="J614" s="74"/>
      <c r="K614" s="74"/>
      <c r="L614" s="74"/>
      <c r="M614" s="74"/>
      <c r="N614" s="74"/>
      <c r="O614" s="74"/>
      <c r="P614" s="74"/>
      <c r="Q614" s="74"/>
      <c r="R614" s="74"/>
      <c r="S614" s="74"/>
      <c r="T614" s="74"/>
      <c r="U614" s="74"/>
      <c r="V614" s="74"/>
      <c r="W614" s="74"/>
      <c r="X614" s="74"/>
      <c r="Y614" s="74"/>
      <c r="Z614" s="74"/>
      <c r="AA614" s="74"/>
      <c r="AB614" s="74"/>
    </row>
    <row r="615" spans="1:28" ht="12" customHeight="1">
      <c r="A615" s="330"/>
      <c r="B615" s="314"/>
      <c r="C615" s="285"/>
      <c r="D615" s="108"/>
      <c r="E615" s="285"/>
      <c r="F615" s="285"/>
      <c r="G615" s="35"/>
      <c r="H615" s="104"/>
      <c r="I615" s="35"/>
      <c r="J615" s="74"/>
      <c r="K615" s="74"/>
      <c r="L615" s="74"/>
      <c r="M615" s="74"/>
      <c r="N615" s="74"/>
      <c r="O615" s="74"/>
      <c r="P615" s="74"/>
      <c r="Q615" s="74"/>
      <c r="R615" s="74"/>
      <c r="S615" s="74"/>
      <c r="T615" s="74"/>
      <c r="U615" s="74"/>
      <c r="V615" s="74"/>
      <c r="W615" s="74"/>
      <c r="X615" s="74"/>
      <c r="Y615" s="74"/>
      <c r="Z615" s="74"/>
      <c r="AA615" s="74"/>
      <c r="AB615" s="74"/>
    </row>
    <row r="616" spans="1:28" ht="12" customHeight="1">
      <c r="A616" s="330"/>
      <c r="B616" s="314"/>
      <c r="C616" s="285"/>
      <c r="D616" s="108"/>
      <c r="E616" s="285"/>
      <c r="F616" s="285"/>
      <c r="G616" s="35"/>
      <c r="H616" s="104"/>
      <c r="I616" s="35"/>
      <c r="J616" s="74"/>
      <c r="K616" s="74"/>
      <c r="L616" s="74"/>
      <c r="M616" s="74"/>
      <c r="N616" s="74"/>
      <c r="O616" s="74"/>
      <c r="P616" s="74"/>
      <c r="Q616" s="74"/>
      <c r="R616" s="74"/>
      <c r="S616" s="74"/>
      <c r="T616" s="74"/>
      <c r="U616" s="74"/>
      <c r="V616" s="74"/>
      <c r="W616" s="74"/>
      <c r="X616" s="74"/>
      <c r="Y616" s="74"/>
      <c r="Z616" s="74"/>
      <c r="AA616" s="74"/>
      <c r="AB616" s="74"/>
    </row>
    <row r="617" spans="1:28" ht="12" customHeight="1">
      <c r="A617" s="330"/>
      <c r="B617" s="314"/>
      <c r="C617" s="285"/>
      <c r="D617" s="108"/>
      <c r="E617" s="285"/>
      <c r="F617" s="285"/>
      <c r="G617" s="35"/>
      <c r="H617" s="104"/>
      <c r="I617" s="35"/>
      <c r="J617" s="74"/>
      <c r="K617" s="74"/>
      <c r="L617" s="74"/>
      <c r="M617" s="74"/>
      <c r="N617" s="74"/>
      <c r="O617" s="74"/>
      <c r="P617" s="74"/>
      <c r="Q617" s="74"/>
      <c r="R617" s="74"/>
      <c r="S617" s="74"/>
      <c r="T617" s="74"/>
      <c r="U617" s="74"/>
      <c r="V617" s="74"/>
      <c r="W617" s="74"/>
      <c r="X617" s="74"/>
      <c r="Y617" s="74"/>
      <c r="Z617" s="74"/>
      <c r="AA617" s="74"/>
      <c r="AB617" s="74"/>
    </row>
    <row r="618" spans="1:28" ht="12" customHeight="1">
      <c r="A618" s="330"/>
      <c r="B618" s="314"/>
      <c r="C618" s="285"/>
      <c r="D618" s="108"/>
      <c r="E618" s="285"/>
      <c r="F618" s="285"/>
      <c r="G618" s="35"/>
      <c r="H618" s="104"/>
      <c r="I618" s="35"/>
      <c r="J618" s="74"/>
      <c r="K618" s="74"/>
      <c r="L618" s="74"/>
      <c r="M618" s="74"/>
      <c r="N618" s="74"/>
      <c r="O618" s="74"/>
      <c r="P618" s="74"/>
      <c r="Q618" s="74"/>
      <c r="R618" s="74"/>
      <c r="S618" s="74"/>
      <c r="T618" s="74"/>
      <c r="U618" s="74"/>
      <c r="V618" s="74"/>
      <c r="W618" s="74"/>
      <c r="X618" s="74"/>
      <c r="Y618" s="74"/>
      <c r="Z618" s="74"/>
      <c r="AA618" s="74"/>
      <c r="AB618" s="74"/>
    </row>
    <row r="619" spans="1:28" ht="12" customHeight="1">
      <c r="A619" s="330"/>
      <c r="B619" s="314"/>
      <c r="C619" s="285"/>
      <c r="D619" s="108"/>
      <c r="E619" s="285"/>
      <c r="F619" s="285"/>
      <c r="G619" s="35"/>
      <c r="H619" s="104"/>
      <c r="I619" s="35"/>
      <c r="J619" s="74"/>
      <c r="K619" s="74"/>
      <c r="L619" s="74"/>
      <c r="M619" s="74"/>
      <c r="N619" s="74"/>
      <c r="O619" s="74"/>
      <c r="P619" s="74"/>
      <c r="Q619" s="74"/>
      <c r="R619" s="74"/>
      <c r="S619" s="74"/>
      <c r="T619" s="74"/>
      <c r="U619" s="74"/>
      <c r="V619" s="74"/>
      <c r="W619" s="74"/>
      <c r="X619" s="74"/>
      <c r="Y619" s="74"/>
      <c r="Z619" s="74"/>
      <c r="AA619" s="74"/>
      <c r="AB619" s="74"/>
    </row>
    <row r="620" spans="1:28" ht="12" customHeight="1">
      <c r="A620" s="330"/>
      <c r="B620" s="314"/>
      <c r="C620" s="285"/>
      <c r="D620" s="108"/>
      <c r="E620" s="285"/>
      <c r="F620" s="285"/>
      <c r="G620" s="35"/>
      <c r="H620" s="104"/>
      <c r="I620" s="35"/>
      <c r="J620" s="74"/>
      <c r="K620" s="74"/>
      <c r="L620" s="74"/>
      <c r="M620" s="74"/>
      <c r="N620" s="74"/>
      <c r="O620" s="74"/>
      <c r="P620" s="74"/>
      <c r="Q620" s="74"/>
      <c r="R620" s="74"/>
      <c r="S620" s="74"/>
      <c r="T620" s="74"/>
      <c r="U620" s="74"/>
      <c r="V620" s="74"/>
      <c r="W620" s="74"/>
      <c r="X620" s="74"/>
      <c r="Y620" s="74"/>
      <c r="Z620" s="74"/>
      <c r="AA620" s="74"/>
      <c r="AB620" s="74"/>
    </row>
    <row r="621" spans="1:28" ht="12" customHeight="1">
      <c r="A621" s="330"/>
      <c r="B621" s="314"/>
      <c r="C621" s="285"/>
      <c r="D621" s="108"/>
      <c r="E621" s="285"/>
      <c r="F621" s="285"/>
      <c r="G621" s="35"/>
      <c r="H621" s="104"/>
      <c r="I621" s="35"/>
      <c r="J621" s="74"/>
      <c r="K621" s="74"/>
      <c r="L621" s="74"/>
      <c r="M621" s="74"/>
      <c r="N621" s="74"/>
      <c r="O621" s="74"/>
      <c r="P621" s="74"/>
      <c r="Q621" s="74"/>
      <c r="R621" s="74"/>
      <c r="S621" s="74"/>
      <c r="T621" s="74"/>
      <c r="U621" s="74"/>
      <c r="V621" s="74"/>
      <c r="W621" s="74"/>
      <c r="X621" s="74"/>
      <c r="Y621" s="74"/>
      <c r="Z621" s="74"/>
      <c r="AA621" s="74"/>
      <c r="AB621" s="74"/>
    </row>
    <row r="622" spans="1:28" ht="12" customHeight="1">
      <c r="A622" s="330"/>
      <c r="B622" s="314"/>
      <c r="C622" s="285"/>
      <c r="D622" s="108"/>
      <c r="E622" s="285"/>
      <c r="F622" s="285"/>
      <c r="G622" s="35"/>
      <c r="H622" s="104"/>
      <c r="I622" s="35"/>
      <c r="J622" s="74"/>
      <c r="K622" s="74"/>
      <c r="L622" s="74"/>
      <c r="M622" s="74"/>
      <c r="N622" s="74"/>
      <c r="O622" s="74"/>
      <c r="P622" s="74"/>
      <c r="Q622" s="74"/>
      <c r="R622" s="74"/>
      <c r="S622" s="74"/>
      <c r="T622" s="74"/>
      <c r="U622" s="74"/>
      <c r="V622" s="74"/>
      <c r="W622" s="74"/>
      <c r="X622" s="74"/>
      <c r="Y622" s="74"/>
      <c r="Z622" s="74"/>
      <c r="AA622" s="74"/>
      <c r="AB622" s="74"/>
    </row>
    <row r="623" spans="1:28" ht="12" customHeight="1">
      <c r="A623" s="330"/>
      <c r="B623" s="314"/>
      <c r="C623" s="285"/>
      <c r="D623" s="108"/>
      <c r="E623" s="285"/>
      <c r="F623" s="285"/>
      <c r="G623" s="35"/>
      <c r="H623" s="104"/>
      <c r="I623" s="35"/>
      <c r="J623" s="74"/>
      <c r="K623" s="74"/>
      <c r="L623" s="74"/>
      <c r="M623" s="74"/>
      <c r="N623" s="74"/>
      <c r="O623" s="74"/>
      <c r="P623" s="74"/>
      <c r="Q623" s="74"/>
      <c r="R623" s="74"/>
      <c r="S623" s="74"/>
      <c r="T623" s="74"/>
      <c r="U623" s="74"/>
      <c r="V623" s="74"/>
      <c r="W623" s="74"/>
      <c r="X623" s="74"/>
      <c r="Y623" s="74"/>
      <c r="Z623" s="74"/>
      <c r="AA623" s="74"/>
      <c r="AB623" s="74"/>
    </row>
    <row r="624" spans="1:28" ht="12" customHeight="1">
      <c r="A624" s="330"/>
      <c r="B624" s="314"/>
      <c r="C624" s="285"/>
      <c r="D624" s="108"/>
      <c r="E624" s="285"/>
      <c r="F624" s="285"/>
      <c r="G624" s="35"/>
      <c r="H624" s="104"/>
      <c r="I624" s="35"/>
      <c r="J624" s="74"/>
      <c r="K624" s="74"/>
      <c r="L624" s="74"/>
      <c r="M624" s="74"/>
      <c r="N624" s="74"/>
      <c r="O624" s="74"/>
      <c r="P624" s="74"/>
      <c r="Q624" s="74"/>
      <c r="R624" s="74"/>
      <c r="S624" s="74"/>
      <c r="T624" s="74"/>
      <c r="U624" s="74"/>
      <c r="V624" s="74"/>
      <c r="W624" s="74"/>
      <c r="X624" s="74"/>
      <c r="Y624" s="74"/>
      <c r="Z624" s="74"/>
      <c r="AA624" s="74"/>
      <c r="AB624" s="74"/>
    </row>
    <row r="625" spans="1:28" ht="12" customHeight="1">
      <c r="A625" s="330"/>
      <c r="B625" s="314"/>
      <c r="C625" s="285"/>
      <c r="D625" s="108"/>
      <c r="E625" s="285"/>
      <c r="F625" s="285"/>
      <c r="G625" s="35"/>
      <c r="H625" s="104"/>
      <c r="I625" s="35"/>
      <c r="J625" s="74"/>
      <c r="K625" s="74"/>
      <c r="L625" s="74"/>
      <c r="M625" s="74"/>
      <c r="N625" s="74"/>
      <c r="O625" s="74"/>
      <c r="P625" s="74"/>
      <c r="Q625" s="74"/>
      <c r="R625" s="74"/>
      <c r="S625" s="74"/>
      <c r="T625" s="74"/>
      <c r="U625" s="74"/>
      <c r="V625" s="74"/>
      <c r="W625" s="74"/>
      <c r="X625" s="74"/>
      <c r="Y625" s="74"/>
      <c r="Z625" s="74"/>
      <c r="AA625" s="74"/>
      <c r="AB625" s="74"/>
    </row>
    <row r="626" spans="1:28" ht="12" customHeight="1">
      <c r="A626" s="330"/>
      <c r="B626" s="314"/>
      <c r="C626" s="285"/>
      <c r="D626" s="108"/>
      <c r="E626" s="285"/>
      <c r="F626" s="285"/>
      <c r="G626" s="35"/>
      <c r="H626" s="104"/>
      <c r="I626" s="35"/>
      <c r="J626" s="74"/>
      <c r="K626" s="74"/>
      <c r="L626" s="74"/>
      <c r="M626" s="74"/>
      <c r="N626" s="74"/>
      <c r="O626" s="74"/>
      <c r="P626" s="74"/>
      <c r="Q626" s="74"/>
      <c r="R626" s="74"/>
      <c r="S626" s="74"/>
      <c r="T626" s="74"/>
      <c r="U626" s="74"/>
      <c r="V626" s="74"/>
      <c r="W626" s="74"/>
      <c r="X626" s="74"/>
      <c r="Y626" s="74"/>
      <c r="Z626" s="74"/>
      <c r="AA626" s="74"/>
      <c r="AB626" s="74"/>
    </row>
    <row r="627" spans="1:28" ht="12" customHeight="1">
      <c r="A627" s="330"/>
      <c r="B627" s="314"/>
      <c r="C627" s="285"/>
      <c r="D627" s="108"/>
      <c r="E627" s="285"/>
      <c r="F627" s="285"/>
      <c r="G627" s="35"/>
      <c r="H627" s="104"/>
      <c r="I627" s="35"/>
      <c r="J627" s="74"/>
      <c r="K627" s="74"/>
      <c r="L627" s="74"/>
      <c r="M627" s="74"/>
      <c r="N627" s="74"/>
      <c r="O627" s="74"/>
      <c r="P627" s="74"/>
      <c r="Q627" s="74"/>
      <c r="R627" s="74"/>
      <c r="S627" s="74"/>
      <c r="T627" s="74"/>
      <c r="U627" s="74"/>
      <c r="V627" s="74"/>
      <c r="W627" s="74"/>
      <c r="X627" s="74"/>
      <c r="Y627" s="74"/>
      <c r="Z627" s="74"/>
      <c r="AA627" s="74"/>
      <c r="AB627" s="74"/>
    </row>
    <row r="628" spans="1:28" ht="12" customHeight="1">
      <c r="A628" s="330"/>
      <c r="B628" s="314"/>
      <c r="C628" s="285"/>
      <c r="D628" s="108"/>
      <c r="E628" s="285"/>
      <c r="F628" s="285"/>
      <c r="G628" s="35"/>
      <c r="H628" s="104"/>
      <c r="I628" s="35"/>
      <c r="J628" s="74"/>
      <c r="K628" s="74"/>
      <c r="L628" s="74"/>
      <c r="M628" s="74"/>
      <c r="N628" s="74"/>
      <c r="O628" s="74"/>
      <c r="P628" s="74"/>
      <c r="Q628" s="74"/>
      <c r="R628" s="74"/>
      <c r="S628" s="74"/>
      <c r="T628" s="74"/>
      <c r="U628" s="74"/>
      <c r="V628" s="74"/>
      <c r="W628" s="74"/>
      <c r="X628" s="74"/>
      <c r="Y628" s="74"/>
      <c r="Z628" s="74"/>
      <c r="AA628" s="74"/>
      <c r="AB628" s="74"/>
    </row>
    <row r="629" spans="1:28" ht="12" customHeight="1">
      <c r="A629" s="330"/>
      <c r="B629" s="314"/>
      <c r="C629" s="285"/>
      <c r="D629" s="108"/>
      <c r="E629" s="285"/>
      <c r="F629" s="285"/>
      <c r="G629" s="35"/>
      <c r="H629" s="104"/>
      <c r="I629" s="35"/>
      <c r="J629" s="74"/>
      <c r="K629" s="74"/>
      <c r="L629" s="74"/>
      <c r="M629" s="74"/>
      <c r="N629" s="74"/>
      <c r="O629" s="74"/>
      <c r="P629" s="74"/>
      <c r="Q629" s="74"/>
      <c r="R629" s="74"/>
      <c r="S629" s="74"/>
      <c r="T629" s="74"/>
      <c r="U629" s="74"/>
      <c r="V629" s="74"/>
      <c r="W629" s="74"/>
      <c r="X629" s="74"/>
      <c r="Y629" s="74"/>
      <c r="Z629" s="74"/>
      <c r="AA629" s="74"/>
      <c r="AB629" s="74"/>
    </row>
    <row r="630" spans="1:28" ht="12" customHeight="1">
      <c r="A630" s="330"/>
      <c r="B630" s="314"/>
      <c r="C630" s="285"/>
      <c r="D630" s="108"/>
      <c r="E630" s="285"/>
      <c r="F630" s="285"/>
      <c r="G630" s="35"/>
      <c r="H630" s="104"/>
      <c r="I630" s="35"/>
      <c r="J630" s="74"/>
      <c r="K630" s="74"/>
      <c r="L630" s="74"/>
      <c r="M630" s="74"/>
      <c r="N630" s="74"/>
      <c r="O630" s="74"/>
      <c r="P630" s="74"/>
      <c r="Q630" s="74"/>
      <c r="R630" s="74"/>
      <c r="S630" s="74"/>
      <c r="T630" s="74"/>
      <c r="U630" s="74"/>
      <c r="V630" s="74"/>
      <c r="W630" s="74"/>
      <c r="X630" s="74"/>
      <c r="Y630" s="74"/>
      <c r="Z630" s="74"/>
      <c r="AA630" s="74"/>
      <c r="AB630" s="74"/>
    </row>
    <row r="631" spans="1:28" ht="12" customHeight="1">
      <c r="A631" s="330"/>
      <c r="B631" s="314"/>
      <c r="C631" s="285"/>
      <c r="D631" s="108"/>
      <c r="E631" s="285"/>
      <c r="F631" s="285"/>
      <c r="G631" s="35"/>
      <c r="H631" s="104"/>
      <c r="I631" s="35"/>
      <c r="J631" s="74"/>
      <c r="K631" s="74"/>
      <c r="L631" s="74"/>
      <c r="M631" s="74"/>
      <c r="N631" s="74"/>
      <c r="O631" s="74"/>
      <c r="P631" s="74"/>
      <c r="Q631" s="74"/>
      <c r="R631" s="74"/>
      <c r="S631" s="74"/>
      <c r="T631" s="74"/>
      <c r="U631" s="74"/>
      <c r="V631" s="74"/>
      <c r="W631" s="74"/>
      <c r="X631" s="74"/>
      <c r="Y631" s="74"/>
      <c r="Z631" s="74"/>
      <c r="AA631" s="74"/>
      <c r="AB631" s="74"/>
    </row>
    <row r="632" spans="1:28" ht="12" customHeight="1">
      <c r="A632" s="330"/>
      <c r="B632" s="314"/>
      <c r="C632" s="285"/>
      <c r="D632" s="108"/>
      <c r="E632" s="285"/>
      <c r="F632" s="285"/>
      <c r="G632" s="35"/>
      <c r="H632" s="104"/>
      <c r="I632" s="35"/>
      <c r="J632" s="74"/>
      <c r="K632" s="74"/>
      <c r="L632" s="74"/>
      <c r="M632" s="74"/>
      <c r="N632" s="74"/>
      <c r="O632" s="74"/>
      <c r="P632" s="74"/>
      <c r="Q632" s="74"/>
      <c r="R632" s="74"/>
      <c r="S632" s="74"/>
      <c r="T632" s="74"/>
      <c r="U632" s="74"/>
      <c r="V632" s="74"/>
      <c r="W632" s="74"/>
      <c r="X632" s="74"/>
      <c r="Y632" s="74"/>
      <c r="Z632" s="74"/>
      <c r="AA632" s="74"/>
      <c r="AB632" s="74"/>
    </row>
    <row r="633" spans="1:28" ht="12" customHeight="1">
      <c r="A633" s="330"/>
      <c r="B633" s="314"/>
      <c r="C633" s="285"/>
      <c r="D633" s="108"/>
      <c r="E633" s="285"/>
      <c r="F633" s="285"/>
      <c r="G633" s="35"/>
      <c r="H633" s="104"/>
      <c r="I633" s="35"/>
      <c r="J633" s="74"/>
      <c r="K633" s="74"/>
      <c r="L633" s="74"/>
      <c r="M633" s="74"/>
      <c r="N633" s="74"/>
      <c r="O633" s="74"/>
      <c r="P633" s="74"/>
      <c r="Q633" s="74"/>
      <c r="R633" s="74"/>
      <c r="S633" s="74"/>
      <c r="T633" s="74"/>
      <c r="U633" s="74"/>
      <c r="V633" s="74"/>
      <c r="W633" s="74"/>
      <c r="X633" s="74"/>
      <c r="Y633" s="74"/>
      <c r="Z633" s="74"/>
      <c r="AA633" s="74"/>
      <c r="AB633" s="74"/>
    </row>
    <row r="634" spans="1:28" ht="12" customHeight="1">
      <c r="A634" s="330"/>
      <c r="B634" s="314"/>
      <c r="C634" s="285"/>
      <c r="D634" s="108"/>
      <c r="E634" s="285"/>
      <c r="F634" s="285"/>
      <c r="G634" s="35"/>
      <c r="H634" s="104"/>
      <c r="I634" s="35"/>
      <c r="J634" s="74"/>
      <c r="K634" s="74"/>
      <c r="L634" s="74"/>
      <c r="M634" s="74"/>
      <c r="N634" s="74"/>
      <c r="O634" s="74"/>
      <c r="P634" s="74"/>
      <c r="Q634" s="74"/>
      <c r="R634" s="74"/>
      <c r="S634" s="74"/>
      <c r="T634" s="74"/>
      <c r="U634" s="74"/>
      <c r="V634" s="74"/>
      <c r="W634" s="74"/>
      <c r="X634" s="74"/>
      <c r="Y634" s="74"/>
      <c r="Z634" s="74"/>
      <c r="AA634" s="74"/>
      <c r="AB634" s="74"/>
    </row>
    <row r="635" spans="1:28" ht="12" customHeight="1">
      <c r="A635" s="330"/>
      <c r="B635" s="314"/>
      <c r="C635" s="285"/>
      <c r="D635" s="108"/>
      <c r="E635" s="285"/>
      <c r="F635" s="285"/>
      <c r="G635" s="35"/>
      <c r="H635" s="104"/>
      <c r="I635" s="35"/>
      <c r="J635" s="74"/>
      <c r="K635" s="74"/>
      <c r="L635" s="74"/>
      <c r="M635" s="74"/>
      <c r="N635" s="74"/>
      <c r="O635" s="74"/>
      <c r="P635" s="74"/>
      <c r="Q635" s="74"/>
      <c r="R635" s="74"/>
      <c r="S635" s="74"/>
      <c r="T635" s="74"/>
      <c r="U635" s="74"/>
      <c r="V635" s="74"/>
      <c r="W635" s="74"/>
      <c r="X635" s="74"/>
      <c r="Y635" s="74"/>
      <c r="Z635" s="74"/>
      <c r="AA635" s="74"/>
      <c r="AB635" s="74"/>
    </row>
    <row r="636" spans="1:28" ht="12" customHeight="1">
      <c r="A636" s="330"/>
      <c r="B636" s="314"/>
      <c r="C636" s="285"/>
      <c r="D636" s="108"/>
      <c r="E636" s="285"/>
      <c r="F636" s="285"/>
      <c r="G636" s="35"/>
      <c r="H636" s="104"/>
      <c r="I636" s="35"/>
      <c r="J636" s="74"/>
      <c r="K636" s="74"/>
      <c r="L636" s="74"/>
      <c r="M636" s="74"/>
      <c r="N636" s="74"/>
      <c r="O636" s="74"/>
      <c r="P636" s="74"/>
      <c r="Q636" s="74"/>
      <c r="R636" s="74"/>
      <c r="S636" s="74"/>
      <c r="T636" s="74"/>
      <c r="U636" s="74"/>
      <c r="V636" s="74"/>
      <c r="W636" s="74"/>
      <c r="X636" s="74"/>
      <c r="Y636" s="74"/>
      <c r="Z636" s="74"/>
      <c r="AA636" s="74"/>
      <c r="AB636" s="74"/>
    </row>
    <row r="637" spans="1:28" ht="12" customHeight="1">
      <c r="A637" s="330"/>
      <c r="B637" s="314"/>
      <c r="C637" s="285"/>
      <c r="D637" s="108"/>
      <c r="E637" s="285"/>
      <c r="F637" s="285"/>
      <c r="G637" s="35"/>
      <c r="H637" s="104"/>
      <c r="I637" s="35"/>
      <c r="J637" s="74"/>
      <c r="K637" s="74"/>
      <c r="L637" s="74"/>
      <c r="M637" s="74"/>
      <c r="N637" s="74"/>
      <c r="O637" s="74"/>
      <c r="P637" s="74"/>
      <c r="Q637" s="74"/>
      <c r="R637" s="74"/>
      <c r="S637" s="74"/>
      <c r="T637" s="74"/>
      <c r="U637" s="74"/>
      <c r="V637" s="74"/>
      <c r="W637" s="74"/>
      <c r="X637" s="74"/>
      <c r="Y637" s="74"/>
      <c r="Z637" s="74"/>
      <c r="AA637" s="74"/>
      <c r="AB637" s="74"/>
    </row>
    <row r="638" spans="1:28" ht="12" customHeight="1">
      <c r="A638" s="330"/>
      <c r="B638" s="314"/>
      <c r="C638" s="285"/>
      <c r="D638" s="108"/>
      <c r="E638" s="285"/>
      <c r="F638" s="285"/>
      <c r="G638" s="35"/>
      <c r="H638" s="104"/>
      <c r="I638" s="35"/>
      <c r="J638" s="74"/>
      <c r="K638" s="74"/>
      <c r="L638" s="74"/>
      <c r="M638" s="74"/>
      <c r="N638" s="74"/>
      <c r="O638" s="74"/>
      <c r="P638" s="74"/>
      <c r="Q638" s="74"/>
      <c r="R638" s="74"/>
      <c r="S638" s="74"/>
      <c r="T638" s="74"/>
      <c r="U638" s="74"/>
      <c r="V638" s="74"/>
      <c r="W638" s="74"/>
      <c r="X638" s="74"/>
      <c r="Y638" s="74"/>
      <c r="Z638" s="74"/>
      <c r="AA638" s="74"/>
      <c r="AB638" s="74"/>
    </row>
    <row r="639" spans="1:28" ht="12" customHeight="1">
      <c r="A639" s="330"/>
      <c r="B639" s="314"/>
      <c r="C639" s="285"/>
      <c r="D639" s="108"/>
      <c r="E639" s="285"/>
      <c r="F639" s="285"/>
      <c r="G639" s="35"/>
      <c r="H639" s="104"/>
      <c r="I639" s="35"/>
      <c r="J639" s="74"/>
      <c r="K639" s="74"/>
      <c r="L639" s="74"/>
      <c r="M639" s="74"/>
      <c r="N639" s="74"/>
      <c r="O639" s="74"/>
      <c r="P639" s="74"/>
      <c r="Q639" s="74"/>
      <c r="R639" s="74"/>
      <c r="S639" s="74"/>
      <c r="T639" s="74"/>
      <c r="U639" s="74"/>
      <c r="V639" s="74"/>
      <c r="W639" s="74"/>
      <c r="X639" s="74"/>
      <c r="Y639" s="74"/>
      <c r="Z639" s="74"/>
      <c r="AA639" s="74"/>
      <c r="AB639" s="74"/>
    </row>
    <row r="640" spans="1:28" ht="12" customHeight="1">
      <c r="A640" s="330"/>
      <c r="B640" s="314"/>
      <c r="C640" s="285"/>
      <c r="D640" s="108"/>
      <c r="E640" s="285"/>
      <c r="F640" s="285"/>
      <c r="G640" s="35"/>
      <c r="H640" s="104"/>
      <c r="I640" s="35"/>
      <c r="J640" s="74"/>
      <c r="K640" s="74"/>
      <c r="L640" s="74"/>
      <c r="M640" s="74"/>
      <c r="N640" s="74"/>
      <c r="O640" s="74"/>
      <c r="P640" s="74"/>
      <c r="Q640" s="74"/>
      <c r="R640" s="74"/>
      <c r="S640" s="74"/>
      <c r="T640" s="74"/>
      <c r="U640" s="74"/>
      <c r="V640" s="74"/>
      <c r="W640" s="74"/>
      <c r="X640" s="74"/>
      <c r="Y640" s="74"/>
      <c r="Z640" s="74"/>
      <c r="AA640" s="74"/>
      <c r="AB640" s="74"/>
    </row>
    <row r="641" spans="1:28" ht="12" customHeight="1">
      <c r="A641" s="330"/>
      <c r="B641" s="314"/>
      <c r="C641" s="285"/>
      <c r="D641" s="108"/>
      <c r="E641" s="285"/>
      <c r="F641" s="285"/>
      <c r="G641" s="35"/>
      <c r="H641" s="104"/>
      <c r="I641" s="35"/>
      <c r="J641" s="74"/>
      <c r="K641" s="74"/>
      <c r="L641" s="74"/>
      <c r="M641" s="74"/>
      <c r="N641" s="74"/>
      <c r="O641" s="74"/>
      <c r="P641" s="74"/>
      <c r="Q641" s="74"/>
      <c r="R641" s="74"/>
      <c r="S641" s="74"/>
      <c r="T641" s="74"/>
      <c r="U641" s="74"/>
      <c r="V641" s="74"/>
      <c r="W641" s="74"/>
      <c r="X641" s="74"/>
      <c r="Y641" s="74"/>
      <c r="Z641" s="74"/>
      <c r="AA641" s="74"/>
      <c r="AB641" s="74"/>
    </row>
    <row r="642" spans="1:28" ht="12" customHeight="1">
      <c r="A642" s="330"/>
      <c r="B642" s="314"/>
      <c r="C642" s="285"/>
      <c r="D642" s="108"/>
      <c r="E642" s="285"/>
      <c r="F642" s="285"/>
      <c r="G642" s="35"/>
      <c r="H642" s="104"/>
      <c r="I642" s="35"/>
      <c r="J642" s="74"/>
      <c r="K642" s="74"/>
      <c r="L642" s="74"/>
      <c r="M642" s="74"/>
      <c r="N642" s="74"/>
      <c r="O642" s="74"/>
      <c r="P642" s="74"/>
      <c r="Q642" s="74"/>
      <c r="R642" s="74"/>
      <c r="S642" s="74"/>
      <c r="T642" s="74"/>
      <c r="U642" s="74"/>
      <c r="V642" s="74"/>
      <c r="W642" s="74"/>
      <c r="X642" s="74"/>
      <c r="Y642" s="74"/>
      <c r="Z642" s="74"/>
      <c r="AA642" s="74"/>
      <c r="AB642" s="74"/>
    </row>
    <row r="643" spans="1:28" ht="12" customHeight="1">
      <c r="A643" s="330"/>
      <c r="B643" s="314"/>
      <c r="C643" s="285"/>
      <c r="D643" s="108"/>
      <c r="E643" s="285"/>
      <c r="F643" s="285"/>
      <c r="G643" s="35"/>
      <c r="H643" s="104"/>
      <c r="I643" s="35"/>
      <c r="J643" s="74"/>
      <c r="K643" s="74"/>
      <c r="L643" s="74"/>
      <c r="M643" s="74"/>
      <c r="N643" s="74"/>
      <c r="O643" s="74"/>
      <c r="P643" s="74"/>
      <c r="Q643" s="74"/>
      <c r="R643" s="74"/>
      <c r="S643" s="74"/>
      <c r="T643" s="74"/>
      <c r="U643" s="74"/>
      <c r="V643" s="74"/>
      <c r="W643" s="74"/>
      <c r="X643" s="74"/>
      <c r="Y643" s="74"/>
      <c r="Z643" s="74"/>
      <c r="AA643" s="74"/>
      <c r="AB643" s="74"/>
    </row>
    <row r="644" spans="1:28" ht="12" customHeight="1">
      <c r="A644" s="330"/>
      <c r="B644" s="314"/>
      <c r="C644" s="285"/>
      <c r="D644" s="108"/>
      <c r="E644" s="285"/>
      <c r="F644" s="285"/>
      <c r="G644" s="35"/>
      <c r="H644" s="104"/>
      <c r="I644" s="35"/>
      <c r="J644" s="74"/>
      <c r="K644" s="74"/>
      <c r="L644" s="74"/>
      <c r="M644" s="74"/>
      <c r="N644" s="74"/>
      <c r="O644" s="74"/>
      <c r="P644" s="74"/>
      <c r="Q644" s="74"/>
      <c r="R644" s="74"/>
      <c r="S644" s="74"/>
      <c r="T644" s="74"/>
      <c r="U644" s="74"/>
      <c r="V644" s="74"/>
      <c r="W644" s="74"/>
      <c r="X644" s="74"/>
      <c r="Y644" s="74"/>
      <c r="Z644" s="74"/>
      <c r="AA644" s="74"/>
      <c r="AB644" s="74"/>
    </row>
    <row r="645" spans="1:28" ht="12" customHeight="1">
      <c r="A645" s="330"/>
      <c r="B645" s="314"/>
      <c r="C645" s="285"/>
      <c r="D645" s="108"/>
      <c r="E645" s="285"/>
      <c r="F645" s="285"/>
      <c r="G645" s="35"/>
      <c r="H645" s="104"/>
      <c r="I645" s="35"/>
      <c r="J645" s="74"/>
      <c r="K645" s="74"/>
      <c r="L645" s="74"/>
      <c r="M645" s="74"/>
      <c r="N645" s="74"/>
      <c r="O645" s="74"/>
      <c r="P645" s="74"/>
      <c r="Q645" s="74"/>
      <c r="R645" s="74"/>
      <c r="S645" s="74"/>
      <c r="T645" s="74"/>
      <c r="U645" s="74"/>
      <c r="V645" s="74"/>
      <c r="W645" s="74"/>
      <c r="X645" s="74"/>
      <c r="Y645" s="74"/>
      <c r="Z645" s="74"/>
      <c r="AA645" s="74"/>
      <c r="AB645" s="74"/>
    </row>
    <row r="646" spans="1:28" ht="12" customHeight="1">
      <c r="A646" s="330"/>
      <c r="B646" s="314"/>
      <c r="C646" s="285"/>
      <c r="D646" s="108"/>
      <c r="E646" s="285"/>
      <c r="F646" s="285"/>
      <c r="G646" s="35"/>
      <c r="H646" s="104"/>
      <c r="I646" s="35"/>
      <c r="J646" s="74"/>
      <c r="K646" s="74"/>
      <c r="L646" s="74"/>
      <c r="M646" s="74"/>
      <c r="N646" s="74"/>
      <c r="O646" s="74"/>
      <c r="P646" s="74"/>
      <c r="Q646" s="74"/>
      <c r="R646" s="74"/>
      <c r="S646" s="74"/>
      <c r="T646" s="74"/>
      <c r="U646" s="74"/>
      <c r="V646" s="74"/>
      <c r="W646" s="74"/>
      <c r="X646" s="74"/>
      <c r="Y646" s="74"/>
      <c r="Z646" s="74"/>
      <c r="AA646" s="74"/>
      <c r="AB646" s="74"/>
    </row>
    <row r="647" spans="1:28" ht="12" customHeight="1">
      <c r="A647" s="330"/>
      <c r="B647" s="314"/>
      <c r="C647" s="285"/>
      <c r="D647" s="108"/>
      <c r="E647" s="285"/>
      <c r="F647" s="285"/>
      <c r="G647" s="35"/>
      <c r="H647" s="104"/>
      <c r="I647" s="35"/>
      <c r="J647" s="74"/>
      <c r="K647" s="74"/>
      <c r="L647" s="74"/>
      <c r="M647" s="74"/>
      <c r="N647" s="74"/>
      <c r="O647" s="74"/>
      <c r="P647" s="74"/>
      <c r="Q647" s="74"/>
      <c r="R647" s="74"/>
      <c r="S647" s="74"/>
      <c r="T647" s="74"/>
      <c r="U647" s="74"/>
      <c r="V647" s="74"/>
      <c r="W647" s="74"/>
      <c r="X647" s="74"/>
      <c r="Y647" s="74"/>
      <c r="Z647" s="74"/>
      <c r="AA647" s="74"/>
      <c r="AB647" s="74"/>
    </row>
    <row r="648" spans="1:28" ht="12" customHeight="1">
      <c r="A648" s="330"/>
      <c r="B648" s="314"/>
      <c r="C648" s="285"/>
      <c r="D648" s="108"/>
      <c r="E648" s="285"/>
      <c r="F648" s="285"/>
      <c r="G648" s="35"/>
      <c r="H648" s="104"/>
      <c r="I648" s="35"/>
      <c r="J648" s="74"/>
      <c r="K648" s="74"/>
      <c r="L648" s="74"/>
      <c r="M648" s="74"/>
      <c r="N648" s="74"/>
      <c r="O648" s="74"/>
      <c r="P648" s="74"/>
      <c r="Q648" s="74"/>
      <c r="R648" s="74"/>
      <c r="S648" s="74"/>
      <c r="T648" s="74"/>
      <c r="U648" s="74"/>
      <c r="V648" s="74"/>
      <c r="W648" s="74"/>
      <c r="X648" s="74"/>
      <c r="Y648" s="74"/>
      <c r="Z648" s="74"/>
      <c r="AA648" s="74"/>
      <c r="AB648" s="74"/>
    </row>
    <row r="649" spans="1:28" ht="12" customHeight="1">
      <c r="A649" s="330"/>
      <c r="B649" s="314"/>
      <c r="C649" s="285"/>
      <c r="D649" s="108"/>
      <c r="E649" s="285"/>
      <c r="F649" s="285"/>
      <c r="G649" s="35"/>
      <c r="H649" s="104"/>
      <c r="I649" s="35"/>
      <c r="J649" s="74"/>
      <c r="K649" s="74"/>
      <c r="L649" s="74"/>
      <c r="M649" s="74"/>
      <c r="N649" s="74"/>
      <c r="O649" s="74"/>
      <c r="P649" s="74"/>
      <c r="Q649" s="74"/>
      <c r="R649" s="74"/>
      <c r="S649" s="74"/>
      <c r="T649" s="74"/>
      <c r="U649" s="74"/>
      <c r="V649" s="74"/>
      <c r="W649" s="74"/>
      <c r="X649" s="74"/>
      <c r="Y649" s="74"/>
      <c r="Z649" s="74"/>
      <c r="AA649" s="74"/>
      <c r="AB649" s="74"/>
    </row>
    <row r="650" spans="1:28" ht="12" customHeight="1">
      <c r="A650" s="330"/>
      <c r="B650" s="314"/>
      <c r="C650" s="285"/>
      <c r="D650" s="108"/>
      <c r="E650" s="285"/>
      <c r="F650" s="285"/>
      <c r="G650" s="35"/>
      <c r="H650" s="104"/>
      <c r="I650" s="35"/>
      <c r="J650" s="74"/>
      <c r="K650" s="74"/>
      <c r="L650" s="74"/>
      <c r="M650" s="74"/>
      <c r="N650" s="74"/>
      <c r="O650" s="74"/>
      <c r="P650" s="74"/>
      <c r="Q650" s="74"/>
      <c r="R650" s="74"/>
      <c r="S650" s="74"/>
      <c r="T650" s="74"/>
      <c r="U650" s="74"/>
      <c r="V650" s="74"/>
      <c r="W650" s="74"/>
      <c r="X650" s="74"/>
      <c r="Y650" s="74"/>
      <c r="Z650" s="74"/>
      <c r="AA650" s="74"/>
      <c r="AB650" s="74"/>
    </row>
    <row r="651" spans="1:28" ht="12" customHeight="1">
      <c r="A651" s="330"/>
      <c r="B651" s="314"/>
      <c r="C651" s="285"/>
      <c r="D651" s="108"/>
      <c r="E651" s="285"/>
      <c r="F651" s="285"/>
      <c r="G651" s="35"/>
      <c r="H651" s="104"/>
      <c r="I651" s="35"/>
      <c r="J651" s="74"/>
      <c r="K651" s="74"/>
      <c r="L651" s="74"/>
      <c r="M651" s="74"/>
      <c r="N651" s="74"/>
      <c r="O651" s="74"/>
      <c r="P651" s="74"/>
      <c r="Q651" s="74"/>
      <c r="R651" s="74"/>
      <c r="S651" s="74"/>
      <c r="T651" s="74"/>
      <c r="U651" s="74"/>
      <c r="V651" s="74"/>
      <c r="W651" s="74"/>
      <c r="X651" s="74"/>
      <c r="Y651" s="74"/>
      <c r="Z651" s="74"/>
      <c r="AA651" s="74"/>
      <c r="AB651" s="74"/>
    </row>
    <row r="652" spans="1:28" ht="12" customHeight="1">
      <c r="A652" s="330"/>
      <c r="B652" s="314"/>
      <c r="C652" s="285"/>
      <c r="D652" s="108"/>
      <c r="E652" s="285"/>
      <c r="F652" s="285"/>
      <c r="G652" s="35"/>
      <c r="H652" s="104"/>
      <c r="I652" s="35"/>
      <c r="J652" s="74"/>
      <c r="K652" s="74"/>
      <c r="L652" s="74"/>
      <c r="M652" s="74"/>
      <c r="N652" s="74"/>
      <c r="O652" s="74"/>
      <c r="P652" s="74"/>
      <c r="Q652" s="74"/>
      <c r="R652" s="74"/>
      <c r="S652" s="74"/>
      <c r="T652" s="74"/>
      <c r="U652" s="74"/>
      <c r="V652" s="74"/>
      <c r="W652" s="74"/>
      <c r="X652" s="74"/>
      <c r="Y652" s="74"/>
      <c r="Z652" s="74"/>
      <c r="AA652" s="74"/>
      <c r="AB652" s="74"/>
    </row>
    <row r="653" spans="1:28" ht="12" customHeight="1">
      <c r="A653" s="330"/>
      <c r="B653" s="314"/>
      <c r="C653" s="285"/>
      <c r="D653" s="108"/>
      <c r="E653" s="285"/>
      <c r="F653" s="285"/>
      <c r="G653" s="35"/>
      <c r="H653" s="104"/>
      <c r="I653" s="35"/>
      <c r="J653" s="74"/>
      <c r="K653" s="74"/>
      <c r="L653" s="74"/>
      <c r="M653" s="74"/>
      <c r="N653" s="74"/>
      <c r="O653" s="74"/>
      <c r="P653" s="74"/>
      <c r="Q653" s="74"/>
      <c r="R653" s="74"/>
      <c r="S653" s="74"/>
      <c r="T653" s="74"/>
      <c r="U653" s="74"/>
      <c r="V653" s="74"/>
      <c r="W653" s="74"/>
      <c r="X653" s="74"/>
      <c r="Y653" s="74"/>
      <c r="Z653" s="74"/>
      <c r="AA653" s="74"/>
      <c r="AB653" s="74"/>
    </row>
    <row r="654" spans="1:28" ht="12" customHeight="1">
      <c r="A654" s="330"/>
      <c r="B654" s="314"/>
      <c r="C654" s="285"/>
      <c r="D654" s="108"/>
      <c r="E654" s="285"/>
      <c r="F654" s="285"/>
      <c r="G654" s="35"/>
      <c r="H654" s="104"/>
      <c r="I654" s="35"/>
      <c r="J654" s="74"/>
      <c r="K654" s="74"/>
      <c r="L654" s="74"/>
      <c r="M654" s="74"/>
      <c r="N654" s="74"/>
      <c r="O654" s="74"/>
      <c r="P654" s="74"/>
      <c r="Q654" s="74"/>
      <c r="R654" s="74"/>
      <c r="S654" s="74"/>
      <c r="T654" s="74"/>
      <c r="U654" s="74"/>
      <c r="V654" s="74"/>
      <c r="W654" s="74"/>
      <c r="X654" s="74"/>
      <c r="Y654" s="74"/>
      <c r="Z654" s="74"/>
      <c r="AA654" s="74"/>
      <c r="AB654" s="74"/>
    </row>
    <row r="655" spans="1:28" ht="12" customHeight="1">
      <c r="A655" s="330"/>
      <c r="B655" s="314"/>
      <c r="C655" s="285"/>
      <c r="D655" s="108"/>
      <c r="E655" s="285"/>
      <c r="F655" s="285"/>
      <c r="G655" s="35"/>
      <c r="H655" s="104"/>
      <c r="I655" s="35"/>
      <c r="J655" s="74"/>
      <c r="K655" s="74"/>
      <c r="L655" s="74"/>
      <c r="M655" s="74"/>
      <c r="N655" s="74"/>
      <c r="O655" s="74"/>
      <c r="P655" s="74"/>
      <c r="Q655" s="74"/>
      <c r="R655" s="74"/>
      <c r="S655" s="74"/>
      <c r="T655" s="74"/>
      <c r="U655" s="74"/>
      <c r="V655" s="74"/>
      <c r="W655" s="74"/>
      <c r="X655" s="74"/>
      <c r="Y655" s="74"/>
      <c r="Z655" s="74"/>
      <c r="AA655" s="74"/>
      <c r="AB655" s="74"/>
    </row>
    <row r="656" spans="1:28" ht="12" customHeight="1">
      <c r="A656" s="330"/>
      <c r="B656" s="314"/>
      <c r="C656" s="285"/>
      <c r="D656" s="108"/>
      <c r="E656" s="285"/>
      <c r="F656" s="285"/>
      <c r="G656" s="35"/>
      <c r="H656" s="104"/>
      <c r="I656" s="35"/>
      <c r="J656" s="74"/>
      <c r="K656" s="74"/>
      <c r="L656" s="74"/>
      <c r="M656" s="74"/>
      <c r="N656" s="74"/>
      <c r="O656" s="74"/>
      <c r="P656" s="74"/>
      <c r="Q656" s="74"/>
      <c r="R656" s="74"/>
      <c r="S656" s="74"/>
      <c r="T656" s="74"/>
      <c r="U656" s="74"/>
      <c r="V656" s="74"/>
      <c r="W656" s="74"/>
      <c r="X656" s="74"/>
      <c r="Y656" s="74"/>
      <c r="Z656" s="74"/>
      <c r="AA656" s="74"/>
      <c r="AB656" s="74"/>
    </row>
    <row r="657" spans="1:28" ht="12" customHeight="1">
      <c r="A657" s="330"/>
      <c r="B657" s="314"/>
      <c r="C657" s="285"/>
      <c r="D657" s="108"/>
      <c r="E657" s="285"/>
      <c r="F657" s="285"/>
      <c r="G657" s="35"/>
      <c r="H657" s="104"/>
      <c r="I657" s="35"/>
      <c r="J657" s="74"/>
      <c r="K657" s="74"/>
      <c r="L657" s="74"/>
      <c r="M657" s="74"/>
      <c r="N657" s="74"/>
      <c r="O657" s="74"/>
      <c r="P657" s="74"/>
      <c r="Q657" s="74"/>
      <c r="R657" s="74"/>
      <c r="S657" s="74"/>
      <c r="T657" s="74"/>
      <c r="U657" s="74"/>
      <c r="V657" s="74"/>
      <c r="W657" s="74"/>
      <c r="X657" s="74"/>
      <c r="Y657" s="74"/>
      <c r="Z657" s="74"/>
      <c r="AA657" s="74"/>
      <c r="AB657" s="74"/>
    </row>
    <row r="658" spans="1:28" ht="12" customHeight="1">
      <c r="A658" s="330"/>
      <c r="B658" s="314"/>
      <c r="C658" s="285"/>
      <c r="D658" s="108"/>
      <c r="E658" s="285"/>
      <c r="F658" s="285"/>
      <c r="G658" s="35"/>
      <c r="H658" s="104"/>
      <c r="I658" s="35"/>
      <c r="J658" s="74"/>
      <c r="K658" s="74"/>
      <c r="L658" s="74"/>
      <c r="M658" s="74"/>
      <c r="N658" s="74"/>
      <c r="O658" s="74"/>
      <c r="P658" s="74"/>
      <c r="Q658" s="74"/>
      <c r="R658" s="74"/>
      <c r="S658" s="74"/>
      <c r="T658" s="74"/>
      <c r="U658" s="74"/>
      <c r="V658" s="74"/>
      <c r="W658" s="74"/>
      <c r="X658" s="74"/>
      <c r="Y658" s="74"/>
      <c r="Z658" s="74"/>
      <c r="AA658" s="74"/>
      <c r="AB658" s="74"/>
    </row>
    <row r="659" spans="1:28" ht="12" customHeight="1">
      <c r="A659" s="330"/>
      <c r="B659" s="314"/>
      <c r="C659" s="285"/>
      <c r="D659" s="108"/>
      <c r="E659" s="285"/>
      <c r="F659" s="285"/>
      <c r="G659" s="35"/>
      <c r="H659" s="104"/>
      <c r="I659" s="35"/>
      <c r="J659" s="74"/>
      <c r="K659" s="74"/>
      <c r="L659" s="74"/>
      <c r="M659" s="74"/>
      <c r="N659" s="74"/>
      <c r="O659" s="74"/>
      <c r="P659" s="74"/>
      <c r="Q659" s="74"/>
      <c r="R659" s="74"/>
      <c r="S659" s="74"/>
      <c r="T659" s="74"/>
      <c r="U659" s="74"/>
      <c r="V659" s="74"/>
      <c r="W659" s="74"/>
      <c r="X659" s="74"/>
      <c r="Y659" s="74"/>
      <c r="Z659" s="74"/>
      <c r="AA659" s="74"/>
      <c r="AB659" s="74"/>
    </row>
    <row r="660" spans="1:28" ht="12" customHeight="1">
      <c r="A660" s="330"/>
      <c r="B660" s="314"/>
      <c r="C660" s="285"/>
      <c r="D660" s="108"/>
      <c r="E660" s="285"/>
      <c r="F660" s="285"/>
      <c r="G660" s="35"/>
      <c r="H660" s="104"/>
      <c r="I660" s="35"/>
      <c r="J660" s="74"/>
      <c r="K660" s="74"/>
      <c r="L660" s="74"/>
      <c r="M660" s="74"/>
      <c r="N660" s="74"/>
      <c r="O660" s="74"/>
      <c r="P660" s="74"/>
      <c r="Q660" s="74"/>
      <c r="R660" s="74"/>
      <c r="S660" s="74"/>
      <c r="T660" s="74"/>
      <c r="U660" s="74"/>
      <c r="V660" s="74"/>
      <c r="W660" s="74"/>
      <c r="X660" s="74"/>
      <c r="Y660" s="74"/>
      <c r="Z660" s="74"/>
      <c r="AA660" s="74"/>
      <c r="AB660" s="74"/>
    </row>
    <row r="661" spans="1:28" ht="12" customHeight="1">
      <c r="A661" s="330"/>
      <c r="B661" s="314"/>
      <c r="C661" s="285"/>
      <c r="D661" s="108"/>
      <c r="E661" s="285"/>
      <c r="F661" s="285"/>
      <c r="G661" s="35"/>
      <c r="H661" s="104"/>
      <c r="I661" s="35"/>
      <c r="J661" s="74"/>
      <c r="K661" s="74"/>
      <c r="L661" s="74"/>
      <c r="M661" s="74"/>
      <c r="N661" s="74"/>
      <c r="O661" s="74"/>
      <c r="P661" s="74"/>
      <c r="Q661" s="74"/>
      <c r="R661" s="74"/>
      <c r="S661" s="74"/>
      <c r="T661" s="74"/>
      <c r="U661" s="74"/>
      <c r="V661" s="74"/>
      <c r="W661" s="74"/>
      <c r="X661" s="74"/>
      <c r="Y661" s="74"/>
      <c r="Z661" s="74"/>
      <c r="AA661" s="74"/>
      <c r="AB661" s="74"/>
    </row>
    <row r="662" spans="1:28" ht="12" customHeight="1">
      <c r="A662" s="330"/>
      <c r="B662" s="314"/>
      <c r="C662" s="285"/>
      <c r="D662" s="108"/>
      <c r="E662" s="285"/>
      <c r="F662" s="285"/>
      <c r="G662" s="35"/>
      <c r="H662" s="104"/>
      <c r="I662" s="35"/>
      <c r="J662" s="74"/>
      <c r="K662" s="74"/>
      <c r="L662" s="74"/>
      <c r="M662" s="74"/>
      <c r="N662" s="74"/>
      <c r="O662" s="74"/>
      <c r="P662" s="74"/>
      <c r="Q662" s="74"/>
      <c r="R662" s="74"/>
      <c r="S662" s="74"/>
      <c r="T662" s="74"/>
      <c r="U662" s="74"/>
      <c r="V662" s="74"/>
      <c r="W662" s="74"/>
      <c r="X662" s="74"/>
      <c r="Y662" s="74"/>
      <c r="Z662" s="74"/>
      <c r="AA662" s="74"/>
      <c r="AB662" s="74"/>
    </row>
    <row r="663" spans="1:28" ht="12" customHeight="1">
      <c r="A663" s="330"/>
      <c r="B663" s="314"/>
      <c r="C663" s="285"/>
      <c r="D663" s="108"/>
      <c r="E663" s="285"/>
      <c r="F663" s="285"/>
      <c r="G663" s="35"/>
      <c r="H663" s="104"/>
      <c r="I663" s="35"/>
      <c r="J663" s="74"/>
      <c r="K663" s="74"/>
      <c r="L663" s="74"/>
      <c r="M663" s="74"/>
      <c r="N663" s="74"/>
      <c r="O663" s="74"/>
      <c r="P663" s="74"/>
      <c r="Q663" s="74"/>
      <c r="R663" s="74"/>
      <c r="S663" s="74"/>
      <c r="T663" s="74"/>
      <c r="U663" s="74"/>
      <c r="V663" s="74"/>
      <c r="W663" s="74"/>
      <c r="X663" s="74"/>
      <c r="Y663" s="74"/>
      <c r="Z663" s="74"/>
      <c r="AA663" s="74"/>
      <c r="AB663" s="74"/>
    </row>
    <row r="664" spans="1:28" ht="12" customHeight="1">
      <c r="A664" s="330"/>
      <c r="B664" s="314"/>
      <c r="C664" s="285"/>
      <c r="D664" s="108"/>
      <c r="E664" s="285"/>
      <c r="F664" s="285"/>
      <c r="G664" s="35"/>
      <c r="H664" s="104"/>
      <c r="I664" s="35"/>
      <c r="J664" s="74"/>
      <c r="K664" s="74"/>
      <c r="L664" s="74"/>
      <c r="M664" s="74"/>
      <c r="N664" s="74"/>
      <c r="O664" s="74"/>
      <c r="P664" s="74"/>
      <c r="Q664" s="74"/>
      <c r="R664" s="74"/>
      <c r="S664" s="74"/>
      <c r="T664" s="74"/>
      <c r="U664" s="74"/>
      <c r="V664" s="74"/>
      <c r="W664" s="74"/>
      <c r="X664" s="74"/>
      <c r="Y664" s="74"/>
      <c r="Z664" s="74"/>
      <c r="AA664" s="74"/>
      <c r="AB664" s="74"/>
    </row>
    <row r="665" spans="1:28" ht="12" customHeight="1">
      <c r="A665" s="330"/>
      <c r="B665" s="314"/>
      <c r="C665" s="285"/>
      <c r="D665" s="108"/>
      <c r="E665" s="285"/>
      <c r="F665" s="285"/>
      <c r="G665" s="35"/>
      <c r="H665" s="104"/>
      <c r="I665" s="35"/>
      <c r="J665" s="74"/>
      <c r="K665" s="74"/>
      <c r="L665" s="74"/>
      <c r="M665" s="74"/>
      <c r="N665" s="74"/>
      <c r="O665" s="74"/>
      <c r="P665" s="74"/>
      <c r="Q665" s="74"/>
      <c r="R665" s="74"/>
      <c r="S665" s="74"/>
      <c r="T665" s="74"/>
      <c r="U665" s="74"/>
      <c r="V665" s="74"/>
      <c r="W665" s="74"/>
      <c r="X665" s="74"/>
      <c r="Y665" s="74"/>
      <c r="Z665" s="74"/>
      <c r="AA665" s="74"/>
      <c r="AB665" s="74"/>
    </row>
    <row r="666" spans="1:28" ht="12" customHeight="1">
      <c r="A666" s="330"/>
      <c r="B666" s="314"/>
      <c r="C666" s="285"/>
      <c r="D666" s="108"/>
      <c r="E666" s="285"/>
      <c r="F666" s="285"/>
      <c r="G666" s="35"/>
      <c r="H666" s="104"/>
      <c r="I666" s="35"/>
      <c r="J666" s="74"/>
      <c r="K666" s="74"/>
      <c r="L666" s="74"/>
      <c r="M666" s="74"/>
      <c r="N666" s="74"/>
      <c r="O666" s="74"/>
      <c r="P666" s="74"/>
      <c r="Q666" s="74"/>
      <c r="R666" s="74"/>
      <c r="S666" s="74"/>
      <c r="T666" s="74"/>
      <c r="U666" s="74"/>
      <c r="V666" s="74"/>
      <c r="W666" s="74"/>
      <c r="X666" s="74"/>
      <c r="Y666" s="74"/>
      <c r="Z666" s="74"/>
      <c r="AA666" s="74"/>
      <c r="AB666" s="74"/>
    </row>
    <row r="667" spans="1:28" ht="12" customHeight="1">
      <c r="A667" s="330"/>
      <c r="B667" s="314"/>
      <c r="C667" s="285"/>
      <c r="D667" s="108"/>
      <c r="E667" s="285"/>
      <c r="F667" s="285"/>
      <c r="G667" s="35"/>
      <c r="H667" s="104"/>
      <c r="I667" s="35"/>
      <c r="J667" s="74"/>
      <c r="K667" s="74"/>
      <c r="L667" s="74"/>
      <c r="M667" s="74"/>
      <c r="N667" s="74"/>
      <c r="O667" s="74"/>
      <c r="P667" s="74"/>
      <c r="Q667" s="74"/>
      <c r="R667" s="74"/>
      <c r="S667" s="74"/>
      <c r="T667" s="74"/>
      <c r="U667" s="74"/>
      <c r="V667" s="74"/>
      <c r="W667" s="74"/>
      <c r="X667" s="74"/>
      <c r="Y667" s="74"/>
      <c r="Z667" s="74"/>
      <c r="AA667" s="74"/>
      <c r="AB667" s="74"/>
    </row>
    <row r="668" spans="1:28" ht="12" customHeight="1">
      <c r="A668" s="330"/>
      <c r="B668" s="314"/>
      <c r="C668" s="285"/>
      <c r="D668" s="108"/>
      <c r="E668" s="285"/>
      <c r="F668" s="285"/>
      <c r="G668" s="35"/>
      <c r="H668" s="104"/>
      <c r="I668" s="35"/>
      <c r="J668" s="74"/>
      <c r="K668" s="74"/>
      <c r="L668" s="74"/>
      <c r="M668" s="74"/>
      <c r="N668" s="74"/>
      <c r="O668" s="74"/>
      <c r="P668" s="74"/>
      <c r="Q668" s="74"/>
      <c r="R668" s="74"/>
      <c r="S668" s="74"/>
      <c r="T668" s="74"/>
      <c r="U668" s="74"/>
      <c r="V668" s="74"/>
      <c r="W668" s="74"/>
      <c r="X668" s="74"/>
      <c r="Y668" s="74"/>
      <c r="Z668" s="74"/>
      <c r="AA668" s="74"/>
      <c r="AB668" s="74"/>
    </row>
    <row r="669" spans="1:28" ht="12" customHeight="1">
      <c r="A669" s="330"/>
      <c r="B669" s="314"/>
      <c r="C669" s="285"/>
      <c r="D669" s="108"/>
      <c r="E669" s="285"/>
      <c r="F669" s="285"/>
      <c r="G669" s="35"/>
      <c r="H669" s="104"/>
      <c r="I669" s="35"/>
      <c r="J669" s="74"/>
      <c r="K669" s="74"/>
      <c r="L669" s="74"/>
      <c r="M669" s="74"/>
      <c r="N669" s="74"/>
      <c r="O669" s="74"/>
      <c r="P669" s="74"/>
      <c r="Q669" s="74"/>
      <c r="R669" s="74"/>
      <c r="S669" s="74"/>
      <c r="T669" s="74"/>
      <c r="U669" s="74"/>
      <c r="V669" s="74"/>
      <c r="W669" s="74"/>
      <c r="X669" s="74"/>
      <c r="Y669" s="74"/>
      <c r="Z669" s="74"/>
      <c r="AA669" s="74"/>
      <c r="AB669" s="74"/>
    </row>
    <row r="670" spans="1:28" ht="12" customHeight="1">
      <c r="A670" s="330"/>
      <c r="B670" s="314"/>
      <c r="C670" s="285"/>
      <c r="D670" s="108"/>
      <c r="E670" s="285"/>
      <c r="F670" s="285"/>
      <c r="G670" s="35"/>
      <c r="H670" s="104"/>
      <c r="I670" s="35"/>
      <c r="J670" s="74"/>
      <c r="K670" s="74"/>
      <c r="L670" s="74"/>
      <c r="M670" s="74"/>
      <c r="N670" s="74"/>
      <c r="O670" s="74"/>
      <c r="P670" s="74"/>
      <c r="Q670" s="74"/>
      <c r="R670" s="74"/>
      <c r="S670" s="74"/>
      <c r="T670" s="74"/>
      <c r="U670" s="74"/>
      <c r="V670" s="74"/>
      <c r="W670" s="74"/>
      <c r="X670" s="74"/>
      <c r="Y670" s="74"/>
      <c r="Z670" s="74"/>
      <c r="AA670" s="74"/>
      <c r="AB670" s="74"/>
    </row>
    <row r="671" spans="1:28" ht="12" customHeight="1">
      <c r="A671" s="330"/>
      <c r="B671" s="314"/>
      <c r="C671" s="285"/>
      <c r="D671" s="108"/>
      <c r="E671" s="285"/>
      <c r="F671" s="285"/>
      <c r="G671" s="35"/>
      <c r="H671" s="104"/>
      <c r="I671" s="35"/>
      <c r="J671" s="74"/>
      <c r="K671" s="74"/>
      <c r="L671" s="74"/>
      <c r="M671" s="74"/>
      <c r="N671" s="74"/>
      <c r="O671" s="74"/>
      <c r="P671" s="74"/>
      <c r="Q671" s="74"/>
      <c r="R671" s="74"/>
      <c r="S671" s="74"/>
      <c r="T671" s="74"/>
      <c r="U671" s="74"/>
      <c r="V671" s="74"/>
      <c r="W671" s="74"/>
      <c r="X671" s="74"/>
      <c r="Y671" s="74"/>
      <c r="Z671" s="74"/>
      <c r="AA671" s="74"/>
      <c r="AB671" s="74"/>
    </row>
    <row r="672" spans="1:28" ht="12" customHeight="1">
      <c r="A672" s="330"/>
      <c r="B672" s="314"/>
      <c r="C672" s="285"/>
      <c r="D672" s="108"/>
      <c r="E672" s="285"/>
      <c r="F672" s="285"/>
      <c r="G672" s="35"/>
      <c r="H672" s="104"/>
      <c r="I672" s="35"/>
      <c r="J672" s="74"/>
      <c r="K672" s="74"/>
      <c r="L672" s="74"/>
      <c r="M672" s="74"/>
      <c r="N672" s="74"/>
      <c r="O672" s="74"/>
      <c r="P672" s="74"/>
      <c r="Q672" s="74"/>
      <c r="R672" s="74"/>
      <c r="S672" s="74"/>
      <c r="T672" s="74"/>
      <c r="U672" s="74"/>
      <c r="V672" s="74"/>
      <c r="W672" s="74"/>
      <c r="X672" s="74"/>
      <c r="Y672" s="74"/>
      <c r="Z672" s="74"/>
      <c r="AA672" s="74"/>
      <c r="AB672" s="74"/>
    </row>
    <row r="673" spans="1:28" ht="12" customHeight="1">
      <c r="A673" s="330"/>
      <c r="B673" s="314"/>
      <c r="C673" s="285"/>
      <c r="D673" s="108"/>
      <c r="E673" s="285"/>
      <c r="F673" s="285"/>
      <c r="G673" s="35"/>
      <c r="H673" s="104"/>
      <c r="I673" s="35"/>
      <c r="J673" s="74"/>
      <c r="K673" s="74"/>
      <c r="L673" s="74"/>
      <c r="M673" s="74"/>
      <c r="N673" s="74"/>
      <c r="O673" s="74"/>
      <c r="P673" s="74"/>
      <c r="Q673" s="74"/>
      <c r="R673" s="74"/>
      <c r="S673" s="74"/>
      <c r="T673" s="74"/>
      <c r="U673" s="74"/>
      <c r="V673" s="74"/>
      <c r="W673" s="74"/>
      <c r="X673" s="74"/>
      <c r="Y673" s="74"/>
      <c r="Z673" s="74"/>
      <c r="AA673" s="74"/>
      <c r="AB673" s="74"/>
    </row>
    <row r="674" spans="1:28" ht="12" customHeight="1">
      <c r="A674" s="330"/>
      <c r="B674" s="314"/>
      <c r="C674" s="285"/>
      <c r="D674" s="108"/>
      <c r="E674" s="285"/>
      <c r="F674" s="285"/>
      <c r="G674" s="35"/>
      <c r="H674" s="104"/>
      <c r="I674" s="35"/>
      <c r="J674" s="74"/>
      <c r="K674" s="74"/>
      <c r="L674" s="74"/>
      <c r="M674" s="74"/>
      <c r="N674" s="74"/>
      <c r="O674" s="74"/>
      <c r="P674" s="74"/>
      <c r="Q674" s="74"/>
      <c r="R674" s="74"/>
      <c r="S674" s="74"/>
      <c r="T674" s="74"/>
      <c r="U674" s="74"/>
      <c r="V674" s="74"/>
      <c r="W674" s="74"/>
      <c r="X674" s="74"/>
      <c r="Y674" s="74"/>
      <c r="Z674" s="74"/>
      <c r="AA674" s="74"/>
      <c r="AB674" s="74"/>
    </row>
    <row r="675" spans="1:28" ht="12" customHeight="1">
      <c r="A675" s="330"/>
      <c r="B675" s="314"/>
      <c r="C675" s="285"/>
      <c r="D675" s="108"/>
      <c r="E675" s="285"/>
      <c r="F675" s="285"/>
      <c r="G675" s="35"/>
      <c r="H675" s="104"/>
      <c r="I675" s="35"/>
      <c r="J675" s="74"/>
      <c r="K675" s="74"/>
      <c r="L675" s="74"/>
      <c r="M675" s="74"/>
      <c r="N675" s="74"/>
      <c r="O675" s="74"/>
      <c r="P675" s="74"/>
      <c r="Q675" s="74"/>
      <c r="R675" s="74"/>
      <c r="S675" s="74"/>
      <c r="T675" s="74"/>
      <c r="U675" s="74"/>
      <c r="V675" s="74"/>
      <c r="W675" s="74"/>
      <c r="X675" s="74"/>
      <c r="Y675" s="74"/>
      <c r="Z675" s="74"/>
      <c r="AA675" s="74"/>
      <c r="AB675" s="74"/>
    </row>
    <row r="676" spans="1:28" ht="12" customHeight="1">
      <c r="A676" s="330"/>
      <c r="B676" s="314"/>
      <c r="C676" s="285"/>
      <c r="D676" s="108"/>
      <c r="E676" s="285"/>
      <c r="F676" s="285"/>
      <c r="G676" s="35"/>
      <c r="H676" s="104"/>
      <c r="I676" s="35"/>
      <c r="J676" s="74"/>
      <c r="K676" s="74"/>
      <c r="L676" s="74"/>
      <c r="M676" s="74"/>
      <c r="N676" s="74"/>
      <c r="O676" s="74"/>
      <c r="P676" s="74"/>
      <c r="Q676" s="74"/>
      <c r="R676" s="74"/>
      <c r="S676" s="74"/>
      <c r="T676" s="74"/>
      <c r="U676" s="74"/>
      <c r="V676" s="74"/>
      <c r="W676" s="74"/>
      <c r="X676" s="74"/>
      <c r="Y676" s="74"/>
      <c r="Z676" s="74"/>
      <c r="AA676" s="74"/>
      <c r="AB676" s="74"/>
    </row>
    <row r="677" spans="1:28" ht="12" customHeight="1">
      <c r="A677" s="330"/>
      <c r="B677" s="314"/>
      <c r="C677" s="285"/>
      <c r="D677" s="108"/>
      <c r="E677" s="285"/>
      <c r="F677" s="285"/>
      <c r="G677" s="35"/>
      <c r="H677" s="104"/>
      <c r="I677" s="35"/>
      <c r="J677" s="74"/>
      <c r="K677" s="74"/>
      <c r="L677" s="74"/>
      <c r="M677" s="74"/>
      <c r="N677" s="74"/>
      <c r="O677" s="74"/>
      <c r="P677" s="74"/>
      <c r="Q677" s="74"/>
      <c r="R677" s="74"/>
      <c r="S677" s="74"/>
      <c r="T677" s="74"/>
      <c r="U677" s="74"/>
      <c r="V677" s="74"/>
      <c r="W677" s="74"/>
      <c r="X677" s="74"/>
      <c r="Y677" s="74"/>
      <c r="Z677" s="74"/>
      <c r="AA677" s="74"/>
      <c r="AB677" s="74"/>
    </row>
    <row r="678" spans="1:28" ht="12" customHeight="1">
      <c r="A678" s="330"/>
      <c r="B678" s="314"/>
      <c r="C678" s="285"/>
      <c r="D678" s="108"/>
      <c r="E678" s="285"/>
      <c r="F678" s="285"/>
      <c r="G678" s="35"/>
      <c r="H678" s="104"/>
      <c r="I678" s="35"/>
      <c r="J678" s="74"/>
      <c r="K678" s="74"/>
      <c r="L678" s="74"/>
      <c r="M678" s="74"/>
      <c r="N678" s="74"/>
      <c r="O678" s="74"/>
      <c r="P678" s="74"/>
      <c r="Q678" s="74"/>
      <c r="R678" s="74"/>
      <c r="S678" s="74"/>
      <c r="T678" s="74"/>
      <c r="U678" s="74"/>
      <c r="V678" s="74"/>
      <c r="W678" s="74"/>
      <c r="X678" s="74"/>
      <c r="Y678" s="74"/>
      <c r="Z678" s="74"/>
      <c r="AA678" s="74"/>
      <c r="AB678" s="74"/>
    </row>
    <row r="679" spans="1:28" ht="12" customHeight="1">
      <c r="A679" s="330"/>
      <c r="B679" s="314"/>
      <c r="C679" s="285"/>
      <c r="D679" s="108"/>
      <c r="E679" s="285"/>
      <c r="F679" s="285"/>
      <c r="G679" s="35"/>
      <c r="H679" s="104"/>
      <c r="I679" s="35"/>
      <c r="J679" s="74"/>
      <c r="K679" s="74"/>
      <c r="L679" s="74"/>
      <c r="M679" s="74"/>
      <c r="N679" s="74"/>
      <c r="O679" s="74"/>
      <c r="P679" s="74"/>
      <c r="Q679" s="74"/>
      <c r="R679" s="74"/>
      <c r="S679" s="74"/>
      <c r="T679" s="74"/>
      <c r="U679" s="74"/>
      <c r="V679" s="74"/>
      <c r="W679" s="74"/>
      <c r="X679" s="74"/>
      <c r="Y679" s="74"/>
      <c r="Z679" s="74"/>
      <c r="AA679" s="74"/>
      <c r="AB679" s="74"/>
    </row>
    <row r="680" spans="1:28" ht="12" customHeight="1">
      <c r="A680" s="330"/>
      <c r="B680" s="314"/>
      <c r="C680" s="285"/>
      <c r="D680" s="108"/>
      <c r="E680" s="285"/>
      <c r="F680" s="285"/>
      <c r="G680" s="35"/>
      <c r="H680" s="104"/>
      <c r="I680" s="35"/>
      <c r="J680" s="74"/>
      <c r="K680" s="74"/>
      <c r="L680" s="74"/>
      <c r="M680" s="74"/>
      <c r="N680" s="74"/>
      <c r="O680" s="74"/>
      <c r="P680" s="74"/>
      <c r="Q680" s="74"/>
      <c r="R680" s="74"/>
      <c r="S680" s="74"/>
      <c r="T680" s="74"/>
      <c r="U680" s="74"/>
      <c r="V680" s="74"/>
      <c r="W680" s="74"/>
      <c r="X680" s="74"/>
      <c r="Y680" s="74"/>
      <c r="Z680" s="74"/>
      <c r="AA680" s="74"/>
      <c r="AB680" s="74"/>
    </row>
    <row r="681" spans="1:28" ht="12" customHeight="1">
      <c r="A681" s="330"/>
      <c r="B681" s="314"/>
      <c r="C681" s="285"/>
      <c r="D681" s="108"/>
      <c r="E681" s="285"/>
      <c r="F681" s="285"/>
      <c r="G681" s="35"/>
      <c r="H681" s="104"/>
      <c r="I681" s="35"/>
      <c r="J681" s="74"/>
      <c r="K681" s="74"/>
      <c r="L681" s="74"/>
      <c r="M681" s="74"/>
      <c r="N681" s="74"/>
      <c r="O681" s="74"/>
      <c r="P681" s="74"/>
      <c r="Q681" s="74"/>
      <c r="R681" s="74"/>
      <c r="S681" s="74"/>
      <c r="T681" s="74"/>
      <c r="U681" s="74"/>
      <c r="V681" s="74"/>
      <c r="W681" s="74"/>
      <c r="X681" s="74"/>
      <c r="Y681" s="74"/>
      <c r="Z681" s="74"/>
      <c r="AA681" s="74"/>
      <c r="AB681" s="74"/>
    </row>
    <row r="682" spans="1:28" ht="12" customHeight="1">
      <c r="A682" s="330"/>
      <c r="B682" s="314"/>
      <c r="C682" s="285"/>
      <c r="D682" s="108"/>
      <c r="E682" s="285"/>
      <c r="F682" s="285"/>
      <c r="G682" s="35"/>
      <c r="H682" s="104"/>
      <c r="I682" s="35"/>
      <c r="J682" s="74"/>
      <c r="K682" s="74"/>
      <c r="L682" s="74"/>
      <c r="M682" s="74"/>
      <c r="N682" s="74"/>
      <c r="O682" s="74"/>
      <c r="P682" s="74"/>
      <c r="Q682" s="74"/>
      <c r="R682" s="74"/>
      <c r="S682" s="74"/>
      <c r="T682" s="74"/>
      <c r="U682" s="74"/>
      <c r="V682" s="74"/>
      <c r="W682" s="74"/>
      <c r="X682" s="74"/>
      <c r="Y682" s="74"/>
      <c r="Z682" s="74"/>
      <c r="AA682" s="74"/>
      <c r="AB682" s="74"/>
    </row>
    <row r="683" spans="1:28" ht="12" customHeight="1">
      <c r="A683" s="330"/>
      <c r="B683" s="314"/>
      <c r="C683" s="285"/>
      <c r="D683" s="108"/>
      <c r="E683" s="285"/>
      <c r="F683" s="285"/>
      <c r="G683" s="35"/>
      <c r="H683" s="104"/>
      <c r="I683" s="35"/>
      <c r="J683" s="74"/>
      <c r="K683" s="74"/>
      <c r="L683" s="74"/>
      <c r="M683" s="74"/>
      <c r="N683" s="74"/>
      <c r="O683" s="74"/>
      <c r="P683" s="74"/>
      <c r="Q683" s="74"/>
      <c r="R683" s="74"/>
      <c r="S683" s="74"/>
      <c r="T683" s="74"/>
      <c r="U683" s="74"/>
      <c r="V683" s="74"/>
      <c r="W683" s="74"/>
      <c r="X683" s="74"/>
      <c r="Y683" s="74"/>
      <c r="Z683" s="74"/>
      <c r="AA683" s="74"/>
      <c r="AB683" s="74"/>
    </row>
    <row r="684" spans="1:28" ht="12" customHeight="1">
      <c r="A684" s="330"/>
      <c r="B684" s="314"/>
      <c r="C684" s="285"/>
      <c r="D684" s="108"/>
      <c r="E684" s="285"/>
      <c r="F684" s="285"/>
      <c r="G684" s="35"/>
      <c r="H684" s="104"/>
      <c r="I684" s="35"/>
      <c r="J684" s="74"/>
      <c r="K684" s="74"/>
      <c r="L684" s="74"/>
      <c r="M684" s="74"/>
      <c r="N684" s="74"/>
      <c r="O684" s="74"/>
      <c r="P684" s="74"/>
      <c r="Q684" s="74"/>
      <c r="R684" s="74"/>
      <c r="S684" s="74"/>
      <c r="T684" s="74"/>
      <c r="U684" s="74"/>
      <c r="V684" s="74"/>
      <c r="W684" s="74"/>
      <c r="X684" s="74"/>
      <c r="Y684" s="74"/>
      <c r="Z684" s="74"/>
      <c r="AA684" s="74"/>
      <c r="AB684" s="74"/>
    </row>
    <row r="685" spans="1:28" ht="12" customHeight="1">
      <c r="A685" s="330"/>
      <c r="B685" s="314"/>
      <c r="C685" s="285"/>
      <c r="D685" s="108"/>
      <c r="E685" s="285"/>
      <c r="F685" s="285"/>
      <c r="G685" s="35"/>
      <c r="H685" s="104"/>
      <c r="I685" s="35"/>
      <c r="J685" s="74"/>
      <c r="K685" s="74"/>
      <c r="L685" s="74"/>
      <c r="M685" s="74"/>
      <c r="N685" s="74"/>
      <c r="O685" s="74"/>
      <c r="P685" s="74"/>
      <c r="Q685" s="74"/>
      <c r="R685" s="74"/>
      <c r="S685" s="74"/>
      <c r="T685" s="74"/>
      <c r="U685" s="74"/>
      <c r="V685" s="74"/>
      <c r="W685" s="74"/>
      <c r="X685" s="74"/>
      <c r="Y685" s="74"/>
      <c r="Z685" s="74"/>
      <c r="AA685" s="74"/>
      <c r="AB685" s="74"/>
    </row>
    <row r="686" spans="1:28" ht="12" customHeight="1">
      <c r="A686" s="330"/>
      <c r="B686" s="314"/>
      <c r="C686" s="285"/>
      <c r="D686" s="108"/>
      <c r="E686" s="285"/>
      <c r="F686" s="285"/>
      <c r="G686" s="35"/>
      <c r="H686" s="104"/>
      <c r="I686" s="35"/>
      <c r="J686" s="74"/>
      <c r="K686" s="74"/>
      <c r="L686" s="74"/>
      <c r="M686" s="74"/>
      <c r="N686" s="74"/>
      <c r="O686" s="74"/>
      <c r="P686" s="74"/>
      <c r="Q686" s="74"/>
      <c r="R686" s="74"/>
      <c r="S686" s="74"/>
      <c r="T686" s="74"/>
      <c r="U686" s="74"/>
      <c r="V686" s="74"/>
      <c r="W686" s="74"/>
      <c r="X686" s="74"/>
      <c r="Y686" s="74"/>
      <c r="Z686" s="74"/>
      <c r="AA686" s="74"/>
      <c r="AB686" s="74"/>
    </row>
    <row r="687" spans="1:28" ht="12" customHeight="1">
      <c r="A687" s="330"/>
      <c r="B687" s="314"/>
      <c r="C687" s="285"/>
      <c r="D687" s="108"/>
      <c r="E687" s="285"/>
      <c r="F687" s="285"/>
      <c r="G687" s="35"/>
      <c r="H687" s="104"/>
      <c r="I687" s="35"/>
      <c r="J687" s="74"/>
      <c r="K687" s="74"/>
      <c r="L687" s="74"/>
      <c r="M687" s="74"/>
      <c r="N687" s="74"/>
      <c r="O687" s="74"/>
      <c r="P687" s="74"/>
      <c r="Q687" s="74"/>
      <c r="R687" s="74"/>
      <c r="S687" s="74"/>
      <c r="T687" s="74"/>
      <c r="U687" s="74"/>
      <c r="V687" s="74"/>
      <c r="W687" s="74"/>
      <c r="X687" s="74"/>
      <c r="Y687" s="74"/>
      <c r="Z687" s="74"/>
      <c r="AA687" s="74"/>
      <c r="AB687" s="74"/>
    </row>
    <row r="688" spans="1:28" ht="12" customHeight="1">
      <c r="A688" s="330"/>
      <c r="B688" s="314"/>
      <c r="C688" s="285"/>
      <c r="D688" s="108"/>
      <c r="E688" s="285"/>
      <c r="F688" s="285"/>
      <c r="G688" s="35"/>
      <c r="H688" s="104"/>
      <c r="I688" s="35"/>
      <c r="J688" s="74"/>
      <c r="K688" s="74"/>
      <c r="L688" s="74"/>
      <c r="M688" s="74"/>
      <c r="N688" s="74"/>
      <c r="O688" s="74"/>
      <c r="P688" s="74"/>
      <c r="Q688" s="74"/>
      <c r="R688" s="74"/>
      <c r="S688" s="74"/>
      <c r="T688" s="74"/>
      <c r="U688" s="74"/>
      <c r="V688" s="74"/>
      <c r="W688" s="74"/>
      <c r="X688" s="74"/>
      <c r="Y688" s="74"/>
      <c r="Z688" s="74"/>
      <c r="AA688" s="74"/>
      <c r="AB688" s="74"/>
    </row>
    <row r="689" spans="1:28" ht="12" customHeight="1">
      <c r="A689" s="330"/>
      <c r="B689" s="314"/>
      <c r="C689" s="285"/>
      <c r="D689" s="108"/>
      <c r="E689" s="285"/>
      <c r="F689" s="285"/>
      <c r="G689" s="35"/>
      <c r="H689" s="104"/>
      <c r="I689" s="35"/>
      <c r="J689" s="74"/>
      <c r="K689" s="74"/>
      <c r="L689" s="74"/>
      <c r="M689" s="74"/>
      <c r="N689" s="74"/>
      <c r="O689" s="74"/>
      <c r="P689" s="74"/>
      <c r="Q689" s="74"/>
      <c r="R689" s="74"/>
      <c r="S689" s="74"/>
      <c r="T689" s="74"/>
      <c r="U689" s="74"/>
      <c r="V689" s="74"/>
      <c r="W689" s="74"/>
      <c r="X689" s="74"/>
      <c r="Y689" s="74"/>
      <c r="Z689" s="74"/>
      <c r="AA689" s="74"/>
      <c r="AB689" s="74"/>
    </row>
    <row r="690" spans="1:28" ht="12" customHeight="1">
      <c r="A690" s="330"/>
      <c r="B690" s="314"/>
      <c r="C690" s="285"/>
      <c r="D690" s="108"/>
      <c r="E690" s="285"/>
      <c r="F690" s="285"/>
      <c r="G690" s="35"/>
      <c r="H690" s="104"/>
      <c r="I690" s="35"/>
      <c r="J690" s="74"/>
      <c r="K690" s="74"/>
      <c r="L690" s="74"/>
      <c r="M690" s="74"/>
      <c r="N690" s="74"/>
      <c r="O690" s="74"/>
      <c r="P690" s="74"/>
      <c r="Q690" s="74"/>
      <c r="R690" s="74"/>
      <c r="S690" s="74"/>
      <c r="T690" s="74"/>
      <c r="U690" s="74"/>
      <c r="V690" s="74"/>
      <c r="W690" s="74"/>
      <c r="X690" s="74"/>
      <c r="Y690" s="74"/>
      <c r="Z690" s="74"/>
      <c r="AA690" s="74"/>
      <c r="AB690" s="74"/>
    </row>
    <row r="691" spans="1:28" ht="12" customHeight="1">
      <c r="A691" s="330"/>
      <c r="B691" s="314"/>
      <c r="C691" s="285"/>
      <c r="D691" s="108"/>
      <c r="E691" s="285"/>
      <c r="F691" s="285"/>
      <c r="G691" s="35"/>
      <c r="H691" s="104"/>
      <c r="I691" s="35"/>
      <c r="J691" s="74"/>
      <c r="K691" s="74"/>
      <c r="L691" s="74"/>
      <c r="M691" s="74"/>
      <c r="N691" s="74"/>
      <c r="O691" s="74"/>
      <c r="P691" s="74"/>
      <c r="Q691" s="74"/>
      <c r="R691" s="74"/>
      <c r="S691" s="74"/>
      <c r="T691" s="74"/>
      <c r="U691" s="74"/>
      <c r="V691" s="74"/>
      <c r="W691" s="74"/>
      <c r="X691" s="74"/>
      <c r="Y691" s="74"/>
      <c r="Z691" s="74"/>
      <c r="AA691" s="74"/>
      <c r="AB691" s="74"/>
    </row>
    <row r="692" spans="1:28" ht="12" customHeight="1">
      <c r="A692" s="330"/>
      <c r="B692" s="314"/>
      <c r="C692" s="285"/>
      <c r="D692" s="108"/>
      <c r="E692" s="285"/>
      <c r="F692" s="285"/>
      <c r="G692" s="35"/>
      <c r="H692" s="104"/>
      <c r="I692" s="35"/>
      <c r="J692" s="74"/>
      <c r="K692" s="74"/>
      <c r="L692" s="74"/>
      <c r="M692" s="74"/>
      <c r="N692" s="74"/>
      <c r="O692" s="74"/>
      <c r="P692" s="74"/>
      <c r="Q692" s="74"/>
      <c r="R692" s="74"/>
      <c r="S692" s="74"/>
      <c r="T692" s="74"/>
      <c r="U692" s="74"/>
      <c r="V692" s="74"/>
      <c r="W692" s="74"/>
      <c r="X692" s="74"/>
      <c r="Y692" s="74"/>
      <c r="Z692" s="74"/>
      <c r="AA692" s="74"/>
      <c r="AB692" s="74"/>
    </row>
    <row r="693" spans="1:28" ht="12" customHeight="1">
      <c r="A693" s="330"/>
      <c r="B693" s="314"/>
      <c r="C693" s="285"/>
      <c r="D693" s="108"/>
      <c r="E693" s="285"/>
      <c r="F693" s="285"/>
      <c r="G693" s="35"/>
      <c r="H693" s="104"/>
      <c r="I693" s="35"/>
      <c r="J693" s="74"/>
      <c r="K693" s="74"/>
      <c r="L693" s="74"/>
      <c r="M693" s="74"/>
      <c r="N693" s="74"/>
      <c r="O693" s="74"/>
      <c r="P693" s="74"/>
      <c r="Q693" s="74"/>
      <c r="R693" s="74"/>
      <c r="S693" s="74"/>
      <c r="T693" s="74"/>
      <c r="U693" s="74"/>
      <c r="V693" s="74"/>
      <c r="W693" s="74"/>
      <c r="X693" s="74"/>
      <c r="Y693" s="74"/>
      <c r="Z693" s="74"/>
      <c r="AA693" s="74"/>
      <c r="AB693" s="74"/>
    </row>
    <row r="694" spans="1:28" ht="12" customHeight="1">
      <c r="A694" s="330"/>
      <c r="B694" s="314"/>
      <c r="C694" s="285"/>
      <c r="D694" s="108"/>
      <c r="E694" s="285"/>
      <c r="F694" s="285"/>
      <c r="G694" s="35"/>
      <c r="H694" s="104"/>
      <c r="I694" s="35"/>
      <c r="J694" s="74"/>
      <c r="K694" s="74"/>
      <c r="L694" s="74"/>
      <c r="M694" s="74"/>
      <c r="N694" s="74"/>
      <c r="O694" s="74"/>
      <c r="P694" s="74"/>
      <c r="Q694" s="74"/>
      <c r="R694" s="74"/>
      <c r="S694" s="74"/>
      <c r="T694" s="74"/>
      <c r="U694" s="74"/>
      <c r="V694" s="74"/>
      <c r="W694" s="74"/>
      <c r="X694" s="74"/>
      <c r="Y694" s="74"/>
      <c r="Z694" s="74"/>
      <c r="AA694" s="74"/>
      <c r="AB694" s="74"/>
    </row>
    <row r="695" spans="1:28" ht="12" customHeight="1">
      <c r="A695" s="330"/>
      <c r="B695" s="314"/>
      <c r="C695" s="285"/>
      <c r="D695" s="108"/>
      <c r="E695" s="285"/>
      <c r="F695" s="285"/>
      <c r="G695" s="35"/>
      <c r="H695" s="104"/>
      <c r="I695" s="35"/>
      <c r="J695" s="74"/>
      <c r="K695" s="74"/>
      <c r="L695" s="74"/>
      <c r="M695" s="74"/>
      <c r="N695" s="74"/>
      <c r="O695" s="74"/>
      <c r="P695" s="74"/>
      <c r="Q695" s="74"/>
      <c r="R695" s="74"/>
      <c r="S695" s="74"/>
      <c r="T695" s="74"/>
      <c r="U695" s="74"/>
      <c r="V695" s="74"/>
      <c r="W695" s="74"/>
      <c r="X695" s="74"/>
      <c r="Y695" s="74"/>
      <c r="Z695" s="74"/>
      <c r="AA695" s="74"/>
      <c r="AB695" s="74"/>
    </row>
    <row r="696" spans="1:28" ht="12" customHeight="1">
      <c r="A696" s="330"/>
      <c r="B696" s="314"/>
      <c r="C696" s="285"/>
      <c r="D696" s="108"/>
      <c r="E696" s="285"/>
      <c r="F696" s="285"/>
      <c r="G696" s="35"/>
      <c r="H696" s="104"/>
      <c r="I696" s="35"/>
      <c r="J696" s="74"/>
      <c r="K696" s="74"/>
      <c r="L696" s="74"/>
      <c r="M696" s="74"/>
      <c r="N696" s="74"/>
      <c r="O696" s="74"/>
      <c r="P696" s="74"/>
      <c r="Q696" s="74"/>
      <c r="R696" s="74"/>
      <c r="S696" s="74"/>
      <c r="T696" s="74"/>
      <c r="U696" s="74"/>
      <c r="V696" s="74"/>
      <c r="W696" s="74"/>
      <c r="X696" s="74"/>
      <c r="Y696" s="74"/>
      <c r="Z696" s="74"/>
      <c r="AA696" s="74"/>
      <c r="AB696" s="74"/>
    </row>
    <row r="697" spans="1:28" ht="12" customHeight="1">
      <c r="A697" s="330"/>
      <c r="B697" s="314"/>
      <c r="C697" s="285"/>
      <c r="D697" s="108"/>
      <c r="E697" s="285"/>
      <c r="F697" s="285"/>
      <c r="G697" s="35"/>
      <c r="H697" s="104"/>
      <c r="I697" s="35"/>
      <c r="J697" s="74"/>
      <c r="K697" s="74"/>
      <c r="L697" s="74"/>
      <c r="M697" s="74"/>
      <c r="N697" s="74"/>
      <c r="O697" s="74"/>
      <c r="P697" s="74"/>
      <c r="Q697" s="74"/>
      <c r="R697" s="74"/>
      <c r="S697" s="74"/>
      <c r="T697" s="74"/>
      <c r="U697" s="74"/>
      <c r="V697" s="74"/>
      <c r="W697" s="74"/>
      <c r="X697" s="74"/>
      <c r="Y697" s="74"/>
      <c r="Z697" s="74"/>
      <c r="AA697" s="74"/>
      <c r="AB697" s="74"/>
    </row>
    <row r="698" spans="1:28" ht="12" customHeight="1">
      <c r="A698" s="330"/>
      <c r="B698" s="314"/>
      <c r="C698" s="285"/>
      <c r="D698" s="108"/>
      <c r="E698" s="285"/>
      <c r="F698" s="285"/>
      <c r="G698" s="35"/>
      <c r="H698" s="104"/>
      <c r="I698" s="35"/>
      <c r="J698" s="74"/>
      <c r="K698" s="74"/>
      <c r="L698" s="74"/>
      <c r="M698" s="74"/>
      <c r="N698" s="74"/>
      <c r="O698" s="74"/>
      <c r="P698" s="74"/>
      <c r="Q698" s="74"/>
      <c r="R698" s="74"/>
      <c r="S698" s="74"/>
      <c r="T698" s="74"/>
      <c r="U698" s="74"/>
      <c r="V698" s="74"/>
      <c r="W698" s="74"/>
      <c r="X698" s="74"/>
      <c r="Y698" s="74"/>
      <c r="Z698" s="74"/>
      <c r="AA698" s="74"/>
      <c r="AB698" s="74"/>
    </row>
    <row r="699" spans="1:28" ht="12" customHeight="1">
      <c r="A699" s="330"/>
      <c r="B699" s="314"/>
      <c r="C699" s="285"/>
      <c r="D699" s="108"/>
      <c r="E699" s="285"/>
      <c r="F699" s="285"/>
      <c r="G699" s="35"/>
      <c r="H699" s="104"/>
      <c r="I699" s="35"/>
      <c r="J699" s="74"/>
      <c r="K699" s="74"/>
      <c r="L699" s="74"/>
      <c r="M699" s="74"/>
      <c r="N699" s="74"/>
      <c r="O699" s="74"/>
      <c r="P699" s="74"/>
      <c r="Q699" s="74"/>
      <c r="R699" s="74"/>
      <c r="S699" s="74"/>
      <c r="T699" s="74"/>
      <c r="U699" s="74"/>
      <c r="V699" s="74"/>
      <c r="W699" s="74"/>
      <c r="X699" s="74"/>
      <c r="Y699" s="74"/>
      <c r="Z699" s="74"/>
      <c r="AA699" s="74"/>
      <c r="AB699" s="74"/>
    </row>
    <row r="700" spans="1:28" ht="12" customHeight="1">
      <c r="A700" s="330"/>
      <c r="B700" s="314"/>
      <c r="C700" s="285"/>
      <c r="D700" s="108"/>
      <c r="E700" s="285"/>
      <c r="F700" s="285"/>
      <c r="G700" s="35"/>
      <c r="H700" s="104"/>
      <c r="I700" s="35"/>
      <c r="J700" s="74"/>
      <c r="K700" s="74"/>
      <c r="L700" s="74"/>
      <c r="M700" s="74"/>
      <c r="N700" s="74"/>
      <c r="O700" s="74"/>
      <c r="P700" s="74"/>
      <c r="Q700" s="74"/>
      <c r="R700" s="74"/>
      <c r="S700" s="74"/>
      <c r="T700" s="74"/>
      <c r="U700" s="74"/>
      <c r="V700" s="74"/>
      <c r="W700" s="74"/>
      <c r="X700" s="74"/>
      <c r="Y700" s="74"/>
      <c r="Z700" s="74"/>
      <c r="AA700" s="74"/>
      <c r="AB700" s="74"/>
    </row>
    <row r="701" spans="1:28" ht="12" customHeight="1">
      <c r="A701" s="330"/>
      <c r="B701" s="314"/>
      <c r="C701" s="285"/>
      <c r="D701" s="108"/>
      <c r="E701" s="285"/>
      <c r="F701" s="285"/>
      <c r="G701" s="35"/>
      <c r="H701" s="104"/>
      <c r="I701" s="35"/>
      <c r="J701" s="74"/>
      <c r="K701" s="74"/>
      <c r="L701" s="74"/>
      <c r="M701" s="74"/>
      <c r="N701" s="74"/>
      <c r="O701" s="74"/>
      <c r="P701" s="74"/>
      <c r="Q701" s="74"/>
      <c r="R701" s="74"/>
      <c r="S701" s="74"/>
      <c r="T701" s="74"/>
      <c r="U701" s="74"/>
      <c r="V701" s="74"/>
      <c r="W701" s="74"/>
      <c r="X701" s="74"/>
      <c r="Y701" s="74"/>
      <c r="Z701" s="74"/>
      <c r="AA701" s="74"/>
      <c r="AB701" s="74"/>
    </row>
    <row r="702" spans="1:28" ht="12" customHeight="1">
      <c r="A702" s="330"/>
      <c r="B702" s="314"/>
      <c r="C702" s="285"/>
      <c r="D702" s="108"/>
      <c r="E702" s="285"/>
      <c r="F702" s="285"/>
      <c r="G702" s="35"/>
      <c r="H702" s="104"/>
      <c r="I702" s="35"/>
      <c r="J702" s="74"/>
      <c r="K702" s="74"/>
      <c r="L702" s="74"/>
      <c r="M702" s="74"/>
      <c r="N702" s="74"/>
      <c r="O702" s="74"/>
      <c r="P702" s="74"/>
      <c r="Q702" s="74"/>
      <c r="R702" s="74"/>
      <c r="S702" s="74"/>
      <c r="T702" s="74"/>
      <c r="U702" s="74"/>
      <c r="V702" s="74"/>
      <c r="W702" s="74"/>
      <c r="X702" s="74"/>
      <c r="Y702" s="74"/>
      <c r="Z702" s="74"/>
      <c r="AA702" s="74"/>
      <c r="AB702" s="74"/>
    </row>
    <row r="703" spans="1:28" ht="12" customHeight="1">
      <c r="A703" s="330"/>
      <c r="B703" s="314"/>
      <c r="C703" s="285"/>
      <c r="D703" s="108"/>
      <c r="E703" s="285"/>
      <c r="F703" s="285"/>
      <c r="G703" s="35"/>
      <c r="H703" s="104"/>
      <c r="I703" s="35"/>
      <c r="J703" s="74"/>
      <c r="K703" s="74"/>
      <c r="L703" s="74"/>
      <c r="M703" s="74"/>
      <c r="N703" s="74"/>
      <c r="O703" s="74"/>
      <c r="P703" s="74"/>
      <c r="Q703" s="74"/>
      <c r="R703" s="74"/>
      <c r="S703" s="74"/>
      <c r="T703" s="74"/>
      <c r="U703" s="74"/>
      <c r="V703" s="74"/>
      <c r="W703" s="74"/>
      <c r="X703" s="74"/>
      <c r="Y703" s="74"/>
      <c r="Z703" s="74"/>
      <c r="AA703" s="74"/>
      <c r="AB703" s="74"/>
    </row>
    <row r="704" spans="1:28" ht="12" customHeight="1">
      <c r="A704" s="330"/>
      <c r="B704" s="314"/>
      <c r="C704" s="285"/>
      <c r="D704" s="108"/>
      <c r="E704" s="285"/>
      <c r="F704" s="285"/>
      <c r="G704" s="35"/>
      <c r="H704" s="104"/>
      <c r="I704" s="35"/>
      <c r="J704" s="74"/>
      <c r="K704" s="74"/>
      <c r="L704" s="74"/>
      <c r="M704" s="74"/>
      <c r="N704" s="74"/>
      <c r="O704" s="74"/>
      <c r="P704" s="74"/>
      <c r="Q704" s="74"/>
      <c r="R704" s="74"/>
      <c r="S704" s="74"/>
      <c r="T704" s="74"/>
      <c r="U704" s="74"/>
      <c r="V704" s="74"/>
      <c r="W704" s="74"/>
      <c r="X704" s="74"/>
      <c r="Y704" s="74"/>
      <c r="Z704" s="74"/>
      <c r="AA704" s="74"/>
      <c r="AB704" s="74"/>
    </row>
    <row r="705" spans="1:28" ht="12" customHeight="1">
      <c r="A705" s="330"/>
      <c r="B705" s="314"/>
      <c r="C705" s="285"/>
      <c r="D705" s="108"/>
      <c r="E705" s="285"/>
      <c r="F705" s="285"/>
      <c r="G705" s="35"/>
      <c r="H705" s="104"/>
      <c r="I705" s="35"/>
      <c r="J705" s="74"/>
      <c r="K705" s="74"/>
      <c r="L705" s="74"/>
      <c r="M705" s="74"/>
      <c r="N705" s="74"/>
      <c r="O705" s="74"/>
      <c r="P705" s="74"/>
      <c r="Q705" s="74"/>
      <c r="R705" s="74"/>
      <c r="S705" s="74"/>
      <c r="T705" s="74"/>
      <c r="U705" s="74"/>
      <c r="V705" s="74"/>
      <c r="W705" s="74"/>
      <c r="X705" s="74"/>
      <c r="Y705" s="74"/>
      <c r="Z705" s="74"/>
      <c r="AA705" s="74"/>
      <c r="AB705" s="74"/>
    </row>
    <row r="706" spans="1:28" ht="12" customHeight="1">
      <c r="A706" s="330"/>
      <c r="B706" s="314"/>
      <c r="C706" s="285"/>
      <c r="D706" s="108"/>
      <c r="E706" s="285"/>
      <c r="F706" s="285"/>
      <c r="G706" s="35"/>
      <c r="H706" s="104"/>
      <c r="I706" s="35"/>
      <c r="J706" s="74"/>
      <c r="K706" s="74"/>
      <c r="L706" s="74"/>
      <c r="M706" s="74"/>
      <c r="N706" s="74"/>
      <c r="O706" s="74"/>
      <c r="P706" s="74"/>
      <c r="Q706" s="74"/>
      <c r="R706" s="74"/>
      <c r="S706" s="74"/>
      <c r="T706" s="74"/>
      <c r="U706" s="74"/>
      <c r="V706" s="74"/>
      <c r="W706" s="74"/>
      <c r="X706" s="74"/>
      <c r="Y706" s="74"/>
      <c r="Z706" s="74"/>
      <c r="AA706" s="74"/>
      <c r="AB706" s="74"/>
    </row>
    <row r="707" spans="1:28" ht="12" customHeight="1">
      <c r="A707" s="330"/>
      <c r="B707" s="314"/>
      <c r="C707" s="285"/>
      <c r="D707" s="108"/>
      <c r="E707" s="285"/>
      <c r="F707" s="285"/>
      <c r="G707" s="35"/>
      <c r="H707" s="104"/>
      <c r="I707" s="35"/>
      <c r="J707" s="74"/>
      <c r="K707" s="74"/>
      <c r="L707" s="74"/>
      <c r="M707" s="74"/>
      <c r="N707" s="74"/>
      <c r="O707" s="74"/>
      <c r="P707" s="74"/>
      <c r="Q707" s="74"/>
      <c r="R707" s="74"/>
      <c r="S707" s="74"/>
      <c r="T707" s="74"/>
      <c r="U707" s="74"/>
      <c r="V707" s="74"/>
      <c r="W707" s="74"/>
      <c r="X707" s="74"/>
      <c r="Y707" s="74"/>
      <c r="Z707" s="74"/>
      <c r="AA707" s="74"/>
      <c r="AB707" s="74"/>
    </row>
    <row r="708" spans="1:28" ht="12" customHeight="1">
      <c r="A708" s="330"/>
      <c r="B708" s="314"/>
      <c r="C708" s="285"/>
      <c r="D708" s="108"/>
      <c r="E708" s="285"/>
      <c r="F708" s="285"/>
      <c r="G708" s="35"/>
      <c r="H708" s="104"/>
      <c r="I708" s="35"/>
      <c r="J708" s="74"/>
      <c r="K708" s="74"/>
      <c r="L708" s="74"/>
      <c r="M708" s="74"/>
      <c r="N708" s="74"/>
      <c r="O708" s="74"/>
      <c r="P708" s="74"/>
      <c r="Q708" s="74"/>
      <c r="R708" s="74"/>
      <c r="S708" s="74"/>
      <c r="T708" s="74"/>
      <c r="U708" s="74"/>
      <c r="V708" s="74"/>
      <c r="W708" s="74"/>
      <c r="X708" s="74"/>
      <c r="Y708" s="74"/>
      <c r="Z708" s="74"/>
      <c r="AA708" s="74"/>
      <c r="AB708" s="74"/>
    </row>
    <row r="709" spans="1:28" ht="12" customHeight="1">
      <c r="A709" s="330"/>
      <c r="B709" s="314"/>
      <c r="C709" s="285"/>
      <c r="D709" s="108"/>
      <c r="E709" s="285"/>
      <c r="F709" s="285"/>
      <c r="G709" s="35"/>
      <c r="H709" s="104"/>
      <c r="I709" s="35"/>
      <c r="J709" s="74"/>
      <c r="K709" s="74"/>
      <c r="L709" s="74"/>
      <c r="M709" s="74"/>
      <c r="N709" s="74"/>
      <c r="O709" s="74"/>
      <c r="P709" s="74"/>
      <c r="Q709" s="74"/>
      <c r="R709" s="74"/>
      <c r="S709" s="74"/>
      <c r="T709" s="74"/>
      <c r="U709" s="74"/>
      <c r="V709" s="74"/>
      <c r="W709" s="74"/>
      <c r="X709" s="74"/>
      <c r="Y709" s="74"/>
      <c r="Z709" s="74"/>
      <c r="AA709" s="74"/>
      <c r="AB709" s="74"/>
    </row>
    <row r="710" spans="1:28" ht="12" customHeight="1">
      <c r="A710" s="330"/>
      <c r="B710" s="314"/>
      <c r="C710" s="285"/>
      <c r="D710" s="108"/>
      <c r="E710" s="285"/>
      <c r="F710" s="285"/>
      <c r="G710" s="35"/>
      <c r="H710" s="104"/>
      <c r="I710" s="35"/>
      <c r="J710" s="74"/>
      <c r="K710" s="74"/>
      <c r="L710" s="74"/>
      <c r="M710" s="74"/>
      <c r="N710" s="74"/>
      <c r="O710" s="74"/>
      <c r="P710" s="74"/>
      <c r="Q710" s="74"/>
      <c r="R710" s="74"/>
      <c r="S710" s="74"/>
      <c r="T710" s="74"/>
      <c r="U710" s="74"/>
      <c r="V710" s="74"/>
      <c r="W710" s="74"/>
      <c r="X710" s="74"/>
      <c r="Y710" s="74"/>
      <c r="Z710" s="74"/>
      <c r="AA710" s="74"/>
      <c r="AB710" s="74"/>
    </row>
    <row r="711" spans="1:28" ht="12" customHeight="1">
      <c r="A711" s="330"/>
      <c r="B711" s="314"/>
      <c r="C711" s="285"/>
      <c r="D711" s="108"/>
      <c r="E711" s="285"/>
      <c r="F711" s="285"/>
      <c r="G711" s="35"/>
      <c r="H711" s="104"/>
      <c r="I711" s="35"/>
      <c r="J711" s="74"/>
      <c r="K711" s="74"/>
      <c r="L711" s="74"/>
      <c r="M711" s="74"/>
      <c r="N711" s="74"/>
      <c r="O711" s="74"/>
      <c r="P711" s="74"/>
      <c r="Q711" s="74"/>
      <c r="R711" s="74"/>
      <c r="S711" s="74"/>
      <c r="T711" s="74"/>
      <c r="U711" s="74"/>
      <c r="V711" s="74"/>
      <c r="W711" s="74"/>
      <c r="X711" s="74"/>
      <c r="Y711" s="74"/>
      <c r="Z711" s="74"/>
      <c r="AA711" s="74"/>
      <c r="AB711" s="74"/>
    </row>
    <row r="712" spans="1:28" ht="12" customHeight="1">
      <c r="A712" s="330"/>
      <c r="B712" s="314"/>
      <c r="C712" s="285"/>
      <c r="D712" s="108"/>
      <c r="E712" s="285"/>
      <c r="F712" s="285"/>
      <c r="G712" s="35"/>
      <c r="H712" s="104"/>
      <c r="I712" s="35"/>
      <c r="J712" s="74"/>
      <c r="K712" s="74"/>
      <c r="L712" s="74"/>
      <c r="M712" s="74"/>
      <c r="N712" s="74"/>
      <c r="O712" s="74"/>
      <c r="P712" s="74"/>
      <c r="Q712" s="74"/>
      <c r="R712" s="74"/>
      <c r="S712" s="74"/>
      <c r="T712" s="74"/>
      <c r="U712" s="74"/>
      <c r="V712" s="74"/>
      <c r="W712" s="74"/>
      <c r="X712" s="74"/>
      <c r="Y712" s="74"/>
      <c r="Z712" s="74"/>
      <c r="AA712" s="74"/>
      <c r="AB712" s="74"/>
    </row>
    <row r="713" spans="1:28" ht="12" customHeight="1">
      <c r="A713" s="330"/>
      <c r="B713" s="314"/>
      <c r="C713" s="285"/>
      <c r="D713" s="108"/>
      <c r="E713" s="285"/>
      <c r="F713" s="285"/>
      <c r="G713" s="35"/>
      <c r="H713" s="104"/>
      <c r="I713" s="35"/>
      <c r="J713" s="74"/>
      <c r="K713" s="74"/>
      <c r="L713" s="74"/>
      <c r="M713" s="74"/>
      <c r="N713" s="74"/>
      <c r="O713" s="74"/>
      <c r="P713" s="74"/>
      <c r="Q713" s="74"/>
      <c r="R713" s="74"/>
      <c r="S713" s="74"/>
      <c r="T713" s="74"/>
      <c r="U713" s="74"/>
      <c r="V713" s="74"/>
      <c r="W713" s="74"/>
      <c r="X713" s="74"/>
      <c r="Y713" s="74"/>
      <c r="Z713" s="74"/>
      <c r="AA713" s="74"/>
      <c r="AB713" s="74"/>
    </row>
    <row r="714" spans="1:28" ht="12" customHeight="1">
      <c r="A714" s="330"/>
      <c r="B714" s="314"/>
      <c r="C714" s="285"/>
      <c r="D714" s="108"/>
      <c r="E714" s="285"/>
      <c r="F714" s="285"/>
      <c r="G714" s="35"/>
      <c r="H714" s="104"/>
      <c r="I714" s="35"/>
      <c r="J714" s="74"/>
      <c r="K714" s="74"/>
      <c r="L714" s="74"/>
      <c r="M714" s="74"/>
      <c r="N714" s="74"/>
      <c r="O714" s="74"/>
      <c r="P714" s="74"/>
      <c r="Q714" s="74"/>
      <c r="R714" s="74"/>
      <c r="S714" s="74"/>
      <c r="T714" s="74"/>
      <c r="U714" s="74"/>
      <c r="V714" s="74"/>
      <c r="W714" s="74"/>
      <c r="X714" s="74"/>
      <c r="Y714" s="74"/>
      <c r="Z714" s="74"/>
      <c r="AA714" s="74"/>
      <c r="AB714" s="74"/>
    </row>
    <row r="715" spans="1:28" ht="12" customHeight="1">
      <c r="A715" s="330"/>
      <c r="B715" s="314"/>
      <c r="C715" s="285"/>
      <c r="D715" s="108"/>
      <c r="E715" s="285"/>
      <c r="F715" s="285"/>
      <c r="G715" s="35"/>
      <c r="H715" s="104"/>
      <c r="I715" s="35"/>
      <c r="J715" s="74"/>
      <c r="K715" s="74"/>
      <c r="L715" s="74"/>
      <c r="M715" s="74"/>
      <c r="N715" s="74"/>
      <c r="O715" s="74"/>
      <c r="P715" s="74"/>
      <c r="Q715" s="74"/>
      <c r="R715" s="74"/>
      <c r="S715" s="74"/>
      <c r="T715" s="74"/>
      <c r="U715" s="74"/>
      <c r="V715" s="74"/>
      <c r="W715" s="74"/>
      <c r="X715" s="74"/>
      <c r="Y715" s="74"/>
      <c r="Z715" s="74"/>
      <c r="AA715" s="74"/>
      <c r="AB715" s="74"/>
    </row>
    <row r="716" spans="1:28" ht="12" customHeight="1">
      <c r="A716" s="330"/>
      <c r="B716" s="314"/>
      <c r="C716" s="285"/>
      <c r="D716" s="108"/>
      <c r="E716" s="285"/>
      <c r="F716" s="285"/>
      <c r="G716" s="35"/>
      <c r="H716" s="104"/>
      <c r="I716" s="35"/>
      <c r="J716" s="74"/>
      <c r="K716" s="74"/>
      <c r="L716" s="74"/>
      <c r="M716" s="74"/>
      <c r="N716" s="74"/>
      <c r="O716" s="74"/>
      <c r="P716" s="74"/>
      <c r="Q716" s="74"/>
      <c r="R716" s="74"/>
      <c r="S716" s="74"/>
      <c r="T716" s="74"/>
      <c r="U716" s="74"/>
      <c r="V716" s="74"/>
      <c r="W716" s="74"/>
      <c r="X716" s="74"/>
      <c r="Y716" s="74"/>
      <c r="Z716" s="74"/>
      <c r="AA716" s="74"/>
      <c r="AB716" s="74"/>
    </row>
    <row r="717" spans="1:28" ht="12" customHeight="1">
      <c r="A717" s="330"/>
      <c r="B717" s="314"/>
      <c r="C717" s="285"/>
      <c r="D717" s="108"/>
      <c r="E717" s="285"/>
      <c r="F717" s="285"/>
      <c r="G717" s="35"/>
      <c r="H717" s="104"/>
      <c r="I717" s="35"/>
      <c r="J717" s="74"/>
      <c r="K717" s="74"/>
      <c r="L717" s="74"/>
      <c r="M717" s="74"/>
      <c r="N717" s="74"/>
      <c r="O717" s="74"/>
      <c r="P717" s="74"/>
      <c r="Q717" s="74"/>
      <c r="R717" s="74"/>
      <c r="S717" s="74"/>
      <c r="T717" s="74"/>
      <c r="U717" s="74"/>
      <c r="V717" s="74"/>
      <c r="W717" s="74"/>
      <c r="X717" s="74"/>
      <c r="Y717" s="74"/>
      <c r="Z717" s="74"/>
      <c r="AA717" s="74"/>
      <c r="AB717" s="74"/>
    </row>
    <row r="718" spans="1:28" ht="12" customHeight="1">
      <c r="A718" s="330"/>
      <c r="B718" s="314"/>
      <c r="C718" s="285"/>
      <c r="D718" s="108"/>
      <c r="E718" s="285"/>
      <c r="F718" s="285"/>
      <c r="G718" s="35"/>
      <c r="H718" s="104"/>
      <c r="I718" s="35"/>
      <c r="J718" s="74"/>
      <c r="K718" s="74"/>
      <c r="L718" s="74"/>
      <c r="M718" s="74"/>
      <c r="N718" s="74"/>
      <c r="O718" s="74"/>
      <c r="P718" s="74"/>
      <c r="Q718" s="74"/>
      <c r="R718" s="74"/>
      <c r="S718" s="74"/>
      <c r="T718" s="74"/>
      <c r="U718" s="74"/>
      <c r="V718" s="74"/>
      <c r="W718" s="74"/>
      <c r="X718" s="74"/>
      <c r="Y718" s="74"/>
      <c r="Z718" s="74"/>
      <c r="AA718" s="74"/>
      <c r="AB718" s="74"/>
    </row>
    <row r="719" spans="1:28" ht="12" customHeight="1">
      <c r="A719" s="330"/>
      <c r="B719" s="314"/>
      <c r="C719" s="285"/>
      <c r="D719" s="108"/>
      <c r="E719" s="285"/>
      <c r="F719" s="285"/>
      <c r="G719" s="35"/>
      <c r="H719" s="104"/>
      <c r="I719" s="35"/>
      <c r="J719" s="74"/>
      <c r="K719" s="74"/>
      <c r="L719" s="74"/>
      <c r="M719" s="74"/>
      <c r="N719" s="74"/>
      <c r="O719" s="74"/>
      <c r="P719" s="74"/>
      <c r="Q719" s="74"/>
      <c r="R719" s="74"/>
      <c r="S719" s="74"/>
      <c r="T719" s="74"/>
      <c r="U719" s="74"/>
      <c r="V719" s="74"/>
      <c r="W719" s="74"/>
      <c r="X719" s="74"/>
      <c r="Y719" s="74"/>
      <c r="Z719" s="74"/>
      <c r="AA719" s="74"/>
      <c r="AB719" s="74"/>
    </row>
    <row r="720" spans="1:28" ht="12" customHeight="1">
      <c r="A720" s="330"/>
      <c r="B720" s="314"/>
      <c r="C720" s="285"/>
      <c r="D720" s="108"/>
      <c r="E720" s="285"/>
      <c r="F720" s="285"/>
      <c r="G720" s="35"/>
      <c r="H720" s="104"/>
      <c r="I720" s="35"/>
      <c r="J720" s="74"/>
      <c r="K720" s="74"/>
      <c r="L720" s="74"/>
      <c r="M720" s="74"/>
      <c r="N720" s="74"/>
      <c r="O720" s="74"/>
      <c r="P720" s="74"/>
      <c r="Q720" s="74"/>
      <c r="R720" s="74"/>
      <c r="S720" s="74"/>
      <c r="T720" s="74"/>
      <c r="U720" s="74"/>
      <c r="V720" s="74"/>
      <c r="W720" s="74"/>
      <c r="X720" s="74"/>
      <c r="Y720" s="74"/>
      <c r="Z720" s="74"/>
      <c r="AA720" s="74"/>
      <c r="AB720" s="74"/>
    </row>
    <row r="721" spans="1:28" ht="12" customHeight="1">
      <c r="A721" s="330"/>
      <c r="B721" s="314"/>
      <c r="C721" s="285"/>
      <c r="D721" s="108"/>
      <c r="E721" s="285"/>
      <c r="F721" s="285"/>
      <c r="G721" s="35"/>
      <c r="H721" s="104"/>
      <c r="I721" s="35"/>
      <c r="J721" s="74"/>
      <c r="K721" s="74"/>
      <c r="L721" s="74"/>
      <c r="M721" s="74"/>
      <c r="N721" s="74"/>
      <c r="O721" s="74"/>
      <c r="P721" s="74"/>
      <c r="Q721" s="74"/>
      <c r="R721" s="74"/>
      <c r="S721" s="74"/>
      <c r="T721" s="74"/>
      <c r="U721" s="74"/>
      <c r="V721" s="74"/>
      <c r="W721" s="74"/>
      <c r="X721" s="74"/>
      <c r="Y721" s="74"/>
      <c r="Z721" s="74"/>
      <c r="AA721" s="74"/>
      <c r="AB721" s="74"/>
    </row>
    <row r="722" spans="1:28" ht="12" customHeight="1">
      <c r="A722" s="330"/>
      <c r="B722" s="314"/>
      <c r="C722" s="285"/>
      <c r="D722" s="108"/>
      <c r="E722" s="285"/>
      <c r="F722" s="285"/>
      <c r="G722" s="35"/>
      <c r="H722" s="104"/>
      <c r="I722" s="35"/>
      <c r="J722" s="74"/>
      <c r="K722" s="74"/>
      <c r="L722" s="74"/>
      <c r="M722" s="74"/>
      <c r="N722" s="74"/>
      <c r="O722" s="74"/>
      <c r="P722" s="74"/>
      <c r="Q722" s="74"/>
      <c r="R722" s="74"/>
      <c r="S722" s="74"/>
      <c r="T722" s="74"/>
      <c r="U722" s="74"/>
      <c r="V722" s="74"/>
      <c r="W722" s="74"/>
      <c r="X722" s="74"/>
      <c r="Y722" s="74"/>
      <c r="Z722" s="74"/>
      <c r="AA722" s="74"/>
      <c r="AB722" s="74"/>
    </row>
    <row r="723" spans="1:28" ht="12" customHeight="1">
      <c r="A723" s="330"/>
      <c r="B723" s="314"/>
      <c r="C723" s="285"/>
      <c r="D723" s="108"/>
      <c r="E723" s="285"/>
      <c r="F723" s="285"/>
      <c r="G723" s="35"/>
      <c r="H723" s="104"/>
      <c r="I723" s="35"/>
      <c r="J723" s="74"/>
      <c r="K723" s="74"/>
      <c r="L723" s="74"/>
      <c r="M723" s="74"/>
      <c r="N723" s="74"/>
      <c r="O723" s="74"/>
      <c r="P723" s="74"/>
      <c r="Q723" s="74"/>
      <c r="R723" s="74"/>
      <c r="S723" s="74"/>
      <c r="T723" s="74"/>
      <c r="U723" s="74"/>
      <c r="V723" s="74"/>
      <c r="W723" s="74"/>
      <c r="X723" s="74"/>
      <c r="Y723" s="74"/>
      <c r="Z723" s="74"/>
      <c r="AA723" s="74"/>
      <c r="AB723" s="74"/>
    </row>
    <row r="724" spans="1:28" ht="12" customHeight="1">
      <c r="A724" s="330"/>
      <c r="B724" s="314"/>
      <c r="C724" s="285"/>
      <c r="D724" s="108"/>
      <c r="E724" s="285"/>
      <c r="F724" s="285"/>
      <c r="G724" s="35"/>
      <c r="H724" s="104"/>
      <c r="I724" s="35"/>
      <c r="J724" s="74"/>
      <c r="K724" s="74"/>
      <c r="L724" s="74"/>
      <c r="M724" s="74"/>
      <c r="N724" s="74"/>
      <c r="O724" s="74"/>
      <c r="P724" s="74"/>
      <c r="Q724" s="74"/>
      <c r="R724" s="74"/>
      <c r="S724" s="74"/>
      <c r="T724" s="74"/>
      <c r="U724" s="74"/>
      <c r="V724" s="74"/>
      <c r="W724" s="74"/>
      <c r="X724" s="74"/>
      <c r="Y724" s="74"/>
      <c r="Z724" s="74"/>
      <c r="AA724" s="74"/>
      <c r="AB724" s="74"/>
    </row>
    <row r="725" spans="1:28" ht="12" customHeight="1">
      <c r="A725" s="330"/>
      <c r="B725" s="314"/>
      <c r="C725" s="285"/>
      <c r="D725" s="108"/>
      <c r="E725" s="285"/>
      <c r="F725" s="285"/>
      <c r="G725" s="35"/>
      <c r="H725" s="104"/>
      <c r="I725" s="35"/>
      <c r="J725" s="74"/>
      <c r="K725" s="74"/>
      <c r="L725" s="74"/>
      <c r="M725" s="74"/>
      <c r="N725" s="74"/>
      <c r="O725" s="74"/>
      <c r="P725" s="74"/>
      <c r="Q725" s="74"/>
      <c r="R725" s="74"/>
      <c r="S725" s="74"/>
      <c r="T725" s="74"/>
      <c r="U725" s="74"/>
      <c r="V725" s="74"/>
      <c r="W725" s="74"/>
      <c r="X725" s="74"/>
      <c r="Y725" s="74"/>
      <c r="Z725" s="74"/>
      <c r="AA725" s="74"/>
      <c r="AB725" s="74"/>
    </row>
    <row r="726" spans="1:28" ht="12" customHeight="1">
      <c r="A726" s="330"/>
      <c r="B726" s="314"/>
      <c r="C726" s="285"/>
      <c r="D726" s="108"/>
      <c r="E726" s="285"/>
      <c r="F726" s="285"/>
      <c r="G726" s="35"/>
      <c r="H726" s="104"/>
      <c r="I726" s="35"/>
      <c r="J726" s="74"/>
      <c r="K726" s="74"/>
      <c r="L726" s="74"/>
      <c r="M726" s="74"/>
      <c r="N726" s="74"/>
      <c r="O726" s="74"/>
      <c r="P726" s="74"/>
      <c r="Q726" s="74"/>
      <c r="R726" s="74"/>
      <c r="S726" s="74"/>
      <c r="T726" s="74"/>
      <c r="U726" s="74"/>
      <c r="V726" s="74"/>
      <c r="W726" s="74"/>
      <c r="X726" s="74"/>
      <c r="Y726" s="74"/>
      <c r="Z726" s="74"/>
      <c r="AA726" s="74"/>
      <c r="AB726" s="74"/>
    </row>
    <row r="727" spans="1:28" ht="12" customHeight="1">
      <c r="A727" s="330"/>
      <c r="B727" s="314"/>
      <c r="C727" s="285"/>
      <c r="D727" s="108"/>
      <c r="E727" s="285"/>
      <c r="F727" s="285"/>
      <c r="G727" s="35"/>
      <c r="H727" s="104"/>
      <c r="I727" s="35"/>
      <c r="J727" s="74"/>
      <c r="K727" s="74"/>
      <c r="L727" s="74"/>
      <c r="M727" s="74"/>
      <c r="N727" s="74"/>
      <c r="O727" s="74"/>
      <c r="P727" s="74"/>
      <c r="Q727" s="74"/>
      <c r="R727" s="74"/>
      <c r="S727" s="74"/>
      <c r="T727" s="74"/>
      <c r="U727" s="74"/>
      <c r="V727" s="74"/>
      <c r="W727" s="74"/>
      <c r="X727" s="74"/>
      <c r="Y727" s="74"/>
      <c r="Z727" s="74"/>
      <c r="AA727" s="74"/>
      <c r="AB727" s="74"/>
    </row>
    <row r="728" spans="1:28" ht="12" customHeight="1">
      <c r="A728" s="330"/>
      <c r="B728" s="314"/>
      <c r="C728" s="285"/>
      <c r="D728" s="108"/>
      <c r="E728" s="285"/>
      <c r="F728" s="285"/>
      <c r="G728" s="35"/>
      <c r="H728" s="104"/>
      <c r="I728" s="35"/>
      <c r="J728" s="74"/>
      <c r="K728" s="74"/>
      <c r="L728" s="74"/>
      <c r="M728" s="74"/>
      <c r="N728" s="74"/>
      <c r="O728" s="74"/>
      <c r="P728" s="74"/>
      <c r="Q728" s="74"/>
      <c r="R728" s="74"/>
      <c r="S728" s="74"/>
      <c r="T728" s="74"/>
      <c r="U728" s="74"/>
      <c r="V728" s="74"/>
      <c r="W728" s="74"/>
      <c r="X728" s="74"/>
      <c r="Y728" s="74"/>
      <c r="Z728" s="74"/>
      <c r="AA728" s="74"/>
      <c r="AB728" s="74"/>
    </row>
    <row r="729" spans="1:28" ht="12" customHeight="1">
      <c r="A729" s="330"/>
      <c r="B729" s="314"/>
      <c r="C729" s="285"/>
      <c r="D729" s="108"/>
      <c r="E729" s="285"/>
      <c r="F729" s="285"/>
      <c r="G729" s="35"/>
      <c r="H729" s="104"/>
      <c r="I729" s="35"/>
      <c r="J729" s="74"/>
      <c r="K729" s="74"/>
      <c r="L729" s="74"/>
      <c r="M729" s="74"/>
      <c r="N729" s="74"/>
      <c r="O729" s="74"/>
      <c r="P729" s="74"/>
      <c r="Q729" s="74"/>
      <c r="R729" s="74"/>
      <c r="S729" s="74"/>
      <c r="T729" s="74"/>
      <c r="U729" s="74"/>
      <c r="V729" s="74"/>
      <c r="W729" s="74"/>
      <c r="X729" s="74"/>
      <c r="Y729" s="74"/>
      <c r="Z729" s="74"/>
      <c r="AA729" s="74"/>
      <c r="AB729" s="74"/>
    </row>
    <row r="730" spans="1:28" ht="12" customHeight="1">
      <c r="A730" s="330"/>
      <c r="B730" s="314"/>
      <c r="C730" s="285"/>
      <c r="D730" s="108"/>
      <c r="E730" s="285"/>
      <c r="F730" s="285"/>
      <c r="G730" s="35"/>
      <c r="H730" s="104"/>
      <c r="I730" s="35"/>
      <c r="J730" s="74"/>
      <c r="K730" s="74"/>
      <c r="L730" s="74"/>
      <c r="M730" s="74"/>
      <c r="N730" s="74"/>
      <c r="O730" s="74"/>
      <c r="P730" s="74"/>
      <c r="Q730" s="74"/>
      <c r="R730" s="74"/>
      <c r="S730" s="74"/>
      <c r="T730" s="74"/>
      <c r="U730" s="74"/>
      <c r="V730" s="74"/>
      <c r="W730" s="74"/>
      <c r="X730" s="74"/>
      <c r="Y730" s="74"/>
      <c r="Z730" s="74"/>
      <c r="AA730" s="74"/>
      <c r="AB730" s="74"/>
    </row>
    <row r="731" spans="1:28" ht="12" customHeight="1">
      <c r="A731" s="330"/>
      <c r="B731" s="314"/>
      <c r="C731" s="285"/>
      <c r="D731" s="108"/>
      <c r="E731" s="285"/>
      <c r="F731" s="285"/>
      <c r="G731" s="35"/>
      <c r="H731" s="104"/>
      <c r="I731" s="35"/>
      <c r="J731" s="74"/>
      <c r="K731" s="74"/>
      <c r="L731" s="74"/>
      <c r="M731" s="74"/>
      <c r="N731" s="74"/>
      <c r="O731" s="74"/>
      <c r="P731" s="74"/>
      <c r="Q731" s="74"/>
      <c r="R731" s="74"/>
      <c r="S731" s="74"/>
      <c r="T731" s="74"/>
      <c r="U731" s="74"/>
      <c r="V731" s="74"/>
      <c r="W731" s="74"/>
      <c r="X731" s="74"/>
      <c r="Y731" s="74"/>
      <c r="Z731" s="74"/>
      <c r="AA731" s="74"/>
      <c r="AB731" s="74"/>
    </row>
    <row r="732" spans="1:28" ht="12" customHeight="1">
      <c r="A732" s="330"/>
      <c r="B732" s="314"/>
      <c r="C732" s="285"/>
      <c r="D732" s="108"/>
      <c r="E732" s="285"/>
      <c r="F732" s="285"/>
      <c r="G732" s="35"/>
      <c r="H732" s="104"/>
      <c r="I732" s="35"/>
      <c r="J732" s="74"/>
      <c r="K732" s="74"/>
      <c r="L732" s="74"/>
      <c r="M732" s="74"/>
      <c r="N732" s="74"/>
      <c r="O732" s="74"/>
      <c r="P732" s="74"/>
      <c r="Q732" s="74"/>
      <c r="R732" s="74"/>
      <c r="S732" s="74"/>
      <c r="T732" s="74"/>
      <c r="U732" s="74"/>
      <c r="V732" s="74"/>
      <c r="W732" s="74"/>
      <c r="X732" s="74"/>
      <c r="Y732" s="74"/>
      <c r="Z732" s="74"/>
      <c r="AA732" s="74"/>
      <c r="AB732" s="74"/>
    </row>
    <row r="733" spans="1:28" ht="12" customHeight="1">
      <c r="A733" s="330"/>
      <c r="B733" s="314"/>
      <c r="C733" s="285"/>
      <c r="D733" s="108"/>
      <c r="E733" s="285"/>
      <c r="F733" s="285"/>
      <c r="G733" s="35"/>
      <c r="H733" s="104"/>
      <c r="I733" s="35"/>
      <c r="J733" s="74"/>
      <c r="K733" s="74"/>
      <c r="L733" s="74"/>
      <c r="M733" s="74"/>
      <c r="N733" s="74"/>
      <c r="O733" s="74"/>
      <c r="P733" s="74"/>
      <c r="Q733" s="74"/>
      <c r="R733" s="74"/>
      <c r="S733" s="74"/>
      <c r="T733" s="74"/>
      <c r="U733" s="74"/>
      <c r="V733" s="74"/>
      <c r="W733" s="74"/>
      <c r="X733" s="74"/>
      <c r="Y733" s="74"/>
      <c r="Z733" s="74"/>
      <c r="AA733" s="74"/>
      <c r="AB733" s="74"/>
    </row>
    <row r="734" spans="1:28" ht="12" customHeight="1">
      <c r="A734" s="330"/>
      <c r="B734" s="314"/>
      <c r="C734" s="285"/>
      <c r="D734" s="108"/>
      <c r="E734" s="285"/>
      <c r="F734" s="285"/>
      <c r="G734" s="35"/>
      <c r="H734" s="104"/>
      <c r="I734" s="35"/>
      <c r="J734" s="74"/>
      <c r="K734" s="74"/>
      <c r="L734" s="74"/>
      <c r="M734" s="74"/>
      <c r="N734" s="74"/>
      <c r="O734" s="74"/>
      <c r="P734" s="74"/>
      <c r="Q734" s="74"/>
      <c r="R734" s="74"/>
      <c r="S734" s="74"/>
      <c r="T734" s="74"/>
      <c r="U734" s="74"/>
      <c r="V734" s="74"/>
      <c r="W734" s="74"/>
      <c r="X734" s="74"/>
      <c r="Y734" s="74"/>
      <c r="Z734" s="74"/>
      <c r="AA734" s="74"/>
      <c r="AB734" s="74"/>
    </row>
    <row r="735" spans="1:28" ht="12" customHeight="1">
      <c r="A735" s="330"/>
      <c r="B735" s="314"/>
      <c r="C735" s="285"/>
      <c r="D735" s="108"/>
      <c r="E735" s="285"/>
      <c r="F735" s="285"/>
      <c r="G735" s="35"/>
      <c r="H735" s="104"/>
      <c r="I735" s="35"/>
      <c r="J735" s="74"/>
      <c r="K735" s="74"/>
      <c r="L735" s="74"/>
      <c r="M735" s="74"/>
      <c r="N735" s="74"/>
      <c r="O735" s="74"/>
      <c r="P735" s="74"/>
      <c r="Q735" s="74"/>
      <c r="R735" s="74"/>
      <c r="S735" s="74"/>
      <c r="T735" s="74"/>
      <c r="U735" s="74"/>
      <c r="V735" s="74"/>
      <c r="W735" s="74"/>
      <c r="X735" s="74"/>
      <c r="Y735" s="74"/>
      <c r="Z735" s="74"/>
      <c r="AA735" s="74"/>
      <c r="AB735" s="74"/>
    </row>
    <row r="736" spans="1:28" ht="12" customHeight="1">
      <c r="A736" s="330"/>
      <c r="B736" s="314"/>
      <c r="C736" s="285"/>
      <c r="D736" s="108"/>
      <c r="E736" s="285"/>
      <c r="F736" s="285"/>
      <c r="G736" s="35"/>
      <c r="H736" s="104"/>
      <c r="I736" s="35"/>
      <c r="J736" s="74"/>
      <c r="K736" s="74"/>
      <c r="L736" s="74"/>
      <c r="M736" s="74"/>
      <c r="N736" s="74"/>
      <c r="O736" s="74"/>
      <c r="P736" s="74"/>
      <c r="Q736" s="74"/>
      <c r="R736" s="74"/>
      <c r="S736" s="74"/>
      <c r="T736" s="74"/>
      <c r="U736" s="74"/>
      <c r="V736" s="74"/>
      <c r="W736" s="74"/>
      <c r="X736" s="74"/>
      <c r="Y736" s="74"/>
      <c r="Z736" s="74"/>
      <c r="AA736" s="74"/>
      <c r="AB736" s="74"/>
    </row>
    <row r="737" spans="1:28" ht="12" customHeight="1">
      <c r="A737" s="330"/>
      <c r="B737" s="314"/>
      <c r="C737" s="285"/>
      <c r="D737" s="108"/>
      <c r="E737" s="285"/>
      <c r="F737" s="285"/>
      <c r="G737" s="35"/>
      <c r="H737" s="104"/>
      <c r="I737" s="35"/>
      <c r="J737" s="74"/>
      <c r="K737" s="74"/>
      <c r="L737" s="74"/>
      <c r="M737" s="74"/>
      <c r="N737" s="74"/>
      <c r="O737" s="74"/>
      <c r="P737" s="74"/>
      <c r="Q737" s="74"/>
      <c r="R737" s="74"/>
      <c r="S737" s="74"/>
      <c r="T737" s="74"/>
      <c r="U737" s="74"/>
      <c r="V737" s="74"/>
      <c r="W737" s="74"/>
      <c r="X737" s="74"/>
      <c r="Y737" s="74"/>
      <c r="Z737" s="74"/>
      <c r="AA737" s="74"/>
      <c r="AB737" s="74"/>
    </row>
    <row r="738" spans="1:28" ht="12" customHeight="1">
      <c r="A738" s="330"/>
      <c r="B738" s="314"/>
      <c r="C738" s="285"/>
      <c r="D738" s="108"/>
      <c r="E738" s="285"/>
      <c r="F738" s="285"/>
      <c r="G738" s="35"/>
      <c r="H738" s="104"/>
      <c r="I738" s="35"/>
      <c r="J738" s="74"/>
      <c r="K738" s="74"/>
      <c r="L738" s="74"/>
      <c r="M738" s="74"/>
      <c r="N738" s="74"/>
      <c r="O738" s="74"/>
      <c r="P738" s="74"/>
      <c r="Q738" s="74"/>
      <c r="R738" s="74"/>
      <c r="S738" s="74"/>
      <c r="T738" s="74"/>
      <c r="U738" s="74"/>
      <c r="V738" s="74"/>
      <c r="W738" s="74"/>
      <c r="X738" s="74"/>
      <c r="Y738" s="74"/>
      <c r="Z738" s="74"/>
      <c r="AA738" s="74"/>
      <c r="AB738" s="74"/>
    </row>
    <row r="739" spans="1:28" ht="12" customHeight="1">
      <c r="A739" s="330"/>
      <c r="B739" s="314"/>
      <c r="C739" s="285"/>
      <c r="D739" s="108"/>
      <c r="E739" s="285"/>
      <c r="F739" s="285"/>
      <c r="G739" s="35"/>
      <c r="H739" s="104"/>
      <c r="I739" s="35"/>
      <c r="J739" s="74"/>
      <c r="K739" s="74"/>
      <c r="L739" s="74"/>
      <c r="M739" s="74"/>
      <c r="N739" s="74"/>
      <c r="O739" s="74"/>
      <c r="P739" s="74"/>
      <c r="Q739" s="74"/>
      <c r="R739" s="74"/>
      <c r="S739" s="74"/>
      <c r="T739" s="74"/>
      <c r="U739" s="74"/>
      <c r="V739" s="74"/>
      <c r="W739" s="74"/>
      <c r="X739" s="74"/>
      <c r="Y739" s="74"/>
      <c r="Z739" s="74"/>
      <c r="AA739" s="74"/>
      <c r="AB739" s="74"/>
    </row>
    <row r="740" spans="1:28" ht="12" customHeight="1">
      <c r="A740" s="330"/>
      <c r="B740" s="314"/>
      <c r="C740" s="285"/>
      <c r="D740" s="108"/>
      <c r="E740" s="285"/>
      <c r="F740" s="285"/>
      <c r="G740" s="35"/>
      <c r="H740" s="104"/>
      <c r="I740" s="35"/>
      <c r="J740" s="74"/>
      <c r="K740" s="74"/>
      <c r="L740" s="74"/>
      <c r="M740" s="74"/>
      <c r="N740" s="74"/>
      <c r="O740" s="74"/>
      <c r="P740" s="74"/>
      <c r="Q740" s="74"/>
      <c r="R740" s="74"/>
      <c r="S740" s="74"/>
      <c r="T740" s="74"/>
      <c r="U740" s="74"/>
      <c r="V740" s="74"/>
      <c r="W740" s="74"/>
      <c r="X740" s="74"/>
      <c r="Y740" s="74"/>
      <c r="Z740" s="74"/>
      <c r="AA740" s="74"/>
      <c r="AB740" s="74"/>
    </row>
    <row r="741" spans="1:28" ht="12" customHeight="1">
      <c r="A741" s="330"/>
      <c r="B741" s="314"/>
      <c r="C741" s="285"/>
      <c r="D741" s="108"/>
      <c r="E741" s="285"/>
      <c r="F741" s="285"/>
      <c r="G741" s="35"/>
      <c r="H741" s="104"/>
      <c r="I741" s="35"/>
      <c r="J741" s="74"/>
      <c r="K741" s="74"/>
      <c r="L741" s="74"/>
      <c r="M741" s="74"/>
      <c r="N741" s="74"/>
      <c r="O741" s="74"/>
      <c r="P741" s="74"/>
      <c r="Q741" s="74"/>
      <c r="R741" s="74"/>
      <c r="S741" s="74"/>
      <c r="T741" s="74"/>
      <c r="U741" s="74"/>
      <c r="V741" s="74"/>
      <c r="W741" s="74"/>
      <c r="X741" s="74"/>
      <c r="Y741" s="74"/>
      <c r="Z741" s="74"/>
      <c r="AA741" s="74"/>
      <c r="AB741" s="74"/>
    </row>
    <row r="742" spans="1:28" ht="12" customHeight="1">
      <c r="A742" s="330"/>
      <c r="B742" s="314"/>
      <c r="C742" s="285"/>
      <c r="D742" s="108"/>
      <c r="E742" s="285"/>
      <c r="F742" s="285"/>
      <c r="G742" s="35"/>
      <c r="H742" s="104"/>
      <c r="I742" s="35"/>
      <c r="J742" s="74"/>
      <c r="K742" s="74"/>
      <c r="L742" s="74"/>
      <c r="M742" s="74"/>
      <c r="N742" s="74"/>
      <c r="O742" s="74"/>
      <c r="P742" s="74"/>
      <c r="Q742" s="74"/>
      <c r="R742" s="74"/>
      <c r="S742" s="74"/>
      <c r="T742" s="74"/>
      <c r="U742" s="74"/>
      <c r="V742" s="74"/>
      <c r="W742" s="74"/>
      <c r="X742" s="74"/>
      <c r="Y742" s="74"/>
      <c r="Z742" s="74"/>
      <c r="AA742" s="74"/>
      <c r="AB742" s="74"/>
    </row>
    <row r="743" spans="1:28" ht="12" customHeight="1">
      <c r="A743" s="330"/>
      <c r="B743" s="314"/>
      <c r="C743" s="285"/>
      <c r="D743" s="108"/>
      <c r="E743" s="285"/>
      <c r="F743" s="285"/>
      <c r="G743" s="35"/>
      <c r="H743" s="104"/>
      <c r="I743" s="35"/>
      <c r="J743" s="74"/>
      <c r="K743" s="74"/>
      <c r="L743" s="74"/>
      <c r="M743" s="74"/>
      <c r="N743" s="74"/>
      <c r="O743" s="74"/>
      <c r="P743" s="74"/>
      <c r="Q743" s="74"/>
      <c r="R743" s="74"/>
      <c r="S743" s="74"/>
      <c r="T743" s="74"/>
      <c r="U743" s="74"/>
      <c r="V743" s="74"/>
      <c r="W743" s="74"/>
      <c r="X743" s="74"/>
      <c r="Y743" s="74"/>
      <c r="Z743" s="74"/>
      <c r="AA743" s="74"/>
      <c r="AB743" s="74"/>
    </row>
    <row r="744" spans="1:28" ht="12" customHeight="1">
      <c r="A744" s="330"/>
      <c r="B744" s="314"/>
      <c r="C744" s="285"/>
      <c r="D744" s="108"/>
      <c r="E744" s="285"/>
      <c r="F744" s="285"/>
      <c r="G744" s="35"/>
      <c r="H744" s="104"/>
      <c r="I744" s="35"/>
      <c r="J744" s="74"/>
      <c r="K744" s="74"/>
      <c r="L744" s="74"/>
      <c r="M744" s="74"/>
      <c r="N744" s="74"/>
      <c r="O744" s="74"/>
      <c r="P744" s="74"/>
      <c r="Q744" s="74"/>
      <c r="R744" s="74"/>
      <c r="S744" s="74"/>
      <c r="T744" s="74"/>
      <c r="U744" s="74"/>
      <c r="V744" s="74"/>
      <c r="W744" s="74"/>
      <c r="X744" s="74"/>
      <c r="Y744" s="74"/>
      <c r="Z744" s="74"/>
      <c r="AA744" s="74"/>
      <c r="AB744" s="74"/>
    </row>
    <row r="745" spans="1:28" ht="12" customHeight="1">
      <c r="A745" s="330"/>
      <c r="B745" s="314"/>
      <c r="C745" s="285"/>
      <c r="D745" s="108"/>
      <c r="E745" s="285"/>
      <c r="F745" s="285"/>
      <c r="G745" s="35"/>
      <c r="H745" s="104"/>
      <c r="I745" s="35"/>
      <c r="J745" s="74"/>
      <c r="K745" s="74"/>
      <c r="L745" s="74"/>
      <c r="M745" s="74"/>
      <c r="N745" s="74"/>
      <c r="O745" s="74"/>
      <c r="P745" s="74"/>
      <c r="Q745" s="74"/>
      <c r="R745" s="74"/>
      <c r="S745" s="74"/>
      <c r="T745" s="74"/>
      <c r="U745" s="74"/>
      <c r="V745" s="74"/>
      <c r="W745" s="74"/>
      <c r="X745" s="74"/>
      <c r="Y745" s="74"/>
      <c r="Z745" s="74"/>
      <c r="AA745" s="74"/>
      <c r="AB745" s="74"/>
    </row>
    <row r="746" spans="1:28" ht="12" customHeight="1">
      <c r="A746" s="330"/>
      <c r="B746" s="314"/>
      <c r="C746" s="285"/>
      <c r="D746" s="108"/>
      <c r="E746" s="285"/>
      <c r="F746" s="285"/>
      <c r="G746" s="35"/>
      <c r="H746" s="104"/>
      <c r="I746" s="35"/>
      <c r="J746" s="74"/>
      <c r="K746" s="74"/>
      <c r="L746" s="74"/>
      <c r="M746" s="74"/>
      <c r="N746" s="74"/>
      <c r="O746" s="74"/>
      <c r="P746" s="74"/>
      <c r="Q746" s="74"/>
      <c r="R746" s="74"/>
      <c r="S746" s="74"/>
      <c r="T746" s="74"/>
      <c r="U746" s="74"/>
      <c r="V746" s="74"/>
      <c r="W746" s="74"/>
      <c r="X746" s="74"/>
      <c r="Y746" s="74"/>
      <c r="Z746" s="74"/>
      <c r="AA746" s="74"/>
      <c r="AB746" s="74"/>
    </row>
    <row r="747" spans="1:28" ht="12" customHeight="1">
      <c r="A747" s="330"/>
      <c r="B747" s="314"/>
      <c r="C747" s="285"/>
      <c r="D747" s="108"/>
      <c r="E747" s="285"/>
      <c r="F747" s="285"/>
      <c r="G747" s="35"/>
      <c r="H747" s="104"/>
      <c r="I747" s="35"/>
      <c r="J747" s="74"/>
      <c r="K747" s="74"/>
      <c r="L747" s="74"/>
      <c r="M747" s="74"/>
      <c r="N747" s="74"/>
      <c r="O747" s="74"/>
      <c r="P747" s="74"/>
      <c r="Q747" s="74"/>
      <c r="R747" s="74"/>
      <c r="S747" s="74"/>
      <c r="T747" s="74"/>
      <c r="U747" s="74"/>
      <c r="V747" s="74"/>
      <c r="W747" s="74"/>
      <c r="X747" s="74"/>
      <c r="Y747" s="74"/>
      <c r="Z747" s="74"/>
      <c r="AA747" s="74"/>
      <c r="AB747" s="74"/>
    </row>
    <row r="748" spans="1:28" ht="12" customHeight="1">
      <c r="A748" s="330"/>
      <c r="B748" s="314"/>
      <c r="C748" s="285"/>
      <c r="D748" s="108"/>
      <c r="E748" s="285"/>
      <c r="F748" s="285"/>
      <c r="G748" s="35"/>
      <c r="H748" s="104"/>
      <c r="I748" s="35"/>
      <c r="J748" s="74"/>
      <c r="K748" s="74"/>
      <c r="L748" s="74"/>
      <c r="M748" s="74"/>
      <c r="N748" s="74"/>
      <c r="O748" s="74"/>
      <c r="P748" s="74"/>
      <c r="Q748" s="74"/>
      <c r="R748" s="74"/>
      <c r="S748" s="74"/>
      <c r="T748" s="74"/>
      <c r="U748" s="74"/>
      <c r="V748" s="74"/>
      <c r="W748" s="74"/>
      <c r="X748" s="74"/>
      <c r="Y748" s="74"/>
      <c r="Z748" s="74"/>
      <c r="AA748" s="74"/>
      <c r="AB748" s="74"/>
    </row>
    <row r="749" spans="1:28" ht="12" customHeight="1">
      <c r="A749" s="330"/>
      <c r="B749" s="314"/>
      <c r="C749" s="285"/>
      <c r="D749" s="108"/>
      <c r="E749" s="285"/>
      <c r="F749" s="285"/>
      <c r="G749" s="35"/>
      <c r="H749" s="104"/>
      <c r="I749" s="35"/>
      <c r="J749" s="74"/>
      <c r="K749" s="74"/>
      <c r="L749" s="74"/>
      <c r="M749" s="74"/>
      <c r="N749" s="74"/>
      <c r="O749" s="74"/>
      <c r="P749" s="74"/>
      <c r="Q749" s="74"/>
      <c r="R749" s="74"/>
      <c r="S749" s="74"/>
      <c r="T749" s="74"/>
      <c r="U749" s="74"/>
      <c r="V749" s="74"/>
      <c r="W749" s="74"/>
      <c r="X749" s="74"/>
      <c r="Y749" s="74"/>
      <c r="Z749" s="74"/>
      <c r="AA749" s="74"/>
      <c r="AB749" s="74"/>
    </row>
    <row r="750" spans="1:28" ht="12" customHeight="1">
      <c r="A750" s="330"/>
      <c r="B750" s="314"/>
      <c r="C750" s="285"/>
      <c r="D750" s="108"/>
      <c r="E750" s="285"/>
      <c r="F750" s="285"/>
      <c r="G750" s="35"/>
      <c r="H750" s="104"/>
      <c r="I750" s="35"/>
      <c r="J750" s="74"/>
      <c r="K750" s="74"/>
      <c r="L750" s="74"/>
      <c r="M750" s="74"/>
      <c r="N750" s="74"/>
      <c r="O750" s="74"/>
      <c r="P750" s="74"/>
      <c r="Q750" s="74"/>
      <c r="R750" s="74"/>
      <c r="S750" s="74"/>
      <c r="T750" s="74"/>
      <c r="U750" s="74"/>
      <c r="V750" s="74"/>
      <c r="W750" s="74"/>
      <c r="X750" s="74"/>
      <c r="Y750" s="74"/>
      <c r="Z750" s="74"/>
      <c r="AA750" s="74"/>
      <c r="AB750" s="74"/>
    </row>
    <row r="751" spans="1:28" ht="12" customHeight="1">
      <c r="A751" s="330"/>
      <c r="B751" s="314"/>
      <c r="C751" s="285"/>
      <c r="D751" s="108"/>
      <c r="E751" s="285"/>
      <c r="F751" s="285"/>
      <c r="G751" s="35"/>
      <c r="H751" s="104"/>
      <c r="I751" s="35"/>
      <c r="J751" s="74"/>
      <c r="K751" s="74"/>
      <c r="L751" s="74"/>
      <c r="M751" s="74"/>
      <c r="N751" s="74"/>
      <c r="O751" s="74"/>
      <c r="P751" s="74"/>
      <c r="Q751" s="74"/>
      <c r="R751" s="74"/>
      <c r="S751" s="74"/>
      <c r="T751" s="74"/>
      <c r="U751" s="74"/>
      <c r="V751" s="74"/>
      <c r="W751" s="74"/>
      <c r="X751" s="74"/>
      <c r="Y751" s="74"/>
      <c r="Z751" s="74"/>
      <c r="AA751" s="74"/>
      <c r="AB751" s="74"/>
    </row>
    <row r="752" spans="1:28" ht="12" customHeight="1">
      <c r="A752" s="330"/>
      <c r="B752" s="314"/>
      <c r="C752" s="285"/>
      <c r="D752" s="108"/>
      <c r="E752" s="285"/>
      <c r="F752" s="285"/>
      <c r="G752" s="35"/>
      <c r="H752" s="104"/>
      <c r="I752" s="35"/>
      <c r="J752" s="74"/>
      <c r="K752" s="74"/>
      <c r="L752" s="74"/>
      <c r="M752" s="74"/>
      <c r="N752" s="74"/>
      <c r="O752" s="74"/>
      <c r="P752" s="74"/>
      <c r="Q752" s="74"/>
      <c r="R752" s="74"/>
      <c r="S752" s="74"/>
      <c r="T752" s="74"/>
      <c r="U752" s="74"/>
      <c r="V752" s="74"/>
      <c r="W752" s="74"/>
      <c r="X752" s="74"/>
      <c r="Y752" s="74"/>
      <c r="Z752" s="74"/>
      <c r="AA752" s="74"/>
      <c r="AB752" s="74"/>
    </row>
    <row r="753" spans="1:28" ht="12" customHeight="1">
      <c r="A753" s="330"/>
      <c r="B753" s="314"/>
      <c r="C753" s="285"/>
      <c r="D753" s="108"/>
      <c r="E753" s="285"/>
      <c r="F753" s="285"/>
      <c r="G753" s="35"/>
      <c r="H753" s="104"/>
      <c r="I753" s="35"/>
      <c r="J753" s="74"/>
      <c r="K753" s="74"/>
      <c r="L753" s="74"/>
      <c r="M753" s="74"/>
      <c r="N753" s="74"/>
      <c r="O753" s="74"/>
      <c r="P753" s="74"/>
      <c r="Q753" s="74"/>
      <c r="R753" s="74"/>
      <c r="S753" s="74"/>
      <c r="T753" s="74"/>
      <c r="U753" s="74"/>
      <c r="V753" s="74"/>
      <c r="W753" s="74"/>
      <c r="X753" s="74"/>
      <c r="Y753" s="74"/>
      <c r="Z753" s="74"/>
      <c r="AA753" s="74"/>
      <c r="AB753" s="74"/>
    </row>
    <row r="754" spans="1:28" ht="12" customHeight="1">
      <c r="A754" s="330"/>
      <c r="B754" s="314"/>
      <c r="C754" s="285"/>
      <c r="D754" s="108"/>
      <c r="E754" s="285"/>
      <c r="F754" s="285"/>
      <c r="G754" s="35"/>
      <c r="H754" s="104"/>
      <c r="I754" s="35"/>
      <c r="J754" s="74"/>
      <c r="K754" s="74"/>
      <c r="L754" s="74"/>
      <c r="M754" s="74"/>
      <c r="N754" s="74"/>
      <c r="O754" s="74"/>
      <c r="P754" s="74"/>
      <c r="Q754" s="74"/>
      <c r="R754" s="74"/>
      <c r="S754" s="74"/>
      <c r="T754" s="74"/>
      <c r="U754" s="74"/>
      <c r="V754" s="74"/>
      <c r="W754" s="74"/>
      <c r="X754" s="74"/>
      <c r="Y754" s="74"/>
      <c r="Z754" s="74"/>
      <c r="AA754" s="74"/>
      <c r="AB754" s="74"/>
    </row>
    <row r="755" spans="1:28" ht="12" customHeight="1">
      <c r="A755" s="330"/>
      <c r="B755" s="314"/>
      <c r="C755" s="285"/>
      <c r="D755" s="108"/>
      <c r="E755" s="285"/>
      <c r="F755" s="285"/>
      <c r="G755" s="35"/>
      <c r="H755" s="104"/>
      <c r="I755" s="35"/>
      <c r="J755" s="74"/>
      <c r="K755" s="74"/>
      <c r="L755" s="74"/>
      <c r="M755" s="74"/>
      <c r="N755" s="74"/>
      <c r="O755" s="74"/>
      <c r="P755" s="74"/>
      <c r="Q755" s="74"/>
      <c r="R755" s="74"/>
      <c r="S755" s="74"/>
      <c r="T755" s="74"/>
      <c r="U755" s="74"/>
      <c r="V755" s="74"/>
      <c r="W755" s="74"/>
      <c r="X755" s="74"/>
      <c r="Y755" s="74"/>
      <c r="Z755" s="74"/>
      <c r="AA755" s="74"/>
      <c r="AB755" s="74"/>
    </row>
    <row r="756" spans="1:28" ht="12" customHeight="1">
      <c r="A756" s="330"/>
      <c r="B756" s="314"/>
      <c r="C756" s="285"/>
      <c r="D756" s="108"/>
      <c r="E756" s="285"/>
      <c r="F756" s="285"/>
      <c r="G756" s="35"/>
      <c r="H756" s="104"/>
      <c r="I756" s="35"/>
      <c r="J756" s="74"/>
      <c r="K756" s="74"/>
      <c r="L756" s="74"/>
      <c r="M756" s="74"/>
      <c r="N756" s="74"/>
      <c r="O756" s="74"/>
      <c r="P756" s="74"/>
      <c r="Q756" s="74"/>
      <c r="R756" s="74"/>
      <c r="S756" s="74"/>
      <c r="T756" s="74"/>
      <c r="U756" s="74"/>
      <c r="V756" s="74"/>
      <c r="W756" s="74"/>
      <c r="X756" s="74"/>
      <c r="Y756" s="74"/>
      <c r="Z756" s="74"/>
      <c r="AA756" s="74"/>
      <c r="AB756" s="74"/>
    </row>
    <row r="757" spans="1:28" ht="12" customHeight="1">
      <c r="A757" s="330"/>
      <c r="B757" s="314"/>
      <c r="C757" s="285"/>
      <c r="D757" s="108"/>
      <c r="E757" s="285"/>
      <c r="F757" s="285"/>
      <c r="G757" s="35"/>
      <c r="H757" s="104"/>
      <c r="I757" s="35"/>
      <c r="J757" s="74"/>
      <c r="K757" s="74"/>
      <c r="L757" s="74"/>
      <c r="M757" s="74"/>
      <c r="N757" s="74"/>
      <c r="O757" s="74"/>
      <c r="P757" s="74"/>
      <c r="Q757" s="74"/>
      <c r="R757" s="74"/>
      <c r="S757" s="74"/>
      <c r="T757" s="74"/>
      <c r="U757" s="74"/>
      <c r="V757" s="74"/>
      <c r="W757" s="74"/>
      <c r="X757" s="74"/>
      <c r="Y757" s="74"/>
      <c r="Z757" s="74"/>
      <c r="AA757" s="74"/>
      <c r="AB757" s="74"/>
    </row>
    <row r="758" spans="1:28" ht="12" customHeight="1">
      <c r="A758" s="330"/>
      <c r="B758" s="314"/>
      <c r="C758" s="285"/>
      <c r="D758" s="108"/>
      <c r="E758" s="285"/>
      <c r="F758" s="285"/>
      <c r="G758" s="35"/>
      <c r="H758" s="104"/>
      <c r="I758" s="35"/>
      <c r="J758" s="74"/>
      <c r="K758" s="74"/>
      <c r="L758" s="74"/>
      <c r="M758" s="74"/>
      <c r="N758" s="74"/>
      <c r="O758" s="74"/>
      <c r="P758" s="74"/>
      <c r="Q758" s="74"/>
      <c r="R758" s="74"/>
      <c r="S758" s="74"/>
      <c r="T758" s="74"/>
      <c r="U758" s="74"/>
      <c r="V758" s="74"/>
      <c r="W758" s="74"/>
      <c r="X758" s="74"/>
      <c r="Y758" s="74"/>
      <c r="Z758" s="74"/>
      <c r="AA758" s="74"/>
      <c r="AB758" s="74"/>
    </row>
    <row r="759" spans="1:28" ht="12" customHeight="1">
      <c r="A759" s="330"/>
      <c r="B759" s="314"/>
      <c r="C759" s="285"/>
      <c r="D759" s="108"/>
      <c r="E759" s="285"/>
      <c r="F759" s="285"/>
      <c r="G759" s="35"/>
      <c r="H759" s="104"/>
      <c r="I759" s="35"/>
      <c r="J759" s="74"/>
      <c r="K759" s="74"/>
      <c r="L759" s="74"/>
      <c r="M759" s="74"/>
      <c r="N759" s="74"/>
      <c r="O759" s="74"/>
      <c r="P759" s="74"/>
      <c r="Q759" s="74"/>
      <c r="R759" s="74"/>
      <c r="S759" s="74"/>
      <c r="T759" s="74"/>
      <c r="U759" s="74"/>
      <c r="V759" s="74"/>
      <c r="W759" s="74"/>
      <c r="X759" s="74"/>
      <c r="Y759" s="74"/>
      <c r="Z759" s="74"/>
      <c r="AA759" s="74"/>
      <c r="AB759" s="74"/>
    </row>
    <row r="760" spans="1:28" ht="12" customHeight="1">
      <c r="A760" s="330"/>
      <c r="B760" s="314"/>
      <c r="C760" s="285"/>
      <c r="D760" s="108"/>
      <c r="E760" s="285"/>
      <c r="F760" s="285"/>
      <c r="G760" s="35"/>
      <c r="H760" s="104"/>
      <c r="I760" s="35"/>
      <c r="J760" s="74"/>
      <c r="K760" s="74"/>
      <c r="L760" s="74"/>
      <c r="M760" s="74"/>
      <c r="N760" s="74"/>
      <c r="O760" s="74"/>
      <c r="P760" s="74"/>
      <c r="Q760" s="74"/>
      <c r="R760" s="74"/>
      <c r="S760" s="74"/>
      <c r="T760" s="74"/>
      <c r="U760" s="74"/>
      <c r="V760" s="74"/>
      <c r="W760" s="74"/>
      <c r="X760" s="74"/>
      <c r="Y760" s="74"/>
      <c r="Z760" s="74"/>
      <c r="AA760" s="74"/>
      <c r="AB760" s="74"/>
    </row>
    <row r="761" spans="1:28" ht="12" customHeight="1">
      <c r="A761" s="330"/>
      <c r="B761" s="314"/>
      <c r="C761" s="285"/>
      <c r="D761" s="108"/>
      <c r="E761" s="285"/>
      <c r="F761" s="285"/>
      <c r="G761" s="35"/>
      <c r="H761" s="104"/>
      <c r="I761" s="35"/>
      <c r="J761" s="74"/>
      <c r="K761" s="74"/>
      <c r="L761" s="74"/>
      <c r="M761" s="74"/>
      <c r="N761" s="74"/>
      <c r="O761" s="74"/>
      <c r="P761" s="74"/>
      <c r="Q761" s="74"/>
      <c r="R761" s="74"/>
      <c r="S761" s="74"/>
      <c r="T761" s="74"/>
      <c r="U761" s="74"/>
      <c r="V761" s="74"/>
      <c r="W761" s="74"/>
      <c r="X761" s="74"/>
      <c r="Y761" s="74"/>
      <c r="Z761" s="74"/>
      <c r="AA761" s="74"/>
      <c r="AB761" s="74"/>
    </row>
    <row r="762" spans="1:28" ht="12" customHeight="1">
      <c r="A762" s="330"/>
      <c r="B762" s="314"/>
      <c r="C762" s="285"/>
      <c r="D762" s="108"/>
      <c r="E762" s="285"/>
      <c r="F762" s="285"/>
      <c r="G762" s="35"/>
      <c r="H762" s="104"/>
      <c r="I762" s="35"/>
      <c r="J762" s="74"/>
      <c r="K762" s="74"/>
      <c r="L762" s="74"/>
      <c r="M762" s="74"/>
      <c r="N762" s="74"/>
      <c r="O762" s="74"/>
      <c r="P762" s="74"/>
      <c r="Q762" s="74"/>
      <c r="R762" s="74"/>
      <c r="S762" s="74"/>
      <c r="T762" s="74"/>
      <c r="U762" s="74"/>
      <c r="V762" s="74"/>
      <c r="W762" s="74"/>
      <c r="X762" s="74"/>
      <c r="Y762" s="74"/>
      <c r="Z762" s="74"/>
      <c r="AA762" s="74"/>
      <c r="AB762" s="74"/>
    </row>
    <row r="763" spans="1:28" ht="12" customHeight="1">
      <c r="A763" s="330"/>
      <c r="B763" s="314"/>
      <c r="C763" s="285"/>
      <c r="D763" s="108"/>
      <c r="E763" s="285"/>
      <c r="F763" s="285"/>
      <c r="G763" s="35"/>
      <c r="H763" s="104"/>
      <c r="I763" s="35"/>
      <c r="J763" s="74"/>
      <c r="K763" s="74"/>
      <c r="L763" s="74"/>
      <c r="M763" s="74"/>
      <c r="N763" s="74"/>
      <c r="O763" s="74"/>
      <c r="P763" s="74"/>
      <c r="Q763" s="74"/>
      <c r="R763" s="74"/>
      <c r="S763" s="74"/>
      <c r="T763" s="74"/>
      <c r="U763" s="74"/>
      <c r="V763" s="74"/>
      <c r="W763" s="74"/>
      <c r="X763" s="74"/>
      <c r="Y763" s="74"/>
      <c r="Z763" s="74"/>
      <c r="AA763" s="74"/>
      <c r="AB763" s="74"/>
    </row>
    <row r="764" spans="1:28" ht="12" customHeight="1">
      <c r="A764" s="330"/>
      <c r="B764" s="314"/>
      <c r="C764" s="285"/>
      <c r="D764" s="108"/>
      <c r="E764" s="285"/>
      <c r="F764" s="285"/>
      <c r="G764" s="35"/>
      <c r="H764" s="104"/>
      <c r="I764" s="35"/>
      <c r="J764" s="74"/>
      <c r="K764" s="74"/>
      <c r="L764" s="74"/>
      <c r="M764" s="74"/>
      <c r="N764" s="74"/>
      <c r="O764" s="74"/>
      <c r="P764" s="74"/>
      <c r="Q764" s="74"/>
      <c r="R764" s="74"/>
      <c r="S764" s="74"/>
      <c r="T764" s="74"/>
      <c r="U764" s="74"/>
      <c r="V764" s="74"/>
      <c r="W764" s="74"/>
      <c r="X764" s="74"/>
      <c r="Y764" s="74"/>
      <c r="Z764" s="74"/>
      <c r="AA764" s="74"/>
      <c r="AB764" s="74"/>
    </row>
    <row r="765" spans="1:28" ht="12" customHeight="1">
      <c r="A765" s="330"/>
      <c r="B765" s="314"/>
      <c r="C765" s="285"/>
      <c r="D765" s="108"/>
      <c r="E765" s="285"/>
      <c r="F765" s="285"/>
      <c r="G765" s="35"/>
      <c r="H765" s="104"/>
      <c r="I765" s="35"/>
      <c r="J765" s="74"/>
      <c r="K765" s="74"/>
      <c r="L765" s="74"/>
      <c r="M765" s="74"/>
      <c r="N765" s="74"/>
      <c r="O765" s="74"/>
      <c r="P765" s="74"/>
      <c r="Q765" s="74"/>
      <c r="R765" s="74"/>
      <c r="S765" s="74"/>
      <c r="T765" s="74"/>
      <c r="U765" s="74"/>
      <c r="V765" s="74"/>
      <c r="W765" s="74"/>
      <c r="X765" s="74"/>
      <c r="Y765" s="74"/>
      <c r="Z765" s="74"/>
      <c r="AA765" s="74"/>
      <c r="AB765" s="74"/>
    </row>
    <row r="766" spans="1:28" ht="12" customHeight="1">
      <c r="A766" s="330"/>
      <c r="B766" s="314"/>
      <c r="C766" s="285"/>
      <c r="D766" s="108"/>
      <c r="E766" s="285"/>
      <c r="F766" s="285"/>
      <c r="G766" s="35"/>
      <c r="H766" s="104"/>
      <c r="I766" s="35"/>
      <c r="J766" s="74"/>
      <c r="K766" s="74"/>
      <c r="L766" s="74"/>
      <c r="M766" s="74"/>
      <c r="N766" s="74"/>
      <c r="O766" s="74"/>
      <c r="P766" s="74"/>
      <c r="Q766" s="74"/>
      <c r="R766" s="74"/>
      <c r="S766" s="74"/>
      <c r="T766" s="74"/>
      <c r="U766" s="74"/>
      <c r="V766" s="74"/>
      <c r="W766" s="74"/>
      <c r="X766" s="74"/>
      <c r="Y766" s="74"/>
      <c r="Z766" s="74"/>
      <c r="AA766" s="74"/>
      <c r="AB766" s="74"/>
    </row>
    <row r="767" spans="1:28" ht="12" customHeight="1">
      <c r="A767" s="330"/>
      <c r="B767" s="314"/>
      <c r="C767" s="285"/>
      <c r="D767" s="108"/>
      <c r="E767" s="285"/>
      <c r="F767" s="285"/>
      <c r="G767" s="35"/>
      <c r="H767" s="104"/>
      <c r="I767" s="35"/>
      <c r="J767" s="74"/>
      <c r="K767" s="74"/>
      <c r="L767" s="74"/>
      <c r="M767" s="74"/>
      <c r="N767" s="74"/>
      <c r="O767" s="74"/>
      <c r="P767" s="74"/>
      <c r="Q767" s="74"/>
      <c r="R767" s="74"/>
      <c r="S767" s="74"/>
      <c r="T767" s="74"/>
      <c r="U767" s="74"/>
      <c r="V767" s="74"/>
      <c r="W767" s="74"/>
      <c r="X767" s="74"/>
      <c r="Y767" s="74"/>
      <c r="Z767" s="74"/>
      <c r="AA767" s="74"/>
      <c r="AB767" s="74"/>
    </row>
    <row r="768" spans="1:28" ht="12" customHeight="1">
      <c r="A768" s="330"/>
      <c r="B768" s="314"/>
      <c r="C768" s="285"/>
      <c r="D768" s="108"/>
      <c r="E768" s="285"/>
      <c r="F768" s="285"/>
      <c r="G768" s="35"/>
      <c r="H768" s="104"/>
      <c r="I768" s="35"/>
      <c r="J768" s="74"/>
      <c r="K768" s="74"/>
      <c r="L768" s="74"/>
      <c r="M768" s="74"/>
      <c r="N768" s="74"/>
      <c r="O768" s="74"/>
      <c r="P768" s="74"/>
      <c r="Q768" s="74"/>
      <c r="R768" s="74"/>
      <c r="S768" s="74"/>
      <c r="T768" s="74"/>
      <c r="U768" s="74"/>
      <c r="V768" s="74"/>
      <c r="W768" s="74"/>
      <c r="X768" s="74"/>
      <c r="Y768" s="74"/>
      <c r="Z768" s="74"/>
      <c r="AA768" s="74"/>
      <c r="AB768" s="74"/>
    </row>
    <row r="769" spans="1:28" ht="12" customHeight="1">
      <c r="A769" s="330"/>
      <c r="B769" s="314"/>
      <c r="C769" s="285"/>
      <c r="D769" s="108"/>
      <c r="E769" s="285"/>
      <c r="F769" s="285"/>
      <c r="G769" s="35"/>
      <c r="H769" s="104"/>
      <c r="I769" s="35"/>
      <c r="J769" s="74"/>
      <c r="K769" s="74"/>
      <c r="L769" s="74"/>
      <c r="M769" s="74"/>
      <c r="N769" s="74"/>
      <c r="O769" s="74"/>
      <c r="P769" s="74"/>
      <c r="Q769" s="74"/>
      <c r="R769" s="74"/>
      <c r="S769" s="74"/>
      <c r="T769" s="74"/>
      <c r="U769" s="74"/>
      <c r="V769" s="74"/>
      <c r="W769" s="74"/>
      <c r="X769" s="74"/>
      <c r="Y769" s="74"/>
      <c r="Z769" s="74"/>
      <c r="AA769" s="74"/>
      <c r="AB769" s="74"/>
    </row>
    <row r="770" spans="1:28" ht="12" customHeight="1">
      <c r="A770" s="330"/>
      <c r="B770" s="314"/>
      <c r="C770" s="285"/>
      <c r="D770" s="108"/>
      <c r="E770" s="285"/>
      <c r="F770" s="285"/>
      <c r="G770" s="35"/>
      <c r="H770" s="104"/>
      <c r="I770" s="35"/>
      <c r="J770" s="74"/>
      <c r="K770" s="74"/>
      <c r="L770" s="74"/>
      <c r="M770" s="74"/>
      <c r="N770" s="74"/>
      <c r="O770" s="74"/>
      <c r="P770" s="74"/>
      <c r="Q770" s="74"/>
      <c r="R770" s="74"/>
      <c r="S770" s="74"/>
      <c r="T770" s="74"/>
      <c r="U770" s="74"/>
      <c r="V770" s="74"/>
      <c r="W770" s="74"/>
      <c r="X770" s="74"/>
      <c r="Y770" s="74"/>
      <c r="Z770" s="74"/>
      <c r="AA770" s="74"/>
      <c r="AB770" s="74"/>
    </row>
    <row r="771" spans="1:28" ht="12" customHeight="1">
      <c r="A771" s="330"/>
      <c r="B771" s="314"/>
      <c r="C771" s="285"/>
      <c r="D771" s="108"/>
      <c r="E771" s="285"/>
      <c r="F771" s="285"/>
      <c r="G771" s="35"/>
      <c r="H771" s="104"/>
      <c r="I771" s="35"/>
      <c r="J771" s="74"/>
      <c r="K771" s="74"/>
      <c r="L771" s="74"/>
      <c r="M771" s="74"/>
      <c r="N771" s="74"/>
      <c r="O771" s="74"/>
      <c r="P771" s="74"/>
      <c r="Q771" s="74"/>
      <c r="R771" s="74"/>
      <c r="S771" s="74"/>
      <c r="T771" s="74"/>
      <c r="U771" s="74"/>
      <c r="V771" s="74"/>
      <c r="W771" s="74"/>
      <c r="X771" s="74"/>
      <c r="Y771" s="74"/>
      <c r="Z771" s="74"/>
      <c r="AA771" s="74"/>
      <c r="AB771" s="74"/>
    </row>
    <row r="772" spans="1:28" ht="12" customHeight="1">
      <c r="A772" s="330"/>
      <c r="B772" s="314"/>
      <c r="C772" s="285"/>
      <c r="D772" s="108"/>
      <c r="E772" s="285"/>
      <c r="F772" s="285"/>
      <c r="G772" s="35"/>
      <c r="H772" s="104"/>
      <c r="I772" s="35"/>
      <c r="J772" s="74"/>
      <c r="K772" s="74"/>
      <c r="L772" s="74"/>
      <c r="M772" s="74"/>
      <c r="N772" s="74"/>
      <c r="O772" s="74"/>
      <c r="P772" s="74"/>
      <c r="Q772" s="74"/>
      <c r="R772" s="74"/>
      <c r="S772" s="74"/>
      <c r="T772" s="74"/>
      <c r="U772" s="74"/>
      <c r="V772" s="74"/>
      <c r="W772" s="74"/>
      <c r="X772" s="74"/>
      <c r="Y772" s="74"/>
      <c r="Z772" s="74"/>
      <c r="AA772" s="74"/>
      <c r="AB772" s="74"/>
    </row>
    <row r="773" spans="1:28" ht="12" customHeight="1">
      <c r="A773" s="330"/>
      <c r="B773" s="314"/>
      <c r="C773" s="285"/>
      <c r="D773" s="108"/>
      <c r="E773" s="285"/>
      <c r="F773" s="285"/>
      <c r="G773" s="35"/>
      <c r="H773" s="104"/>
      <c r="I773" s="35"/>
      <c r="J773" s="74"/>
      <c r="K773" s="74"/>
      <c r="L773" s="74"/>
      <c r="M773" s="74"/>
      <c r="N773" s="74"/>
      <c r="O773" s="74"/>
      <c r="P773" s="74"/>
      <c r="Q773" s="74"/>
      <c r="R773" s="74"/>
      <c r="S773" s="74"/>
      <c r="T773" s="74"/>
      <c r="U773" s="74"/>
      <c r="V773" s="74"/>
      <c r="W773" s="74"/>
      <c r="X773" s="74"/>
      <c r="Y773" s="74"/>
      <c r="Z773" s="74"/>
      <c r="AA773" s="74"/>
      <c r="AB773" s="74"/>
    </row>
    <row r="774" spans="1:28" ht="12" customHeight="1">
      <c r="A774" s="330"/>
      <c r="B774" s="314"/>
      <c r="C774" s="285"/>
      <c r="D774" s="108"/>
      <c r="E774" s="285"/>
      <c r="F774" s="285"/>
      <c r="G774" s="35"/>
      <c r="H774" s="104"/>
      <c r="I774" s="35"/>
      <c r="J774" s="74"/>
      <c r="K774" s="74"/>
      <c r="L774" s="74"/>
      <c r="M774" s="74"/>
      <c r="N774" s="74"/>
      <c r="O774" s="74"/>
      <c r="P774" s="74"/>
      <c r="Q774" s="74"/>
      <c r="R774" s="74"/>
      <c r="S774" s="74"/>
      <c r="T774" s="74"/>
      <c r="U774" s="74"/>
      <c r="V774" s="74"/>
      <c r="W774" s="74"/>
      <c r="X774" s="74"/>
      <c r="Y774" s="74"/>
      <c r="Z774" s="74"/>
      <c r="AA774" s="74"/>
      <c r="AB774" s="74"/>
    </row>
    <row r="775" spans="1:28" ht="12" customHeight="1">
      <c r="A775" s="330"/>
      <c r="B775" s="314"/>
      <c r="C775" s="285"/>
      <c r="D775" s="108"/>
      <c r="E775" s="285"/>
      <c r="F775" s="285"/>
      <c r="G775" s="35"/>
      <c r="H775" s="104"/>
      <c r="I775" s="35"/>
      <c r="J775" s="74"/>
      <c r="K775" s="74"/>
      <c r="L775" s="74"/>
      <c r="M775" s="74"/>
      <c r="N775" s="74"/>
      <c r="O775" s="74"/>
      <c r="P775" s="74"/>
      <c r="Q775" s="74"/>
      <c r="R775" s="74"/>
      <c r="S775" s="74"/>
      <c r="T775" s="74"/>
      <c r="U775" s="74"/>
      <c r="V775" s="74"/>
      <c r="W775" s="74"/>
      <c r="X775" s="74"/>
      <c r="Y775" s="74"/>
      <c r="Z775" s="74"/>
      <c r="AA775" s="74"/>
      <c r="AB775" s="74"/>
    </row>
    <row r="776" spans="1:28" ht="12" customHeight="1">
      <c r="A776" s="330"/>
      <c r="B776" s="314"/>
      <c r="C776" s="285"/>
      <c r="D776" s="108"/>
      <c r="E776" s="285"/>
      <c r="F776" s="285"/>
      <c r="G776" s="35"/>
      <c r="H776" s="104"/>
      <c r="I776" s="35"/>
      <c r="J776" s="74"/>
      <c r="K776" s="74"/>
      <c r="L776" s="74"/>
      <c r="M776" s="74"/>
      <c r="N776" s="74"/>
      <c r="O776" s="74"/>
      <c r="P776" s="74"/>
      <c r="Q776" s="74"/>
      <c r="R776" s="74"/>
      <c r="S776" s="74"/>
      <c r="T776" s="74"/>
      <c r="U776" s="74"/>
      <c r="V776" s="74"/>
      <c r="W776" s="74"/>
      <c r="X776" s="74"/>
      <c r="Y776" s="74"/>
      <c r="Z776" s="74"/>
      <c r="AA776" s="74"/>
      <c r="AB776" s="74"/>
    </row>
    <row r="777" spans="1:28" ht="12" customHeight="1">
      <c r="A777" s="330"/>
      <c r="B777" s="314"/>
      <c r="C777" s="285"/>
      <c r="D777" s="108"/>
      <c r="E777" s="285"/>
      <c r="F777" s="285"/>
      <c r="G777" s="35"/>
      <c r="H777" s="104"/>
      <c r="I777" s="35"/>
      <c r="J777" s="74"/>
      <c r="K777" s="74"/>
      <c r="L777" s="74"/>
      <c r="M777" s="74"/>
      <c r="N777" s="74"/>
      <c r="O777" s="74"/>
      <c r="P777" s="74"/>
      <c r="Q777" s="74"/>
      <c r="R777" s="74"/>
      <c r="S777" s="74"/>
      <c r="T777" s="74"/>
      <c r="U777" s="74"/>
      <c r="V777" s="74"/>
      <c r="W777" s="74"/>
      <c r="X777" s="74"/>
      <c r="Y777" s="74"/>
      <c r="Z777" s="74"/>
      <c r="AA777" s="74"/>
      <c r="AB777" s="74"/>
    </row>
    <row r="778" spans="1:28" ht="12" customHeight="1">
      <c r="A778" s="330"/>
      <c r="B778" s="314"/>
      <c r="C778" s="285"/>
      <c r="D778" s="108"/>
      <c r="E778" s="285"/>
      <c r="F778" s="285"/>
      <c r="G778" s="35"/>
      <c r="H778" s="104"/>
      <c r="I778" s="35"/>
      <c r="J778" s="74"/>
      <c r="K778" s="74"/>
      <c r="L778" s="74"/>
      <c r="M778" s="74"/>
      <c r="N778" s="74"/>
      <c r="O778" s="74"/>
      <c r="P778" s="74"/>
      <c r="Q778" s="74"/>
      <c r="R778" s="74"/>
      <c r="S778" s="74"/>
      <c r="T778" s="74"/>
      <c r="U778" s="74"/>
      <c r="V778" s="74"/>
      <c r="W778" s="74"/>
      <c r="X778" s="74"/>
      <c r="Y778" s="74"/>
      <c r="Z778" s="74"/>
      <c r="AA778" s="74"/>
      <c r="AB778" s="74"/>
    </row>
    <row r="779" spans="1:28" ht="12" customHeight="1">
      <c r="A779" s="330"/>
      <c r="B779" s="314"/>
      <c r="C779" s="285"/>
      <c r="D779" s="108"/>
      <c r="E779" s="285"/>
      <c r="F779" s="285"/>
      <c r="G779" s="35"/>
      <c r="H779" s="104"/>
      <c r="I779" s="35"/>
      <c r="J779" s="74"/>
      <c r="K779" s="74"/>
      <c r="L779" s="74"/>
      <c r="M779" s="74"/>
      <c r="N779" s="74"/>
      <c r="O779" s="74"/>
      <c r="P779" s="74"/>
      <c r="Q779" s="74"/>
      <c r="R779" s="74"/>
      <c r="S779" s="74"/>
      <c r="T779" s="74"/>
      <c r="U779" s="74"/>
      <c r="V779" s="74"/>
      <c r="W779" s="74"/>
      <c r="X779" s="74"/>
      <c r="Y779" s="74"/>
      <c r="Z779" s="74"/>
      <c r="AA779" s="74"/>
      <c r="AB779" s="74"/>
    </row>
    <row r="780" spans="1:28" ht="12" customHeight="1">
      <c r="A780" s="330"/>
      <c r="B780" s="314"/>
      <c r="C780" s="285"/>
      <c r="D780" s="108"/>
      <c r="E780" s="285"/>
      <c r="F780" s="285"/>
      <c r="G780" s="35"/>
      <c r="H780" s="104"/>
      <c r="I780" s="35"/>
      <c r="J780" s="74"/>
      <c r="K780" s="74"/>
      <c r="L780" s="74"/>
      <c r="M780" s="74"/>
      <c r="N780" s="74"/>
      <c r="O780" s="74"/>
      <c r="P780" s="74"/>
      <c r="Q780" s="74"/>
      <c r="R780" s="74"/>
      <c r="S780" s="74"/>
      <c r="T780" s="74"/>
      <c r="U780" s="74"/>
      <c r="V780" s="74"/>
      <c r="W780" s="74"/>
      <c r="X780" s="74"/>
      <c r="Y780" s="74"/>
      <c r="Z780" s="74"/>
      <c r="AA780" s="74"/>
      <c r="AB780" s="74"/>
    </row>
    <row r="781" spans="1:28" ht="12" customHeight="1">
      <c r="A781" s="330"/>
      <c r="B781" s="314"/>
      <c r="C781" s="285"/>
      <c r="D781" s="108"/>
      <c r="E781" s="285"/>
      <c r="F781" s="285"/>
      <c r="G781" s="35"/>
      <c r="H781" s="104"/>
      <c r="I781" s="35"/>
      <c r="J781" s="74"/>
      <c r="K781" s="74"/>
      <c r="L781" s="74"/>
      <c r="M781" s="74"/>
      <c r="N781" s="74"/>
      <c r="O781" s="74"/>
      <c r="P781" s="74"/>
      <c r="Q781" s="74"/>
      <c r="R781" s="74"/>
      <c r="S781" s="74"/>
      <c r="T781" s="74"/>
      <c r="U781" s="74"/>
      <c r="V781" s="74"/>
      <c r="W781" s="74"/>
      <c r="X781" s="74"/>
      <c r="Y781" s="74"/>
      <c r="Z781" s="74"/>
      <c r="AA781" s="74"/>
      <c r="AB781" s="74"/>
    </row>
    <row r="782" spans="1:28" ht="12" customHeight="1">
      <c r="A782" s="330"/>
      <c r="B782" s="314"/>
      <c r="C782" s="285"/>
      <c r="D782" s="108"/>
      <c r="E782" s="285"/>
      <c r="F782" s="285"/>
      <c r="G782" s="35"/>
      <c r="H782" s="104"/>
      <c r="I782" s="35"/>
      <c r="J782" s="74"/>
      <c r="K782" s="74"/>
      <c r="L782" s="74"/>
      <c r="M782" s="74"/>
      <c r="N782" s="74"/>
      <c r="O782" s="74"/>
      <c r="P782" s="74"/>
      <c r="Q782" s="74"/>
      <c r="R782" s="74"/>
      <c r="S782" s="74"/>
      <c r="T782" s="74"/>
      <c r="U782" s="74"/>
      <c r="V782" s="74"/>
      <c r="W782" s="74"/>
      <c r="X782" s="74"/>
      <c r="Y782" s="74"/>
      <c r="Z782" s="74"/>
      <c r="AA782" s="74"/>
      <c r="AB782" s="74"/>
    </row>
    <row r="783" spans="1:28" ht="12" customHeight="1">
      <c r="A783" s="330"/>
      <c r="B783" s="314"/>
      <c r="C783" s="285"/>
      <c r="D783" s="108"/>
      <c r="E783" s="285"/>
      <c r="F783" s="285"/>
      <c r="G783" s="35"/>
      <c r="H783" s="104"/>
      <c r="I783" s="35"/>
      <c r="J783" s="74"/>
      <c r="K783" s="74"/>
      <c r="L783" s="74"/>
      <c r="M783" s="74"/>
      <c r="N783" s="74"/>
      <c r="O783" s="74"/>
      <c r="P783" s="74"/>
      <c r="Q783" s="74"/>
      <c r="R783" s="74"/>
      <c r="S783" s="74"/>
      <c r="T783" s="74"/>
      <c r="U783" s="74"/>
      <c r="V783" s="74"/>
      <c r="W783" s="74"/>
      <c r="X783" s="74"/>
      <c r="Y783" s="74"/>
      <c r="Z783" s="74"/>
      <c r="AA783" s="74"/>
      <c r="AB783" s="74"/>
    </row>
    <row r="784" spans="1:28" ht="12" customHeight="1">
      <c r="A784" s="330"/>
      <c r="B784" s="314"/>
      <c r="C784" s="285"/>
      <c r="D784" s="108"/>
      <c r="E784" s="285"/>
      <c r="F784" s="285"/>
      <c r="G784" s="35"/>
      <c r="H784" s="104"/>
      <c r="I784" s="35"/>
      <c r="J784" s="74"/>
      <c r="K784" s="74"/>
      <c r="L784" s="74"/>
      <c r="M784" s="74"/>
      <c r="N784" s="74"/>
      <c r="O784" s="74"/>
      <c r="P784" s="74"/>
      <c r="Q784" s="74"/>
      <c r="R784" s="74"/>
      <c r="S784" s="74"/>
      <c r="T784" s="74"/>
      <c r="U784" s="74"/>
      <c r="V784" s="74"/>
      <c r="W784" s="74"/>
      <c r="X784" s="74"/>
      <c r="Y784" s="74"/>
      <c r="Z784" s="74"/>
      <c r="AA784" s="74"/>
      <c r="AB784" s="74"/>
    </row>
    <row r="785" spans="1:28" ht="12" customHeight="1">
      <c r="A785" s="330"/>
      <c r="B785" s="314"/>
      <c r="C785" s="285"/>
      <c r="D785" s="108"/>
      <c r="E785" s="285"/>
      <c r="F785" s="285"/>
      <c r="G785" s="35"/>
      <c r="H785" s="104"/>
      <c r="I785" s="35"/>
      <c r="J785" s="74"/>
      <c r="K785" s="74"/>
      <c r="L785" s="74"/>
      <c r="M785" s="74"/>
      <c r="N785" s="74"/>
      <c r="O785" s="74"/>
      <c r="P785" s="74"/>
      <c r="Q785" s="74"/>
      <c r="R785" s="74"/>
      <c r="S785" s="74"/>
      <c r="T785" s="74"/>
      <c r="U785" s="74"/>
      <c r="V785" s="74"/>
      <c r="W785" s="74"/>
      <c r="X785" s="74"/>
      <c r="Y785" s="74"/>
      <c r="Z785" s="74"/>
      <c r="AA785" s="74"/>
      <c r="AB785" s="74"/>
    </row>
    <row r="786" spans="1:28" ht="12" customHeight="1">
      <c r="A786" s="330"/>
      <c r="B786" s="314"/>
      <c r="C786" s="285"/>
      <c r="D786" s="108"/>
      <c r="E786" s="285"/>
      <c r="F786" s="285"/>
      <c r="G786" s="35"/>
      <c r="H786" s="104"/>
      <c r="I786" s="35"/>
      <c r="J786" s="74"/>
      <c r="K786" s="74"/>
      <c r="L786" s="74"/>
      <c r="M786" s="74"/>
      <c r="N786" s="74"/>
      <c r="O786" s="74"/>
      <c r="P786" s="74"/>
      <c r="Q786" s="74"/>
      <c r="R786" s="74"/>
      <c r="S786" s="74"/>
      <c r="T786" s="74"/>
      <c r="U786" s="74"/>
      <c r="V786" s="74"/>
      <c r="W786" s="74"/>
      <c r="X786" s="74"/>
      <c r="Y786" s="74"/>
      <c r="Z786" s="74"/>
      <c r="AA786" s="74"/>
      <c r="AB786" s="74"/>
    </row>
    <row r="787" spans="1:28" ht="12" customHeight="1">
      <c r="A787" s="330"/>
      <c r="B787" s="314"/>
      <c r="C787" s="285"/>
      <c r="D787" s="108"/>
      <c r="E787" s="285"/>
      <c r="F787" s="285"/>
      <c r="G787" s="35"/>
      <c r="H787" s="104"/>
      <c r="I787" s="35"/>
      <c r="J787" s="74"/>
      <c r="K787" s="74"/>
      <c r="L787" s="74"/>
      <c r="M787" s="74"/>
      <c r="N787" s="74"/>
      <c r="O787" s="74"/>
      <c r="P787" s="74"/>
      <c r="Q787" s="74"/>
      <c r="R787" s="74"/>
      <c r="S787" s="74"/>
      <c r="T787" s="74"/>
      <c r="U787" s="74"/>
      <c r="V787" s="74"/>
      <c r="W787" s="74"/>
      <c r="X787" s="74"/>
      <c r="Y787" s="74"/>
      <c r="Z787" s="74"/>
      <c r="AA787" s="74"/>
      <c r="AB787" s="74"/>
    </row>
    <row r="788" spans="1:28" ht="12" customHeight="1">
      <c r="A788" s="330"/>
      <c r="B788" s="314"/>
      <c r="C788" s="285"/>
      <c r="D788" s="108"/>
      <c r="E788" s="285"/>
      <c r="F788" s="285"/>
      <c r="G788" s="35"/>
      <c r="H788" s="104"/>
      <c r="I788" s="35"/>
      <c r="J788" s="74"/>
      <c r="K788" s="74"/>
      <c r="L788" s="74"/>
      <c r="M788" s="74"/>
      <c r="N788" s="74"/>
      <c r="O788" s="74"/>
      <c r="P788" s="74"/>
      <c r="Q788" s="74"/>
      <c r="R788" s="74"/>
      <c r="S788" s="74"/>
      <c r="T788" s="74"/>
      <c r="U788" s="74"/>
      <c r="V788" s="74"/>
      <c r="W788" s="74"/>
      <c r="X788" s="74"/>
      <c r="Y788" s="74"/>
      <c r="Z788" s="74"/>
      <c r="AA788" s="74"/>
      <c r="AB788" s="74"/>
    </row>
    <row r="789" spans="1:28" ht="12" customHeight="1">
      <c r="A789" s="330"/>
      <c r="B789" s="314"/>
      <c r="C789" s="285"/>
      <c r="D789" s="108"/>
      <c r="E789" s="285"/>
      <c r="F789" s="285"/>
      <c r="G789" s="35"/>
      <c r="H789" s="104"/>
      <c r="I789" s="35"/>
      <c r="J789" s="74"/>
      <c r="K789" s="74"/>
      <c r="L789" s="74"/>
      <c r="M789" s="74"/>
      <c r="N789" s="74"/>
      <c r="O789" s="74"/>
      <c r="P789" s="74"/>
      <c r="Q789" s="74"/>
      <c r="R789" s="74"/>
      <c r="S789" s="74"/>
      <c r="T789" s="74"/>
      <c r="U789" s="74"/>
      <c r="V789" s="74"/>
      <c r="W789" s="74"/>
      <c r="X789" s="74"/>
      <c r="Y789" s="74"/>
      <c r="Z789" s="74"/>
      <c r="AA789" s="74"/>
      <c r="AB789" s="74"/>
    </row>
    <row r="790" spans="1:28" ht="12" customHeight="1">
      <c r="A790" s="330"/>
      <c r="B790" s="314"/>
      <c r="C790" s="285"/>
      <c r="D790" s="108"/>
      <c r="E790" s="285"/>
      <c r="F790" s="285"/>
      <c r="G790" s="35"/>
      <c r="H790" s="104"/>
      <c r="I790" s="35"/>
      <c r="J790" s="74"/>
      <c r="K790" s="74"/>
      <c r="L790" s="74"/>
      <c r="M790" s="74"/>
      <c r="N790" s="74"/>
      <c r="O790" s="74"/>
      <c r="P790" s="74"/>
      <c r="Q790" s="74"/>
      <c r="R790" s="74"/>
      <c r="S790" s="74"/>
      <c r="T790" s="74"/>
      <c r="U790" s="74"/>
      <c r="V790" s="74"/>
      <c r="W790" s="74"/>
      <c r="X790" s="74"/>
      <c r="Y790" s="74"/>
      <c r="Z790" s="74"/>
      <c r="AA790" s="74"/>
      <c r="AB790" s="74"/>
    </row>
    <row r="791" spans="1:28" ht="12" customHeight="1">
      <c r="A791" s="330"/>
      <c r="B791" s="314"/>
      <c r="C791" s="285"/>
      <c r="D791" s="108"/>
      <c r="E791" s="285"/>
      <c r="F791" s="285"/>
      <c r="G791" s="35"/>
      <c r="H791" s="104"/>
      <c r="I791" s="35"/>
      <c r="J791" s="74"/>
      <c r="K791" s="74"/>
      <c r="L791" s="74"/>
      <c r="M791" s="74"/>
      <c r="N791" s="74"/>
      <c r="O791" s="74"/>
      <c r="P791" s="74"/>
      <c r="Q791" s="74"/>
      <c r="R791" s="74"/>
      <c r="S791" s="74"/>
      <c r="T791" s="74"/>
      <c r="U791" s="74"/>
      <c r="V791" s="74"/>
      <c r="W791" s="74"/>
      <c r="X791" s="74"/>
      <c r="Y791" s="74"/>
      <c r="Z791" s="74"/>
      <c r="AA791" s="74"/>
      <c r="AB791" s="74"/>
    </row>
    <row r="792" spans="1:28" ht="12" customHeight="1">
      <c r="A792" s="330"/>
      <c r="B792" s="314"/>
      <c r="C792" s="285"/>
      <c r="D792" s="108"/>
      <c r="E792" s="285"/>
      <c r="F792" s="285"/>
      <c r="G792" s="35"/>
      <c r="H792" s="104"/>
      <c r="I792" s="35"/>
      <c r="J792" s="74"/>
      <c r="K792" s="74"/>
      <c r="L792" s="74"/>
      <c r="M792" s="74"/>
      <c r="N792" s="74"/>
      <c r="O792" s="74"/>
      <c r="P792" s="74"/>
      <c r="Q792" s="74"/>
      <c r="R792" s="74"/>
      <c r="S792" s="74"/>
      <c r="T792" s="74"/>
      <c r="U792" s="74"/>
      <c r="V792" s="74"/>
      <c r="W792" s="74"/>
      <c r="X792" s="74"/>
      <c r="Y792" s="74"/>
      <c r="Z792" s="74"/>
      <c r="AA792" s="74"/>
      <c r="AB792" s="74"/>
    </row>
    <row r="793" spans="1:28" ht="12" customHeight="1">
      <c r="A793" s="330"/>
      <c r="B793" s="314"/>
      <c r="C793" s="285"/>
      <c r="D793" s="108"/>
      <c r="E793" s="285"/>
      <c r="F793" s="285"/>
      <c r="G793" s="35"/>
      <c r="H793" s="104"/>
      <c r="I793" s="35"/>
      <c r="J793" s="74"/>
      <c r="K793" s="74"/>
      <c r="L793" s="74"/>
      <c r="M793" s="74"/>
      <c r="N793" s="74"/>
      <c r="O793" s="74"/>
      <c r="P793" s="74"/>
      <c r="Q793" s="74"/>
      <c r="R793" s="74"/>
      <c r="S793" s="74"/>
      <c r="T793" s="74"/>
      <c r="U793" s="74"/>
      <c r="V793" s="74"/>
      <c r="W793" s="74"/>
      <c r="X793" s="74"/>
      <c r="Y793" s="74"/>
      <c r="Z793" s="74"/>
      <c r="AA793" s="74"/>
      <c r="AB793" s="74"/>
    </row>
    <row r="794" spans="1:28" ht="12" customHeight="1">
      <c r="A794" s="330"/>
      <c r="B794" s="314"/>
      <c r="C794" s="285"/>
      <c r="D794" s="108"/>
      <c r="E794" s="285"/>
      <c r="F794" s="285"/>
      <c r="G794" s="35"/>
      <c r="H794" s="104"/>
      <c r="I794" s="35"/>
      <c r="J794" s="74"/>
      <c r="K794" s="74"/>
      <c r="L794" s="74"/>
      <c r="M794" s="74"/>
      <c r="N794" s="74"/>
      <c r="O794" s="74"/>
      <c r="P794" s="74"/>
      <c r="Q794" s="74"/>
      <c r="R794" s="74"/>
      <c r="S794" s="74"/>
      <c r="T794" s="74"/>
      <c r="U794" s="74"/>
      <c r="V794" s="74"/>
      <c r="W794" s="74"/>
      <c r="X794" s="74"/>
      <c r="Y794" s="74"/>
      <c r="Z794" s="74"/>
      <c r="AA794" s="74"/>
      <c r="AB794" s="74"/>
    </row>
    <row r="795" spans="1:28" ht="12" customHeight="1">
      <c r="A795" s="330"/>
      <c r="B795" s="314"/>
      <c r="C795" s="285"/>
      <c r="D795" s="108"/>
      <c r="E795" s="285"/>
      <c r="F795" s="285"/>
      <c r="G795" s="35"/>
      <c r="H795" s="104"/>
      <c r="I795" s="35"/>
      <c r="J795" s="74"/>
      <c r="K795" s="74"/>
      <c r="L795" s="74"/>
      <c r="M795" s="74"/>
      <c r="N795" s="74"/>
      <c r="O795" s="74"/>
      <c r="P795" s="74"/>
      <c r="Q795" s="74"/>
      <c r="R795" s="74"/>
      <c r="S795" s="74"/>
      <c r="T795" s="74"/>
      <c r="U795" s="74"/>
      <c r="V795" s="74"/>
      <c r="W795" s="74"/>
      <c r="X795" s="74"/>
      <c r="Y795" s="74"/>
      <c r="Z795" s="74"/>
      <c r="AA795" s="74"/>
      <c r="AB795" s="74"/>
    </row>
    <row r="796" spans="1:28" ht="12" customHeight="1">
      <c r="A796" s="330"/>
      <c r="B796" s="314"/>
      <c r="C796" s="285"/>
      <c r="D796" s="108"/>
      <c r="E796" s="285"/>
      <c r="F796" s="285"/>
      <c r="G796" s="35"/>
      <c r="H796" s="104"/>
      <c r="I796" s="35"/>
      <c r="J796" s="74"/>
      <c r="K796" s="74"/>
      <c r="L796" s="74"/>
      <c r="M796" s="74"/>
      <c r="N796" s="74"/>
      <c r="O796" s="74"/>
      <c r="P796" s="74"/>
      <c r="Q796" s="74"/>
      <c r="R796" s="74"/>
      <c r="S796" s="74"/>
      <c r="T796" s="74"/>
      <c r="U796" s="74"/>
      <c r="V796" s="74"/>
      <c r="W796" s="74"/>
      <c r="X796" s="74"/>
      <c r="Y796" s="74"/>
      <c r="Z796" s="74"/>
      <c r="AA796" s="74"/>
      <c r="AB796" s="74"/>
    </row>
    <row r="797" spans="1:28" ht="12" customHeight="1">
      <c r="A797" s="330"/>
      <c r="B797" s="314"/>
      <c r="C797" s="285"/>
      <c r="D797" s="108"/>
      <c r="E797" s="285"/>
      <c r="F797" s="285"/>
      <c r="G797" s="35"/>
      <c r="H797" s="104"/>
      <c r="I797" s="35"/>
      <c r="J797" s="74"/>
      <c r="K797" s="74"/>
      <c r="L797" s="74"/>
      <c r="M797" s="74"/>
      <c r="N797" s="74"/>
      <c r="O797" s="74"/>
      <c r="P797" s="74"/>
      <c r="Q797" s="74"/>
      <c r="R797" s="74"/>
      <c r="S797" s="74"/>
      <c r="T797" s="74"/>
      <c r="U797" s="74"/>
      <c r="V797" s="74"/>
      <c r="W797" s="74"/>
      <c r="X797" s="74"/>
      <c r="Y797" s="74"/>
      <c r="Z797" s="74"/>
      <c r="AA797" s="74"/>
      <c r="AB797" s="74"/>
    </row>
    <row r="798" spans="1:28" ht="12" customHeight="1">
      <c r="A798" s="330"/>
      <c r="B798" s="314"/>
      <c r="C798" s="285"/>
      <c r="D798" s="108"/>
      <c r="E798" s="285"/>
      <c r="F798" s="285"/>
      <c r="G798" s="35"/>
      <c r="H798" s="104"/>
      <c r="I798" s="35"/>
      <c r="J798" s="74"/>
      <c r="K798" s="74"/>
      <c r="L798" s="74"/>
      <c r="M798" s="74"/>
      <c r="N798" s="74"/>
      <c r="O798" s="74"/>
      <c r="P798" s="74"/>
      <c r="Q798" s="74"/>
      <c r="R798" s="74"/>
      <c r="S798" s="74"/>
      <c r="T798" s="74"/>
      <c r="U798" s="74"/>
      <c r="V798" s="74"/>
      <c r="W798" s="74"/>
      <c r="X798" s="74"/>
      <c r="Y798" s="74"/>
      <c r="Z798" s="74"/>
      <c r="AA798" s="74"/>
      <c r="AB798" s="74"/>
    </row>
    <row r="799" spans="1:28" ht="12" customHeight="1">
      <c r="A799" s="330"/>
      <c r="B799" s="314"/>
      <c r="C799" s="285"/>
      <c r="D799" s="108"/>
      <c r="E799" s="285"/>
      <c r="F799" s="285"/>
      <c r="G799" s="35"/>
      <c r="H799" s="104"/>
      <c r="I799" s="35"/>
      <c r="J799" s="74"/>
      <c r="K799" s="74"/>
      <c r="L799" s="74"/>
      <c r="M799" s="74"/>
      <c r="N799" s="74"/>
      <c r="O799" s="74"/>
      <c r="P799" s="74"/>
      <c r="Q799" s="74"/>
      <c r="R799" s="74"/>
      <c r="S799" s="74"/>
      <c r="T799" s="74"/>
      <c r="U799" s="74"/>
      <c r="V799" s="74"/>
      <c r="W799" s="74"/>
      <c r="X799" s="74"/>
      <c r="Y799" s="74"/>
      <c r="Z799" s="74"/>
      <c r="AA799" s="74"/>
      <c r="AB799" s="74"/>
    </row>
    <row r="800" spans="1:28" ht="12" customHeight="1">
      <c r="A800" s="330"/>
      <c r="B800" s="314"/>
      <c r="C800" s="285"/>
      <c r="D800" s="108"/>
      <c r="E800" s="285"/>
      <c r="F800" s="285"/>
      <c r="G800" s="35"/>
      <c r="H800" s="104"/>
      <c r="I800" s="35"/>
      <c r="J800" s="74"/>
      <c r="K800" s="74"/>
      <c r="L800" s="74"/>
      <c r="M800" s="74"/>
      <c r="N800" s="74"/>
      <c r="O800" s="74"/>
      <c r="P800" s="74"/>
      <c r="Q800" s="74"/>
      <c r="R800" s="74"/>
      <c r="S800" s="74"/>
      <c r="T800" s="74"/>
      <c r="U800" s="74"/>
      <c r="V800" s="74"/>
      <c r="W800" s="74"/>
      <c r="X800" s="74"/>
      <c r="Y800" s="74"/>
      <c r="Z800" s="74"/>
      <c r="AA800" s="74"/>
      <c r="AB800" s="74"/>
    </row>
    <row r="801" spans="1:28" ht="12" customHeight="1">
      <c r="A801" s="330"/>
      <c r="B801" s="314"/>
      <c r="C801" s="285"/>
      <c r="D801" s="108"/>
      <c r="E801" s="285"/>
      <c r="F801" s="285"/>
      <c r="G801" s="35"/>
      <c r="H801" s="104"/>
      <c r="I801" s="35"/>
      <c r="J801" s="74"/>
      <c r="K801" s="74"/>
      <c r="L801" s="74"/>
      <c r="M801" s="74"/>
      <c r="N801" s="74"/>
      <c r="O801" s="74"/>
      <c r="P801" s="74"/>
      <c r="Q801" s="74"/>
      <c r="R801" s="74"/>
      <c r="S801" s="74"/>
      <c r="T801" s="74"/>
      <c r="U801" s="74"/>
      <c r="V801" s="74"/>
      <c r="W801" s="74"/>
      <c r="X801" s="74"/>
      <c r="Y801" s="74"/>
      <c r="Z801" s="74"/>
      <c r="AA801" s="74"/>
      <c r="AB801" s="74"/>
    </row>
    <row r="802" spans="1:28" ht="12" customHeight="1">
      <c r="A802" s="330"/>
      <c r="B802" s="314"/>
      <c r="C802" s="285"/>
      <c r="D802" s="108"/>
      <c r="E802" s="285"/>
      <c r="F802" s="285"/>
      <c r="G802" s="35"/>
      <c r="H802" s="104"/>
      <c r="I802" s="35"/>
      <c r="J802" s="74"/>
      <c r="K802" s="74"/>
      <c r="L802" s="74"/>
      <c r="M802" s="74"/>
      <c r="N802" s="74"/>
      <c r="O802" s="74"/>
      <c r="P802" s="74"/>
      <c r="Q802" s="74"/>
      <c r="R802" s="74"/>
      <c r="S802" s="74"/>
      <c r="T802" s="74"/>
      <c r="U802" s="74"/>
      <c r="V802" s="74"/>
      <c r="W802" s="74"/>
      <c r="X802" s="74"/>
      <c r="Y802" s="74"/>
      <c r="Z802" s="74"/>
      <c r="AA802" s="74"/>
      <c r="AB802" s="74"/>
    </row>
    <row r="803" spans="1:28" ht="12" customHeight="1">
      <c r="A803" s="330"/>
      <c r="B803" s="314"/>
      <c r="C803" s="285"/>
      <c r="D803" s="108"/>
      <c r="E803" s="285"/>
      <c r="F803" s="285"/>
      <c r="G803" s="35"/>
      <c r="H803" s="104"/>
      <c r="I803" s="35"/>
      <c r="J803" s="74"/>
      <c r="K803" s="74"/>
      <c r="L803" s="74"/>
      <c r="M803" s="74"/>
      <c r="N803" s="74"/>
      <c r="O803" s="74"/>
      <c r="P803" s="74"/>
      <c r="Q803" s="74"/>
      <c r="R803" s="74"/>
      <c r="S803" s="74"/>
      <c r="T803" s="74"/>
      <c r="U803" s="74"/>
      <c r="V803" s="74"/>
      <c r="W803" s="74"/>
      <c r="X803" s="74"/>
      <c r="Y803" s="74"/>
      <c r="Z803" s="74"/>
      <c r="AA803" s="74"/>
      <c r="AB803" s="74"/>
    </row>
    <row r="804" spans="1:28" ht="12" customHeight="1">
      <c r="A804" s="330"/>
      <c r="B804" s="314"/>
      <c r="C804" s="285"/>
      <c r="D804" s="108"/>
      <c r="E804" s="285"/>
      <c r="F804" s="285"/>
      <c r="G804" s="35"/>
      <c r="H804" s="104"/>
      <c r="I804" s="35"/>
      <c r="J804" s="74"/>
      <c r="K804" s="74"/>
      <c r="L804" s="74"/>
      <c r="M804" s="74"/>
      <c r="N804" s="74"/>
      <c r="O804" s="74"/>
      <c r="P804" s="74"/>
      <c r="Q804" s="74"/>
      <c r="R804" s="74"/>
      <c r="S804" s="74"/>
      <c r="T804" s="74"/>
      <c r="U804" s="74"/>
      <c r="V804" s="74"/>
      <c r="W804" s="74"/>
      <c r="X804" s="74"/>
      <c r="Y804" s="74"/>
      <c r="Z804" s="74"/>
      <c r="AA804" s="74"/>
      <c r="AB804" s="74"/>
    </row>
    <row r="805" spans="1:28" ht="12" customHeight="1">
      <c r="A805" s="330"/>
      <c r="B805" s="314"/>
      <c r="C805" s="285"/>
      <c r="D805" s="108"/>
      <c r="E805" s="285"/>
      <c r="F805" s="285"/>
      <c r="G805" s="35"/>
      <c r="H805" s="104"/>
      <c r="I805" s="35"/>
      <c r="J805" s="74"/>
      <c r="K805" s="74"/>
      <c r="L805" s="74"/>
      <c r="M805" s="74"/>
      <c r="N805" s="74"/>
      <c r="O805" s="74"/>
      <c r="P805" s="74"/>
      <c r="Q805" s="74"/>
      <c r="R805" s="74"/>
      <c r="S805" s="74"/>
      <c r="T805" s="74"/>
      <c r="U805" s="74"/>
      <c r="V805" s="74"/>
      <c r="W805" s="74"/>
      <c r="X805" s="74"/>
      <c r="Y805" s="74"/>
      <c r="Z805" s="74"/>
      <c r="AA805" s="74"/>
      <c r="AB805" s="74"/>
    </row>
    <row r="806" spans="1:28" ht="12" customHeight="1">
      <c r="A806" s="330"/>
      <c r="B806" s="314"/>
      <c r="C806" s="285"/>
      <c r="D806" s="108"/>
      <c r="E806" s="285"/>
      <c r="F806" s="285"/>
      <c r="G806" s="35"/>
      <c r="H806" s="104"/>
      <c r="I806" s="35"/>
      <c r="J806" s="74"/>
      <c r="K806" s="74"/>
      <c r="L806" s="74"/>
      <c r="M806" s="74"/>
      <c r="N806" s="74"/>
      <c r="O806" s="74"/>
      <c r="P806" s="74"/>
      <c r="Q806" s="74"/>
      <c r="R806" s="74"/>
      <c r="S806" s="74"/>
      <c r="T806" s="74"/>
      <c r="U806" s="74"/>
      <c r="V806" s="74"/>
      <c r="W806" s="74"/>
      <c r="X806" s="74"/>
      <c r="Y806" s="74"/>
      <c r="Z806" s="74"/>
      <c r="AA806" s="74"/>
      <c r="AB806" s="74"/>
    </row>
    <row r="807" spans="1:28" ht="12" customHeight="1">
      <c r="A807" s="330"/>
      <c r="B807" s="314"/>
      <c r="C807" s="285"/>
      <c r="D807" s="108"/>
      <c r="E807" s="285"/>
      <c r="F807" s="285"/>
      <c r="G807" s="35"/>
      <c r="H807" s="104"/>
      <c r="I807" s="35"/>
      <c r="J807" s="74"/>
      <c r="K807" s="74"/>
      <c r="L807" s="74"/>
      <c r="M807" s="74"/>
      <c r="N807" s="74"/>
      <c r="O807" s="74"/>
      <c r="P807" s="74"/>
      <c r="Q807" s="74"/>
      <c r="R807" s="74"/>
      <c r="S807" s="74"/>
      <c r="T807" s="74"/>
      <c r="U807" s="74"/>
      <c r="V807" s="74"/>
      <c r="W807" s="74"/>
      <c r="X807" s="74"/>
      <c r="Y807" s="74"/>
      <c r="Z807" s="74"/>
      <c r="AA807" s="74"/>
      <c r="AB807" s="74"/>
    </row>
    <row r="808" spans="1:28" ht="12" customHeight="1">
      <c r="A808" s="330"/>
      <c r="B808" s="314"/>
      <c r="C808" s="285"/>
      <c r="D808" s="108"/>
      <c r="E808" s="285"/>
      <c r="F808" s="285"/>
      <c r="G808" s="35"/>
      <c r="H808" s="104"/>
      <c r="I808" s="35"/>
      <c r="J808" s="74"/>
      <c r="K808" s="74"/>
      <c r="L808" s="74"/>
      <c r="M808" s="74"/>
      <c r="N808" s="74"/>
      <c r="O808" s="74"/>
      <c r="P808" s="74"/>
      <c r="Q808" s="74"/>
      <c r="R808" s="74"/>
      <c r="S808" s="74"/>
      <c r="T808" s="74"/>
      <c r="U808" s="74"/>
      <c r="V808" s="74"/>
      <c r="W808" s="74"/>
      <c r="X808" s="74"/>
      <c r="Y808" s="74"/>
      <c r="Z808" s="74"/>
      <c r="AA808" s="74"/>
      <c r="AB808" s="74"/>
    </row>
    <row r="809" spans="1:28" ht="12" customHeight="1">
      <c r="A809" s="330"/>
      <c r="B809" s="314"/>
      <c r="C809" s="285"/>
      <c r="D809" s="108"/>
      <c r="E809" s="285"/>
      <c r="F809" s="285"/>
      <c r="G809" s="35"/>
      <c r="H809" s="104"/>
      <c r="I809" s="35"/>
      <c r="J809" s="74"/>
      <c r="K809" s="74"/>
      <c r="L809" s="74"/>
      <c r="M809" s="74"/>
      <c r="N809" s="74"/>
      <c r="O809" s="74"/>
      <c r="P809" s="74"/>
      <c r="Q809" s="74"/>
      <c r="R809" s="74"/>
      <c r="S809" s="74"/>
      <c r="T809" s="74"/>
      <c r="U809" s="74"/>
      <c r="V809" s="74"/>
      <c r="W809" s="74"/>
      <c r="X809" s="74"/>
      <c r="Y809" s="74"/>
      <c r="Z809" s="74"/>
      <c r="AA809" s="74"/>
      <c r="AB809" s="74"/>
    </row>
    <row r="810" spans="1:28" ht="12" customHeight="1">
      <c r="A810" s="330"/>
      <c r="B810" s="314"/>
      <c r="C810" s="285"/>
      <c r="D810" s="108"/>
      <c r="E810" s="285"/>
      <c r="F810" s="285"/>
      <c r="G810" s="35"/>
      <c r="H810" s="104"/>
      <c r="I810" s="35"/>
      <c r="J810" s="74"/>
      <c r="K810" s="74"/>
      <c r="L810" s="74"/>
      <c r="M810" s="74"/>
      <c r="N810" s="74"/>
      <c r="O810" s="74"/>
      <c r="P810" s="74"/>
      <c r="Q810" s="74"/>
      <c r="R810" s="74"/>
      <c r="S810" s="74"/>
      <c r="T810" s="74"/>
      <c r="U810" s="74"/>
      <c r="V810" s="74"/>
      <c r="W810" s="74"/>
      <c r="X810" s="74"/>
      <c r="Y810" s="74"/>
      <c r="Z810" s="74"/>
      <c r="AA810" s="74"/>
      <c r="AB810" s="74"/>
    </row>
    <row r="811" spans="1:28" ht="12" customHeight="1">
      <c r="A811" s="330"/>
      <c r="B811" s="314"/>
      <c r="C811" s="285"/>
      <c r="D811" s="108"/>
      <c r="E811" s="285"/>
      <c r="F811" s="285"/>
      <c r="G811" s="35"/>
      <c r="H811" s="104"/>
      <c r="I811" s="35"/>
      <c r="J811" s="74"/>
      <c r="K811" s="74"/>
      <c r="L811" s="74"/>
      <c r="M811" s="74"/>
      <c r="N811" s="74"/>
      <c r="O811" s="74"/>
      <c r="P811" s="74"/>
      <c r="Q811" s="74"/>
      <c r="R811" s="74"/>
      <c r="S811" s="74"/>
      <c r="T811" s="74"/>
      <c r="U811" s="74"/>
      <c r="V811" s="74"/>
      <c r="W811" s="74"/>
      <c r="X811" s="74"/>
      <c r="Y811" s="74"/>
      <c r="Z811" s="74"/>
      <c r="AA811" s="74"/>
      <c r="AB811" s="74"/>
    </row>
    <row r="812" spans="1:28" ht="12" customHeight="1">
      <c r="A812" s="330"/>
      <c r="B812" s="314"/>
      <c r="C812" s="285"/>
      <c r="D812" s="108"/>
      <c r="E812" s="285"/>
      <c r="F812" s="285"/>
      <c r="G812" s="35"/>
      <c r="H812" s="104"/>
      <c r="I812" s="35"/>
      <c r="J812" s="74"/>
      <c r="K812" s="74"/>
      <c r="L812" s="74"/>
      <c r="M812" s="74"/>
      <c r="N812" s="74"/>
      <c r="O812" s="74"/>
      <c r="P812" s="74"/>
      <c r="Q812" s="74"/>
      <c r="R812" s="74"/>
      <c r="S812" s="74"/>
      <c r="T812" s="74"/>
      <c r="U812" s="74"/>
      <c r="V812" s="74"/>
      <c r="W812" s="74"/>
      <c r="X812" s="74"/>
      <c r="Y812" s="74"/>
      <c r="Z812" s="74"/>
      <c r="AA812" s="74"/>
      <c r="AB812" s="74"/>
    </row>
    <row r="813" spans="1:28" ht="12" customHeight="1">
      <c r="A813" s="330"/>
      <c r="B813" s="314"/>
      <c r="C813" s="285"/>
      <c r="D813" s="108"/>
      <c r="E813" s="285"/>
      <c r="F813" s="285"/>
      <c r="G813" s="35"/>
      <c r="H813" s="104"/>
      <c r="I813" s="35"/>
      <c r="J813" s="74"/>
      <c r="K813" s="74"/>
      <c r="L813" s="74"/>
      <c r="M813" s="74"/>
      <c r="N813" s="74"/>
      <c r="O813" s="74"/>
      <c r="P813" s="74"/>
      <c r="Q813" s="74"/>
      <c r="R813" s="74"/>
      <c r="S813" s="74"/>
      <c r="T813" s="74"/>
      <c r="U813" s="74"/>
      <c r="V813" s="74"/>
      <c r="W813" s="74"/>
      <c r="X813" s="74"/>
      <c r="Y813" s="74"/>
      <c r="Z813" s="74"/>
      <c r="AA813" s="74"/>
      <c r="AB813" s="74"/>
    </row>
    <row r="814" spans="1:28" ht="12" customHeight="1">
      <c r="A814" s="330"/>
      <c r="B814" s="314"/>
      <c r="C814" s="285"/>
      <c r="D814" s="108"/>
      <c r="E814" s="285"/>
      <c r="F814" s="285"/>
      <c r="G814" s="35"/>
      <c r="H814" s="104"/>
      <c r="I814" s="35"/>
      <c r="J814" s="74"/>
      <c r="K814" s="74"/>
      <c r="L814" s="74"/>
      <c r="M814" s="74"/>
      <c r="N814" s="74"/>
      <c r="O814" s="74"/>
      <c r="P814" s="74"/>
      <c r="Q814" s="74"/>
      <c r="R814" s="74"/>
      <c r="S814" s="74"/>
      <c r="T814" s="74"/>
      <c r="U814" s="74"/>
      <c r="V814" s="74"/>
      <c r="W814" s="74"/>
      <c r="X814" s="74"/>
      <c r="Y814" s="74"/>
      <c r="Z814" s="74"/>
      <c r="AA814" s="74"/>
      <c r="AB814" s="74"/>
    </row>
    <row r="815" spans="1:28" ht="12" customHeight="1">
      <c r="A815" s="330"/>
      <c r="B815" s="314"/>
      <c r="C815" s="285"/>
      <c r="D815" s="108"/>
      <c r="E815" s="285"/>
      <c r="F815" s="285"/>
      <c r="G815" s="35"/>
      <c r="H815" s="104"/>
      <c r="I815" s="35"/>
      <c r="J815" s="74"/>
      <c r="K815" s="74"/>
      <c r="L815" s="74"/>
      <c r="M815" s="74"/>
      <c r="N815" s="74"/>
      <c r="O815" s="74"/>
      <c r="P815" s="74"/>
      <c r="Q815" s="74"/>
      <c r="R815" s="74"/>
      <c r="S815" s="74"/>
      <c r="T815" s="74"/>
      <c r="U815" s="74"/>
      <c r="V815" s="74"/>
      <c r="W815" s="74"/>
      <c r="X815" s="74"/>
      <c r="Y815" s="74"/>
      <c r="Z815" s="74"/>
      <c r="AA815" s="74"/>
      <c r="AB815" s="74"/>
    </row>
    <row r="816" spans="1:28" ht="12" customHeight="1">
      <c r="A816" s="330"/>
      <c r="B816" s="314"/>
      <c r="C816" s="285"/>
      <c r="D816" s="108"/>
      <c r="E816" s="285"/>
      <c r="F816" s="285"/>
      <c r="G816" s="35"/>
      <c r="H816" s="104"/>
      <c r="I816" s="35"/>
      <c r="J816" s="74"/>
      <c r="K816" s="74"/>
      <c r="L816" s="74"/>
      <c r="M816" s="74"/>
      <c r="N816" s="74"/>
      <c r="O816" s="74"/>
      <c r="P816" s="74"/>
      <c r="Q816" s="74"/>
      <c r="R816" s="74"/>
      <c r="S816" s="74"/>
      <c r="T816" s="74"/>
      <c r="U816" s="74"/>
      <c r="V816" s="74"/>
      <c r="W816" s="74"/>
      <c r="X816" s="74"/>
      <c r="Y816" s="74"/>
      <c r="Z816" s="74"/>
      <c r="AA816" s="74"/>
      <c r="AB816" s="74"/>
    </row>
    <row r="817" spans="1:28" ht="12" customHeight="1">
      <c r="A817" s="330"/>
      <c r="B817" s="314"/>
      <c r="C817" s="285"/>
      <c r="D817" s="108"/>
      <c r="E817" s="285"/>
      <c r="F817" s="285"/>
      <c r="G817" s="35"/>
      <c r="H817" s="104"/>
      <c r="I817" s="35"/>
      <c r="J817" s="74"/>
      <c r="K817" s="74"/>
      <c r="L817" s="74"/>
      <c r="M817" s="74"/>
      <c r="N817" s="74"/>
      <c r="O817" s="74"/>
      <c r="P817" s="74"/>
      <c r="Q817" s="74"/>
      <c r="R817" s="74"/>
      <c r="S817" s="74"/>
      <c r="T817" s="74"/>
      <c r="U817" s="74"/>
      <c r="V817" s="74"/>
      <c r="W817" s="74"/>
      <c r="X817" s="74"/>
      <c r="Y817" s="74"/>
      <c r="Z817" s="74"/>
      <c r="AA817" s="74"/>
      <c r="AB817" s="74"/>
    </row>
    <row r="818" spans="1:28" ht="12" customHeight="1">
      <c r="A818" s="330"/>
      <c r="B818" s="314"/>
      <c r="C818" s="285"/>
      <c r="D818" s="108"/>
      <c r="E818" s="285"/>
      <c r="F818" s="285"/>
      <c r="G818" s="35"/>
      <c r="H818" s="104"/>
      <c r="I818" s="35"/>
      <c r="J818" s="74"/>
      <c r="K818" s="74"/>
      <c r="L818" s="74"/>
      <c r="M818" s="74"/>
      <c r="N818" s="74"/>
      <c r="O818" s="74"/>
      <c r="P818" s="74"/>
      <c r="Q818" s="74"/>
      <c r="R818" s="74"/>
      <c r="S818" s="74"/>
      <c r="T818" s="74"/>
      <c r="U818" s="74"/>
      <c r="V818" s="74"/>
      <c r="W818" s="74"/>
      <c r="X818" s="74"/>
      <c r="Y818" s="74"/>
      <c r="Z818" s="74"/>
      <c r="AA818" s="74"/>
      <c r="AB818" s="74"/>
    </row>
    <row r="819" spans="1:28" ht="12" customHeight="1">
      <c r="A819" s="330"/>
      <c r="B819" s="314"/>
      <c r="C819" s="285"/>
      <c r="D819" s="108"/>
      <c r="E819" s="285"/>
      <c r="F819" s="285"/>
      <c r="G819" s="35"/>
      <c r="H819" s="104"/>
      <c r="I819" s="35"/>
      <c r="J819" s="74"/>
      <c r="K819" s="74"/>
      <c r="L819" s="74"/>
      <c r="M819" s="74"/>
      <c r="N819" s="74"/>
      <c r="O819" s="74"/>
      <c r="P819" s="74"/>
      <c r="Q819" s="74"/>
      <c r="R819" s="74"/>
      <c r="S819" s="74"/>
      <c r="T819" s="74"/>
      <c r="U819" s="74"/>
      <c r="V819" s="74"/>
      <c r="W819" s="74"/>
      <c r="X819" s="74"/>
      <c r="Y819" s="74"/>
      <c r="Z819" s="74"/>
      <c r="AA819" s="74"/>
      <c r="AB819" s="74"/>
    </row>
    <row r="820" spans="1:28" ht="12" customHeight="1">
      <c r="A820" s="330"/>
      <c r="B820" s="314"/>
      <c r="C820" s="285"/>
      <c r="D820" s="108"/>
      <c r="E820" s="285"/>
      <c r="F820" s="285"/>
      <c r="G820" s="35"/>
      <c r="H820" s="104"/>
      <c r="I820" s="35"/>
      <c r="J820" s="74"/>
      <c r="K820" s="74"/>
      <c r="L820" s="74"/>
      <c r="M820" s="74"/>
      <c r="N820" s="74"/>
      <c r="O820" s="74"/>
      <c r="P820" s="74"/>
      <c r="Q820" s="74"/>
      <c r="R820" s="74"/>
      <c r="S820" s="74"/>
      <c r="T820" s="74"/>
      <c r="U820" s="74"/>
      <c r="V820" s="74"/>
      <c r="W820" s="74"/>
      <c r="X820" s="74"/>
      <c r="Y820" s="74"/>
      <c r="Z820" s="74"/>
      <c r="AA820" s="74"/>
      <c r="AB820" s="74"/>
    </row>
    <row r="821" spans="1:28" ht="12" customHeight="1">
      <c r="A821" s="330"/>
      <c r="B821" s="314"/>
      <c r="C821" s="285"/>
      <c r="D821" s="108"/>
      <c r="E821" s="285"/>
      <c r="F821" s="285"/>
      <c r="G821" s="35"/>
      <c r="H821" s="104"/>
      <c r="I821" s="35"/>
      <c r="J821" s="74"/>
      <c r="K821" s="74"/>
      <c r="L821" s="74"/>
      <c r="M821" s="74"/>
      <c r="N821" s="74"/>
      <c r="O821" s="74"/>
      <c r="P821" s="74"/>
      <c r="Q821" s="74"/>
      <c r="R821" s="74"/>
      <c r="S821" s="74"/>
      <c r="T821" s="74"/>
      <c r="U821" s="74"/>
      <c r="V821" s="74"/>
      <c r="W821" s="74"/>
      <c r="X821" s="74"/>
      <c r="Y821" s="74"/>
      <c r="Z821" s="74"/>
      <c r="AA821" s="74"/>
      <c r="AB821" s="74"/>
    </row>
    <row r="822" spans="1:28" ht="12" customHeight="1">
      <c r="A822" s="330"/>
      <c r="B822" s="314"/>
      <c r="C822" s="285"/>
      <c r="D822" s="108"/>
      <c r="E822" s="285"/>
      <c r="F822" s="285"/>
      <c r="G822" s="35"/>
      <c r="H822" s="104"/>
      <c r="I822" s="35"/>
      <c r="J822" s="74"/>
      <c r="K822" s="74"/>
      <c r="L822" s="74"/>
      <c r="M822" s="74"/>
      <c r="N822" s="74"/>
      <c r="O822" s="74"/>
      <c r="P822" s="74"/>
      <c r="Q822" s="74"/>
      <c r="R822" s="74"/>
      <c r="S822" s="74"/>
      <c r="T822" s="74"/>
      <c r="U822" s="74"/>
      <c r="V822" s="74"/>
      <c r="W822" s="74"/>
      <c r="X822" s="74"/>
      <c r="Y822" s="74"/>
      <c r="Z822" s="74"/>
      <c r="AA822" s="74"/>
      <c r="AB822" s="74"/>
    </row>
    <row r="823" spans="1:28" ht="12" customHeight="1">
      <c r="A823" s="330"/>
      <c r="B823" s="314"/>
      <c r="C823" s="285"/>
      <c r="D823" s="108"/>
      <c r="E823" s="285"/>
      <c r="F823" s="285"/>
      <c r="G823" s="35"/>
      <c r="H823" s="104"/>
      <c r="I823" s="35"/>
      <c r="J823" s="74"/>
      <c r="K823" s="74"/>
      <c r="L823" s="74"/>
      <c r="M823" s="74"/>
      <c r="N823" s="74"/>
      <c r="O823" s="74"/>
      <c r="P823" s="74"/>
      <c r="Q823" s="74"/>
      <c r="R823" s="74"/>
      <c r="S823" s="74"/>
      <c r="T823" s="74"/>
      <c r="U823" s="74"/>
      <c r="V823" s="74"/>
      <c r="W823" s="74"/>
      <c r="X823" s="74"/>
      <c r="Y823" s="74"/>
      <c r="Z823" s="74"/>
      <c r="AA823" s="74"/>
      <c r="AB823" s="74"/>
    </row>
    <row r="824" spans="1:28" ht="12" customHeight="1">
      <c r="A824" s="330"/>
      <c r="B824" s="314"/>
      <c r="C824" s="285"/>
      <c r="D824" s="108"/>
      <c r="E824" s="285"/>
      <c r="F824" s="285"/>
      <c r="G824" s="35"/>
      <c r="H824" s="104"/>
      <c r="I824" s="35"/>
      <c r="J824" s="74"/>
      <c r="K824" s="74"/>
      <c r="L824" s="74"/>
      <c r="M824" s="74"/>
      <c r="N824" s="74"/>
      <c r="O824" s="74"/>
      <c r="P824" s="74"/>
      <c r="Q824" s="74"/>
      <c r="R824" s="74"/>
      <c r="S824" s="74"/>
      <c r="T824" s="74"/>
      <c r="U824" s="74"/>
      <c r="V824" s="74"/>
      <c r="W824" s="74"/>
      <c r="X824" s="74"/>
      <c r="Y824" s="74"/>
      <c r="Z824" s="74"/>
      <c r="AA824" s="74"/>
      <c r="AB824" s="74"/>
    </row>
    <row r="825" spans="1:28" ht="12" customHeight="1">
      <c r="A825" s="330"/>
      <c r="B825" s="314"/>
      <c r="C825" s="285"/>
      <c r="D825" s="108"/>
      <c r="E825" s="285"/>
      <c r="F825" s="285"/>
      <c r="G825" s="35"/>
      <c r="H825" s="104"/>
      <c r="I825" s="35"/>
      <c r="J825" s="74"/>
      <c r="K825" s="74"/>
      <c r="L825" s="74"/>
      <c r="M825" s="74"/>
      <c r="N825" s="74"/>
      <c r="O825" s="74"/>
      <c r="P825" s="74"/>
      <c r="Q825" s="74"/>
      <c r="R825" s="74"/>
      <c r="S825" s="74"/>
      <c r="T825" s="74"/>
      <c r="U825" s="74"/>
      <c r="V825" s="74"/>
      <c r="W825" s="74"/>
      <c r="X825" s="74"/>
      <c r="Y825" s="74"/>
      <c r="Z825" s="74"/>
      <c r="AA825" s="74"/>
      <c r="AB825" s="74"/>
    </row>
    <row r="826" spans="1:28" ht="12" customHeight="1">
      <c r="A826" s="330"/>
      <c r="B826" s="314"/>
      <c r="C826" s="285"/>
      <c r="D826" s="108"/>
      <c r="E826" s="285"/>
      <c r="F826" s="285"/>
      <c r="G826" s="35"/>
      <c r="H826" s="104"/>
      <c r="I826" s="35"/>
      <c r="J826" s="74"/>
      <c r="K826" s="74"/>
      <c r="L826" s="74"/>
      <c r="M826" s="74"/>
      <c r="N826" s="74"/>
      <c r="O826" s="74"/>
      <c r="P826" s="74"/>
      <c r="Q826" s="74"/>
      <c r="R826" s="74"/>
      <c r="S826" s="74"/>
      <c r="T826" s="74"/>
      <c r="U826" s="74"/>
      <c r="V826" s="74"/>
      <c r="W826" s="74"/>
      <c r="X826" s="74"/>
      <c r="Y826" s="74"/>
      <c r="Z826" s="74"/>
      <c r="AA826" s="74"/>
      <c r="AB826" s="74"/>
    </row>
    <row r="827" spans="1:28" ht="12" customHeight="1">
      <c r="A827" s="330"/>
      <c r="B827" s="314"/>
      <c r="C827" s="285"/>
      <c r="D827" s="108"/>
      <c r="E827" s="285"/>
      <c r="F827" s="285"/>
      <c r="G827" s="35"/>
      <c r="H827" s="104"/>
      <c r="I827" s="35"/>
      <c r="J827" s="74"/>
      <c r="K827" s="74"/>
      <c r="L827" s="74"/>
      <c r="M827" s="74"/>
      <c r="N827" s="74"/>
      <c r="O827" s="74"/>
      <c r="P827" s="74"/>
      <c r="Q827" s="74"/>
      <c r="R827" s="74"/>
      <c r="S827" s="74"/>
      <c r="T827" s="74"/>
      <c r="U827" s="74"/>
      <c r="V827" s="74"/>
      <c r="W827" s="74"/>
      <c r="X827" s="74"/>
      <c r="Y827" s="74"/>
      <c r="Z827" s="74"/>
      <c r="AA827" s="74"/>
      <c r="AB827" s="74"/>
    </row>
    <row r="828" spans="1:28" ht="12" customHeight="1">
      <c r="A828" s="330"/>
      <c r="B828" s="314"/>
      <c r="C828" s="285"/>
      <c r="D828" s="108"/>
      <c r="E828" s="285"/>
      <c r="F828" s="285"/>
      <c r="G828" s="35"/>
      <c r="H828" s="104"/>
      <c r="I828" s="35"/>
      <c r="J828" s="74"/>
      <c r="K828" s="74"/>
      <c r="L828" s="74"/>
      <c r="M828" s="74"/>
      <c r="N828" s="74"/>
      <c r="O828" s="74"/>
      <c r="P828" s="74"/>
      <c r="Q828" s="74"/>
      <c r="R828" s="74"/>
      <c r="S828" s="74"/>
      <c r="T828" s="74"/>
      <c r="U828" s="74"/>
      <c r="V828" s="74"/>
      <c r="W828" s="74"/>
      <c r="X828" s="74"/>
      <c r="Y828" s="74"/>
      <c r="Z828" s="74"/>
      <c r="AA828" s="74"/>
      <c r="AB828" s="74"/>
    </row>
    <row r="829" spans="1:28" ht="12" customHeight="1">
      <c r="A829" s="330"/>
      <c r="B829" s="314"/>
      <c r="C829" s="285"/>
      <c r="D829" s="108"/>
      <c r="E829" s="285"/>
      <c r="F829" s="285"/>
      <c r="G829" s="35"/>
      <c r="H829" s="104"/>
      <c r="I829" s="35"/>
      <c r="J829" s="74"/>
      <c r="K829" s="74"/>
      <c r="L829" s="74"/>
      <c r="M829" s="74"/>
      <c r="N829" s="74"/>
      <c r="O829" s="74"/>
      <c r="P829" s="74"/>
      <c r="Q829" s="74"/>
      <c r="R829" s="74"/>
      <c r="S829" s="74"/>
      <c r="T829" s="74"/>
      <c r="U829" s="74"/>
      <c r="V829" s="74"/>
      <c r="W829" s="74"/>
      <c r="X829" s="74"/>
      <c r="Y829" s="74"/>
      <c r="Z829" s="74"/>
      <c r="AA829" s="74"/>
      <c r="AB829" s="74"/>
    </row>
    <row r="830" spans="1:28" ht="12" customHeight="1">
      <c r="A830" s="330"/>
      <c r="B830" s="314"/>
      <c r="C830" s="285"/>
      <c r="D830" s="108"/>
      <c r="E830" s="285"/>
      <c r="F830" s="285"/>
      <c r="G830" s="35"/>
      <c r="H830" s="104"/>
      <c r="I830" s="35"/>
      <c r="J830" s="74"/>
      <c r="K830" s="74"/>
      <c r="L830" s="74"/>
      <c r="M830" s="74"/>
      <c r="N830" s="74"/>
      <c r="O830" s="74"/>
      <c r="P830" s="74"/>
      <c r="Q830" s="74"/>
      <c r="R830" s="74"/>
      <c r="S830" s="74"/>
      <c r="T830" s="74"/>
      <c r="U830" s="74"/>
      <c r="V830" s="74"/>
      <c r="W830" s="74"/>
      <c r="X830" s="74"/>
      <c r="Y830" s="74"/>
      <c r="Z830" s="74"/>
      <c r="AA830" s="74"/>
      <c r="AB830" s="74"/>
    </row>
    <row r="831" spans="1:28" ht="12" customHeight="1">
      <c r="A831" s="330"/>
      <c r="B831" s="314"/>
      <c r="C831" s="285"/>
      <c r="D831" s="108"/>
      <c r="E831" s="285"/>
      <c r="F831" s="285"/>
      <c r="G831" s="35"/>
      <c r="H831" s="104"/>
      <c r="I831" s="35"/>
      <c r="J831" s="74"/>
      <c r="K831" s="74"/>
      <c r="L831" s="74"/>
      <c r="M831" s="74"/>
      <c r="N831" s="74"/>
      <c r="O831" s="74"/>
      <c r="P831" s="74"/>
      <c r="Q831" s="74"/>
      <c r="R831" s="74"/>
      <c r="S831" s="74"/>
      <c r="T831" s="74"/>
      <c r="U831" s="74"/>
      <c r="V831" s="74"/>
      <c r="W831" s="74"/>
      <c r="X831" s="74"/>
      <c r="Y831" s="74"/>
      <c r="Z831" s="74"/>
      <c r="AA831" s="74"/>
      <c r="AB831" s="74"/>
    </row>
    <row r="832" spans="1:28" ht="12" customHeight="1">
      <c r="A832" s="330"/>
      <c r="B832" s="314"/>
      <c r="C832" s="285"/>
      <c r="D832" s="108"/>
      <c r="E832" s="285"/>
      <c r="F832" s="285"/>
      <c r="G832" s="35"/>
      <c r="H832" s="104"/>
      <c r="I832" s="35"/>
      <c r="J832" s="74"/>
      <c r="K832" s="74"/>
      <c r="L832" s="74"/>
      <c r="M832" s="74"/>
      <c r="N832" s="74"/>
      <c r="O832" s="74"/>
      <c r="P832" s="74"/>
      <c r="Q832" s="74"/>
      <c r="R832" s="74"/>
      <c r="S832" s="74"/>
      <c r="T832" s="74"/>
      <c r="U832" s="74"/>
      <c r="V832" s="74"/>
      <c r="W832" s="74"/>
      <c r="X832" s="74"/>
      <c r="Y832" s="74"/>
      <c r="Z832" s="74"/>
      <c r="AA832" s="74"/>
      <c r="AB832" s="74"/>
    </row>
    <row r="833" spans="1:28" ht="12" customHeight="1">
      <c r="A833" s="330"/>
      <c r="B833" s="314"/>
      <c r="C833" s="285"/>
      <c r="D833" s="108"/>
      <c r="E833" s="285"/>
      <c r="F833" s="285"/>
      <c r="G833" s="35"/>
      <c r="H833" s="104"/>
      <c r="I833" s="35"/>
      <c r="J833" s="74"/>
      <c r="K833" s="74"/>
      <c r="L833" s="74"/>
      <c r="M833" s="74"/>
      <c r="N833" s="74"/>
      <c r="O833" s="74"/>
      <c r="P833" s="74"/>
      <c r="Q833" s="74"/>
      <c r="R833" s="74"/>
      <c r="S833" s="74"/>
      <c r="T833" s="74"/>
      <c r="U833" s="74"/>
      <c r="V833" s="74"/>
      <c r="W833" s="74"/>
      <c r="X833" s="74"/>
      <c r="Y833" s="74"/>
      <c r="Z833" s="74"/>
      <c r="AA833" s="74"/>
      <c r="AB833" s="74"/>
    </row>
    <row r="834" spans="1:28" ht="12" customHeight="1">
      <c r="A834" s="330"/>
      <c r="B834" s="314"/>
      <c r="C834" s="285"/>
      <c r="D834" s="108"/>
      <c r="E834" s="285"/>
      <c r="F834" s="285"/>
      <c r="G834" s="35"/>
      <c r="H834" s="104"/>
      <c r="I834" s="35"/>
      <c r="J834" s="74"/>
      <c r="K834" s="74"/>
      <c r="L834" s="74"/>
      <c r="M834" s="74"/>
      <c r="N834" s="74"/>
      <c r="O834" s="74"/>
      <c r="P834" s="74"/>
      <c r="Q834" s="74"/>
      <c r="R834" s="74"/>
      <c r="S834" s="74"/>
      <c r="T834" s="74"/>
      <c r="U834" s="74"/>
      <c r="V834" s="74"/>
      <c r="W834" s="74"/>
      <c r="X834" s="74"/>
      <c r="Y834" s="74"/>
      <c r="Z834" s="74"/>
      <c r="AA834" s="74"/>
      <c r="AB834" s="74"/>
    </row>
    <row r="835" spans="1:28" ht="12" customHeight="1">
      <c r="A835" s="330"/>
      <c r="B835" s="314"/>
      <c r="C835" s="285"/>
      <c r="D835" s="108"/>
      <c r="E835" s="285"/>
      <c r="F835" s="285"/>
      <c r="G835" s="35"/>
      <c r="H835" s="104"/>
      <c r="I835" s="35"/>
      <c r="J835" s="74"/>
      <c r="K835" s="74"/>
      <c r="L835" s="74"/>
      <c r="M835" s="74"/>
      <c r="N835" s="74"/>
      <c r="O835" s="74"/>
      <c r="P835" s="74"/>
      <c r="Q835" s="74"/>
      <c r="R835" s="74"/>
      <c r="S835" s="74"/>
      <c r="T835" s="74"/>
      <c r="U835" s="74"/>
      <c r="V835" s="74"/>
      <c r="W835" s="74"/>
      <c r="X835" s="74"/>
      <c r="Y835" s="74"/>
      <c r="Z835" s="74"/>
      <c r="AA835" s="74"/>
      <c r="AB835" s="74"/>
    </row>
    <row r="836" spans="1:28" ht="12" customHeight="1">
      <c r="A836" s="330"/>
      <c r="B836" s="314"/>
      <c r="C836" s="285"/>
      <c r="D836" s="108"/>
      <c r="E836" s="285"/>
      <c r="F836" s="285"/>
      <c r="G836" s="35"/>
      <c r="H836" s="104"/>
      <c r="I836" s="35"/>
      <c r="J836" s="74"/>
      <c r="K836" s="74"/>
      <c r="L836" s="74"/>
      <c r="M836" s="74"/>
      <c r="N836" s="74"/>
      <c r="O836" s="74"/>
      <c r="P836" s="74"/>
      <c r="Q836" s="74"/>
      <c r="R836" s="74"/>
      <c r="S836" s="74"/>
      <c r="T836" s="74"/>
      <c r="U836" s="74"/>
      <c r="V836" s="74"/>
      <c r="W836" s="74"/>
      <c r="X836" s="74"/>
      <c r="Y836" s="74"/>
      <c r="Z836" s="74"/>
      <c r="AA836" s="74"/>
      <c r="AB836" s="74"/>
    </row>
    <row r="837" spans="1:28" ht="12" customHeight="1">
      <c r="A837" s="330"/>
      <c r="B837" s="314"/>
      <c r="C837" s="285"/>
      <c r="D837" s="108"/>
      <c r="E837" s="285"/>
      <c r="F837" s="285"/>
      <c r="G837" s="35"/>
      <c r="H837" s="104"/>
      <c r="I837" s="35"/>
      <c r="J837" s="74"/>
      <c r="K837" s="74"/>
      <c r="L837" s="74"/>
      <c r="M837" s="74"/>
      <c r="N837" s="74"/>
      <c r="O837" s="74"/>
      <c r="P837" s="74"/>
      <c r="Q837" s="74"/>
      <c r="R837" s="74"/>
      <c r="S837" s="74"/>
      <c r="T837" s="74"/>
      <c r="U837" s="74"/>
      <c r="V837" s="74"/>
      <c r="W837" s="74"/>
      <c r="X837" s="74"/>
      <c r="Y837" s="74"/>
      <c r="Z837" s="74"/>
      <c r="AA837" s="74"/>
      <c r="AB837" s="74"/>
    </row>
    <row r="838" spans="1:28" ht="12" customHeight="1">
      <c r="A838" s="330"/>
      <c r="B838" s="314"/>
      <c r="C838" s="285"/>
      <c r="D838" s="108"/>
      <c r="E838" s="285"/>
      <c r="F838" s="285"/>
      <c r="G838" s="35"/>
      <c r="H838" s="104"/>
      <c r="I838" s="35"/>
      <c r="J838" s="74"/>
      <c r="K838" s="74"/>
      <c r="L838" s="74"/>
      <c r="M838" s="74"/>
      <c r="N838" s="74"/>
      <c r="O838" s="74"/>
      <c r="P838" s="74"/>
      <c r="Q838" s="74"/>
      <c r="R838" s="74"/>
      <c r="S838" s="74"/>
      <c r="T838" s="74"/>
      <c r="U838" s="74"/>
      <c r="V838" s="74"/>
      <c r="W838" s="74"/>
      <c r="X838" s="74"/>
      <c r="Y838" s="74"/>
      <c r="Z838" s="74"/>
      <c r="AA838" s="74"/>
      <c r="AB838" s="74"/>
    </row>
    <row r="839" spans="1:28" ht="12" customHeight="1">
      <c r="A839" s="330"/>
      <c r="B839" s="314"/>
      <c r="C839" s="285"/>
      <c r="D839" s="108"/>
      <c r="E839" s="285"/>
      <c r="F839" s="285"/>
      <c r="G839" s="35"/>
      <c r="H839" s="104"/>
      <c r="I839" s="35"/>
      <c r="J839" s="74"/>
      <c r="K839" s="74"/>
      <c r="L839" s="74"/>
      <c r="M839" s="74"/>
      <c r="N839" s="74"/>
      <c r="O839" s="74"/>
      <c r="P839" s="74"/>
      <c r="Q839" s="74"/>
      <c r="R839" s="74"/>
      <c r="S839" s="74"/>
      <c r="T839" s="74"/>
      <c r="U839" s="74"/>
      <c r="V839" s="74"/>
      <c r="W839" s="74"/>
      <c r="X839" s="74"/>
      <c r="Y839" s="74"/>
      <c r="Z839" s="74"/>
      <c r="AA839" s="74"/>
      <c r="AB839" s="74"/>
    </row>
    <row r="840" spans="1:28" ht="12" customHeight="1">
      <c r="A840" s="330"/>
      <c r="B840" s="314"/>
      <c r="C840" s="285"/>
      <c r="D840" s="108"/>
      <c r="E840" s="285"/>
      <c r="F840" s="285"/>
      <c r="G840" s="35"/>
      <c r="H840" s="104"/>
      <c r="I840" s="35"/>
      <c r="J840" s="74"/>
      <c r="K840" s="74"/>
      <c r="L840" s="74"/>
      <c r="M840" s="74"/>
      <c r="N840" s="74"/>
      <c r="O840" s="74"/>
      <c r="P840" s="74"/>
      <c r="Q840" s="74"/>
      <c r="R840" s="74"/>
      <c r="S840" s="74"/>
      <c r="T840" s="74"/>
      <c r="U840" s="74"/>
      <c r="V840" s="74"/>
      <c r="W840" s="74"/>
      <c r="X840" s="74"/>
      <c r="Y840" s="74"/>
      <c r="Z840" s="74"/>
      <c r="AA840" s="74"/>
      <c r="AB840" s="74"/>
    </row>
    <row r="841" spans="1:28" ht="12" customHeight="1">
      <c r="A841" s="330"/>
      <c r="B841" s="314"/>
      <c r="C841" s="285"/>
      <c r="D841" s="108"/>
      <c r="E841" s="285"/>
      <c r="F841" s="285"/>
      <c r="G841" s="35"/>
      <c r="H841" s="104"/>
      <c r="I841" s="35"/>
      <c r="J841" s="74"/>
      <c r="K841" s="74"/>
      <c r="L841" s="74"/>
      <c r="M841" s="74"/>
      <c r="N841" s="74"/>
      <c r="O841" s="74"/>
      <c r="P841" s="74"/>
      <c r="Q841" s="74"/>
      <c r="R841" s="74"/>
      <c r="S841" s="74"/>
      <c r="T841" s="74"/>
      <c r="U841" s="74"/>
      <c r="V841" s="74"/>
      <c r="W841" s="74"/>
      <c r="X841" s="74"/>
      <c r="Y841" s="74"/>
      <c r="Z841" s="74"/>
      <c r="AA841" s="74"/>
      <c r="AB841" s="74"/>
    </row>
    <row r="842" spans="1:28" ht="12" customHeight="1">
      <c r="A842" s="330"/>
      <c r="B842" s="314"/>
      <c r="C842" s="285"/>
      <c r="D842" s="108"/>
      <c r="E842" s="285"/>
      <c r="F842" s="285"/>
      <c r="G842" s="35"/>
      <c r="H842" s="104"/>
      <c r="I842" s="35"/>
      <c r="J842" s="74"/>
      <c r="K842" s="74"/>
      <c r="L842" s="74"/>
      <c r="M842" s="74"/>
      <c r="N842" s="74"/>
      <c r="O842" s="74"/>
      <c r="P842" s="74"/>
      <c r="Q842" s="74"/>
      <c r="R842" s="74"/>
      <c r="S842" s="74"/>
      <c r="T842" s="74"/>
      <c r="U842" s="74"/>
      <c r="V842" s="74"/>
      <c r="W842" s="74"/>
      <c r="X842" s="74"/>
      <c r="Y842" s="74"/>
      <c r="Z842" s="74"/>
      <c r="AA842" s="74"/>
      <c r="AB842" s="74"/>
    </row>
    <row r="843" spans="1:28" ht="12" customHeight="1">
      <c r="A843" s="330"/>
      <c r="B843" s="314"/>
      <c r="C843" s="285"/>
      <c r="D843" s="108"/>
      <c r="E843" s="285"/>
      <c r="F843" s="285"/>
      <c r="G843" s="35"/>
      <c r="H843" s="104"/>
      <c r="I843" s="35"/>
      <c r="J843" s="74"/>
      <c r="K843" s="74"/>
      <c r="L843" s="74"/>
      <c r="M843" s="74"/>
      <c r="N843" s="74"/>
      <c r="O843" s="74"/>
      <c r="P843" s="74"/>
      <c r="Q843" s="74"/>
      <c r="R843" s="74"/>
      <c r="S843" s="74"/>
      <c r="T843" s="74"/>
      <c r="U843" s="74"/>
      <c r="V843" s="74"/>
      <c r="W843" s="74"/>
      <c r="X843" s="74"/>
      <c r="Y843" s="74"/>
      <c r="Z843" s="74"/>
      <c r="AA843" s="74"/>
      <c r="AB843" s="74"/>
    </row>
    <row r="844" spans="1:28" ht="12" customHeight="1">
      <c r="A844" s="330"/>
      <c r="B844" s="314"/>
      <c r="C844" s="285"/>
      <c r="D844" s="108"/>
      <c r="E844" s="285"/>
      <c r="F844" s="285"/>
      <c r="G844" s="35"/>
      <c r="H844" s="104"/>
      <c r="I844" s="35"/>
      <c r="J844" s="74"/>
      <c r="K844" s="74"/>
      <c r="L844" s="74"/>
      <c r="M844" s="74"/>
      <c r="N844" s="74"/>
      <c r="O844" s="74"/>
      <c r="P844" s="74"/>
      <c r="Q844" s="74"/>
      <c r="R844" s="74"/>
      <c r="S844" s="74"/>
      <c r="T844" s="74"/>
      <c r="U844" s="74"/>
      <c r="V844" s="74"/>
      <c r="W844" s="74"/>
      <c r="X844" s="74"/>
      <c r="Y844" s="74"/>
      <c r="Z844" s="74"/>
      <c r="AA844" s="74"/>
      <c r="AB844" s="74"/>
    </row>
    <row r="845" spans="1:28" ht="12" customHeight="1">
      <c r="A845" s="330"/>
      <c r="B845" s="314"/>
      <c r="C845" s="285"/>
      <c r="D845" s="108"/>
      <c r="E845" s="285"/>
      <c r="F845" s="285"/>
      <c r="G845" s="35"/>
      <c r="H845" s="104"/>
      <c r="I845" s="35"/>
      <c r="J845" s="74"/>
      <c r="K845" s="74"/>
      <c r="L845" s="74"/>
      <c r="M845" s="74"/>
      <c r="N845" s="74"/>
      <c r="O845" s="74"/>
      <c r="P845" s="74"/>
      <c r="Q845" s="74"/>
      <c r="R845" s="74"/>
      <c r="S845" s="74"/>
      <c r="T845" s="74"/>
      <c r="U845" s="74"/>
      <c r="V845" s="74"/>
      <c r="W845" s="74"/>
      <c r="X845" s="74"/>
      <c r="Y845" s="74"/>
      <c r="Z845" s="74"/>
      <c r="AA845" s="74"/>
      <c r="AB845" s="74"/>
    </row>
    <row r="846" spans="1:28" ht="12" customHeight="1">
      <c r="A846" s="330"/>
      <c r="B846" s="314"/>
      <c r="C846" s="285"/>
      <c r="D846" s="108"/>
      <c r="E846" s="285"/>
      <c r="F846" s="285"/>
      <c r="G846" s="35"/>
      <c r="H846" s="104"/>
      <c r="I846" s="35"/>
      <c r="J846" s="74"/>
      <c r="K846" s="74"/>
      <c r="L846" s="74"/>
      <c r="M846" s="74"/>
      <c r="N846" s="74"/>
      <c r="O846" s="74"/>
      <c r="P846" s="74"/>
      <c r="Q846" s="74"/>
      <c r="R846" s="74"/>
      <c r="S846" s="74"/>
      <c r="T846" s="74"/>
      <c r="U846" s="74"/>
      <c r="V846" s="74"/>
      <c r="W846" s="74"/>
      <c r="X846" s="74"/>
      <c r="Y846" s="74"/>
      <c r="Z846" s="74"/>
      <c r="AA846" s="74"/>
      <c r="AB846" s="74"/>
    </row>
    <row r="847" spans="1:28" ht="12" customHeight="1">
      <c r="A847" s="330"/>
      <c r="B847" s="314"/>
      <c r="C847" s="285"/>
      <c r="D847" s="108"/>
      <c r="E847" s="285"/>
      <c r="F847" s="285"/>
      <c r="G847" s="35"/>
      <c r="H847" s="104"/>
      <c r="I847" s="35"/>
      <c r="J847" s="74"/>
      <c r="K847" s="74"/>
      <c r="L847" s="74"/>
      <c r="M847" s="74"/>
      <c r="N847" s="74"/>
      <c r="O847" s="74"/>
      <c r="P847" s="74"/>
      <c r="Q847" s="74"/>
      <c r="R847" s="74"/>
      <c r="S847" s="74"/>
      <c r="T847" s="74"/>
      <c r="U847" s="74"/>
      <c r="V847" s="74"/>
      <c r="W847" s="74"/>
      <c r="X847" s="74"/>
      <c r="Y847" s="74"/>
      <c r="Z847" s="74"/>
      <c r="AA847" s="74"/>
      <c r="AB847" s="74"/>
    </row>
    <row r="848" spans="1:28" ht="12" customHeight="1">
      <c r="A848" s="330"/>
      <c r="B848" s="314"/>
      <c r="C848" s="285"/>
      <c r="D848" s="108"/>
      <c r="E848" s="285"/>
      <c r="F848" s="285"/>
      <c r="G848" s="35"/>
      <c r="H848" s="104"/>
      <c r="I848" s="35"/>
      <c r="J848" s="74"/>
      <c r="K848" s="74"/>
      <c r="L848" s="74"/>
      <c r="M848" s="74"/>
      <c r="N848" s="74"/>
      <c r="O848" s="74"/>
      <c r="P848" s="74"/>
      <c r="Q848" s="74"/>
      <c r="R848" s="74"/>
      <c r="S848" s="74"/>
      <c r="T848" s="74"/>
      <c r="U848" s="74"/>
      <c r="V848" s="74"/>
      <c r="W848" s="74"/>
      <c r="X848" s="74"/>
      <c r="Y848" s="74"/>
      <c r="Z848" s="74"/>
      <c r="AA848" s="74"/>
      <c r="AB848" s="74"/>
    </row>
    <row r="849" spans="1:28" ht="12" customHeight="1">
      <c r="A849" s="330"/>
      <c r="B849" s="314"/>
      <c r="C849" s="285"/>
      <c r="D849" s="108"/>
      <c r="E849" s="285"/>
      <c r="F849" s="285"/>
      <c r="G849" s="35"/>
      <c r="H849" s="104"/>
      <c r="I849" s="35"/>
      <c r="J849" s="74"/>
      <c r="K849" s="74"/>
      <c r="L849" s="74"/>
      <c r="M849" s="74"/>
      <c r="N849" s="74"/>
      <c r="O849" s="74"/>
      <c r="P849" s="74"/>
      <c r="Q849" s="74"/>
      <c r="R849" s="74"/>
      <c r="S849" s="74"/>
      <c r="T849" s="74"/>
      <c r="U849" s="74"/>
      <c r="V849" s="74"/>
      <c r="W849" s="74"/>
      <c r="X849" s="74"/>
      <c r="Y849" s="74"/>
      <c r="Z849" s="74"/>
      <c r="AA849" s="74"/>
      <c r="AB849" s="74"/>
    </row>
    <row r="850" spans="1:28" ht="12" customHeight="1">
      <c r="A850" s="330"/>
      <c r="B850" s="314"/>
      <c r="C850" s="285"/>
      <c r="D850" s="108"/>
      <c r="E850" s="285"/>
      <c r="F850" s="285"/>
      <c r="G850" s="35"/>
      <c r="H850" s="104"/>
      <c r="I850" s="35"/>
      <c r="J850" s="74"/>
      <c r="K850" s="74"/>
      <c r="L850" s="74"/>
      <c r="M850" s="74"/>
      <c r="N850" s="74"/>
      <c r="O850" s="74"/>
      <c r="P850" s="74"/>
      <c r="Q850" s="74"/>
      <c r="R850" s="74"/>
      <c r="S850" s="74"/>
      <c r="T850" s="74"/>
      <c r="U850" s="74"/>
      <c r="V850" s="74"/>
      <c r="W850" s="74"/>
      <c r="X850" s="74"/>
      <c r="Y850" s="74"/>
      <c r="Z850" s="74"/>
      <c r="AA850" s="74"/>
      <c r="AB850" s="74"/>
    </row>
    <row r="851" spans="1:28" ht="12" customHeight="1">
      <c r="A851" s="330"/>
      <c r="B851" s="314"/>
      <c r="C851" s="285"/>
      <c r="D851" s="108"/>
      <c r="E851" s="285"/>
      <c r="F851" s="285"/>
      <c r="G851" s="35"/>
      <c r="H851" s="104"/>
      <c r="I851" s="35"/>
      <c r="J851" s="74"/>
      <c r="K851" s="74"/>
      <c r="L851" s="74"/>
      <c r="M851" s="74"/>
      <c r="N851" s="74"/>
      <c r="O851" s="74"/>
      <c r="P851" s="74"/>
      <c r="Q851" s="74"/>
      <c r="R851" s="74"/>
      <c r="S851" s="74"/>
      <c r="T851" s="74"/>
      <c r="U851" s="74"/>
      <c r="V851" s="74"/>
      <c r="W851" s="74"/>
      <c r="X851" s="74"/>
      <c r="Y851" s="74"/>
      <c r="Z851" s="74"/>
      <c r="AA851" s="74"/>
      <c r="AB851" s="74"/>
    </row>
    <row r="852" spans="1:28" ht="12" customHeight="1">
      <c r="A852" s="330"/>
      <c r="B852" s="314"/>
      <c r="C852" s="285"/>
      <c r="D852" s="108"/>
      <c r="E852" s="285"/>
      <c r="F852" s="285"/>
      <c r="G852" s="35"/>
      <c r="H852" s="104"/>
      <c r="I852" s="35"/>
      <c r="J852" s="74"/>
      <c r="K852" s="74"/>
      <c r="L852" s="74"/>
      <c r="M852" s="74"/>
      <c r="N852" s="74"/>
      <c r="O852" s="74"/>
      <c r="P852" s="74"/>
      <c r="Q852" s="74"/>
      <c r="R852" s="74"/>
      <c r="S852" s="74"/>
      <c r="T852" s="74"/>
      <c r="U852" s="74"/>
      <c r="V852" s="74"/>
      <c r="W852" s="74"/>
      <c r="X852" s="74"/>
      <c r="Y852" s="74"/>
      <c r="Z852" s="74"/>
      <c r="AA852" s="74"/>
      <c r="AB852" s="74"/>
    </row>
    <row r="853" spans="1:28" ht="12" customHeight="1">
      <c r="A853" s="330"/>
      <c r="B853" s="314"/>
      <c r="C853" s="285"/>
      <c r="D853" s="108"/>
      <c r="E853" s="285"/>
      <c r="F853" s="285"/>
      <c r="G853" s="35"/>
      <c r="H853" s="104"/>
      <c r="I853" s="35"/>
      <c r="J853" s="74"/>
      <c r="K853" s="74"/>
      <c r="L853" s="74"/>
      <c r="M853" s="74"/>
      <c r="N853" s="74"/>
      <c r="O853" s="74"/>
      <c r="P853" s="74"/>
      <c r="Q853" s="74"/>
      <c r="R853" s="74"/>
      <c r="S853" s="74"/>
      <c r="T853" s="74"/>
      <c r="U853" s="74"/>
      <c r="V853" s="74"/>
      <c r="W853" s="74"/>
      <c r="X853" s="74"/>
      <c r="Y853" s="74"/>
      <c r="Z853" s="74"/>
      <c r="AA853" s="74"/>
      <c r="AB853" s="74"/>
    </row>
    <row r="854" spans="1:28" ht="12" customHeight="1">
      <c r="A854" s="330"/>
      <c r="B854" s="314"/>
      <c r="C854" s="285"/>
      <c r="D854" s="108"/>
      <c r="E854" s="285"/>
      <c r="F854" s="285"/>
      <c r="G854" s="35"/>
      <c r="H854" s="104"/>
      <c r="I854" s="35"/>
      <c r="J854" s="74"/>
      <c r="K854" s="74"/>
      <c r="L854" s="74"/>
      <c r="M854" s="74"/>
      <c r="N854" s="74"/>
      <c r="O854" s="74"/>
      <c r="P854" s="74"/>
      <c r="Q854" s="74"/>
      <c r="R854" s="74"/>
      <c r="S854" s="74"/>
      <c r="T854" s="74"/>
      <c r="U854" s="74"/>
      <c r="V854" s="74"/>
      <c r="W854" s="74"/>
      <c r="X854" s="74"/>
      <c r="Y854" s="74"/>
      <c r="Z854" s="74"/>
      <c r="AA854" s="74"/>
      <c r="AB854" s="74"/>
    </row>
    <row r="855" spans="1:28" ht="12" customHeight="1">
      <c r="A855" s="330"/>
      <c r="B855" s="314"/>
      <c r="C855" s="285"/>
      <c r="D855" s="108"/>
      <c r="E855" s="285"/>
      <c r="F855" s="285"/>
      <c r="G855" s="35"/>
      <c r="H855" s="104"/>
      <c r="I855" s="35"/>
      <c r="J855" s="74"/>
      <c r="K855" s="74"/>
      <c r="L855" s="74"/>
      <c r="M855" s="74"/>
      <c r="N855" s="74"/>
      <c r="O855" s="74"/>
      <c r="P855" s="74"/>
      <c r="Q855" s="74"/>
      <c r="R855" s="74"/>
      <c r="S855" s="74"/>
      <c r="T855" s="74"/>
      <c r="U855" s="74"/>
      <c r="V855" s="74"/>
      <c r="W855" s="74"/>
      <c r="X855" s="74"/>
      <c r="Y855" s="74"/>
      <c r="Z855" s="74"/>
      <c r="AA855" s="74"/>
      <c r="AB855" s="74"/>
    </row>
    <row r="856" spans="1:28" ht="12" customHeight="1">
      <c r="A856" s="330"/>
      <c r="B856" s="314"/>
      <c r="C856" s="285"/>
      <c r="D856" s="108"/>
      <c r="E856" s="285"/>
      <c r="F856" s="285"/>
      <c r="G856" s="35"/>
      <c r="H856" s="104"/>
      <c r="I856" s="35"/>
      <c r="J856" s="74"/>
      <c r="K856" s="74"/>
      <c r="L856" s="74"/>
      <c r="M856" s="74"/>
      <c r="N856" s="74"/>
      <c r="O856" s="74"/>
      <c r="P856" s="74"/>
      <c r="Q856" s="74"/>
      <c r="R856" s="74"/>
      <c r="S856" s="74"/>
      <c r="T856" s="74"/>
      <c r="U856" s="74"/>
      <c r="V856" s="74"/>
      <c r="W856" s="74"/>
      <c r="X856" s="74"/>
      <c r="Y856" s="74"/>
      <c r="Z856" s="74"/>
      <c r="AA856" s="74"/>
      <c r="AB856" s="74"/>
    </row>
    <row r="857" spans="1:28" ht="12" customHeight="1">
      <c r="A857" s="330"/>
      <c r="B857" s="314"/>
      <c r="C857" s="285"/>
      <c r="D857" s="108"/>
      <c r="E857" s="285"/>
      <c r="F857" s="285"/>
      <c r="G857" s="35"/>
      <c r="H857" s="104"/>
      <c r="I857" s="35"/>
      <c r="J857" s="74"/>
      <c r="K857" s="74"/>
      <c r="L857" s="74"/>
      <c r="M857" s="74"/>
      <c r="N857" s="74"/>
      <c r="O857" s="74"/>
      <c r="P857" s="74"/>
      <c r="Q857" s="74"/>
      <c r="R857" s="74"/>
      <c r="S857" s="74"/>
      <c r="T857" s="74"/>
      <c r="U857" s="74"/>
      <c r="V857" s="74"/>
      <c r="W857" s="74"/>
      <c r="X857" s="74"/>
      <c r="Y857" s="74"/>
      <c r="Z857" s="74"/>
      <c r="AA857" s="74"/>
      <c r="AB857" s="74"/>
    </row>
    <row r="858" spans="1:28" ht="12" customHeight="1">
      <c r="A858" s="330"/>
      <c r="B858" s="314"/>
      <c r="C858" s="285"/>
      <c r="D858" s="108"/>
      <c r="E858" s="285"/>
      <c r="F858" s="285"/>
      <c r="G858" s="35"/>
      <c r="H858" s="104"/>
      <c r="I858" s="35"/>
      <c r="J858" s="74"/>
      <c r="K858" s="74"/>
      <c r="L858" s="74"/>
      <c r="M858" s="74"/>
      <c r="N858" s="74"/>
      <c r="O858" s="74"/>
      <c r="P858" s="74"/>
      <c r="Q858" s="74"/>
      <c r="R858" s="74"/>
      <c r="S858" s="74"/>
      <c r="T858" s="74"/>
      <c r="U858" s="74"/>
      <c r="V858" s="74"/>
      <c r="W858" s="74"/>
      <c r="X858" s="74"/>
      <c r="Y858" s="74"/>
      <c r="Z858" s="74"/>
      <c r="AA858" s="74"/>
      <c r="AB858" s="74"/>
    </row>
    <row r="859" spans="1:28" ht="12" customHeight="1">
      <c r="A859" s="330"/>
      <c r="B859" s="314"/>
      <c r="C859" s="285"/>
      <c r="D859" s="108"/>
      <c r="E859" s="285"/>
      <c r="F859" s="285"/>
      <c r="G859" s="35"/>
      <c r="H859" s="104"/>
      <c r="I859" s="35"/>
      <c r="J859" s="74"/>
      <c r="K859" s="74"/>
      <c r="L859" s="74"/>
      <c r="M859" s="74"/>
      <c r="N859" s="74"/>
      <c r="O859" s="74"/>
      <c r="P859" s="74"/>
      <c r="Q859" s="74"/>
      <c r="R859" s="74"/>
      <c r="S859" s="74"/>
      <c r="T859" s="74"/>
      <c r="U859" s="74"/>
      <c r="V859" s="74"/>
      <c r="W859" s="74"/>
      <c r="X859" s="74"/>
      <c r="Y859" s="74"/>
      <c r="Z859" s="74"/>
      <c r="AA859" s="74"/>
      <c r="AB859" s="74"/>
    </row>
    <row r="860" spans="1:28" ht="12" customHeight="1">
      <c r="A860" s="330"/>
      <c r="B860" s="314"/>
      <c r="C860" s="285"/>
      <c r="D860" s="108"/>
      <c r="E860" s="285"/>
      <c r="F860" s="285"/>
      <c r="G860" s="35"/>
      <c r="H860" s="104"/>
      <c r="I860" s="35"/>
      <c r="J860" s="74"/>
      <c r="K860" s="74"/>
      <c r="L860" s="74"/>
      <c r="M860" s="74"/>
      <c r="N860" s="74"/>
      <c r="O860" s="74"/>
      <c r="P860" s="74"/>
      <c r="Q860" s="74"/>
      <c r="R860" s="74"/>
      <c r="S860" s="74"/>
      <c r="T860" s="74"/>
      <c r="U860" s="74"/>
      <c r="V860" s="74"/>
      <c r="W860" s="74"/>
      <c r="X860" s="74"/>
      <c r="Y860" s="74"/>
      <c r="Z860" s="74"/>
      <c r="AA860" s="74"/>
      <c r="AB860" s="74"/>
    </row>
    <row r="861" spans="1:28" ht="12" customHeight="1">
      <c r="A861" s="330"/>
      <c r="B861" s="314"/>
      <c r="C861" s="285"/>
      <c r="D861" s="108"/>
      <c r="E861" s="285"/>
      <c r="F861" s="285"/>
      <c r="G861" s="35"/>
      <c r="H861" s="104"/>
      <c r="I861" s="35"/>
      <c r="J861" s="74"/>
      <c r="K861" s="74"/>
      <c r="L861" s="74"/>
      <c r="M861" s="74"/>
      <c r="N861" s="74"/>
      <c r="O861" s="74"/>
      <c r="P861" s="74"/>
      <c r="Q861" s="74"/>
      <c r="R861" s="74"/>
      <c r="S861" s="74"/>
      <c r="T861" s="74"/>
      <c r="U861" s="74"/>
      <c r="V861" s="74"/>
      <c r="W861" s="74"/>
      <c r="X861" s="74"/>
      <c r="Y861" s="74"/>
      <c r="Z861" s="74"/>
      <c r="AA861" s="74"/>
      <c r="AB861" s="74"/>
    </row>
    <row r="862" spans="1:28" ht="12" customHeight="1">
      <c r="A862" s="330"/>
      <c r="B862" s="314"/>
      <c r="C862" s="285"/>
      <c r="D862" s="108"/>
      <c r="E862" s="285"/>
      <c r="F862" s="285"/>
      <c r="G862" s="35"/>
      <c r="H862" s="104"/>
      <c r="I862" s="35"/>
      <c r="J862" s="74"/>
      <c r="K862" s="74"/>
      <c r="L862" s="74"/>
      <c r="M862" s="74"/>
      <c r="N862" s="74"/>
      <c r="O862" s="74"/>
      <c r="P862" s="74"/>
      <c r="Q862" s="74"/>
      <c r="R862" s="74"/>
      <c r="S862" s="74"/>
      <c r="T862" s="74"/>
      <c r="U862" s="74"/>
      <c r="V862" s="74"/>
      <c r="W862" s="74"/>
      <c r="X862" s="74"/>
      <c r="Y862" s="74"/>
      <c r="Z862" s="74"/>
      <c r="AA862" s="74"/>
      <c r="AB862" s="74"/>
    </row>
    <row r="863" spans="1:28" ht="12" customHeight="1">
      <c r="A863" s="330"/>
      <c r="B863" s="314"/>
      <c r="C863" s="285"/>
      <c r="D863" s="108"/>
      <c r="E863" s="285"/>
      <c r="F863" s="285"/>
      <c r="G863" s="35"/>
      <c r="H863" s="104"/>
      <c r="I863" s="35"/>
      <c r="J863" s="74"/>
      <c r="K863" s="74"/>
      <c r="L863" s="74"/>
      <c r="M863" s="74"/>
      <c r="N863" s="74"/>
      <c r="O863" s="74"/>
      <c r="P863" s="74"/>
      <c r="Q863" s="74"/>
      <c r="R863" s="74"/>
      <c r="S863" s="74"/>
      <c r="T863" s="74"/>
      <c r="U863" s="74"/>
      <c r="V863" s="74"/>
      <c r="W863" s="74"/>
      <c r="X863" s="74"/>
      <c r="Y863" s="74"/>
      <c r="Z863" s="74"/>
      <c r="AA863" s="74"/>
      <c r="AB863" s="74"/>
    </row>
    <row r="864" spans="1:28" ht="12" customHeight="1">
      <c r="A864" s="330"/>
      <c r="B864" s="314"/>
      <c r="C864" s="285"/>
      <c r="D864" s="108"/>
      <c r="E864" s="285"/>
      <c r="F864" s="285"/>
      <c r="G864" s="35"/>
      <c r="H864" s="104"/>
      <c r="I864" s="35"/>
      <c r="J864" s="74"/>
      <c r="K864" s="74"/>
      <c r="L864" s="74"/>
      <c r="M864" s="74"/>
      <c r="N864" s="74"/>
      <c r="O864" s="74"/>
      <c r="P864" s="74"/>
      <c r="Q864" s="74"/>
      <c r="R864" s="74"/>
      <c r="S864" s="74"/>
      <c r="T864" s="74"/>
      <c r="U864" s="74"/>
      <c r="V864" s="74"/>
      <c r="W864" s="74"/>
      <c r="X864" s="74"/>
      <c r="Y864" s="74"/>
      <c r="Z864" s="74"/>
      <c r="AA864" s="74"/>
      <c r="AB864" s="74"/>
    </row>
    <row r="865" spans="1:28" ht="12" customHeight="1">
      <c r="A865" s="330"/>
      <c r="B865" s="314"/>
      <c r="C865" s="285"/>
      <c r="D865" s="108"/>
      <c r="E865" s="285"/>
      <c r="F865" s="285"/>
      <c r="G865" s="35"/>
      <c r="H865" s="104"/>
      <c r="I865" s="35"/>
      <c r="J865" s="74"/>
      <c r="K865" s="74"/>
      <c r="L865" s="74"/>
      <c r="M865" s="74"/>
      <c r="N865" s="74"/>
      <c r="O865" s="74"/>
      <c r="P865" s="74"/>
      <c r="Q865" s="74"/>
      <c r="R865" s="74"/>
      <c r="S865" s="74"/>
      <c r="T865" s="74"/>
      <c r="U865" s="74"/>
      <c r="V865" s="74"/>
      <c r="W865" s="74"/>
      <c r="X865" s="74"/>
      <c r="Y865" s="74"/>
      <c r="Z865" s="74"/>
      <c r="AA865" s="74"/>
      <c r="AB865" s="74"/>
    </row>
    <row r="866" spans="1:28" ht="12" customHeight="1">
      <c r="A866" s="330"/>
      <c r="B866" s="314"/>
      <c r="C866" s="285"/>
      <c r="D866" s="108"/>
      <c r="E866" s="285"/>
      <c r="F866" s="285"/>
      <c r="G866" s="35"/>
      <c r="H866" s="104"/>
      <c r="I866" s="35"/>
      <c r="J866" s="74"/>
      <c r="K866" s="74"/>
      <c r="L866" s="74"/>
      <c r="M866" s="74"/>
      <c r="N866" s="74"/>
      <c r="O866" s="74"/>
      <c r="P866" s="74"/>
      <c r="Q866" s="74"/>
      <c r="R866" s="74"/>
      <c r="S866" s="74"/>
      <c r="T866" s="74"/>
      <c r="U866" s="74"/>
      <c r="V866" s="74"/>
      <c r="W866" s="74"/>
      <c r="X866" s="74"/>
      <c r="Y866" s="74"/>
      <c r="Z866" s="74"/>
      <c r="AA866" s="74"/>
      <c r="AB866" s="74"/>
    </row>
    <row r="867" spans="1:28" ht="12" customHeight="1">
      <c r="A867" s="330"/>
      <c r="B867" s="314"/>
      <c r="C867" s="285"/>
      <c r="D867" s="108"/>
      <c r="E867" s="285"/>
      <c r="F867" s="285"/>
      <c r="G867" s="35"/>
      <c r="H867" s="104"/>
      <c r="I867" s="35"/>
      <c r="J867" s="74"/>
      <c r="K867" s="74"/>
      <c r="L867" s="74"/>
      <c r="M867" s="74"/>
      <c r="N867" s="74"/>
      <c r="O867" s="74"/>
      <c r="P867" s="74"/>
      <c r="Q867" s="74"/>
      <c r="R867" s="74"/>
      <c r="S867" s="74"/>
      <c r="T867" s="74"/>
      <c r="U867" s="74"/>
      <c r="V867" s="74"/>
      <c r="W867" s="74"/>
      <c r="X867" s="74"/>
      <c r="Y867" s="74"/>
      <c r="Z867" s="74"/>
      <c r="AA867" s="74"/>
      <c r="AB867" s="74"/>
    </row>
    <row r="868" spans="1:28" ht="12" customHeight="1">
      <c r="A868" s="330"/>
      <c r="B868" s="314"/>
      <c r="C868" s="285"/>
      <c r="D868" s="108"/>
      <c r="E868" s="285"/>
      <c r="F868" s="285"/>
      <c r="G868" s="35"/>
      <c r="H868" s="104"/>
      <c r="I868" s="35"/>
      <c r="J868" s="74"/>
      <c r="K868" s="74"/>
      <c r="L868" s="74"/>
      <c r="M868" s="74"/>
      <c r="N868" s="74"/>
      <c r="O868" s="74"/>
      <c r="P868" s="74"/>
      <c r="Q868" s="74"/>
      <c r="R868" s="74"/>
      <c r="S868" s="74"/>
      <c r="T868" s="74"/>
      <c r="U868" s="74"/>
      <c r="V868" s="74"/>
      <c r="W868" s="74"/>
      <c r="X868" s="74"/>
      <c r="Y868" s="74"/>
      <c r="Z868" s="74"/>
      <c r="AA868" s="74"/>
      <c r="AB868" s="74"/>
    </row>
    <row r="869" spans="1:28" ht="12" customHeight="1">
      <c r="A869" s="330"/>
      <c r="B869" s="314"/>
      <c r="C869" s="285"/>
      <c r="D869" s="108"/>
      <c r="E869" s="285"/>
      <c r="F869" s="285"/>
      <c r="G869" s="35"/>
      <c r="H869" s="104"/>
      <c r="I869" s="35"/>
      <c r="J869" s="74"/>
      <c r="K869" s="74"/>
      <c r="L869" s="74"/>
      <c r="M869" s="74"/>
      <c r="N869" s="74"/>
      <c r="O869" s="74"/>
      <c r="P869" s="74"/>
      <c r="Q869" s="74"/>
      <c r="R869" s="74"/>
      <c r="S869" s="74"/>
      <c r="T869" s="74"/>
      <c r="U869" s="74"/>
      <c r="V869" s="74"/>
      <c r="W869" s="74"/>
      <c r="X869" s="74"/>
      <c r="Y869" s="74"/>
      <c r="Z869" s="74"/>
      <c r="AA869" s="74"/>
      <c r="AB869" s="74"/>
    </row>
    <row r="870" spans="1:28" ht="12" customHeight="1">
      <c r="A870" s="330"/>
      <c r="B870" s="314"/>
      <c r="C870" s="285"/>
      <c r="D870" s="108"/>
      <c r="E870" s="285"/>
      <c r="F870" s="285"/>
      <c r="G870" s="35"/>
      <c r="H870" s="104"/>
      <c r="I870" s="35"/>
      <c r="J870" s="74"/>
      <c r="K870" s="74"/>
      <c r="L870" s="74"/>
      <c r="M870" s="74"/>
      <c r="N870" s="74"/>
      <c r="O870" s="74"/>
      <c r="P870" s="74"/>
      <c r="Q870" s="74"/>
      <c r="R870" s="74"/>
      <c r="S870" s="74"/>
      <c r="T870" s="74"/>
      <c r="U870" s="74"/>
      <c r="V870" s="74"/>
      <c r="W870" s="74"/>
      <c r="X870" s="74"/>
      <c r="Y870" s="74"/>
      <c r="Z870" s="74"/>
      <c r="AA870" s="74"/>
      <c r="AB870" s="74"/>
    </row>
    <row r="871" spans="1:28" ht="12" customHeight="1">
      <c r="A871" s="330"/>
      <c r="B871" s="314"/>
      <c r="C871" s="285"/>
      <c r="D871" s="108"/>
      <c r="E871" s="285"/>
      <c r="F871" s="285"/>
      <c r="G871" s="35"/>
      <c r="H871" s="104"/>
      <c r="I871" s="35"/>
      <c r="J871" s="74"/>
      <c r="K871" s="74"/>
      <c r="L871" s="74"/>
      <c r="M871" s="74"/>
      <c r="N871" s="74"/>
      <c r="O871" s="74"/>
      <c r="P871" s="74"/>
      <c r="Q871" s="74"/>
      <c r="R871" s="74"/>
      <c r="S871" s="74"/>
      <c r="T871" s="74"/>
      <c r="U871" s="74"/>
      <c r="V871" s="74"/>
      <c r="W871" s="74"/>
      <c r="X871" s="74"/>
      <c r="Y871" s="74"/>
      <c r="Z871" s="74"/>
      <c r="AA871" s="74"/>
      <c r="AB871" s="74"/>
    </row>
    <row r="872" spans="1:28" ht="12" customHeight="1">
      <c r="A872" s="330"/>
      <c r="B872" s="314"/>
      <c r="C872" s="285"/>
      <c r="D872" s="108"/>
      <c r="E872" s="285"/>
      <c r="F872" s="285"/>
      <c r="G872" s="35"/>
      <c r="H872" s="104"/>
      <c r="I872" s="35"/>
      <c r="J872" s="74"/>
      <c r="K872" s="74"/>
      <c r="L872" s="74"/>
      <c r="M872" s="74"/>
      <c r="N872" s="74"/>
      <c r="O872" s="74"/>
      <c r="P872" s="74"/>
      <c r="Q872" s="74"/>
      <c r="R872" s="74"/>
      <c r="S872" s="74"/>
      <c r="T872" s="74"/>
      <c r="U872" s="74"/>
      <c r="V872" s="74"/>
      <c r="W872" s="74"/>
      <c r="X872" s="74"/>
      <c r="Y872" s="74"/>
      <c r="Z872" s="74"/>
      <c r="AA872" s="74"/>
      <c r="AB872" s="74"/>
    </row>
    <row r="873" spans="1:28" ht="12" customHeight="1">
      <c r="A873" s="330"/>
      <c r="B873" s="314"/>
      <c r="C873" s="285"/>
      <c r="D873" s="108"/>
      <c r="E873" s="285"/>
      <c r="F873" s="285"/>
      <c r="G873" s="35"/>
      <c r="H873" s="104"/>
      <c r="I873" s="35"/>
      <c r="J873" s="74"/>
      <c r="K873" s="74"/>
      <c r="L873" s="74"/>
      <c r="M873" s="74"/>
      <c r="N873" s="74"/>
      <c r="O873" s="74"/>
      <c r="P873" s="74"/>
      <c r="Q873" s="74"/>
      <c r="R873" s="74"/>
      <c r="S873" s="74"/>
      <c r="T873" s="74"/>
      <c r="U873" s="74"/>
      <c r="V873" s="74"/>
      <c r="W873" s="74"/>
      <c r="X873" s="74"/>
      <c r="Y873" s="74"/>
      <c r="Z873" s="74"/>
      <c r="AA873" s="74"/>
      <c r="AB873" s="74"/>
    </row>
    <row r="874" spans="1:28" ht="12" customHeight="1">
      <c r="A874" s="330"/>
      <c r="B874" s="314"/>
      <c r="C874" s="285"/>
      <c r="D874" s="108"/>
      <c r="E874" s="285"/>
      <c r="F874" s="285"/>
      <c r="G874" s="35"/>
      <c r="H874" s="104"/>
      <c r="I874" s="35"/>
      <c r="J874" s="74"/>
      <c r="K874" s="74"/>
      <c r="L874" s="74"/>
      <c r="M874" s="74"/>
      <c r="N874" s="74"/>
      <c r="O874" s="74"/>
      <c r="P874" s="74"/>
      <c r="Q874" s="74"/>
      <c r="R874" s="74"/>
      <c r="S874" s="74"/>
      <c r="T874" s="74"/>
      <c r="U874" s="74"/>
      <c r="V874" s="74"/>
      <c r="W874" s="74"/>
      <c r="X874" s="74"/>
      <c r="Y874" s="74"/>
      <c r="Z874" s="74"/>
      <c r="AA874" s="74"/>
      <c r="AB874" s="74"/>
    </row>
    <row r="875" spans="1:28" ht="12" customHeight="1">
      <c r="A875" s="330"/>
      <c r="B875" s="314"/>
      <c r="C875" s="285"/>
      <c r="D875" s="108"/>
      <c r="E875" s="285"/>
      <c r="F875" s="285"/>
      <c r="G875" s="35"/>
      <c r="H875" s="104"/>
      <c r="I875" s="35"/>
      <c r="J875" s="74"/>
      <c r="K875" s="74"/>
      <c r="L875" s="74"/>
      <c r="M875" s="74"/>
      <c r="N875" s="74"/>
      <c r="O875" s="74"/>
      <c r="P875" s="74"/>
      <c r="Q875" s="74"/>
      <c r="R875" s="74"/>
      <c r="S875" s="74"/>
      <c r="T875" s="74"/>
      <c r="U875" s="74"/>
      <c r="V875" s="74"/>
      <c r="W875" s="74"/>
      <c r="X875" s="74"/>
      <c r="Y875" s="74"/>
      <c r="Z875" s="74"/>
      <c r="AA875" s="74"/>
      <c r="AB875" s="74"/>
    </row>
    <row r="876" spans="1:28" ht="12" customHeight="1">
      <c r="A876" s="330"/>
      <c r="B876" s="314"/>
      <c r="C876" s="285"/>
      <c r="D876" s="108"/>
      <c r="E876" s="285"/>
      <c r="F876" s="285"/>
      <c r="G876" s="35"/>
      <c r="H876" s="104"/>
      <c r="I876" s="35"/>
      <c r="J876" s="74"/>
      <c r="K876" s="74"/>
      <c r="L876" s="74"/>
      <c r="M876" s="74"/>
      <c r="N876" s="74"/>
      <c r="O876" s="74"/>
      <c r="P876" s="74"/>
      <c r="Q876" s="74"/>
      <c r="R876" s="74"/>
      <c r="S876" s="74"/>
      <c r="T876" s="74"/>
      <c r="U876" s="74"/>
      <c r="V876" s="74"/>
      <c r="W876" s="74"/>
      <c r="X876" s="74"/>
      <c r="Y876" s="74"/>
      <c r="Z876" s="74"/>
      <c r="AA876" s="74"/>
      <c r="AB876" s="74"/>
    </row>
    <row r="877" spans="1:28" ht="12" customHeight="1">
      <c r="A877" s="330"/>
      <c r="B877" s="314"/>
      <c r="C877" s="285"/>
      <c r="D877" s="108"/>
      <c r="E877" s="285"/>
      <c r="F877" s="285"/>
      <c r="G877" s="35"/>
      <c r="H877" s="104"/>
      <c r="I877" s="35"/>
      <c r="J877" s="74"/>
      <c r="K877" s="74"/>
      <c r="L877" s="74"/>
      <c r="M877" s="74"/>
      <c r="N877" s="74"/>
      <c r="O877" s="74"/>
      <c r="P877" s="74"/>
      <c r="Q877" s="74"/>
      <c r="R877" s="74"/>
      <c r="S877" s="74"/>
      <c r="T877" s="74"/>
      <c r="U877" s="74"/>
      <c r="V877" s="74"/>
      <c r="W877" s="74"/>
      <c r="X877" s="74"/>
      <c r="Y877" s="74"/>
      <c r="Z877" s="74"/>
      <c r="AA877" s="74"/>
      <c r="AB877" s="74"/>
    </row>
    <row r="878" spans="1:28" ht="12" customHeight="1">
      <c r="A878" s="330"/>
      <c r="B878" s="314"/>
      <c r="C878" s="285"/>
      <c r="D878" s="108"/>
      <c r="E878" s="285"/>
      <c r="F878" s="285"/>
      <c r="G878" s="35"/>
      <c r="H878" s="104"/>
      <c r="I878" s="35"/>
      <c r="J878" s="74"/>
      <c r="K878" s="74"/>
      <c r="L878" s="74"/>
      <c r="M878" s="74"/>
      <c r="N878" s="74"/>
      <c r="O878" s="74"/>
      <c r="P878" s="74"/>
      <c r="Q878" s="74"/>
      <c r="R878" s="74"/>
      <c r="S878" s="74"/>
      <c r="T878" s="74"/>
      <c r="U878" s="74"/>
      <c r="V878" s="74"/>
      <c r="W878" s="74"/>
      <c r="X878" s="74"/>
      <c r="Y878" s="74"/>
      <c r="Z878" s="74"/>
      <c r="AA878" s="74"/>
      <c r="AB878" s="74"/>
    </row>
    <row r="879" spans="1:28" ht="12" customHeight="1">
      <c r="A879" s="330"/>
      <c r="B879" s="314"/>
      <c r="C879" s="285"/>
      <c r="D879" s="108"/>
      <c r="E879" s="285"/>
      <c r="F879" s="285"/>
      <c r="G879" s="35"/>
      <c r="H879" s="104"/>
      <c r="I879" s="35"/>
      <c r="J879" s="74"/>
      <c r="K879" s="74"/>
      <c r="L879" s="74"/>
      <c r="M879" s="74"/>
      <c r="N879" s="74"/>
      <c r="O879" s="74"/>
      <c r="P879" s="74"/>
      <c r="Q879" s="74"/>
      <c r="R879" s="74"/>
      <c r="S879" s="74"/>
      <c r="T879" s="74"/>
      <c r="U879" s="74"/>
      <c r="V879" s="74"/>
      <c r="W879" s="74"/>
      <c r="X879" s="74"/>
      <c r="Y879" s="74"/>
      <c r="Z879" s="74"/>
      <c r="AA879" s="74"/>
      <c r="AB879" s="74"/>
    </row>
    <row r="880" spans="1:28" ht="12" customHeight="1">
      <c r="A880" s="330"/>
      <c r="B880" s="314"/>
      <c r="C880" s="285"/>
      <c r="D880" s="108"/>
      <c r="E880" s="285"/>
      <c r="F880" s="285"/>
      <c r="G880" s="35"/>
      <c r="H880" s="104"/>
      <c r="I880" s="35"/>
      <c r="J880" s="74"/>
      <c r="K880" s="74"/>
      <c r="L880" s="74"/>
      <c r="M880" s="74"/>
      <c r="N880" s="74"/>
      <c r="O880" s="74"/>
      <c r="P880" s="74"/>
      <c r="Q880" s="74"/>
      <c r="R880" s="74"/>
      <c r="S880" s="74"/>
      <c r="T880" s="74"/>
      <c r="U880" s="74"/>
      <c r="V880" s="74"/>
      <c r="W880" s="74"/>
      <c r="X880" s="74"/>
      <c r="Y880" s="74"/>
      <c r="Z880" s="74"/>
      <c r="AA880" s="74"/>
      <c r="AB880" s="74"/>
    </row>
    <row r="881" spans="1:28" ht="12" customHeight="1">
      <c r="A881" s="330"/>
      <c r="B881" s="314"/>
      <c r="C881" s="285"/>
      <c r="D881" s="108"/>
      <c r="E881" s="285"/>
      <c r="F881" s="285"/>
      <c r="G881" s="35"/>
      <c r="H881" s="104"/>
      <c r="I881" s="35"/>
      <c r="J881" s="74"/>
      <c r="K881" s="74"/>
      <c r="L881" s="74"/>
      <c r="M881" s="74"/>
      <c r="N881" s="74"/>
      <c r="O881" s="74"/>
      <c r="P881" s="74"/>
      <c r="Q881" s="74"/>
      <c r="R881" s="74"/>
      <c r="S881" s="74"/>
      <c r="T881" s="74"/>
      <c r="U881" s="74"/>
      <c r="V881" s="74"/>
      <c r="W881" s="74"/>
      <c r="X881" s="74"/>
      <c r="Y881" s="74"/>
      <c r="Z881" s="74"/>
      <c r="AA881" s="74"/>
      <c r="AB881" s="74"/>
    </row>
    <row r="882" spans="1:28" ht="12" customHeight="1">
      <c r="A882" s="330"/>
      <c r="B882" s="314"/>
      <c r="C882" s="285"/>
      <c r="D882" s="108"/>
      <c r="E882" s="285"/>
      <c r="F882" s="285"/>
      <c r="G882" s="35"/>
      <c r="H882" s="104"/>
      <c r="I882" s="35"/>
      <c r="J882" s="74"/>
      <c r="K882" s="74"/>
      <c r="L882" s="74"/>
      <c r="M882" s="74"/>
      <c r="N882" s="74"/>
      <c r="O882" s="74"/>
      <c r="P882" s="74"/>
      <c r="Q882" s="74"/>
      <c r="R882" s="74"/>
      <c r="S882" s="74"/>
      <c r="T882" s="74"/>
      <c r="U882" s="74"/>
      <c r="V882" s="74"/>
      <c r="W882" s="74"/>
      <c r="X882" s="74"/>
      <c r="Y882" s="74"/>
      <c r="Z882" s="74"/>
      <c r="AA882" s="74"/>
      <c r="AB882" s="74"/>
    </row>
    <row r="883" spans="1:28" ht="12" customHeight="1">
      <c r="A883" s="330"/>
      <c r="B883" s="314"/>
      <c r="C883" s="285"/>
      <c r="D883" s="108"/>
      <c r="E883" s="285"/>
      <c r="F883" s="285"/>
      <c r="G883" s="35"/>
      <c r="H883" s="104"/>
      <c r="I883" s="35"/>
      <c r="J883" s="74"/>
      <c r="K883" s="74"/>
      <c r="L883" s="74"/>
      <c r="M883" s="74"/>
      <c r="N883" s="74"/>
      <c r="O883" s="74"/>
      <c r="P883" s="74"/>
      <c r="Q883" s="74"/>
      <c r="R883" s="74"/>
      <c r="S883" s="74"/>
      <c r="T883" s="74"/>
      <c r="U883" s="74"/>
      <c r="V883" s="74"/>
      <c r="W883" s="74"/>
      <c r="X883" s="74"/>
      <c r="Y883" s="74"/>
      <c r="Z883" s="74"/>
      <c r="AA883" s="74"/>
      <c r="AB883" s="74"/>
    </row>
    <row r="884" spans="1:28" ht="12" customHeight="1">
      <c r="A884" s="330"/>
      <c r="B884" s="314"/>
      <c r="C884" s="285"/>
      <c r="D884" s="108"/>
      <c r="E884" s="285"/>
      <c r="F884" s="285"/>
      <c r="G884" s="35"/>
      <c r="H884" s="104"/>
      <c r="I884" s="35"/>
      <c r="J884" s="74"/>
      <c r="K884" s="74"/>
      <c r="L884" s="74"/>
      <c r="M884" s="74"/>
      <c r="N884" s="74"/>
      <c r="O884" s="74"/>
      <c r="P884" s="74"/>
      <c r="Q884" s="74"/>
      <c r="R884" s="74"/>
      <c r="S884" s="74"/>
      <c r="T884" s="74"/>
      <c r="U884" s="74"/>
      <c r="V884" s="74"/>
      <c r="W884" s="74"/>
      <c r="X884" s="74"/>
      <c r="Y884" s="74"/>
      <c r="Z884" s="74"/>
      <c r="AA884" s="74"/>
      <c r="AB884" s="74"/>
    </row>
    <row r="885" spans="1:28" ht="12" customHeight="1">
      <c r="A885" s="330"/>
      <c r="B885" s="314"/>
      <c r="C885" s="285"/>
      <c r="D885" s="108"/>
      <c r="E885" s="285"/>
      <c r="F885" s="285"/>
      <c r="G885" s="35"/>
      <c r="H885" s="104"/>
      <c r="I885" s="35"/>
      <c r="J885" s="74"/>
      <c r="K885" s="74"/>
      <c r="L885" s="74"/>
      <c r="M885" s="74"/>
      <c r="N885" s="74"/>
      <c r="O885" s="74"/>
      <c r="P885" s="74"/>
      <c r="Q885" s="74"/>
      <c r="R885" s="74"/>
      <c r="S885" s="74"/>
      <c r="T885" s="74"/>
      <c r="U885" s="74"/>
      <c r="V885" s="74"/>
      <c r="W885" s="74"/>
      <c r="X885" s="74"/>
      <c r="Y885" s="74"/>
      <c r="Z885" s="74"/>
      <c r="AA885" s="74"/>
      <c r="AB885" s="74"/>
    </row>
    <row r="886" spans="1:28" ht="12" customHeight="1">
      <c r="A886" s="330"/>
      <c r="B886" s="314"/>
      <c r="C886" s="285"/>
      <c r="D886" s="108"/>
      <c r="E886" s="285"/>
      <c r="F886" s="285"/>
      <c r="G886" s="35"/>
      <c r="H886" s="104"/>
      <c r="I886" s="35"/>
      <c r="J886" s="74"/>
      <c r="K886" s="74"/>
      <c r="L886" s="74"/>
      <c r="M886" s="74"/>
      <c r="N886" s="74"/>
      <c r="O886" s="74"/>
      <c r="P886" s="74"/>
      <c r="Q886" s="74"/>
      <c r="R886" s="74"/>
      <c r="S886" s="74"/>
      <c r="T886" s="74"/>
      <c r="U886" s="74"/>
      <c r="V886" s="74"/>
      <c r="W886" s="74"/>
      <c r="X886" s="74"/>
      <c r="Y886" s="74"/>
      <c r="Z886" s="74"/>
      <c r="AA886" s="74"/>
      <c r="AB886" s="74"/>
    </row>
    <row r="887" spans="1:28" ht="12" customHeight="1">
      <c r="A887" s="330"/>
      <c r="B887" s="314"/>
      <c r="C887" s="285"/>
      <c r="D887" s="108"/>
      <c r="E887" s="285"/>
      <c r="F887" s="285"/>
      <c r="G887" s="35"/>
      <c r="H887" s="104"/>
      <c r="I887" s="35"/>
      <c r="J887" s="74"/>
      <c r="K887" s="74"/>
      <c r="L887" s="74"/>
      <c r="M887" s="74"/>
      <c r="N887" s="74"/>
      <c r="O887" s="74"/>
      <c r="P887" s="74"/>
      <c r="Q887" s="74"/>
      <c r="R887" s="74"/>
      <c r="S887" s="74"/>
      <c r="T887" s="74"/>
      <c r="U887" s="74"/>
      <c r="V887" s="74"/>
      <c r="W887" s="74"/>
      <c r="X887" s="74"/>
      <c r="Y887" s="74"/>
      <c r="Z887" s="74"/>
      <c r="AA887" s="74"/>
      <c r="AB887" s="74"/>
    </row>
    <row r="888" spans="1:28" ht="12" customHeight="1">
      <c r="A888" s="330"/>
      <c r="B888" s="314"/>
      <c r="C888" s="285"/>
      <c r="D888" s="108"/>
      <c r="E888" s="285"/>
      <c r="F888" s="285"/>
      <c r="G888" s="35"/>
      <c r="H888" s="104"/>
      <c r="I888" s="35"/>
      <c r="J888" s="74"/>
      <c r="K888" s="74"/>
      <c r="L888" s="74"/>
      <c r="M888" s="74"/>
      <c r="N888" s="74"/>
      <c r="O888" s="74"/>
      <c r="P888" s="74"/>
      <c r="Q888" s="74"/>
      <c r="R888" s="74"/>
      <c r="S888" s="74"/>
      <c r="T888" s="74"/>
      <c r="U888" s="74"/>
      <c r="V888" s="74"/>
      <c r="W888" s="74"/>
      <c r="X888" s="74"/>
      <c r="Y888" s="74"/>
      <c r="Z888" s="74"/>
      <c r="AA888" s="74"/>
      <c r="AB888" s="74"/>
    </row>
    <row r="889" spans="1:28" ht="12" customHeight="1">
      <c r="A889" s="330"/>
      <c r="B889" s="314"/>
      <c r="C889" s="285"/>
      <c r="D889" s="108"/>
      <c r="E889" s="285"/>
      <c r="F889" s="285"/>
      <c r="G889" s="35"/>
      <c r="H889" s="104"/>
      <c r="I889" s="35"/>
      <c r="J889" s="74"/>
      <c r="K889" s="74"/>
      <c r="L889" s="74"/>
      <c r="M889" s="74"/>
      <c r="N889" s="74"/>
      <c r="O889" s="74"/>
      <c r="P889" s="74"/>
      <c r="Q889" s="74"/>
      <c r="R889" s="74"/>
      <c r="S889" s="74"/>
      <c r="T889" s="74"/>
      <c r="U889" s="74"/>
      <c r="V889" s="74"/>
      <c r="W889" s="74"/>
      <c r="X889" s="74"/>
      <c r="Y889" s="74"/>
      <c r="Z889" s="74"/>
      <c r="AA889" s="74"/>
      <c r="AB889" s="74"/>
    </row>
    <row r="890" spans="1:28" ht="12" customHeight="1">
      <c r="A890" s="330"/>
      <c r="B890" s="314"/>
      <c r="C890" s="285"/>
      <c r="D890" s="108"/>
      <c r="E890" s="285"/>
      <c r="F890" s="285"/>
      <c r="G890" s="35"/>
      <c r="H890" s="104"/>
      <c r="I890" s="35"/>
      <c r="J890" s="74"/>
      <c r="K890" s="74"/>
      <c r="L890" s="74"/>
      <c r="M890" s="74"/>
      <c r="N890" s="74"/>
      <c r="O890" s="74"/>
      <c r="P890" s="74"/>
      <c r="Q890" s="74"/>
      <c r="R890" s="74"/>
      <c r="S890" s="74"/>
      <c r="T890" s="74"/>
      <c r="U890" s="74"/>
      <c r="V890" s="74"/>
      <c r="W890" s="74"/>
      <c r="X890" s="74"/>
      <c r="Y890" s="74"/>
      <c r="Z890" s="74"/>
      <c r="AA890" s="74"/>
      <c r="AB890" s="74"/>
    </row>
    <row r="891" spans="1:28" ht="12" customHeight="1">
      <c r="A891" s="330"/>
      <c r="B891" s="314"/>
      <c r="C891" s="285"/>
      <c r="D891" s="108"/>
      <c r="E891" s="285"/>
      <c r="F891" s="285"/>
      <c r="G891" s="35"/>
      <c r="H891" s="104"/>
      <c r="I891" s="35"/>
      <c r="J891" s="74"/>
      <c r="K891" s="74"/>
      <c r="L891" s="74"/>
      <c r="M891" s="74"/>
      <c r="N891" s="74"/>
      <c r="O891" s="74"/>
      <c r="P891" s="74"/>
      <c r="Q891" s="74"/>
      <c r="R891" s="74"/>
      <c r="S891" s="74"/>
      <c r="T891" s="74"/>
      <c r="U891" s="74"/>
      <c r="V891" s="74"/>
      <c r="W891" s="74"/>
      <c r="X891" s="74"/>
      <c r="Y891" s="74"/>
      <c r="Z891" s="74"/>
      <c r="AA891" s="74"/>
      <c r="AB891" s="74"/>
    </row>
    <row r="892" spans="1:28" ht="12" customHeight="1">
      <c r="A892" s="330"/>
      <c r="B892" s="314"/>
      <c r="C892" s="285"/>
      <c r="D892" s="108"/>
      <c r="E892" s="285"/>
      <c r="F892" s="285"/>
      <c r="G892" s="35"/>
      <c r="H892" s="104"/>
      <c r="I892" s="35"/>
      <c r="J892" s="74"/>
      <c r="K892" s="74"/>
      <c r="L892" s="74"/>
      <c r="M892" s="74"/>
      <c r="N892" s="74"/>
      <c r="O892" s="74"/>
      <c r="P892" s="74"/>
      <c r="Q892" s="74"/>
      <c r="R892" s="74"/>
      <c r="S892" s="74"/>
      <c r="T892" s="74"/>
      <c r="U892" s="74"/>
      <c r="V892" s="74"/>
      <c r="W892" s="74"/>
      <c r="X892" s="74"/>
      <c r="Y892" s="74"/>
      <c r="Z892" s="74"/>
      <c r="AA892" s="74"/>
      <c r="AB892" s="74"/>
    </row>
    <row r="893" spans="1:28" ht="12" customHeight="1">
      <c r="A893" s="330"/>
      <c r="B893" s="314"/>
      <c r="C893" s="285"/>
      <c r="D893" s="108"/>
      <c r="E893" s="285"/>
      <c r="F893" s="285"/>
      <c r="G893" s="35"/>
      <c r="H893" s="104"/>
      <c r="I893" s="35"/>
      <c r="J893" s="74"/>
      <c r="K893" s="74"/>
      <c r="L893" s="74"/>
      <c r="M893" s="74"/>
      <c r="N893" s="74"/>
      <c r="O893" s="74"/>
      <c r="P893" s="74"/>
      <c r="Q893" s="74"/>
      <c r="R893" s="74"/>
      <c r="S893" s="74"/>
      <c r="T893" s="74"/>
      <c r="U893" s="74"/>
      <c r="V893" s="74"/>
      <c r="W893" s="74"/>
      <c r="X893" s="74"/>
      <c r="Y893" s="74"/>
      <c r="Z893" s="74"/>
      <c r="AA893" s="74"/>
      <c r="AB893" s="74"/>
    </row>
    <row r="894" spans="1:28" ht="12" customHeight="1">
      <c r="A894" s="330"/>
      <c r="B894" s="314"/>
      <c r="C894" s="285"/>
      <c r="D894" s="108"/>
      <c r="E894" s="285"/>
      <c r="F894" s="285"/>
      <c r="G894" s="35"/>
      <c r="H894" s="104"/>
      <c r="I894" s="35"/>
      <c r="J894" s="74"/>
      <c r="K894" s="74"/>
      <c r="L894" s="74"/>
      <c r="M894" s="74"/>
      <c r="N894" s="74"/>
      <c r="O894" s="74"/>
      <c r="P894" s="74"/>
      <c r="Q894" s="74"/>
      <c r="R894" s="74"/>
      <c r="S894" s="74"/>
      <c r="T894" s="74"/>
      <c r="U894" s="74"/>
      <c r="V894" s="74"/>
      <c r="W894" s="74"/>
      <c r="X894" s="74"/>
      <c r="Y894" s="74"/>
      <c r="Z894" s="74"/>
      <c r="AA894" s="74"/>
      <c r="AB894" s="74"/>
    </row>
    <row r="895" spans="1:28" ht="12" customHeight="1">
      <c r="A895" s="330"/>
      <c r="B895" s="314"/>
      <c r="C895" s="285"/>
      <c r="D895" s="108"/>
      <c r="E895" s="285"/>
      <c r="F895" s="285"/>
      <c r="G895" s="35"/>
      <c r="H895" s="104"/>
      <c r="I895" s="35"/>
      <c r="J895" s="74"/>
      <c r="K895" s="74"/>
      <c r="L895" s="74"/>
      <c r="M895" s="74"/>
      <c r="N895" s="74"/>
      <c r="O895" s="74"/>
      <c r="P895" s="74"/>
      <c r="Q895" s="74"/>
      <c r="R895" s="74"/>
      <c r="S895" s="74"/>
      <c r="T895" s="74"/>
      <c r="U895" s="74"/>
      <c r="V895" s="74"/>
      <c r="W895" s="74"/>
      <c r="X895" s="74"/>
      <c r="Y895" s="74"/>
      <c r="Z895" s="74"/>
      <c r="AA895" s="74"/>
      <c r="AB895" s="74"/>
    </row>
    <row r="896" spans="1:28" ht="12" customHeight="1">
      <c r="A896" s="330"/>
      <c r="B896" s="314"/>
      <c r="C896" s="285"/>
      <c r="D896" s="108"/>
      <c r="E896" s="285"/>
      <c r="F896" s="285"/>
      <c r="G896" s="35"/>
      <c r="H896" s="104"/>
      <c r="I896" s="35"/>
      <c r="J896" s="74"/>
      <c r="K896" s="74"/>
      <c r="L896" s="74"/>
      <c r="M896" s="74"/>
      <c r="N896" s="74"/>
      <c r="O896" s="74"/>
      <c r="P896" s="74"/>
      <c r="Q896" s="74"/>
      <c r="R896" s="74"/>
      <c r="S896" s="74"/>
      <c r="T896" s="74"/>
      <c r="U896" s="74"/>
      <c r="V896" s="74"/>
      <c r="W896" s="74"/>
      <c r="X896" s="74"/>
      <c r="Y896" s="74"/>
      <c r="Z896" s="74"/>
      <c r="AA896" s="74"/>
      <c r="AB896" s="74"/>
    </row>
    <row r="897" spans="1:28" ht="12" customHeight="1">
      <c r="A897" s="330"/>
      <c r="B897" s="314"/>
      <c r="C897" s="285"/>
      <c r="D897" s="108"/>
      <c r="E897" s="285"/>
      <c r="F897" s="285"/>
      <c r="G897" s="35"/>
      <c r="H897" s="104"/>
      <c r="I897" s="35"/>
      <c r="J897" s="74"/>
      <c r="K897" s="74"/>
      <c r="L897" s="74"/>
      <c r="M897" s="74"/>
      <c r="N897" s="74"/>
      <c r="O897" s="74"/>
      <c r="P897" s="74"/>
      <c r="Q897" s="74"/>
      <c r="R897" s="74"/>
      <c r="S897" s="74"/>
      <c r="T897" s="74"/>
      <c r="U897" s="74"/>
      <c r="V897" s="74"/>
      <c r="W897" s="74"/>
      <c r="X897" s="74"/>
      <c r="Y897" s="74"/>
      <c r="Z897" s="74"/>
      <c r="AA897" s="74"/>
      <c r="AB897" s="74"/>
    </row>
    <row r="898" spans="1:28" ht="12" customHeight="1">
      <c r="A898" s="330"/>
      <c r="B898" s="314"/>
      <c r="C898" s="285"/>
      <c r="D898" s="108"/>
      <c r="E898" s="285"/>
      <c r="F898" s="285"/>
      <c r="G898" s="35"/>
      <c r="H898" s="104"/>
      <c r="I898" s="35"/>
      <c r="J898" s="74"/>
      <c r="K898" s="74"/>
      <c r="L898" s="74"/>
      <c r="M898" s="74"/>
      <c r="N898" s="74"/>
      <c r="O898" s="74"/>
      <c r="P898" s="74"/>
      <c r="Q898" s="74"/>
      <c r="R898" s="74"/>
      <c r="S898" s="74"/>
      <c r="T898" s="74"/>
      <c r="U898" s="74"/>
      <c r="V898" s="74"/>
      <c r="W898" s="74"/>
      <c r="X898" s="74"/>
      <c r="Y898" s="74"/>
      <c r="Z898" s="74"/>
      <c r="AA898" s="74"/>
      <c r="AB898" s="74"/>
    </row>
    <row r="899" spans="1:28" ht="12" customHeight="1">
      <c r="A899" s="330"/>
      <c r="B899" s="314"/>
      <c r="C899" s="285"/>
      <c r="D899" s="108"/>
      <c r="E899" s="285"/>
      <c r="F899" s="285"/>
      <c r="G899" s="35"/>
      <c r="H899" s="104"/>
      <c r="I899" s="35"/>
      <c r="J899" s="74"/>
      <c r="K899" s="74"/>
      <c r="L899" s="74"/>
      <c r="M899" s="74"/>
      <c r="N899" s="74"/>
      <c r="O899" s="74"/>
      <c r="P899" s="74"/>
      <c r="Q899" s="74"/>
      <c r="R899" s="74"/>
      <c r="S899" s="74"/>
      <c r="T899" s="74"/>
      <c r="U899" s="74"/>
      <c r="V899" s="74"/>
      <c r="W899" s="74"/>
      <c r="X899" s="74"/>
      <c r="Y899" s="74"/>
      <c r="Z899" s="74"/>
      <c r="AA899" s="74"/>
      <c r="AB899" s="74"/>
    </row>
    <row r="900" spans="1:28" ht="12" customHeight="1">
      <c r="A900" s="330"/>
      <c r="B900" s="314"/>
      <c r="C900" s="285"/>
      <c r="D900" s="108"/>
      <c r="E900" s="285"/>
      <c r="F900" s="285"/>
      <c r="G900" s="35"/>
      <c r="H900" s="104"/>
      <c r="I900" s="35"/>
      <c r="J900" s="74"/>
      <c r="K900" s="74"/>
      <c r="L900" s="74"/>
      <c r="M900" s="74"/>
      <c r="N900" s="74"/>
      <c r="O900" s="74"/>
      <c r="P900" s="74"/>
      <c r="Q900" s="74"/>
      <c r="R900" s="74"/>
      <c r="S900" s="74"/>
      <c r="T900" s="74"/>
      <c r="U900" s="74"/>
      <c r="V900" s="74"/>
      <c r="W900" s="74"/>
      <c r="X900" s="74"/>
      <c r="Y900" s="74"/>
      <c r="Z900" s="74"/>
      <c r="AA900" s="74"/>
      <c r="AB900" s="74"/>
    </row>
    <row r="901" spans="1:28" ht="12" customHeight="1">
      <c r="A901" s="330"/>
      <c r="B901" s="314"/>
      <c r="C901" s="285"/>
      <c r="D901" s="108"/>
      <c r="E901" s="285"/>
      <c r="F901" s="285"/>
      <c r="G901" s="35"/>
      <c r="H901" s="104"/>
      <c r="I901" s="35"/>
      <c r="J901" s="74"/>
      <c r="K901" s="74"/>
      <c r="L901" s="74"/>
      <c r="M901" s="74"/>
      <c r="N901" s="74"/>
      <c r="O901" s="74"/>
      <c r="P901" s="74"/>
      <c r="Q901" s="74"/>
      <c r="R901" s="74"/>
      <c r="S901" s="74"/>
      <c r="T901" s="74"/>
      <c r="U901" s="74"/>
      <c r="V901" s="74"/>
      <c r="W901" s="74"/>
      <c r="X901" s="74"/>
      <c r="Y901" s="74"/>
      <c r="Z901" s="74"/>
      <c r="AA901" s="74"/>
      <c r="AB901" s="74"/>
    </row>
    <row r="902" spans="1:28" ht="12" customHeight="1">
      <c r="A902" s="330"/>
      <c r="B902" s="314"/>
      <c r="C902" s="285"/>
      <c r="D902" s="108"/>
      <c r="E902" s="285"/>
      <c r="F902" s="285"/>
      <c r="G902" s="35"/>
      <c r="H902" s="104"/>
      <c r="I902" s="35"/>
      <c r="J902" s="74"/>
      <c r="K902" s="74"/>
      <c r="L902" s="74"/>
      <c r="M902" s="74"/>
      <c r="N902" s="74"/>
      <c r="O902" s="74"/>
      <c r="P902" s="74"/>
      <c r="Q902" s="74"/>
      <c r="R902" s="74"/>
      <c r="S902" s="74"/>
      <c r="T902" s="74"/>
      <c r="U902" s="74"/>
      <c r="V902" s="74"/>
      <c r="W902" s="74"/>
      <c r="X902" s="74"/>
      <c r="Y902" s="74"/>
      <c r="Z902" s="74"/>
      <c r="AA902" s="74"/>
      <c r="AB902" s="74"/>
    </row>
    <row r="903" spans="1:28" ht="12" customHeight="1">
      <c r="A903" s="330"/>
      <c r="B903" s="314"/>
      <c r="C903" s="285"/>
      <c r="D903" s="108"/>
      <c r="E903" s="285"/>
      <c r="F903" s="285"/>
      <c r="G903" s="35"/>
      <c r="H903" s="104"/>
      <c r="I903" s="35"/>
      <c r="J903" s="74"/>
      <c r="K903" s="74"/>
      <c r="L903" s="74"/>
      <c r="M903" s="74"/>
      <c r="N903" s="74"/>
      <c r="O903" s="74"/>
      <c r="P903" s="74"/>
      <c r="Q903" s="74"/>
      <c r="R903" s="74"/>
      <c r="S903" s="74"/>
      <c r="T903" s="74"/>
      <c r="U903" s="74"/>
      <c r="V903" s="74"/>
      <c r="W903" s="74"/>
      <c r="X903" s="74"/>
      <c r="Y903" s="74"/>
      <c r="Z903" s="74"/>
      <c r="AA903" s="74"/>
      <c r="AB903" s="74"/>
    </row>
    <row r="904" spans="1:28" ht="12" customHeight="1">
      <c r="A904" s="330"/>
      <c r="B904" s="314"/>
      <c r="C904" s="285"/>
      <c r="D904" s="108"/>
      <c r="E904" s="285"/>
      <c r="F904" s="285"/>
      <c r="G904" s="35"/>
      <c r="H904" s="104"/>
      <c r="I904" s="35"/>
      <c r="J904" s="74"/>
      <c r="K904" s="74"/>
      <c r="L904" s="74"/>
      <c r="M904" s="74"/>
      <c r="N904" s="74"/>
      <c r="O904" s="74"/>
      <c r="P904" s="74"/>
      <c r="Q904" s="74"/>
      <c r="R904" s="74"/>
      <c r="S904" s="74"/>
      <c r="T904" s="74"/>
      <c r="U904" s="74"/>
      <c r="V904" s="74"/>
      <c r="W904" s="74"/>
      <c r="X904" s="74"/>
      <c r="Y904" s="74"/>
      <c r="Z904" s="74"/>
      <c r="AA904" s="74"/>
      <c r="AB904" s="74"/>
    </row>
    <row r="905" spans="1:28" ht="12" customHeight="1">
      <c r="A905" s="330"/>
      <c r="B905" s="314"/>
      <c r="C905" s="285"/>
      <c r="D905" s="108"/>
      <c r="E905" s="285"/>
      <c r="F905" s="285"/>
      <c r="G905" s="35"/>
      <c r="H905" s="104"/>
      <c r="I905" s="35"/>
      <c r="J905" s="74"/>
      <c r="K905" s="74"/>
      <c r="L905" s="74"/>
      <c r="M905" s="74"/>
      <c r="N905" s="74"/>
      <c r="O905" s="74"/>
      <c r="P905" s="74"/>
      <c r="Q905" s="74"/>
      <c r="R905" s="74"/>
      <c r="S905" s="74"/>
      <c r="T905" s="74"/>
      <c r="U905" s="74"/>
      <c r="V905" s="74"/>
      <c r="W905" s="74"/>
      <c r="X905" s="74"/>
      <c r="Y905" s="74"/>
      <c r="Z905" s="74"/>
      <c r="AA905" s="74"/>
      <c r="AB905" s="74"/>
    </row>
    <row r="906" spans="1:28" ht="12" customHeight="1">
      <c r="A906" s="330"/>
      <c r="B906" s="314"/>
      <c r="C906" s="285"/>
      <c r="D906" s="108"/>
      <c r="E906" s="285"/>
      <c r="F906" s="285"/>
      <c r="G906" s="35"/>
      <c r="H906" s="104"/>
      <c r="I906" s="35"/>
      <c r="J906" s="74"/>
      <c r="K906" s="74"/>
      <c r="L906" s="74"/>
      <c r="M906" s="74"/>
      <c r="N906" s="74"/>
      <c r="O906" s="74"/>
      <c r="P906" s="74"/>
      <c r="Q906" s="74"/>
      <c r="R906" s="74"/>
      <c r="S906" s="74"/>
      <c r="T906" s="74"/>
      <c r="U906" s="74"/>
      <c r="V906" s="74"/>
      <c r="W906" s="74"/>
      <c r="X906" s="74"/>
      <c r="Y906" s="74"/>
      <c r="Z906" s="74"/>
      <c r="AA906" s="74"/>
      <c r="AB906" s="74"/>
    </row>
    <row r="907" spans="1:28" ht="12" customHeight="1">
      <c r="A907" s="330"/>
      <c r="B907" s="314"/>
      <c r="C907" s="285"/>
      <c r="D907" s="108"/>
      <c r="E907" s="285"/>
      <c r="F907" s="285"/>
      <c r="G907" s="35"/>
      <c r="H907" s="104"/>
      <c r="I907" s="35"/>
      <c r="J907" s="74"/>
      <c r="K907" s="74"/>
      <c r="L907" s="74"/>
      <c r="M907" s="74"/>
      <c r="N907" s="74"/>
      <c r="O907" s="74"/>
      <c r="P907" s="74"/>
      <c r="Q907" s="74"/>
      <c r="R907" s="74"/>
      <c r="S907" s="74"/>
      <c r="T907" s="74"/>
      <c r="U907" s="74"/>
      <c r="V907" s="74"/>
      <c r="W907" s="74"/>
      <c r="X907" s="74"/>
      <c r="Y907" s="74"/>
      <c r="Z907" s="74"/>
      <c r="AA907" s="74"/>
      <c r="AB907" s="74"/>
    </row>
    <row r="908" spans="1:28" ht="12" customHeight="1">
      <c r="A908" s="330"/>
      <c r="B908" s="314"/>
      <c r="C908" s="285"/>
      <c r="D908" s="108"/>
      <c r="E908" s="285"/>
      <c r="F908" s="285"/>
      <c r="G908" s="35"/>
      <c r="H908" s="104"/>
      <c r="I908" s="35"/>
      <c r="J908" s="74"/>
      <c r="K908" s="74"/>
      <c r="L908" s="74"/>
      <c r="M908" s="74"/>
      <c r="N908" s="74"/>
      <c r="O908" s="74"/>
      <c r="P908" s="74"/>
      <c r="Q908" s="74"/>
      <c r="R908" s="74"/>
      <c r="S908" s="74"/>
      <c r="T908" s="74"/>
      <c r="U908" s="74"/>
      <c r="V908" s="74"/>
      <c r="W908" s="74"/>
      <c r="X908" s="74"/>
      <c r="Y908" s="74"/>
      <c r="Z908" s="74"/>
      <c r="AA908" s="74"/>
      <c r="AB908" s="74"/>
    </row>
    <row r="909" spans="1:28" ht="12" customHeight="1">
      <c r="A909" s="330"/>
      <c r="B909" s="314"/>
      <c r="C909" s="285"/>
      <c r="D909" s="108"/>
      <c r="E909" s="285"/>
      <c r="F909" s="285"/>
      <c r="G909" s="35"/>
      <c r="H909" s="104"/>
      <c r="I909" s="35"/>
      <c r="J909" s="74"/>
      <c r="K909" s="74"/>
      <c r="L909" s="74"/>
      <c r="M909" s="74"/>
      <c r="N909" s="74"/>
      <c r="O909" s="74"/>
      <c r="P909" s="74"/>
      <c r="Q909" s="74"/>
      <c r="R909" s="74"/>
      <c r="S909" s="74"/>
      <c r="T909" s="74"/>
      <c r="U909" s="74"/>
      <c r="V909" s="74"/>
      <c r="W909" s="74"/>
      <c r="X909" s="74"/>
      <c r="Y909" s="74"/>
      <c r="Z909" s="74"/>
      <c r="AA909" s="74"/>
      <c r="AB909" s="74"/>
    </row>
    <row r="910" spans="1:28" ht="12" customHeight="1">
      <c r="A910" s="330"/>
      <c r="B910" s="314"/>
      <c r="C910" s="285"/>
      <c r="D910" s="108"/>
      <c r="E910" s="285"/>
      <c r="F910" s="285"/>
      <c r="G910" s="35"/>
      <c r="H910" s="104"/>
      <c r="I910" s="35"/>
      <c r="J910" s="74"/>
      <c r="K910" s="74"/>
      <c r="L910" s="74"/>
      <c r="M910" s="74"/>
      <c r="N910" s="74"/>
      <c r="O910" s="74"/>
      <c r="P910" s="74"/>
      <c r="Q910" s="74"/>
      <c r="R910" s="74"/>
      <c r="S910" s="74"/>
      <c r="T910" s="74"/>
      <c r="U910" s="74"/>
      <c r="V910" s="74"/>
      <c r="W910" s="74"/>
      <c r="X910" s="74"/>
      <c r="Y910" s="74"/>
      <c r="Z910" s="74"/>
      <c r="AA910" s="74"/>
      <c r="AB910" s="74"/>
    </row>
    <row r="911" spans="1:28" ht="12" customHeight="1">
      <c r="A911" s="330"/>
      <c r="B911" s="314"/>
      <c r="C911" s="285"/>
      <c r="D911" s="108"/>
      <c r="E911" s="285"/>
      <c r="F911" s="285"/>
      <c r="G911" s="35"/>
      <c r="H911" s="104"/>
      <c r="I911" s="35"/>
      <c r="J911" s="74"/>
      <c r="K911" s="74"/>
      <c r="L911" s="74"/>
      <c r="M911" s="74"/>
      <c r="N911" s="74"/>
      <c r="O911" s="74"/>
      <c r="P911" s="74"/>
      <c r="Q911" s="74"/>
      <c r="R911" s="74"/>
      <c r="S911" s="74"/>
      <c r="T911" s="74"/>
      <c r="U911" s="74"/>
      <c r="V911" s="74"/>
      <c r="W911" s="74"/>
      <c r="X911" s="74"/>
      <c r="Y911" s="74"/>
      <c r="Z911" s="74"/>
      <c r="AA911" s="74"/>
      <c r="AB911" s="74"/>
    </row>
    <row r="912" spans="1:28" ht="12" customHeight="1">
      <c r="A912" s="330"/>
      <c r="B912" s="314"/>
      <c r="C912" s="285"/>
      <c r="D912" s="108"/>
      <c r="E912" s="285"/>
      <c r="F912" s="285"/>
      <c r="G912" s="35"/>
      <c r="H912" s="104"/>
      <c r="I912" s="35"/>
      <c r="J912" s="74"/>
      <c r="K912" s="74"/>
      <c r="L912" s="74"/>
      <c r="M912" s="74"/>
      <c r="N912" s="74"/>
      <c r="O912" s="74"/>
      <c r="P912" s="74"/>
      <c r="Q912" s="74"/>
      <c r="R912" s="74"/>
      <c r="S912" s="74"/>
      <c r="T912" s="74"/>
      <c r="U912" s="74"/>
      <c r="V912" s="74"/>
      <c r="W912" s="74"/>
      <c r="X912" s="74"/>
      <c r="Y912" s="74"/>
      <c r="Z912" s="74"/>
      <c r="AA912" s="74"/>
      <c r="AB912" s="74"/>
    </row>
    <row r="913" spans="1:28" ht="12" customHeight="1">
      <c r="A913" s="330"/>
      <c r="B913" s="314"/>
      <c r="C913" s="285"/>
      <c r="D913" s="108"/>
      <c r="E913" s="285"/>
      <c r="F913" s="285"/>
      <c r="G913" s="35"/>
      <c r="H913" s="104"/>
      <c r="I913" s="35"/>
      <c r="J913" s="74"/>
      <c r="K913" s="74"/>
      <c r="L913" s="74"/>
      <c r="M913" s="74"/>
      <c r="N913" s="74"/>
      <c r="O913" s="74"/>
      <c r="P913" s="74"/>
      <c r="Q913" s="74"/>
      <c r="R913" s="74"/>
      <c r="S913" s="74"/>
      <c r="T913" s="74"/>
      <c r="U913" s="74"/>
      <c r="V913" s="74"/>
      <c r="W913" s="74"/>
      <c r="X913" s="74"/>
      <c r="Y913" s="74"/>
      <c r="Z913" s="74"/>
      <c r="AA913" s="74"/>
      <c r="AB913" s="74"/>
    </row>
    <row r="914" spans="1:28" ht="12" customHeight="1">
      <c r="A914" s="330"/>
      <c r="B914" s="314"/>
      <c r="C914" s="285"/>
      <c r="D914" s="108"/>
      <c r="E914" s="285"/>
      <c r="F914" s="285"/>
      <c r="G914" s="35"/>
      <c r="H914" s="104"/>
      <c r="I914" s="35"/>
      <c r="J914" s="74"/>
      <c r="K914" s="74"/>
      <c r="L914" s="74"/>
      <c r="M914" s="74"/>
      <c r="N914" s="74"/>
      <c r="O914" s="74"/>
      <c r="P914" s="74"/>
      <c r="Q914" s="74"/>
      <c r="R914" s="74"/>
      <c r="S914" s="74"/>
      <c r="T914" s="74"/>
      <c r="U914" s="74"/>
      <c r="V914" s="74"/>
      <c r="W914" s="74"/>
      <c r="X914" s="74"/>
      <c r="Y914" s="74"/>
      <c r="Z914" s="74"/>
      <c r="AA914" s="74"/>
      <c r="AB914" s="74"/>
    </row>
    <row r="915" spans="1:28" ht="12" customHeight="1">
      <c r="A915" s="330"/>
      <c r="B915" s="314"/>
      <c r="C915" s="285"/>
      <c r="D915" s="108"/>
      <c r="E915" s="285"/>
      <c r="F915" s="285"/>
      <c r="G915" s="35"/>
      <c r="H915" s="104"/>
      <c r="I915" s="35"/>
      <c r="J915" s="74"/>
      <c r="K915" s="74"/>
      <c r="L915" s="74"/>
      <c r="M915" s="74"/>
      <c r="N915" s="74"/>
      <c r="O915" s="74"/>
      <c r="P915" s="74"/>
      <c r="Q915" s="74"/>
      <c r="R915" s="74"/>
      <c r="S915" s="74"/>
      <c r="T915" s="74"/>
      <c r="U915" s="74"/>
      <c r="V915" s="74"/>
      <c r="W915" s="74"/>
      <c r="X915" s="74"/>
      <c r="Y915" s="74"/>
      <c r="Z915" s="74"/>
      <c r="AA915" s="74"/>
      <c r="AB915" s="74"/>
    </row>
    <row r="916" spans="1:28" ht="12" customHeight="1">
      <c r="A916" s="330"/>
      <c r="B916" s="314"/>
      <c r="C916" s="285"/>
      <c r="D916" s="108"/>
      <c r="E916" s="285"/>
      <c r="F916" s="285"/>
      <c r="G916" s="35"/>
      <c r="H916" s="104"/>
      <c r="I916" s="35"/>
      <c r="J916" s="74"/>
      <c r="K916" s="74"/>
      <c r="L916" s="74"/>
      <c r="M916" s="74"/>
      <c r="N916" s="74"/>
      <c r="O916" s="74"/>
      <c r="P916" s="74"/>
      <c r="Q916" s="74"/>
      <c r="R916" s="74"/>
      <c r="S916" s="74"/>
      <c r="T916" s="74"/>
      <c r="U916" s="74"/>
      <c r="V916" s="74"/>
      <c r="W916" s="74"/>
      <c r="X916" s="74"/>
      <c r="Y916" s="74"/>
      <c r="Z916" s="74"/>
      <c r="AA916" s="74"/>
      <c r="AB916" s="74"/>
    </row>
    <row r="917" spans="1:28" ht="12" customHeight="1">
      <c r="A917" s="330"/>
      <c r="B917" s="314"/>
      <c r="C917" s="285"/>
      <c r="D917" s="108"/>
      <c r="E917" s="285"/>
      <c r="F917" s="285"/>
      <c r="G917" s="35"/>
      <c r="H917" s="104"/>
      <c r="I917" s="35"/>
      <c r="J917" s="74"/>
      <c r="K917" s="74"/>
      <c r="L917" s="74"/>
      <c r="M917" s="74"/>
      <c r="N917" s="74"/>
      <c r="O917" s="74"/>
      <c r="P917" s="74"/>
      <c r="Q917" s="74"/>
      <c r="R917" s="74"/>
      <c r="S917" s="74"/>
      <c r="T917" s="74"/>
      <c r="U917" s="74"/>
      <c r="V917" s="74"/>
      <c r="W917" s="74"/>
      <c r="X917" s="74"/>
      <c r="Y917" s="74"/>
      <c r="Z917" s="74"/>
      <c r="AA917" s="74"/>
      <c r="AB917" s="74"/>
    </row>
    <row r="918" spans="1:28" ht="12" customHeight="1">
      <c r="A918" s="330"/>
      <c r="B918" s="314"/>
      <c r="C918" s="285"/>
      <c r="D918" s="108"/>
      <c r="E918" s="285"/>
      <c r="F918" s="285"/>
      <c r="G918" s="35"/>
      <c r="H918" s="104"/>
      <c r="I918" s="35"/>
      <c r="J918" s="74"/>
      <c r="K918" s="74"/>
      <c r="L918" s="74"/>
      <c r="M918" s="74"/>
      <c r="N918" s="74"/>
      <c r="O918" s="74"/>
      <c r="P918" s="74"/>
      <c r="Q918" s="74"/>
      <c r="R918" s="74"/>
      <c r="S918" s="74"/>
      <c r="T918" s="74"/>
      <c r="U918" s="74"/>
      <c r="V918" s="74"/>
      <c r="W918" s="74"/>
      <c r="X918" s="74"/>
      <c r="Y918" s="74"/>
      <c r="Z918" s="74"/>
      <c r="AA918" s="74"/>
      <c r="AB918" s="74"/>
    </row>
    <row r="919" spans="1:28" ht="12" customHeight="1">
      <c r="A919" s="330"/>
      <c r="B919" s="314"/>
      <c r="C919" s="285"/>
      <c r="D919" s="108"/>
      <c r="E919" s="285"/>
      <c r="F919" s="285"/>
      <c r="G919" s="35"/>
      <c r="H919" s="104"/>
      <c r="I919" s="35"/>
      <c r="J919" s="74"/>
      <c r="K919" s="74"/>
      <c r="L919" s="74"/>
      <c r="M919" s="74"/>
      <c r="N919" s="74"/>
      <c r="O919" s="74"/>
      <c r="P919" s="74"/>
      <c r="Q919" s="74"/>
      <c r="R919" s="74"/>
      <c r="S919" s="74"/>
      <c r="T919" s="74"/>
      <c r="U919" s="74"/>
      <c r="V919" s="74"/>
      <c r="W919" s="74"/>
      <c r="X919" s="74"/>
      <c r="Y919" s="74"/>
      <c r="Z919" s="74"/>
      <c r="AA919" s="74"/>
      <c r="AB919" s="74"/>
    </row>
    <row r="920" spans="1:28" ht="12" customHeight="1">
      <c r="A920" s="330"/>
      <c r="B920" s="314"/>
      <c r="C920" s="285"/>
      <c r="D920" s="108"/>
      <c r="E920" s="285"/>
      <c r="F920" s="285"/>
      <c r="G920" s="35"/>
      <c r="H920" s="104"/>
      <c r="I920" s="35"/>
      <c r="J920" s="74"/>
      <c r="K920" s="74"/>
      <c r="L920" s="74"/>
      <c r="M920" s="74"/>
      <c r="N920" s="74"/>
      <c r="O920" s="74"/>
      <c r="P920" s="74"/>
      <c r="Q920" s="74"/>
      <c r="R920" s="74"/>
      <c r="S920" s="74"/>
      <c r="T920" s="74"/>
      <c r="U920" s="74"/>
      <c r="V920" s="74"/>
      <c r="W920" s="74"/>
      <c r="X920" s="74"/>
      <c r="Y920" s="74"/>
      <c r="Z920" s="74"/>
      <c r="AA920" s="74"/>
      <c r="AB920" s="74"/>
    </row>
    <row r="921" spans="1:28" ht="12" customHeight="1">
      <c r="A921" s="330"/>
      <c r="B921" s="314"/>
      <c r="C921" s="285"/>
      <c r="D921" s="108"/>
      <c r="E921" s="285"/>
      <c r="F921" s="285"/>
      <c r="G921" s="35"/>
      <c r="H921" s="104"/>
      <c r="I921" s="35"/>
      <c r="J921" s="74"/>
      <c r="K921" s="74"/>
      <c r="L921" s="74"/>
      <c r="M921" s="74"/>
      <c r="N921" s="74"/>
      <c r="O921" s="74"/>
      <c r="P921" s="74"/>
      <c r="Q921" s="74"/>
      <c r="R921" s="74"/>
      <c r="S921" s="74"/>
      <c r="T921" s="74"/>
      <c r="U921" s="74"/>
      <c r="V921" s="74"/>
      <c r="W921" s="74"/>
      <c r="X921" s="74"/>
      <c r="Y921" s="74"/>
      <c r="Z921" s="74"/>
      <c r="AA921" s="74"/>
      <c r="AB921" s="74"/>
    </row>
    <row r="922" spans="1:28" ht="12" customHeight="1">
      <c r="A922" s="330"/>
      <c r="B922" s="314"/>
      <c r="C922" s="285"/>
      <c r="D922" s="108"/>
      <c r="E922" s="285"/>
      <c r="F922" s="285"/>
      <c r="G922" s="35"/>
      <c r="H922" s="104"/>
      <c r="I922" s="35"/>
      <c r="J922" s="74"/>
      <c r="K922" s="74"/>
      <c r="L922" s="74"/>
      <c r="M922" s="74"/>
      <c r="N922" s="74"/>
      <c r="O922" s="74"/>
      <c r="P922" s="74"/>
      <c r="Q922" s="74"/>
      <c r="R922" s="74"/>
      <c r="S922" s="74"/>
      <c r="T922" s="74"/>
      <c r="U922" s="74"/>
      <c r="V922" s="74"/>
      <c r="W922" s="74"/>
      <c r="X922" s="74"/>
      <c r="Y922" s="74"/>
      <c r="Z922" s="74"/>
      <c r="AA922" s="74"/>
      <c r="AB922" s="74"/>
    </row>
    <row r="923" spans="1:28" ht="12" customHeight="1">
      <c r="A923" s="330"/>
      <c r="B923" s="314"/>
      <c r="C923" s="285"/>
      <c r="D923" s="108"/>
      <c r="E923" s="285"/>
      <c r="F923" s="285"/>
      <c r="G923" s="35"/>
      <c r="H923" s="104"/>
      <c r="I923" s="35"/>
      <c r="J923" s="74"/>
      <c r="K923" s="74"/>
      <c r="L923" s="74"/>
      <c r="M923" s="74"/>
      <c r="N923" s="74"/>
      <c r="O923" s="74"/>
      <c r="P923" s="74"/>
      <c r="Q923" s="74"/>
      <c r="R923" s="74"/>
      <c r="S923" s="74"/>
      <c r="T923" s="74"/>
      <c r="U923" s="74"/>
      <c r="V923" s="74"/>
      <c r="W923" s="74"/>
      <c r="X923" s="74"/>
      <c r="Y923" s="74"/>
      <c r="Z923" s="74"/>
      <c r="AA923" s="74"/>
      <c r="AB923" s="74"/>
    </row>
    <row r="924" spans="1:28" ht="12" customHeight="1">
      <c r="A924" s="330"/>
      <c r="B924" s="314"/>
      <c r="C924" s="285"/>
      <c r="D924" s="108"/>
      <c r="E924" s="285"/>
      <c r="F924" s="285"/>
      <c r="G924" s="35"/>
      <c r="H924" s="104"/>
      <c r="I924" s="35"/>
      <c r="J924" s="74"/>
      <c r="K924" s="74"/>
      <c r="L924" s="74"/>
      <c r="M924" s="74"/>
      <c r="N924" s="74"/>
      <c r="O924" s="74"/>
      <c r="P924" s="74"/>
      <c r="Q924" s="74"/>
      <c r="R924" s="74"/>
      <c r="S924" s="74"/>
      <c r="T924" s="74"/>
      <c r="U924" s="74"/>
      <c r="V924" s="74"/>
      <c r="W924" s="74"/>
      <c r="X924" s="74"/>
      <c r="Y924" s="74"/>
      <c r="Z924" s="74"/>
      <c r="AA924" s="74"/>
      <c r="AB924" s="74"/>
    </row>
    <row r="925" spans="1:28" ht="12" customHeight="1">
      <c r="A925" s="330"/>
      <c r="B925" s="314"/>
      <c r="C925" s="285"/>
      <c r="D925" s="108"/>
      <c r="E925" s="285"/>
      <c r="F925" s="285"/>
      <c r="G925" s="35"/>
      <c r="H925" s="104"/>
      <c r="I925" s="35"/>
      <c r="J925" s="74"/>
      <c r="K925" s="74"/>
      <c r="L925" s="74"/>
      <c r="M925" s="74"/>
      <c r="N925" s="74"/>
      <c r="O925" s="74"/>
      <c r="P925" s="74"/>
      <c r="Q925" s="74"/>
      <c r="R925" s="74"/>
      <c r="S925" s="74"/>
      <c r="T925" s="74"/>
      <c r="U925" s="74"/>
      <c r="V925" s="74"/>
      <c r="W925" s="74"/>
      <c r="X925" s="74"/>
      <c r="Y925" s="74"/>
      <c r="Z925" s="74"/>
      <c r="AA925" s="74"/>
      <c r="AB925" s="74"/>
    </row>
    <row r="926" spans="1:28" ht="12" customHeight="1">
      <c r="A926" s="330"/>
      <c r="B926" s="314"/>
      <c r="C926" s="285"/>
      <c r="D926" s="108"/>
      <c r="E926" s="285"/>
      <c r="F926" s="285"/>
      <c r="G926" s="35"/>
      <c r="H926" s="104"/>
      <c r="I926" s="35"/>
      <c r="J926" s="74"/>
      <c r="K926" s="74"/>
      <c r="L926" s="74"/>
      <c r="M926" s="74"/>
      <c r="N926" s="74"/>
      <c r="O926" s="74"/>
      <c r="P926" s="74"/>
      <c r="Q926" s="74"/>
      <c r="R926" s="74"/>
      <c r="S926" s="74"/>
      <c r="T926" s="74"/>
      <c r="U926" s="74"/>
      <c r="V926" s="74"/>
      <c r="W926" s="74"/>
      <c r="X926" s="74"/>
      <c r="Y926" s="74"/>
      <c r="Z926" s="74"/>
      <c r="AA926" s="74"/>
      <c r="AB926" s="74"/>
    </row>
    <row r="927" spans="1:28" ht="12" customHeight="1">
      <c r="A927" s="330"/>
      <c r="B927" s="314"/>
      <c r="C927" s="285"/>
      <c r="D927" s="108"/>
      <c r="E927" s="285"/>
      <c r="F927" s="285"/>
      <c r="G927" s="35"/>
      <c r="H927" s="104"/>
      <c r="I927" s="35"/>
      <c r="J927" s="74"/>
      <c r="K927" s="74"/>
      <c r="L927" s="74"/>
      <c r="M927" s="74"/>
      <c r="N927" s="74"/>
      <c r="O927" s="74"/>
      <c r="P927" s="74"/>
      <c r="Q927" s="74"/>
      <c r="R927" s="74"/>
      <c r="S927" s="74"/>
      <c r="T927" s="74"/>
      <c r="U927" s="74"/>
      <c r="V927" s="74"/>
      <c r="W927" s="74"/>
      <c r="X927" s="74"/>
      <c r="Y927" s="74"/>
      <c r="Z927" s="74"/>
      <c r="AA927" s="74"/>
      <c r="AB927" s="74"/>
    </row>
    <row r="928" spans="1:28" ht="12" customHeight="1">
      <c r="A928" s="330"/>
      <c r="B928" s="314"/>
      <c r="C928" s="285"/>
      <c r="D928" s="108"/>
      <c r="E928" s="285"/>
      <c r="F928" s="285"/>
      <c r="G928" s="35"/>
      <c r="H928" s="104"/>
      <c r="I928" s="35"/>
      <c r="J928" s="74"/>
      <c r="K928" s="74"/>
      <c r="L928" s="74"/>
      <c r="M928" s="74"/>
      <c r="N928" s="74"/>
      <c r="O928" s="74"/>
      <c r="P928" s="74"/>
      <c r="Q928" s="74"/>
      <c r="R928" s="74"/>
      <c r="S928" s="74"/>
      <c r="T928" s="74"/>
      <c r="U928" s="74"/>
      <c r="V928" s="74"/>
      <c r="W928" s="74"/>
      <c r="X928" s="74"/>
      <c r="Y928" s="74"/>
      <c r="Z928" s="74"/>
      <c r="AA928" s="74"/>
      <c r="AB928" s="74"/>
    </row>
    <row r="929" spans="1:28" ht="12" customHeight="1">
      <c r="A929" s="330"/>
      <c r="B929" s="314"/>
      <c r="C929" s="285"/>
      <c r="D929" s="108"/>
      <c r="E929" s="285"/>
      <c r="F929" s="285"/>
      <c r="G929" s="35"/>
      <c r="H929" s="104"/>
      <c r="I929" s="35"/>
      <c r="J929" s="74"/>
      <c r="K929" s="74"/>
      <c r="L929" s="74"/>
      <c r="M929" s="74"/>
      <c r="N929" s="74"/>
      <c r="O929" s="74"/>
      <c r="P929" s="74"/>
      <c r="Q929" s="74"/>
      <c r="R929" s="74"/>
      <c r="S929" s="74"/>
      <c r="T929" s="74"/>
      <c r="U929" s="74"/>
      <c r="V929" s="74"/>
      <c r="W929" s="74"/>
      <c r="X929" s="74"/>
      <c r="Y929" s="74"/>
      <c r="Z929" s="74"/>
      <c r="AA929" s="74"/>
      <c r="AB929" s="74"/>
    </row>
    <row r="930" spans="1:28" ht="12" customHeight="1">
      <c r="A930" s="330"/>
      <c r="B930" s="314"/>
      <c r="C930" s="285"/>
      <c r="D930" s="108"/>
      <c r="E930" s="285"/>
      <c r="F930" s="285"/>
      <c r="G930" s="35"/>
      <c r="H930" s="104"/>
      <c r="I930" s="35"/>
      <c r="J930" s="74"/>
      <c r="K930" s="74"/>
      <c r="L930" s="74"/>
      <c r="M930" s="74"/>
      <c r="N930" s="74"/>
      <c r="O930" s="74"/>
      <c r="P930" s="74"/>
      <c r="Q930" s="74"/>
      <c r="R930" s="74"/>
      <c r="S930" s="74"/>
      <c r="T930" s="74"/>
      <c r="U930" s="74"/>
      <c r="V930" s="74"/>
      <c r="W930" s="74"/>
      <c r="X930" s="74"/>
      <c r="Y930" s="74"/>
      <c r="Z930" s="74"/>
      <c r="AA930" s="74"/>
      <c r="AB930" s="74"/>
    </row>
    <row r="931" spans="1:28" ht="12" customHeight="1">
      <c r="A931" s="330"/>
      <c r="B931" s="314"/>
      <c r="C931" s="285"/>
      <c r="D931" s="108"/>
      <c r="E931" s="285"/>
      <c r="F931" s="285"/>
      <c r="G931" s="35"/>
      <c r="H931" s="104"/>
      <c r="I931" s="35"/>
      <c r="J931" s="74"/>
      <c r="K931" s="74"/>
      <c r="L931" s="74"/>
      <c r="M931" s="74"/>
      <c r="N931" s="74"/>
      <c r="O931" s="74"/>
      <c r="P931" s="74"/>
      <c r="Q931" s="74"/>
      <c r="R931" s="74"/>
      <c r="S931" s="74"/>
      <c r="T931" s="74"/>
      <c r="U931" s="74"/>
      <c r="V931" s="74"/>
      <c r="W931" s="74"/>
      <c r="X931" s="74"/>
      <c r="Y931" s="74"/>
      <c r="Z931" s="74"/>
      <c r="AA931" s="74"/>
      <c r="AB931" s="74"/>
    </row>
    <row r="932" spans="1:28" ht="12" customHeight="1">
      <c r="A932" s="330"/>
      <c r="B932" s="314"/>
      <c r="C932" s="285"/>
      <c r="D932" s="108"/>
      <c r="E932" s="285"/>
      <c r="F932" s="285"/>
      <c r="G932" s="35"/>
      <c r="H932" s="104"/>
      <c r="I932" s="35"/>
      <c r="J932" s="74"/>
      <c r="K932" s="74"/>
      <c r="L932" s="74"/>
      <c r="M932" s="74"/>
      <c r="N932" s="74"/>
      <c r="O932" s="74"/>
      <c r="P932" s="74"/>
      <c r="Q932" s="74"/>
      <c r="R932" s="74"/>
      <c r="S932" s="74"/>
      <c r="T932" s="74"/>
      <c r="U932" s="74"/>
      <c r="V932" s="74"/>
      <c r="W932" s="74"/>
      <c r="X932" s="74"/>
      <c r="Y932" s="74"/>
      <c r="Z932" s="74"/>
      <c r="AA932" s="74"/>
      <c r="AB932" s="74"/>
    </row>
    <row r="933" spans="1:28" ht="12" customHeight="1">
      <c r="A933" s="330"/>
      <c r="B933" s="314"/>
      <c r="C933" s="285"/>
      <c r="D933" s="108"/>
      <c r="E933" s="285"/>
      <c r="F933" s="285"/>
      <c r="G933" s="35"/>
      <c r="H933" s="104"/>
      <c r="I933" s="35"/>
      <c r="J933" s="74"/>
      <c r="K933" s="74"/>
      <c r="L933" s="74"/>
      <c r="M933" s="74"/>
      <c r="N933" s="74"/>
      <c r="O933" s="74"/>
      <c r="P933" s="74"/>
      <c r="Q933" s="74"/>
      <c r="R933" s="74"/>
      <c r="S933" s="74"/>
      <c r="T933" s="74"/>
      <c r="U933" s="74"/>
      <c r="V933" s="74"/>
      <c r="W933" s="74"/>
      <c r="X933" s="74"/>
      <c r="Y933" s="74"/>
      <c r="Z933" s="74"/>
      <c r="AA933" s="74"/>
      <c r="AB933" s="74"/>
    </row>
    <row r="934" spans="1:28" ht="12" customHeight="1">
      <c r="A934" s="330"/>
      <c r="B934" s="314"/>
      <c r="C934" s="285"/>
      <c r="D934" s="108"/>
      <c r="E934" s="285"/>
      <c r="F934" s="285"/>
      <c r="G934" s="35"/>
      <c r="H934" s="104"/>
      <c r="I934" s="35"/>
      <c r="J934" s="74"/>
      <c r="K934" s="74"/>
      <c r="L934" s="74"/>
      <c r="M934" s="74"/>
      <c r="N934" s="74"/>
      <c r="O934" s="74"/>
      <c r="P934" s="74"/>
      <c r="Q934" s="74"/>
      <c r="R934" s="74"/>
      <c r="S934" s="74"/>
      <c r="T934" s="74"/>
      <c r="U934" s="74"/>
      <c r="V934" s="74"/>
      <c r="W934" s="74"/>
      <c r="X934" s="74"/>
      <c r="Y934" s="74"/>
      <c r="Z934" s="74"/>
      <c r="AA934" s="74"/>
      <c r="AB934" s="74"/>
    </row>
    <row r="935" spans="1:28" ht="12" customHeight="1">
      <c r="A935" s="330"/>
      <c r="B935" s="314"/>
      <c r="C935" s="285"/>
      <c r="D935" s="108"/>
      <c r="E935" s="285"/>
      <c r="F935" s="285"/>
      <c r="G935" s="35"/>
      <c r="H935" s="104"/>
      <c r="I935" s="35"/>
      <c r="J935" s="74"/>
      <c r="K935" s="74"/>
      <c r="L935" s="74"/>
      <c r="M935" s="74"/>
      <c r="N935" s="74"/>
      <c r="O935" s="74"/>
      <c r="P935" s="74"/>
      <c r="Q935" s="74"/>
      <c r="R935" s="74"/>
      <c r="S935" s="74"/>
      <c r="T935" s="74"/>
      <c r="U935" s="74"/>
      <c r="V935" s="74"/>
      <c r="W935" s="74"/>
      <c r="X935" s="74"/>
      <c r="Y935" s="74"/>
      <c r="Z935" s="74"/>
      <c r="AA935" s="74"/>
      <c r="AB935" s="74"/>
    </row>
    <row r="936" spans="1:28" ht="12" customHeight="1">
      <c r="A936" s="330"/>
      <c r="B936" s="314"/>
      <c r="C936" s="285"/>
      <c r="D936" s="108"/>
      <c r="E936" s="285"/>
      <c r="F936" s="285"/>
      <c r="G936" s="35"/>
      <c r="H936" s="104"/>
      <c r="I936" s="35"/>
      <c r="J936" s="74"/>
      <c r="K936" s="74"/>
      <c r="L936" s="74"/>
      <c r="M936" s="74"/>
      <c r="N936" s="74"/>
      <c r="O936" s="74"/>
      <c r="P936" s="74"/>
      <c r="Q936" s="74"/>
      <c r="R936" s="74"/>
      <c r="S936" s="74"/>
      <c r="T936" s="74"/>
      <c r="U936" s="74"/>
      <c r="V936" s="74"/>
      <c r="W936" s="74"/>
      <c r="X936" s="74"/>
      <c r="Y936" s="74"/>
      <c r="Z936" s="74"/>
      <c r="AA936" s="74"/>
      <c r="AB936" s="74"/>
    </row>
    <row r="937" spans="1:28" ht="12" customHeight="1">
      <c r="A937" s="330"/>
      <c r="B937" s="314"/>
      <c r="C937" s="285"/>
      <c r="D937" s="108"/>
      <c r="E937" s="285"/>
      <c r="F937" s="285"/>
      <c r="G937" s="35"/>
      <c r="H937" s="104"/>
      <c r="I937" s="35"/>
      <c r="J937" s="74"/>
      <c r="K937" s="74"/>
      <c r="L937" s="74"/>
      <c r="M937" s="74"/>
      <c r="N937" s="74"/>
      <c r="O937" s="74"/>
      <c r="P937" s="74"/>
      <c r="Q937" s="74"/>
      <c r="R937" s="74"/>
      <c r="S937" s="74"/>
      <c r="T937" s="74"/>
      <c r="U937" s="74"/>
      <c r="V937" s="74"/>
      <c r="W937" s="74"/>
      <c r="X937" s="74"/>
      <c r="Y937" s="74"/>
      <c r="Z937" s="74"/>
      <c r="AA937" s="74"/>
      <c r="AB937" s="74"/>
    </row>
    <row r="938" spans="1:28" ht="12" customHeight="1">
      <c r="A938" s="330"/>
      <c r="B938" s="314"/>
      <c r="C938" s="285"/>
      <c r="D938" s="108"/>
      <c r="E938" s="285"/>
      <c r="F938" s="285"/>
      <c r="G938" s="35"/>
      <c r="H938" s="104"/>
      <c r="I938" s="35"/>
      <c r="J938" s="74"/>
      <c r="K938" s="74"/>
      <c r="L938" s="74"/>
      <c r="M938" s="74"/>
      <c r="N938" s="74"/>
      <c r="O938" s="74"/>
      <c r="P938" s="74"/>
      <c r="Q938" s="74"/>
      <c r="R938" s="74"/>
      <c r="S938" s="74"/>
      <c r="T938" s="74"/>
      <c r="U938" s="74"/>
      <c r="V938" s="74"/>
      <c r="W938" s="74"/>
      <c r="X938" s="74"/>
      <c r="Y938" s="74"/>
      <c r="Z938" s="74"/>
      <c r="AA938" s="74"/>
      <c r="AB938" s="74"/>
    </row>
    <row r="939" spans="1:28" ht="12" customHeight="1">
      <c r="A939" s="330"/>
      <c r="B939" s="314"/>
      <c r="C939" s="285"/>
      <c r="D939" s="108"/>
      <c r="E939" s="285"/>
      <c r="F939" s="285"/>
      <c r="G939" s="35"/>
      <c r="H939" s="104"/>
      <c r="I939" s="35"/>
      <c r="J939" s="74"/>
      <c r="K939" s="74"/>
      <c r="L939" s="74"/>
      <c r="M939" s="74"/>
      <c r="N939" s="74"/>
      <c r="O939" s="74"/>
      <c r="P939" s="74"/>
      <c r="Q939" s="74"/>
      <c r="R939" s="74"/>
      <c r="S939" s="74"/>
      <c r="T939" s="74"/>
      <c r="U939" s="74"/>
      <c r="V939" s="74"/>
      <c r="W939" s="74"/>
      <c r="X939" s="74"/>
      <c r="Y939" s="74"/>
      <c r="Z939" s="74"/>
      <c r="AA939" s="74"/>
      <c r="AB939" s="74"/>
    </row>
    <row r="940" spans="1:28" ht="12" customHeight="1">
      <c r="A940" s="330"/>
      <c r="B940" s="314"/>
      <c r="C940" s="285"/>
      <c r="D940" s="108"/>
      <c r="E940" s="285"/>
      <c r="F940" s="285"/>
      <c r="G940" s="35"/>
      <c r="H940" s="104"/>
      <c r="I940" s="35"/>
      <c r="J940" s="74"/>
      <c r="K940" s="74"/>
      <c r="L940" s="74"/>
      <c r="M940" s="74"/>
      <c r="N940" s="74"/>
      <c r="O940" s="74"/>
      <c r="P940" s="74"/>
      <c r="Q940" s="74"/>
      <c r="R940" s="74"/>
      <c r="S940" s="74"/>
      <c r="T940" s="74"/>
      <c r="U940" s="74"/>
      <c r="V940" s="74"/>
      <c r="W940" s="74"/>
      <c r="X940" s="74"/>
      <c r="Y940" s="74"/>
      <c r="Z940" s="74"/>
      <c r="AA940" s="74"/>
      <c r="AB940" s="74"/>
    </row>
    <row r="941" spans="1:28" ht="12" customHeight="1">
      <c r="A941" s="330"/>
      <c r="B941" s="314"/>
      <c r="C941" s="285"/>
      <c r="D941" s="108"/>
      <c r="E941" s="285"/>
      <c r="F941" s="285"/>
      <c r="G941" s="35"/>
      <c r="H941" s="104"/>
      <c r="I941" s="35"/>
      <c r="J941" s="74"/>
      <c r="K941" s="74"/>
      <c r="L941" s="74"/>
      <c r="M941" s="74"/>
      <c r="N941" s="74"/>
      <c r="O941" s="74"/>
      <c r="P941" s="74"/>
      <c r="Q941" s="74"/>
      <c r="R941" s="74"/>
      <c r="S941" s="74"/>
      <c r="T941" s="74"/>
      <c r="U941" s="74"/>
      <c r="V941" s="74"/>
      <c r="W941" s="74"/>
      <c r="X941" s="74"/>
      <c r="Y941" s="74"/>
      <c r="Z941" s="74"/>
      <c r="AA941" s="74"/>
      <c r="AB941" s="74"/>
    </row>
    <row r="942" spans="1:28" ht="12" customHeight="1">
      <c r="A942" s="330"/>
      <c r="B942" s="314"/>
      <c r="C942" s="285"/>
      <c r="D942" s="108"/>
      <c r="E942" s="285"/>
      <c r="F942" s="285"/>
      <c r="G942" s="35"/>
      <c r="H942" s="104"/>
      <c r="I942" s="35"/>
      <c r="J942" s="74"/>
      <c r="K942" s="74"/>
      <c r="L942" s="74"/>
      <c r="M942" s="74"/>
      <c r="N942" s="74"/>
      <c r="O942" s="74"/>
      <c r="P942" s="74"/>
      <c r="Q942" s="74"/>
      <c r="R942" s="74"/>
      <c r="S942" s="74"/>
      <c r="T942" s="74"/>
      <c r="U942" s="74"/>
      <c r="V942" s="74"/>
      <c r="W942" s="74"/>
      <c r="X942" s="74"/>
      <c r="Y942" s="74"/>
      <c r="Z942" s="74"/>
      <c r="AA942" s="74"/>
      <c r="AB942" s="74"/>
    </row>
    <row r="943" spans="1:28" ht="12" customHeight="1">
      <c r="A943" s="330"/>
      <c r="B943" s="314"/>
      <c r="C943" s="285"/>
      <c r="D943" s="108"/>
      <c r="E943" s="285"/>
      <c r="F943" s="285"/>
      <c r="G943" s="35"/>
      <c r="H943" s="104"/>
      <c r="I943" s="35"/>
      <c r="J943" s="74"/>
      <c r="K943" s="74"/>
      <c r="L943" s="74"/>
      <c r="M943" s="74"/>
      <c r="N943" s="74"/>
      <c r="O943" s="74"/>
      <c r="P943" s="74"/>
      <c r="Q943" s="74"/>
      <c r="R943" s="74"/>
      <c r="S943" s="74"/>
      <c r="T943" s="74"/>
      <c r="U943" s="74"/>
      <c r="V943" s="74"/>
      <c r="W943" s="74"/>
      <c r="X943" s="74"/>
      <c r="Y943" s="74"/>
      <c r="Z943" s="74"/>
      <c r="AA943" s="74"/>
      <c r="AB943" s="74"/>
    </row>
    <row r="944" spans="1:28" ht="12" customHeight="1">
      <c r="A944" s="330"/>
      <c r="B944" s="314"/>
      <c r="C944" s="285"/>
      <c r="D944" s="108"/>
      <c r="E944" s="285"/>
      <c r="F944" s="285"/>
      <c r="G944" s="35"/>
      <c r="H944" s="104"/>
      <c r="I944" s="35"/>
      <c r="J944" s="74"/>
      <c r="K944" s="74"/>
      <c r="L944" s="74"/>
      <c r="M944" s="74"/>
      <c r="N944" s="74"/>
      <c r="O944" s="74"/>
      <c r="P944" s="74"/>
      <c r="Q944" s="74"/>
      <c r="R944" s="74"/>
      <c r="S944" s="74"/>
      <c r="T944" s="74"/>
      <c r="U944" s="74"/>
      <c r="V944" s="74"/>
      <c r="W944" s="74"/>
      <c r="X944" s="74"/>
      <c r="Y944" s="74"/>
      <c r="Z944" s="74"/>
      <c r="AA944" s="74"/>
      <c r="AB944" s="74"/>
    </row>
    <row r="945" spans="1:28" ht="12" customHeight="1">
      <c r="A945" s="330"/>
      <c r="B945" s="314"/>
      <c r="C945" s="285"/>
      <c r="D945" s="108"/>
      <c r="E945" s="285"/>
      <c r="F945" s="285"/>
      <c r="G945" s="35"/>
      <c r="H945" s="104"/>
      <c r="I945" s="35"/>
      <c r="J945" s="74"/>
      <c r="K945" s="74"/>
      <c r="L945" s="74"/>
      <c r="M945" s="74"/>
      <c r="N945" s="74"/>
      <c r="O945" s="74"/>
      <c r="P945" s="74"/>
      <c r="Q945" s="74"/>
      <c r="R945" s="74"/>
      <c r="S945" s="74"/>
      <c r="T945" s="74"/>
      <c r="U945" s="74"/>
      <c r="V945" s="74"/>
      <c r="W945" s="74"/>
      <c r="X945" s="74"/>
      <c r="Y945" s="74"/>
      <c r="Z945" s="74"/>
      <c r="AA945" s="74"/>
      <c r="AB945" s="74"/>
    </row>
    <row r="946" spans="1:28" ht="12" customHeight="1">
      <c r="A946" s="330"/>
      <c r="B946" s="314"/>
      <c r="C946" s="285"/>
      <c r="D946" s="108"/>
      <c r="E946" s="285"/>
      <c r="F946" s="285"/>
      <c r="G946" s="35"/>
      <c r="H946" s="104"/>
      <c r="I946" s="35"/>
      <c r="J946" s="74"/>
      <c r="K946" s="74"/>
      <c r="L946" s="74"/>
      <c r="M946" s="74"/>
      <c r="N946" s="74"/>
      <c r="O946" s="74"/>
      <c r="P946" s="74"/>
      <c r="Q946" s="74"/>
      <c r="R946" s="74"/>
      <c r="S946" s="74"/>
      <c r="T946" s="74"/>
      <c r="U946" s="74"/>
      <c r="V946" s="74"/>
      <c r="W946" s="74"/>
      <c r="X946" s="74"/>
      <c r="Y946" s="74"/>
      <c r="Z946" s="74"/>
      <c r="AA946" s="74"/>
      <c r="AB946" s="74"/>
    </row>
    <row r="947" spans="1:28" ht="12" customHeight="1">
      <c r="A947" s="330"/>
      <c r="B947" s="314"/>
      <c r="C947" s="285"/>
      <c r="D947" s="108"/>
      <c r="E947" s="285"/>
      <c r="F947" s="285"/>
      <c r="G947" s="35"/>
      <c r="H947" s="104"/>
      <c r="I947" s="35"/>
      <c r="J947" s="74"/>
      <c r="K947" s="74"/>
      <c r="L947" s="74"/>
      <c r="M947" s="74"/>
      <c r="N947" s="74"/>
      <c r="O947" s="74"/>
      <c r="P947" s="74"/>
      <c r="Q947" s="74"/>
      <c r="R947" s="74"/>
      <c r="S947" s="74"/>
      <c r="T947" s="74"/>
      <c r="U947" s="74"/>
      <c r="V947" s="74"/>
      <c r="W947" s="74"/>
      <c r="X947" s="74"/>
      <c r="Y947" s="74"/>
      <c r="Z947" s="74"/>
      <c r="AA947" s="74"/>
      <c r="AB947" s="74"/>
    </row>
    <row r="948" spans="1:28" ht="12" customHeight="1">
      <c r="A948" s="330"/>
      <c r="B948" s="314"/>
      <c r="C948" s="285"/>
      <c r="D948" s="108"/>
      <c r="E948" s="285"/>
      <c r="F948" s="285"/>
      <c r="G948" s="35"/>
      <c r="H948" s="104"/>
      <c r="I948" s="35"/>
      <c r="J948" s="74"/>
      <c r="K948" s="74"/>
      <c r="L948" s="74"/>
      <c r="M948" s="74"/>
      <c r="N948" s="74"/>
      <c r="O948" s="74"/>
      <c r="P948" s="74"/>
      <c r="Q948" s="74"/>
      <c r="R948" s="74"/>
      <c r="S948" s="74"/>
      <c r="T948" s="74"/>
      <c r="U948" s="74"/>
      <c r="V948" s="74"/>
      <c r="W948" s="74"/>
      <c r="X948" s="74"/>
      <c r="Y948" s="74"/>
      <c r="Z948" s="74"/>
      <c r="AA948" s="74"/>
      <c r="AB948" s="74"/>
    </row>
    <row r="949" spans="1:28" ht="12" customHeight="1">
      <c r="A949" s="330"/>
      <c r="B949" s="314"/>
      <c r="C949" s="285"/>
      <c r="D949" s="108"/>
      <c r="E949" s="285"/>
      <c r="F949" s="285"/>
      <c r="G949" s="35"/>
      <c r="H949" s="104"/>
      <c r="I949" s="35"/>
      <c r="J949" s="74"/>
      <c r="K949" s="74"/>
      <c r="L949" s="74"/>
      <c r="M949" s="74"/>
      <c r="N949" s="74"/>
      <c r="O949" s="74"/>
      <c r="P949" s="74"/>
      <c r="Q949" s="74"/>
      <c r="R949" s="74"/>
      <c r="S949" s="74"/>
      <c r="T949" s="74"/>
      <c r="U949" s="74"/>
      <c r="V949" s="74"/>
      <c r="W949" s="74"/>
      <c r="X949" s="74"/>
      <c r="Y949" s="74"/>
      <c r="Z949" s="74"/>
      <c r="AA949" s="74"/>
      <c r="AB949" s="74"/>
    </row>
    <row r="950" spans="1:28" ht="12" customHeight="1">
      <c r="A950" s="330"/>
      <c r="B950" s="314"/>
      <c r="C950" s="285"/>
      <c r="D950" s="108"/>
      <c r="E950" s="285"/>
      <c r="F950" s="285"/>
      <c r="G950" s="35"/>
      <c r="H950" s="104"/>
      <c r="I950" s="35"/>
      <c r="J950" s="74"/>
      <c r="K950" s="74"/>
      <c r="L950" s="74"/>
      <c r="M950" s="74"/>
      <c r="N950" s="74"/>
      <c r="O950" s="74"/>
      <c r="P950" s="74"/>
      <c r="Q950" s="74"/>
      <c r="R950" s="74"/>
      <c r="S950" s="74"/>
      <c r="T950" s="74"/>
      <c r="U950" s="74"/>
      <c r="V950" s="74"/>
      <c r="W950" s="74"/>
      <c r="X950" s="74"/>
      <c r="Y950" s="74"/>
      <c r="Z950" s="74"/>
      <c r="AA950" s="74"/>
      <c r="AB950" s="74"/>
    </row>
    <row r="951" spans="1:28" ht="12" customHeight="1">
      <c r="A951" s="330"/>
      <c r="B951" s="314"/>
      <c r="C951" s="285"/>
      <c r="D951" s="108"/>
      <c r="E951" s="285"/>
      <c r="F951" s="285"/>
      <c r="G951" s="35"/>
      <c r="H951" s="104"/>
      <c r="I951" s="35"/>
      <c r="J951" s="74"/>
      <c r="K951" s="74"/>
      <c r="L951" s="74"/>
      <c r="M951" s="74"/>
      <c r="N951" s="74"/>
      <c r="O951" s="74"/>
      <c r="P951" s="74"/>
      <c r="Q951" s="74"/>
      <c r="R951" s="74"/>
      <c r="S951" s="74"/>
      <c r="T951" s="74"/>
      <c r="U951" s="74"/>
      <c r="V951" s="74"/>
      <c r="W951" s="74"/>
      <c r="X951" s="74"/>
      <c r="Y951" s="74"/>
      <c r="Z951" s="74"/>
      <c r="AA951" s="74"/>
      <c r="AB951" s="74"/>
    </row>
    <row r="952" spans="1:28" ht="12" customHeight="1">
      <c r="A952" s="330"/>
      <c r="B952" s="314"/>
      <c r="C952" s="285"/>
      <c r="D952" s="108"/>
      <c r="E952" s="285"/>
      <c r="F952" s="285"/>
      <c r="G952" s="35"/>
      <c r="H952" s="104"/>
      <c r="I952" s="35"/>
      <c r="J952" s="74"/>
      <c r="K952" s="74"/>
      <c r="L952" s="74"/>
      <c r="M952" s="74"/>
      <c r="N952" s="74"/>
      <c r="O952" s="74"/>
      <c r="P952" s="74"/>
      <c r="Q952" s="74"/>
      <c r="R952" s="74"/>
      <c r="S952" s="74"/>
      <c r="T952" s="74"/>
      <c r="U952" s="74"/>
      <c r="V952" s="74"/>
      <c r="W952" s="74"/>
      <c r="X952" s="74"/>
      <c r="Y952" s="74"/>
      <c r="Z952" s="74"/>
      <c r="AA952" s="74"/>
      <c r="AB952" s="74"/>
    </row>
    <row r="953" spans="1:28" ht="12" customHeight="1">
      <c r="A953" s="330"/>
      <c r="B953" s="314"/>
      <c r="C953" s="285"/>
      <c r="D953" s="108"/>
      <c r="E953" s="285"/>
      <c r="F953" s="285"/>
      <c r="G953" s="35"/>
      <c r="H953" s="104"/>
      <c r="I953" s="35"/>
      <c r="J953" s="74"/>
      <c r="K953" s="74"/>
      <c r="L953" s="74"/>
      <c r="M953" s="74"/>
      <c r="N953" s="74"/>
      <c r="O953" s="74"/>
      <c r="P953" s="74"/>
      <c r="Q953" s="74"/>
      <c r="R953" s="74"/>
      <c r="S953" s="74"/>
      <c r="T953" s="74"/>
      <c r="U953" s="74"/>
      <c r="V953" s="74"/>
      <c r="W953" s="74"/>
      <c r="X953" s="74"/>
      <c r="Y953" s="74"/>
      <c r="Z953" s="74"/>
      <c r="AA953" s="74"/>
      <c r="AB953" s="74"/>
    </row>
    <row r="954" spans="1:28" ht="12" customHeight="1">
      <c r="A954" s="330"/>
      <c r="B954" s="314"/>
      <c r="C954" s="285"/>
      <c r="D954" s="108"/>
      <c r="E954" s="285"/>
      <c r="F954" s="285"/>
      <c r="G954" s="35"/>
      <c r="H954" s="104"/>
      <c r="I954" s="35"/>
      <c r="J954" s="74"/>
      <c r="K954" s="74"/>
      <c r="L954" s="74"/>
      <c r="M954" s="74"/>
      <c r="N954" s="74"/>
      <c r="O954" s="74"/>
      <c r="P954" s="74"/>
      <c r="Q954" s="74"/>
      <c r="R954" s="74"/>
      <c r="S954" s="74"/>
      <c r="T954" s="74"/>
      <c r="U954" s="74"/>
      <c r="V954" s="74"/>
      <c r="W954" s="74"/>
      <c r="X954" s="74"/>
      <c r="Y954" s="74"/>
      <c r="Z954" s="74"/>
      <c r="AA954" s="74"/>
      <c r="AB954" s="74"/>
    </row>
    <row r="955" spans="1:28" ht="12" customHeight="1">
      <c r="A955" s="330"/>
      <c r="B955" s="314"/>
      <c r="C955" s="285"/>
      <c r="D955" s="108"/>
      <c r="E955" s="285"/>
      <c r="F955" s="285"/>
      <c r="G955" s="35"/>
      <c r="H955" s="104"/>
      <c r="I955" s="35"/>
      <c r="J955" s="74"/>
      <c r="K955" s="74"/>
      <c r="L955" s="74"/>
      <c r="M955" s="74"/>
      <c r="N955" s="74"/>
      <c r="O955" s="74"/>
      <c r="P955" s="74"/>
      <c r="Q955" s="74"/>
      <c r="R955" s="74"/>
      <c r="S955" s="74"/>
      <c r="T955" s="74"/>
      <c r="U955" s="74"/>
      <c r="V955" s="74"/>
      <c r="W955" s="74"/>
      <c r="X955" s="74"/>
      <c r="Y955" s="74"/>
      <c r="Z955" s="74"/>
      <c r="AA955" s="74"/>
      <c r="AB955" s="74"/>
    </row>
    <row r="956" spans="1:28" ht="12" customHeight="1">
      <c r="A956" s="330"/>
      <c r="B956" s="314"/>
      <c r="C956" s="285"/>
      <c r="D956" s="108"/>
      <c r="E956" s="285"/>
      <c r="F956" s="285"/>
      <c r="G956" s="35"/>
      <c r="H956" s="104"/>
      <c r="I956" s="35"/>
      <c r="J956" s="74"/>
      <c r="K956" s="74"/>
      <c r="L956" s="74"/>
      <c r="M956" s="74"/>
      <c r="N956" s="74"/>
      <c r="O956" s="74"/>
      <c r="P956" s="74"/>
      <c r="Q956" s="74"/>
      <c r="R956" s="74"/>
      <c r="S956" s="74"/>
      <c r="T956" s="74"/>
      <c r="U956" s="74"/>
      <c r="V956" s="74"/>
      <c r="W956" s="74"/>
      <c r="X956" s="74"/>
      <c r="Y956" s="74"/>
      <c r="Z956" s="74"/>
      <c r="AA956" s="74"/>
      <c r="AB956" s="74"/>
    </row>
    <row r="957" spans="1:28" ht="12" customHeight="1">
      <c r="A957" s="330"/>
      <c r="B957" s="314"/>
      <c r="C957" s="285"/>
      <c r="D957" s="108"/>
      <c r="E957" s="285"/>
      <c r="F957" s="285"/>
      <c r="G957" s="35"/>
      <c r="H957" s="104"/>
      <c r="I957" s="35"/>
      <c r="J957" s="74"/>
      <c r="K957" s="74"/>
      <c r="L957" s="74"/>
      <c r="M957" s="74"/>
      <c r="N957" s="74"/>
      <c r="O957" s="74"/>
      <c r="P957" s="74"/>
      <c r="Q957" s="74"/>
      <c r="R957" s="74"/>
      <c r="S957" s="74"/>
      <c r="T957" s="74"/>
      <c r="U957" s="74"/>
      <c r="V957" s="74"/>
      <c r="W957" s="74"/>
      <c r="X957" s="74"/>
      <c r="Y957" s="74"/>
      <c r="Z957" s="74"/>
      <c r="AA957" s="74"/>
      <c r="AB957" s="74"/>
    </row>
    <row r="958" spans="1:28" ht="12" customHeight="1">
      <c r="A958" s="330"/>
      <c r="B958" s="314"/>
      <c r="C958" s="285"/>
      <c r="D958" s="108"/>
      <c r="E958" s="285"/>
      <c r="F958" s="285"/>
      <c r="G958" s="35"/>
      <c r="H958" s="104"/>
      <c r="I958" s="35"/>
      <c r="J958" s="74"/>
      <c r="K958" s="74"/>
      <c r="L958" s="74"/>
      <c r="M958" s="74"/>
      <c r="N958" s="74"/>
      <c r="O958" s="74"/>
      <c r="P958" s="74"/>
      <c r="Q958" s="74"/>
      <c r="R958" s="74"/>
      <c r="S958" s="74"/>
      <c r="T958" s="74"/>
      <c r="U958" s="74"/>
      <c r="V958" s="74"/>
      <c r="W958" s="74"/>
      <c r="X958" s="74"/>
      <c r="Y958" s="74"/>
      <c r="Z958" s="74"/>
      <c r="AA958" s="74"/>
      <c r="AB958" s="74"/>
    </row>
    <row r="959" spans="1:28" ht="12" customHeight="1">
      <c r="A959" s="330"/>
      <c r="B959" s="314"/>
      <c r="C959" s="285"/>
      <c r="D959" s="108"/>
      <c r="E959" s="285"/>
      <c r="F959" s="285"/>
      <c r="G959" s="35"/>
      <c r="H959" s="104"/>
      <c r="I959" s="35"/>
      <c r="J959" s="74"/>
      <c r="K959" s="74"/>
      <c r="L959" s="74"/>
      <c r="M959" s="74"/>
      <c r="N959" s="74"/>
      <c r="O959" s="74"/>
      <c r="P959" s="74"/>
      <c r="Q959" s="74"/>
      <c r="R959" s="74"/>
      <c r="S959" s="74"/>
      <c r="T959" s="74"/>
      <c r="U959" s="74"/>
      <c r="V959" s="74"/>
      <c r="W959" s="74"/>
      <c r="X959" s="74"/>
      <c r="Y959" s="74"/>
      <c r="Z959" s="74"/>
      <c r="AA959" s="74"/>
      <c r="AB959" s="74"/>
    </row>
    <row r="960" spans="1:28" ht="12" customHeight="1">
      <c r="A960" s="330"/>
      <c r="B960" s="314"/>
      <c r="C960" s="285"/>
      <c r="D960" s="108"/>
      <c r="E960" s="285"/>
      <c r="F960" s="285"/>
      <c r="G960" s="35"/>
      <c r="H960" s="104"/>
      <c r="I960" s="35"/>
      <c r="J960" s="74"/>
      <c r="K960" s="74"/>
      <c r="L960" s="74"/>
      <c r="M960" s="74"/>
      <c r="N960" s="74"/>
      <c r="O960" s="74"/>
      <c r="P960" s="74"/>
      <c r="Q960" s="74"/>
      <c r="R960" s="74"/>
      <c r="S960" s="74"/>
      <c r="T960" s="74"/>
      <c r="U960" s="74"/>
      <c r="V960" s="74"/>
      <c r="W960" s="74"/>
      <c r="X960" s="74"/>
      <c r="Y960" s="74"/>
      <c r="Z960" s="74"/>
      <c r="AA960" s="74"/>
      <c r="AB960" s="74"/>
    </row>
    <row r="961" spans="1:28" ht="12" customHeight="1">
      <c r="A961" s="330"/>
      <c r="B961" s="314"/>
      <c r="C961" s="285"/>
      <c r="D961" s="108"/>
      <c r="E961" s="285"/>
      <c r="F961" s="285"/>
      <c r="G961" s="35"/>
      <c r="H961" s="104"/>
      <c r="I961" s="35"/>
      <c r="J961" s="74"/>
      <c r="K961" s="74"/>
      <c r="L961" s="74"/>
      <c r="M961" s="74"/>
      <c r="N961" s="74"/>
      <c r="O961" s="74"/>
      <c r="P961" s="74"/>
      <c r="Q961" s="74"/>
      <c r="R961" s="74"/>
      <c r="S961" s="74"/>
      <c r="T961" s="74"/>
      <c r="U961" s="74"/>
      <c r="V961" s="74"/>
      <c r="W961" s="74"/>
      <c r="X961" s="74"/>
      <c r="Y961" s="74"/>
      <c r="Z961" s="74"/>
      <c r="AA961" s="74"/>
      <c r="AB961" s="74"/>
    </row>
    <row r="962" spans="1:28" ht="12" customHeight="1">
      <c r="A962" s="330"/>
      <c r="B962" s="314"/>
      <c r="C962" s="285"/>
      <c r="D962" s="108"/>
      <c r="E962" s="285"/>
      <c r="F962" s="285"/>
      <c r="G962" s="35"/>
      <c r="H962" s="104"/>
      <c r="I962" s="35"/>
      <c r="J962" s="74"/>
      <c r="K962" s="74"/>
      <c r="L962" s="74"/>
      <c r="M962" s="74"/>
      <c r="N962" s="74"/>
      <c r="O962" s="74"/>
      <c r="P962" s="74"/>
      <c r="Q962" s="74"/>
      <c r="R962" s="74"/>
      <c r="S962" s="74"/>
      <c r="T962" s="74"/>
      <c r="U962" s="74"/>
      <c r="V962" s="74"/>
      <c r="W962" s="74"/>
      <c r="X962" s="74"/>
      <c r="Y962" s="74"/>
      <c r="Z962" s="74"/>
      <c r="AA962" s="74"/>
      <c r="AB962" s="74"/>
    </row>
    <row r="963" spans="1:28" ht="12" customHeight="1">
      <c r="A963" s="330"/>
      <c r="B963" s="314"/>
      <c r="C963" s="285"/>
      <c r="D963" s="108"/>
      <c r="E963" s="285"/>
      <c r="F963" s="285"/>
      <c r="G963" s="35"/>
      <c r="H963" s="104"/>
      <c r="I963" s="35"/>
      <c r="J963" s="74"/>
      <c r="K963" s="74"/>
      <c r="L963" s="74"/>
      <c r="M963" s="74"/>
      <c r="N963" s="74"/>
      <c r="O963" s="74"/>
      <c r="P963" s="74"/>
      <c r="Q963" s="74"/>
      <c r="R963" s="74"/>
      <c r="S963" s="74"/>
      <c r="T963" s="74"/>
      <c r="U963" s="74"/>
      <c r="V963" s="74"/>
      <c r="W963" s="74"/>
      <c r="X963" s="74"/>
      <c r="Y963" s="74"/>
      <c r="Z963" s="74"/>
      <c r="AA963" s="74"/>
      <c r="AB963" s="74"/>
    </row>
    <row r="964" spans="1:28" ht="12" customHeight="1">
      <c r="A964" s="330"/>
      <c r="B964" s="314"/>
      <c r="C964" s="285"/>
      <c r="D964" s="108"/>
      <c r="E964" s="285"/>
      <c r="F964" s="285"/>
      <c r="G964" s="35"/>
      <c r="H964" s="104"/>
      <c r="I964" s="35"/>
      <c r="J964" s="74"/>
      <c r="K964" s="74"/>
      <c r="L964" s="74"/>
      <c r="M964" s="74"/>
      <c r="N964" s="74"/>
      <c r="O964" s="74"/>
      <c r="P964" s="74"/>
      <c r="Q964" s="74"/>
      <c r="R964" s="74"/>
      <c r="S964" s="74"/>
      <c r="T964" s="74"/>
      <c r="U964" s="74"/>
      <c r="V964" s="74"/>
      <c r="W964" s="74"/>
      <c r="X964" s="74"/>
      <c r="Y964" s="74"/>
      <c r="Z964" s="74"/>
      <c r="AA964" s="74"/>
      <c r="AB964" s="74"/>
    </row>
    <row r="965" spans="1:28" ht="12" customHeight="1">
      <c r="A965" s="330"/>
      <c r="B965" s="314"/>
      <c r="C965" s="285"/>
      <c r="D965" s="108"/>
      <c r="E965" s="285"/>
      <c r="F965" s="285"/>
      <c r="G965" s="35"/>
      <c r="H965" s="104"/>
      <c r="I965" s="35"/>
      <c r="J965" s="74"/>
      <c r="K965" s="74"/>
      <c r="L965" s="74"/>
      <c r="M965" s="74"/>
      <c r="N965" s="74"/>
      <c r="O965" s="74"/>
      <c r="P965" s="74"/>
      <c r="Q965" s="74"/>
      <c r="R965" s="74"/>
      <c r="S965" s="74"/>
      <c r="T965" s="74"/>
      <c r="U965" s="74"/>
      <c r="V965" s="74"/>
      <c r="W965" s="74"/>
      <c r="X965" s="74"/>
      <c r="Y965" s="74"/>
      <c r="Z965" s="74"/>
      <c r="AA965" s="74"/>
      <c r="AB965" s="74"/>
    </row>
    <row r="966" spans="1:28" ht="12" customHeight="1">
      <c r="A966" s="330"/>
      <c r="B966" s="314"/>
      <c r="C966" s="285"/>
      <c r="D966" s="108"/>
      <c r="E966" s="285"/>
      <c r="F966" s="285"/>
      <c r="G966" s="35"/>
      <c r="H966" s="104"/>
      <c r="I966" s="35"/>
      <c r="J966" s="74"/>
      <c r="K966" s="74"/>
      <c r="L966" s="74"/>
      <c r="M966" s="74"/>
      <c r="N966" s="74"/>
      <c r="O966" s="74"/>
      <c r="P966" s="74"/>
      <c r="Q966" s="74"/>
      <c r="R966" s="74"/>
      <c r="S966" s="74"/>
      <c r="T966" s="74"/>
      <c r="U966" s="74"/>
      <c r="V966" s="74"/>
      <c r="W966" s="74"/>
      <c r="X966" s="74"/>
      <c r="Y966" s="74"/>
      <c r="Z966" s="74"/>
      <c r="AA966" s="74"/>
      <c r="AB966" s="74"/>
    </row>
    <row r="967" spans="1:28" ht="12" customHeight="1">
      <c r="A967" s="330"/>
      <c r="B967" s="314"/>
      <c r="C967" s="285"/>
      <c r="D967" s="108"/>
      <c r="E967" s="285"/>
      <c r="F967" s="285"/>
      <c r="G967" s="35"/>
      <c r="H967" s="104"/>
      <c r="I967" s="35"/>
      <c r="J967" s="74"/>
      <c r="K967" s="74"/>
      <c r="L967" s="74"/>
      <c r="M967" s="74"/>
      <c r="N967" s="74"/>
      <c r="O967" s="74"/>
      <c r="P967" s="74"/>
      <c r="Q967" s="74"/>
      <c r="R967" s="74"/>
      <c r="S967" s="74"/>
      <c r="T967" s="74"/>
      <c r="U967" s="74"/>
      <c r="V967" s="74"/>
      <c r="W967" s="74"/>
      <c r="X967" s="74"/>
      <c r="Y967" s="74"/>
      <c r="Z967" s="74"/>
      <c r="AA967" s="74"/>
      <c r="AB967" s="74"/>
    </row>
    <row r="968" spans="1:28" ht="12" customHeight="1">
      <c r="A968" s="330"/>
      <c r="B968" s="314"/>
      <c r="C968" s="285"/>
      <c r="D968" s="108"/>
      <c r="E968" s="285"/>
      <c r="F968" s="285"/>
      <c r="G968" s="35"/>
      <c r="H968" s="104"/>
      <c r="I968" s="35"/>
      <c r="J968" s="74"/>
      <c r="K968" s="74"/>
      <c r="L968" s="74"/>
      <c r="M968" s="74"/>
      <c r="N968" s="74"/>
      <c r="O968" s="74"/>
      <c r="P968" s="74"/>
      <c r="Q968" s="74"/>
      <c r="R968" s="74"/>
      <c r="S968" s="74"/>
      <c r="T968" s="74"/>
      <c r="U968" s="74"/>
      <c r="V968" s="74"/>
      <c r="W968" s="74"/>
      <c r="X968" s="74"/>
      <c r="Y968" s="74"/>
      <c r="Z968" s="74"/>
      <c r="AA968" s="74"/>
      <c r="AB968" s="74"/>
    </row>
    <row r="969" spans="1:28" ht="12" customHeight="1">
      <c r="A969" s="330"/>
      <c r="B969" s="314"/>
      <c r="C969" s="285"/>
      <c r="D969" s="108"/>
      <c r="E969" s="285"/>
      <c r="F969" s="285"/>
      <c r="G969" s="35"/>
      <c r="H969" s="104"/>
      <c r="I969" s="35"/>
      <c r="J969" s="74"/>
      <c r="K969" s="74"/>
      <c r="L969" s="74"/>
      <c r="M969" s="74"/>
      <c r="N969" s="74"/>
      <c r="O969" s="74"/>
      <c r="P969" s="74"/>
      <c r="Q969" s="74"/>
      <c r="R969" s="74"/>
      <c r="S969" s="74"/>
      <c r="T969" s="74"/>
      <c r="U969" s="74"/>
      <c r="V969" s="74"/>
      <c r="W969" s="74"/>
      <c r="X969" s="74"/>
      <c r="Y969" s="74"/>
      <c r="Z969" s="74"/>
      <c r="AA969" s="74"/>
      <c r="AB969" s="74"/>
    </row>
    <row r="970" spans="1:28" ht="12" customHeight="1">
      <c r="A970" s="330"/>
      <c r="B970" s="314"/>
      <c r="C970" s="285"/>
      <c r="D970" s="108"/>
      <c r="E970" s="285"/>
      <c r="F970" s="285"/>
      <c r="G970" s="35"/>
      <c r="H970" s="104"/>
      <c r="I970" s="35"/>
      <c r="J970" s="74"/>
      <c r="K970" s="74"/>
      <c r="L970" s="74"/>
      <c r="M970" s="74"/>
      <c r="N970" s="74"/>
      <c r="O970" s="74"/>
      <c r="P970" s="74"/>
      <c r="Q970" s="74"/>
      <c r="R970" s="74"/>
      <c r="S970" s="74"/>
      <c r="T970" s="74"/>
      <c r="U970" s="74"/>
      <c r="V970" s="74"/>
      <c r="W970" s="74"/>
      <c r="X970" s="74"/>
      <c r="Y970" s="74"/>
      <c r="Z970" s="74"/>
      <c r="AA970" s="74"/>
      <c r="AB970" s="74"/>
    </row>
    <row r="971" spans="1:28" ht="12" customHeight="1">
      <c r="A971" s="330"/>
      <c r="B971" s="314"/>
      <c r="C971" s="285"/>
      <c r="D971" s="108"/>
      <c r="E971" s="285"/>
      <c r="F971" s="285"/>
      <c r="G971" s="35"/>
      <c r="H971" s="104"/>
      <c r="I971" s="35"/>
      <c r="J971" s="74"/>
      <c r="K971" s="74"/>
      <c r="L971" s="74"/>
      <c r="M971" s="74"/>
      <c r="N971" s="74"/>
      <c r="O971" s="74"/>
      <c r="P971" s="74"/>
      <c r="Q971" s="74"/>
      <c r="R971" s="74"/>
      <c r="S971" s="74"/>
      <c r="T971" s="74"/>
      <c r="U971" s="74"/>
      <c r="V971" s="74"/>
      <c r="W971" s="74"/>
      <c r="X971" s="74"/>
      <c r="Y971" s="74"/>
      <c r="Z971" s="74"/>
      <c r="AA971" s="74"/>
      <c r="AB971" s="74"/>
    </row>
    <row r="972" spans="1:28" ht="12" customHeight="1">
      <c r="A972" s="330"/>
      <c r="B972" s="314"/>
      <c r="C972" s="285"/>
      <c r="D972" s="108"/>
      <c r="E972" s="285"/>
      <c r="F972" s="285"/>
      <c r="G972" s="35"/>
      <c r="H972" s="104"/>
      <c r="I972" s="35"/>
      <c r="J972" s="74"/>
      <c r="K972" s="74"/>
      <c r="L972" s="74"/>
      <c r="M972" s="74"/>
      <c r="N972" s="74"/>
      <c r="O972" s="74"/>
      <c r="P972" s="74"/>
      <c r="Q972" s="74"/>
      <c r="R972" s="74"/>
      <c r="S972" s="74"/>
      <c r="T972" s="74"/>
      <c r="U972" s="74"/>
      <c r="V972" s="74"/>
      <c r="W972" s="74"/>
      <c r="X972" s="74"/>
      <c r="Y972" s="74"/>
      <c r="Z972" s="74"/>
      <c r="AA972" s="74"/>
      <c r="AB972" s="74"/>
    </row>
    <row r="973" spans="1:28" ht="12" customHeight="1">
      <c r="A973" s="330"/>
      <c r="B973" s="314"/>
      <c r="C973" s="285"/>
      <c r="D973" s="108"/>
      <c r="E973" s="285"/>
      <c r="F973" s="285"/>
      <c r="G973" s="35"/>
      <c r="H973" s="104"/>
      <c r="I973" s="35"/>
      <c r="J973" s="74"/>
      <c r="K973" s="74"/>
      <c r="L973" s="74"/>
      <c r="M973" s="74"/>
      <c r="N973" s="74"/>
      <c r="O973" s="74"/>
      <c r="P973" s="74"/>
      <c r="Q973" s="74"/>
      <c r="R973" s="74"/>
      <c r="S973" s="74"/>
      <c r="T973" s="74"/>
      <c r="U973" s="74"/>
      <c r="V973" s="74"/>
      <c r="W973" s="74"/>
      <c r="X973" s="74"/>
      <c r="Y973" s="74"/>
      <c r="Z973" s="74"/>
      <c r="AA973" s="74"/>
      <c r="AB973" s="74"/>
    </row>
    <row r="974" spans="1:28" ht="12" customHeight="1">
      <c r="A974" s="330"/>
      <c r="B974" s="314"/>
      <c r="C974" s="285"/>
      <c r="D974" s="108"/>
      <c r="E974" s="285"/>
      <c r="F974" s="285"/>
      <c r="G974" s="35"/>
      <c r="H974" s="104"/>
      <c r="I974" s="35"/>
      <c r="J974" s="74"/>
      <c r="K974" s="74"/>
      <c r="L974" s="74"/>
      <c r="M974" s="74"/>
      <c r="N974" s="74"/>
      <c r="O974" s="74"/>
      <c r="P974" s="74"/>
      <c r="Q974" s="74"/>
      <c r="R974" s="74"/>
      <c r="S974" s="74"/>
      <c r="T974" s="74"/>
      <c r="U974" s="74"/>
      <c r="V974" s="74"/>
      <c r="W974" s="74"/>
      <c r="X974" s="74"/>
      <c r="Y974" s="74"/>
      <c r="Z974" s="74"/>
      <c r="AA974" s="74"/>
      <c r="AB974" s="74"/>
    </row>
    <row r="975" spans="1:28" ht="12" customHeight="1">
      <c r="A975" s="330"/>
      <c r="B975" s="314"/>
      <c r="C975" s="285"/>
      <c r="D975" s="108"/>
      <c r="E975" s="285"/>
      <c r="F975" s="285"/>
      <c r="G975" s="35"/>
      <c r="H975" s="104"/>
      <c r="I975" s="35"/>
      <c r="J975" s="74"/>
      <c r="K975" s="74"/>
      <c r="L975" s="74"/>
      <c r="M975" s="74"/>
      <c r="N975" s="74"/>
      <c r="O975" s="74"/>
      <c r="P975" s="74"/>
      <c r="Q975" s="74"/>
      <c r="R975" s="74"/>
      <c r="S975" s="74"/>
      <c r="T975" s="74"/>
      <c r="U975" s="74"/>
      <c r="V975" s="74"/>
      <c r="W975" s="74"/>
      <c r="X975" s="74"/>
      <c r="Y975" s="74"/>
      <c r="Z975" s="74"/>
      <c r="AA975" s="74"/>
      <c r="AB975" s="74"/>
    </row>
    <row r="976" spans="1:28" ht="12" customHeight="1">
      <c r="A976" s="330"/>
      <c r="B976" s="314"/>
      <c r="C976" s="285"/>
      <c r="D976" s="108"/>
      <c r="E976" s="285"/>
      <c r="F976" s="285"/>
      <c r="G976" s="35"/>
      <c r="H976" s="104"/>
      <c r="I976" s="35"/>
      <c r="J976" s="74"/>
      <c r="K976" s="74"/>
      <c r="L976" s="74"/>
      <c r="M976" s="74"/>
      <c r="N976" s="74"/>
      <c r="O976" s="74"/>
      <c r="P976" s="74"/>
      <c r="Q976" s="74"/>
      <c r="R976" s="74"/>
      <c r="S976" s="74"/>
      <c r="T976" s="74"/>
      <c r="U976" s="74"/>
      <c r="V976" s="74"/>
      <c r="W976" s="74"/>
      <c r="X976" s="74"/>
      <c r="Y976" s="74"/>
      <c r="Z976" s="74"/>
      <c r="AA976" s="74"/>
      <c r="AB976" s="74"/>
    </row>
    <row r="977" spans="1:28" ht="12" customHeight="1">
      <c r="A977" s="330"/>
      <c r="B977" s="314"/>
      <c r="C977" s="285"/>
      <c r="D977" s="108"/>
      <c r="E977" s="285"/>
      <c r="F977" s="285"/>
      <c r="G977" s="35"/>
      <c r="H977" s="104"/>
      <c r="I977" s="35"/>
      <c r="J977" s="74"/>
      <c r="K977" s="74"/>
      <c r="L977" s="74"/>
      <c r="M977" s="74"/>
      <c r="N977" s="74"/>
      <c r="O977" s="74"/>
      <c r="P977" s="74"/>
      <c r="Q977" s="74"/>
      <c r="R977" s="74"/>
      <c r="S977" s="74"/>
      <c r="T977" s="74"/>
      <c r="U977" s="74"/>
      <c r="V977" s="74"/>
      <c r="W977" s="74"/>
      <c r="X977" s="74"/>
      <c r="Y977" s="74"/>
      <c r="Z977" s="74"/>
      <c r="AA977" s="74"/>
      <c r="AB977" s="74"/>
    </row>
    <row r="978" spans="1:28" ht="12" customHeight="1">
      <c r="A978" s="330"/>
      <c r="B978" s="314"/>
      <c r="C978" s="285"/>
      <c r="D978" s="108"/>
      <c r="E978" s="285"/>
      <c r="F978" s="285"/>
      <c r="G978" s="35"/>
      <c r="H978" s="104"/>
      <c r="I978" s="35"/>
      <c r="J978" s="74"/>
      <c r="K978" s="74"/>
      <c r="L978" s="74"/>
      <c r="M978" s="74"/>
      <c r="N978" s="74"/>
      <c r="O978" s="74"/>
      <c r="P978" s="74"/>
      <c r="Q978" s="74"/>
      <c r="R978" s="74"/>
      <c r="S978" s="74"/>
      <c r="T978" s="74"/>
      <c r="U978" s="74"/>
      <c r="V978" s="74"/>
      <c r="W978" s="74"/>
      <c r="X978" s="74"/>
      <c r="Y978" s="74"/>
      <c r="Z978" s="74"/>
      <c r="AA978" s="74"/>
      <c r="AB978" s="74"/>
    </row>
    <row r="979" spans="1:28" ht="12" customHeight="1">
      <c r="A979" s="330"/>
      <c r="B979" s="314"/>
      <c r="C979" s="285"/>
      <c r="D979" s="108"/>
      <c r="E979" s="285"/>
      <c r="F979" s="285"/>
      <c r="G979" s="35"/>
      <c r="H979" s="104"/>
      <c r="I979" s="35"/>
      <c r="J979" s="74"/>
      <c r="K979" s="74"/>
      <c r="L979" s="74"/>
      <c r="M979" s="74"/>
      <c r="N979" s="74"/>
      <c r="O979" s="74"/>
      <c r="P979" s="74"/>
      <c r="Q979" s="74"/>
      <c r="R979" s="74"/>
      <c r="S979" s="74"/>
      <c r="T979" s="74"/>
      <c r="U979" s="74"/>
      <c r="V979" s="74"/>
      <c r="W979" s="74"/>
      <c r="X979" s="74"/>
      <c r="Y979" s="74"/>
      <c r="Z979" s="74"/>
      <c r="AA979" s="74"/>
      <c r="AB979" s="74"/>
    </row>
    <row r="980" spans="1:28" ht="12" customHeight="1">
      <c r="A980" s="330"/>
      <c r="B980" s="314"/>
      <c r="C980" s="285"/>
      <c r="D980" s="108"/>
      <c r="E980" s="285"/>
      <c r="F980" s="285"/>
      <c r="G980" s="35"/>
      <c r="H980" s="104"/>
      <c r="I980" s="35"/>
      <c r="J980" s="74"/>
      <c r="K980" s="74"/>
      <c r="L980" s="74"/>
      <c r="M980" s="74"/>
      <c r="N980" s="74"/>
      <c r="O980" s="74"/>
      <c r="P980" s="74"/>
      <c r="Q980" s="74"/>
      <c r="R980" s="74"/>
      <c r="S980" s="74"/>
      <c r="T980" s="74"/>
      <c r="U980" s="74"/>
      <c r="V980" s="74"/>
      <c r="W980" s="74"/>
      <c r="X980" s="74"/>
      <c r="Y980" s="74"/>
      <c r="Z980" s="74"/>
      <c r="AA980" s="74"/>
      <c r="AB980" s="74"/>
    </row>
    <row r="981" spans="1:28" ht="12" customHeight="1">
      <c r="A981" s="330"/>
      <c r="B981" s="314"/>
      <c r="C981" s="285"/>
      <c r="D981" s="108"/>
      <c r="E981" s="285"/>
      <c r="F981" s="285"/>
      <c r="G981" s="35"/>
      <c r="H981" s="104"/>
      <c r="I981" s="35"/>
      <c r="J981" s="74"/>
      <c r="K981" s="74"/>
      <c r="L981" s="74"/>
      <c r="M981" s="74"/>
      <c r="N981" s="74"/>
      <c r="O981" s="74"/>
      <c r="P981" s="74"/>
      <c r="Q981" s="74"/>
      <c r="R981" s="74"/>
      <c r="S981" s="74"/>
      <c r="T981" s="74"/>
      <c r="U981" s="74"/>
      <c r="V981" s="74"/>
      <c r="W981" s="74"/>
      <c r="X981" s="74"/>
      <c r="Y981" s="74"/>
      <c r="Z981" s="74"/>
      <c r="AA981" s="74"/>
      <c r="AB981" s="74"/>
    </row>
    <row r="982" spans="1:28" ht="12" customHeight="1">
      <c r="A982" s="330"/>
      <c r="B982" s="314"/>
      <c r="C982" s="285"/>
      <c r="D982" s="108"/>
      <c r="E982" s="285"/>
      <c r="F982" s="285"/>
      <c r="G982" s="35"/>
      <c r="H982" s="104"/>
      <c r="I982" s="35"/>
      <c r="J982" s="74"/>
      <c r="K982" s="74"/>
      <c r="L982" s="74"/>
      <c r="M982" s="74"/>
      <c r="N982" s="74"/>
      <c r="O982" s="74"/>
      <c r="P982" s="74"/>
      <c r="Q982" s="74"/>
      <c r="R982" s="74"/>
      <c r="S982" s="74"/>
      <c r="T982" s="74"/>
      <c r="U982" s="74"/>
      <c r="V982" s="74"/>
      <c r="W982" s="74"/>
      <c r="X982" s="74"/>
      <c r="Y982" s="74"/>
      <c r="Z982" s="74"/>
      <c r="AA982" s="74"/>
      <c r="AB982" s="74"/>
    </row>
    <row r="983" spans="1:28" ht="12" customHeight="1">
      <c r="A983" s="330"/>
      <c r="B983" s="314"/>
      <c r="C983" s="285"/>
      <c r="D983" s="108"/>
      <c r="E983" s="285"/>
      <c r="F983" s="285"/>
      <c r="G983" s="35"/>
      <c r="H983" s="104"/>
      <c r="I983" s="35"/>
      <c r="J983" s="74"/>
      <c r="K983" s="74"/>
      <c r="L983" s="74"/>
      <c r="M983" s="74"/>
      <c r="N983" s="74"/>
      <c r="O983" s="74"/>
      <c r="P983" s="74"/>
      <c r="Q983" s="74"/>
      <c r="R983" s="74"/>
      <c r="S983" s="74"/>
      <c r="T983" s="74"/>
      <c r="U983" s="74"/>
      <c r="V983" s="74"/>
      <c r="W983" s="74"/>
      <c r="X983" s="74"/>
      <c r="Y983" s="74"/>
      <c r="Z983" s="74"/>
      <c r="AA983" s="74"/>
      <c r="AB983" s="74"/>
    </row>
    <row r="984" spans="1:28" ht="12" customHeight="1">
      <c r="A984" s="330"/>
      <c r="B984" s="314"/>
      <c r="C984" s="285"/>
      <c r="D984" s="108"/>
      <c r="E984" s="285"/>
      <c r="F984" s="285"/>
      <c r="G984" s="35"/>
      <c r="H984" s="104"/>
      <c r="I984" s="35"/>
      <c r="J984" s="74"/>
      <c r="K984" s="74"/>
      <c r="L984" s="74"/>
      <c r="M984" s="74"/>
      <c r="N984" s="74"/>
      <c r="O984" s="74"/>
      <c r="P984" s="74"/>
      <c r="Q984" s="74"/>
      <c r="R984" s="74"/>
      <c r="S984" s="74"/>
      <c r="T984" s="74"/>
      <c r="U984" s="74"/>
      <c r="V984" s="74"/>
      <c r="W984" s="74"/>
      <c r="X984" s="74"/>
      <c r="Y984" s="74"/>
      <c r="Z984" s="74"/>
      <c r="AA984" s="74"/>
      <c r="AB984" s="74"/>
    </row>
    <row r="985" spans="1:28" ht="12" customHeight="1">
      <c r="A985" s="330"/>
      <c r="B985" s="314"/>
      <c r="C985" s="285"/>
      <c r="D985" s="108"/>
      <c r="E985" s="285"/>
      <c r="F985" s="285"/>
      <c r="G985" s="35"/>
      <c r="H985" s="104"/>
      <c r="I985" s="35"/>
      <c r="J985" s="74"/>
      <c r="K985" s="74"/>
      <c r="L985" s="74"/>
      <c r="M985" s="74"/>
      <c r="N985" s="74"/>
      <c r="O985" s="74"/>
      <c r="P985" s="74"/>
      <c r="Q985" s="74"/>
      <c r="R985" s="74"/>
      <c r="S985" s="74"/>
      <c r="T985" s="74"/>
      <c r="U985" s="74"/>
      <c r="V985" s="74"/>
      <c r="W985" s="74"/>
      <c r="X985" s="74"/>
      <c r="Y985" s="74"/>
      <c r="Z985" s="74"/>
      <c r="AA985" s="74"/>
      <c r="AB985" s="74"/>
    </row>
    <row r="986" spans="1:28" ht="12" customHeight="1">
      <c r="A986" s="330"/>
      <c r="B986" s="314"/>
      <c r="C986" s="285"/>
      <c r="D986" s="108"/>
      <c r="E986" s="285"/>
      <c r="F986" s="285"/>
      <c r="G986" s="35"/>
      <c r="H986" s="104"/>
      <c r="I986" s="35"/>
      <c r="J986" s="74"/>
      <c r="K986" s="74"/>
      <c r="L986" s="74"/>
      <c r="M986" s="74"/>
      <c r="N986" s="74"/>
      <c r="O986" s="74"/>
      <c r="P986" s="74"/>
      <c r="Q986" s="74"/>
      <c r="R986" s="74"/>
      <c r="S986" s="74"/>
      <c r="T986" s="74"/>
      <c r="U986" s="74"/>
      <c r="V986" s="74"/>
      <c r="W986" s="74"/>
      <c r="X986" s="74"/>
      <c r="Y986" s="74"/>
      <c r="Z986" s="74"/>
      <c r="AA986" s="74"/>
      <c r="AB986" s="74"/>
    </row>
    <row r="987" spans="1:28" ht="12" customHeight="1">
      <c r="A987" s="330"/>
      <c r="B987" s="314"/>
      <c r="C987" s="285"/>
      <c r="D987" s="108"/>
      <c r="E987" s="285"/>
      <c r="F987" s="285"/>
      <c r="G987" s="35"/>
      <c r="H987" s="104"/>
      <c r="I987" s="35"/>
      <c r="J987" s="74"/>
      <c r="K987" s="74"/>
      <c r="L987" s="74"/>
      <c r="M987" s="74"/>
      <c r="N987" s="74"/>
      <c r="O987" s="74"/>
      <c r="P987" s="74"/>
      <c r="Q987" s="74"/>
      <c r="R987" s="74"/>
      <c r="S987" s="74"/>
      <c r="T987" s="74"/>
      <c r="U987" s="74"/>
      <c r="V987" s="74"/>
      <c r="W987" s="74"/>
      <c r="X987" s="74"/>
      <c r="Y987" s="74"/>
      <c r="Z987" s="74"/>
      <c r="AA987" s="74"/>
      <c r="AB987" s="74"/>
    </row>
    <row r="988" spans="1:28" ht="12" customHeight="1">
      <c r="A988" s="330"/>
      <c r="B988" s="314"/>
      <c r="C988" s="285"/>
      <c r="D988" s="108"/>
      <c r="E988" s="285"/>
      <c r="F988" s="285"/>
      <c r="G988" s="35"/>
      <c r="H988" s="104"/>
      <c r="I988" s="35"/>
      <c r="J988" s="74"/>
      <c r="K988" s="74"/>
      <c r="L988" s="74"/>
      <c r="M988" s="74"/>
      <c r="N988" s="74"/>
      <c r="O988" s="74"/>
      <c r="P988" s="74"/>
      <c r="Q988" s="74"/>
      <c r="R988" s="74"/>
      <c r="S988" s="74"/>
      <c r="T988" s="74"/>
      <c r="U988" s="74"/>
      <c r="V988" s="74"/>
      <c r="W988" s="74"/>
      <c r="X988" s="74"/>
      <c r="Y988" s="74"/>
      <c r="Z988" s="74"/>
      <c r="AA988" s="74"/>
      <c r="AB988" s="74"/>
    </row>
    <row r="989" spans="1:28" ht="12" customHeight="1">
      <c r="A989" s="330"/>
      <c r="B989" s="314"/>
      <c r="C989" s="285"/>
      <c r="D989" s="108"/>
      <c r="E989" s="285"/>
      <c r="F989" s="285"/>
      <c r="G989" s="35"/>
      <c r="H989" s="104"/>
      <c r="I989" s="35"/>
      <c r="J989" s="74"/>
      <c r="K989" s="74"/>
      <c r="L989" s="74"/>
      <c r="M989" s="74"/>
      <c r="N989" s="74"/>
      <c r="O989" s="74"/>
      <c r="P989" s="74"/>
      <c r="Q989" s="74"/>
      <c r="R989" s="74"/>
      <c r="S989" s="74"/>
      <c r="T989" s="74"/>
      <c r="U989" s="74"/>
      <c r="V989" s="74"/>
      <c r="W989" s="74"/>
      <c r="X989" s="74"/>
      <c r="Y989" s="74"/>
      <c r="Z989" s="74"/>
      <c r="AA989" s="74"/>
      <c r="AB989" s="74"/>
    </row>
    <row r="990" spans="1:28" ht="12" customHeight="1">
      <c r="A990" s="330"/>
      <c r="B990" s="314"/>
      <c r="C990" s="285"/>
      <c r="D990" s="108"/>
      <c r="E990" s="285"/>
      <c r="F990" s="285"/>
      <c r="G990" s="35"/>
      <c r="H990" s="104"/>
      <c r="I990" s="35"/>
      <c r="J990" s="74"/>
      <c r="K990" s="74"/>
      <c r="L990" s="74"/>
      <c r="M990" s="74"/>
      <c r="N990" s="74"/>
      <c r="O990" s="74"/>
      <c r="P990" s="74"/>
      <c r="Q990" s="74"/>
      <c r="R990" s="74"/>
      <c r="S990" s="74"/>
      <c r="T990" s="74"/>
      <c r="U990" s="74"/>
      <c r="V990" s="74"/>
      <c r="W990" s="74"/>
      <c r="X990" s="74"/>
      <c r="Y990" s="74"/>
      <c r="Z990" s="74"/>
      <c r="AA990" s="74"/>
      <c r="AB990" s="74"/>
    </row>
    <row r="991" spans="1:28" ht="12" customHeight="1">
      <c r="A991" s="330"/>
      <c r="B991" s="314"/>
      <c r="C991" s="285"/>
      <c r="D991" s="108"/>
      <c r="E991" s="285"/>
      <c r="F991" s="285"/>
      <c r="G991" s="35"/>
      <c r="H991" s="104"/>
      <c r="I991" s="35"/>
      <c r="J991" s="74"/>
      <c r="K991" s="74"/>
      <c r="L991" s="74"/>
      <c r="M991" s="74"/>
      <c r="N991" s="74"/>
      <c r="O991" s="74"/>
      <c r="P991" s="74"/>
      <c r="Q991" s="74"/>
      <c r="R991" s="74"/>
      <c r="S991" s="74"/>
      <c r="T991" s="74"/>
      <c r="U991" s="74"/>
      <c r="V991" s="74"/>
      <c r="W991" s="74"/>
      <c r="X991" s="74"/>
      <c r="Y991" s="74"/>
      <c r="Z991" s="74"/>
      <c r="AA991" s="74"/>
      <c r="AB991" s="74"/>
    </row>
    <row r="992" spans="1:28" ht="12" customHeight="1">
      <c r="A992" s="330"/>
      <c r="B992" s="314"/>
      <c r="C992" s="285"/>
      <c r="D992" s="108"/>
      <c r="E992" s="285"/>
      <c r="F992" s="285"/>
      <c r="G992" s="35"/>
      <c r="H992" s="104"/>
      <c r="I992" s="35"/>
      <c r="J992" s="74"/>
      <c r="K992" s="74"/>
      <c r="L992" s="74"/>
      <c r="M992" s="74"/>
      <c r="N992" s="74"/>
      <c r="O992" s="74"/>
      <c r="P992" s="74"/>
      <c r="Q992" s="74"/>
      <c r="R992" s="74"/>
      <c r="S992" s="74"/>
      <c r="T992" s="74"/>
      <c r="U992" s="74"/>
      <c r="V992" s="74"/>
      <c r="W992" s="74"/>
      <c r="X992" s="74"/>
      <c r="Y992" s="74"/>
      <c r="Z992" s="74"/>
      <c r="AA992" s="74"/>
      <c r="AB992" s="74"/>
    </row>
    <row r="993" spans="1:28" ht="12" customHeight="1">
      <c r="A993" s="330"/>
      <c r="B993" s="314"/>
      <c r="C993" s="285"/>
      <c r="D993" s="108"/>
      <c r="E993" s="285"/>
      <c r="F993" s="285"/>
      <c r="G993" s="35"/>
      <c r="H993" s="104"/>
      <c r="I993" s="35"/>
      <c r="J993" s="74"/>
      <c r="K993" s="74"/>
      <c r="L993" s="74"/>
      <c r="M993" s="74"/>
      <c r="N993" s="74"/>
      <c r="O993" s="74"/>
      <c r="P993" s="74"/>
      <c r="Q993" s="74"/>
      <c r="R993" s="74"/>
      <c r="S993" s="74"/>
      <c r="T993" s="74"/>
      <c r="U993" s="74"/>
      <c r="V993" s="74"/>
      <c r="W993" s="74"/>
      <c r="X993" s="74"/>
      <c r="Y993" s="74"/>
      <c r="Z993" s="74"/>
      <c r="AA993" s="74"/>
      <c r="AB993" s="74"/>
    </row>
    <row r="994" spans="1:28" ht="12" customHeight="1">
      <c r="A994" s="330"/>
      <c r="B994" s="314"/>
      <c r="C994" s="285"/>
      <c r="D994" s="108"/>
      <c r="E994" s="285"/>
      <c r="F994" s="285"/>
      <c r="G994" s="35"/>
      <c r="H994" s="104"/>
      <c r="I994" s="35"/>
      <c r="J994" s="74"/>
      <c r="K994" s="74"/>
      <c r="L994" s="74"/>
      <c r="M994" s="74"/>
      <c r="N994" s="74"/>
      <c r="O994" s="74"/>
      <c r="P994" s="74"/>
      <c r="Q994" s="74"/>
      <c r="R994" s="74"/>
      <c r="S994" s="74"/>
      <c r="T994" s="74"/>
      <c r="U994" s="74"/>
      <c r="V994" s="74"/>
      <c r="W994" s="74"/>
      <c r="X994" s="74"/>
      <c r="Y994" s="74"/>
      <c r="Z994" s="74"/>
      <c r="AA994" s="74"/>
      <c r="AB994" s="74"/>
    </row>
    <row r="995" spans="1:28" ht="12" customHeight="1">
      <c r="A995" s="330"/>
      <c r="B995" s="314"/>
      <c r="C995" s="285"/>
      <c r="D995" s="108"/>
      <c r="E995" s="285"/>
      <c r="F995" s="285"/>
      <c r="G995" s="35"/>
      <c r="H995" s="104"/>
      <c r="I995" s="35"/>
      <c r="J995" s="74"/>
      <c r="K995" s="74"/>
      <c r="L995" s="74"/>
      <c r="M995" s="74"/>
      <c r="N995" s="74"/>
      <c r="O995" s="74"/>
      <c r="P995" s="74"/>
      <c r="Q995" s="74"/>
      <c r="R995" s="74"/>
      <c r="S995" s="74"/>
      <c r="T995" s="74"/>
      <c r="U995" s="74"/>
      <c r="V995" s="74"/>
      <c r="W995" s="74"/>
      <c r="X995" s="74"/>
      <c r="Y995" s="74"/>
      <c r="Z995" s="74"/>
      <c r="AA995" s="74"/>
      <c r="AB995" s="74"/>
    </row>
    <row r="996" spans="1:28" ht="12" customHeight="1">
      <c r="A996" s="330"/>
      <c r="B996" s="314"/>
      <c r="C996" s="285"/>
      <c r="D996" s="108"/>
      <c r="E996" s="285"/>
      <c r="F996" s="285"/>
      <c r="G996" s="35"/>
      <c r="H996" s="104"/>
      <c r="I996" s="35"/>
      <c r="J996" s="74"/>
      <c r="K996" s="74"/>
      <c r="L996" s="74"/>
      <c r="M996" s="74"/>
      <c r="N996" s="74"/>
      <c r="O996" s="74"/>
      <c r="P996" s="74"/>
      <c r="Q996" s="74"/>
      <c r="R996" s="74"/>
      <c r="S996" s="74"/>
      <c r="T996" s="74"/>
      <c r="U996" s="74"/>
      <c r="V996" s="74"/>
      <c r="W996" s="74"/>
      <c r="X996" s="74"/>
      <c r="Y996" s="74"/>
      <c r="Z996" s="74"/>
      <c r="AA996" s="74"/>
      <c r="AB996" s="74"/>
    </row>
    <row r="997" spans="1:28" ht="12" customHeight="1">
      <c r="A997" s="330"/>
      <c r="B997" s="314"/>
      <c r="C997" s="285"/>
      <c r="D997" s="108"/>
      <c r="E997" s="285"/>
      <c r="F997" s="285"/>
      <c r="G997" s="35"/>
      <c r="H997" s="104"/>
      <c r="I997" s="35"/>
      <c r="J997" s="74"/>
      <c r="K997" s="74"/>
      <c r="L997" s="74"/>
      <c r="M997" s="74"/>
      <c r="N997" s="74"/>
      <c r="O997" s="74"/>
      <c r="P997" s="74"/>
      <c r="Q997" s="74"/>
      <c r="R997" s="74"/>
      <c r="S997" s="74"/>
      <c r="T997" s="74"/>
      <c r="U997" s="74"/>
      <c r="V997" s="74"/>
      <c r="W997" s="74"/>
      <c r="X997" s="74"/>
      <c r="Y997" s="74"/>
      <c r="Z997" s="74"/>
      <c r="AA997" s="74"/>
      <c r="AB997" s="74"/>
    </row>
    <row r="998" spans="1:28" ht="12" customHeight="1">
      <c r="A998" s="330"/>
      <c r="B998" s="314"/>
      <c r="C998" s="285"/>
      <c r="D998" s="108"/>
      <c r="E998" s="285"/>
      <c r="F998" s="285"/>
      <c r="G998" s="35"/>
      <c r="H998" s="104"/>
      <c r="I998" s="35"/>
      <c r="J998" s="74"/>
      <c r="K998" s="74"/>
      <c r="L998" s="74"/>
      <c r="M998" s="74"/>
      <c r="N998" s="74"/>
      <c r="O998" s="74"/>
      <c r="P998" s="74"/>
      <c r="Q998" s="74"/>
      <c r="R998" s="74"/>
      <c r="S998" s="74"/>
      <c r="T998" s="74"/>
      <c r="U998" s="74"/>
      <c r="V998" s="74"/>
      <c r="W998" s="74"/>
      <c r="X998" s="74"/>
      <c r="Y998" s="74"/>
      <c r="Z998" s="74"/>
      <c r="AA998" s="74"/>
      <c r="AB998" s="74"/>
    </row>
    <row r="999" spans="1:28" ht="12" customHeight="1">
      <c r="A999" s="330"/>
      <c r="B999" s="314"/>
      <c r="C999" s="285"/>
      <c r="D999" s="108"/>
      <c r="E999" s="285"/>
      <c r="F999" s="285"/>
      <c r="G999" s="35"/>
      <c r="H999" s="104"/>
      <c r="I999" s="35"/>
      <c r="J999" s="74"/>
      <c r="K999" s="74"/>
      <c r="L999" s="74"/>
      <c r="M999" s="74"/>
      <c r="N999" s="74"/>
      <c r="O999" s="74"/>
      <c r="P999" s="74"/>
      <c r="Q999" s="74"/>
      <c r="R999" s="74"/>
      <c r="S999" s="74"/>
      <c r="T999" s="74"/>
      <c r="U999" s="74"/>
      <c r="V999" s="74"/>
      <c r="W999" s="74"/>
      <c r="X999" s="74"/>
      <c r="Y999" s="74"/>
      <c r="Z999" s="74"/>
      <c r="AA999" s="74"/>
      <c r="AB999" s="74"/>
    </row>
    <row r="1000" spans="1:28" ht="12" customHeight="1">
      <c r="A1000" s="330"/>
      <c r="B1000" s="314"/>
      <c r="C1000" s="285"/>
      <c r="D1000" s="108"/>
      <c r="E1000" s="285"/>
      <c r="F1000" s="285"/>
      <c r="G1000" s="35"/>
      <c r="H1000" s="104"/>
      <c r="I1000" s="35"/>
      <c r="J1000" s="74"/>
      <c r="K1000" s="74"/>
      <c r="L1000" s="74"/>
      <c r="M1000" s="74"/>
      <c r="N1000" s="74"/>
      <c r="O1000" s="74"/>
      <c r="P1000" s="74"/>
      <c r="Q1000" s="74"/>
      <c r="R1000" s="74"/>
      <c r="S1000" s="74"/>
      <c r="T1000" s="74"/>
      <c r="U1000" s="74"/>
      <c r="V1000" s="74"/>
      <c r="W1000" s="74"/>
      <c r="X1000" s="74"/>
      <c r="Y1000" s="74"/>
      <c r="Z1000" s="74"/>
      <c r="AA1000" s="74"/>
      <c r="AB1000" s="74"/>
    </row>
    <row r="1001" spans="1:28" ht="12" customHeight="1">
      <c r="A1001" s="330"/>
      <c r="B1001" s="314"/>
      <c r="C1001" s="285"/>
      <c r="D1001" s="108"/>
      <c r="E1001" s="285"/>
      <c r="F1001" s="285"/>
      <c r="G1001" s="35"/>
      <c r="H1001" s="104"/>
      <c r="I1001" s="35"/>
      <c r="J1001" s="74"/>
      <c r="K1001" s="74"/>
      <c r="L1001" s="74"/>
      <c r="M1001" s="74"/>
      <c r="N1001" s="74"/>
      <c r="O1001" s="74"/>
      <c r="P1001" s="74"/>
      <c r="Q1001" s="74"/>
      <c r="R1001" s="74"/>
      <c r="S1001" s="74"/>
      <c r="T1001" s="74"/>
      <c r="U1001" s="74"/>
      <c r="V1001" s="74"/>
      <c r="W1001" s="74"/>
      <c r="X1001" s="74"/>
      <c r="Y1001" s="74"/>
      <c r="Z1001" s="74"/>
      <c r="AA1001" s="74"/>
      <c r="AB1001" s="74"/>
    </row>
    <row r="1002" spans="1:28" ht="12" customHeight="1">
      <c r="A1002" s="330"/>
      <c r="B1002" s="314"/>
      <c r="C1002" s="285"/>
      <c r="D1002" s="108"/>
      <c r="E1002" s="285"/>
      <c r="F1002" s="285"/>
      <c r="G1002" s="35"/>
      <c r="H1002" s="104"/>
      <c r="I1002" s="35"/>
      <c r="J1002" s="74"/>
      <c r="K1002" s="74"/>
      <c r="L1002" s="74"/>
      <c r="M1002" s="74"/>
      <c r="N1002" s="74"/>
      <c r="O1002" s="74"/>
      <c r="P1002" s="74"/>
      <c r="Q1002" s="74"/>
      <c r="R1002" s="74"/>
      <c r="S1002" s="74"/>
      <c r="T1002" s="74"/>
      <c r="U1002" s="74"/>
      <c r="V1002" s="74"/>
      <c r="W1002" s="74"/>
      <c r="X1002" s="74"/>
      <c r="Y1002" s="74"/>
      <c r="Z1002" s="74"/>
      <c r="AA1002" s="74"/>
      <c r="AB1002" s="74"/>
    </row>
    <row r="1003" spans="1:28" ht="12" customHeight="1">
      <c r="A1003" s="330"/>
      <c r="B1003" s="314"/>
      <c r="C1003" s="285"/>
      <c r="D1003" s="108"/>
      <c r="E1003" s="285"/>
      <c r="F1003" s="285"/>
      <c r="G1003" s="35"/>
      <c r="H1003" s="104"/>
      <c r="I1003" s="35"/>
      <c r="J1003" s="74"/>
      <c r="K1003" s="74"/>
      <c r="L1003" s="74"/>
      <c r="M1003" s="74"/>
      <c r="N1003" s="74"/>
      <c r="O1003" s="74"/>
      <c r="P1003" s="74"/>
      <c r="Q1003" s="74"/>
      <c r="R1003" s="74"/>
      <c r="S1003" s="74"/>
      <c r="T1003" s="74"/>
      <c r="U1003" s="74"/>
      <c r="V1003" s="74"/>
      <c r="W1003" s="74"/>
      <c r="X1003" s="74"/>
      <c r="Y1003" s="74"/>
      <c r="Z1003" s="74"/>
      <c r="AA1003" s="74"/>
      <c r="AB1003" s="74"/>
    </row>
    <row r="1004" spans="1:28" ht="12" customHeight="1">
      <c r="A1004" s="330"/>
      <c r="B1004" s="314"/>
      <c r="C1004" s="285"/>
      <c r="D1004" s="108"/>
      <c r="E1004" s="285"/>
      <c r="F1004" s="285"/>
      <c r="G1004" s="35"/>
      <c r="H1004" s="104"/>
      <c r="I1004" s="35"/>
      <c r="J1004" s="74"/>
      <c r="K1004" s="74"/>
      <c r="L1004" s="74"/>
      <c r="M1004" s="74"/>
      <c r="N1004" s="74"/>
      <c r="O1004" s="74"/>
      <c r="P1004" s="74"/>
      <c r="Q1004" s="74"/>
      <c r="R1004" s="74"/>
      <c r="S1004" s="74"/>
      <c r="T1004" s="74"/>
      <c r="U1004" s="74"/>
      <c r="V1004" s="74"/>
      <c r="W1004" s="74"/>
      <c r="X1004" s="74"/>
      <c r="Y1004" s="74"/>
      <c r="Z1004" s="74"/>
      <c r="AA1004" s="74"/>
      <c r="AB1004" s="74"/>
    </row>
    <row r="1005" spans="1:28" ht="12" customHeight="1">
      <c r="A1005" s="330"/>
      <c r="B1005" s="314"/>
      <c r="C1005" s="285"/>
      <c r="D1005" s="108"/>
      <c r="E1005" s="285"/>
      <c r="F1005" s="285"/>
      <c r="G1005" s="35"/>
      <c r="H1005" s="104"/>
      <c r="I1005" s="35"/>
      <c r="J1005" s="74"/>
      <c r="K1005" s="74"/>
      <c r="L1005" s="74"/>
      <c r="M1005" s="74"/>
      <c r="N1005" s="74"/>
      <c r="O1005" s="74"/>
      <c r="P1005" s="74"/>
      <c r="Q1005" s="74"/>
      <c r="R1005" s="74"/>
      <c r="S1005" s="74"/>
      <c r="T1005" s="74"/>
      <c r="U1005" s="74"/>
      <c r="V1005" s="74"/>
      <c r="W1005" s="74"/>
      <c r="X1005" s="74"/>
      <c r="Y1005" s="74"/>
      <c r="Z1005" s="74"/>
      <c r="AA1005" s="74"/>
      <c r="AB1005" s="74"/>
    </row>
    <row r="1006" spans="1:28" ht="12" customHeight="1">
      <c r="A1006" s="330"/>
      <c r="B1006" s="314"/>
      <c r="C1006" s="285"/>
      <c r="D1006" s="108"/>
      <c r="E1006" s="285"/>
      <c r="F1006" s="285"/>
      <c r="G1006" s="35"/>
      <c r="H1006" s="104"/>
      <c r="I1006" s="35"/>
      <c r="J1006" s="74"/>
      <c r="K1006" s="74"/>
      <c r="L1006" s="74"/>
      <c r="M1006" s="74"/>
      <c r="N1006" s="74"/>
      <c r="O1006" s="74"/>
      <c r="P1006" s="74"/>
      <c r="Q1006" s="74"/>
      <c r="R1006" s="74"/>
      <c r="S1006" s="74"/>
      <c r="T1006" s="74"/>
      <c r="U1006" s="74"/>
      <c r="V1006" s="74"/>
      <c r="W1006" s="74"/>
      <c r="X1006" s="74"/>
      <c r="Y1006" s="74"/>
      <c r="Z1006" s="74"/>
      <c r="AA1006" s="74"/>
      <c r="AB1006" s="74"/>
    </row>
    <row r="1007" spans="1:28" ht="12" customHeight="1">
      <c r="A1007" s="330"/>
      <c r="B1007" s="314"/>
      <c r="C1007" s="285"/>
      <c r="D1007" s="108"/>
      <c r="E1007" s="285"/>
      <c r="F1007" s="285"/>
      <c r="G1007" s="35"/>
      <c r="H1007" s="104"/>
      <c r="I1007" s="35"/>
      <c r="J1007" s="74"/>
      <c r="K1007" s="74"/>
      <c r="L1007" s="74"/>
      <c r="M1007" s="74"/>
      <c r="N1007" s="74"/>
      <c r="O1007" s="74"/>
      <c r="P1007" s="74"/>
      <c r="Q1007" s="74"/>
      <c r="R1007" s="74"/>
      <c r="S1007" s="74"/>
      <c r="T1007" s="74"/>
      <c r="U1007" s="74"/>
      <c r="V1007" s="74"/>
      <c r="W1007" s="74"/>
      <c r="X1007" s="74"/>
      <c r="Y1007" s="74"/>
      <c r="Z1007" s="74"/>
      <c r="AA1007" s="74"/>
      <c r="AB1007" s="74"/>
    </row>
    <row r="1008" spans="1:28" ht="12" customHeight="1">
      <c r="A1008" s="330"/>
      <c r="B1008" s="314"/>
      <c r="C1008" s="285"/>
      <c r="D1008" s="108"/>
      <c r="E1008" s="285"/>
      <c r="F1008" s="285"/>
      <c r="G1008" s="35"/>
      <c r="H1008" s="104"/>
      <c r="I1008" s="35"/>
      <c r="J1008" s="74"/>
      <c r="K1008" s="74"/>
      <c r="L1008" s="74"/>
      <c r="M1008" s="74"/>
      <c r="N1008" s="74"/>
      <c r="O1008" s="74"/>
      <c r="P1008" s="74"/>
      <c r="Q1008" s="74"/>
      <c r="R1008" s="74"/>
      <c r="S1008" s="74"/>
      <c r="T1008" s="74"/>
      <c r="U1008" s="74"/>
      <c r="V1008" s="74"/>
      <c r="W1008" s="74"/>
      <c r="X1008" s="74"/>
      <c r="Y1008" s="74"/>
      <c r="Z1008" s="74"/>
      <c r="AA1008" s="74"/>
      <c r="AB1008" s="74"/>
    </row>
    <row r="1009" spans="1:28" ht="12" customHeight="1">
      <c r="A1009" s="330"/>
      <c r="B1009" s="314"/>
      <c r="C1009" s="285"/>
      <c r="D1009" s="108"/>
      <c r="E1009" s="285"/>
      <c r="F1009" s="285"/>
      <c r="G1009" s="35"/>
      <c r="H1009" s="104"/>
      <c r="I1009" s="35"/>
      <c r="J1009" s="74"/>
      <c r="K1009" s="74"/>
      <c r="L1009" s="74"/>
      <c r="M1009" s="74"/>
      <c r="N1009" s="74"/>
      <c r="O1009" s="74"/>
      <c r="P1009" s="74"/>
      <c r="Q1009" s="74"/>
      <c r="R1009" s="74"/>
      <c r="S1009" s="74"/>
      <c r="T1009" s="74"/>
      <c r="U1009" s="74"/>
      <c r="V1009" s="74"/>
      <c r="W1009" s="74"/>
      <c r="X1009" s="74"/>
      <c r="Y1009" s="74"/>
      <c r="Z1009" s="74"/>
      <c r="AA1009" s="74"/>
      <c r="AB1009" s="74"/>
    </row>
    <row r="1010" spans="1:28" ht="12" customHeight="1">
      <c r="A1010" s="330"/>
      <c r="B1010" s="314"/>
      <c r="C1010" s="285"/>
      <c r="D1010" s="108"/>
      <c r="E1010" s="285"/>
      <c r="F1010" s="285"/>
      <c r="G1010" s="35"/>
      <c r="H1010" s="104"/>
      <c r="I1010" s="35"/>
      <c r="J1010" s="74"/>
      <c r="K1010" s="74"/>
      <c r="L1010" s="74"/>
      <c r="M1010" s="74"/>
      <c r="N1010" s="74"/>
      <c r="O1010" s="74"/>
      <c r="P1010" s="74"/>
      <c r="Q1010" s="74"/>
      <c r="R1010" s="74"/>
      <c r="S1010" s="74"/>
      <c r="T1010" s="74"/>
      <c r="U1010" s="74"/>
      <c r="V1010" s="74"/>
      <c r="W1010" s="74"/>
      <c r="X1010" s="74"/>
      <c r="Y1010" s="74"/>
      <c r="Z1010" s="74"/>
      <c r="AA1010" s="74"/>
      <c r="AB1010" s="74"/>
    </row>
    <row r="1011" spans="1:28" ht="12" customHeight="1">
      <c r="A1011" s="330"/>
      <c r="B1011" s="314"/>
      <c r="C1011" s="285"/>
      <c r="D1011" s="108"/>
      <c r="E1011" s="285"/>
      <c r="F1011" s="285"/>
      <c r="G1011" s="35"/>
      <c r="H1011" s="104"/>
      <c r="I1011" s="35"/>
      <c r="J1011" s="74"/>
      <c r="K1011" s="74"/>
      <c r="L1011" s="74"/>
      <c r="M1011" s="74"/>
      <c r="N1011" s="74"/>
      <c r="O1011" s="74"/>
      <c r="P1011" s="74"/>
      <c r="Q1011" s="74"/>
      <c r="R1011" s="74"/>
      <c r="S1011" s="74"/>
      <c r="T1011" s="74"/>
      <c r="U1011" s="74"/>
      <c r="V1011" s="74"/>
      <c r="W1011" s="74"/>
      <c r="X1011" s="74"/>
      <c r="Y1011" s="74"/>
      <c r="Z1011" s="74"/>
      <c r="AA1011" s="74"/>
      <c r="AB1011" s="74"/>
    </row>
    <row r="1012" spans="1:28" ht="12" customHeight="1">
      <c r="A1012" s="330"/>
      <c r="B1012" s="314"/>
      <c r="C1012" s="285"/>
      <c r="D1012" s="108"/>
      <c r="E1012" s="285"/>
      <c r="F1012" s="285"/>
      <c r="G1012" s="35"/>
      <c r="H1012" s="104"/>
      <c r="I1012" s="35"/>
      <c r="J1012" s="74"/>
      <c r="K1012" s="74"/>
      <c r="L1012" s="74"/>
      <c r="M1012" s="74"/>
      <c r="N1012" s="74"/>
      <c r="O1012" s="74"/>
      <c r="P1012" s="74"/>
      <c r="Q1012" s="74"/>
      <c r="R1012" s="74"/>
      <c r="S1012" s="74"/>
      <c r="T1012" s="74"/>
      <c r="U1012" s="74"/>
      <c r="V1012" s="74"/>
      <c r="W1012" s="74"/>
      <c r="X1012" s="74"/>
      <c r="Y1012" s="74"/>
      <c r="Z1012" s="74"/>
      <c r="AA1012" s="74"/>
      <c r="AB1012" s="74"/>
    </row>
    <row r="1013" spans="1:28" ht="12" customHeight="1">
      <c r="A1013" s="330"/>
      <c r="B1013" s="314"/>
      <c r="C1013" s="285"/>
      <c r="D1013" s="108"/>
      <c r="E1013" s="285"/>
      <c r="F1013" s="285"/>
      <c r="G1013" s="35"/>
      <c r="H1013" s="104"/>
      <c r="I1013" s="35"/>
      <c r="J1013" s="74"/>
      <c r="K1013" s="74"/>
      <c r="L1013" s="74"/>
      <c r="M1013" s="74"/>
      <c r="N1013" s="74"/>
      <c r="O1013" s="74"/>
      <c r="P1013" s="74"/>
      <c r="Q1013" s="74"/>
      <c r="R1013" s="74"/>
      <c r="S1013" s="74"/>
      <c r="T1013" s="74"/>
      <c r="U1013" s="74"/>
      <c r="V1013" s="74"/>
      <c r="W1013" s="74"/>
      <c r="X1013" s="74"/>
      <c r="Y1013" s="74"/>
      <c r="Z1013" s="74"/>
      <c r="AA1013" s="74"/>
      <c r="AB1013" s="74"/>
    </row>
    <row r="1014" spans="1:28" ht="12" customHeight="1">
      <c r="A1014" s="330"/>
      <c r="B1014" s="314"/>
      <c r="C1014" s="285"/>
      <c r="D1014" s="108"/>
      <c r="E1014" s="285"/>
      <c r="F1014" s="285"/>
      <c r="G1014" s="35"/>
      <c r="H1014" s="104"/>
      <c r="I1014" s="35"/>
      <c r="J1014" s="74"/>
      <c r="K1014" s="74"/>
      <c r="L1014" s="74"/>
      <c r="M1014" s="74"/>
      <c r="N1014" s="74"/>
      <c r="O1014" s="74"/>
      <c r="P1014" s="74"/>
      <c r="Q1014" s="74"/>
      <c r="R1014" s="74"/>
      <c r="S1014" s="74"/>
      <c r="T1014" s="74"/>
      <c r="U1014" s="74"/>
      <c r="V1014" s="74"/>
      <c r="W1014" s="74"/>
      <c r="X1014" s="74"/>
      <c r="Y1014" s="74"/>
      <c r="Z1014" s="74"/>
      <c r="AA1014" s="74"/>
      <c r="AB1014" s="74"/>
    </row>
    <row r="1015" spans="1:28" ht="12" customHeight="1">
      <c r="A1015" s="330"/>
      <c r="B1015" s="314"/>
      <c r="C1015" s="285"/>
      <c r="D1015" s="108"/>
      <c r="E1015" s="285"/>
      <c r="F1015" s="285"/>
      <c r="G1015" s="35"/>
      <c r="H1015" s="104"/>
      <c r="I1015" s="35"/>
      <c r="J1015" s="74"/>
      <c r="K1015" s="74"/>
      <c r="L1015" s="74"/>
      <c r="M1015" s="74"/>
      <c r="N1015" s="74"/>
      <c r="O1015" s="74"/>
      <c r="P1015" s="74"/>
      <c r="Q1015" s="74"/>
      <c r="R1015" s="74"/>
      <c r="S1015" s="74"/>
      <c r="T1015" s="74"/>
      <c r="U1015" s="74"/>
      <c r="V1015" s="74"/>
      <c r="W1015" s="74"/>
      <c r="X1015" s="74"/>
      <c r="Y1015" s="74"/>
      <c r="Z1015" s="74"/>
      <c r="AA1015" s="74"/>
      <c r="AB1015" s="74"/>
    </row>
    <row r="1016" spans="1:28" ht="12" customHeight="1">
      <c r="A1016" s="330"/>
      <c r="B1016" s="314"/>
      <c r="C1016" s="285"/>
      <c r="D1016" s="108"/>
      <c r="E1016" s="285"/>
      <c r="F1016" s="285"/>
      <c r="G1016" s="35"/>
      <c r="H1016" s="104"/>
      <c r="I1016" s="35"/>
      <c r="J1016" s="74"/>
      <c r="K1016" s="74"/>
      <c r="L1016" s="74"/>
      <c r="M1016" s="74"/>
      <c r="N1016" s="74"/>
      <c r="O1016" s="74"/>
      <c r="P1016" s="74"/>
      <c r="Q1016" s="74"/>
      <c r="R1016" s="74"/>
      <c r="S1016" s="74"/>
      <c r="T1016" s="74"/>
      <c r="U1016" s="74"/>
      <c r="V1016" s="74"/>
      <c r="W1016" s="74"/>
      <c r="X1016" s="74"/>
      <c r="Y1016" s="74"/>
      <c r="Z1016" s="74"/>
      <c r="AA1016" s="74"/>
      <c r="AB1016" s="74"/>
    </row>
    <row r="1017" spans="1:28" ht="12" customHeight="1">
      <c r="A1017" s="330"/>
      <c r="B1017" s="314"/>
      <c r="C1017" s="285"/>
      <c r="D1017" s="108"/>
      <c r="E1017" s="285"/>
      <c r="F1017" s="285"/>
      <c r="G1017" s="35"/>
      <c r="H1017" s="104"/>
      <c r="I1017" s="35"/>
      <c r="J1017" s="74"/>
      <c r="K1017" s="74"/>
      <c r="L1017" s="74"/>
      <c r="M1017" s="74"/>
      <c r="N1017" s="74"/>
      <c r="O1017" s="74"/>
      <c r="P1017" s="74"/>
      <c r="Q1017" s="74"/>
      <c r="R1017" s="74"/>
      <c r="S1017" s="74"/>
      <c r="T1017" s="74"/>
      <c r="U1017" s="74"/>
      <c r="V1017" s="74"/>
      <c r="W1017" s="74"/>
      <c r="X1017" s="74"/>
      <c r="Y1017" s="74"/>
      <c r="Z1017" s="74"/>
      <c r="AA1017" s="74"/>
      <c r="AB1017" s="74"/>
    </row>
    <row r="1018" spans="1:28" ht="12" customHeight="1">
      <c r="A1018" s="330"/>
      <c r="B1018" s="314"/>
      <c r="C1018" s="285"/>
      <c r="D1018" s="108"/>
      <c r="E1018" s="285"/>
      <c r="F1018" s="285"/>
      <c r="G1018" s="35"/>
      <c r="H1018" s="104"/>
      <c r="I1018" s="35"/>
      <c r="J1018" s="74"/>
      <c r="K1018" s="74"/>
      <c r="L1018" s="74"/>
      <c r="M1018" s="74"/>
      <c r="N1018" s="74"/>
      <c r="O1018" s="74"/>
      <c r="P1018" s="74"/>
      <c r="Q1018" s="74"/>
      <c r="R1018" s="74"/>
      <c r="S1018" s="74"/>
      <c r="T1018" s="74"/>
      <c r="U1018" s="74"/>
      <c r="V1018" s="74"/>
      <c r="W1018" s="74"/>
      <c r="X1018" s="74"/>
      <c r="Y1018" s="74"/>
      <c r="Z1018" s="74"/>
      <c r="AA1018" s="74"/>
      <c r="AB1018" s="74"/>
    </row>
    <row r="1019" spans="1:28" ht="12" customHeight="1">
      <c r="A1019" s="330"/>
      <c r="B1019" s="314"/>
      <c r="C1019" s="285"/>
      <c r="D1019" s="108"/>
      <c r="E1019" s="285"/>
      <c r="F1019" s="285"/>
      <c r="G1019" s="35"/>
      <c r="H1019" s="104"/>
      <c r="I1019" s="35"/>
      <c r="J1019" s="74"/>
      <c r="K1019" s="74"/>
      <c r="L1019" s="74"/>
      <c r="M1019" s="74"/>
      <c r="N1019" s="74"/>
      <c r="O1019" s="74"/>
      <c r="P1019" s="74"/>
      <c r="Q1019" s="74"/>
      <c r="R1019" s="74"/>
      <c r="S1019" s="74"/>
      <c r="T1019" s="74"/>
      <c r="U1019" s="74"/>
      <c r="V1019" s="74"/>
      <c r="W1019" s="74"/>
      <c r="X1019" s="74"/>
      <c r="Y1019" s="74"/>
      <c r="Z1019" s="74"/>
      <c r="AA1019" s="74"/>
      <c r="AB1019" s="74"/>
    </row>
    <row r="1020" spans="1:28" ht="12" customHeight="1">
      <c r="A1020" s="330"/>
      <c r="B1020" s="314"/>
      <c r="C1020" s="285"/>
      <c r="D1020" s="108"/>
      <c r="E1020" s="285"/>
      <c r="F1020" s="285"/>
      <c r="G1020" s="35"/>
      <c r="H1020" s="104"/>
      <c r="I1020" s="35"/>
      <c r="J1020" s="74"/>
      <c r="K1020" s="74"/>
      <c r="L1020" s="74"/>
      <c r="M1020" s="74"/>
      <c r="N1020" s="74"/>
      <c r="O1020" s="74"/>
      <c r="P1020" s="74"/>
      <c r="Q1020" s="74"/>
      <c r="R1020" s="74"/>
      <c r="S1020" s="74"/>
      <c r="T1020" s="74"/>
      <c r="U1020" s="74"/>
      <c r="V1020" s="74"/>
      <c r="W1020" s="74"/>
      <c r="X1020" s="74"/>
      <c r="Y1020" s="74"/>
      <c r="Z1020" s="74"/>
      <c r="AA1020" s="74"/>
      <c r="AB1020" s="74"/>
    </row>
    <row r="1021" spans="1:28" ht="12" customHeight="1">
      <c r="A1021" s="330"/>
      <c r="B1021" s="314"/>
      <c r="C1021" s="285"/>
      <c r="D1021" s="108"/>
      <c r="E1021" s="285"/>
      <c r="F1021" s="285"/>
      <c r="G1021" s="35"/>
      <c r="H1021" s="104"/>
      <c r="I1021" s="35"/>
      <c r="J1021" s="74"/>
      <c r="K1021" s="74"/>
      <c r="L1021" s="74"/>
      <c r="M1021" s="74"/>
      <c r="N1021" s="74"/>
      <c r="O1021" s="74"/>
      <c r="P1021" s="74"/>
      <c r="Q1021" s="74"/>
      <c r="R1021" s="74"/>
      <c r="S1021" s="74"/>
      <c r="T1021" s="74"/>
      <c r="U1021" s="74"/>
      <c r="V1021" s="74"/>
      <c r="W1021" s="74"/>
      <c r="X1021" s="74"/>
      <c r="Y1021" s="74"/>
      <c r="Z1021" s="74"/>
      <c r="AA1021" s="74"/>
      <c r="AB1021" s="74"/>
    </row>
    <row r="1022" spans="1:28" ht="12" customHeight="1">
      <c r="A1022" s="330"/>
      <c r="B1022" s="314"/>
      <c r="C1022" s="285"/>
      <c r="D1022" s="108"/>
      <c r="E1022" s="285"/>
      <c r="F1022" s="285"/>
      <c r="G1022" s="35"/>
      <c r="H1022" s="104"/>
      <c r="I1022" s="35"/>
      <c r="J1022" s="74"/>
      <c r="K1022" s="74"/>
      <c r="L1022" s="74"/>
      <c r="M1022" s="74"/>
      <c r="N1022" s="74"/>
      <c r="O1022" s="74"/>
      <c r="P1022" s="74"/>
      <c r="Q1022" s="74"/>
      <c r="R1022" s="74"/>
      <c r="S1022" s="74"/>
      <c r="T1022" s="74"/>
      <c r="U1022" s="74"/>
      <c r="V1022" s="74"/>
      <c r="W1022" s="74"/>
      <c r="X1022" s="74"/>
      <c r="Y1022" s="74"/>
      <c r="Z1022" s="74"/>
      <c r="AA1022" s="74"/>
      <c r="AB1022" s="74"/>
    </row>
    <row r="1023" spans="1:28" ht="12" customHeight="1">
      <c r="A1023" s="330"/>
      <c r="B1023" s="314"/>
      <c r="C1023" s="285"/>
      <c r="D1023" s="108"/>
      <c r="E1023" s="285"/>
      <c r="F1023" s="285"/>
      <c r="G1023" s="35"/>
      <c r="H1023" s="104"/>
      <c r="I1023" s="35"/>
      <c r="J1023" s="74"/>
      <c r="K1023" s="74"/>
      <c r="L1023" s="74"/>
      <c r="M1023" s="74"/>
      <c r="N1023" s="74"/>
      <c r="O1023" s="74"/>
      <c r="P1023" s="74"/>
      <c r="Q1023" s="74"/>
      <c r="R1023" s="74"/>
      <c r="S1023" s="74"/>
      <c r="T1023" s="74"/>
      <c r="U1023" s="74"/>
      <c r="V1023" s="74"/>
      <c r="W1023" s="74"/>
      <c r="X1023" s="74"/>
      <c r="Y1023" s="74"/>
      <c r="Z1023" s="74"/>
      <c r="AA1023" s="74"/>
      <c r="AB1023" s="74"/>
    </row>
    <row r="1024" spans="1:28" ht="12" customHeight="1">
      <c r="A1024" s="330"/>
      <c r="B1024" s="314"/>
      <c r="C1024" s="285"/>
      <c r="D1024" s="108"/>
      <c r="E1024" s="285"/>
      <c r="F1024" s="285"/>
      <c r="G1024" s="35"/>
      <c r="H1024" s="104"/>
      <c r="I1024" s="35"/>
      <c r="J1024" s="74"/>
      <c r="K1024" s="74"/>
      <c r="L1024" s="74"/>
      <c r="M1024" s="74"/>
      <c r="N1024" s="74"/>
      <c r="O1024" s="74"/>
      <c r="P1024" s="74"/>
      <c r="Q1024" s="74"/>
      <c r="R1024" s="74"/>
      <c r="S1024" s="74"/>
      <c r="T1024" s="74"/>
      <c r="U1024" s="74"/>
      <c r="V1024" s="74"/>
      <c r="W1024" s="74"/>
      <c r="X1024" s="74"/>
      <c r="Y1024" s="74"/>
      <c r="Z1024" s="74"/>
      <c r="AA1024" s="74"/>
      <c r="AB1024" s="74"/>
    </row>
    <row r="1025" spans="1:28" ht="12" customHeight="1">
      <c r="A1025" s="330"/>
      <c r="B1025" s="314"/>
      <c r="C1025" s="285"/>
      <c r="D1025" s="108"/>
      <c r="E1025" s="285"/>
      <c r="F1025" s="285"/>
      <c r="G1025" s="35"/>
      <c r="H1025" s="104"/>
      <c r="I1025" s="35"/>
      <c r="J1025" s="74"/>
      <c r="K1025" s="74"/>
      <c r="L1025" s="74"/>
      <c r="M1025" s="74"/>
      <c r="N1025" s="74"/>
      <c r="O1025" s="74"/>
      <c r="P1025" s="74"/>
      <c r="Q1025" s="74"/>
      <c r="R1025" s="74"/>
      <c r="S1025" s="74"/>
      <c r="T1025" s="74"/>
      <c r="U1025" s="74"/>
      <c r="V1025" s="74"/>
      <c r="W1025" s="74"/>
      <c r="X1025" s="74"/>
      <c r="Y1025" s="74"/>
      <c r="Z1025" s="74"/>
      <c r="AA1025" s="74"/>
      <c r="AB1025" s="74"/>
    </row>
    <row r="1026" spans="1:28" ht="12" customHeight="1">
      <c r="A1026" s="330"/>
      <c r="B1026" s="314"/>
      <c r="C1026" s="285"/>
      <c r="D1026" s="108"/>
      <c r="E1026" s="285"/>
      <c r="F1026" s="285"/>
      <c r="G1026" s="35"/>
      <c r="H1026" s="104"/>
      <c r="I1026" s="35"/>
      <c r="J1026" s="74"/>
      <c r="K1026" s="74"/>
      <c r="L1026" s="74"/>
      <c r="M1026" s="74"/>
      <c r="N1026" s="74"/>
      <c r="O1026" s="74"/>
      <c r="P1026" s="74"/>
      <c r="Q1026" s="74"/>
      <c r="R1026" s="74"/>
      <c r="S1026" s="74"/>
      <c r="T1026" s="74"/>
      <c r="U1026" s="74"/>
      <c r="V1026" s="74"/>
      <c r="W1026" s="74"/>
      <c r="X1026" s="74"/>
      <c r="Y1026" s="74"/>
      <c r="Z1026" s="74"/>
      <c r="AA1026" s="74"/>
      <c r="AB1026" s="74"/>
    </row>
    <row r="1027" spans="1:28" ht="12" customHeight="1">
      <c r="A1027" s="330"/>
      <c r="B1027" s="314"/>
      <c r="C1027" s="285"/>
      <c r="D1027" s="108"/>
      <c r="E1027" s="285"/>
      <c r="F1027" s="285"/>
      <c r="G1027" s="35"/>
      <c r="H1027" s="104"/>
      <c r="I1027" s="35"/>
      <c r="J1027" s="74"/>
      <c r="K1027" s="74"/>
      <c r="L1027" s="74"/>
      <c r="M1027" s="74"/>
      <c r="N1027" s="74"/>
      <c r="O1027" s="74"/>
      <c r="P1027" s="74"/>
      <c r="Q1027" s="74"/>
      <c r="R1027" s="74"/>
      <c r="S1027" s="74"/>
      <c r="T1027" s="74"/>
      <c r="U1027" s="74"/>
      <c r="V1027" s="74"/>
      <c r="W1027" s="74"/>
      <c r="X1027" s="74"/>
      <c r="Y1027" s="74"/>
      <c r="Z1027" s="74"/>
      <c r="AA1027" s="74"/>
      <c r="AB1027" s="74"/>
    </row>
    <row r="1028" spans="1:28" ht="12" customHeight="1">
      <c r="A1028" s="330"/>
      <c r="B1028" s="314"/>
      <c r="C1028" s="285"/>
      <c r="D1028" s="108"/>
      <c r="E1028" s="285"/>
      <c r="F1028" s="285"/>
      <c r="G1028" s="35"/>
      <c r="H1028" s="104"/>
      <c r="I1028" s="35"/>
      <c r="J1028" s="74"/>
      <c r="K1028" s="74"/>
      <c r="L1028" s="74"/>
      <c r="M1028" s="74"/>
      <c r="N1028" s="74"/>
      <c r="O1028" s="74"/>
      <c r="P1028" s="74"/>
      <c r="Q1028" s="74"/>
      <c r="R1028" s="74"/>
      <c r="S1028" s="74"/>
      <c r="T1028" s="74"/>
      <c r="U1028" s="74"/>
      <c r="V1028" s="74"/>
      <c r="W1028" s="74"/>
      <c r="X1028" s="74"/>
      <c r="Y1028" s="74"/>
      <c r="Z1028" s="74"/>
      <c r="AA1028" s="74"/>
      <c r="AB1028" s="74"/>
    </row>
    <row r="1029" spans="1:28" ht="12" customHeight="1">
      <c r="A1029" s="330"/>
      <c r="B1029" s="314"/>
      <c r="C1029" s="285"/>
      <c r="D1029" s="108"/>
      <c r="E1029" s="285"/>
      <c r="F1029" s="285"/>
      <c r="G1029" s="35"/>
      <c r="H1029" s="104"/>
      <c r="I1029" s="35"/>
      <c r="J1029" s="74"/>
      <c r="K1029" s="74"/>
      <c r="L1029" s="74"/>
      <c r="M1029" s="74"/>
      <c r="N1029" s="74"/>
      <c r="O1029" s="74"/>
      <c r="P1029" s="74"/>
      <c r="Q1029" s="74"/>
      <c r="R1029" s="74"/>
      <c r="S1029" s="74"/>
      <c r="T1029" s="74"/>
      <c r="U1029" s="74"/>
      <c r="V1029" s="74"/>
      <c r="W1029" s="74"/>
      <c r="X1029" s="74"/>
      <c r="Y1029" s="74"/>
      <c r="Z1029" s="74"/>
      <c r="AA1029" s="74"/>
      <c r="AB1029" s="74"/>
    </row>
    <row r="1030" spans="1:28" ht="12" customHeight="1">
      <c r="A1030" s="330"/>
      <c r="B1030" s="314"/>
      <c r="C1030" s="285"/>
      <c r="D1030" s="108"/>
      <c r="E1030" s="285"/>
      <c r="F1030" s="285"/>
      <c r="G1030" s="35"/>
      <c r="H1030" s="104"/>
      <c r="I1030" s="35"/>
      <c r="J1030" s="74"/>
      <c r="K1030" s="74"/>
      <c r="L1030" s="74"/>
      <c r="M1030" s="74"/>
      <c r="N1030" s="74"/>
      <c r="O1030" s="74"/>
      <c r="P1030" s="74"/>
      <c r="Q1030" s="74"/>
      <c r="R1030" s="74"/>
      <c r="S1030" s="74"/>
      <c r="T1030" s="74"/>
      <c r="U1030" s="74"/>
      <c r="V1030" s="74"/>
      <c r="W1030" s="74"/>
      <c r="X1030" s="74"/>
      <c r="Y1030" s="74"/>
      <c r="Z1030" s="74"/>
      <c r="AA1030" s="74"/>
      <c r="AB1030" s="74"/>
    </row>
    <row r="1031" spans="1:28" ht="12" customHeight="1">
      <c r="A1031" s="330"/>
      <c r="B1031" s="314"/>
      <c r="C1031" s="285"/>
      <c r="D1031" s="108"/>
      <c r="E1031" s="285"/>
      <c r="F1031" s="285"/>
      <c r="G1031" s="35"/>
      <c r="H1031" s="104"/>
      <c r="I1031" s="35"/>
      <c r="J1031" s="74"/>
      <c r="K1031" s="74"/>
      <c r="L1031" s="74"/>
      <c r="M1031" s="74"/>
      <c r="N1031" s="74"/>
      <c r="O1031" s="74"/>
      <c r="P1031" s="74"/>
      <c r="Q1031" s="74"/>
      <c r="R1031" s="74"/>
      <c r="S1031" s="74"/>
      <c r="T1031" s="74"/>
      <c r="U1031" s="74"/>
      <c r="V1031" s="74"/>
      <c r="W1031" s="74"/>
      <c r="X1031" s="74"/>
      <c r="Y1031" s="74"/>
      <c r="Z1031" s="74"/>
      <c r="AA1031" s="74"/>
      <c r="AB1031" s="74"/>
    </row>
    <row r="1032" spans="1:28" ht="12" customHeight="1">
      <c r="A1032" s="330"/>
      <c r="B1032" s="314"/>
      <c r="C1032" s="285"/>
      <c r="D1032" s="108"/>
      <c r="E1032" s="285"/>
      <c r="F1032" s="285"/>
      <c r="G1032" s="35"/>
      <c r="H1032" s="104"/>
      <c r="I1032" s="35"/>
      <c r="J1032" s="74"/>
      <c r="K1032" s="74"/>
      <c r="L1032" s="74"/>
      <c r="M1032" s="74"/>
      <c r="N1032" s="74"/>
      <c r="O1032" s="74"/>
      <c r="P1032" s="74"/>
      <c r="Q1032" s="74"/>
      <c r="R1032" s="74"/>
      <c r="S1032" s="74"/>
      <c r="T1032" s="74"/>
      <c r="U1032" s="74"/>
      <c r="V1032" s="74"/>
      <c r="W1032" s="74"/>
      <c r="X1032" s="74"/>
      <c r="Y1032" s="74"/>
      <c r="Z1032" s="74"/>
      <c r="AA1032" s="74"/>
      <c r="AB1032" s="74"/>
    </row>
    <row r="1033" spans="1:28" ht="12" customHeight="1">
      <c r="A1033" s="330"/>
      <c r="B1033" s="314"/>
      <c r="C1033" s="285"/>
      <c r="D1033" s="108"/>
      <c r="E1033" s="285"/>
      <c r="F1033" s="285"/>
      <c r="G1033" s="35"/>
      <c r="H1033" s="104"/>
      <c r="I1033" s="35"/>
      <c r="J1033" s="74"/>
      <c r="K1033" s="74"/>
      <c r="L1033" s="74"/>
      <c r="M1033" s="74"/>
      <c r="N1033" s="74"/>
      <c r="O1033" s="74"/>
      <c r="P1033" s="74"/>
      <c r="Q1033" s="74"/>
      <c r="R1033" s="74"/>
      <c r="S1033" s="74"/>
      <c r="T1033" s="74"/>
      <c r="U1033" s="74"/>
      <c r="V1033" s="74"/>
      <c r="W1033" s="74"/>
      <c r="X1033" s="74"/>
      <c r="Y1033" s="74"/>
      <c r="Z1033" s="74"/>
      <c r="AA1033" s="74"/>
      <c r="AB1033" s="74"/>
    </row>
    <row r="1034" spans="1:28" ht="12" customHeight="1">
      <c r="A1034" s="330"/>
      <c r="B1034" s="314"/>
      <c r="C1034" s="285"/>
      <c r="D1034" s="108"/>
      <c r="E1034" s="285"/>
      <c r="F1034" s="285"/>
      <c r="G1034" s="35"/>
      <c r="H1034" s="104"/>
      <c r="I1034" s="35"/>
      <c r="J1034" s="74"/>
      <c r="K1034" s="74"/>
      <c r="L1034" s="74"/>
      <c r="M1034" s="74"/>
      <c r="N1034" s="74"/>
      <c r="O1034" s="74"/>
      <c r="P1034" s="74"/>
      <c r="Q1034" s="74"/>
      <c r="R1034" s="74"/>
      <c r="S1034" s="74"/>
      <c r="T1034" s="74"/>
      <c r="U1034" s="74"/>
      <c r="V1034" s="74"/>
      <c r="W1034" s="74"/>
      <c r="X1034" s="74"/>
      <c r="Y1034" s="74"/>
      <c r="Z1034" s="74"/>
      <c r="AA1034" s="74"/>
      <c r="AB1034" s="74"/>
    </row>
    <row r="1035" spans="1:28" ht="12" customHeight="1">
      <c r="A1035" s="330"/>
      <c r="B1035" s="314"/>
      <c r="C1035" s="285"/>
      <c r="D1035" s="108"/>
      <c r="E1035" s="285"/>
      <c r="F1035" s="285"/>
      <c r="G1035" s="35"/>
      <c r="H1035" s="104"/>
      <c r="I1035" s="35"/>
      <c r="J1035" s="74"/>
      <c r="K1035" s="74"/>
      <c r="L1035" s="74"/>
      <c r="M1035" s="74"/>
      <c r="N1035" s="74"/>
      <c r="O1035" s="74"/>
      <c r="P1035" s="74"/>
      <c r="Q1035" s="74"/>
      <c r="R1035" s="74"/>
      <c r="S1035" s="74"/>
      <c r="T1035" s="74"/>
      <c r="U1035" s="74"/>
      <c r="V1035" s="74"/>
      <c r="W1035" s="74"/>
      <c r="X1035" s="74"/>
      <c r="Y1035" s="74"/>
      <c r="Z1035" s="74"/>
      <c r="AA1035" s="74"/>
      <c r="AB1035" s="74"/>
    </row>
    <row r="1036" spans="1:28" ht="12" customHeight="1">
      <c r="A1036" s="330"/>
      <c r="B1036" s="314"/>
      <c r="C1036" s="285"/>
      <c r="D1036" s="108"/>
      <c r="E1036" s="285"/>
      <c r="F1036" s="285"/>
      <c r="G1036" s="35"/>
      <c r="H1036" s="104"/>
      <c r="I1036" s="35"/>
      <c r="J1036" s="74"/>
      <c r="K1036" s="74"/>
      <c r="L1036" s="74"/>
      <c r="M1036" s="74"/>
      <c r="N1036" s="74"/>
      <c r="O1036" s="74"/>
      <c r="P1036" s="74"/>
      <c r="Q1036" s="74"/>
      <c r="R1036" s="74"/>
      <c r="S1036" s="74"/>
      <c r="T1036" s="74"/>
      <c r="U1036" s="74"/>
      <c r="V1036" s="74"/>
      <c r="W1036" s="74"/>
      <c r="X1036" s="74"/>
      <c r="Y1036" s="74"/>
      <c r="Z1036" s="74"/>
      <c r="AA1036" s="74"/>
      <c r="AB1036" s="74"/>
    </row>
    <row r="1037" spans="1:28" ht="12" customHeight="1">
      <c r="A1037" s="330"/>
      <c r="B1037" s="314"/>
      <c r="C1037" s="285"/>
      <c r="D1037" s="108"/>
      <c r="E1037" s="285"/>
      <c r="F1037" s="285"/>
      <c r="G1037" s="35"/>
      <c r="H1037" s="104"/>
      <c r="I1037" s="35"/>
      <c r="J1037" s="74"/>
      <c r="K1037" s="74"/>
      <c r="L1037" s="74"/>
      <c r="M1037" s="74"/>
      <c r="N1037" s="74"/>
      <c r="O1037" s="74"/>
      <c r="P1037" s="74"/>
      <c r="Q1037" s="74"/>
      <c r="R1037" s="74"/>
      <c r="S1037" s="74"/>
      <c r="T1037" s="74"/>
      <c r="U1037" s="74"/>
      <c r="V1037" s="74"/>
      <c r="W1037" s="74"/>
      <c r="X1037" s="74"/>
      <c r="Y1037" s="74"/>
      <c r="Z1037" s="74"/>
      <c r="AA1037" s="74"/>
      <c r="AB1037" s="74"/>
    </row>
    <row r="1038" spans="1:28" ht="12" customHeight="1">
      <c r="A1038" s="330"/>
      <c r="B1038" s="314"/>
      <c r="C1038" s="285"/>
      <c r="D1038" s="108"/>
      <c r="E1038" s="285"/>
      <c r="F1038" s="285"/>
      <c r="G1038" s="35"/>
      <c r="H1038" s="104"/>
      <c r="I1038" s="35"/>
      <c r="J1038" s="74"/>
      <c r="K1038" s="74"/>
      <c r="L1038" s="74"/>
      <c r="M1038" s="74"/>
      <c r="N1038" s="74"/>
      <c r="O1038" s="74"/>
      <c r="P1038" s="74"/>
      <c r="Q1038" s="74"/>
      <c r="R1038" s="74"/>
      <c r="S1038" s="74"/>
      <c r="T1038" s="74"/>
      <c r="U1038" s="74"/>
      <c r="V1038" s="74"/>
      <c r="W1038" s="74"/>
      <c r="X1038" s="74"/>
      <c r="Y1038" s="74"/>
      <c r="Z1038" s="74"/>
      <c r="AA1038" s="74"/>
      <c r="AB1038" s="74"/>
    </row>
    <row r="1039" spans="1:28" ht="12" customHeight="1">
      <c r="A1039" s="330"/>
      <c r="B1039" s="314"/>
      <c r="C1039" s="285"/>
      <c r="D1039" s="108"/>
      <c r="E1039" s="285"/>
      <c r="F1039" s="285"/>
      <c r="G1039" s="35"/>
      <c r="H1039" s="104"/>
      <c r="I1039" s="35"/>
      <c r="J1039" s="74"/>
      <c r="K1039" s="74"/>
      <c r="L1039" s="74"/>
      <c r="M1039" s="74"/>
      <c r="N1039" s="74"/>
      <c r="O1039" s="74"/>
      <c r="P1039" s="74"/>
      <c r="Q1039" s="74"/>
      <c r="R1039" s="74"/>
      <c r="S1039" s="74"/>
      <c r="T1039" s="74"/>
      <c r="U1039" s="74"/>
      <c r="V1039" s="74"/>
      <c r="W1039" s="74"/>
      <c r="X1039" s="74"/>
      <c r="Y1039" s="74"/>
      <c r="Z1039" s="74"/>
      <c r="AA1039" s="74"/>
      <c r="AB1039" s="74"/>
    </row>
    <row r="1040" spans="1:28" ht="12" customHeight="1">
      <c r="A1040" s="330"/>
      <c r="B1040" s="314"/>
      <c r="C1040" s="285"/>
      <c r="D1040" s="108"/>
      <c r="E1040" s="285"/>
      <c r="F1040" s="285"/>
      <c r="G1040" s="35"/>
      <c r="H1040" s="104"/>
      <c r="I1040" s="35"/>
      <c r="J1040" s="74"/>
      <c r="K1040" s="74"/>
      <c r="L1040" s="74"/>
      <c r="M1040" s="74"/>
      <c r="N1040" s="74"/>
      <c r="O1040" s="74"/>
      <c r="P1040" s="74"/>
      <c r="Q1040" s="74"/>
      <c r="R1040" s="74"/>
      <c r="S1040" s="74"/>
      <c r="T1040" s="74"/>
      <c r="U1040" s="74"/>
      <c r="V1040" s="74"/>
      <c r="W1040" s="74"/>
      <c r="X1040" s="74"/>
      <c r="Y1040" s="74"/>
      <c r="Z1040" s="74"/>
      <c r="AA1040" s="74"/>
      <c r="AB1040" s="74"/>
    </row>
    <row r="1041" spans="1:28" ht="12" customHeight="1">
      <c r="A1041" s="330"/>
      <c r="B1041" s="314"/>
      <c r="C1041" s="285"/>
      <c r="D1041" s="108"/>
      <c r="E1041" s="285"/>
      <c r="F1041" s="285"/>
      <c r="G1041" s="35"/>
      <c r="H1041" s="104"/>
      <c r="I1041" s="35"/>
      <c r="J1041" s="74"/>
      <c r="K1041" s="74"/>
      <c r="L1041" s="74"/>
      <c r="M1041" s="74"/>
      <c r="N1041" s="74"/>
      <c r="O1041" s="74"/>
      <c r="P1041" s="74"/>
      <c r="Q1041" s="74"/>
      <c r="R1041" s="74"/>
      <c r="S1041" s="74"/>
      <c r="T1041" s="74"/>
      <c r="U1041" s="74"/>
      <c r="V1041" s="74"/>
      <c r="W1041" s="74"/>
      <c r="X1041" s="74"/>
      <c r="Y1041" s="74"/>
      <c r="Z1041" s="74"/>
      <c r="AA1041" s="74"/>
      <c r="AB1041" s="74"/>
    </row>
    <row r="1042" spans="1:28" ht="12" customHeight="1">
      <c r="A1042" s="330"/>
      <c r="B1042" s="314"/>
      <c r="C1042" s="285"/>
      <c r="D1042" s="108"/>
      <c r="E1042" s="285"/>
      <c r="F1042" s="285"/>
      <c r="G1042" s="35"/>
      <c r="H1042" s="104"/>
      <c r="I1042" s="35"/>
      <c r="J1042" s="74"/>
      <c r="K1042" s="74"/>
      <c r="L1042" s="74"/>
      <c r="M1042" s="74"/>
      <c r="N1042" s="74"/>
      <c r="O1042" s="74"/>
      <c r="P1042" s="74"/>
      <c r="Q1042" s="74"/>
      <c r="R1042" s="74"/>
      <c r="S1042" s="74"/>
      <c r="T1042" s="74"/>
      <c r="U1042" s="74"/>
      <c r="V1042" s="74"/>
      <c r="W1042" s="74"/>
      <c r="X1042" s="74"/>
      <c r="Y1042" s="74"/>
      <c r="Z1042" s="74"/>
      <c r="AA1042" s="74"/>
      <c r="AB1042" s="74"/>
    </row>
    <row r="1043" spans="1:28" ht="12" customHeight="1">
      <c r="A1043" s="330"/>
      <c r="B1043" s="314"/>
      <c r="C1043" s="285"/>
      <c r="D1043" s="108"/>
      <c r="E1043" s="285"/>
      <c r="F1043" s="285"/>
      <c r="G1043" s="35"/>
      <c r="H1043" s="104"/>
      <c r="I1043" s="35"/>
      <c r="J1043" s="74"/>
      <c r="K1043" s="74"/>
      <c r="L1043" s="74"/>
      <c r="M1043" s="74"/>
      <c r="N1043" s="74"/>
      <c r="O1043" s="74"/>
      <c r="P1043" s="74"/>
      <c r="Q1043" s="74"/>
      <c r="R1043" s="74"/>
      <c r="S1043" s="74"/>
      <c r="T1043" s="74"/>
      <c r="U1043" s="74"/>
      <c r="V1043" s="74"/>
      <c r="W1043" s="74"/>
      <c r="X1043" s="74"/>
      <c r="Y1043" s="74"/>
      <c r="Z1043" s="74"/>
      <c r="AA1043" s="74"/>
      <c r="AB1043" s="74"/>
    </row>
    <row r="1044" spans="1:28" ht="12" customHeight="1">
      <c r="A1044" s="330"/>
      <c r="B1044" s="314"/>
      <c r="C1044" s="285"/>
      <c r="D1044" s="108"/>
      <c r="E1044" s="285"/>
      <c r="F1044" s="285"/>
      <c r="G1044" s="35"/>
      <c r="H1044" s="104"/>
      <c r="I1044" s="35"/>
      <c r="J1044" s="74"/>
      <c r="K1044" s="74"/>
      <c r="L1044" s="74"/>
      <c r="M1044" s="74"/>
      <c r="N1044" s="74"/>
      <c r="O1044" s="74"/>
      <c r="P1044" s="74"/>
      <c r="Q1044" s="74"/>
      <c r="R1044" s="74"/>
      <c r="S1044" s="74"/>
      <c r="T1044" s="74"/>
      <c r="U1044" s="74"/>
      <c r="V1044" s="74"/>
      <c r="W1044" s="74"/>
      <c r="X1044" s="74"/>
      <c r="Y1044" s="74"/>
      <c r="Z1044" s="74"/>
      <c r="AA1044" s="74"/>
      <c r="AB1044" s="74"/>
    </row>
    <row r="1045" spans="1:28" ht="12" customHeight="1">
      <c r="A1045" s="330"/>
      <c r="B1045" s="314"/>
      <c r="C1045" s="285"/>
      <c r="D1045" s="108"/>
      <c r="E1045" s="285"/>
      <c r="F1045" s="285"/>
      <c r="G1045" s="35"/>
      <c r="H1045" s="104"/>
      <c r="I1045" s="35"/>
      <c r="J1045" s="74"/>
      <c r="K1045" s="74"/>
      <c r="L1045" s="74"/>
      <c r="M1045" s="74"/>
      <c r="N1045" s="74"/>
      <c r="O1045" s="74"/>
      <c r="P1045" s="74"/>
      <c r="Q1045" s="74"/>
      <c r="R1045" s="74"/>
      <c r="S1045" s="74"/>
      <c r="T1045" s="74"/>
      <c r="U1045" s="74"/>
      <c r="V1045" s="74"/>
      <c r="W1045" s="74"/>
      <c r="X1045" s="74"/>
      <c r="Y1045" s="74"/>
      <c r="Z1045" s="74"/>
      <c r="AA1045" s="74"/>
      <c r="AB1045" s="74"/>
    </row>
    <row r="1046" spans="1:28" ht="12" customHeight="1">
      <c r="A1046" s="330"/>
      <c r="B1046" s="314"/>
      <c r="C1046" s="285"/>
      <c r="D1046" s="108"/>
      <c r="E1046" s="285"/>
      <c r="F1046" s="285"/>
      <c r="G1046" s="35"/>
      <c r="H1046" s="104"/>
      <c r="I1046" s="35"/>
      <c r="J1046" s="74"/>
      <c r="K1046" s="74"/>
      <c r="L1046" s="74"/>
      <c r="M1046" s="74"/>
      <c r="N1046" s="74"/>
      <c r="O1046" s="74"/>
      <c r="P1046" s="74"/>
      <c r="Q1046" s="74"/>
      <c r="R1046" s="74"/>
      <c r="S1046" s="74"/>
      <c r="T1046" s="74"/>
      <c r="U1046" s="74"/>
      <c r="V1046" s="74"/>
      <c r="W1046" s="74"/>
      <c r="X1046" s="74"/>
      <c r="Y1046" s="74"/>
      <c r="Z1046" s="74"/>
      <c r="AA1046" s="74"/>
      <c r="AB1046" s="74"/>
    </row>
    <row r="1047" spans="1:28" ht="12" customHeight="1">
      <c r="A1047" s="330"/>
      <c r="B1047" s="314"/>
      <c r="C1047" s="285"/>
      <c r="D1047" s="108"/>
      <c r="E1047" s="285"/>
      <c r="F1047" s="285"/>
      <c r="G1047" s="35"/>
      <c r="H1047" s="104"/>
      <c r="I1047" s="35"/>
      <c r="J1047" s="74"/>
      <c r="K1047" s="74"/>
      <c r="L1047" s="74"/>
      <c r="M1047" s="74"/>
      <c r="N1047" s="74"/>
      <c r="O1047" s="74"/>
      <c r="P1047" s="74"/>
      <c r="Q1047" s="74"/>
      <c r="R1047" s="74"/>
      <c r="S1047" s="74"/>
      <c r="T1047" s="74"/>
      <c r="U1047" s="74"/>
      <c r="V1047" s="74"/>
      <c r="W1047" s="74"/>
      <c r="X1047" s="74"/>
      <c r="Y1047" s="74"/>
      <c r="Z1047" s="74"/>
      <c r="AA1047" s="74"/>
      <c r="AB1047" s="74"/>
    </row>
    <row r="1048" spans="1:28" ht="12" customHeight="1">
      <c r="A1048" s="330"/>
      <c r="B1048" s="314"/>
      <c r="C1048" s="285"/>
      <c r="D1048" s="108"/>
      <c r="E1048" s="285"/>
      <c r="F1048" s="285"/>
      <c r="G1048" s="35"/>
      <c r="H1048" s="104"/>
      <c r="I1048" s="35"/>
      <c r="J1048" s="74"/>
      <c r="K1048" s="74"/>
      <c r="L1048" s="74"/>
      <c r="M1048" s="74"/>
      <c r="N1048" s="74"/>
      <c r="O1048" s="74"/>
      <c r="P1048" s="74"/>
      <c r="Q1048" s="74"/>
      <c r="R1048" s="74"/>
      <c r="S1048" s="74"/>
      <c r="T1048" s="74"/>
      <c r="U1048" s="74"/>
      <c r="V1048" s="74"/>
      <c r="W1048" s="74"/>
      <c r="X1048" s="74"/>
      <c r="Y1048" s="74"/>
      <c r="Z1048" s="74"/>
      <c r="AA1048" s="74"/>
      <c r="AB1048" s="74"/>
    </row>
    <row r="1049" spans="1:28" ht="12" customHeight="1">
      <c r="A1049" s="330"/>
      <c r="B1049" s="314"/>
      <c r="C1049" s="285"/>
      <c r="D1049" s="108"/>
      <c r="E1049" s="285"/>
      <c r="F1049" s="285"/>
      <c r="G1049" s="35"/>
      <c r="H1049" s="104"/>
      <c r="I1049" s="35"/>
      <c r="J1049" s="74"/>
      <c r="K1049" s="74"/>
      <c r="L1049" s="74"/>
      <c r="M1049" s="74"/>
      <c r="N1049" s="74"/>
      <c r="O1049" s="74"/>
      <c r="P1049" s="74"/>
      <c r="Q1049" s="74"/>
      <c r="R1049" s="74"/>
      <c r="S1049" s="74"/>
      <c r="T1049" s="74"/>
      <c r="U1049" s="74"/>
      <c r="V1049" s="74"/>
      <c r="W1049" s="74"/>
      <c r="X1049" s="74"/>
      <c r="Y1049" s="74"/>
      <c r="Z1049" s="74"/>
      <c r="AA1049" s="74"/>
      <c r="AB1049" s="74"/>
    </row>
    <row r="1050" spans="1:28" ht="12" customHeight="1">
      <c r="A1050" s="330"/>
      <c r="B1050" s="314"/>
      <c r="C1050" s="285"/>
      <c r="D1050" s="108"/>
      <c r="E1050" s="285"/>
      <c r="F1050" s="285"/>
      <c r="G1050" s="35"/>
      <c r="H1050" s="104"/>
      <c r="I1050" s="35"/>
      <c r="J1050" s="74"/>
      <c r="K1050" s="74"/>
      <c r="L1050" s="74"/>
      <c r="M1050" s="74"/>
      <c r="N1050" s="74"/>
      <c r="O1050" s="74"/>
      <c r="P1050" s="74"/>
      <c r="Q1050" s="74"/>
      <c r="R1050" s="74"/>
      <c r="S1050" s="74"/>
      <c r="T1050" s="74"/>
      <c r="U1050" s="74"/>
      <c r="V1050" s="74"/>
      <c r="W1050" s="74"/>
      <c r="X1050" s="74"/>
      <c r="Y1050" s="74"/>
      <c r="Z1050" s="74"/>
      <c r="AA1050" s="74"/>
      <c r="AB1050" s="74"/>
    </row>
    <row r="1051" spans="1:28" ht="12" customHeight="1">
      <c r="A1051" s="330"/>
      <c r="B1051" s="314"/>
      <c r="C1051" s="285"/>
      <c r="D1051" s="108"/>
      <c r="E1051" s="285"/>
      <c r="F1051" s="285"/>
      <c r="G1051" s="35"/>
      <c r="H1051" s="104"/>
      <c r="I1051" s="35"/>
      <c r="J1051" s="74"/>
      <c r="K1051" s="74"/>
      <c r="L1051" s="74"/>
      <c r="M1051" s="74"/>
      <c r="N1051" s="74"/>
      <c r="O1051" s="74"/>
      <c r="P1051" s="74"/>
      <c r="Q1051" s="74"/>
      <c r="R1051" s="74"/>
      <c r="S1051" s="74"/>
      <c r="T1051" s="74"/>
      <c r="U1051" s="74"/>
      <c r="V1051" s="74"/>
      <c r="W1051" s="74"/>
      <c r="X1051" s="74"/>
      <c r="Y1051" s="74"/>
      <c r="Z1051" s="74"/>
      <c r="AA1051" s="74"/>
      <c r="AB1051" s="74"/>
    </row>
    <row r="1052" spans="1:28" ht="12" customHeight="1">
      <c r="A1052" s="330"/>
      <c r="B1052" s="314"/>
      <c r="C1052" s="285"/>
      <c r="D1052" s="108"/>
      <c r="E1052" s="285"/>
      <c r="F1052" s="285"/>
      <c r="G1052" s="35"/>
      <c r="H1052" s="104"/>
      <c r="I1052" s="35"/>
      <c r="J1052" s="74"/>
      <c r="K1052" s="74"/>
      <c r="L1052" s="74"/>
      <c r="M1052" s="74"/>
      <c r="N1052" s="74"/>
      <c r="O1052" s="74"/>
      <c r="P1052" s="74"/>
      <c r="Q1052" s="74"/>
      <c r="R1052" s="74"/>
      <c r="S1052" s="74"/>
      <c r="T1052" s="74"/>
      <c r="U1052" s="74"/>
      <c r="V1052" s="74"/>
      <c r="W1052" s="74"/>
      <c r="X1052" s="74"/>
      <c r="Y1052" s="74"/>
      <c r="Z1052" s="74"/>
      <c r="AA1052" s="74"/>
      <c r="AB1052" s="74"/>
    </row>
    <row r="1053" spans="1:28" ht="12" customHeight="1">
      <c r="A1053" s="330"/>
      <c r="B1053" s="314"/>
      <c r="C1053" s="285"/>
      <c r="D1053" s="108"/>
      <c r="E1053" s="285"/>
      <c r="F1053" s="285"/>
      <c r="G1053" s="35"/>
      <c r="H1053" s="104"/>
      <c r="I1053" s="35"/>
      <c r="J1053" s="74"/>
      <c r="K1053" s="74"/>
      <c r="L1053" s="74"/>
      <c r="M1053" s="74"/>
      <c r="N1053" s="74"/>
      <c r="O1053" s="74"/>
      <c r="P1053" s="74"/>
      <c r="Q1053" s="74"/>
      <c r="R1053" s="74"/>
      <c r="S1053" s="74"/>
      <c r="T1053" s="74"/>
      <c r="U1053" s="74"/>
      <c r="V1053" s="74"/>
      <c r="W1053" s="74"/>
      <c r="X1053" s="74"/>
      <c r="Y1053" s="74"/>
      <c r="Z1053" s="74"/>
      <c r="AA1053" s="74"/>
      <c r="AB1053" s="74"/>
    </row>
    <row r="1054" spans="1:28" ht="12" customHeight="1">
      <c r="A1054" s="330"/>
      <c r="B1054" s="314"/>
      <c r="C1054" s="285"/>
      <c r="D1054" s="108"/>
      <c r="E1054" s="285"/>
      <c r="F1054" s="285"/>
      <c r="G1054" s="35"/>
      <c r="H1054" s="104"/>
      <c r="I1054" s="35"/>
      <c r="J1054" s="74"/>
      <c r="K1054" s="74"/>
      <c r="L1054" s="74"/>
      <c r="M1054" s="74"/>
      <c r="N1054" s="74"/>
      <c r="O1054" s="74"/>
      <c r="P1054" s="74"/>
      <c r="Q1054" s="74"/>
      <c r="R1054" s="74"/>
      <c r="S1054" s="74"/>
      <c r="T1054" s="74"/>
      <c r="U1054" s="74"/>
      <c r="V1054" s="74"/>
      <c r="W1054" s="74"/>
      <c r="X1054" s="74"/>
      <c r="Y1054" s="74"/>
      <c r="Z1054" s="74"/>
      <c r="AA1054" s="74"/>
      <c r="AB1054" s="74"/>
    </row>
    <row r="1055" spans="1:28" ht="12" customHeight="1">
      <c r="A1055" s="330"/>
      <c r="B1055" s="314"/>
      <c r="C1055" s="285"/>
      <c r="D1055" s="108"/>
      <c r="E1055" s="285"/>
      <c r="F1055" s="285"/>
      <c r="G1055" s="35"/>
      <c r="H1055" s="104"/>
      <c r="I1055" s="35"/>
      <c r="J1055" s="74"/>
      <c r="K1055" s="74"/>
      <c r="L1055" s="74"/>
      <c r="M1055" s="74"/>
      <c r="N1055" s="74"/>
      <c r="O1055" s="74"/>
      <c r="P1055" s="74"/>
      <c r="Q1055" s="74"/>
      <c r="R1055" s="74"/>
      <c r="S1055" s="74"/>
      <c r="T1055" s="74"/>
      <c r="U1055" s="74"/>
      <c r="V1055" s="74"/>
      <c r="W1055" s="74"/>
      <c r="X1055" s="74"/>
      <c r="Y1055" s="74"/>
      <c r="Z1055" s="74"/>
      <c r="AA1055" s="74"/>
      <c r="AB1055" s="74"/>
    </row>
    <row r="1056" spans="1:28" ht="12" customHeight="1">
      <c r="A1056" s="330"/>
      <c r="B1056" s="314"/>
      <c r="C1056" s="285"/>
      <c r="D1056" s="108"/>
      <c r="E1056" s="285"/>
      <c r="F1056" s="285"/>
      <c r="G1056" s="35"/>
      <c r="H1056" s="104"/>
      <c r="I1056" s="35"/>
      <c r="J1056" s="74"/>
      <c r="K1056" s="74"/>
      <c r="L1056" s="74"/>
      <c r="M1056" s="74"/>
      <c r="N1056" s="74"/>
      <c r="O1056" s="74"/>
      <c r="P1056" s="74"/>
      <c r="Q1056" s="74"/>
      <c r="R1056" s="74"/>
      <c r="S1056" s="74"/>
      <c r="T1056" s="74"/>
      <c r="U1056" s="74"/>
      <c r="V1056" s="74"/>
      <c r="W1056" s="74"/>
      <c r="X1056" s="74"/>
      <c r="Y1056" s="74"/>
      <c r="Z1056" s="74"/>
      <c r="AA1056" s="74"/>
      <c r="AB1056" s="74"/>
    </row>
    <row r="1057" spans="1:28" ht="12" customHeight="1">
      <c r="A1057" s="330"/>
      <c r="B1057" s="314"/>
      <c r="C1057" s="285"/>
      <c r="D1057" s="108"/>
      <c r="E1057" s="285"/>
      <c r="F1057" s="285"/>
      <c r="G1057" s="35"/>
      <c r="H1057" s="104"/>
      <c r="I1057" s="35"/>
      <c r="J1057" s="74"/>
      <c r="K1057" s="74"/>
      <c r="L1057" s="74"/>
      <c r="M1057" s="74"/>
      <c r="N1057" s="74"/>
      <c r="O1057" s="74"/>
      <c r="P1057" s="74"/>
      <c r="Q1057" s="74"/>
      <c r="R1057" s="74"/>
      <c r="S1057" s="74"/>
      <c r="T1057" s="74"/>
      <c r="U1057" s="74"/>
      <c r="V1057" s="74"/>
      <c r="W1057" s="74"/>
      <c r="X1057" s="74"/>
      <c r="Y1057" s="74"/>
      <c r="Z1057" s="74"/>
      <c r="AA1057" s="74"/>
      <c r="AB1057" s="74"/>
    </row>
    <row r="1058" spans="1:28" ht="12" customHeight="1">
      <c r="A1058" s="330"/>
      <c r="B1058" s="314"/>
      <c r="C1058" s="285"/>
      <c r="D1058" s="108"/>
      <c r="E1058" s="285"/>
      <c r="F1058" s="285"/>
      <c r="G1058" s="35"/>
      <c r="H1058" s="104"/>
      <c r="I1058" s="35"/>
      <c r="J1058" s="74"/>
      <c r="K1058" s="74"/>
      <c r="L1058" s="74"/>
      <c r="M1058" s="74"/>
      <c r="N1058" s="74"/>
      <c r="O1058" s="74"/>
      <c r="P1058" s="74"/>
      <c r="Q1058" s="74"/>
      <c r="R1058" s="74"/>
      <c r="S1058" s="74"/>
      <c r="T1058" s="74"/>
      <c r="U1058" s="74"/>
      <c r="V1058" s="74"/>
      <c r="W1058" s="74"/>
      <c r="X1058" s="74"/>
      <c r="Y1058" s="74"/>
      <c r="Z1058" s="74"/>
      <c r="AA1058" s="74"/>
      <c r="AB1058" s="74"/>
    </row>
    <row r="1059" spans="1:28" ht="12" customHeight="1">
      <c r="A1059" s="330"/>
      <c r="B1059" s="314"/>
      <c r="C1059" s="285"/>
      <c r="D1059" s="108"/>
      <c r="E1059" s="285"/>
      <c r="F1059" s="285"/>
      <c r="G1059" s="35"/>
      <c r="H1059" s="104"/>
      <c r="I1059" s="35"/>
      <c r="J1059" s="74"/>
      <c r="K1059" s="74"/>
      <c r="L1059" s="74"/>
      <c r="M1059" s="74"/>
      <c r="N1059" s="74"/>
      <c r="O1059" s="74"/>
      <c r="P1059" s="74"/>
      <c r="Q1059" s="74"/>
      <c r="R1059" s="74"/>
      <c r="S1059" s="74"/>
      <c r="T1059" s="74"/>
      <c r="U1059" s="74"/>
      <c r="V1059" s="74"/>
      <c r="W1059" s="74"/>
      <c r="X1059" s="74"/>
      <c r="Y1059" s="74"/>
      <c r="Z1059" s="74"/>
      <c r="AA1059" s="74"/>
      <c r="AB1059" s="74"/>
    </row>
    <row r="1060" spans="1:28" ht="12" customHeight="1">
      <c r="A1060" s="330"/>
      <c r="B1060" s="314"/>
      <c r="C1060" s="285"/>
      <c r="D1060" s="108"/>
      <c r="E1060" s="285"/>
      <c r="F1060" s="285"/>
      <c r="G1060" s="35"/>
      <c r="H1060" s="104"/>
      <c r="I1060" s="35"/>
      <c r="J1060" s="74"/>
      <c r="K1060" s="74"/>
      <c r="L1060" s="74"/>
      <c r="M1060" s="74"/>
      <c r="N1060" s="74"/>
      <c r="O1060" s="74"/>
      <c r="P1060" s="74"/>
      <c r="Q1060" s="74"/>
      <c r="R1060" s="74"/>
      <c r="S1060" s="74"/>
      <c r="T1060" s="74"/>
      <c r="U1060" s="74"/>
      <c r="V1060" s="74"/>
      <c r="W1060" s="74"/>
      <c r="X1060" s="74"/>
      <c r="Y1060" s="74"/>
      <c r="Z1060" s="74"/>
      <c r="AA1060" s="74"/>
      <c r="AB1060" s="74"/>
    </row>
    <row r="1061" spans="1:28" ht="12" customHeight="1">
      <c r="A1061" s="330"/>
      <c r="B1061" s="314"/>
      <c r="C1061" s="285"/>
      <c r="D1061" s="108"/>
      <c r="E1061" s="285"/>
      <c r="F1061" s="285"/>
      <c r="G1061" s="35"/>
      <c r="H1061" s="104"/>
      <c r="I1061" s="35"/>
      <c r="J1061" s="74"/>
      <c r="K1061" s="74"/>
      <c r="L1061" s="74"/>
      <c r="M1061" s="74"/>
      <c r="N1061" s="74"/>
      <c r="O1061" s="74"/>
      <c r="P1061" s="74"/>
      <c r="Q1061" s="74"/>
      <c r="R1061" s="74"/>
      <c r="S1061" s="74"/>
      <c r="T1061" s="74"/>
      <c r="U1061" s="74"/>
      <c r="V1061" s="74"/>
      <c r="W1061" s="74"/>
      <c r="X1061" s="74"/>
      <c r="Y1061" s="74"/>
      <c r="Z1061" s="74"/>
      <c r="AA1061" s="74"/>
      <c r="AB1061" s="74"/>
    </row>
    <row r="1062" spans="1:28" ht="12" customHeight="1">
      <c r="A1062" s="330"/>
      <c r="B1062" s="314"/>
      <c r="C1062" s="285"/>
      <c r="D1062" s="108"/>
      <c r="E1062" s="285"/>
      <c r="F1062" s="285"/>
      <c r="G1062" s="35"/>
      <c r="H1062" s="104"/>
      <c r="I1062" s="35"/>
      <c r="J1062" s="74"/>
      <c r="K1062" s="74"/>
      <c r="L1062" s="74"/>
      <c r="M1062" s="74"/>
      <c r="N1062" s="74"/>
      <c r="O1062" s="74"/>
      <c r="P1062" s="74"/>
      <c r="Q1062" s="74"/>
      <c r="R1062" s="74"/>
      <c r="S1062" s="74"/>
      <c r="T1062" s="74"/>
      <c r="U1062" s="74"/>
      <c r="V1062" s="74"/>
      <c r="W1062" s="74"/>
      <c r="X1062" s="74"/>
      <c r="Y1062" s="74"/>
      <c r="Z1062" s="74"/>
      <c r="AA1062" s="74"/>
      <c r="AB1062" s="74"/>
    </row>
    <row r="1063" spans="1:28" ht="12" customHeight="1">
      <c r="A1063" s="330"/>
      <c r="B1063" s="314"/>
      <c r="C1063" s="285"/>
      <c r="D1063" s="108"/>
      <c r="E1063" s="285"/>
      <c r="F1063" s="285"/>
      <c r="G1063" s="35"/>
      <c r="H1063" s="104"/>
      <c r="I1063" s="35"/>
      <c r="J1063" s="74"/>
      <c r="K1063" s="74"/>
      <c r="L1063" s="74"/>
      <c r="M1063" s="74"/>
      <c r="N1063" s="74"/>
      <c r="O1063" s="74"/>
      <c r="P1063" s="74"/>
      <c r="Q1063" s="74"/>
      <c r="R1063" s="74"/>
      <c r="S1063" s="74"/>
      <c r="T1063" s="74"/>
      <c r="U1063" s="74"/>
      <c r="V1063" s="74"/>
      <c r="W1063" s="74"/>
      <c r="X1063" s="74"/>
      <c r="Y1063" s="74"/>
      <c r="Z1063" s="74"/>
      <c r="AA1063" s="74"/>
      <c r="AB1063" s="74"/>
    </row>
    <row r="1064" spans="1:28" ht="12" customHeight="1">
      <c r="A1064" s="330"/>
      <c r="B1064" s="314"/>
      <c r="C1064" s="285"/>
      <c r="D1064" s="108"/>
      <c r="E1064" s="285"/>
      <c r="F1064" s="285"/>
      <c r="G1064" s="35"/>
      <c r="H1064" s="104"/>
      <c r="I1064" s="35"/>
      <c r="J1064" s="74"/>
      <c r="K1064" s="74"/>
      <c r="L1064" s="74"/>
      <c r="M1064" s="74"/>
      <c r="N1064" s="74"/>
      <c r="O1064" s="74"/>
      <c r="P1064" s="74"/>
      <c r="Q1064" s="74"/>
      <c r="R1064" s="74"/>
      <c r="S1064" s="74"/>
      <c r="T1064" s="74"/>
      <c r="U1064" s="74"/>
      <c r="V1064" s="74"/>
      <c r="W1064" s="74"/>
      <c r="X1064" s="74"/>
      <c r="Y1064" s="74"/>
      <c r="Z1064" s="74"/>
      <c r="AA1064" s="74"/>
      <c r="AB1064" s="74"/>
    </row>
    <row r="1065" spans="1:28" ht="12" customHeight="1">
      <c r="A1065" s="330"/>
      <c r="B1065" s="314"/>
      <c r="C1065" s="285"/>
      <c r="D1065" s="108"/>
      <c r="E1065" s="285"/>
      <c r="F1065" s="285"/>
      <c r="G1065" s="35"/>
      <c r="H1065" s="104"/>
      <c r="I1065" s="35"/>
      <c r="J1065" s="74"/>
      <c r="K1065" s="74"/>
      <c r="L1065" s="74"/>
      <c r="M1065" s="74"/>
      <c r="N1065" s="74"/>
      <c r="O1065" s="74"/>
      <c r="P1065" s="74"/>
      <c r="Q1065" s="74"/>
      <c r="R1065" s="74"/>
      <c r="S1065" s="74"/>
      <c r="T1065" s="74"/>
      <c r="U1065" s="74"/>
      <c r="V1065" s="74"/>
      <c r="W1065" s="74"/>
      <c r="X1065" s="74"/>
      <c r="Y1065" s="74"/>
      <c r="Z1065" s="74"/>
      <c r="AA1065" s="74"/>
      <c r="AB1065" s="74"/>
    </row>
    <row r="1066" spans="1:28" ht="12" customHeight="1">
      <c r="A1066" s="330"/>
      <c r="B1066" s="314"/>
      <c r="C1066" s="285"/>
      <c r="D1066" s="108"/>
      <c r="E1066" s="285"/>
      <c r="F1066" s="285"/>
      <c r="G1066" s="35"/>
      <c r="H1066" s="104"/>
      <c r="I1066" s="35"/>
      <c r="J1066" s="74"/>
      <c r="K1066" s="74"/>
      <c r="L1066" s="74"/>
      <c r="M1066" s="74"/>
      <c r="N1066" s="74"/>
      <c r="O1066" s="74"/>
      <c r="P1066" s="74"/>
      <c r="Q1066" s="74"/>
      <c r="R1066" s="74"/>
      <c r="S1066" s="74"/>
      <c r="T1066" s="74"/>
      <c r="U1066" s="74"/>
      <c r="V1066" s="74"/>
      <c r="W1066" s="74"/>
      <c r="X1066" s="74"/>
      <c r="Y1066" s="74"/>
      <c r="Z1066" s="74"/>
      <c r="AA1066" s="74"/>
      <c r="AB1066" s="74"/>
    </row>
    <row r="1067" spans="1:28" ht="12" customHeight="1">
      <c r="A1067" s="330"/>
      <c r="B1067" s="314"/>
      <c r="C1067" s="285"/>
      <c r="D1067" s="108"/>
      <c r="E1067" s="285"/>
      <c r="F1067" s="285"/>
      <c r="G1067" s="35"/>
      <c r="H1067" s="104"/>
      <c r="I1067" s="35"/>
      <c r="J1067" s="74"/>
      <c r="K1067" s="74"/>
      <c r="L1067" s="74"/>
      <c r="M1067" s="74"/>
      <c r="N1067" s="74"/>
      <c r="O1067" s="74"/>
      <c r="P1067" s="74"/>
      <c r="Q1067" s="74"/>
      <c r="R1067" s="74"/>
      <c r="S1067" s="74"/>
      <c r="T1067" s="74"/>
      <c r="U1067" s="74"/>
      <c r="V1067" s="74"/>
      <c r="W1067" s="74"/>
      <c r="X1067" s="74"/>
      <c r="Y1067" s="74"/>
      <c r="Z1067" s="74"/>
      <c r="AA1067" s="74"/>
      <c r="AB1067" s="74"/>
    </row>
    <row r="1068" spans="1:28" ht="12" customHeight="1">
      <c r="A1068" s="330"/>
      <c r="B1068" s="314"/>
      <c r="C1068" s="285"/>
      <c r="D1068" s="108"/>
      <c r="E1068" s="285"/>
      <c r="F1068" s="285"/>
      <c r="G1068" s="35"/>
      <c r="H1068" s="104"/>
      <c r="I1068" s="35"/>
      <c r="J1068" s="74"/>
      <c r="K1068" s="74"/>
      <c r="L1068" s="74"/>
      <c r="M1068" s="74"/>
      <c r="N1068" s="74"/>
      <c r="O1068" s="74"/>
      <c r="P1068" s="74"/>
      <c r="Q1068" s="74"/>
      <c r="R1068" s="74"/>
      <c r="S1068" s="74"/>
      <c r="T1068" s="74"/>
      <c r="U1068" s="74"/>
      <c r="V1068" s="74"/>
      <c r="W1068" s="74"/>
      <c r="X1068" s="74"/>
      <c r="Y1068" s="74"/>
      <c r="Z1068" s="74"/>
      <c r="AA1068" s="74"/>
      <c r="AB1068" s="74"/>
    </row>
    <row r="1069" spans="1:28" ht="12" customHeight="1">
      <c r="A1069" s="330"/>
      <c r="B1069" s="314"/>
      <c r="C1069" s="285"/>
      <c r="D1069" s="108"/>
      <c r="E1069" s="285"/>
      <c r="F1069" s="285"/>
      <c r="G1069" s="35"/>
      <c r="H1069" s="104"/>
      <c r="I1069" s="35"/>
      <c r="J1069" s="74"/>
      <c r="K1069" s="74"/>
      <c r="L1069" s="74"/>
      <c r="M1069" s="74"/>
      <c r="N1069" s="74"/>
      <c r="O1069" s="74"/>
      <c r="P1069" s="74"/>
      <c r="Q1069" s="74"/>
      <c r="R1069" s="74"/>
      <c r="S1069" s="74"/>
      <c r="T1069" s="74"/>
      <c r="U1069" s="74"/>
      <c r="V1069" s="74"/>
      <c r="W1069" s="74"/>
      <c r="X1069" s="74"/>
      <c r="Y1069" s="74"/>
      <c r="Z1069" s="74"/>
      <c r="AA1069" s="74"/>
      <c r="AB1069" s="74"/>
    </row>
    <row r="1070" spans="1:28" ht="12" customHeight="1">
      <c r="A1070" s="330"/>
      <c r="B1070" s="314"/>
      <c r="C1070" s="285"/>
      <c r="D1070" s="108"/>
      <c r="E1070" s="285"/>
      <c r="F1070" s="285"/>
      <c r="G1070" s="35"/>
      <c r="H1070" s="104"/>
      <c r="I1070" s="35"/>
      <c r="J1070" s="74"/>
      <c r="K1070" s="74"/>
      <c r="L1070" s="74"/>
      <c r="M1070" s="74"/>
      <c r="N1070" s="74"/>
      <c r="O1070" s="74"/>
      <c r="P1070" s="74"/>
      <c r="Q1070" s="74"/>
      <c r="R1070" s="74"/>
      <c r="S1070" s="74"/>
      <c r="T1070" s="74"/>
      <c r="U1070" s="74"/>
      <c r="V1070" s="74"/>
      <c r="W1070" s="74"/>
      <c r="X1070" s="74"/>
      <c r="Y1070" s="74"/>
      <c r="Z1070" s="74"/>
      <c r="AA1070" s="74"/>
      <c r="AB1070" s="74"/>
    </row>
    <row r="1071" spans="1:28" ht="12" customHeight="1">
      <c r="A1071" s="330"/>
      <c r="B1071" s="314"/>
      <c r="C1071" s="285"/>
      <c r="D1071" s="108"/>
      <c r="E1071" s="285"/>
      <c r="F1071" s="285"/>
      <c r="G1071" s="35"/>
      <c r="H1071" s="104"/>
      <c r="I1071" s="35"/>
      <c r="J1071" s="74"/>
      <c r="K1071" s="74"/>
      <c r="L1071" s="74"/>
      <c r="M1071" s="74"/>
      <c r="N1071" s="74"/>
      <c r="O1071" s="74"/>
      <c r="P1071" s="74"/>
      <c r="Q1071" s="74"/>
      <c r="R1071" s="74"/>
      <c r="S1071" s="74"/>
      <c r="T1071" s="74"/>
      <c r="U1071" s="74"/>
      <c r="V1071" s="74"/>
      <c r="W1071" s="74"/>
      <c r="X1071" s="74"/>
      <c r="Y1071" s="74"/>
      <c r="Z1071" s="74"/>
      <c r="AA1071" s="74"/>
      <c r="AB1071" s="74"/>
    </row>
    <row r="1072" spans="1:28" ht="12" customHeight="1">
      <c r="A1072" s="330"/>
      <c r="B1072" s="314"/>
      <c r="C1072" s="285"/>
      <c r="D1072" s="108"/>
      <c r="E1072" s="285"/>
      <c r="F1072" s="285"/>
      <c r="G1072" s="35"/>
      <c r="H1072" s="104"/>
      <c r="I1072" s="35"/>
      <c r="J1072" s="74"/>
      <c r="K1072" s="74"/>
      <c r="L1072" s="74"/>
      <c r="M1072" s="74"/>
      <c r="N1072" s="74"/>
      <c r="O1072" s="74"/>
      <c r="P1072" s="74"/>
      <c r="Q1072" s="74"/>
      <c r="R1072" s="74"/>
      <c r="S1072" s="74"/>
      <c r="T1072" s="74"/>
      <c r="U1072" s="74"/>
      <c r="V1072" s="74"/>
      <c r="W1072" s="74"/>
      <c r="X1072" s="74"/>
      <c r="Y1072" s="74"/>
      <c r="Z1072" s="74"/>
      <c r="AA1072" s="74"/>
      <c r="AB1072" s="74"/>
    </row>
    <row r="1073" spans="1:28" ht="12" customHeight="1">
      <c r="A1073" s="330"/>
      <c r="B1073" s="314"/>
      <c r="C1073" s="285"/>
      <c r="D1073" s="108"/>
      <c r="E1073" s="285"/>
      <c r="F1073" s="285"/>
      <c r="G1073" s="35"/>
      <c r="H1073" s="104"/>
      <c r="I1073" s="35"/>
      <c r="J1073" s="74"/>
      <c r="K1073" s="74"/>
      <c r="L1073" s="74"/>
      <c r="M1073" s="74"/>
      <c r="N1073" s="74"/>
      <c r="O1073" s="74"/>
      <c r="P1073" s="74"/>
      <c r="Q1073" s="74"/>
      <c r="R1073" s="74"/>
      <c r="S1073" s="74"/>
      <c r="T1073" s="74"/>
      <c r="U1073" s="74"/>
      <c r="V1073" s="74"/>
      <c r="W1073" s="74"/>
      <c r="X1073" s="74"/>
      <c r="Y1073" s="74"/>
      <c r="Z1073" s="74"/>
      <c r="AA1073" s="74"/>
      <c r="AB1073" s="74"/>
    </row>
    <row r="1074" spans="1:28" ht="12" customHeight="1">
      <c r="A1074" s="330"/>
      <c r="B1074" s="314"/>
      <c r="C1074" s="285"/>
      <c r="D1074" s="108"/>
      <c r="E1074" s="285"/>
      <c r="F1074" s="285"/>
      <c r="G1074" s="35"/>
      <c r="H1074" s="104"/>
      <c r="I1074" s="35"/>
      <c r="J1074" s="74"/>
      <c r="K1074" s="74"/>
      <c r="L1074" s="74"/>
      <c r="M1074" s="74"/>
      <c r="N1074" s="74"/>
      <c r="O1074" s="74"/>
      <c r="P1074" s="74"/>
      <c r="Q1074" s="74"/>
      <c r="R1074" s="74"/>
      <c r="S1074" s="74"/>
      <c r="T1074" s="74"/>
      <c r="U1074" s="74"/>
      <c r="V1074" s="74"/>
      <c r="W1074" s="74"/>
      <c r="X1074" s="74"/>
      <c r="Y1074" s="74"/>
      <c r="Z1074" s="74"/>
      <c r="AA1074" s="74"/>
      <c r="AB1074" s="74"/>
    </row>
    <row r="1075" spans="1:28" ht="12" customHeight="1">
      <c r="A1075" s="330"/>
      <c r="B1075" s="314"/>
      <c r="C1075" s="285"/>
      <c r="D1075" s="108"/>
      <c r="E1075" s="285"/>
      <c r="F1075" s="285"/>
      <c r="G1075" s="35"/>
      <c r="H1075" s="104"/>
      <c r="I1075" s="35"/>
      <c r="J1075" s="74"/>
      <c r="K1075" s="74"/>
      <c r="L1075" s="74"/>
      <c r="M1075" s="74"/>
      <c r="N1075" s="74"/>
      <c r="O1075" s="74"/>
      <c r="P1075" s="74"/>
      <c r="Q1075" s="74"/>
      <c r="R1075" s="74"/>
      <c r="S1075" s="74"/>
      <c r="T1075" s="74"/>
      <c r="U1075" s="74"/>
      <c r="V1075" s="74"/>
      <c r="W1075" s="74"/>
      <c r="X1075" s="74"/>
      <c r="Y1075" s="74"/>
      <c r="Z1075" s="74"/>
      <c r="AA1075" s="74"/>
      <c r="AB1075" s="74"/>
    </row>
    <row r="1076" spans="1:28" ht="12" customHeight="1">
      <c r="A1076" s="330"/>
      <c r="B1076" s="314"/>
      <c r="C1076" s="285"/>
      <c r="D1076" s="108"/>
      <c r="E1076" s="285"/>
      <c r="F1076" s="285"/>
      <c r="G1076" s="35"/>
      <c r="H1076" s="104"/>
      <c r="I1076" s="35"/>
      <c r="J1076" s="74"/>
      <c r="K1076" s="74"/>
      <c r="L1076" s="74"/>
      <c r="M1076" s="74"/>
      <c r="N1076" s="74"/>
      <c r="O1076" s="74"/>
      <c r="P1076" s="74"/>
      <c r="Q1076" s="74"/>
      <c r="R1076" s="74"/>
      <c r="S1076" s="74"/>
      <c r="T1076" s="74"/>
      <c r="U1076" s="74"/>
      <c r="V1076" s="74"/>
      <c r="W1076" s="74"/>
      <c r="X1076" s="74"/>
      <c r="Y1076" s="74"/>
      <c r="Z1076" s="74"/>
      <c r="AA1076" s="74"/>
      <c r="AB1076" s="74"/>
    </row>
    <row r="1077" spans="1:28" ht="12" customHeight="1">
      <c r="A1077" s="330"/>
      <c r="B1077" s="314"/>
      <c r="C1077" s="285"/>
      <c r="D1077" s="108"/>
      <c r="E1077" s="285"/>
      <c r="F1077" s="285"/>
      <c r="G1077" s="35"/>
      <c r="H1077" s="104"/>
      <c r="I1077" s="35"/>
      <c r="J1077" s="74"/>
      <c r="K1077" s="74"/>
      <c r="L1077" s="74"/>
      <c r="M1077" s="74"/>
      <c r="N1077" s="74"/>
      <c r="O1077" s="74"/>
      <c r="P1077" s="74"/>
      <c r="Q1077" s="74"/>
      <c r="R1077" s="74"/>
      <c r="S1077" s="74"/>
      <c r="T1077" s="74"/>
      <c r="U1077" s="74"/>
      <c r="V1077" s="74"/>
      <c r="W1077" s="74"/>
      <c r="X1077" s="74"/>
      <c r="Y1077" s="74"/>
      <c r="Z1077" s="74"/>
      <c r="AA1077" s="74"/>
      <c r="AB1077" s="74"/>
    </row>
    <row r="1078" spans="1:28" ht="12" customHeight="1">
      <c r="A1078" s="330"/>
      <c r="B1078" s="314"/>
      <c r="C1078" s="285"/>
      <c r="D1078" s="108"/>
      <c r="E1078" s="285"/>
      <c r="F1078" s="285"/>
      <c r="G1078" s="35"/>
      <c r="H1078" s="104"/>
      <c r="I1078" s="35"/>
      <c r="J1078" s="74"/>
      <c r="K1078" s="74"/>
      <c r="L1078" s="74"/>
      <c r="M1078" s="74"/>
      <c r="N1078" s="74"/>
      <c r="O1078" s="74"/>
      <c r="P1078" s="74"/>
      <c r="Q1078" s="74"/>
      <c r="R1078" s="74"/>
      <c r="S1078" s="74"/>
      <c r="T1078" s="74"/>
      <c r="U1078" s="74"/>
      <c r="V1078" s="74"/>
      <c r="W1078" s="74"/>
      <c r="X1078" s="74"/>
      <c r="Y1078" s="74"/>
      <c r="Z1078" s="74"/>
      <c r="AA1078" s="74"/>
      <c r="AB1078" s="74"/>
    </row>
    <row r="1079" spans="1:28" ht="12" customHeight="1">
      <c r="A1079" s="330"/>
      <c r="B1079" s="314"/>
      <c r="C1079" s="285"/>
      <c r="D1079" s="108"/>
      <c r="E1079" s="285"/>
      <c r="F1079" s="285"/>
      <c r="G1079" s="35"/>
      <c r="H1079" s="104"/>
      <c r="I1079" s="35"/>
      <c r="J1079" s="74"/>
      <c r="K1079" s="74"/>
      <c r="L1079" s="74"/>
      <c r="M1079" s="74"/>
      <c r="N1079" s="74"/>
      <c r="O1079" s="74"/>
      <c r="P1079" s="74"/>
      <c r="Q1079" s="74"/>
      <c r="R1079" s="74"/>
      <c r="S1079" s="74"/>
      <c r="T1079" s="74"/>
      <c r="U1079" s="74"/>
      <c r="V1079" s="74"/>
      <c r="W1079" s="74"/>
      <c r="X1079" s="74"/>
      <c r="Y1079" s="74"/>
      <c r="Z1079" s="74"/>
      <c r="AA1079" s="74"/>
      <c r="AB1079" s="74"/>
    </row>
    <row r="1080" spans="1:28" ht="12" customHeight="1">
      <c r="A1080" s="330"/>
      <c r="B1080" s="314"/>
      <c r="C1080" s="285"/>
      <c r="D1080" s="108"/>
      <c r="E1080" s="285"/>
      <c r="F1080" s="285"/>
      <c r="G1080" s="35"/>
      <c r="H1080" s="104"/>
      <c r="I1080" s="35"/>
      <c r="J1080" s="74"/>
      <c r="K1080" s="74"/>
      <c r="L1080" s="74"/>
      <c r="M1080" s="74"/>
      <c r="N1080" s="74"/>
      <c r="O1080" s="74"/>
      <c r="P1080" s="74"/>
      <c r="Q1080" s="74"/>
      <c r="R1080" s="74"/>
      <c r="S1080" s="74"/>
      <c r="T1080" s="74"/>
      <c r="U1080" s="74"/>
      <c r="V1080" s="74"/>
      <c r="W1080" s="74"/>
      <c r="X1080" s="74"/>
      <c r="Y1080" s="74"/>
      <c r="Z1080" s="74"/>
      <c r="AA1080" s="74"/>
      <c r="AB1080" s="74"/>
    </row>
    <row r="1081" spans="1:28" ht="12" customHeight="1">
      <c r="A1081" s="330"/>
      <c r="B1081" s="314"/>
      <c r="C1081" s="285"/>
      <c r="D1081" s="108"/>
      <c r="E1081" s="285"/>
      <c r="F1081" s="285"/>
      <c r="G1081" s="35"/>
      <c r="H1081" s="104"/>
      <c r="I1081" s="35"/>
      <c r="J1081" s="74"/>
      <c r="K1081" s="74"/>
      <c r="L1081" s="74"/>
      <c r="M1081" s="74"/>
      <c r="N1081" s="74"/>
      <c r="O1081" s="74"/>
      <c r="P1081" s="74"/>
      <c r="Q1081" s="74"/>
      <c r="R1081" s="74"/>
      <c r="S1081" s="74"/>
      <c r="T1081" s="74"/>
      <c r="U1081" s="74"/>
      <c r="V1081" s="74"/>
      <c r="W1081" s="74"/>
      <c r="X1081" s="74"/>
      <c r="Y1081" s="74"/>
      <c r="Z1081" s="74"/>
      <c r="AA1081" s="74"/>
      <c r="AB1081" s="74"/>
    </row>
    <row r="1082" spans="1:28" ht="12" customHeight="1">
      <c r="A1082" s="330"/>
      <c r="B1082" s="314"/>
      <c r="C1082" s="285"/>
      <c r="D1082" s="108"/>
      <c r="E1082" s="285"/>
      <c r="F1082" s="285"/>
      <c r="G1082" s="35"/>
      <c r="H1082" s="104"/>
      <c r="I1082" s="35"/>
      <c r="J1082" s="74"/>
      <c r="K1082" s="74"/>
      <c r="L1082" s="74"/>
      <c r="M1082" s="74"/>
      <c r="N1082" s="74"/>
      <c r="O1082" s="74"/>
      <c r="P1082" s="74"/>
      <c r="Q1082" s="74"/>
      <c r="R1082" s="74"/>
      <c r="S1082" s="74"/>
      <c r="T1082" s="74"/>
      <c r="U1082" s="74"/>
      <c r="V1082" s="74"/>
      <c r="W1082" s="74"/>
      <c r="X1082" s="74"/>
      <c r="Y1082" s="74"/>
      <c r="Z1082" s="74"/>
      <c r="AA1082" s="74"/>
      <c r="AB1082" s="74"/>
    </row>
    <row r="1083" spans="1:28" ht="12" customHeight="1">
      <c r="A1083" s="330"/>
      <c r="B1083" s="314"/>
      <c r="C1083" s="285"/>
      <c r="D1083" s="108"/>
      <c r="E1083" s="285"/>
      <c r="F1083" s="285"/>
      <c r="G1083" s="35"/>
      <c r="H1083" s="104"/>
      <c r="I1083" s="35"/>
      <c r="J1083" s="74"/>
      <c r="K1083" s="74"/>
      <c r="L1083" s="74"/>
      <c r="M1083" s="74"/>
      <c r="N1083" s="74"/>
      <c r="O1083" s="74"/>
      <c r="P1083" s="74"/>
      <c r="Q1083" s="74"/>
      <c r="R1083" s="74"/>
      <c r="S1083" s="74"/>
      <c r="T1083" s="74"/>
      <c r="U1083" s="74"/>
      <c r="V1083" s="74"/>
      <c r="W1083" s="74"/>
      <c r="X1083" s="74"/>
      <c r="Y1083" s="74"/>
      <c r="Z1083" s="74"/>
      <c r="AA1083" s="74"/>
      <c r="AB1083" s="74"/>
    </row>
    <row r="1084" spans="1:28" ht="12" customHeight="1">
      <c r="A1084" s="330"/>
      <c r="B1084" s="314"/>
      <c r="C1084" s="285"/>
      <c r="D1084" s="108"/>
      <c r="E1084" s="285"/>
      <c r="F1084" s="285"/>
      <c r="G1084" s="35"/>
      <c r="H1084" s="104"/>
      <c r="I1084" s="35"/>
      <c r="J1084" s="74"/>
      <c r="K1084" s="74"/>
      <c r="L1084" s="74"/>
      <c r="M1084" s="74"/>
      <c r="N1084" s="74"/>
      <c r="O1084" s="74"/>
      <c r="P1084" s="74"/>
      <c r="Q1084" s="74"/>
      <c r="R1084" s="74"/>
      <c r="S1084" s="74"/>
      <c r="T1084" s="74"/>
      <c r="U1084" s="74"/>
      <c r="V1084" s="74"/>
      <c r="W1084" s="74"/>
      <c r="X1084" s="74"/>
      <c r="Y1084" s="74"/>
      <c r="Z1084" s="74"/>
      <c r="AA1084" s="74"/>
      <c r="AB1084" s="74"/>
    </row>
    <row r="1085" spans="1:28" ht="12" customHeight="1">
      <c r="A1085" s="330"/>
      <c r="B1085" s="314"/>
      <c r="C1085" s="285"/>
      <c r="D1085" s="108"/>
      <c r="E1085" s="285"/>
      <c r="F1085" s="285"/>
      <c r="G1085" s="35"/>
      <c r="H1085" s="104"/>
      <c r="I1085" s="35"/>
      <c r="J1085" s="74"/>
      <c r="K1085" s="74"/>
      <c r="L1085" s="74"/>
      <c r="M1085" s="74"/>
      <c r="N1085" s="74"/>
      <c r="O1085" s="74"/>
      <c r="P1085" s="74"/>
      <c r="Q1085" s="74"/>
      <c r="R1085" s="74"/>
      <c r="S1085" s="74"/>
      <c r="T1085" s="74"/>
      <c r="U1085" s="74"/>
      <c r="V1085" s="74"/>
      <c r="W1085" s="74"/>
      <c r="X1085" s="74"/>
      <c r="Y1085" s="74"/>
      <c r="Z1085" s="74"/>
      <c r="AA1085" s="74"/>
      <c r="AB1085" s="74"/>
    </row>
    <row r="1086" spans="1:28" ht="12" customHeight="1">
      <c r="A1086" s="330"/>
      <c r="B1086" s="314"/>
      <c r="C1086" s="285"/>
      <c r="D1086" s="108"/>
      <c r="E1086" s="285"/>
      <c r="F1086" s="285"/>
      <c r="G1086" s="35"/>
      <c r="H1086" s="104"/>
      <c r="I1086" s="35"/>
      <c r="J1086" s="74"/>
      <c r="K1086" s="74"/>
      <c r="L1086" s="74"/>
      <c r="M1086" s="74"/>
      <c r="N1086" s="74"/>
      <c r="O1086" s="74"/>
      <c r="P1086" s="74"/>
      <c r="Q1086" s="74"/>
      <c r="R1086" s="74"/>
      <c r="S1086" s="74"/>
      <c r="T1086" s="74"/>
      <c r="U1086" s="74"/>
      <c r="V1086" s="74"/>
      <c r="W1086" s="74"/>
      <c r="X1086" s="74"/>
      <c r="Y1086" s="74"/>
      <c r="Z1086" s="74"/>
      <c r="AA1086" s="74"/>
      <c r="AB1086" s="74"/>
    </row>
    <row r="1087" spans="1:28" ht="12" customHeight="1">
      <c r="A1087" s="330"/>
      <c r="B1087" s="314"/>
      <c r="C1087" s="285"/>
      <c r="D1087" s="108"/>
      <c r="E1087" s="285"/>
      <c r="F1087" s="285"/>
      <c r="G1087" s="35"/>
      <c r="H1087" s="104"/>
      <c r="I1087" s="35"/>
      <c r="J1087" s="74"/>
      <c r="K1087" s="74"/>
      <c r="L1087" s="74"/>
      <c r="M1087" s="74"/>
      <c r="N1087" s="74"/>
      <c r="O1087" s="74"/>
      <c r="P1087" s="74"/>
      <c r="Q1087" s="74"/>
      <c r="R1087" s="74"/>
      <c r="S1087" s="74"/>
      <c r="T1087" s="74"/>
      <c r="U1087" s="74"/>
      <c r="V1087" s="74"/>
      <c r="W1087" s="74"/>
      <c r="X1087" s="74"/>
      <c r="Y1087" s="74"/>
      <c r="Z1087" s="74"/>
      <c r="AA1087" s="74"/>
      <c r="AB1087" s="74"/>
    </row>
    <row r="1088" spans="1:28" ht="12" customHeight="1">
      <c r="A1088" s="330"/>
      <c r="B1088" s="314"/>
      <c r="C1088" s="285"/>
      <c r="D1088" s="108"/>
      <c r="E1088" s="285"/>
      <c r="F1088" s="285"/>
      <c r="G1088" s="35"/>
      <c r="H1088" s="104"/>
      <c r="I1088" s="35"/>
      <c r="J1088" s="74"/>
      <c r="K1088" s="74"/>
      <c r="L1088" s="74"/>
      <c r="M1088" s="74"/>
      <c r="N1088" s="74"/>
      <c r="O1088" s="74"/>
      <c r="P1088" s="74"/>
      <c r="Q1088" s="74"/>
      <c r="R1088" s="74"/>
      <c r="S1088" s="74"/>
      <c r="T1088" s="74"/>
      <c r="U1088" s="74"/>
      <c r="V1088" s="74"/>
      <c r="W1088" s="74"/>
      <c r="X1088" s="74"/>
      <c r="Y1088" s="74"/>
      <c r="Z1088" s="74"/>
      <c r="AA1088" s="74"/>
      <c r="AB1088" s="74"/>
    </row>
    <row r="1089" spans="1:28" ht="12" customHeight="1">
      <c r="A1089" s="330"/>
      <c r="B1089" s="314"/>
      <c r="C1089" s="285"/>
      <c r="D1089" s="108"/>
      <c r="E1089" s="285"/>
      <c r="F1089" s="285"/>
      <c r="G1089" s="35"/>
      <c r="H1089" s="104"/>
      <c r="I1089" s="35"/>
      <c r="J1089" s="74"/>
      <c r="K1089" s="74"/>
      <c r="L1089" s="74"/>
      <c r="M1089" s="74"/>
      <c r="N1089" s="74"/>
      <c r="O1089" s="74"/>
      <c r="P1089" s="74"/>
      <c r="Q1089" s="74"/>
      <c r="R1089" s="74"/>
      <c r="S1089" s="74"/>
      <c r="T1089" s="74"/>
      <c r="U1089" s="74"/>
      <c r="V1089" s="74"/>
      <c r="W1089" s="74"/>
      <c r="X1089" s="74"/>
      <c r="Y1089" s="74"/>
      <c r="Z1089" s="74"/>
      <c r="AA1089" s="74"/>
      <c r="AB1089" s="74"/>
    </row>
    <row r="1090" spans="1:28" ht="12" customHeight="1">
      <c r="A1090" s="330"/>
      <c r="B1090" s="314"/>
      <c r="C1090" s="285"/>
      <c r="D1090" s="108"/>
      <c r="E1090" s="285"/>
      <c r="F1090" s="285"/>
      <c r="G1090" s="35"/>
      <c r="H1090" s="104"/>
      <c r="I1090" s="35"/>
      <c r="J1090" s="74"/>
      <c r="K1090" s="74"/>
      <c r="L1090" s="74"/>
      <c r="M1090" s="74"/>
      <c r="N1090" s="74"/>
      <c r="O1090" s="74"/>
      <c r="P1090" s="74"/>
      <c r="Q1090" s="74"/>
      <c r="R1090" s="74"/>
      <c r="S1090" s="74"/>
      <c r="T1090" s="74"/>
      <c r="U1090" s="74"/>
      <c r="V1090" s="74"/>
      <c r="W1090" s="74"/>
      <c r="X1090" s="74"/>
      <c r="Y1090" s="74"/>
      <c r="Z1090" s="74"/>
      <c r="AA1090" s="74"/>
      <c r="AB1090" s="74"/>
    </row>
    <row r="1091" spans="1:28" ht="12" customHeight="1">
      <c r="A1091" s="330"/>
      <c r="B1091" s="314"/>
      <c r="C1091" s="285"/>
      <c r="D1091" s="108"/>
      <c r="E1091" s="285"/>
      <c r="F1091" s="285"/>
      <c r="G1091" s="35"/>
      <c r="H1091" s="104"/>
      <c r="I1091" s="35"/>
      <c r="J1091" s="74"/>
      <c r="K1091" s="74"/>
      <c r="L1091" s="74"/>
      <c r="M1091" s="74"/>
      <c r="N1091" s="74"/>
      <c r="O1091" s="74"/>
      <c r="P1091" s="74"/>
      <c r="Q1091" s="74"/>
      <c r="R1091" s="74"/>
      <c r="S1091" s="74"/>
      <c r="T1091" s="74"/>
      <c r="U1091" s="74"/>
      <c r="V1091" s="74"/>
      <c r="W1091" s="74"/>
      <c r="X1091" s="74"/>
      <c r="Y1091" s="74"/>
      <c r="Z1091" s="74"/>
      <c r="AA1091" s="74"/>
      <c r="AB1091" s="74"/>
    </row>
    <row r="1092" spans="1:28" ht="12" customHeight="1">
      <c r="A1092" s="330"/>
      <c r="B1092" s="314"/>
      <c r="C1092" s="285"/>
      <c r="D1092" s="108"/>
      <c r="E1092" s="285"/>
      <c r="F1092" s="285"/>
      <c r="G1092" s="35"/>
      <c r="H1092" s="104"/>
      <c r="I1092" s="35"/>
      <c r="J1092" s="74"/>
      <c r="K1092" s="74"/>
      <c r="L1092" s="74"/>
      <c r="M1092" s="74"/>
      <c r="N1092" s="74"/>
      <c r="O1092" s="74"/>
      <c r="P1092" s="74"/>
      <c r="Q1092" s="74"/>
      <c r="R1092" s="74"/>
      <c r="S1092" s="74"/>
      <c r="T1092" s="74"/>
      <c r="U1092" s="74"/>
      <c r="V1092" s="74"/>
      <c r="W1092" s="74"/>
      <c r="X1092" s="74"/>
      <c r="Y1092" s="74"/>
      <c r="Z1092" s="74"/>
      <c r="AA1092" s="74"/>
      <c r="AB1092" s="74"/>
    </row>
    <row r="1093" spans="1:28" ht="12" customHeight="1">
      <c r="A1093" s="330"/>
      <c r="B1093" s="314"/>
      <c r="C1093" s="285"/>
      <c r="D1093" s="108"/>
      <c r="E1093" s="285"/>
      <c r="F1093" s="285"/>
      <c r="G1093" s="35"/>
      <c r="H1093" s="104"/>
      <c r="I1093" s="35"/>
      <c r="J1093" s="74"/>
      <c r="K1093" s="74"/>
      <c r="L1093" s="74"/>
      <c r="M1093" s="74"/>
      <c r="N1093" s="74"/>
      <c r="O1093" s="74"/>
      <c r="P1093" s="74"/>
      <c r="Q1093" s="74"/>
      <c r="R1093" s="74"/>
      <c r="S1093" s="74"/>
      <c r="T1093" s="74"/>
      <c r="U1093" s="74"/>
      <c r="V1093" s="74"/>
      <c r="W1093" s="74"/>
      <c r="X1093" s="74"/>
      <c r="Y1093" s="74"/>
      <c r="Z1093" s="74"/>
      <c r="AA1093" s="74"/>
      <c r="AB1093" s="74"/>
    </row>
    <row r="1094" spans="1:28" ht="12" customHeight="1">
      <c r="A1094" s="330"/>
      <c r="B1094" s="314"/>
      <c r="C1094" s="285"/>
      <c r="D1094" s="108"/>
      <c r="E1094" s="285"/>
      <c r="F1094" s="285"/>
      <c r="G1094" s="35"/>
      <c r="H1094" s="104"/>
      <c r="I1094" s="35"/>
      <c r="J1094" s="74"/>
      <c r="K1094" s="74"/>
      <c r="L1094" s="74"/>
      <c r="M1094" s="74"/>
      <c r="N1094" s="74"/>
      <c r="O1094" s="74"/>
      <c r="P1094" s="74"/>
      <c r="Q1094" s="74"/>
      <c r="R1094" s="74"/>
      <c r="S1094" s="74"/>
      <c r="T1094" s="74"/>
      <c r="U1094" s="74"/>
      <c r="V1094" s="74"/>
      <c r="W1094" s="74"/>
      <c r="X1094" s="74"/>
      <c r="Y1094" s="74"/>
      <c r="Z1094" s="74"/>
      <c r="AA1094" s="74"/>
      <c r="AB1094" s="74"/>
    </row>
    <row r="1095" spans="1:28" ht="12" customHeight="1">
      <c r="A1095" s="330"/>
      <c r="B1095" s="314"/>
      <c r="C1095" s="285"/>
      <c r="D1095" s="108"/>
      <c r="E1095" s="285"/>
      <c r="F1095" s="285"/>
      <c r="G1095" s="35"/>
      <c r="H1095" s="104"/>
      <c r="I1095" s="35"/>
      <c r="J1095" s="74"/>
      <c r="K1095" s="74"/>
      <c r="L1095" s="74"/>
      <c r="M1095" s="74"/>
      <c r="N1095" s="74"/>
      <c r="O1095" s="74"/>
      <c r="P1095" s="74"/>
      <c r="Q1095" s="74"/>
      <c r="R1095" s="74"/>
      <c r="S1095" s="74"/>
      <c r="T1095" s="74"/>
      <c r="U1095" s="74"/>
      <c r="V1095" s="74"/>
      <c r="W1095" s="74"/>
      <c r="X1095" s="74"/>
      <c r="Y1095" s="74"/>
      <c r="Z1095" s="74"/>
      <c r="AA1095" s="74"/>
      <c r="AB1095" s="74"/>
    </row>
    <row r="1096" spans="1:28" ht="12" customHeight="1">
      <c r="A1096" s="330"/>
      <c r="B1096" s="314"/>
      <c r="C1096" s="285"/>
      <c r="D1096" s="108"/>
      <c r="E1096" s="285"/>
      <c r="F1096" s="285"/>
      <c r="G1096" s="35"/>
      <c r="H1096" s="104"/>
      <c r="I1096" s="35"/>
      <c r="J1096" s="74"/>
      <c r="K1096" s="74"/>
      <c r="L1096" s="74"/>
      <c r="M1096" s="74"/>
      <c r="N1096" s="74"/>
      <c r="O1096" s="74"/>
      <c r="P1096" s="74"/>
      <c r="Q1096" s="74"/>
      <c r="R1096" s="74"/>
      <c r="S1096" s="74"/>
      <c r="T1096" s="74"/>
      <c r="U1096" s="74"/>
      <c r="V1096" s="74"/>
      <c r="W1096" s="74"/>
      <c r="X1096" s="74"/>
      <c r="Y1096" s="74"/>
      <c r="Z1096" s="74"/>
      <c r="AA1096" s="74"/>
      <c r="AB1096" s="74"/>
    </row>
    <row r="1097" spans="1:28" ht="12" customHeight="1">
      <c r="A1097" s="330"/>
      <c r="B1097" s="314"/>
      <c r="C1097" s="285"/>
      <c r="D1097" s="108"/>
      <c r="E1097" s="285"/>
      <c r="F1097" s="285"/>
      <c r="G1097" s="35"/>
      <c r="H1097" s="104"/>
      <c r="I1097" s="35"/>
      <c r="J1097" s="74"/>
      <c r="K1097" s="74"/>
      <c r="L1097" s="74"/>
      <c r="M1097" s="74"/>
      <c r="N1097" s="74"/>
      <c r="O1097" s="74"/>
      <c r="P1097" s="74"/>
      <c r="Q1097" s="74"/>
      <c r="R1097" s="74"/>
      <c r="S1097" s="74"/>
      <c r="T1097" s="74"/>
      <c r="U1097" s="74"/>
      <c r="V1097" s="74"/>
      <c r="W1097" s="74"/>
      <c r="X1097" s="74"/>
      <c r="Y1097" s="74"/>
      <c r="Z1097" s="74"/>
      <c r="AA1097" s="74"/>
      <c r="AB1097" s="74"/>
    </row>
    <row r="1098" spans="1:28" ht="12" customHeight="1">
      <c r="A1098" s="330"/>
      <c r="B1098" s="314"/>
      <c r="C1098" s="285"/>
      <c r="D1098" s="108"/>
      <c r="E1098" s="285"/>
      <c r="F1098" s="285"/>
      <c r="G1098" s="35"/>
      <c r="H1098" s="104"/>
      <c r="I1098" s="35"/>
      <c r="J1098" s="74"/>
      <c r="K1098" s="74"/>
      <c r="L1098" s="74"/>
      <c r="M1098" s="74"/>
      <c r="N1098" s="74"/>
      <c r="O1098" s="74"/>
      <c r="P1098" s="74"/>
      <c r="Q1098" s="74"/>
      <c r="R1098" s="74"/>
      <c r="S1098" s="74"/>
      <c r="T1098" s="74"/>
      <c r="U1098" s="74"/>
      <c r="V1098" s="74"/>
      <c r="W1098" s="74"/>
      <c r="X1098" s="74"/>
      <c r="Y1098" s="74"/>
      <c r="Z1098" s="74"/>
      <c r="AA1098" s="74"/>
      <c r="AB1098" s="74"/>
    </row>
    <row r="1099" spans="1:28" ht="12" customHeight="1">
      <c r="A1099" s="330"/>
      <c r="B1099" s="314"/>
      <c r="C1099" s="285"/>
      <c r="D1099" s="108"/>
      <c r="E1099" s="285"/>
      <c r="F1099" s="285"/>
      <c r="G1099" s="35"/>
      <c r="H1099" s="104"/>
      <c r="I1099" s="35"/>
      <c r="J1099" s="74"/>
      <c r="K1099" s="74"/>
      <c r="L1099" s="74"/>
      <c r="M1099" s="74"/>
      <c r="N1099" s="74"/>
      <c r="O1099" s="74"/>
      <c r="P1099" s="74"/>
      <c r="Q1099" s="74"/>
      <c r="R1099" s="74"/>
      <c r="S1099" s="74"/>
      <c r="T1099" s="74"/>
      <c r="U1099" s="74"/>
      <c r="V1099" s="74"/>
      <c r="W1099" s="74"/>
      <c r="X1099" s="74"/>
      <c r="Y1099" s="74"/>
      <c r="Z1099" s="74"/>
      <c r="AA1099" s="74"/>
      <c r="AB1099" s="74"/>
    </row>
    <row r="1100" spans="1:28" ht="12" customHeight="1">
      <c r="A1100" s="330"/>
      <c r="B1100" s="314"/>
      <c r="C1100" s="285"/>
      <c r="D1100" s="108"/>
      <c r="E1100" s="285"/>
      <c r="F1100" s="285"/>
      <c r="G1100" s="35"/>
      <c r="H1100" s="104"/>
      <c r="I1100" s="35"/>
      <c r="J1100" s="74"/>
      <c r="K1100" s="74"/>
      <c r="L1100" s="74"/>
      <c r="M1100" s="74"/>
      <c r="N1100" s="74"/>
      <c r="O1100" s="74"/>
      <c r="P1100" s="74"/>
      <c r="Q1100" s="74"/>
      <c r="R1100" s="74"/>
      <c r="S1100" s="74"/>
      <c r="T1100" s="74"/>
      <c r="U1100" s="74"/>
      <c r="V1100" s="74"/>
      <c r="W1100" s="74"/>
      <c r="X1100" s="74"/>
      <c r="Y1100" s="74"/>
      <c r="Z1100" s="74"/>
      <c r="AA1100" s="74"/>
      <c r="AB1100" s="74"/>
    </row>
    <row r="1101" spans="1:28" ht="12" customHeight="1">
      <c r="A1101" s="330"/>
      <c r="B1101" s="314"/>
      <c r="C1101" s="285"/>
      <c r="D1101" s="108"/>
      <c r="E1101" s="285"/>
      <c r="F1101" s="285"/>
      <c r="G1101" s="35"/>
      <c r="H1101" s="104"/>
      <c r="I1101" s="35"/>
      <c r="J1101" s="74"/>
      <c r="K1101" s="74"/>
      <c r="L1101" s="74"/>
      <c r="M1101" s="74"/>
      <c r="N1101" s="74"/>
      <c r="O1101" s="74"/>
      <c r="P1101" s="74"/>
      <c r="Q1101" s="74"/>
      <c r="R1101" s="74"/>
      <c r="S1101" s="74"/>
      <c r="T1101" s="74"/>
      <c r="U1101" s="74"/>
      <c r="V1101" s="74"/>
      <c r="W1101" s="74"/>
      <c r="X1101" s="74"/>
      <c r="Y1101" s="74"/>
      <c r="Z1101" s="74"/>
      <c r="AA1101" s="74"/>
      <c r="AB1101" s="74"/>
    </row>
    <row r="1102" spans="1:28" ht="12" customHeight="1">
      <c r="A1102" s="330"/>
      <c r="B1102" s="314"/>
      <c r="C1102" s="285"/>
      <c r="D1102" s="108"/>
      <c r="E1102" s="285"/>
      <c r="F1102" s="285"/>
      <c r="G1102" s="35"/>
      <c r="H1102" s="104"/>
      <c r="I1102" s="35"/>
      <c r="J1102" s="74"/>
      <c r="K1102" s="74"/>
      <c r="L1102" s="74"/>
      <c r="M1102" s="74"/>
      <c r="N1102" s="74"/>
      <c r="O1102" s="74"/>
      <c r="P1102" s="74"/>
      <c r="Q1102" s="74"/>
      <c r="R1102" s="74"/>
      <c r="S1102" s="74"/>
      <c r="T1102" s="74"/>
      <c r="U1102" s="74"/>
      <c r="V1102" s="74"/>
      <c r="W1102" s="74"/>
      <c r="X1102" s="74"/>
      <c r="Y1102" s="74"/>
      <c r="Z1102" s="74"/>
      <c r="AA1102" s="74"/>
      <c r="AB1102" s="74"/>
    </row>
    <row r="1103" spans="1:28" ht="12" customHeight="1">
      <c r="A1103" s="330"/>
      <c r="B1103" s="314"/>
      <c r="C1103" s="285"/>
      <c r="D1103" s="108"/>
      <c r="E1103" s="285"/>
      <c r="F1103" s="285"/>
      <c r="G1103" s="35"/>
      <c r="H1103" s="104"/>
      <c r="I1103" s="35"/>
      <c r="J1103" s="74"/>
      <c r="K1103" s="74"/>
      <c r="L1103" s="74"/>
      <c r="M1103" s="74"/>
      <c r="N1103" s="74"/>
      <c r="O1103" s="74"/>
      <c r="P1103" s="74"/>
      <c r="Q1103" s="74"/>
      <c r="R1103" s="74"/>
      <c r="S1103" s="74"/>
      <c r="T1103" s="74"/>
      <c r="U1103" s="74"/>
      <c r="V1103" s="74"/>
      <c r="W1103" s="74"/>
      <c r="X1103" s="74"/>
      <c r="Y1103" s="74"/>
      <c r="Z1103" s="74"/>
      <c r="AA1103" s="74"/>
      <c r="AB1103" s="74"/>
    </row>
    <row r="1104" spans="1:28" ht="12" customHeight="1">
      <c r="A1104" s="330"/>
      <c r="B1104" s="314"/>
      <c r="C1104" s="285"/>
      <c r="D1104" s="108"/>
      <c r="E1104" s="285"/>
      <c r="F1104" s="285"/>
      <c r="G1104" s="35"/>
      <c r="H1104" s="104"/>
      <c r="I1104" s="35"/>
      <c r="J1104" s="74"/>
      <c r="K1104" s="74"/>
      <c r="L1104" s="74"/>
      <c r="M1104" s="74"/>
      <c r="N1104" s="74"/>
      <c r="O1104" s="74"/>
      <c r="P1104" s="74"/>
      <c r="Q1104" s="74"/>
      <c r="R1104" s="74"/>
      <c r="S1104" s="74"/>
      <c r="T1104" s="74"/>
      <c r="U1104" s="74"/>
      <c r="V1104" s="74"/>
      <c r="W1104" s="74"/>
      <c r="X1104" s="74"/>
      <c r="Y1104" s="74"/>
      <c r="Z1104" s="74"/>
      <c r="AA1104" s="74"/>
      <c r="AB1104" s="74"/>
    </row>
    <row r="1105" spans="1:28" ht="12" customHeight="1">
      <c r="A1105" s="330"/>
      <c r="B1105" s="314"/>
      <c r="C1105" s="285"/>
      <c r="D1105" s="108"/>
      <c r="E1105" s="285"/>
      <c r="F1105" s="285"/>
      <c r="G1105" s="35"/>
      <c r="H1105" s="104"/>
      <c r="I1105" s="35"/>
      <c r="J1105" s="74"/>
      <c r="K1105" s="74"/>
      <c r="L1105" s="74"/>
      <c r="M1105" s="74"/>
      <c r="N1105" s="74"/>
      <c r="O1105" s="74"/>
      <c r="P1105" s="74"/>
      <c r="Q1105" s="74"/>
      <c r="R1105" s="74"/>
      <c r="S1105" s="74"/>
      <c r="T1105" s="74"/>
      <c r="U1105" s="74"/>
      <c r="V1105" s="74"/>
      <c r="W1105" s="74"/>
      <c r="X1105" s="74"/>
      <c r="Y1105" s="74"/>
      <c r="Z1105" s="74"/>
      <c r="AA1105" s="74"/>
      <c r="AB1105" s="74"/>
    </row>
    <row r="1106" spans="1:28" ht="12" customHeight="1">
      <c r="A1106" s="330"/>
      <c r="B1106" s="314"/>
      <c r="C1106" s="285"/>
      <c r="D1106" s="108"/>
      <c r="E1106" s="285"/>
      <c r="F1106" s="285"/>
      <c r="G1106" s="35"/>
      <c r="H1106" s="104"/>
      <c r="I1106" s="35"/>
      <c r="J1106" s="74"/>
      <c r="K1106" s="74"/>
      <c r="L1106" s="74"/>
      <c r="M1106" s="74"/>
      <c r="N1106" s="74"/>
      <c r="O1106" s="74"/>
      <c r="P1106" s="74"/>
      <c r="Q1106" s="74"/>
      <c r="R1106" s="74"/>
      <c r="S1106" s="74"/>
      <c r="T1106" s="74"/>
      <c r="U1106" s="74"/>
      <c r="V1106" s="74"/>
      <c r="W1106" s="74"/>
      <c r="X1106" s="74"/>
      <c r="Y1106" s="74"/>
      <c r="Z1106" s="74"/>
      <c r="AA1106" s="74"/>
      <c r="AB1106" s="74"/>
    </row>
    <row r="1107" spans="1:28" ht="12" customHeight="1">
      <c r="A1107" s="330"/>
      <c r="B1107" s="314"/>
      <c r="C1107" s="285"/>
      <c r="D1107" s="108"/>
      <c r="E1107" s="285"/>
      <c r="F1107" s="285"/>
      <c r="G1107" s="35"/>
      <c r="H1107" s="104"/>
      <c r="I1107" s="35"/>
      <c r="J1107" s="74"/>
      <c r="K1107" s="74"/>
      <c r="L1107" s="74"/>
      <c r="M1107" s="74"/>
      <c r="N1107" s="74"/>
      <c r="O1107" s="74"/>
      <c r="P1107" s="74"/>
      <c r="Q1107" s="74"/>
      <c r="R1107" s="74"/>
      <c r="S1107" s="74"/>
      <c r="T1107" s="74"/>
      <c r="U1107" s="74"/>
      <c r="V1107" s="74"/>
      <c r="W1107" s="74"/>
      <c r="X1107" s="74"/>
      <c r="Y1107" s="74"/>
      <c r="Z1107" s="74"/>
      <c r="AA1107" s="74"/>
      <c r="AB1107" s="74"/>
    </row>
    <row r="1108" spans="1:28" ht="12" customHeight="1">
      <c r="A1108" s="330"/>
      <c r="B1108" s="314"/>
      <c r="C1108" s="285"/>
      <c r="D1108" s="108"/>
      <c r="E1108" s="285"/>
      <c r="F1108" s="285"/>
      <c r="G1108" s="35"/>
      <c r="H1108" s="104"/>
      <c r="I1108" s="35"/>
      <c r="J1108" s="74"/>
      <c r="K1108" s="74"/>
      <c r="L1108" s="74"/>
      <c r="M1108" s="74"/>
      <c r="N1108" s="74"/>
      <c r="O1108" s="74"/>
      <c r="P1108" s="74"/>
      <c r="Q1108" s="74"/>
      <c r="R1108" s="74"/>
      <c r="S1108" s="74"/>
      <c r="T1108" s="74"/>
      <c r="U1108" s="74"/>
      <c r="V1108" s="74"/>
      <c r="W1108" s="74"/>
      <c r="X1108" s="74"/>
      <c r="Y1108" s="74"/>
      <c r="Z1108" s="74"/>
      <c r="AA1108" s="74"/>
      <c r="AB1108" s="74"/>
    </row>
    <row r="1109" spans="1:28" ht="12" customHeight="1">
      <c r="A1109" s="330"/>
      <c r="B1109" s="314"/>
      <c r="C1109" s="285"/>
      <c r="D1109" s="108"/>
      <c r="E1109" s="285"/>
      <c r="F1109" s="285"/>
      <c r="G1109" s="35"/>
      <c r="H1109" s="104"/>
      <c r="I1109" s="35"/>
      <c r="J1109" s="74"/>
      <c r="K1109" s="74"/>
      <c r="L1109" s="74"/>
      <c r="M1109" s="74"/>
      <c r="N1109" s="74"/>
      <c r="O1109" s="74"/>
      <c r="P1109" s="74"/>
      <c r="Q1109" s="74"/>
      <c r="R1109" s="74"/>
      <c r="S1109" s="74"/>
      <c r="T1109" s="74"/>
      <c r="U1109" s="74"/>
      <c r="V1109" s="74"/>
      <c r="W1109" s="74"/>
      <c r="X1109" s="74"/>
      <c r="Y1109" s="74"/>
      <c r="Z1109" s="74"/>
      <c r="AA1109" s="74"/>
      <c r="AB1109" s="74"/>
    </row>
    <row r="1110" spans="1:28" ht="12" customHeight="1">
      <c r="A1110" s="330"/>
      <c r="B1110" s="314"/>
      <c r="C1110" s="285"/>
      <c r="D1110" s="108"/>
      <c r="E1110" s="285"/>
      <c r="F1110" s="285"/>
      <c r="G1110" s="35"/>
      <c r="H1110" s="104"/>
      <c r="I1110" s="35"/>
      <c r="J1110" s="74"/>
      <c r="K1110" s="74"/>
      <c r="L1110" s="74"/>
      <c r="M1110" s="74"/>
      <c r="N1110" s="74"/>
      <c r="O1110" s="74"/>
      <c r="P1110" s="74"/>
      <c r="Q1110" s="74"/>
      <c r="R1110" s="74"/>
      <c r="S1110" s="74"/>
      <c r="T1110" s="74"/>
      <c r="U1110" s="74"/>
      <c r="V1110" s="74"/>
      <c r="W1110" s="74"/>
      <c r="X1110" s="74"/>
      <c r="Y1110" s="74"/>
      <c r="Z1110" s="74"/>
      <c r="AA1110" s="74"/>
      <c r="AB1110" s="74"/>
    </row>
    <row r="1111" spans="1:28" ht="12" customHeight="1">
      <c r="A1111" s="330"/>
      <c r="B1111" s="314"/>
      <c r="C1111" s="285"/>
      <c r="D1111" s="108"/>
      <c r="E1111" s="285"/>
      <c r="F1111" s="285"/>
      <c r="G1111" s="35"/>
      <c r="H1111" s="104"/>
      <c r="I1111" s="35"/>
      <c r="J1111" s="74"/>
      <c r="K1111" s="74"/>
      <c r="L1111" s="74"/>
      <c r="M1111" s="74"/>
      <c r="N1111" s="74"/>
      <c r="O1111" s="74"/>
      <c r="P1111" s="74"/>
      <c r="Q1111" s="74"/>
      <c r="R1111" s="74"/>
      <c r="S1111" s="74"/>
      <c r="T1111" s="74"/>
      <c r="U1111" s="74"/>
      <c r="V1111" s="74"/>
      <c r="W1111" s="74"/>
      <c r="X1111" s="74"/>
      <c r="Y1111" s="74"/>
      <c r="Z1111" s="74"/>
      <c r="AA1111" s="74"/>
      <c r="AB1111" s="74"/>
    </row>
    <row r="1112" spans="1:28" ht="12" customHeight="1">
      <c r="A1112" s="330"/>
      <c r="B1112" s="314"/>
      <c r="C1112" s="285"/>
      <c r="D1112" s="108"/>
      <c r="E1112" s="285"/>
      <c r="F1112" s="285"/>
      <c r="G1112" s="35"/>
      <c r="H1112" s="104"/>
      <c r="I1112" s="35"/>
      <c r="J1112" s="74"/>
      <c r="K1112" s="74"/>
      <c r="L1112" s="74"/>
      <c r="M1112" s="74"/>
      <c r="N1112" s="74"/>
      <c r="O1112" s="74"/>
      <c r="P1112" s="74"/>
      <c r="Q1112" s="74"/>
      <c r="R1112" s="74"/>
      <c r="S1112" s="74"/>
      <c r="T1112" s="74"/>
      <c r="U1112" s="74"/>
      <c r="V1112" s="74"/>
      <c r="W1112" s="74"/>
      <c r="X1112" s="74"/>
      <c r="Y1112" s="74"/>
      <c r="Z1112" s="74"/>
      <c r="AA1112" s="74"/>
      <c r="AB1112" s="74"/>
    </row>
    <row r="1113" spans="1:28" ht="12" customHeight="1">
      <c r="A1113" s="330"/>
      <c r="B1113" s="314"/>
      <c r="C1113" s="285"/>
      <c r="D1113" s="108"/>
      <c r="E1113" s="285"/>
      <c r="F1113" s="285"/>
      <c r="G1113" s="35"/>
      <c r="H1113" s="104"/>
      <c r="I1113" s="35"/>
      <c r="J1113" s="74"/>
      <c r="K1113" s="74"/>
      <c r="L1113" s="74"/>
      <c r="M1113" s="74"/>
      <c r="N1113" s="74"/>
      <c r="O1113" s="74"/>
      <c r="P1113" s="74"/>
      <c r="Q1113" s="74"/>
      <c r="R1113" s="74"/>
      <c r="S1113" s="74"/>
      <c r="T1113" s="74"/>
      <c r="U1113" s="74"/>
      <c r="V1113" s="74"/>
      <c r="W1113" s="74"/>
      <c r="X1113" s="74"/>
      <c r="Y1113" s="74"/>
      <c r="Z1113" s="74"/>
      <c r="AA1113" s="74"/>
      <c r="AB1113" s="74"/>
    </row>
    <row r="1114" spans="1:28" ht="12" customHeight="1">
      <c r="A1114" s="330"/>
      <c r="B1114" s="314"/>
      <c r="C1114" s="285"/>
      <c r="D1114" s="108"/>
      <c r="E1114" s="285"/>
      <c r="F1114" s="285"/>
      <c r="G1114" s="35"/>
      <c r="H1114" s="104"/>
      <c r="I1114" s="35"/>
      <c r="J1114" s="74"/>
      <c r="K1114" s="74"/>
      <c r="L1114" s="74"/>
      <c r="M1114" s="74"/>
      <c r="N1114" s="74"/>
      <c r="O1114" s="74"/>
      <c r="P1114" s="74"/>
      <c r="Q1114" s="74"/>
      <c r="R1114" s="74"/>
      <c r="S1114" s="74"/>
      <c r="T1114" s="74"/>
      <c r="U1114" s="74"/>
      <c r="V1114" s="74"/>
      <c r="W1114" s="74"/>
      <c r="X1114" s="74"/>
      <c r="Y1114" s="74"/>
      <c r="Z1114" s="74"/>
      <c r="AA1114" s="74"/>
      <c r="AB1114" s="74"/>
    </row>
    <row r="1115" spans="1:28" ht="12" customHeight="1">
      <c r="A1115" s="330"/>
      <c r="B1115" s="314"/>
      <c r="C1115" s="285"/>
      <c r="D1115" s="108"/>
      <c r="E1115" s="285"/>
      <c r="F1115" s="285"/>
      <c r="G1115" s="35"/>
      <c r="H1115" s="104"/>
      <c r="I1115" s="35"/>
      <c r="J1115" s="74"/>
      <c r="K1115" s="74"/>
      <c r="L1115" s="74"/>
      <c r="M1115" s="74"/>
      <c r="N1115" s="74"/>
      <c r="O1115" s="74"/>
      <c r="P1115" s="74"/>
      <c r="Q1115" s="74"/>
      <c r="R1115" s="74"/>
      <c r="S1115" s="74"/>
      <c r="T1115" s="74"/>
      <c r="U1115" s="74"/>
      <c r="V1115" s="74"/>
      <c r="W1115" s="74"/>
      <c r="X1115" s="74"/>
      <c r="Y1115" s="74"/>
      <c r="Z1115" s="74"/>
      <c r="AA1115" s="74"/>
      <c r="AB1115" s="74"/>
    </row>
    <row r="1116" spans="1:28" ht="12" customHeight="1">
      <c r="A1116" s="330"/>
      <c r="B1116" s="314"/>
      <c r="C1116" s="285"/>
      <c r="D1116" s="108"/>
      <c r="E1116" s="285"/>
      <c r="F1116" s="285"/>
      <c r="G1116" s="35"/>
      <c r="H1116" s="104"/>
      <c r="I1116" s="35"/>
      <c r="J1116" s="74"/>
      <c r="K1116" s="74"/>
      <c r="L1116" s="74"/>
      <c r="M1116" s="74"/>
      <c r="N1116" s="74"/>
      <c r="O1116" s="74"/>
      <c r="P1116" s="74"/>
      <c r="Q1116" s="74"/>
      <c r="R1116" s="74"/>
      <c r="S1116" s="74"/>
      <c r="T1116" s="74"/>
      <c r="U1116" s="74"/>
      <c r="V1116" s="74"/>
      <c r="W1116" s="74"/>
      <c r="X1116" s="74"/>
      <c r="Y1116" s="74"/>
      <c r="Z1116" s="74"/>
      <c r="AA1116" s="74"/>
      <c r="AB1116" s="74"/>
    </row>
    <row r="1117" spans="1:28" ht="12" customHeight="1">
      <c r="A1117" s="330"/>
      <c r="B1117" s="314"/>
      <c r="C1117" s="285"/>
      <c r="D1117" s="108"/>
      <c r="E1117" s="285"/>
      <c r="F1117" s="285"/>
      <c r="G1117" s="35"/>
      <c r="H1117" s="104"/>
      <c r="I1117" s="35"/>
      <c r="J1117" s="74"/>
      <c r="K1117" s="74"/>
      <c r="L1117" s="74"/>
      <c r="M1117" s="74"/>
      <c r="N1117" s="74"/>
      <c r="O1117" s="74"/>
      <c r="P1117" s="74"/>
      <c r="Q1117" s="74"/>
      <c r="R1117" s="74"/>
      <c r="S1117" s="74"/>
      <c r="T1117" s="74"/>
      <c r="U1117" s="74"/>
      <c r="V1117" s="74"/>
      <c r="W1117" s="74"/>
      <c r="X1117" s="74"/>
      <c r="Y1117" s="74"/>
      <c r="Z1117" s="74"/>
      <c r="AA1117" s="74"/>
      <c r="AB1117" s="74"/>
    </row>
    <row r="1118" spans="1:28" ht="12" customHeight="1">
      <c r="A1118" s="330"/>
      <c r="B1118" s="314"/>
      <c r="C1118" s="285"/>
      <c r="D1118" s="108"/>
      <c r="E1118" s="285"/>
      <c r="F1118" s="285"/>
      <c r="G1118" s="35"/>
      <c r="H1118" s="104"/>
      <c r="I1118" s="35"/>
      <c r="J1118" s="74"/>
      <c r="K1118" s="74"/>
      <c r="L1118" s="74"/>
      <c r="M1118" s="74"/>
      <c r="N1118" s="74"/>
      <c r="O1118" s="74"/>
      <c r="P1118" s="74"/>
      <c r="Q1118" s="74"/>
      <c r="R1118" s="74"/>
      <c r="S1118" s="74"/>
      <c r="T1118" s="74"/>
      <c r="U1118" s="74"/>
      <c r="V1118" s="74"/>
      <c r="W1118" s="74"/>
      <c r="X1118" s="74"/>
      <c r="Y1118" s="74"/>
      <c r="Z1118" s="74"/>
      <c r="AA1118" s="74"/>
      <c r="AB1118" s="74"/>
    </row>
    <row r="1119" spans="1:28" ht="12" customHeight="1">
      <c r="A1119" s="330"/>
      <c r="B1119" s="314"/>
      <c r="C1119" s="285"/>
      <c r="D1119" s="108"/>
      <c r="E1119" s="285"/>
      <c r="F1119" s="285"/>
      <c r="G1119" s="35"/>
      <c r="H1119" s="104"/>
      <c r="I1119" s="35"/>
      <c r="J1119" s="74"/>
      <c r="K1119" s="74"/>
      <c r="L1119" s="74"/>
      <c r="M1119" s="74"/>
      <c r="N1119" s="74"/>
      <c r="O1119" s="74"/>
      <c r="P1119" s="74"/>
      <c r="Q1119" s="74"/>
      <c r="R1119" s="74"/>
      <c r="S1119" s="74"/>
      <c r="T1119" s="74"/>
      <c r="U1119" s="74"/>
      <c r="V1119" s="74"/>
      <c r="W1119" s="74"/>
      <c r="X1119" s="74"/>
      <c r="Y1119" s="74"/>
      <c r="Z1119" s="74"/>
      <c r="AA1119" s="74"/>
      <c r="AB1119" s="74"/>
    </row>
    <row r="1120" spans="1:28" ht="12" customHeight="1">
      <c r="A1120" s="330"/>
      <c r="B1120" s="314"/>
      <c r="C1120" s="285"/>
      <c r="D1120" s="108"/>
      <c r="E1120" s="285"/>
      <c r="F1120" s="285"/>
      <c r="G1120" s="35"/>
      <c r="H1120" s="104"/>
      <c r="I1120" s="35"/>
      <c r="J1120" s="74"/>
      <c r="K1120" s="74"/>
      <c r="L1120" s="74"/>
      <c r="M1120" s="74"/>
      <c r="N1120" s="74"/>
      <c r="O1120" s="74"/>
      <c r="P1120" s="74"/>
      <c r="Q1120" s="74"/>
      <c r="R1120" s="74"/>
      <c r="S1120" s="74"/>
      <c r="T1120" s="74"/>
      <c r="U1120" s="74"/>
      <c r="V1120" s="74"/>
      <c r="W1120" s="74"/>
      <c r="X1120" s="74"/>
      <c r="Y1120" s="74"/>
      <c r="Z1120" s="74"/>
      <c r="AA1120" s="74"/>
      <c r="AB1120" s="74"/>
    </row>
    <row r="1121" spans="1:28" ht="12" customHeight="1">
      <c r="A1121" s="330"/>
      <c r="B1121" s="314"/>
      <c r="C1121" s="285"/>
      <c r="D1121" s="108"/>
      <c r="E1121" s="285"/>
      <c r="F1121" s="285"/>
      <c r="G1121" s="35"/>
      <c r="H1121" s="104"/>
      <c r="I1121" s="35"/>
      <c r="J1121" s="74"/>
      <c r="K1121" s="74"/>
      <c r="L1121" s="74"/>
      <c r="M1121" s="74"/>
      <c r="N1121" s="74"/>
      <c r="O1121" s="74"/>
      <c r="P1121" s="74"/>
      <c r="Q1121" s="74"/>
      <c r="R1121" s="74"/>
      <c r="S1121" s="74"/>
      <c r="T1121" s="74"/>
      <c r="U1121" s="74"/>
      <c r="V1121" s="74"/>
      <c r="W1121" s="74"/>
      <c r="X1121" s="74"/>
      <c r="Y1121" s="74"/>
      <c r="Z1121" s="74"/>
      <c r="AA1121" s="74"/>
      <c r="AB1121" s="74"/>
    </row>
    <row r="1122" spans="1:28" ht="12" customHeight="1">
      <c r="A1122" s="330"/>
      <c r="B1122" s="314"/>
      <c r="C1122" s="285"/>
      <c r="D1122" s="108"/>
      <c r="E1122" s="285"/>
      <c r="F1122" s="285"/>
      <c r="G1122" s="35"/>
      <c r="H1122" s="104"/>
      <c r="I1122" s="35"/>
      <c r="J1122" s="74"/>
      <c r="K1122" s="74"/>
      <c r="L1122" s="74"/>
      <c r="M1122" s="74"/>
      <c r="N1122" s="74"/>
      <c r="O1122" s="74"/>
      <c r="P1122" s="74"/>
      <c r="Q1122" s="74"/>
      <c r="R1122" s="74"/>
      <c r="S1122" s="74"/>
      <c r="T1122" s="74"/>
      <c r="U1122" s="74"/>
      <c r="V1122" s="74"/>
      <c r="W1122" s="74"/>
      <c r="X1122" s="74"/>
      <c r="Y1122" s="74"/>
      <c r="Z1122" s="74"/>
      <c r="AA1122" s="74"/>
      <c r="AB1122" s="74"/>
    </row>
    <row r="1123" spans="1:28" ht="12" customHeight="1">
      <c r="A1123" s="330"/>
      <c r="B1123" s="314"/>
      <c r="C1123" s="285"/>
      <c r="D1123" s="108"/>
      <c r="E1123" s="285"/>
      <c r="F1123" s="285"/>
      <c r="G1123" s="35"/>
      <c r="H1123" s="104"/>
      <c r="I1123" s="35"/>
      <c r="J1123" s="74"/>
      <c r="K1123" s="74"/>
      <c r="L1123" s="74"/>
      <c r="M1123" s="74"/>
      <c r="N1123" s="74"/>
      <c r="O1123" s="74"/>
      <c r="P1123" s="74"/>
      <c r="Q1123" s="74"/>
      <c r="R1123" s="74"/>
      <c r="S1123" s="74"/>
      <c r="T1123" s="74"/>
      <c r="U1123" s="74"/>
      <c r="V1123" s="74"/>
      <c r="W1123" s="74"/>
      <c r="X1123" s="74"/>
      <c r="Y1123" s="74"/>
      <c r="Z1123" s="74"/>
      <c r="AA1123" s="74"/>
      <c r="AB1123" s="74"/>
    </row>
    <row r="1124" spans="1:28" ht="12" customHeight="1">
      <c r="A1124" s="330"/>
      <c r="B1124" s="314"/>
      <c r="C1124" s="285"/>
      <c r="D1124" s="108"/>
      <c r="E1124" s="285"/>
      <c r="F1124" s="285"/>
      <c r="G1124" s="35"/>
      <c r="H1124" s="104"/>
      <c r="I1124" s="35"/>
      <c r="J1124" s="74"/>
      <c r="K1124" s="74"/>
      <c r="L1124" s="74"/>
      <c r="M1124" s="74"/>
      <c r="N1124" s="74"/>
      <c r="O1124" s="74"/>
      <c r="P1124" s="74"/>
      <c r="Q1124" s="74"/>
      <c r="R1124" s="74"/>
      <c r="S1124" s="74"/>
      <c r="T1124" s="74"/>
      <c r="U1124" s="74"/>
      <c r="V1124" s="74"/>
      <c r="W1124" s="74"/>
      <c r="X1124" s="74"/>
      <c r="Y1124" s="74"/>
      <c r="Z1124" s="74"/>
      <c r="AA1124" s="74"/>
      <c r="AB1124" s="74"/>
    </row>
    <row r="1125" spans="1:28" ht="12" customHeight="1">
      <c r="A1125" s="330"/>
      <c r="B1125" s="314"/>
      <c r="C1125" s="285"/>
      <c r="D1125" s="108"/>
      <c r="E1125" s="285"/>
      <c r="F1125" s="285"/>
      <c r="G1125" s="35"/>
      <c r="H1125" s="104"/>
      <c r="I1125" s="35"/>
      <c r="J1125" s="74"/>
      <c r="K1125" s="74"/>
      <c r="L1125" s="74"/>
      <c r="M1125" s="74"/>
      <c r="N1125" s="74"/>
      <c r="O1125" s="74"/>
      <c r="P1125" s="74"/>
      <c r="Q1125" s="74"/>
      <c r="R1125" s="74"/>
      <c r="S1125" s="74"/>
      <c r="T1125" s="74"/>
      <c r="U1125" s="74"/>
      <c r="V1125" s="74"/>
      <c r="W1125" s="74"/>
      <c r="X1125" s="74"/>
      <c r="Y1125" s="74"/>
      <c r="Z1125" s="74"/>
      <c r="AA1125" s="74"/>
      <c r="AB1125" s="74"/>
    </row>
    <row r="1126" spans="1:28" ht="12" customHeight="1">
      <c r="A1126" s="330"/>
      <c r="B1126" s="314"/>
      <c r="C1126" s="285"/>
      <c r="D1126" s="108"/>
      <c r="E1126" s="285"/>
      <c r="F1126" s="285"/>
      <c r="G1126" s="35"/>
      <c r="H1126" s="104"/>
      <c r="I1126" s="35"/>
      <c r="J1126" s="74"/>
      <c r="K1126" s="74"/>
      <c r="L1126" s="74"/>
      <c r="M1126" s="74"/>
      <c r="N1126" s="74"/>
      <c r="O1126" s="74"/>
      <c r="P1126" s="74"/>
      <c r="Q1126" s="74"/>
      <c r="R1126" s="74"/>
      <c r="S1126" s="74"/>
      <c r="T1126" s="74"/>
      <c r="U1126" s="74"/>
      <c r="V1126" s="74"/>
      <c r="W1126" s="74"/>
      <c r="X1126" s="74"/>
      <c r="Y1126" s="74"/>
      <c r="Z1126" s="74"/>
      <c r="AA1126" s="74"/>
      <c r="AB1126" s="74"/>
    </row>
    <row r="1127" spans="1:28" ht="12" customHeight="1">
      <c r="A1127" s="330"/>
      <c r="B1127" s="314"/>
      <c r="C1127" s="285"/>
      <c r="D1127" s="108"/>
      <c r="E1127" s="285"/>
      <c r="F1127" s="285"/>
      <c r="G1127" s="35"/>
      <c r="H1127" s="104"/>
      <c r="I1127" s="35"/>
      <c r="J1127" s="74"/>
      <c r="K1127" s="74"/>
      <c r="L1127" s="74"/>
      <c r="M1127" s="74"/>
      <c r="N1127" s="74"/>
      <c r="O1127" s="74"/>
      <c r="P1127" s="74"/>
      <c r="Q1127" s="74"/>
      <c r="R1127" s="74"/>
      <c r="S1127" s="74"/>
      <c r="T1127" s="74"/>
      <c r="U1127" s="74"/>
      <c r="V1127" s="74"/>
      <c r="W1127" s="74"/>
      <c r="X1127" s="74"/>
      <c r="Y1127" s="74"/>
      <c r="Z1127" s="74"/>
      <c r="AA1127" s="74"/>
      <c r="AB1127" s="74"/>
    </row>
    <row r="1128" spans="1:28" ht="12" customHeight="1">
      <c r="A1128" s="330"/>
      <c r="B1128" s="314"/>
      <c r="C1128" s="285"/>
      <c r="D1128" s="108"/>
      <c r="E1128" s="285"/>
      <c r="F1128" s="285"/>
      <c r="G1128" s="35"/>
      <c r="H1128" s="104"/>
      <c r="I1128" s="35"/>
      <c r="J1128" s="74"/>
      <c r="K1128" s="74"/>
      <c r="L1128" s="74"/>
      <c r="M1128" s="74"/>
      <c r="N1128" s="74"/>
      <c r="O1128" s="74"/>
      <c r="P1128" s="74"/>
      <c r="Q1128" s="74"/>
      <c r="R1128" s="74"/>
      <c r="S1128" s="74"/>
      <c r="T1128" s="74"/>
      <c r="U1128" s="74"/>
      <c r="V1128" s="74"/>
      <c r="W1128" s="74"/>
      <c r="X1128" s="74"/>
      <c r="Y1128" s="74"/>
      <c r="Z1128" s="74"/>
      <c r="AA1128" s="74"/>
      <c r="AB1128" s="74"/>
    </row>
    <row r="1129" spans="1:28" ht="12" customHeight="1">
      <c r="A1129" s="330"/>
      <c r="B1129" s="314"/>
      <c r="C1129" s="285"/>
      <c r="D1129" s="108"/>
      <c r="E1129" s="285"/>
      <c r="F1129" s="285"/>
      <c r="G1129" s="35"/>
      <c r="H1129" s="104"/>
      <c r="I1129" s="35"/>
      <c r="J1129" s="74"/>
      <c r="K1129" s="74"/>
      <c r="L1129" s="74"/>
      <c r="M1129" s="74"/>
      <c r="N1129" s="74"/>
      <c r="O1129" s="74"/>
      <c r="P1129" s="74"/>
      <c r="Q1129" s="74"/>
      <c r="R1129" s="74"/>
      <c r="S1129" s="74"/>
      <c r="T1129" s="74"/>
      <c r="U1129" s="74"/>
      <c r="V1129" s="74"/>
      <c r="W1129" s="74"/>
      <c r="X1129" s="74"/>
      <c r="Y1129" s="74"/>
      <c r="Z1129" s="74"/>
      <c r="AA1129" s="74"/>
      <c r="AB1129" s="74"/>
    </row>
    <row r="1130" spans="1:28" ht="12" customHeight="1">
      <c r="A1130" s="330"/>
      <c r="B1130" s="314"/>
      <c r="C1130" s="285"/>
      <c r="D1130" s="108"/>
      <c r="E1130" s="285"/>
      <c r="F1130" s="285"/>
      <c r="G1130" s="35"/>
      <c r="H1130" s="104"/>
      <c r="I1130" s="35"/>
      <c r="J1130" s="74"/>
      <c r="K1130" s="74"/>
      <c r="L1130" s="74"/>
      <c r="M1130" s="74"/>
      <c r="N1130" s="74"/>
      <c r="O1130" s="74"/>
      <c r="P1130" s="74"/>
      <c r="Q1130" s="74"/>
      <c r="R1130" s="74"/>
      <c r="S1130" s="74"/>
      <c r="T1130" s="74"/>
      <c r="U1130" s="74"/>
      <c r="V1130" s="74"/>
      <c r="W1130" s="74"/>
      <c r="X1130" s="74"/>
      <c r="Y1130" s="74"/>
      <c r="Z1130" s="74"/>
      <c r="AA1130" s="74"/>
      <c r="AB1130" s="74"/>
    </row>
    <row r="1131" spans="1:28" ht="12" customHeight="1">
      <c r="A1131" s="330"/>
      <c r="B1131" s="314"/>
      <c r="C1131" s="285"/>
      <c r="D1131" s="108"/>
      <c r="E1131" s="285"/>
      <c r="F1131" s="285"/>
      <c r="G1131" s="35"/>
      <c r="H1131" s="104"/>
      <c r="I1131" s="35"/>
      <c r="J1131" s="74"/>
      <c r="K1131" s="74"/>
      <c r="L1131" s="74"/>
      <c r="M1131" s="74"/>
      <c r="N1131" s="74"/>
      <c r="O1131" s="74"/>
      <c r="P1131" s="74"/>
      <c r="Q1131" s="74"/>
      <c r="R1131" s="74"/>
      <c r="S1131" s="74"/>
      <c r="T1131" s="74"/>
      <c r="U1131" s="74"/>
      <c r="V1131" s="74"/>
      <c r="W1131" s="74"/>
      <c r="X1131" s="74"/>
      <c r="Y1131" s="74"/>
      <c r="Z1131" s="74"/>
      <c r="AA1131" s="74"/>
      <c r="AB1131" s="74"/>
    </row>
    <row r="1132" spans="1:28" ht="12" customHeight="1">
      <c r="A1132" s="330"/>
      <c r="B1132" s="314"/>
      <c r="C1132" s="285"/>
      <c r="D1132" s="108"/>
      <c r="E1132" s="285"/>
      <c r="F1132" s="285"/>
      <c r="G1132" s="35"/>
      <c r="H1132" s="104"/>
      <c r="I1132" s="35"/>
      <c r="J1132" s="74"/>
      <c r="K1132" s="74"/>
      <c r="L1132" s="74"/>
      <c r="M1132" s="74"/>
      <c r="N1132" s="74"/>
      <c r="O1132" s="74"/>
      <c r="P1132" s="74"/>
      <c r="Q1132" s="74"/>
      <c r="R1132" s="74"/>
      <c r="S1132" s="74"/>
      <c r="T1132" s="74"/>
      <c r="U1132" s="74"/>
      <c r="V1132" s="74"/>
      <c r="W1132" s="74"/>
      <c r="X1132" s="74"/>
      <c r="Y1132" s="74"/>
      <c r="Z1132" s="74"/>
      <c r="AA1132" s="74"/>
      <c r="AB1132" s="74"/>
    </row>
    <row r="1133" spans="1:28" ht="12" customHeight="1">
      <c r="A1133" s="330"/>
      <c r="B1133" s="314"/>
      <c r="C1133" s="285"/>
      <c r="D1133" s="108"/>
      <c r="E1133" s="285"/>
      <c r="F1133" s="285"/>
      <c r="G1133" s="35"/>
      <c r="H1133" s="104"/>
      <c r="I1133" s="35"/>
      <c r="J1133" s="74"/>
      <c r="K1133" s="74"/>
      <c r="L1133" s="74"/>
      <c r="M1133" s="74"/>
      <c r="N1133" s="74"/>
      <c r="O1133" s="74"/>
      <c r="P1133" s="74"/>
      <c r="Q1133" s="74"/>
      <c r="R1133" s="74"/>
      <c r="S1133" s="74"/>
      <c r="T1133" s="74"/>
      <c r="U1133" s="74"/>
      <c r="V1133" s="74"/>
      <c r="W1133" s="74"/>
      <c r="X1133" s="74"/>
      <c r="Y1133" s="74"/>
      <c r="Z1133" s="74"/>
      <c r="AA1133" s="74"/>
      <c r="AB1133" s="74"/>
    </row>
    <row r="1134" spans="1:28" ht="12" customHeight="1">
      <c r="A1134" s="330"/>
      <c r="B1134" s="314"/>
      <c r="C1134" s="285"/>
      <c r="D1134" s="108"/>
      <c r="E1134" s="285"/>
      <c r="F1134" s="285"/>
      <c r="G1134" s="35"/>
      <c r="H1134" s="104"/>
      <c r="I1134" s="35"/>
      <c r="J1134" s="74"/>
      <c r="K1134" s="74"/>
      <c r="L1134" s="74"/>
      <c r="M1134" s="74"/>
      <c r="N1134" s="74"/>
      <c r="O1134" s="74"/>
      <c r="P1134" s="74"/>
      <c r="Q1134" s="74"/>
      <c r="R1134" s="74"/>
      <c r="S1134" s="74"/>
      <c r="T1134" s="74"/>
      <c r="U1134" s="74"/>
      <c r="V1134" s="74"/>
      <c r="W1134" s="74"/>
      <c r="X1134" s="74"/>
      <c r="Y1134" s="74"/>
      <c r="Z1134" s="74"/>
      <c r="AA1134" s="74"/>
      <c r="AB1134" s="74"/>
    </row>
    <row r="1135" spans="1:28" ht="12" customHeight="1">
      <c r="A1135" s="330"/>
      <c r="B1135" s="314"/>
      <c r="C1135" s="285"/>
      <c r="D1135" s="108"/>
      <c r="E1135" s="285"/>
      <c r="F1135" s="285"/>
      <c r="G1135" s="35"/>
      <c r="H1135" s="104"/>
      <c r="I1135" s="35"/>
      <c r="J1135" s="74"/>
      <c r="K1135" s="74"/>
      <c r="L1135" s="74"/>
      <c r="M1135" s="74"/>
      <c r="N1135" s="74"/>
      <c r="O1135" s="74"/>
      <c r="P1135" s="74"/>
      <c r="Q1135" s="74"/>
      <c r="R1135" s="74"/>
      <c r="S1135" s="74"/>
      <c r="T1135" s="74"/>
      <c r="U1135" s="74"/>
      <c r="V1135" s="74"/>
      <c r="W1135" s="74"/>
      <c r="X1135" s="74"/>
      <c r="Y1135" s="74"/>
      <c r="Z1135" s="74"/>
      <c r="AA1135" s="74"/>
      <c r="AB1135" s="74"/>
    </row>
    <row r="1136" spans="1:28" ht="12" customHeight="1">
      <c r="A1136" s="330"/>
      <c r="B1136" s="314"/>
      <c r="C1136" s="285"/>
      <c r="D1136" s="108"/>
      <c r="E1136" s="285"/>
      <c r="F1136" s="285"/>
      <c r="G1136" s="35"/>
      <c r="H1136" s="104"/>
      <c r="I1136" s="35"/>
      <c r="J1136" s="74"/>
      <c r="K1136" s="74"/>
      <c r="L1136" s="74"/>
      <c r="M1136" s="74"/>
      <c r="N1136" s="74"/>
      <c r="O1136" s="74"/>
      <c r="P1136" s="74"/>
      <c r="Q1136" s="74"/>
      <c r="R1136" s="74"/>
      <c r="S1136" s="74"/>
      <c r="T1136" s="74"/>
      <c r="U1136" s="74"/>
      <c r="V1136" s="74"/>
      <c r="W1136" s="74"/>
      <c r="X1136" s="74"/>
      <c r="Y1136" s="74"/>
      <c r="Z1136" s="74"/>
      <c r="AA1136" s="74"/>
      <c r="AB1136" s="74"/>
    </row>
    <row r="1137" spans="1:28" ht="12" customHeight="1">
      <c r="A1137" s="330"/>
      <c r="B1137" s="314"/>
      <c r="C1137" s="285"/>
      <c r="D1137" s="108"/>
      <c r="E1137" s="285"/>
      <c r="F1137" s="285"/>
      <c r="G1137" s="35"/>
      <c r="H1137" s="104"/>
      <c r="I1137" s="35"/>
      <c r="J1137" s="74"/>
      <c r="K1137" s="74"/>
      <c r="L1137" s="74"/>
      <c r="M1137" s="74"/>
      <c r="N1137" s="74"/>
      <c r="O1137" s="74"/>
      <c r="P1137" s="74"/>
      <c r="Q1137" s="74"/>
      <c r="R1137" s="74"/>
      <c r="S1137" s="74"/>
      <c r="T1137" s="74"/>
      <c r="U1137" s="74"/>
      <c r="V1137" s="74"/>
      <c r="W1137" s="74"/>
      <c r="X1137" s="74"/>
      <c r="Y1137" s="74"/>
      <c r="Z1137" s="74"/>
      <c r="AA1137" s="74"/>
      <c r="AB1137" s="74"/>
    </row>
    <row r="1138" spans="1:28" ht="12" customHeight="1">
      <c r="A1138" s="330"/>
      <c r="B1138" s="314"/>
      <c r="C1138" s="285"/>
      <c r="D1138" s="108"/>
      <c r="E1138" s="285"/>
      <c r="F1138" s="285"/>
      <c r="G1138" s="35"/>
      <c r="H1138" s="104"/>
      <c r="I1138" s="35"/>
      <c r="J1138" s="74"/>
      <c r="K1138" s="74"/>
      <c r="L1138" s="74"/>
      <c r="M1138" s="74"/>
      <c r="N1138" s="74"/>
      <c r="O1138" s="74"/>
      <c r="P1138" s="74"/>
      <c r="Q1138" s="74"/>
      <c r="R1138" s="74"/>
      <c r="S1138" s="74"/>
      <c r="T1138" s="74"/>
      <c r="U1138" s="74"/>
      <c r="V1138" s="74"/>
      <c r="W1138" s="74"/>
      <c r="X1138" s="74"/>
      <c r="Y1138" s="74"/>
      <c r="Z1138" s="74"/>
      <c r="AA1138" s="74"/>
      <c r="AB1138" s="74"/>
    </row>
    <row r="1139" spans="1:28" ht="12" customHeight="1">
      <c r="A1139" s="330"/>
      <c r="B1139" s="314"/>
      <c r="C1139" s="285"/>
      <c r="D1139" s="108"/>
      <c r="E1139" s="285"/>
      <c r="F1139" s="285"/>
      <c r="G1139" s="35"/>
      <c r="H1139" s="104"/>
      <c r="I1139" s="35"/>
      <c r="J1139" s="74"/>
      <c r="K1139" s="74"/>
      <c r="L1139" s="74"/>
      <c r="M1139" s="74"/>
      <c r="N1139" s="74"/>
      <c r="O1139" s="74"/>
      <c r="P1139" s="74"/>
      <c r="Q1139" s="74"/>
      <c r="R1139" s="74"/>
      <c r="S1139" s="74"/>
      <c r="T1139" s="74"/>
      <c r="U1139" s="74"/>
      <c r="V1139" s="74"/>
      <c r="W1139" s="74"/>
      <c r="X1139" s="74"/>
      <c r="Y1139" s="74"/>
      <c r="Z1139" s="74"/>
      <c r="AA1139" s="74"/>
      <c r="AB1139" s="74"/>
    </row>
    <row r="1140" spans="1:28" ht="12" customHeight="1">
      <c r="A1140" s="330"/>
      <c r="B1140" s="314"/>
      <c r="C1140" s="285"/>
      <c r="D1140" s="108"/>
      <c r="E1140" s="285"/>
      <c r="F1140" s="285"/>
      <c r="G1140" s="35"/>
      <c r="H1140" s="104"/>
      <c r="I1140" s="35"/>
      <c r="J1140" s="74"/>
      <c r="K1140" s="74"/>
      <c r="L1140" s="74"/>
      <c r="M1140" s="74"/>
      <c r="N1140" s="74"/>
      <c r="O1140" s="74"/>
      <c r="P1140" s="74"/>
      <c r="Q1140" s="74"/>
      <c r="R1140" s="74"/>
      <c r="S1140" s="74"/>
      <c r="T1140" s="74"/>
      <c r="U1140" s="74"/>
      <c r="V1140" s="74"/>
      <c r="W1140" s="74"/>
      <c r="X1140" s="74"/>
      <c r="Y1140" s="74"/>
      <c r="Z1140" s="74"/>
      <c r="AA1140" s="74"/>
      <c r="AB1140" s="74"/>
    </row>
    <row r="1141" spans="1:28" ht="12" customHeight="1">
      <c r="A1141" s="330"/>
      <c r="B1141" s="314"/>
      <c r="C1141" s="285"/>
      <c r="D1141" s="108"/>
      <c r="E1141" s="285"/>
      <c r="F1141" s="285"/>
      <c r="G1141" s="35"/>
      <c r="H1141" s="104"/>
      <c r="I1141" s="35"/>
      <c r="J1141" s="74"/>
      <c r="K1141" s="74"/>
      <c r="L1141" s="74"/>
      <c r="M1141" s="74"/>
      <c r="N1141" s="74"/>
      <c r="O1141" s="74"/>
      <c r="P1141" s="74"/>
      <c r="Q1141" s="74"/>
      <c r="R1141" s="74"/>
      <c r="S1141" s="74"/>
      <c r="T1141" s="74"/>
      <c r="U1141" s="74"/>
      <c r="V1141" s="74"/>
      <c r="W1141" s="74"/>
      <c r="X1141" s="74"/>
      <c r="Y1141" s="74"/>
      <c r="Z1141" s="74"/>
      <c r="AA1141" s="74"/>
      <c r="AB1141" s="74"/>
    </row>
    <row r="1142" spans="1:28" ht="12" customHeight="1">
      <c r="A1142" s="330"/>
      <c r="B1142" s="314"/>
      <c r="C1142" s="285"/>
      <c r="D1142" s="108"/>
      <c r="E1142" s="285"/>
      <c r="F1142" s="285"/>
      <c r="G1142" s="35"/>
      <c r="H1142" s="104"/>
      <c r="I1142" s="35"/>
      <c r="J1142" s="74"/>
      <c r="K1142" s="74"/>
      <c r="L1142" s="74"/>
      <c r="M1142" s="74"/>
      <c r="N1142" s="74"/>
      <c r="O1142" s="74"/>
      <c r="P1142" s="74"/>
      <c r="Q1142" s="74"/>
      <c r="R1142" s="74"/>
      <c r="S1142" s="74"/>
      <c r="T1142" s="74"/>
      <c r="U1142" s="74"/>
      <c r="V1142" s="74"/>
      <c r="W1142" s="74"/>
      <c r="X1142" s="74"/>
      <c r="Y1142" s="74"/>
      <c r="Z1142" s="74"/>
      <c r="AA1142" s="74"/>
      <c r="AB1142" s="74"/>
    </row>
    <row r="1143" spans="1:28" ht="12" customHeight="1">
      <c r="A1143" s="330"/>
      <c r="B1143" s="314"/>
      <c r="C1143" s="285"/>
      <c r="D1143" s="108"/>
      <c r="E1143" s="285"/>
      <c r="F1143" s="285"/>
      <c r="G1143" s="35"/>
      <c r="H1143" s="104"/>
      <c r="I1143" s="35"/>
      <c r="J1143" s="74"/>
      <c r="K1143" s="74"/>
      <c r="L1143" s="74"/>
      <c r="M1143" s="74"/>
      <c r="N1143" s="74"/>
      <c r="O1143" s="74"/>
      <c r="P1143" s="74"/>
      <c r="Q1143" s="74"/>
      <c r="R1143" s="74"/>
      <c r="S1143" s="74"/>
      <c r="T1143" s="74"/>
      <c r="U1143" s="74"/>
      <c r="V1143" s="74"/>
      <c r="W1143" s="74"/>
      <c r="X1143" s="74"/>
      <c r="Y1143" s="74"/>
      <c r="Z1143" s="74"/>
      <c r="AA1143" s="74"/>
      <c r="AB1143" s="74"/>
    </row>
    <row r="1144" spans="1:28" ht="12" customHeight="1">
      <c r="A1144" s="330"/>
      <c r="B1144" s="314"/>
      <c r="C1144" s="285"/>
      <c r="D1144" s="108"/>
      <c r="E1144" s="285"/>
      <c r="F1144" s="285"/>
      <c r="G1144" s="35"/>
      <c r="H1144" s="104"/>
      <c r="I1144" s="35"/>
      <c r="J1144" s="74"/>
      <c r="K1144" s="74"/>
      <c r="L1144" s="74"/>
      <c r="M1144" s="74"/>
      <c r="N1144" s="74"/>
      <c r="O1144" s="74"/>
      <c r="P1144" s="74"/>
      <c r="Q1144" s="74"/>
      <c r="R1144" s="74"/>
      <c r="S1144" s="74"/>
      <c r="T1144" s="74"/>
      <c r="U1144" s="74"/>
      <c r="V1144" s="74"/>
      <c r="W1144" s="74"/>
      <c r="X1144" s="74"/>
      <c r="Y1144" s="74"/>
      <c r="Z1144" s="74"/>
      <c r="AA1144" s="74"/>
      <c r="AB1144" s="74"/>
    </row>
    <row r="1145" spans="1:28" ht="12" customHeight="1">
      <c r="A1145" s="330"/>
      <c r="B1145" s="314"/>
      <c r="C1145" s="285"/>
      <c r="D1145" s="108"/>
      <c r="E1145" s="285"/>
      <c r="F1145" s="285"/>
      <c r="G1145" s="35"/>
      <c r="H1145" s="104"/>
      <c r="I1145" s="35"/>
      <c r="J1145" s="74"/>
      <c r="K1145" s="74"/>
      <c r="L1145" s="74"/>
      <c r="M1145" s="74"/>
      <c r="N1145" s="74"/>
      <c r="O1145" s="74"/>
      <c r="P1145" s="74"/>
      <c r="Q1145" s="74"/>
      <c r="R1145" s="74"/>
      <c r="S1145" s="74"/>
      <c r="T1145" s="74"/>
      <c r="U1145" s="74"/>
      <c r="V1145" s="74"/>
      <c r="W1145" s="74"/>
      <c r="X1145" s="74"/>
      <c r="Y1145" s="74"/>
      <c r="Z1145" s="74"/>
      <c r="AA1145" s="74"/>
      <c r="AB1145" s="74"/>
    </row>
    <row r="1146" spans="1:28" ht="12" customHeight="1">
      <c r="A1146" s="330"/>
      <c r="B1146" s="314"/>
      <c r="C1146" s="285"/>
      <c r="D1146" s="108"/>
      <c r="E1146" s="285"/>
      <c r="F1146" s="285"/>
      <c r="G1146" s="35"/>
      <c r="H1146" s="104"/>
      <c r="I1146" s="35"/>
      <c r="J1146" s="74"/>
      <c r="K1146" s="74"/>
      <c r="L1146" s="74"/>
      <c r="M1146" s="74"/>
      <c r="N1146" s="74"/>
      <c r="O1146" s="74"/>
      <c r="P1146" s="74"/>
      <c r="Q1146" s="74"/>
      <c r="R1146" s="74"/>
      <c r="S1146" s="74"/>
      <c r="T1146" s="74"/>
      <c r="U1146" s="74"/>
      <c r="V1146" s="74"/>
      <c r="W1146" s="74"/>
      <c r="X1146" s="74"/>
      <c r="Y1146" s="74"/>
      <c r="Z1146" s="74"/>
      <c r="AA1146" s="74"/>
      <c r="AB1146" s="74"/>
    </row>
    <row r="1147" spans="1:28" ht="12" customHeight="1">
      <c r="A1147" s="330"/>
      <c r="B1147" s="314"/>
      <c r="C1147" s="285"/>
      <c r="D1147" s="108"/>
      <c r="E1147" s="285"/>
      <c r="F1147" s="285"/>
      <c r="G1147" s="35"/>
      <c r="H1147" s="104"/>
      <c r="I1147" s="35"/>
      <c r="J1147" s="74"/>
      <c r="K1147" s="74"/>
      <c r="L1147" s="74"/>
      <c r="M1147" s="74"/>
      <c r="N1147" s="74"/>
      <c r="O1147" s="74"/>
      <c r="P1147" s="74"/>
      <c r="Q1147" s="74"/>
      <c r="R1147" s="74"/>
      <c r="S1147" s="74"/>
      <c r="T1147" s="74"/>
      <c r="U1147" s="74"/>
      <c r="V1147" s="74"/>
      <c r="W1147" s="74"/>
      <c r="X1147" s="74"/>
      <c r="Y1147" s="74"/>
      <c r="Z1147" s="74"/>
      <c r="AA1147" s="74"/>
      <c r="AB1147" s="74"/>
    </row>
    <row r="1148" spans="1:28" ht="12" customHeight="1">
      <c r="A1148" s="330"/>
      <c r="B1148" s="314"/>
      <c r="C1148" s="285"/>
      <c r="D1148" s="108"/>
      <c r="E1148" s="285"/>
      <c r="F1148" s="285"/>
      <c r="G1148" s="35"/>
      <c r="H1148" s="104"/>
      <c r="I1148" s="35"/>
      <c r="J1148" s="74"/>
      <c r="K1148" s="74"/>
      <c r="L1148" s="74"/>
      <c r="M1148" s="74"/>
      <c r="N1148" s="74"/>
      <c r="O1148" s="74"/>
      <c r="P1148" s="74"/>
      <c r="Q1148" s="74"/>
      <c r="R1148" s="74"/>
      <c r="S1148" s="74"/>
      <c r="T1148" s="74"/>
      <c r="U1148" s="74"/>
      <c r="V1148" s="74"/>
      <c r="W1148" s="74"/>
      <c r="X1148" s="74"/>
      <c r="Y1148" s="74"/>
      <c r="Z1148" s="74"/>
      <c r="AA1148" s="74"/>
      <c r="AB1148" s="74"/>
    </row>
    <row r="1149" spans="1:28" ht="12" customHeight="1">
      <c r="A1149" s="330"/>
      <c r="B1149" s="314"/>
      <c r="C1149" s="285"/>
      <c r="D1149" s="108"/>
      <c r="E1149" s="285"/>
      <c r="F1149" s="285"/>
      <c r="G1149" s="35"/>
      <c r="H1149" s="104"/>
      <c r="I1149" s="35"/>
      <c r="J1149" s="74"/>
      <c r="K1149" s="74"/>
      <c r="L1149" s="74"/>
      <c r="M1149" s="74"/>
      <c r="N1149" s="74"/>
      <c r="O1149" s="74"/>
      <c r="P1149" s="74"/>
      <c r="Q1149" s="74"/>
      <c r="R1149" s="74"/>
      <c r="S1149" s="74"/>
      <c r="T1149" s="74"/>
      <c r="U1149" s="74"/>
      <c r="V1149" s="74"/>
      <c r="W1149" s="74"/>
      <c r="X1149" s="74"/>
      <c r="Y1149" s="74"/>
      <c r="Z1149" s="74"/>
      <c r="AA1149" s="74"/>
      <c r="AB1149" s="74"/>
    </row>
    <row r="1150" spans="1:28" ht="12" customHeight="1">
      <c r="A1150" s="330"/>
      <c r="B1150" s="314"/>
      <c r="C1150" s="285"/>
      <c r="D1150" s="108"/>
      <c r="E1150" s="285"/>
      <c r="F1150" s="285"/>
      <c r="G1150" s="35"/>
      <c r="H1150" s="104"/>
      <c r="I1150" s="35"/>
      <c r="J1150" s="74"/>
      <c r="K1150" s="74"/>
      <c r="L1150" s="74"/>
      <c r="M1150" s="74"/>
      <c r="N1150" s="74"/>
      <c r="O1150" s="74"/>
      <c r="P1150" s="74"/>
      <c r="Q1150" s="74"/>
      <c r="R1150" s="74"/>
      <c r="S1150" s="74"/>
      <c r="T1150" s="74"/>
      <c r="U1150" s="74"/>
      <c r="V1150" s="74"/>
      <c r="W1150" s="74"/>
      <c r="X1150" s="74"/>
      <c r="Y1150" s="74"/>
      <c r="Z1150" s="74"/>
      <c r="AA1150" s="74"/>
      <c r="AB1150" s="74"/>
    </row>
    <row r="1151" spans="1:28" ht="12" customHeight="1">
      <c r="A1151" s="330"/>
      <c r="B1151" s="314"/>
      <c r="C1151" s="285"/>
      <c r="D1151" s="108"/>
      <c r="E1151" s="285"/>
      <c r="F1151" s="285"/>
      <c r="G1151" s="35"/>
      <c r="H1151" s="104"/>
      <c r="I1151" s="35"/>
      <c r="J1151" s="74"/>
      <c r="K1151" s="74"/>
      <c r="L1151" s="74"/>
      <c r="M1151" s="74"/>
      <c r="N1151" s="74"/>
      <c r="O1151" s="74"/>
      <c r="P1151" s="74"/>
      <c r="Q1151" s="74"/>
      <c r="R1151" s="74"/>
      <c r="S1151" s="74"/>
      <c r="T1151" s="74"/>
      <c r="U1151" s="74"/>
      <c r="V1151" s="74"/>
      <c r="W1151" s="74"/>
      <c r="X1151" s="74"/>
      <c r="Y1151" s="74"/>
      <c r="Z1151" s="74"/>
      <c r="AA1151" s="74"/>
      <c r="AB1151" s="74"/>
    </row>
    <row r="1152" spans="1:28" ht="12" customHeight="1">
      <c r="A1152" s="330"/>
      <c r="B1152" s="314"/>
      <c r="C1152" s="285"/>
      <c r="D1152" s="108"/>
      <c r="E1152" s="285"/>
      <c r="F1152" s="285"/>
      <c r="G1152" s="35"/>
      <c r="H1152" s="104"/>
      <c r="I1152" s="35"/>
      <c r="J1152" s="74"/>
      <c r="K1152" s="74"/>
      <c r="L1152" s="74"/>
      <c r="M1152" s="74"/>
      <c r="N1152" s="74"/>
      <c r="O1152" s="74"/>
      <c r="P1152" s="74"/>
      <c r="Q1152" s="74"/>
      <c r="R1152" s="74"/>
      <c r="S1152" s="74"/>
      <c r="T1152" s="74"/>
      <c r="U1152" s="74"/>
      <c r="V1152" s="74"/>
      <c r="W1152" s="74"/>
      <c r="X1152" s="74"/>
      <c r="Y1152" s="74"/>
      <c r="Z1152" s="74"/>
      <c r="AA1152" s="74"/>
      <c r="AB1152" s="74"/>
    </row>
    <row r="1153" spans="1:28" ht="12" customHeight="1">
      <c r="A1153" s="330"/>
      <c r="B1153" s="314"/>
      <c r="C1153" s="285"/>
      <c r="D1153" s="108"/>
      <c r="E1153" s="285"/>
      <c r="F1153" s="285"/>
      <c r="G1153" s="35"/>
      <c r="H1153" s="104"/>
      <c r="I1153" s="35"/>
      <c r="J1153" s="74"/>
      <c r="K1153" s="74"/>
      <c r="L1153" s="74"/>
      <c r="M1153" s="74"/>
      <c r="N1153" s="74"/>
      <c r="O1153" s="74"/>
      <c r="P1153" s="74"/>
      <c r="Q1153" s="74"/>
      <c r="R1153" s="74"/>
      <c r="S1153" s="74"/>
      <c r="T1153" s="74"/>
      <c r="U1153" s="74"/>
      <c r="V1153" s="74"/>
      <c r="W1153" s="74"/>
      <c r="X1153" s="74"/>
      <c r="Y1153" s="74"/>
      <c r="Z1153" s="74"/>
      <c r="AA1153" s="74"/>
      <c r="AB1153" s="74"/>
    </row>
    <row r="1154" spans="1:28" ht="12" customHeight="1">
      <c r="A1154" s="330"/>
      <c r="B1154" s="314"/>
      <c r="C1154" s="285"/>
      <c r="D1154" s="108"/>
      <c r="E1154" s="285"/>
      <c r="F1154" s="285"/>
      <c r="G1154" s="35"/>
      <c r="H1154" s="104"/>
      <c r="I1154" s="35"/>
      <c r="J1154" s="74"/>
      <c r="K1154" s="74"/>
      <c r="L1154" s="74"/>
      <c r="M1154" s="74"/>
      <c r="N1154" s="74"/>
      <c r="O1154" s="74"/>
      <c r="P1154" s="74"/>
      <c r="Q1154" s="74"/>
      <c r="R1154" s="74"/>
      <c r="S1154" s="74"/>
      <c r="T1154" s="74"/>
      <c r="U1154" s="74"/>
      <c r="V1154" s="74"/>
      <c r="W1154" s="74"/>
      <c r="X1154" s="74"/>
      <c r="Y1154" s="74"/>
      <c r="Z1154" s="74"/>
      <c r="AA1154" s="74"/>
      <c r="AB1154" s="74"/>
    </row>
    <row r="1155" spans="1:28" ht="12" customHeight="1">
      <c r="A1155" s="330"/>
      <c r="B1155" s="314"/>
      <c r="C1155" s="285"/>
      <c r="D1155" s="108"/>
      <c r="E1155" s="285"/>
      <c r="F1155" s="285"/>
      <c r="G1155" s="35"/>
      <c r="H1155" s="104"/>
      <c r="I1155" s="35"/>
      <c r="J1155" s="74"/>
      <c r="K1155" s="74"/>
      <c r="L1155" s="74"/>
      <c r="M1155" s="74"/>
      <c r="N1155" s="74"/>
      <c r="O1155" s="74"/>
      <c r="P1155" s="74"/>
      <c r="Q1155" s="74"/>
      <c r="R1155" s="74"/>
      <c r="S1155" s="74"/>
      <c r="T1155" s="74"/>
      <c r="U1155" s="74"/>
      <c r="V1155" s="74"/>
      <c r="W1155" s="74"/>
      <c r="X1155" s="74"/>
      <c r="Y1155" s="74"/>
      <c r="Z1155" s="74"/>
      <c r="AA1155" s="74"/>
      <c r="AB1155" s="74"/>
    </row>
    <row r="1156" spans="1:28" ht="12" customHeight="1">
      <c r="A1156" s="330"/>
      <c r="B1156" s="314"/>
      <c r="C1156" s="285"/>
      <c r="D1156" s="108"/>
      <c r="E1156" s="285"/>
      <c r="F1156" s="285"/>
      <c r="G1156" s="35"/>
      <c r="H1156" s="104"/>
      <c r="I1156" s="35"/>
      <c r="J1156" s="74"/>
      <c r="K1156" s="74"/>
      <c r="L1156" s="74"/>
      <c r="M1156" s="74"/>
      <c r="N1156" s="74"/>
      <c r="O1156" s="74"/>
      <c r="P1156" s="74"/>
      <c r="Q1156" s="74"/>
      <c r="R1156" s="74"/>
      <c r="S1156" s="74"/>
      <c r="T1156" s="74"/>
      <c r="U1156" s="74"/>
      <c r="V1156" s="74"/>
      <c r="W1156" s="74"/>
      <c r="X1156" s="74"/>
      <c r="Y1156" s="74"/>
      <c r="Z1156" s="74"/>
      <c r="AA1156" s="74"/>
      <c r="AB1156" s="74"/>
    </row>
    <row r="1157" spans="1:28" ht="12" customHeight="1">
      <c r="A1157" s="330"/>
      <c r="B1157" s="314"/>
      <c r="C1157" s="285"/>
      <c r="D1157" s="108"/>
      <c r="E1157" s="285"/>
      <c r="F1157" s="285"/>
      <c r="G1157" s="35"/>
      <c r="H1157" s="104"/>
      <c r="I1157" s="35"/>
      <c r="J1157" s="74"/>
      <c r="K1157" s="74"/>
      <c r="L1157" s="74"/>
      <c r="M1157" s="74"/>
      <c r="N1157" s="74"/>
      <c r="O1157" s="74"/>
      <c r="P1157" s="74"/>
      <c r="Q1157" s="74"/>
      <c r="R1157" s="74"/>
      <c r="S1157" s="74"/>
      <c r="T1157" s="74"/>
      <c r="U1157" s="74"/>
      <c r="V1157" s="74"/>
      <c r="W1157" s="74"/>
      <c r="X1157" s="74"/>
      <c r="Y1157" s="74"/>
      <c r="Z1157" s="74"/>
      <c r="AA1157" s="74"/>
      <c r="AB1157" s="74"/>
    </row>
    <row r="1158" spans="1:28" ht="12" customHeight="1">
      <c r="A1158" s="330"/>
      <c r="B1158" s="314"/>
      <c r="C1158" s="285"/>
      <c r="D1158" s="108"/>
      <c r="E1158" s="285"/>
      <c r="F1158" s="285"/>
      <c r="G1158" s="35"/>
      <c r="H1158" s="104"/>
      <c r="I1158" s="35"/>
      <c r="J1158" s="74"/>
      <c r="K1158" s="74"/>
      <c r="L1158" s="74"/>
      <c r="M1158" s="74"/>
      <c r="N1158" s="74"/>
      <c r="O1158" s="74"/>
      <c r="P1158" s="74"/>
      <c r="Q1158" s="74"/>
      <c r="R1158" s="74"/>
      <c r="S1158" s="74"/>
      <c r="T1158" s="74"/>
      <c r="U1158" s="74"/>
      <c r="V1158" s="74"/>
      <c r="W1158" s="74"/>
      <c r="X1158" s="74"/>
      <c r="Y1158" s="74"/>
      <c r="Z1158" s="74"/>
      <c r="AA1158" s="74"/>
      <c r="AB1158" s="74"/>
    </row>
    <row r="1159" spans="1:28" ht="12" customHeight="1">
      <c r="A1159" s="330"/>
      <c r="B1159" s="314"/>
      <c r="C1159" s="285"/>
      <c r="D1159" s="108"/>
      <c r="E1159" s="285"/>
      <c r="F1159" s="285"/>
      <c r="G1159" s="35"/>
      <c r="H1159" s="104"/>
      <c r="I1159" s="35"/>
      <c r="J1159" s="74"/>
      <c r="K1159" s="74"/>
      <c r="L1159" s="74"/>
      <c r="M1159" s="74"/>
      <c r="N1159" s="74"/>
      <c r="O1159" s="74"/>
      <c r="P1159" s="74"/>
      <c r="Q1159" s="74"/>
      <c r="R1159" s="74"/>
      <c r="S1159" s="74"/>
      <c r="T1159" s="74"/>
      <c r="U1159" s="74"/>
      <c r="V1159" s="74"/>
      <c r="W1159" s="74"/>
      <c r="X1159" s="74"/>
      <c r="Y1159" s="74"/>
      <c r="Z1159" s="74"/>
      <c r="AA1159" s="74"/>
      <c r="AB1159" s="74"/>
    </row>
    <row r="1160" spans="1:28" ht="12" customHeight="1">
      <c r="A1160" s="330"/>
      <c r="B1160" s="314"/>
      <c r="C1160" s="285"/>
      <c r="D1160" s="108"/>
      <c r="E1160" s="285"/>
      <c r="F1160" s="285"/>
      <c r="G1160" s="35"/>
      <c r="H1160" s="104"/>
      <c r="I1160" s="35"/>
      <c r="J1160" s="74"/>
      <c r="K1160" s="74"/>
      <c r="L1160" s="74"/>
      <c r="M1160" s="74"/>
      <c r="N1160" s="74"/>
      <c r="O1160" s="74"/>
      <c r="P1160" s="74"/>
      <c r="Q1160" s="74"/>
      <c r="R1160" s="74"/>
      <c r="S1160" s="74"/>
      <c r="T1160" s="74"/>
      <c r="U1160" s="74"/>
      <c r="V1160" s="74"/>
      <c r="W1160" s="74"/>
      <c r="X1160" s="74"/>
      <c r="Y1160" s="74"/>
      <c r="Z1160" s="74"/>
      <c r="AA1160" s="74"/>
      <c r="AB1160" s="74"/>
    </row>
    <row r="1161" spans="1:28" ht="12" customHeight="1">
      <c r="A1161" s="330"/>
      <c r="B1161" s="314"/>
      <c r="C1161" s="285"/>
      <c r="D1161" s="108"/>
      <c r="E1161" s="285"/>
      <c r="F1161" s="285"/>
      <c r="G1161" s="35"/>
      <c r="H1161" s="104"/>
      <c r="I1161" s="35"/>
      <c r="J1161" s="74"/>
      <c r="K1161" s="74"/>
      <c r="L1161" s="74"/>
      <c r="M1161" s="74"/>
      <c r="N1161" s="74"/>
      <c r="O1161" s="74"/>
      <c r="P1161" s="74"/>
      <c r="Q1161" s="74"/>
      <c r="R1161" s="74"/>
      <c r="S1161" s="74"/>
      <c r="T1161" s="74"/>
      <c r="U1161" s="74"/>
      <c r="V1161" s="74"/>
      <c r="W1161" s="74"/>
      <c r="X1161" s="74"/>
      <c r="Y1161" s="74"/>
      <c r="Z1161" s="74"/>
      <c r="AA1161" s="74"/>
      <c r="AB1161" s="74"/>
    </row>
    <row r="1162" spans="1:28" ht="12" customHeight="1">
      <c r="A1162" s="330"/>
      <c r="B1162" s="314"/>
      <c r="C1162" s="285"/>
      <c r="D1162" s="108"/>
      <c r="E1162" s="285"/>
      <c r="F1162" s="285"/>
      <c r="G1162" s="35"/>
      <c r="H1162" s="104"/>
      <c r="I1162" s="35"/>
      <c r="J1162" s="74"/>
      <c r="K1162" s="74"/>
      <c r="L1162" s="74"/>
      <c r="M1162" s="74"/>
      <c r="N1162" s="74"/>
      <c r="O1162" s="74"/>
      <c r="P1162" s="74"/>
      <c r="Q1162" s="74"/>
      <c r="R1162" s="74"/>
      <c r="S1162" s="74"/>
      <c r="T1162" s="74"/>
      <c r="U1162" s="74"/>
      <c r="V1162" s="74"/>
      <c r="W1162" s="74"/>
      <c r="X1162" s="74"/>
      <c r="Y1162" s="74"/>
      <c r="Z1162" s="74"/>
      <c r="AA1162" s="74"/>
      <c r="AB1162" s="74"/>
    </row>
    <row r="1163" spans="1:28" ht="12" customHeight="1">
      <c r="A1163" s="330"/>
      <c r="B1163" s="314"/>
      <c r="C1163" s="285"/>
      <c r="D1163" s="108"/>
      <c r="E1163" s="285"/>
      <c r="F1163" s="285"/>
      <c r="G1163" s="35"/>
      <c r="H1163" s="104"/>
      <c r="I1163" s="35"/>
      <c r="J1163" s="74"/>
      <c r="K1163" s="74"/>
      <c r="L1163" s="74"/>
      <c r="M1163" s="74"/>
      <c r="N1163" s="74"/>
      <c r="O1163" s="74"/>
      <c r="P1163" s="74"/>
      <c r="Q1163" s="74"/>
      <c r="R1163" s="74"/>
      <c r="S1163" s="74"/>
      <c r="T1163" s="74"/>
      <c r="U1163" s="74"/>
      <c r="V1163" s="74"/>
      <c r="W1163" s="74"/>
      <c r="X1163" s="74"/>
      <c r="Y1163" s="74"/>
      <c r="Z1163" s="74"/>
      <c r="AA1163" s="74"/>
      <c r="AB1163" s="74"/>
    </row>
    <row r="1164" spans="1:28" ht="12" customHeight="1">
      <c r="A1164" s="330"/>
      <c r="B1164" s="314"/>
      <c r="C1164" s="285"/>
      <c r="D1164" s="108"/>
      <c r="E1164" s="285"/>
      <c r="F1164" s="285"/>
      <c r="G1164" s="35"/>
      <c r="H1164" s="104"/>
      <c r="I1164" s="35"/>
      <c r="J1164" s="74"/>
      <c r="K1164" s="74"/>
      <c r="L1164" s="74"/>
      <c r="M1164" s="74"/>
      <c r="N1164" s="74"/>
      <c r="O1164" s="74"/>
      <c r="P1164" s="74"/>
      <c r="Q1164" s="74"/>
      <c r="R1164" s="74"/>
      <c r="S1164" s="74"/>
      <c r="T1164" s="74"/>
      <c r="U1164" s="74"/>
      <c r="V1164" s="74"/>
      <c r="W1164" s="74"/>
      <c r="X1164" s="74"/>
      <c r="Y1164" s="74"/>
      <c r="Z1164" s="74"/>
      <c r="AA1164" s="74"/>
      <c r="AB1164" s="74"/>
    </row>
    <row r="1165" spans="1:28" ht="12" customHeight="1">
      <c r="A1165" s="330"/>
      <c r="B1165" s="314"/>
      <c r="C1165" s="285"/>
      <c r="D1165" s="108"/>
      <c r="E1165" s="285"/>
      <c r="F1165" s="285"/>
      <c r="G1165" s="35"/>
      <c r="H1165" s="104"/>
      <c r="I1165" s="35"/>
      <c r="J1165" s="74"/>
      <c r="K1165" s="74"/>
      <c r="L1165" s="74"/>
      <c r="M1165" s="74"/>
      <c r="N1165" s="74"/>
      <c r="O1165" s="74"/>
      <c r="P1165" s="74"/>
      <c r="Q1165" s="74"/>
      <c r="R1165" s="74"/>
      <c r="S1165" s="74"/>
      <c r="T1165" s="74"/>
      <c r="U1165" s="74"/>
      <c r="V1165" s="74"/>
      <c r="W1165" s="74"/>
      <c r="X1165" s="74"/>
      <c r="Y1165" s="74"/>
      <c r="Z1165" s="74"/>
      <c r="AA1165" s="74"/>
      <c r="AB1165" s="74"/>
    </row>
    <row r="1166" spans="1:28" ht="12" customHeight="1">
      <c r="A1166" s="330"/>
      <c r="B1166" s="314"/>
      <c r="C1166" s="285"/>
      <c r="D1166" s="108"/>
      <c r="E1166" s="285"/>
      <c r="F1166" s="285"/>
      <c r="G1166" s="35"/>
      <c r="H1166" s="104"/>
      <c r="I1166" s="35"/>
      <c r="J1166" s="74"/>
      <c r="K1166" s="74"/>
      <c r="L1166" s="74"/>
      <c r="M1166" s="74"/>
      <c r="N1166" s="74"/>
      <c r="O1166" s="74"/>
      <c r="P1166" s="74"/>
      <c r="Q1166" s="74"/>
      <c r="R1166" s="74"/>
      <c r="S1166" s="74"/>
      <c r="T1166" s="74"/>
      <c r="U1166" s="74"/>
      <c r="V1166" s="74"/>
      <c r="W1166" s="74"/>
      <c r="X1166" s="74"/>
      <c r="Y1166" s="74"/>
      <c r="Z1166" s="74"/>
      <c r="AA1166" s="74"/>
      <c r="AB1166" s="74"/>
    </row>
    <row r="1167" spans="1:28" ht="12" customHeight="1">
      <c r="A1167" s="330"/>
      <c r="B1167" s="314"/>
      <c r="C1167" s="285"/>
      <c r="D1167" s="108"/>
      <c r="E1167" s="285"/>
      <c r="F1167" s="285"/>
      <c r="G1167" s="35"/>
      <c r="H1167" s="104"/>
      <c r="I1167" s="35"/>
      <c r="J1167" s="74"/>
      <c r="K1167" s="74"/>
      <c r="L1167" s="74"/>
      <c r="M1167" s="74"/>
      <c r="N1167" s="74"/>
      <c r="O1167" s="74"/>
      <c r="P1167" s="74"/>
      <c r="Q1167" s="74"/>
      <c r="R1167" s="74"/>
      <c r="S1167" s="74"/>
      <c r="T1167" s="74"/>
      <c r="U1167" s="74"/>
      <c r="V1167" s="74"/>
      <c r="W1167" s="74"/>
      <c r="X1167" s="74"/>
      <c r="Y1167" s="74"/>
      <c r="Z1167" s="74"/>
      <c r="AA1167" s="74"/>
      <c r="AB1167" s="74"/>
    </row>
    <row r="1168" spans="1:28" ht="12" customHeight="1">
      <c r="A1168" s="330"/>
      <c r="B1168" s="314"/>
      <c r="C1168" s="285"/>
      <c r="D1168" s="108"/>
      <c r="E1168" s="285"/>
      <c r="F1168" s="285"/>
      <c r="G1168" s="35"/>
      <c r="H1168" s="104"/>
      <c r="I1168" s="35"/>
      <c r="J1168" s="74"/>
      <c r="K1168" s="74"/>
      <c r="L1168" s="74"/>
      <c r="M1168" s="74"/>
      <c r="N1168" s="74"/>
      <c r="O1168" s="74"/>
      <c r="P1168" s="74"/>
      <c r="Q1168" s="74"/>
      <c r="R1168" s="74"/>
      <c r="S1168" s="74"/>
      <c r="T1168" s="74"/>
      <c r="U1168" s="74"/>
      <c r="V1168" s="74"/>
      <c r="W1168" s="74"/>
      <c r="X1168" s="74"/>
      <c r="Y1168" s="74"/>
      <c r="Z1168" s="74"/>
      <c r="AA1168" s="74"/>
      <c r="AB1168" s="74"/>
    </row>
    <row r="1169" spans="1:28" ht="12" customHeight="1">
      <c r="A1169" s="330"/>
      <c r="B1169" s="314"/>
      <c r="C1169" s="285"/>
      <c r="D1169" s="108"/>
      <c r="E1169" s="285"/>
      <c r="F1169" s="285"/>
      <c r="G1169" s="35"/>
      <c r="H1169" s="104"/>
      <c r="I1169" s="35"/>
      <c r="J1169" s="74"/>
      <c r="K1169" s="74"/>
      <c r="L1169" s="74"/>
      <c r="M1169" s="74"/>
      <c r="N1169" s="74"/>
      <c r="O1169" s="74"/>
      <c r="P1169" s="74"/>
      <c r="Q1169" s="74"/>
      <c r="R1169" s="74"/>
      <c r="S1169" s="74"/>
      <c r="T1169" s="74"/>
      <c r="U1169" s="74"/>
      <c r="V1169" s="74"/>
      <c r="W1169" s="74"/>
      <c r="X1169" s="74"/>
      <c r="Y1169" s="74"/>
      <c r="Z1169" s="74"/>
      <c r="AA1169" s="74"/>
      <c r="AB1169" s="74"/>
    </row>
    <row r="1170" spans="1:28" ht="12" customHeight="1">
      <c r="A1170" s="330"/>
      <c r="B1170" s="314"/>
      <c r="C1170" s="285"/>
      <c r="D1170" s="108"/>
      <c r="E1170" s="285"/>
      <c r="F1170" s="285"/>
      <c r="G1170" s="35"/>
      <c r="H1170" s="104"/>
      <c r="I1170" s="35"/>
      <c r="J1170" s="74"/>
      <c r="K1170" s="74"/>
      <c r="L1170" s="74"/>
      <c r="M1170" s="74"/>
      <c r="N1170" s="74"/>
      <c r="O1170" s="74"/>
      <c r="P1170" s="74"/>
      <c r="Q1170" s="74"/>
      <c r="R1170" s="74"/>
      <c r="S1170" s="74"/>
      <c r="T1170" s="74"/>
      <c r="U1170" s="74"/>
      <c r="V1170" s="74"/>
      <c r="W1170" s="74"/>
      <c r="X1170" s="74"/>
      <c r="Y1170" s="74"/>
      <c r="Z1170" s="74"/>
      <c r="AA1170" s="74"/>
      <c r="AB1170" s="74"/>
    </row>
    <row r="1171" spans="1:28" ht="12" customHeight="1">
      <c r="A1171" s="330"/>
      <c r="B1171" s="314"/>
      <c r="C1171" s="285"/>
      <c r="D1171" s="108"/>
      <c r="E1171" s="285"/>
      <c r="F1171" s="285"/>
      <c r="G1171" s="35"/>
      <c r="H1171" s="104"/>
      <c r="I1171" s="35"/>
      <c r="J1171" s="74"/>
      <c r="K1171" s="74"/>
      <c r="L1171" s="74"/>
      <c r="M1171" s="74"/>
      <c r="N1171" s="74"/>
      <c r="O1171" s="74"/>
      <c r="P1171" s="74"/>
      <c r="Q1171" s="74"/>
      <c r="R1171" s="74"/>
      <c r="S1171" s="74"/>
      <c r="T1171" s="74"/>
      <c r="U1171" s="74"/>
      <c r="V1171" s="74"/>
      <c r="W1171" s="74"/>
      <c r="X1171" s="74"/>
      <c r="Y1171" s="74"/>
      <c r="Z1171" s="74"/>
      <c r="AA1171" s="74"/>
      <c r="AB1171" s="74"/>
    </row>
    <row r="1172" spans="1:28" ht="12" customHeight="1">
      <c r="A1172" s="330"/>
      <c r="B1172" s="314"/>
      <c r="C1172" s="285"/>
      <c r="D1172" s="108"/>
      <c r="E1172" s="285"/>
      <c r="F1172" s="285"/>
      <c r="G1172" s="35"/>
      <c r="H1172" s="104"/>
      <c r="I1172" s="35"/>
      <c r="J1172" s="74"/>
      <c r="K1172" s="74"/>
      <c r="L1172" s="74"/>
      <c r="M1172" s="74"/>
      <c r="N1172" s="74"/>
      <c r="O1172" s="74"/>
      <c r="P1172" s="74"/>
      <c r="Q1172" s="74"/>
      <c r="R1172" s="74"/>
      <c r="S1172" s="74"/>
      <c r="T1172" s="74"/>
      <c r="U1172" s="74"/>
      <c r="V1172" s="74"/>
      <c r="W1172" s="74"/>
      <c r="X1172" s="74"/>
      <c r="Y1172" s="74"/>
      <c r="Z1172" s="74"/>
      <c r="AA1172" s="74"/>
      <c r="AB1172" s="74"/>
    </row>
    <row r="1173" spans="1:28" ht="12" customHeight="1">
      <c r="A1173" s="330"/>
      <c r="B1173" s="314"/>
      <c r="C1173" s="285"/>
      <c r="D1173" s="108"/>
      <c r="E1173" s="285"/>
      <c r="F1173" s="285"/>
      <c r="G1173" s="35"/>
      <c r="H1173" s="104"/>
      <c r="I1173" s="35"/>
      <c r="J1173" s="74"/>
      <c r="K1173" s="74"/>
      <c r="L1173" s="74"/>
      <c r="M1173" s="74"/>
      <c r="N1173" s="74"/>
      <c r="O1173" s="74"/>
      <c r="P1173" s="74"/>
      <c r="Q1173" s="74"/>
      <c r="R1173" s="74"/>
      <c r="S1173" s="74"/>
      <c r="T1173" s="74"/>
      <c r="U1173" s="74"/>
      <c r="V1173" s="74"/>
      <c r="W1173" s="74"/>
      <c r="X1173" s="74"/>
      <c r="Y1173" s="74"/>
      <c r="Z1173" s="74"/>
      <c r="AA1173" s="74"/>
      <c r="AB1173" s="74"/>
    </row>
    <row r="1174" spans="1:28" ht="12" customHeight="1">
      <c r="A1174" s="330"/>
      <c r="B1174" s="314"/>
      <c r="C1174" s="285"/>
      <c r="D1174" s="108"/>
      <c r="E1174" s="285"/>
      <c r="F1174" s="285"/>
      <c r="G1174" s="35"/>
      <c r="H1174" s="104"/>
      <c r="I1174" s="35"/>
      <c r="J1174" s="74"/>
      <c r="K1174" s="74"/>
      <c r="L1174" s="74"/>
      <c r="M1174" s="74"/>
      <c r="N1174" s="74"/>
      <c r="O1174" s="74"/>
      <c r="P1174" s="74"/>
      <c r="Q1174" s="74"/>
      <c r="R1174" s="74"/>
      <c r="S1174" s="74"/>
      <c r="T1174" s="74"/>
      <c r="U1174" s="74"/>
      <c r="V1174" s="74"/>
      <c r="W1174" s="74"/>
      <c r="X1174" s="74"/>
      <c r="Y1174" s="74"/>
      <c r="Z1174" s="74"/>
      <c r="AA1174" s="74"/>
      <c r="AB1174" s="74"/>
    </row>
    <row r="1175" spans="1:28" ht="12" customHeight="1">
      <c r="A1175" s="330"/>
      <c r="B1175" s="314"/>
      <c r="C1175" s="285"/>
      <c r="D1175" s="108"/>
      <c r="E1175" s="285"/>
      <c r="F1175" s="285"/>
      <c r="G1175" s="35"/>
      <c r="H1175" s="104"/>
      <c r="I1175" s="35"/>
      <c r="J1175" s="74"/>
      <c r="K1175" s="74"/>
      <c r="L1175" s="74"/>
      <c r="M1175" s="74"/>
      <c r="N1175" s="74"/>
      <c r="O1175" s="74"/>
      <c r="P1175" s="74"/>
      <c r="Q1175" s="74"/>
      <c r="R1175" s="74"/>
      <c r="S1175" s="74"/>
      <c r="T1175" s="74"/>
      <c r="U1175" s="74"/>
      <c r="V1175" s="74"/>
      <c r="W1175" s="74"/>
      <c r="X1175" s="74"/>
      <c r="Y1175" s="74"/>
      <c r="Z1175" s="74"/>
      <c r="AA1175" s="74"/>
      <c r="AB1175" s="74"/>
    </row>
    <row r="1176" spans="1:28" ht="12" customHeight="1">
      <c r="A1176" s="330"/>
      <c r="B1176" s="314"/>
      <c r="C1176" s="285"/>
      <c r="D1176" s="108"/>
      <c r="E1176" s="285"/>
      <c r="F1176" s="285"/>
      <c r="G1176" s="35"/>
      <c r="H1176" s="104"/>
      <c r="I1176" s="35"/>
      <c r="J1176" s="74"/>
      <c r="K1176" s="74"/>
      <c r="L1176" s="74"/>
      <c r="M1176" s="74"/>
      <c r="N1176" s="74"/>
      <c r="O1176" s="74"/>
      <c r="P1176" s="74"/>
      <c r="Q1176" s="74"/>
      <c r="R1176" s="74"/>
      <c r="S1176" s="74"/>
      <c r="T1176" s="74"/>
      <c r="U1176" s="74"/>
      <c r="V1176" s="74"/>
      <c r="W1176" s="74"/>
      <c r="X1176" s="74"/>
      <c r="Y1176" s="74"/>
      <c r="Z1176" s="74"/>
      <c r="AA1176" s="74"/>
      <c r="AB1176" s="74"/>
    </row>
    <row r="1177" spans="1:28" ht="12" customHeight="1">
      <c r="A1177" s="330"/>
      <c r="B1177" s="314"/>
      <c r="C1177" s="285"/>
      <c r="D1177" s="108"/>
      <c r="E1177" s="285"/>
      <c r="F1177" s="285"/>
      <c r="G1177" s="35"/>
      <c r="H1177" s="104"/>
      <c r="I1177" s="35"/>
      <c r="J1177" s="74"/>
      <c r="K1177" s="74"/>
      <c r="L1177" s="74"/>
      <c r="M1177" s="74"/>
      <c r="N1177" s="74"/>
      <c r="O1177" s="74"/>
      <c r="P1177" s="74"/>
      <c r="Q1177" s="74"/>
      <c r="R1177" s="74"/>
      <c r="S1177" s="74"/>
      <c r="T1177" s="74"/>
      <c r="U1177" s="74"/>
      <c r="V1177" s="74"/>
      <c r="W1177" s="74"/>
      <c r="X1177" s="74"/>
      <c r="Y1177" s="74"/>
      <c r="Z1177" s="74"/>
      <c r="AA1177" s="74"/>
      <c r="AB1177" s="74"/>
    </row>
    <row r="1178" spans="1:28" ht="12" customHeight="1">
      <c r="A1178" s="330"/>
      <c r="B1178" s="314"/>
      <c r="C1178" s="285"/>
      <c r="D1178" s="108"/>
      <c r="E1178" s="285"/>
      <c r="F1178" s="285"/>
      <c r="G1178" s="35"/>
      <c r="H1178" s="104"/>
      <c r="I1178" s="35"/>
      <c r="J1178" s="74"/>
      <c r="K1178" s="74"/>
      <c r="L1178" s="74"/>
      <c r="M1178" s="74"/>
      <c r="N1178" s="74"/>
      <c r="O1178" s="74"/>
      <c r="P1178" s="74"/>
      <c r="Q1178" s="74"/>
      <c r="R1178" s="74"/>
      <c r="S1178" s="74"/>
      <c r="T1178" s="74"/>
      <c r="U1178" s="74"/>
      <c r="V1178" s="74"/>
      <c r="W1178" s="74"/>
      <c r="X1178" s="74"/>
      <c r="Y1178" s="74"/>
      <c r="Z1178" s="74"/>
      <c r="AA1178" s="74"/>
      <c r="AB1178" s="74"/>
    </row>
    <row r="1179" spans="1:28" ht="12" customHeight="1">
      <c r="A1179" s="330"/>
      <c r="B1179" s="314"/>
      <c r="C1179" s="285"/>
      <c r="D1179" s="108"/>
      <c r="E1179" s="285"/>
      <c r="F1179" s="285"/>
      <c r="G1179" s="35"/>
      <c r="H1179" s="104"/>
      <c r="I1179" s="35"/>
      <c r="J1179" s="74"/>
      <c r="K1179" s="74"/>
      <c r="L1179" s="74"/>
      <c r="M1179" s="74"/>
      <c r="N1179" s="74"/>
      <c r="O1179" s="74"/>
      <c r="P1179" s="74"/>
      <c r="Q1179" s="74"/>
      <c r="R1179" s="74"/>
      <c r="S1179" s="74"/>
      <c r="T1179" s="74"/>
      <c r="U1179" s="74"/>
      <c r="V1179" s="74"/>
      <c r="W1179" s="74"/>
      <c r="X1179" s="74"/>
      <c r="Y1179" s="74"/>
      <c r="Z1179" s="74"/>
      <c r="AA1179" s="74"/>
      <c r="AB1179" s="74"/>
    </row>
    <row r="1180" spans="1:28" ht="12" customHeight="1">
      <c r="A1180" s="330"/>
      <c r="B1180" s="314"/>
      <c r="C1180" s="285"/>
      <c r="D1180" s="108"/>
      <c r="E1180" s="285"/>
      <c r="F1180" s="285"/>
      <c r="G1180" s="35"/>
      <c r="H1180" s="104"/>
      <c r="I1180" s="35"/>
      <c r="J1180" s="74"/>
      <c r="K1180" s="74"/>
      <c r="L1180" s="74"/>
      <c r="M1180" s="74"/>
      <c r="N1180" s="74"/>
      <c r="O1180" s="74"/>
      <c r="P1180" s="74"/>
      <c r="Q1180" s="74"/>
      <c r="R1180" s="74"/>
      <c r="S1180" s="74"/>
      <c r="T1180" s="74"/>
      <c r="U1180" s="74"/>
      <c r="V1180" s="74"/>
      <c r="W1180" s="74"/>
      <c r="X1180" s="74"/>
      <c r="Y1180" s="74"/>
      <c r="Z1180" s="74"/>
      <c r="AA1180" s="74"/>
      <c r="AB1180" s="74"/>
    </row>
    <row r="1181" spans="1:28" ht="12" customHeight="1">
      <c r="A1181" s="330"/>
      <c r="B1181" s="314"/>
      <c r="C1181" s="285"/>
      <c r="D1181" s="108"/>
      <c r="E1181" s="285"/>
      <c r="F1181" s="285"/>
      <c r="G1181" s="35"/>
      <c r="H1181" s="104"/>
      <c r="I1181" s="35"/>
      <c r="J1181" s="74"/>
      <c r="K1181" s="74"/>
      <c r="L1181" s="74"/>
      <c r="M1181" s="74"/>
      <c r="N1181" s="74"/>
      <c r="O1181" s="74"/>
      <c r="P1181" s="74"/>
      <c r="Q1181" s="74"/>
      <c r="R1181" s="74"/>
      <c r="S1181" s="74"/>
      <c r="T1181" s="74"/>
      <c r="U1181" s="74"/>
      <c r="V1181" s="74"/>
      <c r="W1181" s="74"/>
      <c r="X1181" s="74"/>
      <c r="Y1181" s="74"/>
      <c r="Z1181" s="74"/>
      <c r="AA1181" s="74"/>
      <c r="AB1181" s="74"/>
    </row>
    <row r="1182" spans="1:28" ht="12" customHeight="1">
      <c r="A1182" s="330"/>
      <c r="B1182" s="314"/>
      <c r="C1182" s="285"/>
      <c r="D1182" s="108"/>
      <c r="E1182" s="285"/>
      <c r="F1182" s="285"/>
      <c r="G1182" s="35"/>
      <c r="H1182" s="104"/>
      <c r="I1182" s="35"/>
      <c r="J1182" s="74"/>
      <c r="K1182" s="74"/>
      <c r="L1182" s="74"/>
      <c r="M1182" s="74"/>
      <c r="N1182" s="74"/>
      <c r="O1182" s="74"/>
      <c r="P1182" s="74"/>
      <c r="Q1182" s="74"/>
      <c r="R1182" s="74"/>
      <c r="S1182" s="74"/>
      <c r="T1182" s="74"/>
      <c r="U1182" s="74"/>
      <c r="V1182" s="74"/>
      <c r="W1182" s="74"/>
      <c r="X1182" s="74"/>
      <c r="Y1182" s="74"/>
      <c r="Z1182" s="74"/>
      <c r="AA1182" s="74"/>
      <c r="AB1182" s="74"/>
    </row>
    <row r="1183" spans="1:28" ht="12" customHeight="1">
      <c r="A1183" s="330"/>
      <c r="B1183" s="314"/>
      <c r="C1183" s="285"/>
      <c r="D1183" s="108"/>
      <c r="E1183" s="285"/>
      <c r="F1183" s="285"/>
      <c r="G1183" s="35"/>
      <c r="H1183" s="104"/>
      <c r="I1183" s="35"/>
      <c r="J1183" s="74"/>
      <c r="K1183" s="74"/>
      <c r="L1183" s="74"/>
      <c r="M1183" s="74"/>
      <c r="N1183" s="74"/>
      <c r="O1183" s="74"/>
      <c r="P1183" s="74"/>
      <c r="Q1183" s="74"/>
      <c r="R1183" s="74"/>
      <c r="S1183" s="74"/>
      <c r="T1183" s="74"/>
      <c r="U1183" s="74"/>
      <c r="V1183" s="74"/>
      <c r="W1183" s="74"/>
      <c r="X1183" s="74"/>
      <c r="Y1183" s="74"/>
      <c r="Z1183" s="74"/>
      <c r="AA1183" s="74"/>
      <c r="AB1183" s="74"/>
    </row>
    <row r="1184" spans="1:28" ht="12" customHeight="1">
      <c r="A1184" s="330"/>
      <c r="B1184" s="314"/>
      <c r="C1184" s="285"/>
      <c r="D1184" s="108"/>
      <c r="E1184" s="285"/>
      <c r="F1184" s="285"/>
      <c r="G1184" s="35"/>
      <c r="H1184" s="104"/>
      <c r="I1184" s="35"/>
      <c r="J1184" s="74"/>
      <c r="K1184" s="74"/>
      <c r="L1184" s="74"/>
      <c r="M1184" s="74"/>
      <c r="N1184" s="74"/>
      <c r="O1184" s="74"/>
      <c r="P1184" s="74"/>
      <c r="Q1184" s="74"/>
      <c r="R1184" s="74"/>
      <c r="S1184" s="74"/>
      <c r="T1184" s="74"/>
      <c r="U1184" s="74"/>
      <c r="V1184" s="74"/>
      <c r="W1184" s="74"/>
      <c r="X1184" s="74"/>
      <c r="Y1184" s="74"/>
      <c r="Z1184" s="74"/>
      <c r="AA1184" s="74"/>
      <c r="AB1184" s="74"/>
    </row>
    <row r="1185" spans="1:28" ht="12" customHeight="1">
      <c r="A1185" s="330"/>
      <c r="B1185" s="314"/>
      <c r="C1185" s="285"/>
      <c r="D1185" s="108"/>
      <c r="E1185" s="285"/>
      <c r="F1185" s="285"/>
      <c r="G1185" s="35"/>
      <c r="H1185" s="104"/>
      <c r="I1185" s="35"/>
      <c r="J1185" s="74"/>
      <c r="K1185" s="74"/>
      <c r="L1185" s="74"/>
      <c r="M1185" s="74"/>
      <c r="N1185" s="74"/>
      <c r="O1185" s="74"/>
      <c r="P1185" s="74"/>
      <c r="Q1185" s="74"/>
      <c r="R1185" s="74"/>
      <c r="S1185" s="74"/>
      <c r="T1185" s="74"/>
      <c r="U1185" s="74"/>
      <c r="V1185" s="74"/>
      <c r="W1185" s="74"/>
      <c r="X1185" s="74"/>
      <c r="Y1185" s="74"/>
      <c r="Z1185" s="74"/>
      <c r="AA1185" s="74"/>
      <c r="AB1185" s="74"/>
    </row>
    <row r="1186" spans="1:28" ht="12" customHeight="1">
      <c r="A1186" s="330"/>
      <c r="B1186" s="314"/>
      <c r="C1186" s="285"/>
      <c r="D1186" s="108"/>
      <c r="E1186" s="285"/>
      <c r="F1186" s="285"/>
      <c r="G1186" s="35"/>
      <c r="H1186" s="104"/>
      <c r="I1186" s="35"/>
      <c r="J1186" s="74"/>
      <c r="K1186" s="74"/>
      <c r="L1186" s="74"/>
      <c r="M1186" s="74"/>
      <c r="N1186" s="74"/>
      <c r="O1186" s="74"/>
      <c r="P1186" s="74"/>
      <c r="Q1186" s="74"/>
      <c r="R1186" s="74"/>
      <c r="S1186" s="74"/>
      <c r="T1186" s="74"/>
      <c r="U1186" s="74"/>
      <c r="V1186" s="74"/>
      <c r="W1186" s="74"/>
      <c r="X1186" s="74"/>
      <c r="Y1186" s="74"/>
      <c r="Z1186" s="74"/>
      <c r="AA1186" s="74"/>
      <c r="AB1186" s="74"/>
    </row>
    <row r="1187" spans="1:28" ht="12" customHeight="1">
      <c r="A1187" s="330"/>
      <c r="B1187" s="314"/>
      <c r="C1187" s="285"/>
      <c r="D1187" s="108"/>
      <c r="E1187" s="285"/>
      <c r="F1187" s="285"/>
      <c r="G1187" s="35"/>
      <c r="H1187" s="104"/>
      <c r="I1187" s="35"/>
      <c r="J1187" s="74"/>
      <c r="K1187" s="74"/>
      <c r="L1187" s="74"/>
      <c r="M1187" s="74"/>
      <c r="N1187" s="74"/>
      <c r="O1187" s="74"/>
      <c r="P1187" s="74"/>
      <c r="Q1187" s="74"/>
      <c r="R1187" s="74"/>
      <c r="S1187" s="74"/>
      <c r="T1187" s="74"/>
      <c r="U1187" s="74"/>
      <c r="V1187" s="74"/>
      <c r="W1187" s="74"/>
      <c r="X1187" s="74"/>
      <c r="Y1187" s="74"/>
      <c r="Z1187" s="74"/>
      <c r="AA1187" s="74"/>
      <c r="AB1187" s="74"/>
    </row>
    <row r="1188" spans="1:28" ht="12" customHeight="1">
      <c r="A1188" s="330"/>
      <c r="B1188" s="314"/>
      <c r="C1188" s="285"/>
      <c r="D1188" s="108"/>
      <c r="E1188" s="285"/>
      <c r="F1188" s="285"/>
      <c r="G1188" s="35"/>
      <c r="H1188" s="104"/>
      <c r="I1188" s="35"/>
      <c r="J1188" s="74"/>
      <c r="K1188" s="74"/>
      <c r="L1188" s="74"/>
      <c r="M1188" s="74"/>
      <c r="N1188" s="74"/>
      <c r="O1188" s="74"/>
      <c r="P1188" s="74"/>
      <c r="Q1188" s="74"/>
      <c r="R1188" s="74"/>
      <c r="S1188" s="74"/>
      <c r="T1188" s="74"/>
      <c r="U1188" s="74"/>
      <c r="V1188" s="74"/>
      <c r="W1188" s="74"/>
      <c r="X1188" s="74"/>
      <c r="Y1188" s="74"/>
      <c r="Z1188" s="74"/>
      <c r="AA1188" s="74"/>
      <c r="AB1188" s="74"/>
    </row>
    <row r="1189" spans="1:28" ht="12" customHeight="1">
      <c r="A1189" s="330"/>
      <c r="B1189" s="314"/>
      <c r="C1189" s="285"/>
      <c r="D1189" s="108"/>
      <c r="E1189" s="285"/>
      <c r="F1189" s="285"/>
      <c r="G1189" s="35"/>
      <c r="H1189" s="104"/>
      <c r="I1189" s="35"/>
      <c r="J1189" s="74"/>
      <c r="K1189" s="74"/>
      <c r="L1189" s="74"/>
      <c r="M1189" s="74"/>
      <c r="N1189" s="74"/>
      <c r="O1189" s="74"/>
      <c r="P1189" s="74"/>
      <c r="Q1189" s="74"/>
      <c r="R1189" s="74"/>
      <c r="S1189" s="74"/>
      <c r="T1189" s="74"/>
      <c r="U1189" s="74"/>
      <c r="V1189" s="74"/>
      <c r="W1189" s="74"/>
      <c r="X1189" s="74"/>
      <c r="Y1189" s="74"/>
      <c r="Z1189" s="74"/>
      <c r="AA1189" s="74"/>
      <c r="AB1189" s="74"/>
    </row>
    <row r="1190" spans="1:28" ht="12" customHeight="1">
      <c r="A1190" s="330"/>
      <c r="B1190" s="314"/>
      <c r="C1190" s="285"/>
      <c r="D1190" s="108"/>
      <c r="E1190" s="285"/>
      <c r="F1190" s="285"/>
      <c r="G1190" s="35"/>
      <c r="H1190" s="104"/>
      <c r="I1190" s="35"/>
      <c r="J1190" s="74"/>
      <c r="K1190" s="74"/>
      <c r="L1190" s="74"/>
      <c r="M1190" s="74"/>
      <c r="N1190" s="74"/>
      <c r="O1190" s="74"/>
      <c r="P1190" s="74"/>
      <c r="Q1190" s="74"/>
      <c r="R1190" s="74"/>
      <c r="S1190" s="74"/>
      <c r="T1190" s="74"/>
      <c r="U1190" s="74"/>
      <c r="V1190" s="74"/>
      <c r="W1190" s="74"/>
      <c r="X1190" s="74"/>
      <c r="Y1190" s="74"/>
      <c r="Z1190" s="74"/>
      <c r="AA1190" s="74"/>
      <c r="AB1190" s="74"/>
    </row>
    <row r="1191" spans="1:28" ht="12" customHeight="1">
      <c r="A1191" s="330"/>
      <c r="B1191" s="314"/>
      <c r="C1191" s="285"/>
      <c r="D1191" s="108"/>
      <c r="E1191" s="285"/>
      <c r="F1191" s="285"/>
      <c r="G1191" s="35"/>
      <c r="H1191" s="104"/>
      <c r="I1191" s="35"/>
      <c r="J1191" s="74"/>
      <c r="K1191" s="74"/>
      <c r="L1191" s="74"/>
      <c r="M1191" s="74"/>
      <c r="N1191" s="74"/>
      <c r="O1191" s="74"/>
      <c r="P1191" s="74"/>
      <c r="Q1191" s="74"/>
      <c r="R1191" s="74"/>
      <c r="S1191" s="74"/>
      <c r="T1191" s="74"/>
      <c r="U1191" s="74"/>
      <c r="V1191" s="74"/>
      <c r="W1191" s="74"/>
      <c r="X1191" s="74"/>
      <c r="Y1191" s="74"/>
      <c r="Z1191" s="74"/>
      <c r="AA1191" s="74"/>
      <c r="AB1191" s="74"/>
    </row>
    <row r="1192" spans="1:28" ht="12" customHeight="1">
      <c r="A1192" s="330"/>
      <c r="B1192" s="314"/>
      <c r="C1192" s="285"/>
      <c r="D1192" s="108"/>
      <c r="E1192" s="285"/>
      <c r="F1192" s="285"/>
      <c r="G1192" s="35"/>
      <c r="H1192" s="104"/>
      <c r="I1192" s="35"/>
      <c r="J1192" s="74"/>
      <c r="K1192" s="74"/>
      <c r="L1192" s="74"/>
      <c r="M1192" s="74"/>
      <c r="N1192" s="74"/>
      <c r="O1192" s="74"/>
      <c r="P1192" s="74"/>
      <c r="Q1192" s="74"/>
      <c r="R1192" s="74"/>
      <c r="S1192" s="74"/>
      <c r="T1192" s="74"/>
      <c r="U1192" s="74"/>
      <c r="V1192" s="74"/>
      <c r="W1192" s="74"/>
      <c r="X1192" s="74"/>
      <c r="Y1192" s="74"/>
      <c r="Z1192" s="74"/>
      <c r="AA1192" s="74"/>
      <c r="AB1192" s="74"/>
    </row>
    <row r="1193" spans="1:28" ht="12" customHeight="1">
      <c r="A1193" s="330"/>
      <c r="B1193" s="314"/>
      <c r="C1193" s="285"/>
      <c r="D1193" s="108"/>
      <c r="E1193" s="285"/>
      <c r="F1193" s="285"/>
      <c r="G1193" s="35"/>
      <c r="H1193" s="104"/>
      <c r="I1193" s="35"/>
      <c r="J1193" s="74"/>
      <c r="K1193" s="74"/>
      <c r="L1193" s="74"/>
      <c r="M1193" s="74"/>
      <c r="N1193" s="74"/>
      <c r="O1193" s="74"/>
      <c r="P1193" s="74"/>
      <c r="Q1193" s="74"/>
      <c r="R1193" s="74"/>
      <c r="S1193" s="74"/>
      <c r="T1193" s="74"/>
      <c r="U1193" s="74"/>
      <c r="V1193" s="74"/>
      <c r="W1193" s="74"/>
      <c r="X1193" s="74"/>
      <c r="Y1193" s="74"/>
      <c r="Z1193" s="74"/>
      <c r="AA1193" s="74"/>
      <c r="AB1193" s="74"/>
    </row>
    <row r="1194" spans="1:28" ht="12" customHeight="1">
      <c r="A1194" s="330"/>
      <c r="B1194" s="314"/>
      <c r="C1194" s="285"/>
      <c r="D1194" s="108"/>
      <c r="E1194" s="285"/>
      <c r="F1194" s="285"/>
      <c r="G1194" s="35"/>
      <c r="H1194" s="104"/>
      <c r="I1194" s="35"/>
      <c r="J1194" s="74"/>
      <c r="K1194" s="74"/>
      <c r="L1194" s="74"/>
      <c r="M1194" s="74"/>
      <c r="N1194" s="74"/>
      <c r="O1194" s="74"/>
      <c r="P1194" s="74"/>
      <c r="Q1194" s="74"/>
      <c r="R1194" s="74"/>
      <c r="S1194" s="74"/>
      <c r="T1194" s="74"/>
      <c r="U1194" s="74"/>
      <c r="V1194" s="74"/>
      <c r="W1194" s="74"/>
      <c r="X1194" s="74"/>
      <c r="Y1194" s="74"/>
      <c r="Z1194" s="74"/>
      <c r="AA1194" s="74"/>
      <c r="AB1194" s="74"/>
    </row>
    <row r="1195" spans="1:28" ht="12" customHeight="1">
      <c r="A1195" s="330"/>
      <c r="B1195" s="314"/>
      <c r="C1195" s="285"/>
      <c r="D1195" s="108"/>
      <c r="E1195" s="285"/>
      <c r="F1195" s="285"/>
      <c r="G1195" s="35"/>
      <c r="H1195" s="104"/>
      <c r="I1195" s="35"/>
      <c r="J1195" s="74"/>
      <c r="K1195" s="74"/>
      <c r="L1195" s="74"/>
      <c r="M1195" s="74"/>
      <c r="N1195" s="74"/>
      <c r="O1195" s="74"/>
      <c r="P1195" s="74"/>
      <c r="Q1195" s="74"/>
      <c r="R1195" s="74"/>
      <c r="S1195" s="74"/>
      <c r="T1195" s="74"/>
      <c r="U1195" s="74"/>
      <c r="V1195" s="74"/>
      <c r="W1195" s="74"/>
      <c r="X1195" s="74"/>
      <c r="Y1195" s="74"/>
      <c r="Z1195" s="74"/>
      <c r="AA1195" s="74"/>
      <c r="AB1195" s="74"/>
    </row>
    <row r="1196" spans="1:28" ht="12" customHeight="1">
      <c r="A1196" s="330"/>
      <c r="B1196" s="314"/>
      <c r="C1196" s="285"/>
      <c r="D1196" s="108"/>
      <c r="E1196" s="285"/>
      <c r="F1196" s="285"/>
      <c r="G1196" s="35"/>
      <c r="H1196" s="104"/>
      <c r="I1196" s="35"/>
      <c r="J1196" s="74"/>
      <c r="K1196" s="74"/>
      <c r="L1196" s="74"/>
      <c r="M1196" s="74"/>
      <c r="N1196" s="74"/>
      <c r="O1196" s="74"/>
      <c r="P1196" s="74"/>
      <c r="Q1196" s="74"/>
      <c r="R1196" s="74"/>
      <c r="S1196" s="74"/>
      <c r="T1196" s="74"/>
      <c r="U1196" s="74"/>
      <c r="V1196" s="74"/>
      <c r="W1196" s="74"/>
      <c r="X1196" s="74"/>
      <c r="Y1196" s="74"/>
      <c r="Z1196" s="74"/>
      <c r="AA1196" s="74"/>
      <c r="AB1196" s="74"/>
    </row>
    <row r="1197" spans="1:28" ht="12" customHeight="1">
      <c r="A1197" s="330"/>
      <c r="B1197" s="314"/>
      <c r="C1197" s="285"/>
      <c r="D1197" s="108"/>
      <c r="E1197" s="285"/>
      <c r="F1197" s="285"/>
      <c r="G1197" s="35"/>
      <c r="H1197" s="104"/>
      <c r="I1197" s="35"/>
      <c r="J1197" s="74"/>
      <c r="K1197" s="74"/>
      <c r="L1197" s="74"/>
      <c r="M1197" s="74"/>
      <c r="N1197" s="74"/>
      <c r="O1197" s="74"/>
      <c r="P1197" s="74"/>
      <c r="Q1197" s="74"/>
      <c r="R1197" s="74"/>
      <c r="S1197" s="74"/>
      <c r="T1197" s="74"/>
      <c r="U1197" s="74"/>
      <c r="V1197" s="74"/>
      <c r="W1197" s="74"/>
      <c r="X1197" s="74"/>
      <c r="Y1197" s="74"/>
      <c r="Z1197" s="74"/>
      <c r="AA1197" s="74"/>
      <c r="AB1197" s="74"/>
    </row>
    <row r="1198" spans="1:28" ht="12" customHeight="1">
      <c r="A1198" s="330"/>
      <c r="B1198" s="314"/>
      <c r="C1198" s="285"/>
      <c r="D1198" s="108"/>
      <c r="E1198" s="285"/>
      <c r="F1198" s="285"/>
      <c r="G1198" s="35"/>
      <c r="H1198" s="104"/>
      <c r="I1198" s="35"/>
      <c r="J1198" s="74"/>
      <c r="K1198" s="74"/>
      <c r="L1198" s="74"/>
      <c r="M1198" s="74"/>
      <c r="N1198" s="74"/>
      <c r="O1198" s="74"/>
      <c r="P1198" s="74"/>
      <c r="Q1198" s="74"/>
      <c r="R1198" s="74"/>
      <c r="S1198" s="74"/>
      <c r="T1198" s="74"/>
      <c r="U1198" s="74"/>
      <c r="V1198" s="74"/>
      <c r="W1198" s="74"/>
      <c r="X1198" s="74"/>
      <c r="Y1198" s="74"/>
      <c r="Z1198" s="74"/>
      <c r="AA1198" s="74"/>
      <c r="AB1198" s="74"/>
    </row>
    <row r="1199" spans="1:28" ht="12" customHeight="1">
      <c r="A1199" s="330"/>
      <c r="B1199" s="314"/>
      <c r="C1199" s="285"/>
      <c r="D1199" s="108"/>
      <c r="E1199" s="285"/>
      <c r="F1199" s="285"/>
      <c r="G1199" s="35"/>
      <c r="H1199" s="104"/>
      <c r="I1199" s="35"/>
      <c r="J1199" s="74"/>
      <c r="K1199" s="74"/>
      <c r="L1199" s="74"/>
      <c r="M1199" s="74"/>
      <c r="N1199" s="74"/>
      <c r="O1199" s="74"/>
      <c r="P1199" s="74"/>
      <c r="Q1199" s="74"/>
      <c r="R1199" s="74"/>
      <c r="S1199" s="74"/>
      <c r="T1199" s="74"/>
      <c r="U1199" s="74"/>
      <c r="V1199" s="74"/>
      <c r="W1199" s="74"/>
      <c r="X1199" s="74"/>
      <c r="Y1199" s="74"/>
      <c r="Z1199" s="74"/>
      <c r="AA1199" s="74"/>
      <c r="AB1199" s="74"/>
    </row>
    <row r="1200" spans="1:28" ht="12" customHeight="1">
      <c r="A1200" s="330"/>
      <c r="B1200" s="314"/>
      <c r="C1200" s="285"/>
      <c r="D1200" s="108"/>
      <c r="E1200" s="285"/>
      <c r="F1200" s="285"/>
      <c r="G1200" s="35"/>
      <c r="H1200" s="104"/>
      <c r="I1200" s="35"/>
      <c r="J1200" s="74"/>
      <c r="K1200" s="74"/>
      <c r="L1200" s="74"/>
      <c r="M1200" s="74"/>
      <c r="N1200" s="74"/>
      <c r="O1200" s="74"/>
      <c r="P1200" s="74"/>
      <c r="Q1200" s="74"/>
      <c r="R1200" s="74"/>
      <c r="S1200" s="74"/>
      <c r="T1200" s="74"/>
      <c r="U1200" s="74"/>
      <c r="V1200" s="74"/>
      <c r="W1200" s="74"/>
      <c r="X1200" s="74"/>
      <c r="Y1200" s="74"/>
      <c r="Z1200" s="74"/>
      <c r="AA1200" s="74"/>
      <c r="AB1200" s="74"/>
    </row>
    <row r="1201" spans="1:28" ht="12" customHeight="1">
      <c r="A1201" s="330"/>
      <c r="B1201" s="314"/>
      <c r="C1201" s="285"/>
      <c r="D1201" s="108"/>
      <c r="E1201" s="285"/>
      <c r="F1201" s="285"/>
      <c r="G1201" s="35"/>
      <c r="H1201" s="104"/>
      <c r="I1201" s="35"/>
      <c r="J1201" s="74"/>
      <c r="K1201" s="74"/>
      <c r="L1201" s="74"/>
      <c r="M1201" s="74"/>
      <c r="N1201" s="74"/>
      <c r="O1201" s="74"/>
      <c r="P1201" s="74"/>
      <c r="Q1201" s="74"/>
      <c r="R1201" s="74"/>
      <c r="S1201" s="74"/>
      <c r="T1201" s="74"/>
      <c r="U1201" s="74"/>
      <c r="V1201" s="74"/>
      <c r="W1201" s="74"/>
      <c r="X1201" s="74"/>
      <c r="Y1201" s="74"/>
      <c r="Z1201" s="74"/>
      <c r="AA1201" s="74"/>
      <c r="AB1201" s="74"/>
    </row>
    <row r="1202" spans="1:28" ht="12" customHeight="1">
      <c r="A1202" s="330"/>
      <c r="B1202" s="314"/>
      <c r="C1202" s="285"/>
      <c r="D1202" s="108"/>
      <c r="E1202" s="285"/>
      <c r="F1202" s="285"/>
      <c r="G1202" s="35"/>
      <c r="H1202" s="104"/>
      <c r="I1202" s="35"/>
      <c r="J1202" s="74"/>
      <c r="K1202" s="74"/>
      <c r="L1202" s="74"/>
      <c r="M1202" s="74"/>
      <c r="N1202" s="74"/>
      <c r="O1202" s="74"/>
      <c r="P1202" s="74"/>
      <c r="Q1202" s="74"/>
      <c r="R1202" s="74"/>
      <c r="S1202" s="74"/>
      <c r="T1202" s="74"/>
      <c r="U1202" s="74"/>
      <c r="V1202" s="74"/>
      <c r="W1202" s="74"/>
      <c r="X1202" s="74"/>
      <c r="Y1202" s="74"/>
      <c r="Z1202" s="74"/>
      <c r="AA1202" s="74"/>
      <c r="AB1202" s="74"/>
    </row>
    <row r="1203" spans="1:28" ht="12" customHeight="1">
      <c r="A1203" s="330"/>
      <c r="B1203" s="314"/>
      <c r="C1203" s="285"/>
      <c r="D1203" s="108"/>
      <c r="E1203" s="285"/>
      <c r="F1203" s="285"/>
      <c r="G1203" s="35"/>
      <c r="H1203" s="104"/>
      <c r="I1203" s="35"/>
      <c r="J1203" s="74"/>
      <c r="K1203" s="74"/>
      <c r="L1203" s="74"/>
      <c r="M1203" s="74"/>
      <c r="N1203" s="74"/>
      <c r="O1203" s="74"/>
      <c r="P1203" s="74"/>
      <c r="Q1203" s="74"/>
      <c r="R1203" s="74"/>
      <c r="S1203" s="74"/>
      <c r="T1203" s="74"/>
      <c r="U1203" s="74"/>
      <c r="V1203" s="74"/>
      <c r="W1203" s="74"/>
      <c r="X1203" s="74"/>
      <c r="Y1203" s="74"/>
      <c r="Z1203" s="74"/>
      <c r="AA1203" s="74"/>
      <c r="AB1203" s="74"/>
    </row>
    <row r="1204" spans="1:28" ht="12" customHeight="1">
      <c r="A1204" s="330"/>
      <c r="B1204" s="314"/>
      <c r="C1204" s="285"/>
      <c r="D1204" s="108"/>
      <c r="E1204" s="285"/>
      <c r="F1204" s="285"/>
      <c r="G1204" s="35"/>
      <c r="H1204" s="104"/>
      <c r="I1204" s="35"/>
      <c r="J1204" s="74"/>
      <c r="K1204" s="74"/>
      <c r="L1204" s="74"/>
      <c r="M1204" s="74"/>
      <c r="N1204" s="74"/>
      <c r="O1204" s="74"/>
      <c r="P1204" s="74"/>
      <c r="Q1204" s="74"/>
      <c r="R1204" s="74"/>
      <c r="S1204" s="74"/>
      <c r="T1204" s="74"/>
      <c r="U1204" s="74"/>
      <c r="V1204" s="74"/>
      <c r="W1204" s="74"/>
      <c r="X1204" s="74"/>
      <c r="Y1204" s="74"/>
      <c r="Z1204" s="74"/>
      <c r="AA1204" s="74"/>
      <c r="AB1204" s="74"/>
    </row>
    <row r="1205" spans="1:28" ht="12" customHeight="1">
      <c r="A1205" s="330"/>
      <c r="B1205" s="314"/>
      <c r="C1205" s="285"/>
      <c r="D1205" s="108"/>
      <c r="E1205" s="285"/>
      <c r="F1205" s="285"/>
      <c r="G1205" s="35"/>
      <c r="H1205" s="104"/>
      <c r="I1205" s="35"/>
      <c r="J1205" s="74"/>
      <c r="K1205" s="74"/>
      <c r="L1205" s="74"/>
      <c r="M1205" s="74"/>
      <c r="N1205" s="74"/>
      <c r="O1205" s="74"/>
      <c r="P1205" s="74"/>
      <c r="Q1205" s="74"/>
      <c r="R1205" s="74"/>
      <c r="S1205" s="74"/>
      <c r="T1205" s="74"/>
      <c r="U1205" s="74"/>
      <c r="V1205" s="74"/>
      <c r="W1205" s="74"/>
      <c r="X1205" s="74"/>
      <c r="Y1205" s="74"/>
      <c r="Z1205" s="74"/>
      <c r="AA1205" s="74"/>
      <c r="AB1205" s="74"/>
    </row>
    <row r="1206" spans="1:28" ht="12" customHeight="1">
      <c r="A1206" s="330"/>
      <c r="B1206" s="314"/>
      <c r="C1206" s="285"/>
      <c r="D1206" s="108"/>
      <c r="E1206" s="285"/>
      <c r="F1206" s="285"/>
      <c r="G1206" s="35"/>
      <c r="H1206" s="104"/>
      <c r="I1206" s="35"/>
      <c r="J1206" s="74"/>
      <c r="K1206" s="74"/>
      <c r="L1206" s="74"/>
      <c r="M1206" s="74"/>
      <c r="N1206" s="74"/>
      <c r="O1206" s="74"/>
      <c r="P1206" s="74"/>
      <c r="Q1206" s="74"/>
      <c r="R1206" s="74"/>
      <c r="S1206" s="74"/>
      <c r="T1206" s="74"/>
      <c r="U1206" s="74"/>
      <c r="V1206" s="74"/>
      <c r="W1206" s="74"/>
      <c r="X1206" s="74"/>
      <c r="Y1206" s="74"/>
      <c r="Z1206" s="74"/>
      <c r="AA1206" s="74"/>
      <c r="AB1206" s="74"/>
    </row>
    <row r="1207" spans="1:28" ht="12" customHeight="1">
      <c r="A1207" s="330"/>
      <c r="B1207" s="314"/>
      <c r="C1207" s="285"/>
      <c r="D1207" s="108"/>
      <c r="E1207" s="285"/>
      <c r="F1207" s="285"/>
      <c r="G1207" s="35"/>
      <c r="H1207" s="104"/>
      <c r="I1207" s="35"/>
      <c r="J1207" s="74"/>
      <c r="K1207" s="74"/>
      <c r="L1207" s="74"/>
      <c r="M1207" s="74"/>
      <c r="N1207" s="74"/>
      <c r="O1207" s="74"/>
      <c r="P1207" s="74"/>
      <c r="Q1207" s="74"/>
      <c r="R1207" s="74"/>
      <c r="S1207" s="74"/>
      <c r="T1207" s="74"/>
      <c r="U1207" s="74"/>
      <c r="V1207" s="74"/>
      <c r="W1207" s="74"/>
      <c r="X1207" s="74"/>
      <c r="Y1207" s="74"/>
      <c r="Z1207" s="74"/>
      <c r="AA1207" s="74"/>
      <c r="AB1207" s="74"/>
    </row>
    <row r="1208" spans="1:28" ht="12" customHeight="1">
      <c r="A1208" s="330"/>
      <c r="B1208" s="314"/>
      <c r="C1208" s="285"/>
      <c r="D1208" s="108"/>
      <c r="E1208" s="285"/>
      <c r="F1208" s="285"/>
      <c r="G1208" s="35"/>
      <c r="H1208" s="104"/>
      <c r="I1208" s="35"/>
      <c r="J1208" s="74"/>
      <c r="K1208" s="74"/>
      <c r="L1208" s="74"/>
      <c r="M1208" s="74"/>
      <c r="N1208" s="74"/>
      <c r="O1208" s="74"/>
      <c r="P1208" s="74"/>
      <c r="Q1208" s="74"/>
      <c r="R1208" s="74"/>
      <c r="S1208" s="74"/>
      <c r="T1208" s="74"/>
      <c r="U1208" s="74"/>
      <c r="V1208" s="74"/>
      <c r="W1208" s="74"/>
      <c r="X1208" s="74"/>
      <c r="Y1208" s="74"/>
      <c r="Z1208" s="74"/>
      <c r="AA1208" s="74"/>
      <c r="AB1208" s="74"/>
    </row>
    <row r="1209" spans="1:28" ht="12" customHeight="1">
      <c r="A1209" s="330"/>
      <c r="B1209" s="314"/>
      <c r="C1209" s="285"/>
      <c r="D1209" s="108"/>
      <c r="E1209" s="285"/>
      <c r="F1209" s="285"/>
      <c r="G1209" s="35"/>
      <c r="H1209" s="104"/>
      <c r="I1209" s="35"/>
      <c r="J1209" s="74"/>
      <c r="K1209" s="74"/>
      <c r="L1209" s="74"/>
      <c r="M1209" s="74"/>
      <c r="N1209" s="74"/>
      <c r="O1209" s="74"/>
      <c r="P1209" s="74"/>
      <c r="Q1209" s="74"/>
      <c r="R1209" s="74"/>
      <c r="S1209" s="74"/>
      <c r="T1209" s="74"/>
      <c r="U1209" s="74"/>
      <c r="V1209" s="74"/>
      <c r="W1209" s="74"/>
      <c r="X1209" s="74"/>
      <c r="Y1209" s="74"/>
      <c r="Z1209" s="74"/>
      <c r="AA1209" s="74"/>
      <c r="AB1209" s="74"/>
    </row>
    <row r="1210" spans="1:28" ht="12" customHeight="1">
      <c r="A1210" s="330"/>
      <c r="B1210" s="314"/>
      <c r="C1210" s="285"/>
      <c r="D1210" s="108"/>
      <c r="E1210" s="285"/>
      <c r="F1210" s="285"/>
      <c r="G1210" s="35"/>
      <c r="H1210" s="104"/>
      <c r="I1210" s="35"/>
      <c r="J1210" s="74"/>
      <c r="K1210" s="74"/>
      <c r="L1210" s="74"/>
      <c r="M1210" s="74"/>
      <c r="N1210" s="74"/>
      <c r="O1210" s="74"/>
      <c r="P1210" s="74"/>
      <c r="Q1210" s="74"/>
      <c r="R1210" s="74"/>
      <c r="S1210" s="74"/>
      <c r="T1210" s="74"/>
      <c r="U1210" s="74"/>
      <c r="V1210" s="74"/>
      <c r="W1210" s="74"/>
      <c r="X1210" s="74"/>
      <c r="Y1210" s="74"/>
      <c r="Z1210" s="74"/>
      <c r="AA1210" s="74"/>
      <c r="AB1210" s="74"/>
    </row>
    <row r="1211" spans="1:28" ht="12" customHeight="1">
      <c r="A1211" s="330"/>
      <c r="B1211" s="314"/>
      <c r="C1211" s="285"/>
      <c r="D1211" s="108"/>
      <c r="E1211" s="285"/>
      <c r="F1211" s="285"/>
      <c r="G1211" s="35"/>
      <c r="H1211" s="104"/>
      <c r="I1211" s="35"/>
      <c r="J1211" s="74"/>
      <c r="K1211" s="74"/>
      <c r="L1211" s="74"/>
      <c r="M1211" s="74"/>
      <c r="N1211" s="74"/>
      <c r="O1211" s="74"/>
      <c r="P1211" s="74"/>
      <c r="Q1211" s="74"/>
      <c r="R1211" s="74"/>
      <c r="S1211" s="74"/>
      <c r="T1211" s="74"/>
      <c r="U1211" s="74"/>
      <c r="V1211" s="74"/>
      <c r="W1211" s="74"/>
      <c r="X1211" s="74"/>
      <c r="Y1211" s="74"/>
      <c r="Z1211" s="74"/>
      <c r="AA1211" s="74"/>
      <c r="AB1211" s="74"/>
    </row>
    <row r="1212" spans="1:28" ht="12" customHeight="1">
      <c r="A1212" s="330"/>
      <c r="B1212" s="314"/>
      <c r="C1212" s="285"/>
      <c r="D1212" s="108"/>
      <c r="E1212" s="285"/>
      <c r="F1212" s="285"/>
      <c r="G1212" s="35"/>
      <c r="H1212" s="104"/>
      <c r="I1212" s="35"/>
      <c r="J1212" s="74"/>
      <c r="K1212" s="74"/>
      <c r="L1212" s="74"/>
      <c r="M1212" s="74"/>
      <c r="N1212" s="74"/>
      <c r="O1212" s="74"/>
      <c r="P1212" s="74"/>
      <c r="Q1212" s="74"/>
      <c r="R1212" s="74"/>
      <c r="S1212" s="74"/>
      <c r="T1212" s="74"/>
      <c r="U1212" s="74"/>
      <c r="V1212" s="74"/>
      <c r="W1212" s="74"/>
      <c r="X1212" s="74"/>
      <c r="Y1212" s="74"/>
      <c r="Z1212" s="74"/>
      <c r="AA1212" s="74"/>
      <c r="AB1212" s="74"/>
    </row>
    <row r="1213" spans="1:28" ht="12" customHeight="1">
      <c r="A1213" s="330"/>
      <c r="B1213" s="314"/>
      <c r="C1213" s="285"/>
      <c r="D1213" s="108"/>
      <c r="E1213" s="285"/>
      <c r="F1213" s="285"/>
      <c r="G1213" s="35"/>
      <c r="H1213" s="104"/>
      <c r="I1213" s="35"/>
      <c r="J1213" s="74"/>
      <c r="K1213" s="74"/>
      <c r="L1213" s="74"/>
      <c r="M1213" s="74"/>
      <c r="N1213" s="74"/>
      <c r="O1213" s="74"/>
      <c r="P1213" s="74"/>
      <c r="Q1213" s="74"/>
      <c r="R1213" s="74"/>
      <c r="S1213" s="74"/>
      <c r="T1213" s="74"/>
      <c r="U1213" s="74"/>
      <c r="V1213" s="74"/>
      <c r="W1213" s="74"/>
      <c r="X1213" s="74"/>
      <c r="Y1213" s="74"/>
      <c r="Z1213" s="74"/>
      <c r="AA1213" s="74"/>
      <c r="AB1213" s="74"/>
    </row>
    <row r="1214" spans="1:28" ht="12" customHeight="1">
      <c r="A1214" s="330"/>
      <c r="B1214" s="314"/>
      <c r="C1214" s="285"/>
      <c r="D1214" s="108"/>
      <c r="E1214" s="285"/>
      <c r="F1214" s="285"/>
      <c r="G1214" s="35"/>
      <c r="H1214" s="104"/>
      <c r="I1214" s="35"/>
      <c r="J1214" s="74"/>
      <c r="K1214" s="74"/>
      <c r="L1214" s="74"/>
      <c r="M1214" s="74"/>
      <c r="N1214" s="74"/>
      <c r="O1214" s="74"/>
      <c r="P1214" s="74"/>
      <c r="Q1214" s="74"/>
      <c r="R1214" s="74"/>
      <c r="S1214" s="74"/>
      <c r="T1214" s="74"/>
      <c r="U1214" s="74"/>
      <c r="V1214" s="74"/>
      <c r="W1214" s="74"/>
      <c r="X1214" s="74"/>
      <c r="Y1214" s="74"/>
      <c r="Z1214" s="74"/>
      <c r="AA1214" s="74"/>
      <c r="AB1214" s="74"/>
    </row>
    <row r="1215" spans="1:28" ht="12" customHeight="1">
      <c r="A1215" s="330"/>
      <c r="B1215" s="314"/>
      <c r="C1215" s="285"/>
      <c r="D1215" s="108"/>
      <c r="E1215" s="285"/>
      <c r="F1215" s="285"/>
      <c r="G1215" s="35"/>
      <c r="H1215" s="104"/>
      <c r="I1215" s="35"/>
      <c r="J1215" s="74"/>
      <c r="K1215" s="74"/>
      <c r="L1215" s="74"/>
      <c r="M1215" s="74"/>
      <c r="N1215" s="74"/>
      <c r="O1215" s="74"/>
      <c r="P1215" s="74"/>
      <c r="Q1215" s="74"/>
      <c r="R1215" s="74"/>
      <c r="S1215" s="74"/>
      <c r="T1215" s="74"/>
      <c r="U1215" s="74"/>
      <c r="V1215" s="74"/>
      <c r="W1215" s="74"/>
      <c r="X1215" s="74"/>
      <c r="Y1215" s="74"/>
      <c r="Z1215" s="74"/>
      <c r="AA1215" s="74"/>
      <c r="AB1215" s="74"/>
    </row>
    <row r="1216" spans="1:28" ht="12" customHeight="1">
      <c r="A1216" s="330"/>
      <c r="B1216" s="314"/>
      <c r="C1216" s="285"/>
      <c r="D1216" s="108"/>
      <c r="E1216" s="285"/>
      <c r="F1216" s="285"/>
      <c r="G1216" s="35"/>
      <c r="H1216" s="104"/>
      <c r="I1216" s="35"/>
      <c r="J1216" s="74"/>
      <c r="K1216" s="74"/>
      <c r="L1216" s="74"/>
      <c r="M1216" s="74"/>
      <c r="N1216" s="74"/>
      <c r="O1216" s="74"/>
      <c r="P1216" s="74"/>
      <c r="Q1216" s="74"/>
      <c r="R1216" s="74"/>
      <c r="S1216" s="74"/>
      <c r="T1216" s="74"/>
      <c r="U1216" s="74"/>
      <c r="V1216" s="74"/>
      <c r="W1216" s="74"/>
      <c r="X1216" s="74"/>
      <c r="Y1216" s="74"/>
      <c r="Z1216" s="74"/>
      <c r="AA1216" s="74"/>
      <c r="AB1216" s="74"/>
    </row>
    <row r="1217" spans="1:28" ht="12" customHeight="1">
      <c r="A1217" s="330"/>
      <c r="B1217" s="314"/>
      <c r="C1217" s="285"/>
      <c r="D1217" s="108"/>
      <c r="E1217" s="285"/>
      <c r="F1217" s="285"/>
      <c r="G1217" s="35"/>
      <c r="H1217" s="104"/>
      <c r="I1217" s="35"/>
      <c r="J1217" s="74"/>
      <c r="K1217" s="74"/>
      <c r="L1217" s="74"/>
      <c r="M1217" s="74"/>
      <c r="N1217" s="74"/>
      <c r="O1217" s="74"/>
      <c r="P1217" s="74"/>
      <c r="Q1217" s="74"/>
      <c r="R1217" s="74"/>
      <c r="S1217" s="74"/>
      <c r="T1217" s="74"/>
      <c r="U1217" s="74"/>
      <c r="V1217" s="74"/>
      <c r="W1217" s="74"/>
      <c r="X1217" s="74"/>
      <c r="Y1217" s="74"/>
      <c r="Z1217" s="74"/>
      <c r="AA1217" s="74"/>
      <c r="AB1217" s="74"/>
    </row>
    <row r="1218" spans="1:28" ht="12" customHeight="1">
      <c r="A1218" s="330"/>
      <c r="B1218" s="314"/>
      <c r="C1218" s="285"/>
      <c r="D1218" s="108"/>
      <c r="E1218" s="285"/>
      <c r="F1218" s="285"/>
      <c r="G1218" s="35"/>
      <c r="H1218" s="104"/>
      <c r="I1218" s="35"/>
      <c r="J1218" s="74"/>
      <c r="K1218" s="74"/>
      <c r="L1218" s="74"/>
      <c r="M1218" s="74"/>
      <c r="N1218" s="74"/>
      <c r="O1218" s="74"/>
      <c r="P1218" s="74"/>
      <c r="Q1218" s="74"/>
      <c r="R1218" s="74"/>
      <c r="S1218" s="74"/>
      <c r="T1218" s="74"/>
      <c r="U1218" s="74"/>
      <c r="V1218" s="74"/>
      <c r="W1218" s="74"/>
      <c r="X1218" s="74"/>
      <c r="Y1218" s="74"/>
      <c r="Z1218" s="74"/>
      <c r="AA1218" s="74"/>
      <c r="AB1218" s="74"/>
    </row>
    <row r="1219" spans="1:28" ht="12" customHeight="1">
      <c r="A1219" s="330"/>
      <c r="B1219" s="314"/>
      <c r="C1219" s="285"/>
      <c r="D1219" s="108"/>
      <c r="E1219" s="285"/>
      <c r="F1219" s="285"/>
      <c r="G1219" s="35"/>
      <c r="H1219" s="104"/>
      <c r="I1219" s="35"/>
      <c r="J1219" s="74"/>
      <c r="K1219" s="74"/>
      <c r="L1219" s="74"/>
      <c r="M1219" s="74"/>
      <c r="N1219" s="74"/>
      <c r="O1219" s="74"/>
      <c r="P1219" s="74"/>
      <c r="Q1219" s="74"/>
      <c r="R1219" s="74"/>
      <c r="S1219" s="74"/>
      <c r="T1219" s="74"/>
      <c r="U1219" s="74"/>
      <c r="V1219" s="74"/>
      <c r="W1219" s="74"/>
      <c r="X1219" s="74"/>
      <c r="Y1219" s="74"/>
      <c r="Z1219" s="74"/>
      <c r="AA1219" s="74"/>
      <c r="AB1219" s="74"/>
    </row>
    <row r="1220" spans="1:28" ht="12" customHeight="1">
      <c r="A1220" s="330"/>
      <c r="B1220" s="314"/>
      <c r="C1220" s="285"/>
      <c r="D1220" s="108"/>
      <c r="E1220" s="285"/>
      <c r="F1220" s="285"/>
      <c r="G1220" s="35"/>
      <c r="H1220" s="104"/>
      <c r="I1220" s="35"/>
      <c r="J1220" s="74"/>
      <c r="K1220" s="74"/>
      <c r="L1220" s="74"/>
      <c r="M1220" s="74"/>
      <c r="N1220" s="74"/>
      <c r="O1220" s="74"/>
      <c r="P1220" s="74"/>
      <c r="Q1220" s="74"/>
      <c r="R1220" s="74"/>
      <c r="S1220" s="74"/>
      <c r="T1220" s="74"/>
      <c r="U1220" s="74"/>
      <c r="V1220" s="74"/>
      <c r="W1220" s="74"/>
      <c r="X1220" s="74"/>
      <c r="Y1220" s="74"/>
      <c r="Z1220" s="74"/>
      <c r="AA1220" s="74"/>
      <c r="AB1220" s="74"/>
    </row>
    <row r="1221" spans="1:28" ht="12" customHeight="1">
      <c r="A1221" s="330"/>
      <c r="B1221" s="314"/>
      <c r="C1221" s="285"/>
      <c r="D1221" s="108"/>
      <c r="E1221" s="285"/>
      <c r="F1221" s="285"/>
      <c r="G1221" s="35"/>
      <c r="H1221" s="104"/>
      <c r="I1221" s="35"/>
      <c r="J1221" s="74"/>
      <c r="K1221" s="74"/>
      <c r="L1221" s="74"/>
      <c r="M1221" s="74"/>
      <c r="N1221" s="74"/>
      <c r="O1221" s="74"/>
      <c r="P1221" s="74"/>
      <c r="Q1221" s="74"/>
      <c r="R1221" s="74"/>
      <c r="S1221" s="74"/>
      <c r="T1221" s="74"/>
      <c r="U1221" s="74"/>
      <c r="V1221" s="74"/>
      <c r="W1221" s="74"/>
      <c r="X1221" s="74"/>
      <c r="Y1221" s="74"/>
      <c r="Z1221" s="74"/>
      <c r="AA1221" s="74"/>
      <c r="AB1221" s="74"/>
    </row>
    <row r="1222" spans="1:28" ht="12" customHeight="1">
      <c r="A1222" s="330"/>
      <c r="B1222" s="314"/>
      <c r="C1222" s="285"/>
      <c r="D1222" s="108"/>
      <c r="E1222" s="285"/>
      <c r="F1222" s="285"/>
      <c r="G1222" s="35"/>
      <c r="H1222" s="104"/>
      <c r="I1222" s="35"/>
      <c r="J1222" s="74"/>
      <c r="K1222" s="74"/>
      <c r="L1222" s="74"/>
      <c r="M1222" s="74"/>
      <c r="N1222" s="74"/>
      <c r="O1222" s="74"/>
      <c r="P1222" s="74"/>
      <c r="Q1222" s="74"/>
      <c r="R1222" s="74"/>
      <c r="S1222" s="74"/>
      <c r="T1222" s="74"/>
      <c r="U1222" s="74"/>
      <c r="V1222" s="74"/>
      <c r="W1222" s="74"/>
      <c r="X1222" s="74"/>
      <c r="Y1222" s="74"/>
      <c r="Z1222" s="74"/>
      <c r="AA1222" s="74"/>
      <c r="AB1222" s="74"/>
    </row>
    <row r="1223" spans="1:28" ht="12" customHeight="1">
      <c r="A1223" s="330"/>
      <c r="B1223" s="314"/>
      <c r="C1223" s="285"/>
      <c r="D1223" s="108"/>
      <c r="E1223" s="285"/>
      <c r="F1223" s="285"/>
      <c r="G1223" s="35"/>
      <c r="H1223" s="104"/>
      <c r="I1223" s="35"/>
      <c r="J1223" s="74"/>
      <c r="K1223" s="74"/>
      <c r="L1223" s="74"/>
      <c r="M1223" s="74"/>
      <c r="N1223" s="74"/>
      <c r="O1223" s="74"/>
      <c r="P1223" s="74"/>
      <c r="Q1223" s="74"/>
      <c r="R1223" s="74"/>
      <c r="S1223" s="74"/>
      <c r="T1223" s="74"/>
      <c r="U1223" s="74"/>
      <c r="V1223" s="74"/>
      <c r="W1223" s="74"/>
      <c r="X1223" s="74"/>
      <c r="Y1223" s="74"/>
      <c r="Z1223" s="74"/>
      <c r="AA1223" s="74"/>
      <c r="AB1223" s="74"/>
    </row>
    <row r="1224" spans="1:28" ht="12" customHeight="1">
      <c r="A1224" s="330"/>
      <c r="B1224" s="314"/>
      <c r="C1224" s="285"/>
      <c r="D1224" s="108"/>
      <c r="E1224" s="285"/>
      <c r="F1224" s="285"/>
      <c r="G1224" s="35"/>
      <c r="H1224" s="104"/>
      <c r="I1224" s="35"/>
      <c r="J1224" s="74"/>
      <c r="K1224" s="74"/>
      <c r="L1224" s="74"/>
      <c r="M1224" s="74"/>
      <c r="N1224" s="74"/>
      <c r="O1224" s="74"/>
      <c r="P1224" s="74"/>
      <c r="Q1224" s="74"/>
      <c r="R1224" s="74"/>
      <c r="S1224" s="74"/>
      <c r="T1224" s="74"/>
      <c r="U1224" s="74"/>
      <c r="V1224" s="74"/>
      <c r="W1224" s="74"/>
      <c r="X1224" s="74"/>
      <c r="Y1224" s="74"/>
      <c r="Z1224" s="74"/>
      <c r="AA1224" s="74"/>
      <c r="AB1224" s="74"/>
    </row>
    <row r="1225" spans="1:28" ht="12" customHeight="1">
      <c r="A1225" s="330"/>
      <c r="B1225" s="314"/>
      <c r="C1225" s="285"/>
      <c r="D1225" s="108"/>
      <c r="E1225" s="285"/>
      <c r="F1225" s="285"/>
      <c r="G1225" s="35"/>
      <c r="H1225" s="104"/>
      <c r="I1225" s="35"/>
      <c r="J1225" s="74"/>
      <c r="K1225" s="74"/>
      <c r="L1225" s="74"/>
      <c r="M1225" s="74"/>
      <c r="N1225" s="74"/>
      <c r="O1225" s="74"/>
      <c r="P1225" s="74"/>
      <c r="Q1225" s="74"/>
      <c r="R1225" s="74"/>
      <c r="S1225" s="74"/>
      <c r="T1225" s="74"/>
      <c r="U1225" s="74"/>
      <c r="V1225" s="74"/>
      <c r="W1225" s="74"/>
      <c r="X1225" s="74"/>
      <c r="Y1225" s="74"/>
      <c r="Z1225" s="74"/>
      <c r="AA1225" s="74"/>
      <c r="AB1225" s="74"/>
    </row>
    <row r="1226" spans="1:28" ht="12" customHeight="1">
      <c r="A1226" s="330"/>
      <c r="B1226" s="314"/>
      <c r="C1226" s="285"/>
      <c r="D1226" s="108"/>
      <c r="E1226" s="285"/>
      <c r="F1226" s="285"/>
      <c r="G1226" s="35"/>
      <c r="H1226" s="104"/>
      <c r="I1226" s="35"/>
      <c r="J1226" s="74"/>
      <c r="K1226" s="74"/>
      <c r="L1226" s="74"/>
      <c r="M1226" s="74"/>
      <c r="N1226" s="74"/>
      <c r="O1226" s="74"/>
      <c r="P1226" s="74"/>
      <c r="Q1226" s="74"/>
      <c r="R1226" s="74"/>
      <c r="S1226" s="74"/>
      <c r="T1226" s="74"/>
      <c r="U1226" s="74"/>
      <c r="V1226" s="74"/>
      <c r="W1226" s="74"/>
      <c r="X1226" s="74"/>
      <c r="Y1226" s="74"/>
      <c r="Z1226" s="74"/>
      <c r="AA1226" s="74"/>
      <c r="AB1226" s="74"/>
    </row>
    <row r="1227" spans="1:28" ht="12" customHeight="1">
      <c r="A1227" s="330"/>
      <c r="B1227" s="314"/>
      <c r="C1227" s="285"/>
      <c r="D1227" s="108"/>
      <c r="E1227" s="285"/>
      <c r="F1227" s="285"/>
      <c r="G1227" s="35"/>
      <c r="H1227" s="104"/>
      <c r="I1227" s="35"/>
      <c r="J1227" s="74"/>
      <c r="K1227" s="74"/>
      <c r="L1227" s="74"/>
      <c r="M1227" s="74"/>
      <c r="N1227" s="74"/>
      <c r="O1227" s="74"/>
      <c r="P1227" s="74"/>
      <c r="Q1227" s="74"/>
      <c r="R1227" s="74"/>
      <c r="S1227" s="74"/>
      <c r="T1227" s="74"/>
      <c r="U1227" s="74"/>
      <c r="V1227" s="74"/>
      <c r="W1227" s="74"/>
      <c r="X1227" s="74"/>
      <c r="Y1227" s="74"/>
      <c r="Z1227" s="74"/>
      <c r="AA1227" s="74"/>
      <c r="AB1227" s="74"/>
    </row>
    <row r="1228" spans="1:28" ht="12" customHeight="1">
      <c r="A1228" s="330"/>
      <c r="B1228" s="314"/>
      <c r="C1228" s="285"/>
      <c r="D1228" s="108"/>
      <c r="E1228" s="285"/>
      <c r="F1228" s="285"/>
      <c r="G1228" s="35"/>
      <c r="H1228" s="104"/>
      <c r="I1228" s="35"/>
      <c r="J1228" s="74"/>
      <c r="K1228" s="74"/>
      <c r="L1228" s="74"/>
      <c r="M1228" s="74"/>
      <c r="N1228" s="74"/>
      <c r="O1228" s="74"/>
      <c r="P1228" s="74"/>
      <c r="Q1228" s="74"/>
      <c r="R1228" s="74"/>
      <c r="S1228" s="74"/>
      <c r="T1228" s="74"/>
      <c r="U1228" s="74"/>
      <c r="V1228" s="74"/>
      <c r="W1228" s="74"/>
      <c r="X1228" s="74"/>
      <c r="Y1228" s="74"/>
      <c r="Z1228" s="74"/>
      <c r="AA1228" s="74"/>
      <c r="AB1228" s="74"/>
    </row>
    <row r="1229" spans="1:28" ht="12" customHeight="1">
      <c r="A1229" s="330"/>
      <c r="B1229" s="314"/>
      <c r="C1229" s="285"/>
      <c r="D1229" s="108"/>
      <c r="E1229" s="285"/>
      <c r="F1229" s="285"/>
      <c r="G1229" s="35"/>
      <c r="H1229" s="104"/>
      <c r="I1229" s="35"/>
      <c r="J1229" s="74"/>
      <c r="K1229" s="74"/>
      <c r="L1229" s="74"/>
      <c r="M1229" s="74"/>
      <c r="N1229" s="74"/>
      <c r="O1229" s="74"/>
      <c r="P1229" s="74"/>
      <c r="Q1229" s="74"/>
      <c r="R1229" s="74"/>
      <c r="S1229" s="74"/>
      <c r="T1229" s="74"/>
      <c r="U1229" s="74"/>
      <c r="V1229" s="74"/>
      <c r="W1229" s="74"/>
      <c r="X1229" s="74"/>
      <c r="Y1229" s="74"/>
      <c r="Z1229" s="74"/>
      <c r="AA1229" s="74"/>
      <c r="AB1229" s="74"/>
    </row>
    <row r="1230" spans="1:28" ht="12" customHeight="1">
      <c r="A1230" s="330"/>
      <c r="B1230" s="314"/>
      <c r="C1230" s="285"/>
      <c r="D1230" s="108"/>
      <c r="E1230" s="285"/>
      <c r="F1230" s="285"/>
      <c r="G1230" s="35"/>
      <c r="H1230" s="104"/>
      <c r="I1230" s="35"/>
      <c r="J1230" s="74"/>
      <c r="K1230" s="74"/>
      <c r="L1230" s="74"/>
      <c r="M1230" s="74"/>
      <c r="N1230" s="74"/>
      <c r="O1230" s="74"/>
      <c r="P1230" s="74"/>
      <c r="Q1230" s="74"/>
      <c r="R1230" s="74"/>
      <c r="S1230" s="74"/>
      <c r="T1230" s="74"/>
      <c r="U1230" s="74"/>
      <c r="V1230" s="74"/>
      <c r="W1230" s="74"/>
      <c r="X1230" s="74"/>
      <c r="Y1230" s="74"/>
      <c r="Z1230" s="74"/>
      <c r="AA1230" s="74"/>
      <c r="AB1230" s="74"/>
    </row>
    <row r="1231" spans="1:28" ht="12" customHeight="1">
      <c r="A1231" s="330"/>
      <c r="B1231" s="314"/>
      <c r="C1231" s="285"/>
      <c r="D1231" s="108"/>
      <c r="E1231" s="285"/>
      <c r="F1231" s="285"/>
      <c r="G1231" s="35"/>
      <c r="H1231" s="104"/>
      <c r="I1231" s="35"/>
      <c r="J1231" s="74"/>
      <c r="K1231" s="74"/>
      <c r="L1231" s="74"/>
      <c r="M1231" s="74"/>
      <c r="N1231" s="74"/>
      <c r="O1231" s="74"/>
      <c r="P1231" s="74"/>
      <c r="Q1231" s="74"/>
      <c r="R1231" s="74"/>
      <c r="S1231" s="74"/>
      <c r="T1231" s="74"/>
      <c r="U1231" s="74"/>
      <c r="V1231" s="74"/>
      <c r="W1231" s="74"/>
      <c r="X1231" s="74"/>
      <c r="Y1231" s="74"/>
      <c r="Z1231" s="74"/>
      <c r="AA1231" s="74"/>
      <c r="AB1231" s="74"/>
    </row>
    <row r="1232" spans="1:28" ht="12" customHeight="1">
      <c r="A1232" s="330"/>
      <c r="B1232" s="314"/>
      <c r="C1232" s="285"/>
      <c r="D1232" s="108"/>
      <c r="E1232" s="285"/>
      <c r="F1232" s="285"/>
      <c r="G1232" s="35"/>
      <c r="H1232" s="104"/>
      <c r="I1232" s="35"/>
      <c r="J1232" s="74"/>
      <c r="K1232" s="74"/>
      <c r="L1232" s="74"/>
      <c r="M1232" s="74"/>
      <c r="N1232" s="74"/>
      <c r="O1232" s="74"/>
      <c r="P1232" s="74"/>
      <c r="Q1232" s="74"/>
      <c r="R1232" s="74"/>
      <c r="S1232" s="74"/>
      <c r="T1232" s="74"/>
      <c r="U1232" s="74"/>
      <c r="V1232" s="74"/>
      <c r="W1232" s="74"/>
      <c r="X1232" s="74"/>
      <c r="Y1232" s="74"/>
      <c r="Z1232" s="74"/>
      <c r="AA1232" s="74"/>
      <c r="AB1232" s="74"/>
    </row>
    <row r="1233" spans="1:28" ht="12" customHeight="1">
      <c r="A1233" s="330"/>
      <c r="B1233" s="314"/>
      <c r="C1233" s="285"/>
      <c r="D1233" s="108"/>
      <c r="E1233" s="285"/>
      <c r="F1233" s="285"/>
      <c r="G1233" s="35"/>
      <c r="H1233" s="104"/>
      <c r="I1233" s="35"/>
      <c r="J1233" s="74"/>
      <c r="K1233" s="74"/>
      <c r="L1233" s="74"/>
      <c r="M1233" s="74"/>
      <c r="N1233" s="74"/>
      <c r="O1233" s="74"/>
      <c r="P1233" s="74"/>
      <c r="Q1233" s="74"/>
      <c r="R1233" s="74"/>
      <c r="S1233" s="74"/>
      <c r="T1233" s="74"/>
      <c r="U1233" s="74"/>
      <c r="V1233" s="74"/>
      <c r="W1233" s="74"/>
      <c r="X1233" s="74"/>
      <c r="Y1233" s="74"/>
      <c r="Z1233" s="74"/>
      <c r="AA1233" s="74"/>
      <c r="AB1233" s="74"/>
    </row>
    <row r="1234" spans="1:28" ht="12" customHeight="1">
      <c r="A1234" s="330"/>
      <c r="B1234" s="314"/>
      <c r="C1234" s="285"/>
      <c r="D1234" s="108"/>
      <c r="E1234" s="285"/>
      <c r="F1234" s="285"/>
      <c r="G1234" s="35"/>
      <c r="H1234" s="104"/>
      <c r="I1234" s="35"/>
      <c r="J1234" s="74"/>
      <c r="K1234" s="74"/>
      <c r="L1234" s="74"/>
      <c r="M1234" s="74"/>
      <c r="N1234" s="74"/>
      <c r="O1234" s="74"/>
      <c r="P1234" s="74"/>
      <c r="Q1234" s="74"/>
      <c r="R1234" s="74"/>
      <c r="S1234" s="74"/>
      <c r="T1234" s="74"/>
      <c r="U1234" s="74"/>
      <c r="V1234" s="74"/>
      <c r="W1234" s="74"/>
      <c r="X1234" s="74"/>
      <c r="Y1234" s="74"/>
      <c r="Z1234" s="74"/>
      <c r="AA1234" s="74"/>
      <c r="AB1234" s="74"/>
    </row>
    <row r="1235" spans="1:28" ht="12" customHeight="1">
      <c r="A1235" s="330"/>
      <c r="B1235" s="314"/>
      <c r="C1235" s="285"/>
      <c r="D1235" s="108"/>
      <c r="E1235" s="285"/>
      <c r="F1235" s="285"/>
      <c r="G1235" s="35"/>
      <c r="H1235" s="104"/>
      <c r="I1235" s="35"/>
      <c r="J1235" s="74"/>
      <c r="K1235" s="74"/>
      <c r="L1235" s="74"/>
      <c r="M1235" s="74"/>
      <c r="N1235" s="74"/>
      <c r="O1235" s="74"/>
      <c r="P1235" s="74"/>
      <c r="Q1235" s="74"/>
      <c r="R1235" s="74"/>
      <c r="S1235" s="74"/>
      <c r="T1235" s="74"/>
      <c r="U1235" s="74"/>
      <c r="V1235" s="74"/>
      <c r="W1235" s="74"/>
      <c r="X1235" s="74"/>
      <c r="Y1235" s="74"/>
      <c r="Z1235" s="74"/>
      <c r="AA1235" s="74"/>
      <c r="AB1235" s="74"/>
    </row>
    <row r="1236" spans="1:28" ht="12" customHeight="1">
      <c r="A1236" s="330"/>
      <c r="B1236" s="314"/>
      <c r="C1236" s="285"/>
      <c r="D1236" s="108"/>
      <c r="E1236" s="285"/>
      <c r="F1236" s="285"/>
      <c r="G1236" s="35"/>
      <c r="H1236" s="104"/>
      <c r="I1236" s="35"/>
      <c r="J1236" s="74"/>
      <c r="K1236" s="74"/>
      <c r="L1236" s="74"/>
      <c r="M1236" s="74"/>
      <c r="N1236" s="74"/>
      <c r="O1236" s="74"/>
      <c r="P1236" s="74"/>
      <c r="Q1236" s="74"/>
      <c r="R1236" s="74"/>
      <c r="S1236" s="74"/>
      <c r="T1236" s="74"/>
      <c r="U1236" s="74"/>
      <c r="V1236" s="74"/>
      <c r="W1236" s="74"/>
      <c r="X1236" s="74"/>
      <c r="Y1236" s="74"/>
      <c r="Z1236" s="74"/>
      <c r="AA1236" s="74"/>
      <c r="AB1236" s="74"/>
    </row>
    <row r="1237" spans="1:28" ht="12" customHeight="1">
      <c r="A1237" s="330"/>
      <c r="B1237" s="314"/>
      <c r="C1237" s="285"/>
      <c r="D1237" s="108"/>
      <c r="E1237" s="285"/>
      <c r="F1237" s="285"/>
      <c r="G1237" s="35"/>
      <c r="H1237" s="104"/>
      <c r="I1237" s="35"/>
      <c r="J1237" s="74"/>
      <c r="K1237" s="74"/>
      <c r="L1237" s="74"/>
      <c r="M1237" s="74"/>
      <c r="N1237" s="74"/>
      <c r="O1237" s="74"/>
      <c r="P1237" s="74"/>
      <c r="Q1237" s="74"/>
      <c r="R1237" s="74"/>
      <c r="S1237" s="74"/>
      <c r="T1237" s="74"/>
      <c r="U1237" s="74"/>
      <c r="V1237" s="74"/>
      <c r="W1237" s="74"/>
      <c r="X1237" s="74"/>
      <c r="Y1237" s="74"/>
      <c r="Z1237" s="74"/>
      <c r="AA1237" s="74"/>
      <c r="AB1237" s="74"/>
    </row>
    <row r="1238" spans="1:28" ht="12" customHeight="1">
      <c r="A1238" s="330"/>
      <c r="B1238" s="314"/>
      <c r="C1238" s="285"/>
      <c r="D1238" s="108"/>
      <c r="E1238" s="285"/>
      <c r="F1238" s="285"/>
      <c r="G1238" s="35"/>
      <c r="H1238" s="104"/>
      <c r="I1238" s="35"/>
      <c r="J1238" s="74"/>
      <c r="K1238" s="74"/>
      <c r="L1238" s="74"/>
      <c r="M1238" s="74"/>
      <c r="N1238" s="74"/>
      <c r="O1238" s="74"/>
      <c r="P1238" s="74"/>
      <c r="Q1238" s="74"/>
      <c r="R1238" s="74"/>
      <c r="S1238" s="74"/>
      <c r="T1238" s="74"/>
      <c r="U1238" s="74"/>
      <c r="V1238" s="74"/>
      <c r="W1238" s="74"/>
      <c r="X1238" s="74"/>
      <c r="Y1238" s="74"/>
      <c r="Z1238" s="74"/>
      <c r="AA1238" s="74"/>
      <c r="AB1238" s="74"/>
    </row>
    <row r="1239" spans="1:28" ht="12" customHeight="1">
      <c r="A1239" s="330"/>
      <c r="B1239" s="314"/>
      <c r="C1239" s="285"/>
      <c r="D1239" s="108"/>
      <c r="E1239" s="285"/>
      <c r="F1239" s="285"/>
      <c r="G1239" s="35"/>
      <c r="H1239" s="104"/>
      <c r="I1239" s="35"/>
      <c r="J1239" s="74"/>
      <c r="K1239" s="74"/>
      <c r="L1239" s="74"/>
      <c r="M1239" s="74"/>
      <c r="N1239" s="74"/>
      <c r="O1239" s="74"/>
      <c r="P1239" s="74"/>
      <c r="Q1239" s="74"/>
      <c r="R1239" s="74"/>
      <c r="S1239" s="74"/>
      <c r="T1239" s="74"/>
      <c r="U1239" s="74"/>
      <c r="V1239" s="74"/>
      <c r="W1239" s="74"/>
      <c r="X1239" s="74"/>
      <c r="Y1239" s="74"/>
      <c r="Z1239" s="74"/>
      <c r="AA1239" s="74"/>
      <c r="AB1239" s="74"/>
    </row>
    <row r="1240" spans="1:28" ht="12" customHeight="1">
      <c r="A1240" s="330"/>
      <c r="B1240" s="314"/>
      <c r="C1240" s="285"/>
      <c r="D1240" s="108"/>
      <c r="E1240" s="285"/>
      <c r="F1240" s="285"/>
      <c r="G1240" s="35"/>
      <c r="H1240" s="104"/>
      <c r="I1240" s="35"/>
      <c r="J1240" s="74"/>
      <c r="K1240" s="74"/>
      <c r="L1240" s="74"/>
      <c r="M1240" s="74"/>
      <c r="N1240" s="74"/>
      <c r="O1240" s="74"/>
      <c r="P1240" s="74"/>
      <c r="Q1240" s="74"/>
      <c r="R1240" s="74"/>
      <c r="S1240" s="74"/>
      <c r="T1240" s="74"/>
      <c r="U1240" s="74"/>
      <c r="V1240" s="74"/>
      <c r="W1240" s="74"/>
      <c r="X1240" s="74"/>
      <c r="Y1240" s="74"/>
      <c r="Z1240" s="74"/>
      <c r="AA1240" s="74"/>
      <c r="AB1240" s="74"/>
    </row>
    <row r="1241" spans="1:28" ht="12" customHeight="1">
      <c r="A1241" s="330"/>
      <c r="B1241" s="314"/>
      <c r="C1241" s="285"/>
      <c r="D1241" s="108"/>
      <c r="E1241" s="285"/>
      <c r="F1241" s="285"/>
      <c r="G1241" s="35"/>
      <c r="H1241" s="104"/>
      <c r="I1241" s="35"/>
      <c r="J1241" s="74"/>
      <c r="K1241" s="74"/>
      <c r="L1241" s="74"/>
      <c r="M1241" s="74"/>
      <c r="N1241" s="74"/>
      <c r="O1241" s="74"/>
      <c r="P1241" s="74"/>
      <c r="Q1241" s="74"/>
      <c r="R1241" s="74"/>
      <c r="S1241" s="74"/>
      <c r="T1241" s="74"/>
      <c r="U1241" s="74"/>
      <c r="V1241" s="74"/>
      <c r="W1241" s="74"/>
      <c r="X1241" s="74"/>
      <c r="Y1241" s="74"/>
      <c r="Z1241" s="74"/>
      <c r="AA1241" s="74"/>
      <c r="AB1241" s="74"/>
    </row>
    <row r="1242" spans="1:28" ht="12" customHeight="1">
      <c r="A1242" s="330"/>
      <c r="B1242" s="314"/>
      <c r="C1242" s="285"/>
      <c r="D1242" s="108"/>
      <c r="E1242" s="285"/>
      <c r="F1242" s="285"/>
      <c r="G1242" s="35"/>
      <c r="H1242" s="104"/>
      <c r="I1242" s="35"/>
      <c r="J1242" s="74"/>
      <c r="K1242" s="74"/>
      <c r="L1242" s="74"/>
      <c r="M1242" s="74"/>
      <c r="N1242" s="74"/>
      <c r="O1242" s="74"/>
      <c r="P1242" s="74"/>
      <c r="Q1242" s="74"/>
      <c r="R1242" s="74"/>
      <c r="S1242" s="74"/>
      <c r="T1242" s="74"/>
      <c r="U1242" s="74"/>
      <c r="V1242" s="74"/>
      <c r="W1242" s="74"/>
      <c r="X1242" s="74"/>
      <c r="Y1242" s="74"/>
      <c r="Z1242" s="74"/>
      <c r="AA1242" s="74"/>
      <c r="AB1242" s="74"/>
    </row>
    <row r="1243" spans="1:28" ht="12" customHeight="1">
      <c r="A1243" s="330"/>
      <c r="B1243" s="314"/>
      <c r="C1243" s="285"/>
      <c r="D1243" s="108"/>
      <c r="E1243" s="285"/>
      <c r="F1243" s="285"/>
      <c r="G1243" s="35"/>
      <c r="H1243" s="104"/>
      <c r="I1243" s="35"/>
      <c r="J1243" s="74"/>
      <c r="K1243" s="74"/>
      <c r="L1243" s="74"/>
      <c r="M1243" s="74"/>
      <c r="N1243" s="74"/>
      <c r="O1243" s="74"/>
      <c r="P1243" s="74"/>
      <c r="Q1243" s="74"/>
      <c r="R1243" s="74"/>
      <c r="S1243" s="74"/>
      <c r="T1243" s="74"/>
      <c r="U1243" s="74"/>
      <c r="V1243" s="74"/>
      <c r="W1243" s="74"/>
      <c r="X1243" s="74"/>
      <c r="Y1243" s="74"/>
      <c r="Z1243" s="74"/>
      <c r="AA1243" s="74"/>
      <c r="AB1243" s="74"/>
    </row>
    <row r="1244" spans="1:28" ht="12" customHeight="1">
      <c r="A1244" s="330"/>
      <c r="B1244" s="314"/>
      <c r="C1244" s="285"/>
      <c r="D1244" s="108"/>
      <c r="E1244" s="285"/>
      <c r="F1244" s="285"/>
      <c r="G1244" s="35"/>
      <c r="H1244" s="104"/>
      <c r="I1244" s="35"/>
      <c r="J1244" s="74"/>
      <c r="K1244" s="74"/>
      <c r="L1244" s="74"/>
      <c r="M1244" s="74"/>
      <c r="N1244" s="74"/>
      <c r="O1244" s="74"/>
      <c r="P1244" s="74"/>
      <c r="Q1244" s="74"/>
      <c r="R1244" s="74"/>
      <c r="S1244" s="74"/>
      <c r="T1244" s="74"/>
      <c r="U1244" s="74"/>
      <c r="V1244" s="74"/>
      <c r="W1244" s="74"/>
      <c r="X1244" s="74"/>
      <c r="Y1244" s="74"/>
      <c r="Z1244" s="74"/>
      <c r="AA1244" s="74"/>
      <c r="AB1244" s="74"/>
    </row>
    <row r="1245" spans="1:28" ht="12" customHeight="1">
      <c r="A1245" s="330"/>
      <c r="B1245" s="314"/>
      <c r="C1245" s="285"/>
      <c r="D1245" s="108"/>
      <c r="E1245" s="285"/>
      <c r="F1245" s="285"/>
      <c r="G1245" s="35"/>
      <c r="H1245" s="104"/>
      <c r="I1245" s="35"/>
      <c r="J1245" s="74"/>
      <c r="K1245" s="74"/>
      <c r="L1245" s="74"/>
      <c r="M1245" s="74"/>
      <c r="N1245" s="74"/>
      <c r="O1245" s="74"/>
      <c r="P1245" s="74"/>
      <c r="Q1245" s="74"/>
      <c r="R1245" s="74"/>
      <c r="S1245" s="74"/>
      <c r="T1245" s="74"/>
      <c r="U1245" s="74"/>
      <c r="V1245" s="74"/>
      <c r="W1245" s="74"/>
      <c r="X1245" s="74"/>
      <c r="Y1245" s="74"/>
      <c r="Z1245" s="74"/>
      <c r="AA1245" s="74"/>
      <c r="AB1245" s="74"/>
    </row>
    <row r="1246" spans="1:28" ht="12" customHeight="1">
      <c r="A1246" s="330"/>
      <c r="B1246" s="314"/>
      <c r="C1246" s="285"/>
      <c r="D1246" s="108"/>
      <c r="E1246" s="285"/>
      <c r="F1246" s="285"/>
      <c r="G1246" s="35"/>
      <c r="H1246" s="104"/>
      <c r="I1246" s="35"/>
      <c r="J1246" s="74"/>
      <c r="K1246" s="74"/>
      <c r="L1246" s="74"/>
      <c r="M1246" s="74"/>
      <c r="N1246" s="74"/>
      <c r="O1246" s="74"/>
      <c r="P1246" s="74"/>
      <c r="Q1246" s="74"/>
      <c r="R1246" s="74"/>
      <c r="S1246" s="74"/>
      <c r="T1246" s="74"/>
      <c r="U1246" s="74"/>
      <c r="V1246" s="74"/>
      <c r="W1246" s="74"/>
      <c r="X1246" s="74"/>
      <c r="Y1246" s="74"/>
      <c r="Z1246" s="74"/>
      <c r="AA1246" s="74"/>
      <c r="AB1246" s="74"/>
    </row>
    <row r="1247" spans="1:28" ht="12" customHeight="1">
      <c r="A1247" s="330"/>
      <c r="B1247" s="314"/>
      <c r="C1247" s="285"/>
      <c r="D1247" s="108"/>
      <c r="E1247" s="285"/>
      <c r="F1247" s="285"/>
      <c r="G1247" s="35"/>
      <c r="H1247" s="104"/>
      <c r="I1247" s="35"/>
      <c r="J1247" s="74"/>
      <c r="K1247" s="74"/>
      <c r="L1247" s="74"/>
      <c r="M1247" s="74"/>
      <c r="N1247" s="74"/>
      <c r="O1247" s="74"/>
      <c r="P1247" s="74"/>
      <c r="Q1247" s="74"/>
      <c r="R1247" s="74"/>
      <c r="S1247" s="74"/>
      <c r="T1247" s="74"/>
      <c r="U1247" s="74"/>
      <c r="V1247" s="74"/>
      <c r="W1247" s="74"/>
      <c r="X1247" s="74"/>
      <c r="Y1247" s="74"/>
      <c r="Z1247" s="74"/>
      <c r="AA1247" s="74"/>
      <c r="AB1247" s="74"/>
    </row>
    <row r="1248" spans="1:28" ht="12" customHeight="1">
      <c r="A1248" s="330"/>
      <c r="B1248" s="314"/>
      <c r="C1248" s="285"/>
      <c r="D1248" s="108"/>
      <c r="E1248" s="285"/>
      <c r="F1248" s="285"/>
      <c r="G1248" s="35"/>
      <c r="H1248" s="104"/>
      <c r="I1248" s="35"/>
      <c r="J1248" s="74"/>
      <c r="K1248" s="74"/>
      <c r="L1248" s="74"/>
      <c r="M1248" s="74"/>
      <c r="N1248" s="74"/>
      <c r="O1248" s="74"/>
      <c r="P1248" s="74"/>
      <c r="Q1248" s="74"/>
      <c r="R1248" s="74"/>
      <c r="S1248" s="74"/>
      <c r="T1248" s="74"/>
      <c r="U1248" s="74"/>
      <c r="V1248" s="74"/>
      <c r="W1248" s="74"/>
      <c r="X1248" s="74"/>
      <c r="Y1248" s="74"/>
      <c r="Z1248" s="74"/>
      <c r="AA1248" s="74"/>
      <c r="AB1248" s="74"/>
    </row>
    <row r="1249" spans="1:28" ht="12" customHeight="1">
      <c r="A1249" s="330"/>
      <c r="B1249" s="314"/>
      <c r="C1249" s="285"/>
      <c r="D1249" s="108"/>
      <c r="E1249" s="285"/>
      <c r="F1249" s="285"/>
      <c r="G1249" s="35"/>
      <c r="H1249" s="104"/>
      <c r="I1249" s="35"/>
      <c r="J1249" s="74"/>
      <c r="K1249" s="74"/>
      <c r="L1249" s="74"/>
      <c r="M1249" s="74"/>
      <c r="N1249" s="74"/>
      <c r="O1249" s="74"/>
      <c r="P1249" s="74"/>
      <c r="Q1249" s="74"/>
      <c r="R1249" s="74"/>
      <c r="S1249" s="74"/>
      <c r="T1249" s="74"/>
      <c r="U1249" s="74"/>
      <c r="V1249" s="74"/>
      <c r="W1249" s="74"/>
      <c r="X1249" s="74"/>
      <c r="Y1249" s="74"/>
      <c r="Z1249" s="74"/>
      <c r="AA1249" s="74"/>
      <c r="AB1249" s="74"/>
    </row>
    <row r="1250" spans="1:28" ht="12" customHeight="1">
      <c r="A1250" s="330"/>
      <c r="B1250" s="314"/>
      <c r="C1250" s="285"/>
      <c r="D1250" s="108"/>
      <c r="E1250" s="285"/>
      <c r="F1250" s="285"/>
      <c r="G1250" s="35"/>
      <c r="H1250" s="104"/>
      <c r="I1250" s="35"/>
      <c r="J1250" s="74"/>
      <c r="K1250" s="74"/>
      <c r="L1250" s="74"/>
      <c r="M1250" s="74"/>
      <c r="N1250" s="74"/>
      <c r="O1250" s="74"/>
      <c r="P1250" s="74"/>
      <c r="Q1250" s="74"/>
      <c r="R1250" s="74"/>
      <c r="S1250" s="74"/>
      <c r="T1250" s="74"/>
      <c r="U1250" s="74"/>
      <c r="V1250" s="74"/>
      <c r="W1250" s="74"/>
      <c r="X1250" s="74"/>
      <c r="Y1250" s="74"/>
      <c r="Z1250" s="74"/>
      <c r="AA1250" s="74"/>
      <c r="AB1250" s="74"/>
    </row>
    <row r="1251" spans="1:28" ht="12" customHeight="1">
      <c r="A1251" s="330"/>
      <c r="B1251" s="314"/>
      <c r="C1251" s="285"/>
      <c r="D1251" s="108"/>
      <c r="E1251" s="285"/>
      <c r="F1251" s="285"/>
      <c r="G1251" s="35"/>
      <c r="H1251" s="104"/>
      <c r="I1251" s="35"/>
      <c r="J1251" s="74"/>
      <c r="K1251" s="74"/>
      <c r="L1251" s="74"/>
      <c r="M1251" s="74"/>
      <c r="N1251" s="74"/>
      <c r="O1251" s="74"/>
      <c r="P1251" s="74"/>
      <c r="Q1251" s="74"/>
      <c r="R1251" s="74"/>
      <c r="S1251" s="74"/>
      <c r="T1251" s="74"/>
      <c r="U1251" s="74"/>
      <c r="V1251" s="74"/>
      <c r="W1251" s="74"/>
      <c r="X1251" s="74"/>
      <c r="Y1251" s="74"/>
      <c r="Z1251" s="74"/>
      <c r="AA1251" s="74"/>
      <c r="AB1251" s="74"/>
    </row>
    <row r="1252" spans="1:28" ht="12" customHeight="1">
      <c r="A1252" s="330"/>
      <c r="B1252" s="314"/>
      <c r="C1252" s="285"/>
      <c r="D1252" s="108"/>
      <c r="E1252" s="285"/>
      <c r="F1252" s="285"/>
      <c r="G1252" s="35"/>
      <c r="H1252" s="104"/>
      <c r="I1252" s="35"/>
      <c r="J1252" s="74"/>
      <c r="K1252" s="74"/>
      <c r="L1252" s="74"/>
      <c r="M1252" s="74"/>
      <c r="N1252" s="74"/>
      <c r="O1252" s="74"/>
      <c r="P1252" s="74"/>
      <c r="Q1252" s="74"/>
      <c r="R1252" s="74"/>
      <c r="S1252" s="74"/>
      <c r="T1252" s="74"/>
      <c r="U1252" s="74"/>
      <c r="V1252" s="74"/>
      <c r="W1252" s="74"/>
      <c r="X1252" s="74"/>
      <c r="Y1252" s="74"/>
      <c r="Z1252" s="74"/>
      <c r="AA1252" s="74"/>
      <c r="AB1252" s="74"/>
    </row>
    <row r="1253" spans="1:28" ht="12" customHeight="1">
      <c r="A1253" s="330"/>
      <c r="B1253" s="314"/>
      <c r="C1253" s="285"/>
      <c r="D1253" s="108"/>
      <c r="E1253" s="285"/>
      <c r="F1253" s="285"/>
      <c r="G1253" s="35"/>
      <c r="H1253" s="104"/>
      <c r="I1253" s="35"/>
      <c r="J1253" s="74"/>
      <c r="K1253" s="74"/>
      <c r="L1253" s="74"/>
      <c r="M1253" s="74"/>
      <c r="N1253" s="74"/>
      <c r="O1253" s="74"/>
      <c r="P1253" s="74"/>
      <c r="Q1253" s="74"/>
      <c r="R1253" s="74"/>
      <c r="S1253" s="74"/>
      <c r="T1253" s="74"/>
      <c r="U1253" s="74"/>
      <c r="V1253" s="74"/>
      <c r="W1253" s="74"/>
      <c r="X1253" s="74"/>
      <c r="Y1253" s="74"/>
      <c r="Z1253" s="74"/>
      <c r="AA1253" s="74"/>
      <c r="AB1253" s="74"/>
    </row>
    <row r="1254" spans="1:28" ht="12" customHeight="1">
      <c r="A1254" s="330"/>
      <c r="B1254" s="314"/>
      <c r="C1254" s="285"/>
      <c r="D1254" s="108"/>
      <c r="E1254" s="285"/>
      <c r="F1254" s="285"/>
      <c r="G1254" s="35"/>
      <c r="H1254" s="104"/>
      <c r="I1254" s="35"/>
      <c r="J1254" s="74"/>
      <c r="K1254" s="74"/>
      <c r="L1254" s="74"/>
      <c r="M1254" s="74"/>
      <c r="N1254" s="74"/>
      <c r="O1254" s="74"/>
      <c r="P1254" s="74"/>
      <c r="Q1254" s="74"/>
      <c r="R1254" s="74"/>
      <c r="S1254" s="74"/>
      <c r="T1254" s="74"/>
      <c r="U1254" s="74"/>
      <c r="V1254" s="74"/>
      <c r="W1254" s="74"/>
      <c r="X1254" s="74"/>
      <c r="Y1254" s="74"/>
      <c r="Z1254" s="74"/>
      <c r="AA1254" s="74"/>
      <c r="AB1254" s="74"/>
    </row>
    <row r="1255" spans="1:28" ht="12" customHeight="1">
      <c r="A1255" s="330"/>
      <c r="B1255" s="314"/>
      <c r="C1255" s="285"/>
      <c r="D1255" s="108"/>
      <c r="E1255" s="285"/>
      <c r="F1255" s="285"/>
      <c r="G1255" s="35"/>
      <c r="H1255" s="104"/>
      <c r="I1255" s="35"/>
      <c r="J1255" s="74"/>
      <c r="K1255" s="74"/>
      <c r="L1255" s="74"/>
      <c r="M1255" s="74"/>
      <c r="N1255" s="74"/>
      <c r="O1255" s="74"/>
      <c r="P1255" s="74"/>
      <c r="Q1255" s="74"/>
      <c r="R1255" s="74"/>
      <c r="S1255" s="74"/>
      <c r="T1255" s="74"/>
      <c r="U1255" s="74"/>
      <c r="V1255" s="74"/>
      <c r="W1255" s="74"/>
      <c r="X1255" s="74"/>
      <c r="Y1255" s="74"/>
      <c r="Z1255" s="74"/>
      <c r="AA1255" s="74"/>
      <c r="AB1255" s="74"/>
    </row>
    <row r="1256" spans="1:28" ht="12" customHeight="1">
      <c r="A1256" s="330"/>
      <c r="B1256" s="314"/>
      <c r="C1256" s="285"/>
      <c r="D1256" s="108"/>
      <c r="E1256" s="285"/>
      <c r="F1256" s="285"/>
      <c r="G1256" s="35"/>
      <c r="H1256" s="104"/>
      <c r="I1256" s="35"/>
      <c r="J1256" s="74"/>
      <c r="K1256" s="74"/>
      <c r="L1256" s="74"/>
      <c r="M1256" s="74"/>
      <c r="N1256" s="74"/>
      <c r="O1256" s="74"/>
      <c r="P1256" s="74"/>
      <c r="Q1256" s="74"/>
      <c r="R1256" s="74"/>
      <c r="S1256" s="74"/>
      <c r="T1256" s="74"/>
      <c r="U1256" s="74"/>
      <c r="V1256" s="74"/>
      <c r="W1256" s="74"/>
      <c r="X1256" s="74"/>
      <c r="Y1256" s="74"/>
      <c r="Z1256" s="74"/>
      <c r="AA1256" s="74"/>
      <c r="AB1256" s="74"/>
    </row>
    <row r="1257" spans="1:28" ht="12" customHeight="1">
      <c r="A1257" s="330"/>
      <c r="B1257" s="314"/>
      <c r="C1257" s="285"/>
      <c r="D1257" s="108"/>
      <c r="E1257" s="285"/>
      <c r="F1257" s="285"/>
      <c r="G1257" s="35"/>
      <c r="H1257" s="104"/>
      <c r="I1257" s="35"/>
      <c r="J1257" s="74"/>
      <c r="K1257" s="74"/>
      <c r="L1257" s="74"/>
      <c r="M1257" s="74"/>
      <c r="N1257" s="74"/>
      <c r="O1257" s="74"/>
      <c r="P1257" s="74"/>
      <c r="Q1257" s="74"/>
      <c r="R1257" s="74"/>
      <c r="S1257" s="74"/>
      <c r="T1257" s="74"/>
      <c r="U1257" s="74"/>
      <c r="V1257" s="74"/>
      <c r="W1257" s="74"/>
      <c r="X1257" s="74"/>
      <c r="Y1257" s="74"/>
      <c r="Z1257" s="74"/>
      <c r="AA1257" s="74"/>
      <c r="AB1257" s="74"/>
    </row>
    <row r="1258" spans="1:28" ht="12" customHeight="1">
      <c r="A1258" s="330"/>
      <c r="B1258" s="314"/>
      <c r="C1258" s="285"/>
      <c r="D1258" s="108"/>
      <c r="E1258" s="285"/>
      <c r="F1258" s="285"/>
      <c r="G1258" s="35"/>
      <c r="H1258" s="104"/>
      <c r="I1258" s="35"/>
      <c r="J1258" s="74"/>
      <c r="K1258" s="74"/>
      <c r="L1258" s="74"/>
      <c r="M1258" s="74"/>
      <c r="N1258" s="74"/>
      <c r="O1258" s="74"/>
      <c r="P1258" s="74"/>
      <c r="Q1258" s="74"/>
      <c r="R1258" s="74"/>
      <c r="S1258" s="74"/>
      <c r="T1258" s="74"/>
      <c r="U1258" s="74"/>
      <c r="V1258" s="74"/>
      <c r="W1258" s="74"/>
      <c r="X1258" s="74"/>
      <c r="Y1258" s="74"/>
      <c r="Z1258" s="74"/>
      <c r="AA1258" s="74"/>
      <c r="AB1258" s="74"/>
    </row>
    <row r="1259" spans="1:28" ht="12" customHeight="1">
      <c r="A1259" s="330"/>
      <c r="B1259" s="314"/>
      <c r="C1259" s="285"/>
      <c r="D1259" s="108"/>
      <c r="E1259" s="285"/>
      <c r="F1259" s="285"/>
      <c r="G1259" s="35"/>
      <c r="H1259" s="104"/>
      <c r="I1259" s="35"/>
      <c r="J1259" s="74"/>
      <c r="K1259" s="74"/>
      <c r="L1259" s="74"/>
      <c r="M1259" s="74"/>
      <c r="N1259" s="74"/>
      <c r="O1259" s="74"/>
      <c r="P1259" s="74"/>
      <c r="Q1259" s="74"/>
      <c r="R1259" s="74"/>
      <c r="S1259" s="74"/>
      <c r="T1259" s="74"/>
      <c r="U1259" s="74"/>
      <c r="V1259" s="74"/>
      <c r="W1259" s="74"/>
      <c r="X1259" s="74"/>
      <c r="Y1259" s="74"/>
      <c r="Z1259" s="74"/>
      <c r="AA1259" s="74"/>
      <c r="AB1259" s="74"/>
    </row>
    <row r="1260" spans="1:28" ht="12" customHeight="1">
      <c r="A1260" s="330"/>
      <c r="B1260" s="314"/>
      <c r="C1260" s="285"/>
      <c r="D1260" s="108"/>
      <c r="E1260" s="285"/>
      <c r="F1260" s="285"/>
      <c r="G1260" s="35"/>
      <c r="H1260" s="104"/>
      <c r="I1260" s="35"/>
      <c r="J1260" s="74"/>
      <c r="K1260" s="74"/>
      <c r="L1260" s="74"/>
      <c r="M1260" s="74"/>
      <c r="N1260" s="74"/>
      <c r="O1260" s="74"/>
      <c r="P1260" s="74"/>
      <c r="Q1260" s="74"/>
      <c r="R1260" s="74"/>
      <c r="S1260" s="74"/>
      <c r="T1260" s="74"/>
      <c r="U1260" s="74"/>
      <c r="V1260" s="74"/>
      <c r="W1260" s="74"/>
      <c r="X1260" s="74"/>
      <c r="Y1260" s="74"/>
      <c r="Z1260" s="74"/>
      <c r="AA1260" s="74"/>
      <c r="AB1260" s="74"/>
    </row>
    <row r="1261" spans="1:28" ht="12" customHeight="1">
      <c r="A1261" s="330"/>
      <c r="B1261" s="314"/>
      <c r="C1261" s="285"/>
      <c r="D1261" s="108"/>
      <c r="E1261" s="285"/>
      <c r="F1261" s="285"/>
      <c r="G1261" s="35"/>
      <c r="H1261" s="104"/>
      <c r="I1261" s="35"/>
      <c r="J1261" s="74"/>
      <c r="K1261" s="74"/>
      <c r="L1261" s="74"/>
      <c r="M1261" s="74"/>
      <c r="N1261" s="74"/>
      <c r="O1261" s="74"/>
      <c r="P1261" s="74"/>
      <c r="Q1261" s="74"/>
      <c r="R1261" s="74"/>
      <c r="S1261" s="74"/>
      <c r="T1261" s="74"/>
      <c r="U1261" s="74"/>
      <c r="V1261" s="74"/>
      <c r="W1261" s="74"/>
      <c r="X1261" s="74"/>
      <c r="Y1261" s="74"/>
      <c r="Z1261" s="74"/>
      <c r="AA1261" s="74"/>
      <c r="AB1261" s="74"/>
    </row>
    <row r="1262" spans="1:28" ht="12" customHeight="1">
      <c r="A1262" s="330"/>
      <c r="B1262" s="314"/>
      <c r="C1262" s="285"/>
      <c r="D1262" s="108"/>
      <c r="E1262" s="285"/>
      <c r="F1262" s="285"/>
      <c r="G1262" s="35"/>
      <c r="H1262" s="104"/>
      <c r="I1262" s="35"/>
      <c r="J1262" s="74"/>
      <c r="K1262" s="74"/>
      <c r="L1262" s="74"/>
      <c r="M1262" s="74"/>
      <c r="N1262" s="74"/>
      <c r="O1262" s="74"/>
      <c r="P1262" s="74"/>
      <c r="Q1262" s="74"/>
      <c r="R1262" s="74"/>
      <c r="S1262" s="74"/>
      <c r="T1262" s="74"/>
      <c r="U1262" s="74"/>
      <c r="V1262" s="74"/>
      <c r="W1262" s="74"/>
      <c r="X1262" s="74"/>
      <c r="Y1262" s="74"/>
      <c r="Z1262" s="74"/>
      <c r="AA1262" s="74"/>
      <c r="AB1262" s="74"/>
    </row>
    <row r="1263" spans="1:28" ht="12" customHeight="1">
      <c r="A1263" s="330"/>
      <c r="B1263" s="314"/>
      <c r="C1263" s="285"/>
      <c r="D1263" s="108"/>
      <c r="E1263" s="285"/>
      <c r="F1263" s="285"/>
      <c r="G1263" s="35"/>
      <c r="H1263" s="104"/>
      <c r="I1263" s="35"/>
      <c r="J1263" s="74"/>
      <c r="K1263" s="74"/>
      <c r="L1263" s="74"/>
      <c r="M1263" s="74"/>
      <c r="N1263" s="74"/>
      <c r="O1263" s="74"/>
      <c r="P1263" s="74"/>
      <c r="Q1263" s="74"/>
      <c r="R1263" s="74"/>
      <c r="S1263" s="74"/>
      <c r="T1263" s="74"/>
      <c r="U1263" s="74"/>
      <c r="V1263" s="74"/>
      <c r="W1263" s="74"/>
      <c r="X1263" s="74"/>
      <c r="Y1263" s="74"/>
      <c r="Z1263" s="74"/>
      <c r="AA1263" s="74"/>
      <c r="AB1263" s="74"/>
    </row>
    <row r="1264" spans="1:28" ht="12" customHeight="1">
      <c r="A1264" s="330"/>
      <c r="B1264" s="314"/>
      <c r="C1264" s="285"/>
      <c r="D1264" s="108"/>
      <c r="E1264" s="285"/>
      <c r="F1264" s="285"/>
      <c r="G1264" s="35"/>
      <c r="H1264" s="104"/>
      <c r="I1264" s="35"/>
      <c r="J1264" s="74"/>
      <c r="K1264" s="74"/>
      <c r="L1264" s="74"/>
      <c r="M1264" s="74"/>
      <c r="N1264" s="74"/>
      <c r="O1264" s="74"/>
      <c r="P1264" s="74"/>
      <c r="Q1264" s="74"/>
      <c r="R1264" s="74"/>
      <c r="S1264" s="74"/>
      <c r="T1264" s="74"/>
      <c r="U1264" s="74"/>
      <c r="V1264" s="74"/>
      <c r="W1264" s="74"/>
      <c r="X1264" s="74"/>
      <c r="Y1264" s="74"/>
      <c r="Z1264" s="74"/>
      <c r="AA1264" s="74"/>
      <c r="AB1264" s="74"/>
    </row>
    <row r="1265" spans="1:28" ht="12" customHeight="1">
      <c r="A1265" s="330"/>
      <c r="B1265" s="314"/>
      <c r="C1265" s="285"/>
      <c r="D1265" s="108"/>
      <c r="E1265" s="285"/>
      <c r="F1265" s="285"/>
      <c r="G1265" s="35"/>
      <c r="H1265" s="104"/>
      <c r="I1265" s="35"/>
      <c r="J1265" s="74"/>
      <c r="K1265" s="74"/>
      <c r="L1265" s="74"/>
      <c r="M1265" s="74"/>
      <c r="N1265" s="74"/>
      <c r="O1265" s="74"/>
      <c r="P1265" s="74"/>
      <c r="Q1265" s="74"/>
      <c r="R1265" s="74"/>
      <c r="S1265" s="74"/>
      <c r="T1265" s="74"/>
      <c r="U1265" s="74"/>
      <c r="V1265" s="74"/>
      <c r="W1265" s="74"/>
      <c r="X1265" s="74"/>
      <c r="Y1265" s="74"/>
      <c r="Z1265" s="74"/>
      <c r="AA1265" s="74"/>
      <c r="AB1265" s="74"/>
    </row>
    <row r="1266" spans="1:28" ht="12" customHeight="1">
      <c r="A1266" s="330"/>
      <c r="B1266" s="314"/>
      <c r="C1266" s="285"/>
      <c r="D1266" s="108"/>
      <c r="E1266" s="285"/>
      <c r="F1266" s="285"/>
      <c r="G1266" s="35"/>
      <c r="H1266" s="104"/>
      <c r="I1266" s="35"/>
      <c r="J1266" s="74"/>
      <c r="K1266" s="74"/>
      <c r="L1266" s="74"/>
      <c r="M1266" s="74"/>
      <c r="N1266" s="74"/>
      <c r="O1266" s="74"/>
      <c r="P1266" s="74"/>
      <c r="Q1266" s="74"/>
      <c r="R1266" s="74"/>
      <c r="S1266" s="74"/>
      <c r="T1266" s="74"/>
      <c r="U1266" s="74"/>
      <c r="V1266" s="74"/>
      <c r="W1266" s="74"/>
      <c r="X1266" s="74"/>
      <c r="Y1266" s="74"/>
      <c r="Z1266" s="74"/>
      <c r="AA1266" s="74"/>
      <c r="AB1266" s="74"/>
    </row>
    <row r="1267" spans="1:28" ht="12" customHeight="1">
      <c r="A1267" s="330"/>
      <c r="B1267" s="314"/>
      <c r="C1267" s="285"/>
      <c r="D1267" s="108"/>
      <c r="E1267" s="285"/>
      <c r="F1267" s="285"/>
      <c r="G1267" s="35"/>
      <c r="H1267" s="104"/>
      <c r="I1267" s="35"/>
      <c r="J1267" s="74"/>
      <c r="K1267" s="74"/>
      <c r="L1267" s="74"/>
      <c r="M1267" s="74"/>
      <c r="N1267" s="74"/>
      <c r="O1267" s="74"/>
      <c r="P1267" s="74"/>
      <c r="Q1267" s="74"/>
      <c r="R1267" s="74"/>
      <c r="S1267" s="74"/>
      <c r="T1267" s="74"/>
      <c r="U1267" s="74"/>
      <c r="V1267" s="74"/>
      <c r="W1267" s="74"/>
      <c r="X1267" s="74"/>
      <c r="Y1267" s="74"/>
      <c r="Z1267" s="74"/>
      <c r="AA1267" s="74"/>
      <c r="AB1267" s="74"/>
    </row>
    <row r="1268" spans="1:28" ht="12" customHeight="1">
      <c r="A1268" s="330"/>
      <c r="B1268" s="314"/>
      <c r="C1268" s="285"/>
      <c r="D1268" s="108"/>
      <c r="E1268" s="285"/>
      <c r="F1268" s="285"/>
      <c r="G1268" s="35"/>
      <c r="H1268" s="104"/>
      <c r="I1268" s="35"/>
      <c r="J1268" s="74"/>
      <c r="K1268" s="74"/>
      <c r="L1268" s="74"/>
      <c r="M1268" s="74"/>
      <c r="N1268" s="74"/>
      <c r="O1268" s="74"/>
      <c r="P1268" s="74"/>
      <c r="Q1268" s="74"/>
      <c r="R1268" s="74"/>
      <c r="S1268" s="74"/>
      <c r="T1268" s="74"/>
      <c r="U1268" s="74"/>
      <c r="V1268" s="74"/>
      <c r="W1268" s="74"/>
      <c r="X1268" s="74"/>
      <c r="Y1268" s="74"/>
      <c r="Z1268" s="74"/>
      <c r="AA1268" s="74"/>
      <c r="AB1268" s="74"/>
    </row>
    <row r="1269" spans="1:28" ht="12" customHeight="1">
      <c r="A1269" s="330"/>
      <c r="B1269" s="314"/>
      <c r="C1269" s="285"/>
      <c r="D1269" s="108"/>
      <c r="E1269" s="285"/>
      <c r="F1269" s="285"/>
      <c r="G1269" s="35"/>
      <c r="H1269" s="104"/>
      <c r="I1269" s="35"/>
      <c r="J1269" s="74"/>
      <c r="K1269" s="74"/>
      <c r="L1269" s="74"/>
      <c r="M1269" s="74"/>
      <c r="N1269" s="74"/>
      <c r="O1269" s="74"/>
      <c r="P1269" s="74"/>
      <c r="Q1269" s="74"/>
      <c r="R1269" s="74"/>
      <c r="S1269" s="74"/>
      <c r="T1269" s="74"/>
      <c r="U1269" s="74"/>
      <c r="V1269" s="74"/>
      <c r="W1269" s="74"/>
      <c r="X1269" s="74"/>
      <c r="Y1269" s="74"/>
      <c r="Z1269" s="74"/>
      <c r="AA1269" s="74"/>
      <c r="AB1269" s="74"/>
    </row>
    <row r="1270" spans="1:28" ht="12" customHeight="1">
      <c r="A1270" s="330"/>
      <c r="B1270" s="314"/>
      <c r="C1270" s="285"/>
      <c r="D1270" s="108"/>
      <c r="E1270" s="285"/>
      <c r="F1270" s="285"/>
      <c r="G1270" s="35"/>
      <c r="H1270" s="104"/>
      <c r="I1270" s="35"/>
      <c r="J1270" s="74"/>
      <c r="K1270" s="74"/>
      <c r="L1270" s="74"/>
      <c r="M1270" s="74"/>
      <c r="N1270" s="74"/>
      <c r="O1270" s="74"/>
      <c r="P1270" s="74"/>
      <c r="Q1270" s="74"/>
      <c r="R1270" s="74"/>
      <c r="S1270" s="74"/>
      <c r="T1270" s="74"/>
      <c r="U1270" s="74"/>
      <c r="V1270" s="74"/>
      <c r="W1270" s="74"/>
      <c r="X1270" s="74"/>
      <c r="Y1270" s="74"/>
      <c r="Z1270" s="74"/>
      <c r="AA1270" s="74"/>
      <c r="AB1270" s="74"/>
    </row>
    <row r="1271" spans="1:28" ht="12" customHeight="1">
      <c r="A1271" s="330"/>
      <c r="B1271" s="314"/>
      <c r="C1271" s="285"/>
      <c r="D1271" s="108"/>
      <c r="E1271" s="285"/>
      <c r="F1271" s="285"/>
      <c r="G1271" s="35"/>
      <c r="H1271" s="104"/>
      <c r="I1271" s="35"/>
      <c r="J1271" s="74"/>
      <c r="K1271" s="74"/>
      <c r="L1271" s="74"/>
      <c r="M1271" s="74"/>
      <c r="N1271" s="74"/>
      <c r="O1271" s="74"/>
      <c r="P1271" s="74"/>
      <c r="Q1271" s="74"/>
      <c r="R1271" s="74"/>
      <c r="S1271" s="74"/>
      <c r="T1271" s="74"/>
      <c r="U1271" s="74"/>
      <c r="V1271" s="74"/>
      <c r="W1271" s="74"/>
      <c r="X1271" s="74"/>
      <c r="Y1271" s="74"/>
      <c r="Z1271" s="74"/>
      <c r="AA1271" s="74"/>
      <c r="AB1271" s="74"/>
    </row>
    <row r="1272" spans="1:28" ht="12" customHeight="1">
      <c r="A1272" s="330"/>
      <c r="B1272" s="314"/>
      <c r="C1272" s="285"/>
      <c r="D1272" s="108"/>
      <c r="E1272" s="285"/>
      <c r="F1272" s="285"/>
      <c r="G1272" s="35"/>
      <c r="H1272" s="104"/>
      <c r="I1272" s="35"/>
      <c r="J1272" s="74"/>
      <c r="K1272" s="74"/>
      <c r="L1272" s="74"/>
      <c r="M1272" s="74"/>
      <c r="N1272" s="74"/>
      <c r="O1272" s="74"/>
      <c r="P1272" s="74"/>
      <c r="Q1272" s="74"/>
      <c r="R1272" s="74"/>
      <c r="S1272" s="74"/>
      <c r="T1272" s="74"/>
      <c r="U1272" s="74"/>
      <c r="V1272" s="74"/>
      <c r="W1272" s="74"/>
      <c r="X1272" s="74"/>
      <c r="Y1272" s="74"/>
      <c r="Z1272" s="74"/>
      <c r="AA1272" s="74"/>
      <c r="AB1272" s="74"/>
    </row>
    <row r="1273" spans="1:28" ht="12" customHeight="1">
      <c r="A1273" s="330"/>
      <c r="B1273" s="314"/>
      <c r="C1273" s="285"/>
      <c r="D1273" s="108"/>
      <c r="E1273" s="285"/>
      <c r="F1273" s="285"/>
      <c r="G1273" s="35"/>
      <c r="H1273" s="104"/>
      <c r="I1273" s="35"/>
      <c r="J1273" s="74"/>
      <c r="K1273" s="74"/>
      <c r="L1273" s="74"/>
      <c r="M1273" s="74"/>
      <c r="N1273" s="74"/>
      <c r="O1273" s="74"/>
      <c r="P1273" s="74"/>
      <c r="Q1273" s="74"/>
      <c r="R1273" s="74"/>
      <c r="S1273" s="74"/>
      <c r="T1273" s="74"/>
      <c r="U1273" s="74"/>
      <c r="V1273" s="74"/>
      <c r="W1273" s="74"/>
      <c r="X1273" s="74"/>
      <c r="Y1273" s="74"/>
      <c r="Z1273" s="74"/>
      <c r="AA1273" s="74"/>
      <c r="AB1273" s="74"/>
    </row>
    <row r="1274" spans="1:28" ht="12" customHeight="1">
      <c r="A1274" s="330"/>
      <c r="B1274" s="314"/>
      <c r="C1274" s="285"/>
      <c r="D1274" s="108"/>
      <c r="E1274" s="285"/>
      <c r="F1274" s="285"/>
      <c r="G1274" s="35"/>
      <c r="H1274" s="104"/>
      <c r="I1274" s="35"/>
      <c r="J1274" s="74"/>
      <c r="K1274" s="74"/>
      <c r="L1274" s="74"/>
      <c r="M1274" s="74"/>
      <c r="N1274" s="74"/>
      <c r="O1274" s="74"/>
      <c r="P1274" s="74"/>
      <c r="Q1274" s="74"/>
      <c r="R1274" s="74"/>
      <c r="S1274" s="74"/>
      <c r="T1274" s="74"/>
      <c r="U1274" s="74"/>
      <c r="V1274" s="74"/>
      <c r="W1274" s="74"/>
      <c r="X1274" s="74"/>
      <c r="Y1274" s="74"/>
      <c r="Z1274" s="74"/>
      <c r="AA1274" s="74"/>
      <c r="AB1274" s="74"/>
    </row>
    <row r="1275" spans="1:28" ht="12" customHeight="1">
      <c r="A1275" s="330"/>
      <c r="B1275" s="314"/>
      <c r="C1275" s="285"/>
      <c r="D1275" s="108"/>
      <c r="E1275" s="285"/>
      <c r="F1275" s="285"/>
      <c r="G1275" s="35"/>
      <c r="H1275" s="104"/>
      <c r="I1275" s="35"/>
      <c r="J1275" s="74"/>
      <c r="K1275" s="74"/>
      <c r="L1275" s="74"/>
      <c r="M1275" s="74"/>
      <c r="N1275" s="74"/>
      <c r="O1275" s="74"/>
      <c r="P1275" s="74"/>
      <c r="Q1275" s="74"/>
      <c r="R1275" s="74"/>
      <c r="S1275" s="74"/>
      <c r="T1275" s="74"/>
      <c r="U1275" s="74"/>
      <c r="V1275" s="74"/>
      <c r="W1275" s="74"/>
      <c r="X1275" s="74"/>
      <c r="Y1275" s="74"/>
      <c r="Z1275" s="74"/>
      <c r="AA1275" s="74"/>
      <c r="AB1275" s="74"/>
    </row>
    <row r="1276" spans="1:28" ht="12" customHeight="1">
      <c r="A1276" s="330"/>
      <c r="B1276" s="314"/>
      <c r="C1276" s="285"/>
      <c r="D1276" s="108"/>
      <c r="E1276" s="285"/>
      <c r="F1276" s="285"/>
      <c r="G1276" s="35"/>
      <c r="H1276" s="104"/>
      <c r="I1276" s="35"/>
      <c r="J1276" s="74"/>
      <c r="K1276" s="74"/>
      <c r="L1276" s="74"/>
      <c r="M1276" s="74"/>
      <c r="N1276" s="74"/>
      <c r="O1276" s="74"/>
      <c r="P1276" s="74"/>
      <c r="Q1276" s="74"/>
      <c r="R1276" s="74"/>
      <c r="S1276" s="74"/>
      <c r="T1276" s="74"/>
      <c r="U1276" s="74"/>
      <c r="V1276" s="74"/>
      <c r="W1276" s="74"/>
      <c r="X1276" s="74"/>
      <c r="Y1276" s="74"/>
      <c r="Z1276" s="74"/>
      <c r="AA1276" s="74"/>
      <c r="AB1276" s="74"/>
    </row>
    <row r="1277" spans="1:28" ht="12" customHeight="1">
      <c r="A1277" s="330"/>
      <c r="B1277" s="314"/>
      <c r="C1277" s="285"/>
      <c r="D1277" s="108"/>
      <c r="E1277" s="285"/>
      <c r="F1277" s="285"/>
      <c r="G1277" s="35"/>
      <c r="H1277" s="104"/>
      <c r="I1277" s="35"/>
      <c r="J1277" s="74"/>
      <c r="K1277" s="74"/>
      <c r="L1277" s="74"/>
      <c r="M1277" s="74"/>
      <c r="N1277" s="74"/>
      <c r="O1277" s="74"/>
      <c r="P1277" s="74"/>
      <c r="Q1277" s="74"/>
      <c r="R1277" s="74"/>
      <c r="S1277" s="74"/>
      <c r="T1277" s="74"/>
      <c r="U1277" s="74"/>
      <c r="V1277" s="74"/>
      <c r="W1277" s="74"/>
      <c r="X1277" s="74"/>
      <c r="Y1277" s="74"/>
      <c r="Z1277" s="74"/>
      <c r="AA1277" s="74"/>
      <c r="AB1277" s="74"/>
    </row>
    <row r="1278" spans="1:28" ht="12" customHeight="1">
      <c r="A1278" s="330"/>
      <c r="B1278" s="314"/>
      <c r="C1278" s="285"/>
      <c r="D1278" s="108"/>
      <c r="E1278" s="285"/>
      <c r="F1278" s="285"/>
      <c r="G1278" s="35"/>
      <c r="H1278" s="104"/>
      <c r="I1278" s="35"/>
      <c r="J1278" s="74"/>
      <c r="K1278" s="74"/>
      <c r="L1278" s="74"/>
      <c r="M1278" s="74"/>
      <c r="N1278" s="74"/>
      <c r="O1278" s="74"/>
      <c r="P1278" s="74"/>
      <c r="Q1278" s="74"/>
      <c r="R1278" s="74"/>
      <c r="S1278" s="74"/>
      <c r="T1278" s="74"/>
      <c r="U1278" s="74"/>
      <c r="V1278" s="74"/>
      <c r="W1278" s="74"/>
      <c r="X1278" s="74"/>
      <c r="Y1278" s="74"/>
      <c r="Z1278" s="74"/>
      <c r="AA1278" s="74"/>
      <c r="AB1278" s="74"/>
    </row>
    <row r="1279" spans="1:28" ht="12" customHeight="1">
      <c r="A1279" s="330"/>
      <c r="B1279" s="314"/>
      <c r="C1279" s="285"/>
      <c r="D1279" s="108"/>
      <c r="E1279" s="285"/>
      <c r="F1279" s="285"/>
      <c r="G1279" s="35"/>
      <c r="H1279" s="104"/>
      <c r="I1279" s="35"/>
      <c r="J1279" s="74"/>
      <c r="K1279" s="74"/>
      <c r="L1279" s="74"/>
      <c r="M1279" s="74"/>
      <c r="N1279" s="74"/>
      <c r="O1279" s="74"/>
      <c r="P1279" s="74"/>
      <c r="Q1279" s="74"/>
      <c r="R1279" s="74"/>
      <c r="S1279" s="74"/>
      <c r="T1279" s="74"/>
      <c r="U1279" s="74"/>
      <c r="V1279" s="74"/>
      <c r="W1279" s="74"/>
      <c r="X1279" s="74"/>
      <c r="Y1279" s="74"/>
      <c r="Z1279" s="74"/>
      <c r="AA1279" s="74"/>
      <c r="AB1279" s="74"/>
    </row>
    <row r="1280" spans="1:28" ht="12" customHeight="1">
      <c r="A1280" s="330"/>
      <c r="B1280" s="314"/>
      <c r="C1280" s="285"/>
      <c r="D1280" s="108"/>
      <c r="E1280" s="285"/>
      <c r="F1280" s="285"/>
      <c r="G1280" s="35"/>
      <c r="H1280" s="104"/>
      <c r="I1280" s="35"/>
      <c r="J1280" s="74"/>
      <c r="K1280" s="74"/>
      <c r="L1280" s="74"/>
      <c r="M1280" s="74"/>
      <c r="N1280" s="74"/>
      <c r="O1280" s="74"/>
      <c r="P1280" s="74"/>
      <c r="Q1280" s="74"/>
      <c r="R1280" s="74"/>
      <c r="S1280" s="74"/>
      <c r="T1280" s="74"/>
      <c r="U1280" s="74"/>
      <c r="V1280" s="74"/>
      <c r="W1280" s="74"/>
      <c r="X1280" s="74"/>
      <c r="Y1280" s="74"/>
      <c r="Z1280" s="74"/>
      <c r="AA1280" s="74"/>
      <c r="AB1280" s="74"/>
    </row>
    <row r="1281" spans="1:28" ht="12" customHeight="1">
      <c r="A1281" s="330"/>
      <c r="B1281" s="314"/>
      <c r="C1281" s="285"/>
      <c r="D1281" s="108"/>
      <c r="E1281" s="285"/>
      <c r="F1281" s="285"/>
      <c r="G1281" s="35"/>
      <c r="H1281" s="104"/>
      <c r="I1281" s="35"/>
      <c r="J1281" s="74"/>
      <c r="K1281" s="74"/>
      <c r="L1281" s="74"/>
      <c r="M1281" s="74"/>
      <c r="N1281" s="74"/>
      <c r="O1281" s="74"/>
      <c r="P1281" s="74"/>
      <c r="Q1281" s="74"/>
      <c r="R1281" s="74"/>
      <c r="S1281" s="74"/>
      <c r="T1281" s="74"/>
      <c r="U1281" s="74"/>
      <c r="V1281" s="74"/>
      <c r="W1281" s="74"/>
      <c r="X1281" s="74"/>
      <c r="Y1281" s="74"/>
      <c r="Z1281" s="74"/>
      <c r="AA1281" s="74"/>
      <c r="AB1281" s="74"/>
    </row>
    <row r="1282" spans="1:28" ht="12" customHeight="1">
      <c r="A1282" s="330"/>
      <c r="B1282" s="314"/>
      <c r="C1282" s="285"/>
      <c r="D1282" s="108"/>
      <c r="E1282" s="285"/>
      <c r="F1282" s="285"/>
      <c r="G1282" s="35"/>
      <c r="H1282" s="104"/>
      <c r="I1282" s="35"/>
      <c r="J1282" s="74"/>
      <c r="K1282" s="74"/>
      <c r="L1282" s="74"/>
      <c r="M1282" s="74"/>
      <c r="N1282" s="74"/>
      <c r="O1282" s="74"/>
      <c r="P1282" s="74"/>
      <c r="Q1282" s="74"/>
      <c r="R1282" s="74"/>
      <c r="S1282" s="74"/>
      <c r="T1282" s="74"/>
      <c r="U1282" s="74"/>
      <c r="V1282" s="74"/>
      <c r="W1282" s="74"/>
      <c r="X1282" s="74"/>
      <c r="Y1282" s="74"/>
      <c r="Z1282" s="74"/>
      <c r="AA1282" s="74"/>
      <c r="AB1282" s="74"/>
    </row>
    <row r="1283" spans="1:28" ht="12" customHeight="1">
      <c r="A1283" s="330"/>
      <c r="B1283" s="314"/>
      <c r="C1283" s="285"/>
      <c r="D1283" s="108"/>
      <c r="E1283" s="285"/>
      <c r="F1283" s="285"/>
      <c r="G1283" s="35"/>
      <c r="H1283" s="104"/>
      <c r="I1283" s="35"/>
      <c r="J1283" s="74"/>
      <c r="K1283" s="74"/>
      <c r="L1283" s="74"/>
      <c r="M1283" s="74"/>
      <c r="N1283" s="74"/>
      <c r="O1283" s="74"/>
      <c r="P1283" s="74"/>
      <c r="Q1283" s="74"/>
      <c r="R1283" s="74"/>
      <c r="S1283" s="74"/>
      <c r="T1283" s="74"/>
      <c r="U1283" s="74"/>
      <c r="V1283" s="74"/>
      <c r="W1283" s="74"/>
      <c r="X1283" s="74"/>
      <c r="Y1283" s="74"/>
      <c r="Z1283" s="74"/>
      <c r="AA1283" s="74"/>
      <c r="AB1283" s="74"/>
    </row>
    <row r="1284" spans="1:28" ht="12" customHeight="1">
      <c r="A1284" s="330"/>
      <c r="B1284" s="314"/>
      <c r="C1284" s="285"/>
      <c r="D1284" s="108"/>
      <c r="E1284" s="285"/>
      <c r="F1284" s="285"/>
      <c r="G1284" s="35"/>
      <c r="H1284" s="104"/>
      <c r="I1284" s="35"/>
      <c r="J1284" s="74"/>
      <c r="K1284" s="74"/>
      <c r="L1284" s="74"/>
      <c r="M1284" s="74"/>
      <c r="N1284" s="74"/>
      <c r="O1284" s="74"/>
      <c r="P1284" s="74"/>
      <c r="Q1284" s="74"/>
      <c r="R1284" s="74"/>
      <c r="S1284" s="74"/>
      <c r="T1284" s="74"/>
      <c r="U1284" s="74"/>
      <c r="V1284" s="74"/>
      <c r="W1284" s="74"/>
      <c r="X1284" s="74"/>
      <c r="Y1284" s="74"/>
      <c r="Z1284" s="74"/>
      <c r="AA1284" s="74"/>
      <c r="AB1284" s="74"/>
    </row>
    <row r="1285" spans="1:28" ht="12" customHeight="1">
      <c r="A1285" s="330"/>
      <c r="B1285" s="314"/>
      <c r="C1285" s="285"/>
      <c r="D1285" s="108"/>
      <c r="E1285" s="285"/>
      <c r="F1285" s="285"/>
      <c r="G1285" s="35"/>
      <c r="H1285" s="104"/>
      <c r="I1285" s="35"/>
      <c r="J1285" s="74"/>
      <c r="K1285" s="74"/>
      <c r="L1285" s="74"/>
      <c r="M1285" s="74"/>
      <c r="N1285" s="74"/>
      <c r="O1285" s="74"/>
      <c r="P1285" s="74"/>
      <c r="Q1285" s="74"/>
      <c r="R1285" s="74"/>
      <c r="S1285" s="74"/>
      <c r="T1285" s="74"/>
      <c r="U1285" s="74"/>
      <c r="V1285" s="74"/>
      <c r="W1285" s="74"/>
      <c r="X1285" s="74"/>
      <c r="Y1285" s="74"/>
      <c r="Z1285" s="74"/>
      <c r="AA1285" s="74"/>
      <c r="AB1285" s="74"/>
    </row>
    <row r="1286" spans="1:28" ht="12" customHeight="1">
      <c r="A1286" s="330"/>
      <c r="B1286" s="314"/>
      <c r="C1286" s="285"/>
      <c r="D1286" s="108"/>
      <c r="E1286" s="285"/>
      <c r="F1286" s="285"/>
      <c r="G1286" s="35"/>
      <c r="H1286" s="104"/>
      <c r="I1286" s="35"/>
      <c r="J1286" s="74"/>
      <c r="K1286" s="74"/>
      <c r="L1286" s="74"/>
      <c r="M1286" s="74"/>
      <c r="N1286" s="74"/>
      <c r="O1286" s="74"/>
      <c r="P1286" s="74"/>
      <c r="Q1286" s="74"/>
      <c r="R1286" s="74"/>
      <c r="S1286" s="74"/>
      <c r="T1286" s="74"/>
      <c r="U1286" s="74"/>
      <c r="V1286" s="74"/>
      <c r="W1286" s="74"/>
      <c r="X1286" s="74"/>
      <c r="Y1286" s="74"/>
      <c r="Z1286" s="74"/>
      <c r="AA1286" s="74"/>
      <c r="AB1286" s="74"/>
    </row>
    <row r="1287" spans="1:28" ht="12" customHeight="1">
      <c r="A1287" s="330"/>
      <c r="B1287" s="314"/>
      <c r="C1287" s="285"/>
      <c r="D1287" s="108"/>
      <c r="E1287" s="285"/>
      <c r="F1287" s="285"/>
      <c r="G1287" s="35"/>
      <c r="H1287" s="104"/>
      <c r="I1287" s="35"/>
      <c r="J1287" s="74"/>
      <c r="K1287" s="74"/>
      <c r="L1287" s="74"/>
      <c r="M1287" s="74"/>
      <c r="N1287" s="74"/>
      <c r="O1287" s="74"/>
      <c r="P1287" s="74"/>
      <c r="Q1287" s="74"/>
      <c r="R1287" s="74"/>
      <c r="S1287" s="74"/>
      <c r="T1287" s="74"/>
      <c r="U1287" s="74"/>
      <c r="V1287" s="74"/>
      <c r="W1287" s="74"/>
      <c r="X1287" s="74"/>
      <c r="Y1287" s="74"/>
      <c r="Z1287" s="74"/>
      <c r="AA1287" s="74"/>
      <c r="AB1287" s="74"/>
    </row>
    <row r="1288" spans="1:28" ht="12" customHeight="1">
      <c r="A1288" s="330"/>
      <c r="B1288" s="314"/>
      <c r="C1288" s="285"/>
      <c r="D1288" s="108"/>
      <c r="E1288" s="285"/>
      <c r="F1288" s="285"/>
      <c r="G1288" s="35"/>
      <c r="H1288" s="104"/>
      <c r="I1288" s="35"/>
      <c r="J1288" s="74"/>
      <c r="K1288" s="74"/>
      <c r="L1288" s="74"/>
      <c r="M1288" s="74"/>
      <c r="N1288" s="74"/>
      <c r="O1288" s="74"/>
      <c r="P1288" s="74"/>
      <c r="Q1288" s="74"/>
      <c r="R1288" s="74"/>
      <c r="S1288" s="74"/>
      <c r="T1288" s="74"/>
      <c r="U1288" s="74"/>
      <c r="V1288" s="74"/>
      <c r="W1288" s="74"/>
      <c r="X1288" s="74"/>
      <c r="Y1288" s="74"/>
      <c r="Z1288" s="74"/>
      <c r="AA1288" s="74"/>
      <c r="AB1288" s="74"/>
    </row>
    <row r="1289" spans="1:28" ht="12" customHeight="1">
      <c r="A1289" s="330"/>
      <c r="B1289" s="314"/>
      <c r="C1289" s="285"/>
      <c r="D1289" s="108"/>
      <c r="E1289" s="285"/>
      <c r="F1289" s="285"/>
      <c r="G1289" s="35"/>
      <c r="H1289" s="104"/>
      <c r="I1289" s="35"/>
      <c r="J1289" s="74"/>
      <c r="K1289" s="74"/>
      <c r="L1289" s="74"/>
      <c r="M1289" s="74"/>
      <c r="N1289" s="74"/>
      <c r="O1289" s="74"/>
      <c r="P1289" s="74"/>
      <c r="Q1289" s="74"/>
      <c r="R1289" s="74"/>
      <c r="S1289" s="74"/>
      <c r="T1289" s="74"/>
      <c r="U1289" s="74"/>
      <c r="V1289" s="74"/>
      <c r="W1289" s="74"/>
      <c r="X1289" s="74"/>
      <c r="Y1289" s="74"/>
      <c r="Z1289" s="74"/>
      <c r="AA1289" s="74"/>
      <c r="AB1289" s="74"/>
    </row>
    <row r="1290" spans="1:28" ht="12" customHeight="1">
      <c r="A1290" s="330"/>
      <c r="B1290" s="314"/>
      <c r="C1290" s="285"/>
      <c r="D1290" s="108"/>
      <c r="E1290" s="285"/>
      <c r="F1290" s="285"/>
      <c r="G1290" s="35"/>
      <c r="H1290" s="104"/>
      <c r="I1290" s="35"/>
      <c r="J1290" s="74"/>
      <c r="K1290" s="74"/>
      <c r="L1290" s="74"/>
      <c r="M1290" s="74"/>
      <c r="N1290" s="74"/>
      <c r="O1290" s="74"/>
      <c r="P1290" s="74"/>
      <c r="Q1290" s="74"/>
      <c r="R1290" s="74"/>
      <c r="S1290" s="74"/>
      <c r="T1290" s="74"/>
      <c r="U1290" s="74"/>
      <c r="V1290" s="74"/>
      <c r="W1290" s="74"/>
      <c r="X1290" s="74"/>
      <c r="Y1290" s="74"/>
      <c r="Z1290" s="74"/>
      <c r="AA1290" s="74"/>
      <c r="AB1290" s="74"/>
    </row>
    <row r="1291" spans="1:28" ht="12" customHeight="1">
      <c r="A1291" s="330"/>
      <c r="B1291" s="314"/>
      <c r="C1291" s="285"/>
      <c r="D1291" s="108"/>
      <c r="E1291" s="285"/>
      <c r="F1291" s="285"/>
      <c r="G1291" s="35"/>
      <c r="H1291" s="104"/>
      <c r="I1291" s="35"/>
      <c r="J1291" s="74"/>
      <c r="K1291" s="74"/>
      <c r="L1291" s="74"/>
      <c r="M1291" s="74"/>
      <c r="N1291" s="74"/>
      <c r="O1291" s="74"/>
      <c r="P1291" s="74"/>
      <c r="Q1291" s="74"/>
      <c r="R1291" s="74"/>
      <c r="S1291" s="74"/>
      <c r="T1291" s="74"/>
      <c r="U1291" s="74"/>
      <c r="V1291" s="74"/>
      <c r="W1291" s="74"/>
      <c r="X1291" s="74"/>
      <c r="Y1291" s="74"/>
      <c r="Z1291" s="74"/>
      <c r="AA1291" s="74"/>
      <c r="AB1291" s="74"/>
    </row>
    <row r="1292" spans="1:28" ht="12" customHeight="1">
      <c r="A1292" s="330"/>
      <c r="B1292" s="314"/>
      <c r="C1292" s="285"/>
      <c r="D1292" s="108"/>
      <c r="E1292" s="285"/>
      <c r="F1292" s="285"/>
      <c r="G1292" s="35"/>
      <c r="H1292" s="104"/>
      <c r="I1292" s="35"/>
      <c r="J1292" s="74"/>
      <c r="K1292" s="74"/>
      <c r="L1292" s="74"/>
      <c r="M1292" s="74"/>
      <c r="N1292" s="74"/>
      <c r="O1292" s="74"/>
      <c r="P1292" s="74"/>
      <c r="Q1292" s="74"/>
      <c r="R1292" s="74"/>
      <c r="S1292" s="74"/>
      <c r="T1292" s="74"/>
      <c r="U1292" s="74"/>
      <c r="V1292" s="74"/>
      <c r="W1292" s="74"/>
      <c r="X1292" s="74"/>
      <c r="Y1292" s="74"/>
      <c r="Z1292" s="74"/>
      <c r="AA1292" s="74"/>
      <c r="AB1292" s="74"/>
    </row>
    <row r="1293" spans="1:28" ht="12" customHeight="1">
      <c r="A1293" s="330"/>
      <c r="B1293" s="314"/>
      <c r="C1293" s="285"/>
      <c r="D1293" s="108"/>
      <c r="E1293" s="285"/>
      <c r="F1293" s="285"/>
      <c r="G1293" s="35"/>
      <c r="H1293" s="104"/>
      <c r="I1293" s="35"/>
      <c r="J1293" s="74"/>
      <c r="K1293" s="74"/>
      <c r="L1293" s="74"/>
      <c r="M1293" s="74"/>
      <c r="N1293" s="74"/>
      <c r="O1293" s="74"/>
      <c r="P1293" s="74"/>
      <c r="Q1293" s="74"/>
      <c r="R1293" s="74"/>
      <c r="S1293" s="74"/>
      <c r="T1293" s="74"/>
      <c r="U1293" s="74"/>
      <c r="V1293" s="74"/>
      <c r="W1293" s="74"/>
      <c r="X1293" s="74"/>
      <c r="Y1293" s="74"/>
      <c r="Z1293" s="74"/>
      <c r="AA1293" s="74"/>
      <c r="AB1293" s="74"/>
    </row>
    <row r="1294" spans="1:28" ht="12" customHeight="1">
      <c r="A1294" s="330"/>
      <c r="B1294" s="314"/>
      <c r="C1294" s="285"/>
      <c r="D1294" s="108"/>
      <c r="E1294" s="285"/>
      <c r="F1294" s="285"/>
      <c r="G1294" s="35"/>
      <c r="H1294" s="104"/>
      <c r="I1294" s="35"/>
      <c r="J1294" s="74"/>
      <c r="K1294" s="74"/>
      <c r="L1294" s="74"/>
      <c r="M1294" s="74"/>
      <c r="N1294" s="74"/>
      <c r="O1294" s="74"/>
      <c r="P1294" s="74"/>
      <c r="Q1294" s="74"/>
      <c r="R1294" s="74"/>
      <c r="S1294" s="74"/>
      <c r="T1294" s="74"/>
      <c r="U1294" s="74"/>
      <c r="V1294" s="74"/>
      <c r="W1294" s="74"/>
      <c r="X1294" s="74"/>
      <c r="Y1294" s="74"/>
      <c r="Z1294" s="74"/>
      <c r="AA1294" s="74"/>
      <c r="AB1294" s="74"/>
    </row>
    <row r="1295" spans="1:28" ht="12" customHeight="1">
      <c r="A1295" s="330"/>
      <c r="B1295" s="314"/>
      <c r="C1295" s="285"/>
      <c r="D1295" s="108"/>
      <c r="E1295" s="285"/>
      <c r="F1295" s="285"/>
      <c r="G1295" s="35"/>
      <c r="H1295" s="104"/>
      <c r="I1295" s="35"/>
      <c r="J1295" s="74"/>
      <c r="K1295" s="74"/>
      <c r="L1295" s="74"/>
      <c r="M1295" s="74"/>
      <c r="N1295" s="74"/>
      <c r="O1295" s="74"/>
      <c r="P1295" s="74"/>
      <c r="Q1295" s="74"/>
      <c r="R1295" s="74"/>
      <c r="S1295" s="74"/>
      <c r="T1295" s="74"/>
      <c r="U1295" s="74"/>
      <c r="V1295" s="74"/>
      <c r="W1295" s="74"/>
      <c r="X1295" s="74"/>
      <c r="Y1295" s="74"/>
      <c r="Z1295" s="74"/>
      <c r="AA1295" s="74"/>
      <c r="AB1295" s="74"/>
    </row>
    <row r="1296" spans="1:28" ht="12" customHeight="1">
      <c r="A1296" s="330"/>
      <c r="B1296" s="314"/>
      <c r="C1296" s="285"/>
      <c r="D1296" s="108"/>
      <c r="E1296" s="285"/>
      <c r="F1296" s="285"/>
      <c r="G1296" s="35"/>
      <c r="H1296" s="104"/>
      <c r="I1296" s="35"/>
      <c r="J1296" s="74"/>
      <c r="K1296" s="74"/>
      <c r="L1296" s="74"/>
      <c r="M1296" s="74"/>
      <c r="N1296" s="74"/>
      <c r="O1296" s="74"/>
      <c r="P1296" s="74"/>
      <c r="Q1296" s="74"/>
      <c r="R1296" s="74"/>
      <c r="S1296" s="74"/>
      <c r="T1296" s="74"/>
      <c r="U1296" s="74"/>
      <c r="V1296" s="74"/>
      <c r="W1296" s="74"/>
      <c r="X1296" s="74"/>
      <c r="Y1296" s="74"/>
      <c r="Z1296" s="74"/>
      <c r="AA1296" s="74"/>
      <c r="AB1296" s="74"/>
    </row>
    <row r="1297" spans="1:28" ht="12" customHeight="1">
      <c r="A1297" s="330"/>
      <c r="B1297" s="314"/>
      <c r="C1297" s="285"/>
      <c r="D1297" s="108"/>
      <c r="E1297" s="285"/>
      <c r="F1297" s="285"/>
      <c r="G1297" s="35"/>
      <c r="H1297" s="104"/>
      <c r="I1297" s="35"/>
      <c r="J1297" s="74"/>
      <c r="K1297" s="74"/>
      <c r="L1297" s="74"/>
      <c r="M1297" s="74"/>
      <c r="N1297" s="74"/>
      <c r="O1297" s="74"/>
      <c r="P1297" s="74"/>
      <c r="Q1297" s="74"/>
      <c r="R1297" s="74"/>
      <c r="S1297" s="74"/>
      <c r="T1297" s="74"/>
      <c r="U1297" s="74"/>
      <c r="V1297" s="74"/>
      <c r="W1297" s="74"/>
      <c r="X1297" s="74"/>
      <c r="Y1297" s="74"/>
      <c r="Z1297" s="74"/>
      <c r="AA1297" s="74"/>
      <c r="AB1297" s="74"/>
    </row>
    <row r="1298" spans="1:28" ht="12" customHeight="1">
      <c r="A1298" s="330"/>
      <c r="B1298" s="314"/>
      <c r="C1298" s="285"/>
      <c r="D1298" s="108"/>
      <c r="E1298" s="285"/>
      <c r="F1298" s="285"/>
      <c r="G1298" s="35"/>
      <c r="H1298" s="104"/>
      <c r="I1298" s="35"/>
      <c r="J1298" s="74"/>
      <c r="K1298" s="74"/>
      <c r="L1298" s="74"/>
      <c r="M1298" s="74"/>
      <c r="N1298" s="74"/>
      <c r="O1298" s="74"/>
      <c r="P1298" s="74"/>
      <c r="Q1298" s="74"/>
      <c r="R1298" s="74"/>
      <c r="S1298" s="74"/>
      <c r="T1298" s="74"/>
      <c r="U1298" s="74"/>
      <c r="V1298" s="74"/>
      <c r="W1298" s="74"/>
      <c r="X1298" s="74"/>
      <c r="Y1298" s="74"/>
      <c r="Z1298" s="74"/>
      <c r="AA1298" s="74"/>
      <c r="AB1298" s="74"/>
    </row>
    <row r="1299" spans="1:28" ht="12" customHeight="1">
      <c r="A1299" s="330"/>
      <c r="B1299" s="314"/>
      <c r="C1299" s="285"/>
      <c r="D1299" s="108"/>
      <c r="E1299" s="285"/>
      <c r="F1299" s="285"/>
      <c r="G1299" s="35"/>
      <c r="H1299" s="104"/>
      <c r="I1299" s="35"/>
      <c r="J1299" s="74"/>
      <c r="K1299" s="74"/>
      <c r="L1299" s="74"/>
      <c r="M1299" s="74"/>
      <c r="N1299" s="74"/>
      <c r="O1299" s="74"/>
      <c r="P1299" s="74"/>
      <c r="Q1299" s="74"/>
      <c r="R1299" s="74"/>
      <c r="S1299" s="74"/>
      <c r="T1299" s="74"/>
      <c r="U1299" s="74"/>
      <c r="V1299" s="74"/>
      <c r="W1299" s="74"/>
      <c r="X1299" s="74"/>
      <c r="Y1299" s="74"/>
      <c r="Z1299" s="74"/>
      <c r="AA1299" s="74"/>
      <c r="AB1299" s="74"/>
    </row>
    <row r="1300" spans="1:28" ht="12" customHeight="1">
      <c r="A1300" s="330"/>
      <c r="B1300" s="314"/>
      <c r="C1300" s="285"/>
      <c r="D1300" s="108"/>
      <c r="E1300" s="285"/>
      <c r="F1300" s="285"/>
      <c r="G1300" s="35"/>
      <c r="H1300" s="104"/>
      <c r="I1300" s="35"/>
      <c r="J1300" s="74"/>
      <c r="K1300" s="74"/>
      <c r="L1300" s="74"/>
      <c r="M1300" s="74"/>
      <c r="N1300" s="74"/>
      <c r="O1300" s="74"/>
      <c r="P1300" s="74"/>
      <c r="Q1300" s="74"/>
      <c r="R1300" s="74"/>
      <c r="S1300" s="74"/>
      <c r="T1300" s="74"/>
      <c r="U1300" s="74"/>
      <c r="V1300" s="74"/>
      <c r="W1300" s="74"/>
      <c r="X1300" s="74"/>
      <c r="Y1300" s="74"/>
      <c r="Z1300" s="74"/>
      <c r="AA1300" s="74"/>
      <c r="AB1300" s="74"/>
    </row>
    <row r="1301" spans="1:28" ht="12" customHeight="1">
      <c r="A1301" s="330"/>
      <c r="B1301" s="314"/>
      <c r="C1301" s="285"/>
      <c r="D1301" s="108"/>
      <c r="E1301" s="285"/>
      <c r="F1301" s="285"/>
      <c r="G1301" s="35"/>
      <c r="H1301" s="104"/>
      <c r="I1301" s="35"/>
      <c r="J1301" s="74"/>
      <c r="K1301" s="74"/>
      <c r="L1301" s="74"/>
      <c r="M1301" s="74"/>
      <c r="N1301" s="74"/>
      <c r="O1301" s="74"/>
      <c r="P1301" s="74"/>
      <c r="Q1301" s="74"/>
      <c r="R1301" s="74"/>
      <c r="S1301" s="74"/>
      <c r="T1301" s="74"/>
      <c r="U1301" s="74"/>
      <c r="V1301" s="74"/>
      <c r="W1301" s="74"/>
      <c r="X1301" s="74"/>
      <c r="Y1301" s="74"/>
      <c r="Z1301" s="74"/>
      <c r="AA1301" s="74"/>
      <c r="AB1301" s="74"/>
    </row>
    <row r="1302" spans="1:28" ht="12" customHeight="1">
      <c r="A1302" s="330"/>
      <c r="B1302" s="314"/>
      <c r="C1302" s="285"/>
      <c r="D1302" s="108"/>
      <c r="E1302" s="285"/>
      <c r="F1302" s="285"/>
      <c r="G1302" s="35"/>
      <c r="H1302" s="104"/>
      <c r="I1302" s="35"/>
      <c r="J1302" s="74"/>
      <c r="K1302" s="74"/>
      <c r="L1302" s="74"/>
      <c r="M1302" s="74"/>
      <c r="N1302" s="74"/>
      <c r="O1302" s="74"/>
      <c r="P1302" s="74"/>
      <c r="Q1302" s="74"/>
      <c r="R1302" s="74"/>
      <c r="S1302" s="74"/>
      <c r="T1302" s="74"/>
      <c r="U1302" s="74"/>
      <c r="V1302" s="74"/>
      <c r="W1302" s="74"/>
      <c r="X1302" s="74"/>
      <c r="Y1302" s="74"/>
      <c r="Z1302" s="74"/>
      <c r="AA1302" s="74"/>
      <c r="AB1302" s="74"/>
    </row>
    <row r="1303" spans="1:28" ht="12" customHeight="1">
      <c r="A1303" s="330"/>
      <c r="B1303" s="314"/>
      <c r="C1303" s="285"/>
      <c r="D1303" s="108"/>
      <c r="E1303" s="285"/>
      <c r="F1303" s="285"/>
      <c r="G1303" s="35"/>
      <c r="H1303" s="104"/>
      <c r="I1303" s="35"/>
      <c r="J1303" s="74"/>
      <c r="K1303" s="74"/>
      <c r="L1303" s="74"/>
      <c r="M1303" s="74"/>
      <c r="N1303" s="74"/>
      <c r="O1303" s="74"/>
      <c r="P1303" s="74"/>
      <c r="Q1303" s="74"/>
      <c r="R1303" s="74"/>
      <c r="S1303" s="74"/>
      <c r="T1303" s="74"/>
      <c r="U1303" s="74"/>
      <c r="V1303" s="74"/>
      <c r="W1303" s="74"/>
      <c r="X1303" s="74"/>
      <c r="Y1303" s="74"/>
      <c r="Z1303" s="74"/>
      <c r="AA1303" s="74"/>
      <c r="AB1303" s="74"/>
    </row>
    <row r="1304" spans="1:28" ht="12" customHeight="1">
      <c r="A1304" s="330"/>
      <c r="B1304" s="314"/>
      <c r="C1304" s="285"/>
      <c r="D1304" s="108"/>
      <c r="E1304" s="285"/>
      <c r="F1304" s="285"/>
      <c r="G1304" s="35"/>
      <c r="H1304" s="104"/>
      <c r="I1304" s="35"/>
      <c r="J1304" s="74"/>
      <c r="K1304" s="74"/>
      <c r="L1304" s="74"/>
      <c r="M1304" s="74"/>
      <c r="N1304" s="74"/>
      <c r="O1304" s="74"/>
      <c r="P1304" s="74"/>
      <c r="Q1304" s="74"/>
      <c r="R1304" s="74"/>
      <c r="S1304" s="74"/>
      <c r="T1304" s="74"/>
      <c r="U1304" s="74"/>
      <c r="V1304" s="74"/>
      <c r="W1304" s="74"/>
      <c r="X1304" s="74"/>
      <c r="Y1304" s="74"/>
      <c r="Z1304" s="74"/>
      <c r="AA1304" s="74"/>
      <c r="AB1304" s="74"/>
    </row>
    <row r="1305" spans="1:28" ht="12" customHeight="1">
      <c r="A1305" s="330"/>
      <c r="B1305" s="314"/>
      <c r="C1305" s="285"/>
      <c r="D1305" s="108"/>
      <c r="E1305" s="285"/>
      <c r="F1305" s="285"/>
      <c r="G1305" s="35"/>
      <c r="H1305" s="104"/>
      <c r="I1305" s="35"/>
      <c r="J1305" s="74"/>
      <c r="K1305" s="74"/>
      <c r="L1305" s="74"/>
      <c r="M1305" s="74"/>
      <c r="N1305" s="74"/>
      <c r="O1305" s="74"/>
      <c r="P1305" s="74"/>
      <c r="Q1305" s="74"/>
      <c r="R1305" s="74"/>
      <c r="S1305" s="74"/>
      <c r="T1305" s="74"/>
      <c r="U1305" s="74"/>
      <c r="V1305" s="74"/>
      <c r="W1305" s="74"/>
      <c r="X1305" s="74"/>
      <c r="Y1305" s="74"/>
      <c r="Z1305" s="74"/>
      <c r="AA1305" s="74"/>
      <c r="AB1305" s="74"/>
    </row>
    <row r="1306" spans="1:28" ht="12" customHeight="1">
      <c r="A1306" s="330"/>
      <c r="B1306" s="314"/>
      <c r="C1306" s="285"/>
      <c r="D1306" s="108"/>
      <c r="E1306" s="285"/>
      <c r="F1306" s="285"/>
      <c r="G1306" s="35"/>
      <c r="H1306" s="104"/>
      <c r="I1306" s="35"/>
      <c r="J1306" s="74"/>
      <c r="K1306" s="74"/>
      <c r="L1306" s="74"/>
      <c r="M1306" s="74"/>
      <c r="N1306" s="74"/>
      <c r="O1306" s="74"/>
      <c r="P1306" s="74"/>
      <c r="Q1306" s="74"/>
      <c r="R1306" s="74"/>
      <c r="S1306" s="74"/>
      <c r="T1306" s="74"/>
      <c r="U1306" s="74"/>
      <c r="V1306" s="74"/>
      <c r="W1306" s="74"/>
      <c r="X1306" s="74"/>
      <c r="Y1306" s="74"/>
      <c r="Z1306" s="74"/>
      <c r="AA1306" s="74"/>
      <c r="AB1306" s="74"/>
    </row>
    <row r="1307" spans="1:28" ht="12" customHeight="1">
      <c r="A1307" s="330"/>
      <c r="B1307" s="314"/>
      <c r="C1307" s="285"/>
      <c r="D1307" s="108"/>
      <c r="E1307" s="285"/>
      <c r="F1307" s="285"/>
      <c r="G1307" s="35"/>
      <c r="H1307" s="104"/>
      <c r="I1307" s="35"/>
      <c r="J1307" s="74"/>
      <c r="K1307" s="74"/>
      <c r="L1307" s="74"/>
      <c r="M1307" s="74"/>
      <c r="N1307" s="74"/>
      <c r="O1307" s="74"/>
      <c r="P1307" s="74"/>
      <c r="Q1307" s="74"/>
      <c r="R1307" s="74"/>
      <c r="S1307" s="74"/>
      <c r="T1307" s="74"/>
      <c r="U1307" s="74"/>
      <c r="V1307" s="74"/>
      <c r="W1307" s="74"/>
      <c r="X1307" s="74"/>
      <c r="Y1307" s="74"/>
      <c r="Z1307" s="74"/>
      <c r="AA1307" s="74"/>
      <c r="AB1307" s="74"/>
    </row>
    <row r="1308" spans="1:28" ht="12" customHeight="1">
      <c r="A1308" s="330"/>
      <c r="B1308" s="314"/>
      <c r="C1308" s="285"/>
      <c r="D1308" s="108"/>
      <c r="E1308" s="285"/>
      <c r="F1308" s="285"/>
      <c r="G1308" s="35"/>
      <c r="H1308" s="104"/>
      <c r="I1308" s="35"/>
      <c r="J1308" s="74"/>
      <c r="K1308" s="74"/>
      <c r="L1308" s="74"/>
      <c r="M1308" s="74"/>
      <c r="N1308" s="74"/>
      <c r="O1308" s="74"/>
      <c r="P1308" s="74"/>
      <c r="Q1308" s="74"/>
      <c r="R1308" s="74"/>
      <c r="S1308" s="74"/>
      <c r="T1308" s="74"/>
      <c r="U1308" s="74"/>
      <c r="V1308" s="74"/>
      <c r="W1308" s="74"/>
      <c r="X1308" s="74"/>
      <c r="Y1308" s="74"/>
      <c r="Z1308" s="74"/>
      <c r="AA1308" s="74"/>
      <c r="AB1308" s="74"/>
    </row>
    <row r="1309" spans="1:28" ht="12" customHeight="1">
      <c r="A1309" s="330"/>
      <c r="B1309" s="314"/>
      <c r="C1309" s="285"/>
      <c r="D1309" s="108"/>
      <c r="E1309" s="285"/>
      <c r="F1309" s="285"/>
      <c r="G1309" s="35"/>
      <c r="H1309" s="104"/>
      <c r="I1309" s="35"/>
      <c r="J1309" s="74"/>
      <c r="K1309" s="74"/>
      <c r="L1309" s="74"/>
      <c r="M1309" s="74"/>
      <c r="N1309" s="74"/>
      <c r="O1309" s="74"/>
      <c r="P1309" s="74"/>
      <c r="Q1309" s="74"/>
      <c r="R1309" s="74"/>
      <c r="S1309" s="74"/>
      <c r="T1309" s="74"/>
      <c r="U1309" s="74"/>
      <c r="V1309" s="74"/>
      <c r="W1309" s="74"/>
      <c r="X1309" s="74"/>
      <c r="Y1309" s="74"/>
      <c r="Z1309" s="74"/>
      <c r="AA1309" s="74"/>
      <c r="AB1309" s="74"/>
    </row>
    <row r="1310" spans="1:28" ht="12" customHeight="1">
      <c r="A1310" s="330"/>
      <c r="B1310" s="314"/>
      <c r="C1310" s="285"/>
      <c r="D1310" s="108"/>
      <c r="E1310" s="285"/>
      <c r="F1310" s="285"/>
      <c r="G1310" s="35"/>
      <c r="H1310" s="104"/>
      <c r="I1310" s="35"/>
      <c r="J1310" s="74"/>
      <c r="K1310" s="74"/>
      <c r="L1310" s="74"/>
      <c r="M1310" s="74"/>
      <c r="N1310" s="74"/>
      <c r="O1310" s="74"/>
      <c r="P1310" s="74"/>
      <c r="Q1310" s="74"/>
      <c r="R1310" s="74"/>
      <c r="S1310" s="74"/>
      <c r="T1310" s="74"/>
      <c r="U1310" s="74"/>
      <c r="V1310" s="74"/>
      <c r="W1310" s="74"/>
      <c r="X1310" s="74"/>
      <c r="Y1310" s="74"/>
      <c r="Z1310" s="74"/>
      <c r="AA1310" s="74"/>
      <c r="AB1310" s="74"/>
    </row>
    <row r="1311" spans="1:28" ht="12" customHeight="1">
      <c r="A1311" s="330"/>
      <c r="B1311" s="314"/>
      <c r="C1311" s="285"/>
      <c r="D1311" s="108"/>
      <c r="E1311" s="285"/>
      <c r="F1311" s="285"/>
      <c r="G1311" s="35"/>
      <c r="H1311" s="104"/>
      <c r="I1311" s="35"/>
      <c r="J1311" s="74"/>
      <c r="K1311" s="74"/>
      <c r="L1311" s="74"/>
      <c r="M1311" s="74"/>
      <c r="N1311" s="74"/>
      <c r="O1311" s="74"/>
      <c r="P1311" s="74"/>
      <c r="Q1311" s="74"/>
      <c r="R1311" s="74"/>
      <c r="S1311" s="74"/>
      <c r="T1311" s="74"/>
      <c r="U1311" s="74"/>
      <c r="V1311" s="74"/>
      <c r="W1311" s="74"/>
      <c r="X1311" s="74"/>
      <c r="Y1311" s="74"/>
      <c r="Z1311" s="74"/>
      <c r="AA1311" s="74"/>
      <c r="AB1311" s="74"/>
    </row>
    <row r="1312" spans="1:28" ht="12" customHeight="1">
      <c r="A1312" s="330"/>
      <c r="B1312" s="314"/>
      <c r="C1312" s="285"/>
      <c r="D1312" s="108"/>
      <c r="E1312" s="285"/>
      <c r="F1312" s="285"/>
      <c r="G1312" s="35"/>
      <c r="H1312" s="104"/>
      <c r="I1312" s="35"/>
      <c r="J1312" s="74"/>
      <c r="K1312" s="74"/>
      <c r="L1312" s="74"/>
      <c r="M1312" s="74"/>
      <c r="N1312" s="74"/>
      <c r="O1312" s="74"/>
      <c r="P1312" s="74"/>
      <c r="Q1312" s="74"/>
      <c r="R1312" s="74"/>
      <c r="S1312" s="74"/>
      <c r="T1312" s="74"/>
      <c r="U1312" s="74"/>
      <c r="V1312" s="74"/>
      <c r="W1312" s="74"/>
      <c r="X1312" s="74"/>
      <c r="Y1312" s="74"/>
      <c r="Z1312" s="74"/>
      <c r="AA1312" s="74"/>
      <c r="AB1312" s="74"/>
    </row>
    <row r="1313" spans="1:28" ht="12" customHeight="1">
      <c r="A1313" s="330"/>
      <c r="B1313" s="314"/>
      <c r="C1313" s="285"/>
      <c r="D1313" s="108"/>
      <c r="E1313" s="285"/>
      <c r="F1313" s="285"/>
      <c r="G1313" s="35"/>
      <c r="H1313" s="104"/>
      <c r="I1313" s="35"/>
      <c r="J1313" s="74"/>
      <c r="K1313" s="74"/>
      <c r="L1313" s="74"/>
      <c r="M1313" s="74"/>
      <c r="N1313" s="74"/>
      <c r="O1313" s="74"/>
      <c r="P1313" s="74"/>
      <c r="Q1313" s="74"/>
      <c r="R1313" s="74"/>
      <c r="S1313" s="74"/>
      <c r="T1313" s="74"/>
      <c r="U1313" s="74"/>
      <c r="V1313" s="74"/>
      <c r="W1313" s="74"/>
      <c r="X1313" s="74"/>
      <c r="Y1313" s="74"/>
      <c r="Z1313" s="74"/>
      <c r="AA1313" s="74"/>
      <c r="AB1313" s="74"/>
    </row>
    <row r="1314" spans="1:28" ht="12" customHeight="1">
      <c r="A1314" s="330"/>
      <c r="B1314" s="314"/>
      <c r="C1314" s="285"/>
      <c r="D1314" s="108"/>
      <c r="E1314" s="285"/>
      <c r="F1314" s="285"/>
      <c r="G1314" s="35"/>
      <c r="H1314" s="104"/>
      <c r="I1314" s="35"/>
      <c r="J1314" s="74"/>
      <c r="K1314" s="74"/>
      <c r="L1314" s="74"/>
      <c r="M1314" s="74"/>
      <c r="N1314" s="74"/>
      <c r="O1314" s="74"/>
      <c r="P1314" s="74"/>
      <c r="Q1314" s="74"/>
      <c r="R1314" s="74"/>
      <c r="S1314" s="74"/>
      <c r="T1314" s="74"/>
      <c r="U1314" s="74"/>
      <c r="V1314" s="74"/>
      <c r="W1314" s="74"/>
      <c r="X1314" s="74"/>
      <c r="Y1314" s="74"/>
      <c r="Z1314" s="74"/>
      <c r="AA1314" s="74"/>
      <c r="AB1314" s="74"/>
    </row>
    <row r="1315" spans="1:28" ht="12" customHeight="1">
      <c r="A1315" s="330"/>
      <c r="B1315" s="314"/>
      <c r="C1315" s="285"/>
      <c r="D1315" s="108"/>
      <c r="E1315" s="285"/>
      <c r="F1315" s="285"/>
      <c r="G1315" s="35"/>
      <c r="H1315" s="104"/>
      <c r="I1315" s="35"/>
      <c r="J1315" s="74"/>
      <c r="K1315" s="74"/>
      <c r="L1315" s="74"/>
      <c r="M1315" s="74"/>
      <c r="N1315" s="74"/>
      <c r="O1315" s="74"/>
      <c r="P1315" s="74"/>
      <c r="Q1315" s="74"/>
      <c r="R1315" s="74"/>
      <c r="S1315" s="74"/>
      <c r="T1315" s="74"/>
      <c r="U1315" s="74"/>
      <c r="V1315" s="74"/>
      <c r="W1315" s="74"/>
      <c r="X1315" s="74"/>
      <c r="Y1315" s="74"/>
      <c r="Z1315" s="74"/>
      <c r="AA1315" s="74"/>
      <c r="AB1315" s="74"/>
    </row>
    <row r="1316" spans="1:28" ht="12" customHeight="1">
      <c r="A1316" s="330"/>
      <c r="B1316" s="314"/>
      <c r="C1316" s="285"/>
      <c r="D1316" s="108"/>
      <c r="E1316" s="285"/>
      <c r="F1316" s="285"/>
      <c r="G1316" s="35"/>
      <c r="H1316" s="104"/>
      <c r="I1316" s="35"/>
      <c r="J1316" s="74"/>
      <c r="K1316" s="74"/>
      <c r="L1316" s="74"/>
      <c r="M1316" s="74"/>
      <c r="N1316" s="74"/>
      <c r="O1316" s="74"/>
      <c r="P1316" s="74"/>
      <c r="Q1316" s="74"/>
      <c r="R1316" s="74"/>
      <c r="S1316" s="74"/>
      <c r="T1316" s="74"/>
      <c r="U1316" s="74"/>
      <c r="V1316" s="74"/>
      <c r="W1316" s="74"/>
      <c r="X1316" s="74"/>
      <c r="Y1316" s="74"/>
      <c r="Z1316" s="74"/>
      <c r="AA1316" s="74"/>
      <c r="AB1316" s="74"/>
    </row>
    <row r="1317" spans="1:28" ht="12" customHeight="1">
      <c r="A1317" s="330"/>
      <c r="B1317" s="314"/>
      <c r="C1317" s="285"/>
      <c r="D1317" s="108"/>
      <c r="E1317" s="285"/>
      <c r="F1317" s="285"/>
      <c r="G1317" s="35"/>
      <c r="H1317" s="104"/>
      <c r="I1317" s="35"/>
      <c r="J1317" s="74"/>
      <c r="K1317" s="74"/>
      <c r="L1317" s="74"/>
      <c r="M1317" s="74"/>
      <c r="N1317" s="74"/>
      <c r="O1317" s="74"/>
      <c r="P1317" s="74"/>
      <c r="Q1317" s="74"/>
      <c r="R1317" s="74"/>
      <c r="S1317" s="74"/>
      <c r="T1317" s="74"/>
      <c r="U1317" s="74"/>
      <c r="V1317" s="74"/>
      <c r="W1317" s="74"/>
      <c r="X1317" s="74"/>
      <c r="Y1317" s="74"/>
      <c r="Z1317" s="74"/>
      <c r="AA1317" s="74"/>
      <c r="AB1317" s="74"/>
    </row>
    <row r="1318" spans="1:28" ht="12" customHeight="1">
      <c r="A1318" s="330"/>
      <c r="B1318" s="314"/>
      <c r="C1318" s="285"/>
      <c r="D1318" s="108"/>
      <c r="E1318" s="285"/>
      <c r="F1318" s="285"/>
      <c r="G1318" s="35"/>
      <c r="H1318" s="104"/>
      <c r="I1318" s="35"/>
      <c r="J1318" s="74"/>
      <c r="K1318" s="74"/>
      <c r="L1318" s="74"/>
      <c r="M1318" s="74"/>
      <c r="N1318" s="74"/>
      <c r="O1318" s="74"/>
      <c r="P1318" s="74"/>
      <c r="Q1318" s="74"/>
      <c r="R1318" s="74"/>
      <c r="S1318" s="74"/>
      <c r="T1318" s="74"/>
      <c r="U1318" s="74"/>
      <c r="V1318" s="74"/>
      <c r="W1318" s="74"/>
      <c r="X1318" s="74"/>
      <c r="Y1318" s="74"/>
      <c r="Z1318" s="74"/>
      <c r="AA1318" s="74"/>
      <c r="AB1318" s="74"/>
    </row>
    <row r="1319" spans="1:28" ht="12" customHeight="1">
      <c r="A1319" s="330"/>
      <c r="B1319" s="314"/>
      <c r="C1319" s="285"/>
      <c r="D1319" s="108"/>
      <c r="E1319" s="285"/>
      <c r="F1319" s="285"/>
      <c r="G1319" s="35"/>
      <c r="H1319" s="104"/>
      <c r="I1319" s="35"/>
      <c r="J1319" s="74"/>
      <c r="K1319" s="74"/>
      <c r="L1319" s="74"/>
      <c r="M1319" s="74"/>
      <c r="N1319" s="74"/>
      <c r="O1319" s="74"/>
      <c r="P1319" s="74"/>
      <c r="Q1319" s="74"/>
      <c r="R1319" s="74"/>
      <c r="S1319" s="74"/>
      <c r="T1319" s="74"/>
      <c r="U1319" s="74"/>
      <c r="V1319" s="74"/>
      <c r="W1319" s="74"/>
      <c r="X1319" s="74"/>
      <c r="Y1319" s="74"/>
      <c r="Z1319" s="74"/>
      <c r="AA1319" s="74"/>
      <c r="AB1319" s="74"/>
    </row>
    <row r="1320" spans="1:28" ht="12" customHeight="1">
      <c r="A1320" s="330"/>
      <c r="B1320" s="314"/>
      <c r="C1320" s="285"/>
      <c r="D1320" s="108"/>
      <c r="E1320" s="285"/>
      <c r="F1320" s="285"/>
      <c r="G1320" s="35"/>
      <c r="H1320" s="104"/>
      <c r="I1320" s="35"/>
      <c r="J1320" s="74"/>
      <c r="K1320" s="74"/>
      <c r="L1320" s="74"/>
      <c r="M1320" s="74"/>
      <c r="N1320" s="74"/>
      <c r="O1320" s="74"/>
      <c r="P1320" s="74"/>
      <c r="Q1320" s="74"/>
      <c r="R1320" s="74"/>
      <c r="S1320" s="74"/>
      <c r="T1320" s="74"/>
      <c r="U1320" s="74"/>
      <c r="V1320" s="74"/>
      <c r="W1320" s="74"/>
      <c r="X1320" s="74"/>
      <c r="Y1320" s="74"/>
      <c r="Z1320" s="74"/>
      <c r="AA1320" s="74"/>
      <c r="AB1320" s="74"/>
    </row>
    <row r="1321" spans="1:28" ht="12" customHeight="1">
      <c r="A1321" s="330"/>
      <c r="B1321" s="314"/>
      <c r="C1321" s="285"/>
      <c r="D1321" s="108"/>
      <c r="E1321" s="285"/>
      <c r="F1321" s="285"/>
      <c r="G1321" s="35"/>
      <c r="H1321" s="104"/>
      <c r="I1321" s="35"/>
      <c r="J1321" s="74"/>
      <c r="K1321" s="74"/>
      <c r="L1321" s="74"/>
      <c r="M1321" s="74"/>
      <c r="N1321" s="74"/>
      <c r="O1321" s="74"/>
      <c r="P1321" s="74"/>
      <c r="Q1321" s="74"/>
      <c r="R1321" s="74"/>
      <c r="S1321" s="74"/>
      <c r="T1321" s="74"/>
      <c r="U1321" s="74"/>
      <c r="V1321" s="74"/>
      <c r="W1321" s="74"/>
      <c r="X1321" s="74"/>
      <c r="Y1321" s="74"/>
      <c r="Z1321" s="74"/>
      <c r="AA1321" s="74"/>
      <c r="AB1321" s="74"/>
    </row>
    <row r="1322" spans="1:28" ht="12" customHeight="1">
      <c r="A1322" s="330"/>
      <c r="B1322" s="314"/>
      <c r="C1322" s="285"/>
      <c r="D1322" s="108"/>
      <c r="E1322" s="285"/>
      <c r="F1322" s="285"/>
      <c r="G1322" s="35"/>
      <c r="H1322" s="104"/>
      <c r="I1322" s="35"/>
      <c r="J1322" s="74"/>
      <c r="K1322" s="74"/>
      <c r="L1322" s="74"/>
      <c r="M1322" s="74"/>
      <c r="N1322" s="74"/>
      <c r="O1322" s="74"/>
      <c r="P1322" s="74"/>
      <c r="Q1322" s="74"/>
      <c r="R1322" s="74"/>
      <c r="S1322" s="74"/>
      <c r="T1322" s="74"/>
      <c r="U1322" s="74"/>
      <c r="V1322" s="74"/>
      <c r="W1322" s="74"/>
      <c r="X1322" s="74"/>
      <c r="Y1322" s="74"/>
      <c r="Z1322" s="74"/>
      <c r="AA1322" s="74"/>
      <c r="AB1322" s="74"/>
    </row>
    <row r="1323" spans="1:28" ht="12" customHeight="1">
      <c r="A1323" s="330"/>
      <c r="B1323" s="314"/>
      <c r="C1323" s="285"/>
      <c r="D1323" s="108"/>
      <c r="E1323" s="285"/>
      <c r="F1323" s="285"/>
      <c r="G1323" s="35"/>
      <c r="H1323" s="104"/>
      <c r="I1323" s="35"/>
      <c r="J1323" s="74"/>
      <c r="K1323" s="74"/>
      <c r="L1323" s="74"/>
      <c r="M1323" s="74"/>
      <c r="N1323" s="74"/>
      <c r="O1323" s="74"/>
      <c r="P1323" s="74"/>
      <c r="Q1323" s="74"/>
      <c r="R1323" s="74"/>
      <c r="S1323" s="74"/>
      <c r="T1323" s="74"/>
      <c r="U1323" s="74"/>
      <c r="V1323" s="74"/>
      <c r="W1323" s="74"/>
      <c r="X1323" s="74"/>
      <c r="Y1323" s="74"/>
      <c r="Z1323" s="74"/>
      <c r="AA1323" s="74"/>
      <c r="AB1323" s="74"/>
    </row>
    <row r="1324" spans="1:28" ht="12" customHeight="1">
      <c r="A1324" s="330"/>
      <c r="B1324" s="314"/>
      <c r="C1324" s="285"/>
      <c r="D1324" s="108"/>
      <c r="E1324" s="285"/>
      <c r="F1324" s="285"/>
      <c r="G1324" s="35"/>
      <c r="H1324" s="104"/>
      <c r="I1324" s="35"/>
      <c r="J1324" s="74"/>
      <c r="K1324" s="74"/>
      <c r="L1324" s="74"/>
      <c r="M1324" s="74"/>
      <c r="N1324" s="74"/>
      <c r="O1324" s="74"/>
      <c r="P1324" s="74"/>
      <c r="Q1324" s="74"/>
      <c r="R1324" s="74"/>
      <c r="S1324" s="74"/>
      <c r="T1324" s="74"/>
      <c r="U1324" s="74"/>
      <c r="V1324" s="74"/>
      <c r="W1324" s="74"/>
      <c r="X1324" s="74"/>
      <c r="Y1324" s="74"/>
      <c r="Z1324" s="74"/>
      <c r="AA1324" s="74"/>
      <c r="AB1324" s="74"/>
    </row>
    <row r="1325" spans="1:28" ht="12" customHeight="1">
      <c r="A1325" s="330"/>
      <c r="B1325" s="314"/>
      <c r="C1325" s="285"/>
      <c r="D1325" s="108"/>
      <c r="E1325" s="285"/>
      <c r="F1325" s="285"/>
      <c r="G1325" s="35"/>
      <c r="H1325" s="104"/>
      <c r="I1325" s="35"/>
      <c r="J1325" s="74"/>
      <c r="K1325" s="74"/>
      <c r="L1325" s="74"/>
      <c r="M1325" s="74"/>
      <c r="N1325" s="74"/>
      <c r="O1325" s="74"/>
      <c r="P1325" s="74"/>
      <c r="Q1325" s="74"/>
      <c r="R1325" s="74"/>
      <c r="S1325" s="74"/>
      <c r="T1325" s="74"/>
      <c r="U1325" s="74"/>
      <c r="V1325" s="74"/>
      <c r="W1325" s="74"/>
      <c r="X1325" s="74"/>
      <c r="Y1325" s="74"/>
      <c r="Z1325" s="74"/>
      <c r="AA1325" s="74"/>
      <c r="AB1325" s="74"/>
    </row>
    <row r="1326" spans="1:28" ht="12" customHeight="1">
      <c r="A1326" s="330"/>
      <c r="B1326" s="314"/>
      <c r="C1326" s="285"/>
      <c r="D1326" s="108"/>
      <c r="E1326" s="285"/>
      <c r="F1326" s="285"/>
      <c r="G1326" s="35"/>
      <c r="H1326" s="104"/>
      <c r="I1326" s="35"/>
      <c r="J1326" s="74"/>
      <c r="K1326" s="74"/>
      <c r="L1326" s="74"/>
      <c r="M1326" s="74"/>
      <c r="N1326" s="74"/>
      <c r="O1326" s="74"/>
      <c r="P1326" s="74"/>
      <c r="Q1326" s="74"/>
      <c r="R1326" s="74"/>
      <c r="S1326" s="74"/>
      <c r="T1326" s="74"/>
      <c r="U1326" s="74"/>
      <c r="V1326" s="74"/>
      <c r="W1326" s="74"/>
      <c r="X1326" s="74"/>
      <c r="Y1326" s="74"/>
      <c r="Z1326" s="74"/>
      <c r="AA1326" s="74"/>
      <c r="AB1326" s="74"/>
    </row>
    <row r="1327" spans="1:28" ht="12" customHeight="1">
      <c r="A1327" s="330"/>
      <c r="B1327" s="314"/>
      <c r="C1327" s="285"/>
      <c r="D1327" s="108"/>
      <c r="E1327" s="285"/>
      <c r="F1327" s="285"/>
      <c r="G1327" s="35"/>
      <c r="H1327" s="104"/>
      <c r="I1327" s="35"/>
      <c r="J1327" s="74"/>
      <c r="K1327" s="74"/>
      <c r="L1327" s="74"/>
      <c r="M1327" s="74"/>
      <c r="N1327" s="74"/>
      <c r="O1327" s="74"/>
      <c r="P1327" s="74"/>
      <c r="Q1327" s="74"/>
      <c r="R1327" s="74"/>
      <c r="S1327" s="74"/>
      <c r="T1327" s="74"/>
      <c r="U1327" s="74"/>
      <c r="V1327" s="74"/>
      <c r="W1327" s="74"/>
      <c r="X1327" s="74"/>
      <c r="Y1327" s="74"/>
      <c r="Z1327" s="74"/>
      <c r="AA1327" s="74"/>
      <c r="AB1327" s="74"/>
    </row>
    <row r="1328" spans="1:28" ht="12" customHeight="1">
      <c r="A1328" s="330"/>
      <c r="B1328" s="314"/>
      <c r="C1328" s="285"/>
      <c r="D1328" s="108"/>
      <c r="E1328" s="285"/>
      <c r="F1328" s="285"/>
      <c r="G1328" s="35"/>
      <c r="H1328" s="104"/>
      <c r="I1328" s="35"/>
      <c r="J1328" s="74"/>
      <c r="K1328" s="74"/>
      <c r="L1328" s="74"/>
      <c r="M1328" s="74"/>
      <c r="N1328" s="74"/>
      <c r="O1328" s="74"/>
      <c r="P1328" s="74"/>
      <c r="Q1328" s="74"/>
      <c r="R1328" s="74"/>
      <c r="S1328" s="74"/>
      <c r="T1328" s="74"/>
      <c r="U1328" s="74"/>
      <c r="V1328" s="74"/>
      <c r="W1328" s="74"/>
      <c r="X1328" s="74"/>
      <c r="Y1328" s="74"/>
      <c r="Z1328" s="74"/>
      <c r="AA1328" s="74"/>
      <c r="AB1328" s="74"/>
    </row>
    <row r="1329" spans="1:28" ht="12" customHeight="1">
      <c r="A1329" s="330"/>
      <c r="B1329" s="314"/>
      <c r="C1329" s="285"/>
      <c r="D1329" s="108"/>
      <c r="E1329" s="285"/>
      <c r="F1329" s="285"/>
      <c r="G1329" s="35"/>
      <c r="H1329" s="104"/>
      <c r="I1329" s="35"/>
      <c r="J1329" s="74"/>
      <c r="K1329" s="74"/>
      <c r="L1329" s="74"/>
      <c r="M1329" s="74"/>
      <c r="N1329" s="74"/>
      <c r="O1329" s="74"/>
      <c r="P1329" s="74"/>
      <c r="Q1329" s="74"/>
      <c r="R1329" s="74"/>
      <c r="S1329" s="74"/>
      <c r="T1329" s="74"/>
      <c r="U1329" s="74"/>
      <c r="V1329" s="74"/>
      <c r="W1329" s="74"/>
      <c r="X1329" s="74"/>
      <c r="Y1329" s="74"/>
      <c r="Z1329" s="74"/>
      <c r="AA1329" s="74"/>
      <c r="AB1329" s="74"/>
    </row>
    <row r="1330" spans="1:28" ht="12" customHeight="1">
      <c r="A1330" s="330"/>
      <c r="B1330" s="314"/>
      <c r="C1330" s="285"/>
      <c r="D1330" s="108"/>
      <c r="E1330" s="285"/>
      <c r="F1330" s="285"/>
      <c r="G1330" s="35"/>
      <c r="H1330" s="104"/>
      <c r="I1330" s="35"/>
      <c r="J1330" s="74"/>
      <c r="K1330" s="74"/>
      <c r="L1330" s="74"/>
      <c r="M1330" s="74"/>
      <c r="N1330" s="74"/>
      <c r="O1330" s="74"/>
      <c r="P1330" s="74"/>
      <c r="Q1330" s="74"/>
      <c r="R1330" s="74"/>
      <c r="S1330" s="74"/>
      <c r="T1330" s="74"/>
      <c r="U1330" s="74"/>
      <c r="V1330" s="74"/>
      <c r="W1330" s="74"/>
      <c r="X1330" s="74"/>
      <c r="Y1330" s="74"/>
      <c r="Z1330" s="74"/>
      <c r="AA1330" s="74"/>
      <c r="AB1330" s="74"/>
    </row>
    <row r="1331" spans="1:28" ht="12" customHeight="1">
      <c r="A1331" s="330"/>
      <c r="B1331" s="314"/>
      <c r="C1331" s="285"/>
      <c r="D1331" s="108"/>
      <c r="E1331" s="285"/>
      <c r="F1331" s="285"/>
      <c r="G1331" s="35"/>
      <c r="H1331" s="104"/>
      <c r="I1331" s="35"/>
      <c r="J1331" s="74"/>
      <c r="K1331" s="74"/>
      <c r="L1331" s="74"/>
      <c r="M1331" s="74"/>
      <c r="N1331" s="74"/>
      <c r="O1331" s="74"/>
      <c r="P1331" s="74"/>
      <c r="Q1331" s="74"/>
      <c r="R1331" s="74"/>
      <c r="S1331" s="74"/>
      <c r="T1331" s="74"/>
      <c r="U1331" s="74"/>
      <c r="V1331" s="74"/>
      <c r="W1331" s="74"/>
      <c r="X1331" s="74"/>
      <c r="Y1331" s="74"/>
      <c r="Z1331" s="74"/>
      <c r="AA1331" s="74"/>
      <c r="AB1331" s="74"/>
    </row>
    <row r="1332" spans="1:28" ht="12" customHeight="1">
      <c r="A1332" s="330"/>
      <c r="B1332" s="314"/>
      <c r="C1332" s="285"/>
      <c r="D1332" s="108"/>
      <c r="E1332" s="285"/>
      <c r="F1332" s="285"/>
      <c r="G1332" s="35"/>
      <c r="H1332" s="104"/>
      <c r="I1332" s="35"/>
      <c r="J1332" s="74"/>
      <c r="K1332" s="74"/>
      <c r="L1332" s="74"/>
      <c r="M1332" s="74"/>
      <c r="N1332" s="74"/>
      <c r="O1332" s="74"/>
      <c r="P1332" s="74"/>
      <c r="Q1332" s="74"/>
      <c r="R1332" s="74"/>
      <c r="S1332" s="74"/>
      <c r="T1332" s="74"/>
      <c r="U1332" s="74"/>
      <c r="V1332" s="74"/>
      <c r="W1332" s="74"/>
      <c r="X1332" s="74"/>
      <c r="Y1332" s="74"/>
      <c r="Z1332" s="74"/>
      <c r="AA1332" s="74"/>
      <c r="AB1332" s="74"/>
    </row>
    <row r="1333" spans="1:28" ht="12" customHeight="1">
      <c r="A1333" s="330"/>
      <c r="B1333" s="314"/>
      <c r="C1333" s="285"/>
      <c r="D1333" s="108"/>
      <c r="E1333" s="285"/>
      <c r="F1333" s="285"/>
      <c r="G1333" s="35"/>
      <c r="H1333" s="104"/>
      <c r="I1333" s="35"/>
      <c r="J1333" s="74"/>
      <c r="K1333" s="74"/>
      <c r="L1333" s="74"/>
      <c r="M1333" s="74"/>
      <c r="N1333" s="74"/>
      <c r="O1333" s="74"/>
      <c r="P1333" s="74"/>
      <c r="Q1333" s="74"/>
      <c r="R1333" s="74"/>
      <c r="S1333" s="74"/>
      <c r="T1333" s="74"/>
      <c r="U1333" s="74"/>
      <c r="V1333" s="74"/>
      <c r="W1333" s="74"/>
      <c r="X1333" s="74"/>
      <c r="Y1333" s="74"/>
      <c r="Z1333" s="74"/>
      <c r="AA1333" s="74"/>
      <c r="AB1333" s="74"/>
    </row>
    <row r="1334" spans="1:28" ht="12" customHeight="1">
      <c r="A1334" s="330"/>
      <c r="B1334" s="314"/>
      <c r="C1334" s="285"/>
      <c r="D1334" s="108"/>
      <c r="E1334" s="285"/>
      <c r="F1334" s="285"/>
      <c r="G1334" s="35"/>
      <c r="H1334" s="104"/>
      <c r="I1334" s="35"/>
      <c r="J1334" s="74"/>
      <c r="K1334" s="74"/>
      <c r="L1334" s="74"/>
      <c r="M1334" s="74"/>
      <c r="N1334" s="74"/>
      <c r="O1334" s="74"/>
      <c r="P1334" s="74"/>
      <c r="Q1334" s="74"/>
      <c r="R1334" s="74"/>
      <c r="S1334" s="74"/>
      <c r="T1334" s="74"/>
      <c r="U1334" s="74"/>
      <c r="V1334" s="74"/>
      <c r="W1334" s="74"/>
      <c r="X1334" s="74"/>
      <c r="Y1334" s="74"/>
      <c r="Z1334" s="74"/>
      <c r="AA1334" s="74"/>
      <c r="AB1334" s="74"/>
    </row>
    <row r="1335" spans="1:28" ht="12" customHeight="1">
      <c r="A1335" s="330"/>
      <c r="B1335" s="314"/>
      <c r="C1335" s="285"/>
      <c r="D1335" s="108"/>
      <c r="E1335" s="285"/>
      <c r="F1335" s="285"/>
      <c r="G1335" s="35"/>
      <c r="H1335" s="104"/>
      <c r="I1335" s="35"/>
      <c r="J1335" s="74"/>
      <c r="K1335" s="74"/>
      <c r="L1335" s="74"/>
      <c r="M1335" s="74"/>
      <c r="N1335" s="74"/>
      <c r="O1335" s="74"/>
      <c r="P1335" s="74"/>
      <c r="Q1335" s="74"/>
      <c r="R1335" s="74"/>
      <c r="S1335" s="74"/>
      <c r="T1335" s="74"/>
      <c r="U1335" s="74"/>
      <c r="V1335" s="74"/>
      <c r="W1335" s="74"/>
      <c r="X1335" s="74"/>
      <c r="Y1335" s="74"/>
      <c r="Z1335" s="74"/>
      <c r="AA1335" s="74"/>
      <c r="AB1335" s="74"/>
    </row>
    <row r="1336" spans="1:28" ht="12" customHeight="1">
      <c r="A1336" s="330"/>
      <c r="B1336" s="314"/>
      <c r="C1336" s="285"/>
      <c r="D1336" s="108"/>
      <c r="E1336" s="285"/>
      <c r="F1336" s="285"/>
      <c r="G1336" s="35"/>
      <c r="H1336" s="104"/>
      <c r="I1336" s="35"/>
      <c r="J1336" s="74"/>
      <c r="K1336" s="74"/>
      <c r="L1336" s="74"/>
      <c r="M1336" s="74"/>
      <c r="N1336" s="74"/>
      <c r="O1336" s="74"/>
      <c r="P1336" s="74"/>
      <c r="Q1336" s="74"/>
      <c r="R1336" s="74"/>
      <c r="S1336" s="74"/>
      <c r="T1336" s="74"/>
      <c r="U1336" s="74"/>
      <c r="V1336" s="74"/>
      <c r="W1336" s="74"/>
      <c r="X1336" s="74"/>
      <c r="Y1336" s="74"/>
      <c r="Z1336" s="74"/>
      <c r="AA1336" s="74"/>
      <c r="AB1336" s="74"/>
    </row>
    <row r="1337" spans="1:28" ht="12" customHeight="1">
      <c r="A1337" s="330"/>
      <c r="B1337" s="314"/>
      <c r="C1337" s="285"/>
      <c r="D1337" s="108"/>
      <c r="E1337" s="285"/>
      <c r="F1337" s="285"/>
      <c r="G1337" s="35"/>
      <c r="H1337" s="104"/>
      <c r="I1337" s="35"/>
      <c r="J1337" s="74"/>
      <c r="K1337" s="74"/>
      <c r="L1337" s="74"/>
      <c r="M1337" s="74"/>
      <c r="N1337" s="74"/>
      <c r="O1337" s="74"/>
      <c r="P1337" s="74"/>
      <c r="Q1337" s="74"/>
      <c r="R1337" s="74"/>
      <c r="S1337" s="74"/>
      <c r="T1337" s="74"/>
      <c r="U1337" s="74"/>
      <c r="V1337" s="74"/>
      <c r="W1337" s="74"/>
      <c r="X1337" s="74"/>
      <c r="Y1337" s="74"/>
      <c r="Z1337" s="74"/>
      <c r="AA1337" s="74"/>
      <c r="AB1337" s="74"/>
    </row>
    <row r="1338" spans="1:28" ht="12" customHeight="1">
      <c r="A1338" s="330"/>
      <c r="B1338" s="314"/>
      <c r="C1338" s="285"/>
      <c r="D1338" s="108"/>
      <c r="E1338" s="285"/>
      <c r="F1338" s="285"/>
      <c r="G1338" s="35"/>
      <c r="H1338" s="104"/>
      <c r="I1338" s="35"/>
      <c r="J1338" s="74"/>
      <c r="K1338" s="74"/>
      <c r="L1338" s="74"/>
      <c r="M1338" s="74"/>
      <c r="N1338" s="74"/>
      <c r="O1338" s="74"/>
      <c r="P1338" s="74"/>
      <c r="Q1338" s="74"/>
      <c r="R1338" s="74"/>
      <c r="S1338" s="74"/>
      <c r="T1338" s="74"/>
      <c r="U1338" s="74"/>
      <c r="V1338" s="74"/>
      <c r="W1338" s="74"/>
      <c r="X1338" s="74"/>
      <c r="Y1338" s="74"/>
      <c r="Z1338" s="74"/>
      <c r="AA1338" s="74"/>
      <c r="AB1338" s="74"/>
    </row>
    <row r="1339" spans="1:28" ht="12" customHeight="1">
      <c r="A1339" s="330"/>
      <c r="B1339" s="314"/>
      <c r="C1339" s="285"/>
      <c r="D1339" s="108"/>
      <c r="E1339" s="285"/>
      <c r="F1339" s="285"/>
      <c r="G1339" s="35"/>
      <c r="H1339" s="104"/>
      <c r="I1339" s="35"/>
      <c r="J1339" s="74"/>
      <c r="K1339" s="74"/>
      <c r="L1339" s="74"/>
      <c r="M1339" s="74"/>
      <c r="N1339" s="74"/>
      <c r="O1339" s="74"/>
      <c r="P1339" s="74"/>
      <c r="Q1339" s="74"/>
      <c r="R1339" s="74"/>
      <c r="S1339" s="74"/>
      <c r="T1339" s="74"/>
      <c r="U1339" s="74"/>
      <c r="V1339" s="74"/>
      <c r="W1339" s="74"/>
      <c r="X1339" s="74"/>
      <c r="Y1339" s="74"/>
      <c r="Z1339" s="74"/>
      <c r="AA1339" s="74"/>
      <c r="AB1339" s="74"/>
    </row>
    <row r="1340" spans="1:28" ht="12" customHeight="1">
      <c r="A1340" s="330"/>
      <c r="B1340" s="314"/>
      <c r="C1340" s="285"/>
      <c r="D1340" s="108"/>
      <c r="E1340" s="285"/>
      <c r="F1340" s="285"/>
      <c r="G1340" s="35"/>
      <c r="H1340" s="104"/>
      <c r="I1340" s="35"/>
      <c r="J1340" s="74"/>
      <c r="K1340" s="74"/>
      <c r="L1340" s="74"/>
      <c r="M1340" s="74"/>
      <c r="N1340" s="74"/>
      <c r="O1340" s="74"/>
      <c r="P1340" s="74"/>
      <c r="Q1340" s="74"/>
      <c r="R1340" s="74"/>
      <c r="S1340" s="74"/>
      <c r="T1340" s="74"/>
      <c r="U1340" s="74"/>
      <c r="V1340" s="74"/>
      <c r="W1340" s="74"/>
      <c r="X1340" s="74"/>
      <c r="Y1340" s="74"/>
      <c r="Z1340" s="74"/>
      <c r="AA1340" s="74"/>
      <c r="AB1340" s="74"/>
    </row>
    <row r="1341" spans="1:28" ht="12" customHeight="1">
      <c r="A1341" s="330"/>
      <c r="B1341" s="314"/>
      <c r="C1341" s="285"/>
      <c r="D1341" s="108"/>
      <c r="E1341" s="285"/>
      <c r="F1341" s="285"/>
      <c r="G1341" s="35"/>
      <c r="H1341" s="104"/>
      <c r="I1341" s="35"/>
      <c r="J1341" s="74"/>
      <c r="K1341" s="74"/>
      <c r="L1341" s="74"/>
      <c r="M1341" s="74"/>
      <c r="N1341" s="74"/>
      <c r="O1341" s="74"/>
      <c r="P1341" s="74"/>
      <c r="Q1341" s="74"/>
      <c r="R1341" s="74"/>
      <c r="S1341" s="74"/>
      <c r="T1341" s="74"/>
      <c r="U1341" s="74"/>
      <c r="V1341" s="74"/>
      <c r="W1341" s="74"/>
      <c r="X1341" s="74"/>
      <c r="Y1341" s="74"/>
      <c r="Z1341" s="74"/>
      <c r="AA1341" s="74"/>
      <c r="AB1341" s="74"/>
    </row>
    <row r="1342" spans="1:28" ht="12" customHeight="1">
      <c r="A1342" s="330"/>
      <c r="B1342" s="314"/>
      <c r="C1342" s="285"/>
      <c r="D1342" s="108"/>
      <c r="E1342" s="285"/>
      <c r="F1342" s="285"/>
      <c r="G1342" s="35"/>
      <c r="H1342" s="104"/>
      <c r="I1342" s="35"/>
      <c r="J1342" s="74"/>
      <c r="K1342" s="74"/>
      <c r="L1342" s="74"/>
      <c r="M1342" s="74"/>
      <c r="N1342" s="74"/>
      <c r="O1342" s="74"/>
      <c r="P1342" s="74"/>
      <c r="Q1342" s="74"/>
      <c r="R1342" s="74"/>
      <c r="S1342" s="74"/>
      <c r="T1342" s="74"/>
      <c r="U1342" s="74"/>
      <c r="V1342" s="74"/>
      <c r="W1342" s="74"/>
      <c r="X1342" s="74"/>
      <c r="Y1342" s="74"/>
      <c r="Z1342" s="74"/>
      <c r="AA1342" s="74"/>
      <c r="AB1342" s="74"/>
    </row>
    <row r="1343" spans="1:28" ht="12" customHeight="1">
      <c r="A1343" s="330"/>
      <c r="B1343" s="314"/>
      <c r="C1343" s="285"/>
      <c r="D1343" s="108"/>
      <c r="E1343" s="285"/>
      <c r="F1343" s="285"/>
      <c r="G1343" s="35"/>
      <c r="H1343" s="104"/>
      <c r="I1343" s="35"/>
      <c r="J1343" s="74"/>
      <c r="K1343" s="74"/>
      <c r="L1343" s="74"/>
      <c r="M1343" s="74"/>
      <c r="N1343" s="74"/>
      <c r="O1343" s="74"/>
      <c r="P1343" s="74"/>
      <c r="Q1343" s="74"/>
      <c r="R1343" s="74"/>
      <c r="S1343" s="74"/>
      <c r="T1343" s="74"/>
      <c r="U1343" s="74"/>
      <c r="V1343" s="74"/>
      <c r="W1343" s="74"/>
      <c r="X1343" s="74"/>
      <c r="Y1343" s="74"/>
      <c r="Z1343" s="74"/>
      <c r="AA1343" s="74"/>
      <c r="AB1343" s="74"/>
    </row>
    <row r="1344" spans="1:28" ht="12" customHeight="1">
      <c r="A1344" s="330"/>
      <c r="B1344" s="314"/>
      <c r="C1344" s="285"/>
      <c r="D1344" s="108"/>
      <c r="E1344" s="285"/>
      <c r="F1344" s="285"/>
      <c r="G1344" s="35"/>
      <c r="H1344" s="104"/>
      <c r="I1344" s="35"/>
      <c r="J1344" s="74"/>
      <c r="K1344" s="74"/>
      <c r="L1344" s="74"/>
      <c r="M1344" s="74"/>
      <c r="N1344" s="74"/>
      <c r="O1344" s="74"/>
      <c r="P1344" s="74"/>
      <c r="Q1344" s="74"/>
      <c r="R1344" s="74"/>
      <c r="S1344" s="74"/>
      <c r="T1344" s="74"/>
      <c r="U1344" s="74"/>
      <c r="V1344" s="74"/>
      <c r="W1344" s="74"/>
      <c r="X1344" s="74"/>
      <c r="Y1344" s="74"/>
      <c r="Z1344" s="74"/>
      <c r="AA1344" s="74"/>
      <c r="AB1344" s="74"/>
    </row>
    <row r="1345" spans="1:28" ht="12" customHeight="1">
      <c r="A1345" s="330"/>
      <c r="B1345" s="314"/>
      <c r="C1345" s="285"/>
      <c r="D1345" s="108"/>
      <c r="E1345" s="285"/>
      <c r="F1345" s="285"/>
      <c r="G1345" s="35"/>
      <c r="H1345" s="104"/>
      <c r="I1345" s="35"/>
      <c r="J1345" s="74"/>
      <c r="K1345" s="74"/>
      <c r="L1345" s="74"/>
      <c r="M1345" s="74"/>
      <c r="N1345" s="74"/>
      <c r="O1345" s="74"/>
      <c r="P1345" s="74"/>
      <c r="Q1345" s="74"/>
      <c r="R1345" s="74"/>
      <c r="S1345" s="74"/>
      <c r="T1345" s="74"/>
      <c r="U1345" s="74"/>
      <c r="V1345" s="74"/>
      <c r="W1345" s="74"/>
      <c r="X1345" s="74"/>
      <c r="Y1345" s="74"/>
      <c r="Z1345" s="74"/>
      <c r="AA1345" s="74"/>
      <c r="AB1345" s="74"/>
    </row>
    <row r="1346" spans="1:28" ht="12" customHeight="1">
      <c r="A1346" s="330"/>
      <c r="B1346" s="314"/>
      <c r="C1346" s="285"/>
      <c r="D1346" s="108"/>
      <c r="E1346" s="285"/>
      <c r="F1346" s="285"/>
      <c r="G1346" s="35"/>
      <c r="H1346" s="104"/>
      <c r="I1346" s="35"/>
      <c r="J1346" s="74"/>
      <c r="K1346" s="74"/>
      <c r="L1346" s="74"/>
      <c r="M1346" s="74"/>
      <c r="N1346" s="74"/>
      <c r="O1346" s="74"/>
      <c r="P1346" s="74"/>
      <c r="Q1346" s="74"/>
      <c r="R1346" s="74"/>
      <c r="S1346" s="74"/>
      <c r="T1346" s="74"/>
      <c r="U1346" s="74"/>
      <c r="V1346" s="74"/>
      <c r="W1346" s="74"/>
      <c r="X1346" s="74"/>
      <c r="Y1346" s="74"/>
      <c r="Z1346" s="74"/>
      <c r="AA1346" s="74"/>
      <c r="AB1346" s="74"/>
    </row>
    <row r="1347" spans="1:28" ht="12" customHeight="1">
      <c r="A1347" s="330"/>
      <c r="B1347" s="314"/>
      <c r="C1347" s="285"/>
      <c r="D1347" s="108"/>
      <c r="E1347" s="285"/>
      <c r="F1347" s="285"/>
      <c r="G1347" s="35"/>
      <c r="H1347" s="104"/>
      <c r="I1347" s="35"/>
      <c r="J1347" s="74"/>
      <c r="K1347" s="74"/>
      <c r="L1347" s="74"/>
      <c r="M1347" s="74"/>
      <c r="N1347" s="74"/>
      <c r="O1347" s="74"/>
      <c r="P1347" s="74"/>
      <c r="Q1347" s="74"/>
      <c r="R1347" s="74"/>
      <c r="S1347" s="74"/>
      <c r="T1347" s="74"/>
      <c r="U1347" s="74"/>
      <c r="V1347" s="74"/>
      <c r="W1347" s="74"/>
      <c r="X1347" s="74"/>
      <c r="Y1347" s="74"/>
      <c r="Z1347" s="74"/>
      <c r="AA1347" s="74"/>
      <c r="AB1347" s="74"/>
    </row>
    <row r="1348" spans="1:28" ht="12" customHeight="1">
      <c r="A1348" s="330"/>
      <c r="B1348" s="314"/>
      <c r="C1348" s="285"/>
      <c r="D1348" s="108"/>
      <c r="E1348" s="285"/>
      <c r="F1348" s="285"/>
      <c r="G1348" s="35"/>
      <c r="H1348" s="104"/>
      <c r="I1348" s="35"/>
      <c r="J1348" s="74"/>
      <c r="K1348" s="74"/>
      <c r="L1348" s="74"/>
      <c r="M1348" s="74"/>
      <c r="N1348" s="74"/>
      <c r="O1348" s="74"/>
      <c r="P1348" s="74"/>
      <c r="Q1348" s="74"/>
      <c r="R1348" s="74"/>
      <c r="S1348" s="74"/>
      <c r="T1348" s="74"/>
      <c r="U1348" s="74"/>
      <c r="V1348" s="74"/>
      <c r="W1348" s="74"/>
      <c r="X1348" s="74"/>
      <c r="Y1348" s="74"/>
      <c r="Z1348" s="74"/>
      <c r="AA1348" s="74"/>
      <c r="AB1348" s="74"/>
    </row>
    <row r="1349" spans="1:28" ht="12" customHeight="1">
      <c r="A1349" s="330"/>
      <c r="B1349" s="314"/>
      <c r="C1349" s="285"/>
      <c r="D1349" s="108"/>
      <c r="E1349" s="285"/>
      <c r="F1349" s="285"/>
      <c r="G1349" s="35"/>
      <c r="H1349" s="104"/>
      <c r="I1349" s="35"/>
      <c r="J1349" s="74"/>
      <c r="K1349" s="74"/>
      <c r="L1349" s="74"/>
      <c r="M1349" s="74"/>
      <c r="N1349" s="74"/>
      <c r="O1349" s="74"/>
      <c r="P1349" s="74"/>
      <c r="Q1349" s="74"/>
      <c r="R1349" s="74"/>
      <c r="S1349" s="74"/>
      <c r="T1349" s="74"/>
      <c r="U1349" s="74"/>
      <c r="V1349" s="74"/>
      <c r="W1349" s="74"/>
      <c r="X1349" s="74"/>
      <c r="Y1349" s="74"/>
      <c r="Z1349" s="74"/>
      <c r="AA1349" s="74"/>
      <c r="AB1349" s="74"/>
    </row>
    <row r="1350" spans="1:28" ht="12" customHeight="1">
      <c r="A1350" s="330"/>
      <c r="B1350" s="314"/>
      <c r="C1350" s="285"/>
      <c r="D1350" s="108"/>
      <c r="E1350" s="285"/>
      <c r="F1350" s="285"/>
      <c r="G1350" s="35"/>
      <c r="H1350" s="104"/>
      <c r="I1350" s="35"/>
      <c r="J1350" s="74"/>
      <c r="K1350" s="74"/>
      <c r="L1350" s="74"/>
      <c r="M1350" s="74"/>
      <c r="N1350" s="74"/>
      <c r="O1350" s="74"/>
      <c r="P1350" s="74"/>
      <c r="Q1350" s="74"/>
      <c r="R1350" s="74"/>
      <c r="S1350" s="74"/>
      <c r="T1350" s="74"/>
      <c r="U1350" s="74"/>
      <c r="V1350" s="74"/>
      <c r="W1350" s="74"/>
      <c r="X1350" s="74"/>
      <c r="Y1350" s="74"/>
      <c r="Z1350" s="74"/>
      <c r="AA1350" s="74"/>
      <c r="AB1350" s="74"/>
    </row>
    <row r="1351" spans="1:28" ht="12" customHeight="1">
      <c r="A1351" s="330"/>
      <c r="B1351" s="314"/>
      <c r="C1351" s="285"/>
      <c r="D1351" s="108"/>
      <c r="E1351" s="285"/>
      <c r="F1351" s="285"/>
      <c r="G1351" s="35"/>
      <c r="H1351" s="104"/>
      <c r="I1351" s="35"/>
      <c r="J1351" s="74"/>
      <c r="K1351" s="74"/>
      <c r="L1351" s="74"/>
      <c r="M1351" s="74"/>
      <c r="N1351" s="74"/>
      <c r="O1351" s="74"/>
      <c r="P1351" s="74"/>
      <c r="Q1351" s="74"/>
      <c r="R1351" s="74"/>
      <c r="S1351" s="74"/>
      <c r="T1351" s="74"/>
      <c r="U1351" s="74"/>
      <c r="V1351" s="74"/>
      <c r="W1351" s="74"/>
      <c r="X1351" s="74"/>
      <c r="Y1351" s="74"/>
      <c r="Z1351" s="74"/>
      <c r="AA1351" s="74"/>
      <c r="AB1351" s="74"/>
    </row>
    <row r="1352" spans="1:28" ht="12" customHeight="1">
      <c r="A1352" s="330"/>
      <c r="B1352" s="314"/>
      <c r="C1352" s="285"/>
      <c r="D1352" s="108"/>
      <c r="E1352" s="285"/>
      <c r="F1352" s="285"/>
      <c r="G1352" s="35"/>
      <c r="H1352" s="104"/>
      <c r="I1352" s="35"/>
      <c r="J1352" s="74"/>
      <c r="K1352" s="74"/>
      <c r="L1352" s="74"/>
      <c r="M1352" s="74"/>
      <c r="N1352" s="74"/>
      <c r="O1352" s="74"/>
      <c r="P1352" s="74"/>
      <c r="Q1352" s="74"/>
      <c r="R1352" s="74"/>
      <c r="S1352" s="74"/>
      <c r="T1352" s="74"/>
      <c r="U1352" s="74"/>
      <c r="V1352" s="74"/>
      <c r="W1352" s="74"/>
      <c r="X1352" s="74"/>
      <c r="Y1352" s="74"/>
      <c r="Z1352" s="74"/>
      <c r="AA1352" s="74"/>
      <c r="AB1352" s="74"/>
    </row>
    <row r="1353" spans="1:28" ht="12" customHeight="1">
      <c r="A1353" s="330"/>
      <c r="B1353" s="314"/>
      <c r="C1353" s="285"/>
      <c r="D1353" s="108"/>
      <c r="E1353" s="285"/>
      <c r="F1353" s="285"/>
      <c r="G1353" s="35"/>
      <c r="H1353" s="104"/>
      <c r="I1353" s="35"/>
      <c r="J1353" s="74"/>
      <c r="K1353" s="74"/>
      <c r="L1353" s="74"/>
      <c r="M1353" s="74"/>
      <c r="N1353" s="74"/>
      <c r="O1353" s="74"/>
      <c r="P1353" s="74"/>
      <c r="Q1353" s="74"/>
      <c r="R1353" s="74"/>
      <c r="S1353" s="74"/>
      <c r="T1353" s="74"/>
      <c r="U1353" s="74"/>
      <c r="V1353" s="74"/>
      <c r="W1353" s="74"/>
      <c r="X1353" s="74"/>
      <c r="Y1353" s="74"/>
      <c r="Z1353" s="74"/>
      <c r="AA1353" s="74"/>
      <c r="AB1353" s="74"/>
    </row>
    <row r="1354" spans="1:28" ht="12" customHeight="1">
      <c r="A1354" s="330"/>
      <c r="B1354" s="314"/>
      <c r="C1354" s="285"/>
      <c r="D1354" s="108"/>
      <c r="E1354" s="285"/>
      <c r="F1354" s="285"/>
      <c r="G1354" s="35"/>
      <c r="H1354" s="104"/>
      <c r="I1354" s="35"/>
      <c r="J1354" s="74"/>
      <c r="K1354" s="74"/>
      <c r="L1354" s="74"/>
      <c r="M1354" s="74"/>
      <c r="N1354" s="74"/>
      <c r="O1354" s="74"/>
      <c r="P1354" s="74"/>
      <c r="Q1354" s="74"/>
      <c r="R1354" s="74"/>
      <c r="S1354" s="74"/>
      <c r="T1354" s="74"/>
      <c r="U1354" s="74"/>
      <c r="V1354" s="74"/>
      <c r="W1354" s="74"/>
      <c r="X1354" s="74"/>
      <c r="Y1354" s="74"/>
      <c r="Z1354" s="74"/>
      <c r="AA1354" s="74"/>
      <c r="AB1354" s="74"/>
    </row>
    <row r="1355" spans="1:28" ht="12" customHeight="1">
      <c r="A1355" s="330"/>
      <c r="B1355" s="314"/>
      <c r="C1355" s="285"/>
      <c r="D1355" s="108"/>
      <c r="E1355" s="285"/>
      <c r="F1355" s="285"/>
      <c r="G1355" s="35"/>
      <c r="H1355" s="104"/>
      <c r="I1355" s="35"/>
      <c r="J1355" s="74"/>
      <c r="K1355" s="74"/>
      <c r="L1355" s="74"/>
      <c r="M1355" s="74"/>
      <c r="N1355" s="74"/>
      <c r="O1355" s="74"/>
      <c r="P1355" s="74"/>
      <c r="Q1355" s="74"/>
      <c r="R1355" s="74"/>
      <c r="S1355" s="74"/>
      <c r="T1355" s="74"/>
      <c r="U1355" s="74"/>
      <c r="V1355" s="74"/>
      <c r="W1355" s="74"/>
      <c r="X1355" s="74"/>
      <c r="Y1355" s="74"/>
      <c r="Z1355" s="74"/>
      <c r="AA1355" s="74"/>
      <c r="AB1355" s="74"/>
    </row>
    <row r="1356" spans="1:28" ht="12" customHeight="1">
      <c r="A1356" s="330"/>
      <c r="B1356" s="314"/>
      <c r="C1356" s="285"/>
      <c r="D1356" s="108"/>
      <c r="E1356" s="285"/>
      <c r="F1356" s="285"/>
      <c r="G1356" s="35"/>
      <c r="H1356" s="104"/>
      <c r="I1356" s="35"/>
      <c r="J1356" s="74"/>
      <c r="K1356" s="74"/>
      <c r="L1356" s="74"/>
      <c r="M1356" s="74"/>
      <c r="N1356" s="74"/>
      <c r="O1356" s="74"/>
      <c r="P1356" s="74"/>
      <c r="Q1356" s="74"/>
      <c r="R1356" s="74"/>
      <c r="S1356" s="74"/>
      <c r="T1356" s="74"/>
      <c r="U1356" s="74"/>
      <c r="V1356" s="74"/>
      <c r="W1356" s="74"/>
      <c r="X1356" s="74"/>
      <c r="Y1356" s="74"/>
      <c r="Z1356" s="74"/>
      <c r="AA1356" s="74"/>
      <c r="AB1356" s="74"/>
    </row>
    <row r="1357" spans="1:28" ht="12" customHeight="1">
      <c r="A1357" s="330"/>
      <c r="B1357" s="314"/>
      <c r="C1357" s="285"/>
      <c r="D1357" s="108"/>
      <c r="E1357" s="285"/>
      <c r="F1357" s="285"/>
      <c r="G1357" s="35"/>
      <c r="H1357" s="104"/>
      <c r="I1357" s="35"/>
      <c r="J1357" s="74"/>
      <c r="K1357" s="74"/>
      <c r="L1357" s="74"/>
      <c r="M1357" s="74"/>
      <c r="N1357" s="74"/>
      <c r="O1357" s="74"/>
      <c r="P1357" s="74"/>
      <c r="Q1357" s="74"/>
      <c r="R1357" s="74"/>
      <c r="S1357" s="74"/>
      <c r="T1357" s="74"/>
      <c r="U1357" s="74"/>
      <c r="V1357" s="74"/>
      <c r="W1357" s="74"/>
      <c r="X1357" s="74"/>
      <c r="Y1357" s="74"/>
      <c r="Z1357" s="74"/>
      <c r="AA1357" s="74"/>
      <c r="AB1357" s="74"/>
    </row>
    <row r="1358" spans="1:28" ht="12" customHeight="1">
      <c r="A1358" s="330"/>
      <c r="B1358" s="314"/>
      <c r="C1358" s="285"/>
      <c r="D1358" s="108"/>
      <c r="E1358" s="285"/>
      <c r="F1358" s="285"/>
      <c r="G1358" s="35"/>
      <c r="H1358" s="104"/>
      <c r="I1358" s="35"/>
      <c r="J1358" s="74"/>
      <c r="K1358" s="74"/>
      <c r="L1358" s="74"/>
      <c r="M1358" s="74"/>
      <c r="N1358" s="74"/>
      <c r="O1358" s="74"/>
      <c r="P1358" s="74"/>
      <c r="Q1358" s="74"/>
      <c r="R1358" s="74"/>
      <c r="S1358" s="74"/>
      <c r="T1358" s="74"/>
      <c r="U1358" s="74"/>
      <c r="V1358" s="74"/>
      <c r="W1358" s="74"/>
      <c r="X1358" s="74"/>
      <c r="Y1358" s="74"/>
      <c r="Z1358" s="74"/>
      <c r="AA1358" s="74"/>
      <c r="AB1358" s="74"/>
    </row>
    <row r="1359" spans="1:28" ht="12" customHeight="1">
      <c r="A1359" s="330"/>
      <c r="B1359" s="314"/>
      <c r="C1359" s="285"/>
      <c r="D1359" s="108"/>
      <c r="E1359" s="285"/>
      <c r="F1359" s="285"/>
      <c r="G1359" s="35"/>
      <c r="H1359" s="104"/>
      <c r="I1359" s="35"/>
      <c r="J1359" s="74"/>
      <c r="K1359" s="74"/>
      <c r="L1359" s="74"/>
      <c r="M1359" s="74"/>
      <c r="N1359" s="74"/>
      <c r="O1359" s="74"/>
      <c r="P1359" s="74"/>
      <c r="Q1359" s="74"/>
      <c r="R1359" s="74"/>
      <c r="S1359" s="74"/>
      <c r="T1359" s="74"/>
      <c r="U1359" s="74"/>
      <c r="V1359" s="74"/>
      <c r="W1359" s="74"/>
      <c r="X1359" s="74"/>
      <c r="Y1359" s="74"/>
      <c r="Z1359" s="74"/>
      <c r="AA1359" s="74"/>
      <c r="AB1359" s="74"/>
    </row>
    <row r="1360" spans="1:28" ht="12" customHeight="1">
      <c r="A1360" s="330"/>
      <c r="B1360" s="314"/>
      <c r="C1360" s="285"/>
      <c r="D1360" s="108"/>
      <c r="E1360" s="285"/>
      <c r="F1360" s="285"/>
      <c r="G1360" s="35"/>
      <c r="H1360" s="104"/>
      <c r="I1360" s="35"/>
      <c r="J1360" s="74"/>
      <c r="K1360" s="74"/>
      <c r="L1360" s="74"/>
      <c r="M1360" s="74"/>
      <c r="N1360" s="74"/>
      <c r="O1360" s="74"/>
      <c r="P1360" s="74"/>
      <c r="Q1360" s="74"/>
      <c r="R1360" s="74"/>
      <c r="S1360" s="74"/>
      <c r="T1360" s="74"/>
      <c r="U1360" s="74"/>
      <c r="V1360" s="74"/>
      <c r="W1360" s="74"/>
      <c r="X1360" s="74"/>
      <c r="Y1360" s="74"/>
      <c r="Z1360" s="74"/>
      <c r="AA1360" s="74"/>
      <c r="AB1360" s="74"/>
    </row>
    <row r="1361" spans="1:28" ht="12" customHeight="1">
      <c r="A1361" s="330"/>
      <c r="B1361" s="314"/>
      <c r="C1361" s="285"/>
      <c r="D1361" s="108"/>
      <c r="E1361" s="285"/>
      <c r="F1361" s="285"/>
      <c r="G1361" s="35"/>
      <c r="H1361" s="104"/>
      <c r="I1361" s="35"/>
      <c r="J1361" s="74"/>
      <c r="K1361" s="74"/>
      <c r="L1361" s="74"/>
      <c r="M1361" s="74"/>
      <c r="N1361" s="74"/>
      <c r="O1361" s="74"/>
      <c r="P1361" s="74"/>
      <c r="Q1361" s="74"/>
      <c r="R1361" s="74"/>
      <c r="S1361" s="74"/>
      <c r="T1361" s="74"/>
      <c r="U1361" s="74"/>
      <c r="V1361" s="74"/>
      <c r="W1361" s="74"/>
      <c r="X1361" s="74"/>
      <c r="Y1361" s="74"/>
      <c r="Z1361" s="74"/>
      <c r="AA1361" s="74"/>
      <c r="AB1361" s="74"/>
    </row>
    <row r="1362" spans="1:28" ht="12" customHeight="1">
      <c r="A1362" s="330"/>
      <c r="B1362" s="314"/>
      <c r="C1362" s="285"/>
      <c r="D1362" s="108"/>
      <c r="E1362" s="285"/>
      <c r="F1362" s="285"/>
      <c r="G1362" s="35"/>
      <c r="H1362" s="104"/>
      <c r="I1362" s="35"/>
      <c r="J1362" s="74"/>
      <c r="K1362" s="74"/>
      <c r="L1362" s="74"/>
      <c r="M1362" s="74"/>
      <c r="N1362" s="74"/>
      <c r="O1362" s="74"/>
      <c r="P1362" s="74"/>
      <c r="Q1362" s="74"/>
      <c r="R1362" s="74"/>
      <c r="S1362" s="74"/>
      <c r="T1362" s="74"/>
      <c r="U1362" s="74"/>
      <c r="V1362" s="74"/>
      <c r="W1362" s="74"/>
      <c r="X1362" s="74"/>
      <c r="Y1362" s="74"/>
      <c r="Z1362" s="74"/>
      <c r="AA1362" s="74"/>
      <c r="AB1362" s="74"/>
    </row>
    <row r="1363" spans="1:28" ht="12" customHeight="1">
      <c r="A1363" s="330"/>
      <c r="B1363" s="314"/>
      <c r="C1363" s="285"/>
      <c r="D1363" s="108"/>
      <c r="E1363" s="285"/>
      <c r="F1363" s="285"/>
      <c r="G1363" s="35"/>
      <c r="H1363" s="104"/>
      <c r="I1363" s="35"/>
      <c r="J1363" s="74"/>
      <c r="K1363" s="74"/>
      <c r="L1363" s="74"/>
      <c r="M1363" s="74"/>
      <c r="N1363" s="74"/>
      <c r="O1363" s="74"/>
      <c r="P1363" s="74"/>
      <c r="Q1363" s="74"/>
      <c r="R1363" s="74"/>
      <c r="S1363" s="74"/>
      <c r="T1363" s="74"/>
      <c r="U1363" s="74"/>
      <c r="V1363" s="74"/>
      <c r="W1363" s="74"/>
      <c r="X1363" s="74"/>
      <c r="Y1363" s="74"/>
      <c r="Z1363" s="74"/>
      <c r="AA1363" s="74"/>
      <c r="AB1363" s="74"/>
    </row>
    <row r="1364" spans="1:28" ht="12" customHeight="1">
      <c r="A1364" s="330"/>
      <c r="B1364" s="314"/>
      <c r="C1364" s="285"/>
      <c r="D1364" s="108"/>
      <c r="E1364" s="285"/>
      <c r="F1364" s="285"/>
      <c r="G1364" s="35"/>
      <c r="H1364" s="104"/>
      <c r="I1364" s="35"/>
      <c r="J1364" s="74"/>
      <c r="K1364" s="74"/>
      <c r="L1364" s="74"/>
      <c r="M1364" s="74"/>
      <c r="N1364" s="74"/>
      <c r="O1364" s="74"/>
      <c r="P1364" s="74"/>
      <c r="Q1364" s="74"/>
      <c r="R1364" s="74"/>
      <c r="S1364" s="74"/>
      <c r="T1364" s="74"/>
      <c r="U1364" s="74"/>
      <c r="V1364" s="74"/>
      <c r="W1364" s="74"/>
      <c r="X1364" s="74"/>
      <c r="Y1364" s="74"/>
      <c r="Z1364" s="74"/>
      <c r="AA1364" s="74"/>
      <c r="AB1364" s="74"/>
    </row>
    <row r="1365" spans="1:28" ht="12" customHeight="1">
      <c r="A1365" s="330"/>
      <c r="B1365" s="314"/>
      <c r="C1365" s="285"/>
      <c r="D1365" s="108"/>
      <c r="E1365" s="285"/>
      <c r="F1365" s="285"/>
      <c r="G1365" s="35"/>
      <c r="H1365" s="104"/>
      <c r="I1365" s="35"/>
      <c r="J1365" s="74"/>
      <c r="K1365" s="74"/>
      <c r="L1365" s="74"/>
      <c r="M1365" s="74"/>
      <c r="N1365" s="74"/>
      <c r="O1365" s="74"/>
      <c r="P1365" s="74"/>
      <c r="Q1365" s="74"/>
      <c r="R1365" s="74"/>
      <c r="S1365" s="74"/>
      <c r="T1365" s="74"/>
      <c r="U1365" s="74"/>
      <c r="V1365" s="74"/>
      <c r="W1365" s="74"/>
      <c r="X1365" s="74"/>
      <c r="Y1365" s="74"/>
      <c r="Z1365" s="74"/>
      <c r="AA1365" s="74"/>
      <c r="AB1365" s="74"/>
    </row>
    <row r="1366" spans="1:28" ht="12" customHeight="1">
      <c r="A1366" s="330"/>
      <c r="B1366" s="314"/>
      <c r="C1366" s="285"/>
      <c r="D1366" s="108"/>
      <c r="E1366" s="285"/>
      <c r="F1366" s="285"/>
      <c r="G1366" s="35"/>
      <c r="H1366" s="104"/>
      <c r="I1366" s="35"/>
      <c r="J1366" s="74"/>
      <c r="K1366" s="74"/>
      <c r="L1366" s="74"/>
      <c r="M1366" s="74"/>
      <c r="N1366" s="74"/>
      <c r="O1366" s="74"/>
      <c r="P1366" s="74"/>
      <c r="Q1366" s="74"/>
      <c r="R1366" s="74"/>
      <c r="S1366" s="74"/>
      <c r="T1366" s="74"/>
      <c r="U1366" s="74"/>
      <c r="V1366" s="74"/>
      <c r="W1366" s="74"/>
      <c r="X1366" s="74"/>
      <c r="Y1366" s="74"/>
      <c r="Z1366" s="74"/>
      <c r="AA1366" s="74"/>
      <c r="AB1366" s="74"/>
    </row>
    <row r="1367" spans="1:28" ht="12" customHeight="1">
      <c r="A1367" s="330"/>
      <c r="B1367" s="314"/>
      <c r="C1367" s="285"/>
      <c r="D1367" s="108"/>
      <c r="E1367" s="285"/>
      <c r="F1367" s="285"/>
      <c r="G1367" s="35"/>
      <c r="H1367" s="104"/>
      <c r="I1367" s="35"/>
      <c r="J1367" s="74"/>
      <c r="K1367" s="74"/>
      <c r="L1367" s="74"/>
      <c r="M1367" s="74"/>
      <c r="N1367" s="74"/>
      <c r="O1367" s="74"/>
      <c r="P1367" s="74"/>
      <c r="Q1367" s="74"/>
      <c r="R1367" s="74"/>
      <c r="S1367" s="74"/>
      <c r="T1367" s="74"/>
      <c r="U1367" s="74"/>
      <c r="V1367" s="74"/>
      <c r="W1367" s="74"/>
      <c r="X1367" s="74"/>
      <c r="Y1367" s="74"/>
      <c r="Z1367" s="74"/>
      <c r="AA1367" s="74"/>
      <c r="AB1367" s="74"/>
    </row>
    <row r="1368" spans="1:28" ht="12" customHeight="1">
      <c r="A1368" s="330"/>
      <c r="B1368" s="314"/>
      <c r="C1368" s="285"/>
      <c r="D1368" s="108"/>
      <c r="E1368" s="285"/>
      <c r="F1368" s="285"/>
      <c r="G1368" s="35"/>
      <c r="H1368" s="104"/>
      <c r="I1368" s="35"/>
      <c r="J1368" s="74"/>
      <c r="K1368" s="74"/>
      <c r="L1368" s="74"/>
      <c r="M1368" s="74"/>
      <c r="N1368" s="74"/>
      <c r="O1368" s="74"/>
      <c r="P1368" s="74"/>
      <c r="Q1368" s="74"/>
      <c r="R1368" s="74"/>
      <c r="S1368" s="74"/>
      <c r="T1368" s="74"/>
      <c r="U1368" s="74"/>
      <c r="V1368" s="74"/>
      <c r="W1368" s="74"/>
      <c r="X1368" s="74"/>
      <c r="Y1368" s="74"/>
      <c r="Z1368" s="74"/>
      <c r="AA1368" s="74"/>
      <c r="AB1368" s="74"/>
    </row>
    <row r="1369" spans="1:28" ht="12" customHeight="1">
      <c r="A1369" s="330"/>
      <c r="B1369" s="314"/>
      <c r="C1369" s="285"/>
      <c r="D1369" s="108"/>
      <c r="E1369" s="285"/>
      <c r="F1369" s="285"/>
      <c r="G1369" s="35"/>
      <c r="H1369" s="104"/>
      <c r="I1369" s="35"/>
      <c r="J1369" s="74"/>
      <c r="K1369" s="74"/>
      <c r="L1369" s="74"/>
      <c r="M1369" s="74"/>
      <c r="N1369" s="74"/>
      <c r="O1369" s="74"/>
      <c r="P1369" s="74"/>
      <c r="Q1369" s="74"/>
      <c r="R1369" s="74"/>
      <c r="S1369" s="74"/>
      <c r="T1369" s="74"/>
      <c r="U1369" s="74"/>
      <c r="V1369" s="74"/>
      <c r="W1369" s="74"/>
      <c r="X1369" s="74"/>
      <c r="Y1369" s="74"/>
      <c r="Z1369" s="74"/>
      <c r="AA1369" s="74"/>
      <c r="AB1369" s="74"/>
    </row>
    <row r="1370" spans="1:28" ht="12" customHeight="1">
      <c r="A1370" s="330"/>
      <c r="B1370" s="314"/>
      <c r="C1370" s="285"/>
      <c r="D1370" s="108"/>
      <c r="E1370" s="285"/>
      <c r="F1370" s="285"/>
      <c r="G1370" s="35"/>
      <c r="H1370" s="104"/>
      <c r="I1370" s="35"/>
      <c r="J1370" s="74"/>
      <c r="K1370" s="74"/>
      <c r="L1370" s="74"/>
      <c r="M1370" s="74"/>
      <c r="N1370" s="74"/>
      <c r="O1370" s="74"/>
      <c r="P1370" s="74"/>
      <c r="Q1370" s="74"/>
      <c r="R1370" s="74"/>
      <c r="S1370" s="74"/>
      <c r="T1370" s="74"/>
      <c r="U1370" s="74"/>
      <c r="V1370" s="74"/>
      <c r="W1370" s="74"/>
      <c r="X1370" s="74"/>
      <c r="Y1370" s="74"/>
      <c r="Z1370" s="74"/>
      <c r="AA1370" s="74"/>
      <c r="AB1370" s="74"/>
    </row>
    <row r="1371" spans="1:28" ht="12" customHeight="1">
      <c r="A1371" s="330"/>
      <c r="B1371" s="314"/>
      <c r="C1371" s="285"/>
      <c r="D1371" s="108"/>
      <c r="E1371" s="285"/>
      <c r="F1371" s="285"/>
      <c r="G1371" s="35"/>
      <c r="H1371" s="104"/>
      <c r="I1371" s="35"/>
      <c r="J1371" s="74"/>
      <c r="K1371" s="74"/>
      <c r="L1371" s="74"/>
      <c r="M1371" s="74"/>
      <c r="N1371" s="74"/>
      <c r="O1371" s="74"/>
      <c r="P1371" s="74"/>
      <c r="Q1371" s="74"/>
      <c r="R1371" s="74"/>
      <c r="S1371" s="74"/>
      <c r="T1371" s="74"/>
      <c r="U1371" s="74"/>
      <c r="V1371" s="74"/>
      <c r="W1371" s="74"/>
      <c r="X1371" s="74"/>
      <c r="Y1371" s="74"/>
      <c r="Z1371" s="74"/>
      <c r="AA1371" s="74"/>
      <c r="AB1371" s="74"/>
    </row>
    <row r="1372" spans="1:28" ht="12" customHeight="1">
      <c r="A1372" s="330"/>
      <c r="B1372" s="314"/>
      <c r="C1372" s="285"/>
      <c r="D1372" s="108"/>
      <c r="E1372" s="285"/>
      <c r="F1372" s="285"/>
      <c r="G1372" s="35"/>
      <c r="H1372" s="104"/>
      <c r="I1372" s="35"/>
      <c r="J1372" s="74"/>
      <c r="K1372" s="74"/>
      <c r="L1372" s="74"/>
      <c r="M1372" s="74"/>
      <c r="N1372" s="74"/>
      <c r="O1372" s="74"/>
      <c r="P1372" s="74"/>
      <c r="Q1372" s="74"/>
      <c r="R1372" s="74"/>
      <c r="S1372" s="74"/>
      <c r="T1372" s="74"/>
      <c r="U1372" s="74"/>
      <c r="V1372" s="74"/>
      <c r="W1372" s="74"/>
      <c r="X1372" s="74"/>
      <c r="Y1372" s="74"/>
      <c r="Z1372" s="74"/>
      <c r="AA1372" s="74"/>
      <c r="AB1372" s="74"/>
    </row>
    <row r="1373" spans="1:28" ht="12" customHeight="1">
      <c r="A1373" s="330"/>
      <c r="B1373" s="314"/>
      <c r="C1373" s="285"/>
      <c r="D1373" s="108"/>
      <c r="E1373" s="285"/>
      <c r="F1373" s="285"/>
      <c r="G1373" s="35"/>
      <c r="H1373" s="104"/>
      <c r="I1373" s="35"/>
      <c r="J1373" s="74"/>
      <c r="K1373" s="74"/>
      <c r="L1373" s="74"/>
      <c r="M1373" s="74"/>
      <c r="N1373" s="74"/>
      <c r="O1373" s="74"/>
      <c r="P1373" s="74"/>
      <c r="Q1373" s="74"/>
      <c r="R1373" s="74"/>
      <c r="S1373" s="74"/>
      <c r="T1373" s="74"/>
      <c r="U1373" s="74"/>
      <c r="V1373" s="74"/>
      <c r="W1373" s="74"/>
      <c r="X1373" s="74"/>
      <c r="Y1373" s="74"/>
      <c r="Z1373" s="74"/>
      <c r="AA1373" s="74"/>
      <c r="AB1373" s="74"/>
    </row>
    <row r="1374" spans="1:28" ht="12" customHeight="1">
      <c r="A1374" s="330"/>
      <c r="B1374" s="314"/>
      <c r="C1374" s="285"/>
      <c r="D1374" s="108"/>
      <c r="E1374" s="285"/>
      <c r="F1374" s="285"/>
      <c r="G1374" s="35"/>
      <c r="H1374" s="104"/>
      <c r="I1374" s="35"/>
      <c r="J1374" s="74"/>
      <c r="K1374" s="74"/>
      <c r="L1374" s="74"/>
      <c r="M1374" s="74"/>
      <c r="N1374" s="74"/>
      <c r="O1374" s="74"/>
      <c r="P1374" s="74"/>
      <c r="Q1374" s="74"/>
      <c r="R1374" s="74"/>
      <c r="S1374" s="74"/>
      <c r="T1374" s="74"/>
      <c r="U1374" s="74"/>
      <c r="V1374" s="74"/>
      <c r="W1374" s="74"/>
      <c r="X1374" s="74"/>
      <c r="Y1374" s="74"/>
      <c r="Z1374" s="74"/>
      <c r="AA1374" s="74"/>
      <c r="AB1374" s="74"/>
    </row>
    <row r="1375" spans="1:28" ht="12" customHeight="1">
      <c r="A1375" s="330"/>
      <c r="B1375" s="314"/>
      <c r="C1375" s="285"/>
      <c r="D1375" s="108"/>
      <c r="E1375" s="285"/>
      <c r="F1375" s="285"/>
      <c r="G1375" s="35"/>
      <c r="H1375" s="104"/>
      <c r="I1375" s="35"/>
      <c r="J1375" s="74"/>
      <c r="K1375" s="74"/>
      <c r="L1375" s="74"/>
      <c r="M1375" s="74"/>
      <c r="N1375" s="74"/>
      <c r="O1375" s="74"/>
      <c r="P1375" s="74"/>
      <c r="Q1375" s="74"/>
      <c r="R1375" s="74"/>
      <c r="S1375" s="74"/>
      <c r="T1375" s="74"/>
      <c r="U1375" s="74"/>
      <c r="V1375" s="74"/>
      <c r="W1375" s="74"/>
      <c r="X1375" s="74"/>
      <c r="Y1375" s="74"/>
      <c r="Z1375" s="74"/>
      <c r="AA1375" s="74"/>
      <c r="AB1375" s="74"/>
    </row>
    <row r="1376" spans="1:28" ht="12" customHeight="1">
      <c r="A1376" s="330"/>
      <c r="B1376" s="314"/>
      <c r="C1376" s="285"/>
      <c r="D1376" s="108"/>
      <c r="E1376" s="285"/>
      <c r="F1376" s="285"/>
      <c r="G1376" s="35"/>
      <c r="H1376" s="104"/>
      <c r="I1376" s="35"/>
      <c r="J1376" s="74"/>
      <c r="K1376" s="74"/>
      <c r="L1376" s="74"/>
      <c r="M1376" s="74"/>
      <c r="N1376" s="74"/>
      <c r="O1376" s="74"/>
      <c r="P1376" s="74"/>
      <c r="Q1376" s="74"/>
      <c r="R1376" s="74"/>
      <c r="S1376" s="74"/>
      <c r="T1376" s="74"/>
      <c r="U1376" s="74"/>
      <c r="V1376" s="74"/>
      <c r="W1376" s="74"/>
      <c r="X1376" s="74"/>
      <c r="Y1376" s="74"/>
      <c r="Z1376" s="74"/>
      <c r="AA1376" s="74"/>
      <c r="AB1376" s="74"/>
    </row>
    <row r="1377" spans="1:28" ht="12" customHeight="1">
      <c r="A1377" s="330"/>
      <c r="B1377" s="314"/>
      <c r="C1377" s="285"/>
      <c r="D1377" s="108"/>
      <c r="E1377" s="285"/>
      <c r="F1377" s="285"/>
      <c r="G1377" s="35"/>
      <c r="H1377" s="104"/>
      <c r="I1377" s="35"/>
      <c r="J1377" s="74"/>
      <c r="K1377" s="74"/>
      <c r="L1377" s="74"/>
      <c r="M1377" s="74"/>
      <c r="N1377" s="74"/>
      <c r="O1377" s="74"/>
      <c r="P1377" s="74"/>
      <c r="Q1377" s="74"/>
      <c r="R1377" s="74"/>
      <c r="S1377" s="74"/>
      <c r="T1377" s="74"/>
      <c r="U1377" s="74"/>
      <c r="V1377" s="74"/>
      <c r="W1377" s="74"/>
      <c r="X1377" s="74"/>
      <c r="Y1377" s="74"/>
      <c r="Z1377" s="74"/>
      <c r="AA1377" s="74"/>
      <c r="AB1377" s="74"/>
    </row>
    <row r="1378" spans="1:28" ht="12" customHeight="1">
      <c r="A1378" s="330"/>
      <c r="B1378" s="314"/>
      <c r="C1378" s="285"/>
      <c r="D1378" s="108"/>
      <c r="E1378" s="285"/>
      <c r="F1378" s="285"/>
      <c r="G1378" s="35"/>
      <c r="H1378" s="104"/>
      <c r="I1378" s="35"/>
      <c r="J1378" s="74"/>
      <c r="K1378" s="74"/>
      <c r="L1378" s="74"/>
      <c r="M1378" s="74"/>
      <c r="N1378" s="74"/>
      <c r="O1378" s="74"/>
      <c r="P1378" s="74"/>
      <c r="Q1378" s="74"/>
      <c r="R1378" s="74"/>
      <c r="S1378" s="74"/>
      <c r="T1378" s="74"/>
      <c r="U1378" s="74"/>
      <c r="V1378" s="74"/>
      <c r="W1378" s="74"/>
      <c r="X1378" s="74"/>
      <c r="Y1378" s="74"/>
      <c r="Z1378" s="74"/>
      <c r="AA1378" s="74"/>
      <c r="AB1378" s="74"/>
    </row>
    <row r="1379" spans="1:28" ht="12" customHeight="1">
      <c r="A1379" s="330"/>
      <c r="B1379" s="314"/>
      <c r="C1379" s="285"/>
      <c r="D1379" s="108"/>
      <c r="E1379" s="285"/>
      <c r="F1379" s="285"/>
      <c r="G1379" s="35"/>
      <c r="H1379" s="104"/>
      <c r="I1379" s="35"/>
      <c r="J1379" s="74"/>
      <c r="K1379" s="74"/>
      <c r="L1379" s="74"/>
      <c r="M1379" s="74"/>
      <c r="N1379" s="74"/>
      <c r="O1379" s="74"/>
      <c r="P1379" s="74"/>
      <c r="Q1379" s="74"/>
      <c r="R1379" s="74"/>
      <c r="S1379" s="74"/>
      <c r="T1379" s="74"/>
      <c r="U1379" s="74"/>
      <c r="V1379" s="74"/>
      <c r="W1379" s="74"/>
      <c r="X1379" s="74"/>
      <c r="Y1379" s="74"/>
      <c r="Z1379" s="74"/>
      <c r="AA1379" s="74"/>
      <c r="AB1379" s="74"/>
    </row>
    <row r="1380" spans="1:28" ht="12" customHeight="1">
      <c r="A1380" s="330"/>
      <c r="B1380" s="314"/>
      <c r="C1380" s="285"/>
      <c r="D1380" s="108"/>
      <c r="E1380" s="285"/>
      <c r="F1380" s="285"/>
      <c r="G1380" s="35"/>
      <c r="H1380" s="104"/>
      <c r="I1380" s="35"/>
      <c r="J1380" s="74"/>
      <c r="K1380" s="74"/>
      <c r="L1380" s="74"/>
      <c r="M1380" s="74"/>
      <c r="N1380" s="74"/>
      <c r="O1380" s="74"/>
      <c r="P1380" s="74"/>
      <c r="Q1380" s="74"/>
      <c r="R1380" s="74"/>
      <c r="S1380" s="74"/>
      <c r="T1380" s="74"/>
      <c r="U1380" s="74"/>
      <c r="V1380" s="74"/>
      <c r="W1380" s="74"/>
      <c r="X1380" s="74"/>
      <c r="Y1380" s="74"/>
      <c r="Z1380" s="74"/>
      <c r="AA1380" s="74"/>
      <c r="AB1380" s="74"/>
    </row>
    <row r="1381" spans="1:28" ht="12" customHeight="1">
      <c r="A1381" s="330"/>
      <c r="B1381" s="314"/>
      <c r="C1381" s="285"/>
      <c r="D1381" s="108"/>
      <c r="E1381" s="285"/>
      <c r="F1381" s="285"/>
      <c r="G1381" s="35"/>
      <c r="H1381" s="104"/>
      <c r="I1381" s="35"/>
      <c r="J1381" s="74"/>
      <c r="K1381" s="74"/>
      <c r="L1381" s="74"/>
      <c r="M1381" s="74"/>
      <c r="N1381" s="74"/>
      <c r="O1381" s="74"/>
      <c r="P1381" s="74"/>
      <c r="Q1381" s="74"/>
      <c r="R1381" s="74"/>
      <c r="S1381" s="74"/>
      <c r="T1381" s="74"/>
      <c r="U1381" s="74"/>
      <c r="V1381" s="74"/>
      <c r="W1381" s="74"/>
      <c r="X1381" s="74"/>
      <c r="Y1381" s="74"/>
      <c r="Z1381" s="74"/>
      <c r="AA1381" s="74"/>
      <c r="AB1381" s="74"/>
    </row>
    <row r="1382" spans="1:28" ht="12" customHeight="1">
      <c r="A1382" s="330"/>
      <c r="B1382" s="314"/>
      <c r="C1382" s="285"/>
      <c r="D1382" s="108"/>
      <c r="E1382" s="285"/>
      <c r="F1382" s="285"/>
      <c r="G1382" s="35"/>
      <c r="H1382" s="104"/>
      <c r="I1382" s="35"/>
      <c r="J1382" s="74"/>
      <c r="K1382" s="74"/>
      <c r="L1382" s="74"/>
      <c r="M1382" s="74"/>
      <c r="N1382" s="74"/>
      <c r="O1382" s="74"/>
      <c r="P1382" s="74"/>
      <c r="Q1382" s="74"/>
      <c r="R1382" s="74"/>
      <c r="S1382" s="74"/>
      <c r="T1382" s="74"/>
      <c r="U1382" s="74"/>
      <c r="V1382" s="74"/>
      <c r="W1382" s="74"/>
      <c r="X1382" s="74"/>
      <c r="Y1382" s="74"/>
      <c r="Z1382" s="74"/>
      <c r="AA1382" s="74"/>
      <c r="AB1382" s="74"/>
    </row>
    <row r="1383" spans="1:28" ht="12" customHeight="1">
      <c r="A1383" s="330"/>
      <c r="B1383" s="314"/>
      <c r="C1383" s="285"/>
      <c r="D1383" s="108"/>
      <c r="E1383" s="285"/>
      <c r="F1383" s="285"/>
      <c r="G1383" s="35"/>
      <c r="H1383" s="104"/>
      <c r="I1383" s="35"/>
      <c r="J1383" s="74"/>
      <c r="K1383" s="74"/>
      <c r="L1383" s="74"/>
      <c r="M1383" s="74"/>
      <c r="N1383" s="74"/>
      <c r="O1383" s="74"/>
      <c r="P1383" s="74"/>
      <c r="Q1383" s="74"/>
      <c r="R1383" s="74"/>
      <c r="S1383" s="74"/>
      <c r="T1383" s="74"/>
      <c r="U1383" s="74"/>
      <c r="V1383" s="74"/>
      <c r="W1383" s="74"/>
      <c r="X1383" s="74"/>
      <c r="Y1383" s="74"/>
      <c r="Z1383" s="74"/>
      <c r="AA1383" s="74"/>
      <c r="AB1383" s="74"/>
    </row>
    <row r="1384" spans="1:28" ht="12" customHeight="1">
      <c r="A1384" s="330"/>
      <c r="B1384" s="314"/>
      <c r="C1384" s="285"/>
      <c r="D1384" s="108"/>
      <c r="E1384" s="285"/>
      <c r="F1384" s="285"/>
      <c r="G1384" s="35"/>
      <c r="H1384" s="104"/>
      <c r="I1384" s="35"/>
      <c r="J1384" s="74"/>
      <c r="K1384" s="74"/>
      <c r="L1384" s="74"/>
      <c r="M1384" s="74"/>
      <c r="N1384" s="74"/>
      <c r="O1384" s="74"/>
      <c r="P1384" s="74"/>
      <c r="Q1384" s="74"/>
      <c r="R1384" s="74"/>
      <c r="S1384" s="74"/>
      <c r="T1384" s="74"/>
      <c r="U1384" s="74"/>
      <c r="V1384" s="74"/>
      <c r="W1384" s="74"/>
      <c r="X1384" s="74"/>
      <c r="Y1384" s="74"/>
      <c r="Z1384" s="74"/>
      <c r="AA1384" s="74"/>
      <c r="AB1384" s="74"/>
    </row>
    <row r="1385" spans="1:28" ht="12" customHeight="1">
      <c r="A1385" s="330"/>
      <c r="B1385" s="314"/>
      <c r="C1385" s="285"/>
      <c r="D1385" s="108"/>
      <c r="E1385" s="285"/>
      <c r="F1385" s="285"/>
      <c r="G1385" s="35"/>
      <c r="H1385" s="104"/>
      <c r="I1385" s="35"/>
      <c r="J1385" s="74"/>
      <c r="K1385" s="74"/>
      <c r="L1385" s="74"/>
      <c r="M1385" s="74"/>
      <c r="N1385" s="74"/>
      <c r="O1385" s="74"/>
      <c r="P1385" s="74"/>
      <c r="Q1385" s="74"/>
      <c r="R1385" s="74"/>
      <c r="S1385" s="74"/>
      <c r="T1385" s="74"/>
      <c r="U1385" s="74"/>
      <c r="V1385" s="74"/>
      <c r="W1385" s="74"/>
      <c r="X1385" s="74"/>
      <c r="Y1385" s="74"/>
      <c r="Z1385" s="74"/>
      <c r="AA1385" s="74"/>
      <c r="AB1385" s="74"/>
    </row>
    <row r="1386" spans="1:28" ht="12" customHeight="1">
      <c r="A1386" s="330"/>
      <c r="B1386" s="314"/>
      <c r="C1386" s="285"/>
      <c r="D1386" s="108"/>
      <c r="E1386" s="285"/>
      <c r="F1386" s="285"/>
      <c r="G1386" s="35"/>
      <c r="H1386" s="104"/>
      <c r="I1386" s="35"/>
      <c r="J1386" s="74"/>
      <c r="K1386" s="74"/>
      <c r="L1386" s="74"/>
      <c r="M1386" s="74"/>
      <c r="N1386" s="74"/>
      <c r="O1386" s="74"/>
      <c r="P1386" s="74"/>
      <c r="Q1386" s="74"/>
      <c r="R1386" s="74"/>
      <c r="S1386" s="74"/>
      <c r="T1386" s="74"/>
      <c r="U1386" s="74"/>
      <c r="V1386" s="74"/>
      <c r="W1386" s="74"/>
      <c r="X1386" s="74"/>
      <c r="Y1386" s="74"/>
      <c r="Z1386" s="74"/>
      <c r="AA1386" s="74"/>
      <c r="AB1386" s="74"/>
    </row>
    <row r="1387" spans="1:28" ht="12" customHeight="1">
      <c r="A1387" s="330"/>
      <c r="B1387" s="314"/>
      <c r="C1387" s="285"/>
      <c r="D1387" s="108"/>
      <c r="E1387" s="285"/>
      <c r="F1387" s="285"/>
      <c r="G1387" s="35"/>
      <c r="H1387" s="104"/>
      <c r="I1387" s="35"/>
      <c r="J1387" s="74"/>
      <c r="K1387" s="74"/>
      <c r="L1387" s="74"/>
      <c r="M1387" s="74"/>
      <c r="N1387" s="74"/>
      <c r="O1387" s="74"/>
      <c r="P1387" s="74"/>
      <c r="Q1387" s="74"/>
      <c r="R1387" s="74"/>
      <c r="S1387" s="74"/>
      <c r="T1387" s="74"/>
      <c r="U1387" s="74"/>
      <c r="V1387" s="74"/>
      <c r="W1387" s="74"/>
      <c r="X1387" s="74"/>
      <c r="Y1387" s="74"/>
      <c r="Z1387" s="74"/>
      <c r="AA1387" s="74"/>
      <c r="AB1387" s="74"/>
    </row>
    <row r="1388" spans="1:28" ht="12" customHeight="1">
      <c r="A1388" s="330"/>
      <c r="B1388" s="314"/>
      <c r="C1388" s="285"/>
      <c r="D1388" s="108"/>
      <c r="E1388" s="285"/>
      <c r="F1388" s="285"/>
      <c r="G1388" s="35"/>
      <c r="H1388" s="104"/>
      <c r="I1388" s="35"/>
      <c r="J1388" s="74"/>
      <c r="K1388" s="74"/>
      <c r="L1388" s="74"/>
      <c r="M1388" s="74"/>
      <c r="N1388" s="74"/>
      <c r="O1388" s="74"/>
      <c r="P1388" s="74"/>
      <c r="Q1388" s="74"/>
      <c r="R1388" s="74"/>
      <c r="S1388" s="74"/>
      <c r="T1388" s="74"/>
      <c r="U1388" s="74"/>
      <c r="V1388" s="74"/>
      <c r="W1388" s="74"/>
      <c r="X1388" s="74"/>
      <c r="Y1388" s="74"/>
      <c r="Z1388" s="74"/>
      <c r="AA1388" s="74"/>
      <c r="AB1388" s="74"/>
    </row>
    <row r="1389" spans="1:28" ht="12" customHeight="1">
      <c r="A1389" s="330"/>
      <c r="B1389" s="314"/>
      <c r="C1389" s="285"/>
      <c r="D1389" s="108"/>
      <c r="E1389" s="285"/>
      <c r="F1389" s="285"/>
      <c r="G1389" s="35"/>
      <c r="H1389" s="104"/>
      <c r="I1389" s="35"/>
      <c r="J1389" s="74"/>
      <c r="K1389" s="74"/>
      <c r="L1389" s="74"/>
      <c r="M1389" s="74"/>
      <c r="N1389" s="74"/>
      <c r="O1389" s="74"/>
      <c r="P1389" s="74"/>
      <c r="Q1389" s="74"/>
      <c r="R1389" s="74"/>
      <c r="S1389" s="74"/>
      <c r="T1389" s="74"/>
      <c r="U1389" s="74"/>
      <c r="V1389" s="74"/>
      <c r="W1389" s="74"/>
      <c r="X1389" s="74"/>
      <c r="Y1389" s="74"/>
      <c r="Z1389" s="74"/>
      <c r="AA1389" s="74"/>
      <c r="AB1389" s="74"/>
    </row>
    <row r="1390" spans="1:28" ht="12" customHeight="1">
      <c r="A1390" s="330"/>
      <c r="B1390" s="314"/>
      <c r="C1390" s="285"/>
      <c r="D1390" s="108"/>
      <c r="E1390" s="285"/>
      <c r="F1390" s="285"/>
      <c r="G1390" s="35"/>
      <c r="H1390" s="104"/>
      <c r="I1390" s="35"/>
      <c r="J1390" s="74"/>
      <c r="K1390" s="74"/>
      <c r="L1390" s="74"/>
      <c r="M1390" s="74"/>
      <c r="N1390" s="74"/>
      <c r="O1390" s="74"/>
      <c r="P1390" s="74"/>
      <c r="Q1390" s="74"/>
      <c r="R1390" s="74"/>
      <c r="S1390" s="74"/>
      <c r="T1390" s="74"/>
      <c r="U1390" s="74"/>
      <c r="V1390" s="74"/>
      <c r="W1390" s="74"/>
      <c r="X1390" s="74"/>
      <c r="Y1390" s="74"/>
      <c r="Z1390" s="74"/>
      <c r="AA1390" s="74"/>
      <c r="AB1390" s="74"/>
    </row>
    <row r="1391" spans="1:28" ht="12" customHeight="1">
      <c r="A1391" s="330"/>
      <c r="B1391" s="314"/>
      <c r="C1391" s="285"/>
      <c r="D1391" s="108"/>
      <c r="E1391" s="285"/>
      <c r="F1391" s="285"/>
      <c r="G1391" s="35"/>
      <c r="H1391" s="104"/>
      <c r="I1391" s="35"/>
      <c r="J1391" s="74"/>
      <c r="K1391" s="74"/>
      <c r="L1391" s="74"/>
      <c r="M1391" s="74"/>
      <c r="N1391" s="74"/>
      <c r="O1391" s="74"/>
      <c r="P1391" s="74"/>
      <c r="Q1391" s="74"/>
      <c r="R1391" s="74"/>
      <c r="S1391" s="74"/>
      <c r="T1391" s="74"/>
      <c r="U1391" s="74"/>
      <c r="V1391" s="74"/>
      <c r="W1391" s="74"/>
      <c r="X1391" s="74"/>
      <c r="Y1391" s="74"/>
      <c r="Z1391" s="74"/>
      <c r="AA1391" s="74"/>
      <c r="AB1391" s="74"/>
    </row>
    <row r="1392" spans="1:28" ht="12" customHeight="1">
      <c r="A1392" s="330"/>
      <c r="B1392" s="314"/>
      <c r="C1392" s="285"/>
      <c r="D1392" s="108"/>
      <c r="E1392" s="285"/>
      <c r="F1392" s="285"/>
      <c r="G1392" s="35"/>
      <c r="H1392" s="104"/>
      <c r="I1392" s="35"/>
      <c r="J1392" s="74"/>
      <c r="K1392" s="74"/>
      <c r="L1392" s="74"/>
      <c r="M1392" s="74"/>
      <c r="N1392" s="74"/>
      <c r="O1392" s="74"/>
      <c r="P1392" s="74"/>
      <c r="Q1392" s="74"/>
      <c r="R1392" s="74"/>
      <c r="S1392" s="74"/>
      <c r="T1392" s="74"/>
      <c r="U1392" s="74"/>
      <c r="V1392" s="74"/>
      <c r="W1392" s="74"/>
      <c r="X1392" s="74"/>
      <c r="Y1392" s="74"/>
      <c r="Z1392" s="74"/>
      <c r="AA1392" s="74"/>
      <c r="AB1392" s="74"/>
    </row>
    <row r="1393" spans="1:28" ht="12" customHeight="1">
      <c r="A1393" s="330"/>
      <c r="B1393" s="314"/>
      <c r="C1393" s="285"/>
      <c r="D1393" s="108"/>
      <c r="E1393" s="285"/>
      <c r="F1393" s="285"/>
      <c r="G1393" s="35"/>
      <c r="H1393" s="104"/>
      <c r="I1393" s="35"/>
      <c r="J1393" s="74"/>
      <c r="K1393" s="74"/>
      <c r="L1393" s="74"/>
      <c r="M1393" s="74"/>
      <c r="N1393" s="74"/>
      <c r="O1393" s="74"/>
      <c r="P1393" s="74"/>
      <c r="Q1393" s="74"/>
      <c r="R1393" s="74"/>
      <c r="S1393" s="74"/>
      <c r="T1393" s="74"/>
      <c r="U1393" s="74"/>
      <c r="V1393" s="74"/>
      <c r="W1393" s="74"/>
      <c r="X1393" s="74"/>
      <c r="Y1393" s="74"/>
      <c r="Z1393" s="74"/>
      <c r="AA1393" s="74"/>
      <c r="AB1393" s="74"/>
    </row>
    <row r="1394" spans="1:28" ht="12" customHeight="1">
      <c r="A1394" s="330"/>
      <c r="B1394" s="314"/>
      <c r="C1394" s="285"/>
      <c r="D1394" s="108"/>
      <c r="E1394" s="285"/>
      <c r="F1394" s="285"/>
      <c r="G1394" s="35"/>
      <c r="H1394" s="104"/>
      <c r="I1394" s="35"/>
      <c r="J1394" s="74"/>
      <c r="K1394" s="74"/>
      <c r="L1394" s="74"/>
      <c r="M1394" s="74"/>
      <c r="N1394" s="74"/>
      <c r="O1394" s="74"/>
      <c r="P1394" s="74"/>
      <c r="Q1394" s="74"/>
      <c r="R1394" s="74"/>
      <c r="S1394" s="74"/>
      <c r="T1394" s="74"/>
      <c r="U1394" s="74"/>
      <c r="V1394" s="74"/>
      <c r="W1394" s="74"/>
      <c r="X1394" s="74"/>
      <c r="Y1394" s="74"/>
      <c r="Z1394" s="74"/>
      <c r="AA1394" s="74"/>
      <c r="AB1394" s="74"/>
    </row>
    <row r="1395" spans="1:28" ht="12" customHeight="1">
      <c r="A1395" s="330"/>
      <c r="B1395" s="314"/>
      <c r="C1395" s="285"/>
      <c r="D1395" s="108"/>
      <c r="E1395" s="285"/>
      <c r="F1395" s="285"/>
      <c r="G1395" s="35"/>
      <c r="H1395" s="104"/>
      <c r="I1395" s="35"/>
      <c r="J1395" s="74"/>
      <c r="K1395" s="74"/>
      <c r="L1395" s="74"/>
      <c r="M1395" s="74"/>
      <c r="N1395" s="74"/>
      <c r="O1395" s="74"/>
      <c r="P1395" s="74"/>
      <c r="Q1395" s="74"/>
      <c r="R1395" s="74"/>
      <c r="S1395" s="74"/>
      <c r="T1395" s="74"/>
      <c r="U1395" s="74"/>
      <c r="V1395" s="74"/>
      <c r="W1395" s="74"/>
      <c r="X1395" s="74"/>
      <c r="Y1395" s="74"/>
      <c r="Z1395" s="74"/>
      <c r="AA1395" s="74"/>
      <c r="AB1395" s="74"/>
    </row>
    <row r="1396" spans="1:28" ht="12" customHeight="1">
      <c r="A1396" s="330"/>
      <c r="B1396" s="314"/>
      <c r="C1396" s="285"/>
      <c r="D1396" s="108"/>
      <c r="E1396" s="285"/>
      <c r="F1396" s="285"/>
      <c r="G1396" s="35"/>
      <c r="H1396" s="104"/>
      <c r="I1396" s="35"/>
      <c r="J1396" s="74"/>
      <c r="K1396" s="74"/>
      <c r="L1396" s="74"/>
      <c r="M1396" s="74"/>
      <c r="N1396" s="74"/>
      <c r="O1396" s="74"/>
      <c r="P1396" s="74"/>
      <c r="Q1396" s="74"/>
      <c r="R1396" s="74"/>
      <c r="S1396" s="74"/>
      <c r="T1396" s="74"/>
      <c r="U1396" s="74"/>
      <c r="V1396" s="74"/>
      <c r="W1396" s="74"/>
      <c r="X1396" s="74"/>
      <c r="Y1396" s="74"/>
      <c r="Z1396" s="74"/>
      <c r="AA1396" s="74"/>
      <c r="AB1396" s="74"/>
    </row>
    <row r="1397" spans="1:28" ht="12" customHeight="1">
      <c r="A1397" s="330"/>
      <c r="B1397" s="314"/>
      <c r="C1397" s="285"/>
      <c r="D1397" s="108"/>
      <c r="E1397" s="285"/>
      <c r="F1397" s="285"/>
      <c r="G1397" s="35"/>
      <c r="H1397" s="104"/>
      <c r="I1397" s="35"/>
      <c r="J1397" s="74"/>
      <c r="K1397" s="74"/>
      <c r="L1397" s="74"/>
      <c r="M1397" s="74"/>
      <c r="N1397" s="74"/>
      <c r="O1397" s="74"/>
      <c r="P1397" s="74"/>
      <c r="Q1397" s="74"/>
      <c r="R1397" s="74"/>
      <c r="S1397" s="74"/>
      <c r="T1397" s="74"/>
      <c r="U1397" s="74"/>
      <c r="V1397" s="74"/>
      <c r="W1397" s="74"/>
      <c r="X1397" s="74"/>
      <c r="Y1397" s="74"/>
      <c r="Z1397" s="74"/>
      <c r="AA1397" s="74"/>
      <c r="AB1397" s="74"/>
    </row>
    <row r="1398" spans="1:28" ht="12" customHeight="1">
      <c r="A1398" s="330"/>
      <c r="B1398" s="314"/>
      <c r="C1398" s="285"/>
      <c r="D1398" s="108"/>
      <c r="E1398" s="285"/>
      <c r="F1398" s="285"/>
      <c r="G1398" s="35"/>
      <c r="H1398" s="104"/>
      <c r="I1398" s="35"/>
      <c r="J1398" s="74"/>
      <c r="K1398" s="74"/>
      <c r="L1398" s="74"/>
      <c r="M1398" s="74"/>
      <c r="N1398" s="74"/>
      <c r="O1398" s="74"/>
      <c r="P1398" s="74"/>
      <c r="Q1398" s="74"/>
      <c r="R1398" s="74"/>
      <c r="S1398" s="74"/>
      <c r="T1398" s="74"/>
      <c r="U1398" s="74"/>
      <c r="V1398" s="74"/>
      <c r="W1398" s="74"/>
      <c r="X1398" s="74"/>
      <c r="Y1398" s="74"/>
      <c r="Z1398" s="74"/>
      <c r="AA1398" s="74"/>
      <c r="AB1398" s="74"/>
    </row>
    <row r="1399" spans="1:28" ht="12" customHeight="1">
      <c r="A1399" s="330"/>
      <c r="B1399" s="314"/>
      <c r="C1399" s="285"/>
      <c r="D1399" s="108"/>
      <c r="E1399" s="285"/>
      <c r="F1399" s="285"/>
      <c r="G1399" s="35"/>
      <c r="H1399" s="104"/>
      <c r="I1399" s="35"/>
      <c r="J1399" s="74"/>
      <c r="K1399" s="74"/>
      <c r="L1399" s="74"/>
      <c r="M1399" s="74"/>
      <c r="N1399" s="74"/>
      <c r="O1399" s="74"/>
      <c r="P1399" s="74"/>
      <c r="Q1399" s="74"/>
      <c r="R1399" s="74"/>
      <c r="S1399" s="74"/>
      <c r="T1399" s="74"/>
      <c r="U1399" s="74"/>
      <c r="V1399" s="74"/>
      <c r="W1399" s="74"/>
      <c r="X1399" s="74"/>
      <c r="Y1399" s="74"/>
      <c r="Z1399" s="74"/>
      <c r="AA1399" s="74"/>
      <c r="AB1399" s="74"/>
    </row>
    <row r="1400" spans="1:28" ht="12" customHeight="1">
      <c r="A1400" s="330"/>
      <c r="B1400" s="314"/>
      <c r="C1400" s="285"/>
      <c r="D1400" s="108"/>
      <c r="E1400" s="285"/>
      <c r="F1400" s="285"/>
      <c r="G1400" s="35"/>
      <c r="H1400" s="104"/>
      <c r="I1400" s="35"/>
      <c r="J1400" s="74"/>
      <c r="K1400" s="74"/>
      <c r="L1400" s="74"/>
      <c r="M1400" s="74"/>
      <c r="N1400" s="74"/>
      <c r="O1400" s="74"/>
      <c r="P1400" s="74"/>
      <c r="Q1400" s="74"/>
      <c r="R1400" s="74"/>
      <c r="S1400" s="74"/>
      <c r="T1400" s="74"/>
      <c r="U1400" s="74"/>
      <c r="V1400" s="74"/>
      <c r="W1400" s="74"/>
      <c r="X1400" s="74"/>
      <c r="Y1400" s="74"/>
      <c r="Z1400" s="74"/>
      <c r="AA1400" s="74"/>
      <c r="AB1400" s="74"/>
    </row>
    <row r="1401" spans="1:28" ht="12" customHeight="1">
      <c r="A1401" s="330"/>
      <c r="B1401" s="314"/>
      <c r="C1401" s="285"/>
      <c r="D1401" s="108"/>
      <c r="E1401" s="285"/>
      <c r="F1401" s="285"/>
      <c r="G1401" s="35"/>
      <c r="H1401" s="104"/>
      <c r="I1401" s="35"/>
      <c r="J1401" s="74"/>
      <c r="K1401" s="74"/>
      <c r="L1401" s="74"/>
      <c r="M1401" s="74"/>
      <c r="N1401" s="74"/>
      <c r="O1401" s="74"/>
      <c r="P1401" s="74"/>
      <c r="Q1401" s="74"/>
      <c r="R1401" s="74"/>
      <c r="S1401" s="74"/>
      <c r="T1401" s="74"/>
      <c r="U1401" s="74"/>
      <c r="V1401" s="74"/>
      <c r="W1401" s="74"/>
      <c r="X1401" s="74"/>
      <c r="Y1401" s="74"/>
      <c r="Z1401" s="74"/>
      <c r="AA1401" s="74"/>
      <c r="AB1401" s="74"/>
    </row>
    <row r="1402" spans="1:28" ht="12" customHeight="1">
      <c r="A1402" s="330"/>
      <c r="B1402" s="314"/>
      <c r="C1402" s="285"/>
      <c r="D1402" s="108"/>
      <c r="E1402" s="285"/>
      <c r="F1402" s="285"/>
      <c r="G1402" s="35"/>
      <c r="H1402" s="104"/>
      <c r="I1402" s="35"/>
      <c r="J1402" s="74"/>
      <c r="K1402" s="74"/>
      <c r="L1402" s="74"/>
      <c r="M1402" s="74"/>
      <c r="N1402" s="74"/>
      <c r="O1402" s="74"/>
      <c r="P1402" s="74"/>
      <c r="Q1402" s="74"/>
      <c r="R1402" s="74"/>
      <c r="S1402" s="74"/>
      <c r="T1402" s="74"/>
      <c r="U1402" s="74"/>
      <c r="V1402" s="74"/>
      <c r="W1402" s="74"/>
      <c r="X1402" s="74"/>
      <c r="Y1402" s="74"/>
      <c r="Z1402" s="74"/>
      <c r="AA1402" s="74"/>
      <c r="AB1402" s="74"/>
    </row>
    <row r="1403" spans="1:28" ht="12" customHeight="1">
      <c r="A1403" s="330"/>
      <c r="B1403" s="314"/>
      <c r="C1403" s="285"/>
      <c r="D1403" s="108"/>
      <c r="E1403" s="285"/>
      <c r="F1403" s="285"/>
      <c r="G1403" s="35"/>
      <c r="H1403" s="104"/>
      <c r="I1403" s="35"/>
      <c r="J1403" s="74"/>
      <c r="K1403" s="74"/>
      <c r="L1403" s="74"/>
      <c r="M1403" s="74"/>
      <c r="N1403" s="74"/>
      <c r="O1403" s="74"/>
      <c r="P1403" s="74"/>
      <c r="Q1403" s="74"/>
      <c r="R1403" s="74"/>
      <c r="S1403" s="74"/>
      <c r="T1403" s="74"/>
      <c r="U1403" s="74"/>
      <c r="V1403" s="74"/>
      <c r="W1403" s="74"/>
      <c r="X1403" s="74"/>
      <c r="Y1403" s="74"/>
      <c r="Z1403" s="74"/>
      <c r="AA1403" s="74"/>
      <c r="AB1403" s="74"/>
    </row>
    <row r="1404" spans="1:28" ht="12" customHeight="1">
      <c r="A1404" s="330"/>
      <c r="B1404" s="314"/>
      <c r="C1404" s="285"/>
      <c r="D1404" s="108"/>
      <c r="E1404" s="285"/>
      <c r="F1404" s="285"/>
      <c r="G1404" s="35"/>
      <c r="H1404" s="104"/>
      <c r="I1404" s="35"/>
      <c r="J1404" s="74"/>
      <c r="K1404" s="74"/>
      <c r="L1404" s="74"/>
      <c r="M1404" s="74"/>
      <c r="N1404" s="74"/>
      <c r="O1404" s="74"/>
      <c r="P1404" s="74"/>
      <c r="Q1404" s="74"/>
      <c r="R1404" s="74"/>
      <c r="S1404" s="74"/>
      <c r="T1404" s="74"/>
      <c r="U1404" s="74"/>
      <c r="V1404" s="74"/>
      <c r="W1404" s="74"/>
      <c r="X1404" s="74"/>
      <c r="Y1404" s="74"/>
      <c r="Z1404" s="74"/>
      <c r="AA1404" s="74"/>
      <c r="AB1404" s="74"/>
    </row>
    <row r="1405" spans="1:28" ht="12" customHeight="1">
      <c r="A1405" s="330"/>
      <c r="B1405" s="314"/>
      <c r="C1405" s="285"/>
      <c r="D1405" s="108"/>
      <c r="E1405" s="285"/>
      <c r="F1405" s="285"/>
      <c r="G1405" s="35"/>
      <c r="H1405" s="104"/>
      <c r="I1405" s="35"/>
      <c r="J1405" s="74"/>
      <c r="K1405" s="74"/>
      <c r="L1405" s="74"/>
      <c r="M1405" s="74"/>
      <c r="N1405" s="74"/>
      <c r="O1405" s="74"/>
      <c r="P1405" s="74"/>
      <c r="Q1405" s="74"/>
      <c r="R1405" s="74"/>
      <c r="S1405" s="74"/>
      <c r="T1405" s="74"/>
      <c r="U1405" s="74"/>
      <c r="V1405" s="74"/>
      <c r="W1405" s="74"/>
      <c r="X1405" s="74"/>
      <c r="Y1405" s="74"/>
      <c r="Z1405" s="74"/>
      <c r="AA1405" s="74"/>
      <c r="AB1405" s="74"/>
    </row>
    <row r="1406" spans="1:28" ht="12" customHeight="1">
      <c r="A1406" s="330"/>
      <c r="B1406" s="314"/>
      <c r="C1406" s="285"/>
      <c r="D1406" s="108"/>
      <c r="E1406" s="285"/>
      <c r="F1406" s="285"/>
      <c r="G1406" s="35"/>
      <c r="H1406" s="104"/>
      <c r="I1406" s="35"/>
      <c r="J1406" s="74"/>
      <c r="K1406" s="74"/>
      <c r="L1406" s="74"/>
      <c r="M1406" s="74"/>
      <c r="N1406" s="74"/>
      <c r="O1406" s="74"/>
      <c r="P1406" s="74"/>
      <c r="Q1406" s="74"/>
      <c r="R1406" s="74"/>
      <c r="S1406" s="74"/>
      <c r="T1406" s="74"/>
      <c r="U1406" s="74"/>
      <c r="V1406" s="74"/>
      <c r="W1406" s="74"/>
      <c r="X1406" s="74"/>
      <c r="Y1406" s="74"/>
      <c r="Z1406" s="74"/>
      <c r="AA1406" s="74"/>
      <c r="AB1406" s="74"/>
    </row>
    <row r="1407" spans="1:28" ht="12" customHeight="1">
      <c r="A1407" s="330"/>
      <c r="B1407" s="314"/>
      <c r="C1407" s="285"/>
      <c r="D1407" s="108"/>
      <c r="E1407" s="285"/>
      <c r="F1407" s="285"/>
      <c r="G1407" s="35"/>
      <c r="H1407" s="104"/>
      <c r="I1407" s="35"/>
      <c r="J1407" s="74"/>
      <c r="K1407" s="74"/>
      <c r="L1407" s="74"/>
      <c r="M1407" s="74"/>
      <c r="N1407" s="74"/>
      <c r="O1407" s="74"/>
      <c r="P1407" s="74"/>
      <c r="Q1407" s="74"/>
      <c r="R1407" s="74"/>
      <c r="S1407" s="74"/>
      <c r="T1407" s="74"/>
      <c r="U1407" s="74"/>
      <c r="V1407" s="74"/>
      <c r="W1407" s="74"/>
      <c r="X1407" s="74"/>
      <c r="Y1407" s="74"/>
      <c r="Z1407" s="74"/>
      <c r="AA1407" s="74"/>
      <c r="AB1407" s="74"/>
    </row>
    <row r="1408" spans="1:28" ht="12" customHeight="1">
      <c r="A1408" s="330"/>
      <c r="B1408" s="314"/>
      <c r="C1408" s="285"/>
      <c r="D1408" s="108"/>
      <c r="E1408" s="285"/>
      <c r="F1408" s="285"/>
      <c r="G1408" s="35"/>
      <c r="H1408" s="104"/>
      <c r="I1408" s="35"/>
      <c r="J1408" s="74"/>
      <c r="K1408" s="74"/>
      <c r="L1408" s="74"/>
      <c r="M1408" s="74"/>
      <c r="N1408" s="74"/>
      <c r="O1408" s="74"/>
      <c r="P1408" s="74"/>
      <c r="Q1408" s="74"/>
      <c r="R1408" s="74"/>
      <c r="S1408" s="74"/>
      <c r="T1408" s="74"/>
      <c r="U1408" s="74"/>
      <c r="V1408" s="74"/>
      <c r="W1408" s="74"/>
      <c r="X1408" s="74"/>
      <c r="Y1408" s="74"/>
      <c r="Z1408" s="74"/>
      <c r="AA1408" s="74"/>
      <c r="AB1408" s="74"/>
    </row>
    <row r="1409" spans="1:28" ht="12" customHeight="1">
      <c r="A1409" s="330"/>
      <c r="B1409" s="314"/>
      <c r="C1409" s="285"/>
      <c r="D1409" s="108"/>
      <c r="E1409" s="285"/>
      <c r="F1409" s="285"/>
      <c r="G1409" s="35"/>
      <c r="H1409" s="104"/>
      <c r="I1409" s="35"/>
      <c r="J1409" s="74"/>
      <c r="K1409" s="74"/>
      <c r="L1409" s="74"/>
      <c r="M1409" s="74"/>
      <c r="N1409" s="74"/>
      <c r="O1409" s="74"/>
      <c r="P1409" s="74"/>
      <c r="Q1409" s="74"/>
      <c r="R1409" s="74"/>
      <c r="S1409" s="74"/>
      <c r="T1409" s="74"/>
      <c r="U1409" s="74"/>
      <c r="V1409" s="74"/>
      <c r="W1409" s="74"/>
      <c r="X1409" s="74"/>
      <c r="Y1409" s="74"/>
      <c r="Z1409" s="74"/>
      <c r="AA1409" s="74"/>
      <c r="AB1409" s="74"/>
    </row>
    <row r="1410" spans="1:28" ht="12" customHeight="1">
      <c r="A1410" s="330"/>
      <c r="B1410" s="314"/>
      <c r="C1410" s="285"/>
      <c r="D1410" s="108"/>
      <c r="E1410" s="285"/>
      <c r="F1410" s="285"/>
      <c r="G1410" s="35"/>
      <c r="H1410" s="104"/>
      <c r="I1410" s="35"/>
      <c r="J1410" s="74"/>
      <c r="K1410" s="74"/>
      <c r="L1410" s="74"/>
      <c r="M1410" s="74"/>
      <c r="N1410" s="74"/>
      <c r="O1410" s="74"/>
      <c r="P1410" s="74"/>
      <c r="Q1410" s="74"/>
      <c r="R1410" s="74"/>
      <c r="S1410" s="74"/>
      <c r="T1410" s="74"/>
      <c r="U1410" s="74"/>
      <c r="V1410" s="74"/>
      <c r="W1410" s="74"/>
      <c r="X1410" s="74"/>
      <c r="Y1410" s="74"/>
      <c r="Z1410" s="74"/>
      <c r="AA1410" s="74"/>
      <c r="AB1410" s="74"/>
    </row>
    <row r="1411" spans="1:28" ht="12" customHeight="1">
      <c r="A1411" s="330"/>
      <c r="B1411" s="314"/>
      <c r="C1411" s="285"/>
      <c r="D1411" s="108"/>
      <c r="E1411" s="285"/>
      <c r="F1411" s="285"/>
      <c r="G1411" s="35"/>
      <c r="H1411" s="104"/>
      <c r="I1411" s="35"/>
      <c r="J1411" s="74"/>
      <c r="K1411" s="74"/>
      <c r="L1411" s="74"/>
      <c r="M1411" s="74"/>
      <c r="N1411" s="74"/>
      <c r="O1411" s="74"/>
      <c r="P1411" s="74"/>
      <c r="Q1411" s="74"/>
      <c r="R1411" s="74"/>
      <c r="S1411" s="74"/>
      <c r="T1411" s="74"/>
      <c r="U1411" s="74"/>
      <c r="V1411" s="74"/>
      <c r="W1411" s="74"/>
      <c r="X1411" s="74"/>
      <c r="Y1411" s="74"/>
      <c r="Z1411" s="74"/>
      <c r="AA1411" s="74"/>
      <c r="AB1411" s="74"/>
    </row>
    <row r="1412" spans="1:28" ht="12" customHeight="1">
      <c r="A1412" s="330"/>
      <c r="B1412" s="314"/>
      <c r="C1412" s="285"/>
      <c r="D1412" s="108"/>
      <c r="E1412" s="285"/>
      <c r="F1412" s="285"/>
      <c r="G1412" s="35"/>
      <c r="H1412" s="104"/>
      <c r="I1412" s="35"/>
      <c r="J1412" s="74"/>
      <c r="K1412" s="74"/>
      <c r="L1412" s="74"/>
      <c r="M1412" s="74"/>
      <c r="N1412" s="74"/>
      <c r="O1412" s="74"/>
      <c r="P1412" s="74"/>
      <c r="Q1412" s="74"/>
      <c r="R1412" s="74"/>
      <c r="S1412" s="74"/>
      <c r="T1412" s="74"/>
      <c r="U1412" s="74"/>
      <c r="V1412" s="74"/>
      <c r="W1412" s="74"/>
      <c r="X1412" s="74"/>
      <c r="Y1412" s="74"/>
      <c r="Z1412" s="74"/>
      <c r="AA1412" s="74"/>
      <c r="AB1412" s="74"/>
    </row>
    <row r="1413" spans="1:28" ht="12" customHeight="1">
      <c r="A1413" s="330"/>
      <c r="B1413" s="314"/>
      <c r="C1413" s="285"/>
      <c r="D1413" s="108"/>
      <c r="E1413" s="285"/>
      <c r="F1413" s="285"/>
      <c r="G1413" s="35"/>
      <c r="H1413" s="104"/>
      <c r="I1413" s="35"/>
      <c r="J1413" s="74"/>
      <c r="K1413" s="74"/>
      <c r="L1413" s="74"/>
      <c r="M1413" s="74"/>
      <c r="N1413" s="74"/>
      <c r="O1413" s="74"/>
      <c r="P1413" s="74"/>
      <c r="Q1413" s="74"/>
      <c r="R1413" s="74"/>
      <c r="S1413" s="74"/>
      <c r="T1413" s="74"/>
      <c r="U1413" s="74"/>
      <c r="V1413" s="74"/>
      <c r="W1413" s="74"/>
      <c r="X1413" s="74"/>
      <c r="Y1413" s="74"/>
      <c r="Z1413" s="74"/>
      <c r="AA1413" s="74"/>
      <c r="AB1413" s="74"/>
    </row>
    <row r="1414" spans="1:28" ht="12" customHeight="1">
      <c r="A1414" s="330"/>
      <c r="B1414" s="314"/>
      <c r="C1414" s="285"/>
      <c r="D1414" s="108"/>
      <c r="E1414" s="285"/>
      <c r="F1414" s="285"/>
      <c r="G1414" s="35"/>
      <c r="H1414" s="104"/>
      <c r="I1414" s="35"/>
      <c r="J1414" s="74"/>
      <c r="K1414" s="74"/>
      <c r="L1414" s="74"/>
      <c r="M1414" s="74"/>
      <c r="N1414" s="74"/>
      <c r="O1414" s="74"/>
      <c r="P1414" s="74"/>
      <c r="Q1414" s="74"/>
      <c r="R1414" s="74"/>
      <c r="S1414" s="74"/>
      <c r="T1414" s="74"/>
      <c r="U1414" s="74"/>
      <c r="V1414" s="74"/>
      <c r="W1414" s="74"/>
      <c r="X1414" s="74"/>
      <c r="Y1414" s="74"/>
      <c r="Z1414" s="74"/>
      <c r="AA1414" s="74"/>
      <c r="AB1414" s="74"/>
    </row>
    <row r="1415" spans="1:28" ht="12" customHeight="1">
      <c r="A1415" s="330"/>
      <c r="B1415" s="314"/>
      <c r="C1415" s="285"/>
      <c r="D1415" s="108"/>
      <c r="E1415" s="285"/>
      <c r="F1415" s="285"/>
      <c r="G1415" s="35"/>
      <c r="H1415" s="104"/>
      <c r="I1415" s="35"/>
      <c r="J1415" s="74"/>
      <c r="K1415" s="74"/>
      <c r="L1415" s="74"/>
      <c r="M1415" s="74"/>
      <c r="N1415" s="74"/>
      <c r="O1415" s="74"/>
      <c r="P1415" s="74"/>
      <c r="Q1415" s="74"/>
      <c r="R1415" s="74"/>
      <c r="S1415" s="74"/>
      <c r="T1415" s="74"/>
      <c r="U1415" s="74"/>
      <c r="V1415" s="74"/>
      <c r="W1415" s="74"/>
      <c r="X1415" s="74"/>
      <c r="Y1415" s="74"/>
      <c r="Z1415" s="74"/>
      <c r="AA1415" s="74"/>
      <c r="AB1415" s="74"/>
    </row>
    <row r="1416" spans="1:28" ht="12" customHeight="1">
      <c r="A1416" s="330"/>
      <c r="B1416" s="314"/>
      <c r="C1416" s="285"/>
      <c r="D1416" s="108"/>
      <c r="E1416" s="285"/>
      <c r="F1416" s="285"/>
      <c r="G1416" s="35"/>
      <c r="H1416" s="104"/>
      <c r="I1416" s="35"/>
      <c r="J1416" s="74"/>
      <c r="K1416" s="74"/>
      <c r="L1416" s="74"/>
      <c r="M1416" s="74"/>
      <c r="N1416" s="74"/>
      <c r="O1416" s="74"/>
      <c r="P1416" s="74"/>
      <c r="Q1416" s="74"/>
      <c r="R1416" s="74"/>
      <c r="S1416" s="74"/>
      <c r="T1416" s="74"/>
      <c r="U1416" s="74"/>
      <c r="V1416" s="74"/>
      <c r="W1416" s="74"/>
      <c r="X1416" s="74"/>
      <c r="Y1416" s="74"/>
      <c r="Z1416" s="74"/>
      <c r="AA1416" s="74"/>
      <c r="AB1416" s="74"/>
    </row>
    <row r="1417" spans="1:28" ht="12" customHeight="1">
      <c r="A1417" s="330"/>
      <c r="B1417" s="314"/>
      <c r="C1417" s="285"/>
      <c r="D1417" s="108"/>
      <c r="E1417" s="285"/>
      <c r="F1417" s="285"/>
      <c r="G1417" s="35"/>
      <c r="H1417" s="104"/>
      <c r="I1417" s="35"/>
      <c r="J1417" s="74"/>
      <c r="K1417" s="74"/>
      <c r="L1417" s="74"/>
      <c r="M1417" s="74"/>
      <c r="N1417" s="74"/>
      <c r="O1417" s="74"/>
      <c r="P1417" s="74"/>
      <c r="Q1417" s="74"/>
      <c r="R1417" s="74"/>
      <c r="S1417" s="74"/>
      <c r="T1417" s="74"/>
      <c r="U1417" s="74"/>
      <c r="V1417" s="74"/>
      <c r="W1417" s="74"/>
      <c r="X1417" s="74"/>
      <c r="Y1417" s="74"/>
      <c r="Z1417" s="74"/>
      <c r="AA1417" s="74"/>
      <c r="AB1417" s="74"/>
    </row>
    <row r="1418" spans="1:28" ht="12" customHeight="1">
      <c r="A1418" s="330"/>
      <c r="B1418" s="314"/>
      <c r="C1418" s="285"/>
      <c r="D1418" s="108"/>
      <c r="E1418" s="285"/>
      <c r="F1418" s="285"/>
      <c r="G1418" s="35"/>
      <c r="H1418" s="104"/>
      <c r="I1418" s="35"/>
      <c r="J1418" s="74"/>
      <c r="K1418" s="74"/>
      <c r="L1418" s="74"/>
      <c r="M1418" s="74"/>
      <c r="N1418" s="74"/>
      <c r="O1418" s="74"/>
      <c r="P1418" s="74"/>
      <c r="Q1418" s="74"/>
      <c r="R1418" s="74"/>
      <c r="S1418" s="74"/>
      <c r="T1418" s="74"/>
      <c r="U1418" s="74"/>
      <c r="V1418" s="74"/>
      <c r="W1418" s="74"/>
      <c r="X1418" s="74"/>
      <c r="Y1418" s="74"/>
      <c r="Z1418" s="74"/>
      <c r="AA1418" s="74"/>
      <c r="AB1418" s="74"/>
    </row>
    <row r="1419" spans="1:28" ht="12" customHeight="1">
      <c r="A1419" s="330"/>
      <c r="B1419" s="314"/>
      <c r="C1419" s="285"/>
      <c r="D1419" s="108"/>
      <c r="E1419" s="285"/>
      <c r="F1419" s="285"/>
      <c r="G1419" s="35"/>
      <c r="H1419" s="104"/>
      <c r="I1419" s="35"/>
      <c r="J1419" s="74"/>
      <c r="K1419" s="74"/>
      <c r="L1419" s="74"/>
      <c r="M1419" s="74"/>
      <c r="N1419" s="74"/>
      <c r="O1419" s="74"/>
      <c r="P1419" s="74"/>
      <c r="Q1419" s="74"/>
      <c r="R1419" s="74"/>
      <c r="S1419" s="74"/>
      <c r="T1419" s="74"/>
      <c r="U1419" s="74"/>
      <c r="V1419" s="74"/>
      <c r="W1419" s="74"/>
      <c r="X1419" s="74"/>
      <c r="Y1419" s="74"/>
      <c r="Z1419" s="74"/>
      <c r="AA1419" s="74"/>
      <c r="AB1419" s="74"/>
    </row>
    <row r="1420" spans="1:28" ht="12" customHeight="1">
      <c r="A1420" s="330"/>
      <c r="B1420" s="314"/>
      <c r="C1420" s="285"/>
      <c r="D1420" s="108"/>
      <c r="E1420" s="285"/>
      <c r="F1420" s="285"/>
      <c r="G1420" s="35"/>
      <c r="H1420" s="104"/>
      <c r="I1420" s="35"/>
      <c r="J1420" s="74"/>
      <c r="K1420" s="74"/>
      <c r="L1420" s="74"/>
      <c r="M1420" s="74"/>
      <c r="N1420" s="74"/>
      <c r="O1420" s="74"/>
      <c r="P1420" s="74"/>
      <c r="Q1420" s="74"/>
      <c r="R1420" s="74"/>
      <c r="S1420" s="74"/>
      <c r="T1420" s="74"/>
      <c r="U1420" s="74"/>
      <c r="V1420" s="74"/>
      <c r="W1420" s="74"/>
      <c r="X1420" s="74"/>
      <c r="Y1420" s="74"/>
      <c r="Z1420" s="74"/>
      <c r="AA1420" s="74"/>
      <c r="AB1420" s="74"/>
    </row>
    <row r="1421" spans="1:28" ht="12" customHeight="1">
      <c r="A1421" s="330"/>
      <c r="B1421" s="314"/>
      <c r="C1421" s="285"/>
      <c r="D1421" s="108"/>
      <c r="E1421" s="285"/>
      <c r="F1421" s="285"/>
      <c r="G1421" s="35"/>
      <c r="H1421" s="104"/>
      <c r="I1421" s="35"/>
      <c r="J1421" s="74"/>
      <c r="K1421" s="74"/>
      <c r="L1421" s="74"/>
      <c r="M1421" s="74"/>
      <c r="N1421" s="74"/>
      <c r="O1421" s="74"/>
      <c r="P1421" s="74"/>
      <c r="Q1421" s="74"/>
      <c r="R1421" s="74"/>
      <c r="S1421" s="74"/>
      <c r="T1421" s="74"/>
      <c r="U1421" s="74"/>
      <c r="V1421" s="74"/>
      <c r="W1421" s="74"/>
      <c r="X1421" s="74"/>
      <c r="Y1421" s="74"/>
      <c r="Z1421" s="74"/>
      <c r="AA1421" s="74"/>
      <c r="AB1421" s="74"/>
    </row>
    <row r="1422" spans="1:28" ht="12" customHeight="1">
      <c r="A1422" s="330"/>
      <c r="B1422" s="314"/>
      <c r="C1422" s="285"/>
      <c r="D1422" s="108"/>
      <c r="E1422" s="285"/>
      <c r="F1422" s="285"/>
      <c r="G1422" s="35"/>
      <c r="H1422" s="104"/>
      <c r="I1422" s="35"/>
      <c r="J1422" s="74"/>
      <c r="K1422" s="74"/>
      <c r="L1422" s="74"/>
      <c r="M1422" s="74"/>
      <c r="N1422" s="74"/>
      <c r="O1422" s="74"/>
      <c r="P1422" s="74"/>
      <c r="Q1422" s="74"/>
      <c r="R1422" s="74"/>
      <c r="S1422" s="74"/>
      <c r="T1422" s="74"/>
      <c r="U1422" s="74"/>
      <c r="V1422" s="74"/>
      <c r="W1422" s="74"/>
      <c r="X1422" s="74"/>
      <c r="Y1422" s="74"/>
      <c r="Z1422" s="74"/>
      <c r="AA1422" s="74"/>
      <c r="AB1422" s="74"/>
    </row>
    <row r="1423" spans="1:28" ht="12" customHeight="1">
      <c r="A1423" s="330"/>
      <c r="B1423" s="314"/>
      <c r="C1423" s="285"/>
      <c r="D1423" s="108"/>
      <c r="E1423" s="285"/>
      <c r="F1423" s="285"/>
      <c r="G1423" s="35"/>
      <c r="H1423" s="104"/>
      <c r="I1423" s="35"/>
      <c r="J1423" s="74"/>
      <c r="K1423" s="74"/>
      <c r="L1423" s="74"/>
      <c r="M1423" s="74"/>
      <c r="N1423" s="74"/>
      <c r="O1423" s="74"/>
      <c r="P1423" s="74"/>
      <c r="Q1423" s="74"/>
      <c r="R1423" s="74"/>
      <c r="S1423" s="74"/>
      <c r="T1423" s="74"/>
      <c r="U1423" s="74"/>
      <c r="V1423" s="74"/>
      <c r="W1423" s="74"/>
      <c r="X1423" s="74"/>
      <c r="Y1423" s="74"/>
      <c r="Z1423" s="74"/>
      <c r="AA1423" s="74"/>
      <c r="AB1423" s="74"/>
    </row>
    <row r="1424" spans="1:28" ht="12" customHeight="1">
      <c r="A1424" s="330"/>
      <c r="B1424" s="314"/>
      <c r="C1424" s="285"/>
      <c r="D1424" s="108"/>
      <c r="E1424" s="285"/>
      <c r="F1424" s="285"/>
      <c r="G1424" s="35"/>
      <c r="H1424" s="104"/>
      <c r="I1424" s="35"/>
      <c r="J1424" s="74"/>
      <c r="K1424" s="74"/>
      <c r="L1424" s="74"/>
      <c r="M1424" s="74"/>
      <c r="N1424" s="74"/>
      <c r="O1424" s="74"/>
      <c r="P1424" s="74"/>
      <c r="Q1424" s="74"/>
      <c r="R1424" s="74"/>
      <c r="S1424" s="74"/>
      <c r="T1424" s="74"/>
      <c r="U1424" s="74"/>
      <c r="V1424" s="74"/>
      <c r="W1424" s="74"/>
      <c r="X1424" s="74"/>
      <c r="Y1424" s="74"/>
      <c r="Z1424" s="74"/>
      <c r="AA1424" s="74"/>
      <c r="AB1424" s="74"/>
    </row>
    <row r="1425" spans="1:28" ht="12" customHeight="1">
      <c r="A1425" s="330"/>
      <c r="B1425" s="314"/>
      <c r="C1425" s="285"/>
      <c r="D1425" s="108"/>
      <c r="E1425" s="285"/>
      <c r="F1425" s="285"/>
      <c r="G1425" s="35"/>
      <c r="H1425" s="104"/>
      <c r="I1425" s="35"/>
      <c r="J1425" s="74"/>
      <c r="K1425" s="74"/>
      <c r="L1425" s="74"/>
      <c r="M1425" s="74"/>
      <c r="N1425" s="74"/>
      <c r="O1425" s="74"/>
      <c r="P1425" s="74"/>
      <c r="Q1425" s="74"/>
      <c r="R1425" s="74"/>
      <c r="S1425" s="74"/>
      <c r="T1425" s="74"/>
      <c r="U1425" s="74"/>
      <c r="V1425" s="74"/>
      <c r="W1425" s="74"/>
      <c r="X1425" s="74"/>
      <c r="Y1425" s="74"/>
      <c r="Z1425" s="74"/>
      <c r="AA1425" s="74"/>
      <c r="AB1425" s="74"/>
    </row>
    <row r="1426" spans="1:28" ht="12" customHeight="1">
      <c r="A1426" s="330"/>
      <c r="B1426" s="314"/>
      <c r="C1426" s="285"/>
      <c r="D1426" s="108"/>
      <c r="E1426" s="285"/>
      <c r="F1426" s="285"/>
      <c r="G1426" s="35"/>
      <c r="H1426" s="104"/>
      <c r="I1426" s="35"/>
      <c r="J1426" s="74"/>
      <c r="K1426" s="74"/>
      <c r="L1426" s="74"/>
      <c r="M1426" s="74"/>
      <c r="N1426" s="74"/>
      <c r="O1426" s="74"/>
      <c r="P1426" s="74"/>
      <c r="Q1426" s="74"/>
      <c r="R1426" s="74"/>
      <c r="S1426" s="74"/>
      <c r="T1426" s="74"/>
      <c r="U1426" s="74"/>
      <c r="V1426" s="74"/>
      <c r="W1426" s="74"/>
      <c r="X1426" s="74"/>
      <c r="Y1426" s="74"/>
      <c r="Z1426" s="74"/>
      <c r="AA1426" s="74"/>
      <c r="AB1426" s="74"/>
    </row>
    <row r="1427" spans="1:28" ht="12" customHeight="1">
      <c r="A1427" s="330"/>
      <c r="B1427" s="314"/>
      <c r="C1427" s="285"/>
      <c r="D1427" s="108"/>
      <c r="E1427" s="285"/>
      <c r="F1427" s="285"/>
      <c r="G1427" s="35"/>
      <c r="H1427" s="104"/>
      <c r="I1427" s="35"/>
      <c r="J1427" s="74"/>
      <c r="K1427" s="74"/>
      <c r="L1427" s="74"/>
      <c r="M1427" s="74"/>
      <c r="N1427" s="74"/>
      <c r="O1427" s="74"/>
      <c r="P1427" s="74"/>
      <c r="Q1427" s="74"/>
      <c r="R1427" s="74"/>
      <c r="S1427" s="74"/>
      <c r="T1427" s="74"/>
      <c r="U1427" s="74"/>
      <c r="V1427" s="74"/>
      <c r="W1427" s="74"/>
      <c r="X1427" s="74"/>
      <c r="Y1427" s="74"/>
      <c r="Z1427" s="74"/>
      <c r="AA1427" s="74"/>
      <c r="AB1427" s="74"/>
    </row>
    <row r="1428" spans="1:28" ht="12" customHeight="1">
      <c r="A1428" s="330"/>
      <c r="B1428" s="314"/>
      <c r="C1428" s="285"/>
      <c r="D1428" s="108"/>
      <c r="E1428" s="285"/>
      <c r="F1428" s="285"/>
      <c r="G1428" s="35"/>
      <c r="H1428" s="104"/>
      <c r="I1428" s="35"/>
      <c r="J1428" s="74"/>
      <c r="K1428" s="74"/>
      <c r="L1428" s="74"/>
      <c r="M1428" s="74"/>
      <c r="N1428" s="74"/>
      <c r="O1428" s="74"/>
      <c r="P1428" s="74"/>
      <c r="Q1428" s="74"/>
      <c r="R1428" s="74"/>
      <c r="S1428" s="74"/>
      <c r="T1428" s="74"/>
      <c r="U1428" s="74"/>
      <c r="V1428" s="74"/>
      <c r="W1428" s="74"/>
      <c r="X1428" s="74"/>
      <c r="Y1428" s="74"/>
      <c r="Z1428" s="74"/>
      <c r="AA1428" s="74"/>
      <c r="AB1428" s="74"/>
    </row>
    <row r="1429" spans="1:28" ht="12" customHeight="1">
      <c r="A1429" s="330"/>
      <c r="B1429" s="314"/>
      <c r="C1429" s="285"/>
      <c r="D1429" s="108"/>
      <c r="E1429" s="285"/>
      <c r="F1429" s="285"/>
      <c r="G1429" s="35"/>
      <c r="H1429" s="104"/>
      <c r="I1429" s="35"/>
      <c r="J1429" s="74"/>
      <c r="K1429" s="74"/>
      <c r="L1429" s="74"/>
      <c r="M1429" s="74"/>
      <c r="N1429" s="74"/>
      <c r="O1429" s="74"/>
      <c r="P1429" s="74"/>
      <c r="Q1429" s="74"/>
      <c r="R1429" s="74"/>
      <c r="S1429" s="74"/>
      <c r="T1429" s="74"/>
      <c r="U1429" s="74"/>
      <c r="V1429" s="74"/>
      <c r="W1429" s="74"/>
      <c r="X1429" s="74"/>
      <c r="Y1429" s="74"/>
      <c r="Z1429" s="74"/>
      <c r="AA1429" s="74"/>
      <c r="AB1429" s="74"/>
    </row>
    <row r="1430" spans="1:28" ht="12" customHeight="1">
      <c r="A1430" s="330"/>
      <c r="B1430" s="314"/>
      <c r="C1430" s="285"/>
      <c r="D1430" s="108"/>
      <c r="E1430" s="285"/>
      <c r="F1430" s="285"/>
      <c r="G1430" s="35"/>
      <c r="H1430" s="104"/>
      <c r="I1430" s="35"/>
      <c r="J1430" s="74"/>
      <c r="K1430" s="74"/>
      <c r="L1430" s="74"/>
      <c r="M1430" s="74"/>
      <c r="N1430" s="74"/>
      <c r="O1430" s="74"/>
      <c r="P1430" s="74"/>
      <c r="Q1430" s="74"/>
      <c r="R1430" s="74"/>
      <c r="S1430" s="74"/>
      <c r="T1430" s="74"/>
      <c r="U1430" s="74"/>
      <c r="V1430" s="74"/>
      <c r="W1430" s="74"/>
      <c r="X1430" s="74"/>
      <c r="Y1430" s="74"/>
      <c r="Z1430" s="74"/>
      <c r="AA1430" s="74"/>
      <c r="AB1430" s="74"/>
    </row>
    <row r="1431" spans="1:28" ht="12" customHeight="1">
      <c r="A1431" s="330"/>
      <c r="B1431" s="314"/>
      <c r="C1431" s="285"/>
      <c r="D1431" s="108"/>
      <c r="E1431" s="285"/>
      <c r="F1431" s="285"/>
      <c r="G1431" s="35"/>
      <c r="H1431" s="104"/>
      <c r="I1431" s="35"/>
      <c r="J1431" s="74"/>
      <c r="K1431" s="74"/>
      <c r="L1431" s="74"/>
      <c r="M1431" s="74"/>
      <c r="N1431" s="74"/>
      <c r="O1431" s="74"/>
      <c r="P1431" s="74"/>
      <c r="Q1431" s="74"/>
      <c r="R1431" s="74"/>
      <c r="S1431" s="74"/>
      <c r="T1431" s="74"/>
      <c r="U1431" s="74"/>
      <c r="V1431" s="74"/>
      <c r="W1431" s="74"/>
      <c r="X1431" s="74"/>
      <c r="Y1431" s="74"/>
      <c r="Z1431" s="74"/>
      <c r="AA1431" s="74"/>
      <c r="AB1431" s="74"/>
    </row>
    <row r="1432" spans="1:28" ht="12" customHeight="1">
      <c r="A1432" s="330"/>
      <c r="B1432" s="314"/>
      <c r="C1432" s="285"/>
      <c r="D1432" s="108"/>
      <c r="E1432" s="285"/>
      <c r="F1432" s="285"/>
      <c r="G1432" s="35"/>
      <c r="H1432" s="104"/>
      <c r="I1432" s="35"/>
      <c r="J1432" s="74"/>
      <c r="K1432" s="74"/>
      <c r="L1432" s="74"/>
      <c r="M1432" s="74"/>
      <c r="N1432" s="74"/>
      <c r="O1432" s="74"/>
      <c r="P1432" s="74"/>
      <c r="Q1432" s="74"/>
      <c r="R1432" s="74"/>
      <c r="S1432" s="74"/>
      <c r="T1432" s="74"/>
      <c r="U1432" s="74"/>
      <c r="V1432" s="74"/>
      <c r="W1432" s="74"/>
      <c r="X1432" s="74"/>
      <c r="Y1432" s="74"/>
      <c r="Z1432" s="74"/>
      <c r="AA1432" s="74"/>
      <c r="AB1432" s="74"/>
    </row>
    <row r="1433" spans="1:28" ht="12" customHeight="1">
      <c r="A1433" s="330"/>
      <c r="B1433" s="314"/>
      <c r="C1433" s="285"/>
      <c r="D1433" s="108"/>
      <c r="E1433" s="285"/>
      <c r="F1433" s="285"/>
      <c r="G1433" s="35"/>
      <c r="H1433" s="104"/>
      <c r="I1433" s="35"/>
      <c r="J1433" s="74"/>
      <c r="K1433" s="74"/>
      <c r="L1433" s="74"/>
      <c r="M1433" s="74"/>
      <c r="N1433" s="74"/>
      <c r="O1433" s="74"/>
      <c r="P1433" s="74"/>
      <c r="Q1433" s="74"/>
      <c r="R1433" s="74"/>
      <c r="S1433" s="74"/>
      <c r="T1433" s="74"/>
      <c r="U1433" s="74"/>
      <c r="V1433" s="74"/>
      <c r="W1433" s="74"/>
      <c r="X1433" s="74"/>
      <c r="Y1433" s="74"/>
      <c r="Z1433" s="74"/>
      <c r="AA1433" s="74"/>
      <c r="AB1433" s="74"/>
    </row>
    <row r="1434" spans="1:28" ht="12" customHeight="1">
      <c r="A1434" s="330"/>
      <c r="B1434" s="314"/>
      <c r="C1434" s="285"/>
      <c r="D1434" s="108"/>
      <c r="E1434" s="285"/>
      <c r="F1434" s="285"/>
      <c r="G1434" s="35"/>
      <c r="H1434" s="104"/>
      <c r="I1434" s="35"/>
      <c r="J1434" s="74"/>
      <c r="K1434" s="74"/>
      <c r="L1434" s="74"/>
      <c r="M1434" s="74"/>
      <c r="N1434" s="74"/>
      <c r="O1434" s="74"/>
      <c r="P1434" s="74"/>
      <c r="Q1434" s="74"/>
      <c r="R1434" s="74"/>
      <c r="S1434" s="74"/>
      <c r="T1434" s="74"/>
      <c r="U1434" s="74"/>
      <c r="V1434" s="74"/>
      <c r="W1434" s="74"/>
      <c r="X1434" s="74"/>
      <c r="Y1434" s="74"/>
      <c r="Z1434" s="74"/>
      <c r="AA1434" s="74"/>
      <c r="AB1434" s="74"/>
    </row>
    <row r="1435" spans="1:28" ht="12" customHeight="1">
      <c r="A1435" s="330"/>
      <c r="B1435" s="314"/>
      <c r="C1435" s="285"/>
      <c r="D1435" s="108"/>
      <c r="E1435" s="285"/>
      <c r="F1435" s="285"/>
      <c r="G1435" s="35"/>
      <c r="H1435" s="104"/>
      <c r="I1435" s="35"/>
      <c r="J1435" s="74"/>
      <c r="K1435" s="74"/>
      <c r="L1435" s="74"/>
      <c r="M1435" s="74"/>
      <c r="N1435" s="74"/>
      <c r="O1435" s="74"/>
      <c r="P1435" s="74"/>
      <c r="Q1435" s="74"/>
      <c r="R1435" s="74"/>
      <c r="S1435" s="74"/>
      <c r="T1435" s="74"/>
      <c r="U1435" s="74"/>
      <c r="V1435" s="74"/>
      <c r="W1435" s="74"/>
      <c r="X1435" s="74"/>
      <c r="Y1435" s="74"/>
      <c r="Z1435" s="74"/>
      <c r="AA1435" s="74"/>
      <c r="AB1435" s="74"/>
    </row>
    <row r="1436" spans="1:28" ht="12" customHeight="1">
      <c r="A1436" s="330"/>
      <c r="B1436" s="314"/>
      <c r="C1436" s="285"/>
      <c r="D1436" s="108"/>
      <c r="E1436" s="285"/>
      <c r="F1436" s="285"/>
      <c r="G1436" s="35"/>
      <c r="H1436" s="104"/>
      <c r="I1436" s="35"/>
      <c r="J1436" s="74"/>
      <c r="K1436" s="74"/>
      <c r="L1436" s="74"/>
      <c r="M1436" s="74"/>
      <c r="N1436" s="74"/>
      <c r="O1436" s="74"/>
      <c r="P1436" s="74"/>
      <c r="Q1436" s="74"/>
      <c r="R1436" s="74"/>
      <c r="S1436" s="74"/>
      <c r="T1436" s="74"/>
      <c r="U1436" s="74"/>
      <c r="V1436" s="74"/>
      <c r="W1436" s="74"/>
      <c r="X1436" s="74"/>
      <c r="Y1436" s="74"/>
      <c r="Z1436" s="74"/>
      <c r="AA1436" s="74"/>
      <c r="AB1436" s="74"/>
    </row>
    <row r="1437" spans="1:28" ht="12" customHeight="1">
      <c r="A1437" s="330"/>
      <c r="B1437" s="314"/>
      <c r="C1437" s="285"/>
      <c r="D1437" s="108"/>
      <c r="E1437" s="285"/>
      <c r="F1437" s="285"/>
      <c r="G1437" s="35"/>
      <c r="H1437" s="104"/>
      <c r="I1437" s="35"/>
      <c r="J1437" s="74"/>
      <c r="K1437" s="74"/>
      <c r="L1437" s="74"/>
      <c r="M1437" s="74"/>
      <c r="N1437" s="74"/>
      <c r="O1437" s="74"/>
      <c r="P1437" s="74"/>
      <c r="Q1437" s="74"/>
      <c r="R1437" s="74"/>
      <c r="S1437" s="74"/>
      <c r="T1437" s="74"/>
      <c r="U1437" s="74"/>
      <c r="V1437" s="74"/>
      <c r="W1437" s="74"/>
      <c r="X1437" s="74"/>
      <c r="Y1437" s="74"/>
      <c r="Z1437" s="74"/>
      <c r="AA1437" s="74"/>
      <c r="AB1437" s="74"/>
    </row>
    <row r="1438" spans="1:28" ht="12" customHeight="1">
      <c r="A1438" s="330"/>
      <c r="B1438" s="314"/>
      <c r="C1438" s="285"/>
      <c r="D1438" s="108"/>
      <c r="E1438" s="285"/>
      <c r="F1438" s="285"/>
      <c r="G1438" s="35"/>
      <c r="H1438" s="104"/>
      <c r="I1438" s="35"/>
      <c r="J1438" s="74"/>
      <c r="K1438" s="74"/>
      <c r="L1438" s="74"/>
      <c r="M1438" s="74"/>
      <c r="N1438" s="74"/>
      <c r="O1438" s="74"/>
      <c r="P1438" s="74"/>
      <c r="Q1438" s="74"/>
      <c r="R1438" s="74"/>
      <c r="S1438" s="74"/>
      <c r="T1438" s="74"/>
      <c r="U1438" s="74"/>
      <c r="V1438" s="74"/>
      <c r="W1438" s="74"/>
      <c r="X1438" s="74"/>
      <c r="Y1438" s="74"/>
      <c r="Z1438" s="74"/>
      <c r="AA1438" s="74"/>
      <c r="AB1438" s="74"/>
    </row>
    <row r="1439" spans="1:28" ht="12" customHeight="1">
      <c r="A1439" s="330"/>
      <c r="B1439" s="314"/>
      <c r="C1439" s="285"/>
      <c r="D1439" s="108"/>
      <c r="E1439" s="285"/>
      <c r="F1439" s="285"/>
      <c r="G1439" s="35"/>
      <c r="H1439" s="104"/>
      <c r="I1439" s="35"/>
      <c r="J1439" s="74"/>
      <c r="K1439" s="74"/>
      <c r="L1439" s="74"/>
      <c r="M1439" s="74"/>
      <c r="N1439" s="74"/>
      <c r="O1439" s="74"/>
      <c r="P1439" s="74"/>
      <c r="Q1439" s="74"/>
      <c r="R1439" s="74"/>
      <c r="S1439" s="74"/>
      <c r="T1439" s="74"/>
      <c r="U1439" s="74"/>
      <c r="V1439" s="74"/>
      <c r="W1439" s="74"/>
      <c r="X1439" s="74"/>
      <c r="Y1439" s="74"/>
      <c r="Z1439" s="74"/>
      <c r="AA1439" s="74"/>
      <c r="AB1439" s="74"/>
    </row>
    <row r="1440" spans="1:28" ht="12" customHeight="1">
      <c r="A1440" s="330"/>
      <c r="B1440" s="314"/>
      <c r="C1440" s="285"/>
      <c r="D1440" s="108"/>
      <c r="E1440" s="285"/>
      <c r="F1440" s="285"/>
      <c r="G1440" s="35"/>
      <c r="H1440" s="104"/>
      <c r="I1440" s="35"/>
      <c r="J1440" s="74"/>
      <c r="K1440" s="74"/>
      <c r="L1440" s="74"/>
      <c r="M1440" s="74"/>
      <c r="N1440" s="74"/>
      <c r="O1440" s="74"/>
      <c r="P1440" s="74"/>
      <c r="Q1440" s="74"/>
      <c r="R1440" s="74"/>
      <c r="S1440" s="74"/>
      <c r="T1440" s="74"/>
      <c r="U1440" s="74"/>
      <c r="V1440" s="74"/>
      <c r="W1440" s="74"/>
      <c r="X1440" s="74"/>
      <c r="Y1440" s="74"/>
      <c r="Z1440" s="74"/>
      <c r="AA1440" s="74"/>
      <c r="AB1440" s="74"/>
    </row>
    <row r="1441" spans="1:28" ht="12" customHeight="1">
      <c r="A1441" s="330"/>
      <c r="B1441" s="314"/>
      <c r="C1441" s="285"/>
      <c r="D1441" s="108"/>
      <c r="E1441" s="285"/>
      <c r="F1441" s="285"/>
      <c r="G1441" s="35"/>
      <c r="H1441" s="104"/>
      <c r="I1441" s="35"/>
      <c r="J1441" s="74"/>
      <c r="K1441" s="74"/>
      <c r="L1441" s="74"/>
      <c r="M1441" s="74"/>
      <c r="N1441" s="74"/>
      <c r="O1441" s="74"/>
      <c r="P1441" s="74"/>
      <c r="Q1441" s="74"/>
      <c r="R1441" s="74"/>
      <c r="S1441" s="74"/>
      <c r="T1441" s="74"/>
      <c r="U1441" s="74"/>
      <c r="V1441" s="74"/>
      <c r="W1441" s="74"/>
      <c r="X1441" s="74"/>
      <c r="Y1441" s="74"/>
      <c r="Z1441" s="74"/>
      <c r="AA1441" s="74"/>
      <c r="AB1441" s="74"/>
    </row>
    <row r="1442" spans="1:28" ht="12" customHeight="1">
      <c r="A1442" s="330"/>
      <c r="B1442" s="314"/>
      <c r="C1442" s="285"/>
      <c r="D1442" s="108"/>
      <c r="E1442" s="285"/>
      <c r="F1442" s="285"/>
      <c r="G1442" s="35"/>
      <c r="H1442" s="104"/>
      <c r="I1442" s="35"/>
      <c r="J1442" s="74"/>
      <c r="K1442" s="74"/>
      <c r="L1442" s="74"/>
      <c r="M1442" s="74"/>
      <c r="N1442" s="74"/>
      <c r="O1442" s="74"/>
      <c r="P1442" s="74"/>
      <c r="Q1442" s="74"/>
      <c r="R1442" s="74"/>
      <c r="S1442" s="74"/>
      <c r="T1442" s="74"/>
      <c r="U1442" s="74"/>
      <c r="V1442" s="74"/>
      <c r="W1442" s="74"/>
      <c r="X1442" s="74"/>
      <c r="Y1442" s="74"/>
      <c r="Z1442" s="74"/>
      <c r="AA1442" s="74"/>
      <c r="AB1442" s="74"/>
    </row>
    <row r="1443" spans="1:28" ht="12" customHeight="1">
      <c r="A1443" s="330"/>
      <c r="B1443" s="314"/>
      <c r="C1443" s="285"/>
      <c r="D1443" s="108"/>
      <c r="E1443" s="285"/>
      <c r="F1443" s="285"/>
      <c r="G1443" s="35"/>
      <c r="H1443" s="104"/>
      <c r="I1443" s="35"/>
      <c r="J1443" s="74"/>
      <c r="K1443" s="74"/>
      <c r="L1443" s="74"/>
      <c r="M1443" s="74"/>
      <c r="N1443" s="74"/>
      <c r="O1443" s="74"/>
      <c r="P1443" s="74"/>
      <c r="Q1443" s="74"/>
      <c r="R1443" s="74"/>
      <c r="S1443" s="74"/>
      <c r="T1443" s="74"/>
      <c r="U1443" s="74"/>
      <c r="V1443" s="74"/>
      <c r="W1443" s="74"/>
      <c r="X1443" s="74"/>
      <c r="Y1443" s="74"/>
      <c r="Z1443" s="74"/>
      <c r="AA1443" s="74"/>
      <c r="AB1443" s="74"/>
    </row>
    <row r="1444" spans="1:28" ht="12" customHeight="1">
      <c r="A1444" s="330"/>
      <c r="B1444" s="314"/>
      <c r="C1444" s="285"/>
      <c r="D1444" s="108"/>
      <c r="E1444" s="285"/>
      <c r="F1444" s="285"/>
      <c r="G1444" s="35"/>
      <c r="H1444" s="104"/>
      <c r="I1444" s="35"/>
      <c r="J1444" s="74"/>
      <c r="K1444" s="74"/>
      <c r="L1444" s="74"/>
      <c r="M1444" s="74"/>
      <c r="N1444" s="74"/>
      <c r="O1444" s="74"/>
      <c r="P1444" s="74"/>
      <c r="Q1444" s="74"/>
      <c r="R1444" s="74"/>
      <c r="S1444" s="74"/>
      <c r="T1444" s="74"/>
      <c r="U1444" s="74"/>
      <c r="V1444" s="74"/>
      <c r="W1444" s="74"/>
      <c r="X1444" s="74"/>
      <c r="Y1444" s="74"/>
      <c r="Z1444" s="74"/>
      <c r="AA1444" s="74"/>
      <c r="AB1444" s="74"/>
    </row>
    <row r="1445" spans="1:28" ht="12" customHeight="1">
      <c r="A1445" s="330"/>
      <c r="B1445" s="314"/>
      <c r="C1445" s="285"/>
      <c r="D1445" s="108"/>
      <c r="E1445" s="285"/>
      <c r="F1445" s="285"/>
      <c r="G1445" s="35"/>
      <c r="H1445" s="104"/>
      <c r="I1445" s="35"/>
      <c r="J1445" s="74"/>
      <c r="K1445" s="74"/>
      <c r="L1445" s="74"/>
      <c r="M1445" s="74"/>
      <c r="N1445" s="74"/>
      <c r="O1445" s="74"/>
      <c r="P1445" s="74"/>
      <c r="Q1445" s="74"/>
      <c r="R1445" s="74"/>
      <c r="S1445" s="74"/>
      <c r="T1445" s="74"/>
      <c r="U1445" s="74"/>
      <c r="V1445" s="74"/>
      <c r="W1445" s="74"/>
      <c r="X1445" s="74"/>
      <c r="Y1445" s="74"/>
      <c r="Z1445" s="74"/>
      <c r="AA1445" s="74"/>
      <c r="AB1445" s="74"/>
    </row>
    <row r="1446" spans="1:28" ht="12" customHeight="1">
      <c r="A1446" s="330"/>
      <c r="B1446" s="314"/>
      <c r="C1446" s="285"/>
      <c r="D1446" s="108"/>
      <c r="E1446" s="285"/>
      <c r="F1446" s="285"/>
      <c r="G1446" s="35"/>
      <c r="H1446" s="104"/>
      <c r="I1446" s="35"/>
      <c r="J1446" s="74"/>
      <c r="K1446" s="74"/>
      <c r="L1446" s="74"/>
      <c r="M1446" s="74"/>
      <c r="N1446" s="74"/>
      <c r="O1446" s="74"/>
      <c r="P1446" s="74"/>
      <c r="Q1446" s="74"/>
      <c r="R1446" s="74"/>
      <c r="S1446" s="74"/>
      <c r="T1446" s="74"/>
      <c r="U1446" s="74"/>
      <c r="V1446" s="74"/>
      <c r="W1446" s="74"/>
      <c r="X1446" s="74"/>
      <c r="Y1446" s="74"/>
      <c r="Z1446" s="74"/>
      <c r="AA1446" s="74"/>
      <c r="AB1446" s="74"/>
    </row>
    <row r="1447" spans="1:28" ht="12" customHeight="1">
      <c r="A1447" s="330"/>
      <c r="B1447" s="314"/>
      <c r="C1447" s="285"/>
      <c r="D1447" s="108"/>
      <c r="E1447" s="285"/>
      <c r="F1447" s="285"/>
      <c r="G1447" s="35"/>
      <c r="H1447" s="104"/>
      <c r="I1447" s="35"/>
      <c r="J1447" s="74"/>
      <c r="K1447" s="74"/>
      <c r="L1447" s="74"/>
      <c r="M1447" s="74"/>
      <c r="N1447" s="74"/>
      <c r="O1447" s="74"/>
      <c r="P1447" s="74"/>
      <c r="Q1447" s="74"/>
      <c r="R1447" s="74"/>
      <c r="S1447" s="74"/>
      <c r="T1447" s="74"/>
      <c r="U1447" s="74"/>
      <c r="V1447" s="74"/>
      <c r="W1447" s="74"/>
      <c r="X1447" s="74"/>
      <c r="Y1447" s="74"/>
      <c r="Z1447" s="74"/>
      <c r="AA1447" s="74"/>
      <c r="AB1447" s="74"/>
    </row>
    <row r="1448" spans="1:28" ht="12" customHeight="1">
      <c r="A1448" s="330"/>
      <c r="B1448" s="314"/>
      <c r="C1448" s="285"/>
      <c r="D1448" s="108"/>
      <c r="E1448" s="285"/>
      <c r="F1448" s="285"/>
      <c r="G1448" s="35"/>
      <c r="H1448" s="104"/>
      <c r="I1448" s="35"/>
      <c r="J1448" s="74"/>
      <c r="K1448" s="74"/>
      <c r="L1448" s="74"/>
      <c r="M1448" s="74"/>
      <c r="N1448" s="74"/>
      <c r="O1448" s="74"/>
      <c r="P1448" s="74"/>
      <c r="Q1448" s="74"/>
      <c r="R1448" s="74"/>
      <c r="S1448" s="74"/>
      <c r="T1448" s="74"/>
      <c r="U1448" s="74"/>
      <c r="V1448" s="74"/>
      <c r="W1448" s="74"/>
      <c r="X1448" s="74"/>
      <c r="Y1448" s="74"/>
      <c r="Z1448" s="74"/>
      <c r="AA1448" s="74"/>
      <c r="AB1448" s="74"/>
    </row>
    <row r="1449" spans="1:28" ht="12" customHeight="1">
      <c r="A1449" s="330"/>
      <c r="B1449" s="314"/>
      <c r="C1449" s="285"/>
      <c r="D1449" s="108"/>
      <c r="E1449" s="285"/>
      <c r="F1449" s="285"/>
      <c r="G1449" s="35"/>
      <c r="H1449" s="104"/>
      <c r="I1449" s="35"/>
      <c r="J1449" s="74"/>
      <c r="K1449" s="74"/>
      <c r="L1449" s="74"/>
      <c r="M1449" s="74"/>
      <c r="N1449" s="74"/>
      <c r="O1449" s="74"/>
      <c r="P1449" s="74"/>
      <c r="Q1449" s="74"/>
      <c r="R1449" s="74"/>
      <c r="S1449" s="74"/>
      <c r="T1449" s="74"/>
      <c r="U1449" s="74"/>
      <c r="V1449" s="74"/>
      <c r="W1449" s="74"/>
      <c r="X1449" s="74"/>
      <c r="Y1449" s="74"/>
      <c r="Z1449" s="74"/>
      <c r="AA1449" s="74"/>
      <c r="AB1449" s="74"/>
    </row>
    <row r="1450" spans="1:28" ht="12" customHeight="1">
      <c r="A1450" s="330"/>
      <c r="B1450" s="314"/>
      <c r="C1450" s="285"/>
      <c r="D1450" s="108"/>
      <c r="E1450" s="285"/>
      <c r="F1450" s="285"/>
      <c r="G1450" s="35"/>
      <c r="H1450" s="104"/>
      <c r="I1450" s="35"/>
      <c r="J1450" s="74"/>
      <c r="K1450" s="74"/>
      <c r="L1450" s="74"/>
      <c r="M1450" s="74"/>
      <c r="N1450" s="74"/>
      <c r="O1450" s="74"/>
      <c r="P1450" s="74"/>
      <c r="Q1450" s="74"/>
      <c r="R1450" s="74"/>
      <c r="S1450" s="74"/>
      <c r="T1450" s="74"/>
      <c r="U1450" s="74"/>
      <c r="V1450" s="74"/>
      <c r="W1450" s="74"/>
      <c r="X1450" s="74"/>
      <c r="Y1450" s="74"/>
      <c r="Z1450" s="74"/>
      <c r="AA1450" s="74"/>
      <c r="AB1450" s="74"/>
    </row>
    <row r="1451" spans="1:28" ht="12" customHeight="1">
      <c r="A1451" s="330"/>
      <c r="B1451" s="314"/>
      <c r="C1451" s="285"/>
      <c r="D1451" s="108"/>
      <c r="E1451" s="285"/>
      <c r="F1451" s="285"/>
      <c r="G1451" s="35"/>
      <c r="H1451" s="104"/>
      <c r="I1451" s="35"/>
      <c r="J1451" s="74"/>
      <c r="K1451" s="74"/>
      <c r="L1451" s="74"/>
      <c r="M1451" s="74"/>
      <c r="N1451" s="74"/>
      <c r="O1451" s="74"/>
      <c r="P1451" s="74"/>
      <c r="Q1451" s="74"/>
      <c r="R1451" s="74"/>
      <c r="S1451" s="74"/>
      <c r="T1451" s="74"/>
      <c r="U1451" s="74"/>
      <c r="V1451" s="74"/>
      <c r="W1451" s="74"/>
      <c r="X1451" s="74"/>
      <c r="Y1451" s="74"/>
      <c r="Z1451" s="74"/>
      <c r="AA1451" s="74"/>
      <c r="AB1451" s="74"/>
    </row>
    <row r="1452" spans="1:28" ht="12" customHeight="1">
      <c r="A1452" s="330"/>
      <c r="B1452" s="314"/>
      <c r="C1452" s="285"/>
      <c r="D1452" s="108"/>
      <c r="E1452" s="285"/>
      <c r="F1452" s="285"/>
      <c r="G1452" s="35"/>
      <c r="H1452" s="104"/>
      <c r="I1452" s="35"/>
      <c r="J1452" s="74"/>
      <c r="K1452" s="74"/>
      <c r="L1452" s="74"/>
      <c r="M1452" s="74"/>
      <c r="N1452" s="74"/>
      <c r="O1452" s="74"/>
      <c r="P1452" s="74"/>
      <c r="Q1452" s="74"/>
      <c r="R1452" s="74"/>
      <c r="S1452" s="74"/>
      <c r="T1452" s="74"/>
      <c r="U1452" s="74"/>
      <c r="V1452" s="74"/>
      <c r="W1452" s="74"/>
      <c r="X1452" s="74"/>
      <c r="Y1452" s="74"/>
      <c r="Z1452" s="74"/>
      <c r="AA1452" s="74"/>
      <c r="AB1452" s="74"/>
    </row>
    <row r="1453" spans="1:28" ht="12" customHeight="1">
      <c r="A1453" s="330"/>
      <c r="B1453" s="314"/>
      <c r="C1453" s="285"/>
      <c r="D1453" s="108"/>
      <c r="E1453" s="285"/>
      <c r="F1453" s="285"/>
      <c r="G1453" s="35"/>
      <c r="H1453" s="104"/>
      <c r="I1453" s="35"/>
      <c r="J1453" s="74"/>
      <c r="K1453" s="74"/>
      <c r="L1453" s="74"/>
      <c r="M1453" s="74"/>
      <c r="N1453" s="74"/>
      <c r="O1453" s="74"/>
      <c r="P1453" s="74"/>
      <c r="Q1453" s="74"/>
      <c r="R1453" s="74"/>
      <c r="S1453" s="74"/>
      <c r="T1453" s="74"/>
      <c r="U1453" s="74"/>
      <c r="V1453" s="74"/>
      <c r="W1453" s="74"/>
      <c r="X1453" s="74"/>
      <c r="Y1453" s="74"/>
      <c r="Z1453" s="74"/>
      <c r="AA1453" s="74"/>
      <c r="AB1453" s="74"/>
    </row>
    <row r="1454" spans="1:28" ht="12" customHeight="1">
      <c r="A1454" s="330"/>
      <c r="B1454" s="314"/>
      <c r="C1454" s="285"/>
      <c r="D1454" s="108"/>
      <c r="E1454" s="285"/>
      <c r="F1454" s="285"/>
      <c r="G1454" s="35"/>
      <c r="H1454" s="104"/>
      <c r="I1454" s="35"/>
      <c r="J1454" s="74"/>
      <c r="K1454" s="74"/>
      <c r="L1454" s="74"/>
      <c r="M1454" s="74"/>
      <c r="N1454" s="74"/>
      <c r="O1454" s="74"/>
      <c r="P1454" s="74"/>
      <c r="Q1454" s="74"/>
      <c r="R1454" s="74"/>
      <c r="S1454" s="74"/>
      <c r="T1454" s="74"/>
      <c r="U1454" s="74"/>
      <c r="V1454" s="74"/>
      <c r="W1454" s="74"/>
      <c r="X1454" s="74"/>
      <c r="Y1454" s="74"/>
      <c r="Z1454" s="74"/>
      <c r="AA1454" s="74"/>
      <c r="AB1454" s="74"/>
    </row>
    <row r="1455" spans="1:28" ht="12" customHeight="1">
      <c r="A1455" s="330"/>
      <c r="B1455" s="314"/>
      <c r="C1455" s="285"/>
      <c r="D1455" s="108"/>
      <c r="E1455" s="285"/>
      <c r="F1455" s="285"/>
      <c r="G1455" s="35"/>
      <c r="H1455" s="104"/>
      <c r="I1455" s="35"/>
      <c r="J1455" s="74"/>
      <c r="K1455" s="74"/>
      <c r="L1455" s="74"/>
      <c r="M1455" s="74"/>
      <c r="N1455" s="74"/>
      <c r="O1455" s="74"/>
      <c r="P1455" s="74"/>
      <c r="Q1455" s="74"/>
      <c r="R1455" s="74"/>
      <c r="S1455" s="74"/>
      <c r="T1455" s="74"/>
      <c r="U1455" s="74"/>
      <c r="V1455" s="74"/>
      <c r="W1455" s="74"/>
      <c r="X1455" s="74"/>
      <c r="Y1455" s="74"/>
      <c r="Z1455" s="74"/>
      <c r="AA1455" s="74"/>
      <c r="AB1455" s="74"/>
    </row>
    <row r="1456" spans="1:28" ht="12" customHeight="1">
      <c r="A1456" s="330"/>
      <c r="B1456" s="314"/>
      <c r="C1456" s="285"/>
      <c r="D1456" s="108"/>
      <c r="E1456" s="285"/>
      <c r="F1456" s="285"/>
      <c r="G1456" s="35"/>
      <c r="H1456" s="104"/>
      <c r="I1456" s="35"/>
      <c r="J1456" s="74"/>
      <c r="K1456" s="74"/>
      <c r="L1456" s="74"/>
      <c r="M1456" s="74"/>
      <c r="N1456" s="74"/>
      <c r="O1456" s="74"/>
      <c r="P1456" s="74"/>
      <c r="Q1456" s="74"/>
      <c r="R1456" s="74"/>
      <c r="S1456" s="74"/>
      <c r="T1456" s="74"/>
      <c r="U1456" s="74"/>
      <c r="V1456" s="74"/>
      <c r="W1456" s="74"/>
      <c r="X1456" s="74"/>
      <c r="Y1456" s="74"/>
      <c r="Z1456" s="74"/>
      <c r="AA1456" s="74"/>
      <c r="AB1456" s="74"/>
    </row>
    <row r="1457" spans="1:28" ht="12" customHeight="1">
      <c r="A1457" s="330"/>
      <c r="B1457" s="314"/>
      <c r="C1457" s="285"/>
      <c r="D1457" s="108"/>
      <c r="E1457" s="285"/>
      <c r="F1457" s="285"/>
      <c r="G1457" s="35"/>
      <c r="H1457" s="104"/>
      <c r="I1457" s="35"/>
      <c r="J1457" s="74"/>
      <c r="K1457" s="74"/>
      <c r="L1457" s="74"/>
      <c r="M1457" s="74"/>
      <c r="N1457" s="74"/>
      <c r="O1457" s="74"/>
      <c r="P1457" s="74"/>
      <c r="Q1457" s="74"/>
      <c r="R1457" s="74"/>
      <c r="S1457" s="74"/>
      <c r="T1457" s="74"/>
      <c r="U1457" s="74"/>
      <c r="V1457" s="74"/>
      <c r="W1457" s="74"/>
      <c r="X1457" s="74"/>
      <c r="Y1457" s="74"/>
      <c r="Z1457" s="74"/>
      <c r="AA1457" s="74"/>
      <c r="AB1457" s="74"/>
    </row>
    <row r="1458" spans="1:28" ht="12" customHeight="1">
      <c r="A1458" s="330"/>
      <c r="B1458" s="314"/>
      <c r="C1458" s="285"/>
      <c r="D1458" s="108"/>
      <c r="E1458" s="285"/>
      <c r="F1458" s="285"/>
      <c r="G1458" s="35"/>
      <c r="H1458" s="104"/>
      <c r="I1458" s="35"/>
      <c r="J1458" s="74"/>
      <c r="K1458" s="74"/>
      <c r="L1458" s="74"/>
      <c r="M1458" s="74"/>
      <c r="N1458" s="74"/>
      <c r="O1458" s="74"/>
      <c r="P1458" s="74"/>
      <c r="Q1458" s="74"/>
      <c r="R1458" s="74"/>
      <c r="S1458" s="74"/>
      <c r="T1458" s="74"/>
      <c r="U1458" s="74"/>
      <c r="V1458" s="74"/>
      <c r="W1458" s="74"/>
      <c r="X1458" s="74"/>
      <c r="Y1458" s="74"/>
      <c r="Z1458" s="74"/>
      <c r="AA1458" s="74"/>
      <c r="AB1458" s="74"/>
    </row>
    <row r="1459" spans="1:28" ht="12" customHeight="1">
      <c r="A1459" s="330"/>
      <c r="B1459" s="314"/>
      <c r="C1459" s="285"/>
      <c r="D1459" s="108"/>
      <c r="E1459" s="285"/>
      <c r="F1459" s="285"/>
      <c r="G1459" s="35"/>
      <c r="H1459" s="104"/>
      <c r="I1459" s="35"/>
      <c r="J1459" s="74"/>
      <c r="K1459" s="74"/>
      <c r="L1459" s="74"/>
      <c r="M1459" s="74"/>
      <c r="N1459" s="74"/>
      <c r="O1459" s="74"/>
      <c r="P1459" s="74"/>
      <c r="Q1459" s="74"/>
      <c r="R1459" s="74"/>
      <c r="S1459" s="74"/>
      <c r="T1459" s="74"/>
      <c r="U1459" s="74"/>
      <c r="V1459" s="74"/>
      <c r="W1459" s="74"/>
      <c r="X1459" s="74"/>
      <c r="Y1459" s="74"/>
      <c r="Z1459" s="74"/>
      <c r="AA1459" s="74"/>
      <c r="AB1459" s="74"/>
    </row>
    <row r="1460" spans="1:28" ht="12" customHeight="1">
      <c r="A1460" s="330"/>
      <c r="B1460" s="314"/>
      <c r="C1460" s="285"/>
      <c r="D1460" s="108"/>
      <c r="E1460" s="285"/>
      <c r="F1460" s="285"/>
      <c r="G1460" s="35"/>
      <c r="H1460" s="104"/>
      <c r="I1460" s="35"/>
      <c r="J1460" s="74"/>
      <c r="K1460" s="74"/>
      <c r="L1460" s="74"/>
      <c r="M1460" s="74"/>
      <c r="N1460" s="74"/>
      <c r="O1460" s="74"/>
      <c r="P1460" s="74"/>
      <c r="Q1460" s="74"/>
      <c r="R1460" s="74"/>
      <c r="S1460" s="74"/>
      <c r="T1460" s="74"/>
      <c r="U1460" s="74"/>
      <c r="V1460" s="74"/>
      <c r="W1460" s="74"/>
      <c r="X1460" s="74"/>
      <c r="Y1460" s="74"/>
      <c r="Z1460" s="74"/>
      <c r="AA1460" s="74"/>
      <c r="AB1460" s="74"/>
    </row>
    <row r="1461" spans="1:28" ht="12" customHeight="1">
      <c r="A1461" s="330"/>
      <c r="B1461" s="314"/>
      <c r="C1461" s="285"/>
      <c r="D1461" s="108"/>
      <c r="E1461" s="285"/>
      <c r="F1461" s="285"/>
      <c r="G1461" s="35"/>
      <c r="H1461" s="104"/>
      <c r="I1461" s="35"/>
      <c r="J1461" s="74"/>
      <c r="K1461" s="74"/>
      <c r="L1461" s="74"/>
      <c r="M1461" s="74"/>
      <c r="N1461" s="74"/>
      <c r="O1461" s="74"/>
      <c r="P1461" s="74"/>
      <c r="Q1461" s="74"/>
      <c r="R1461" s="74"/>
      <c r="S1461" s="74"/>
      <c r="T1461" s="74"/>
      <c r="U1461" s="74"/>
      <c r="V1461" s="74"/>
      <c r="W1461" s="74"/>
      <c r="X1461" s="74"/>
      <c r="Y1461" s="74"/>
      <c r="Z1461" s="74"/>
      <c r="AA1461" s="74"/>
      <c r="AB1461" s="74"/>
    </row>
    <row r="1462" spans="1:28" ht="12" customHeight="1">
      <c r="A1462" s="330"/>
      <c r="B1462" s="314"/>
      <c r="C1462" s="285"/>
      <c r="D1462" s="108"/>
      <c r="E1462" s="285"/>
      <c r="F1462" s="285"/>
      <c r="G1462" s="35"/>
      <c r="H1462" s="104"/>
      <c r="I1462" s="35"/>
      <c r="J1462" s="74"/>
      <c r="K1462" s="74"/>
      <c r="L1462" s="74"/>
      <c r="M1462" s="74"/>
      <c r="N1462" s="74"/>
      <c r="O1462" s="74"/>
      <c r="P1462" s="74"/>
      <c r="Q1462" s="74"/>
      <c r="R1462" s="74"/>
      <c r="S1462" s="74"/>
      <c r="T1462" s="74"/>
      <c r="U1462" s="74"/>
      <c r="V1462" s="74"/>
      <c r="W1462" s="74"/>
      <c r="X1462" s="74"/>
      <c r="Y1462" s="74"/>
      <c r="Z1462" s="74"/>
      <c r="AA1462" s="74"/>
      <c r="AB1462" s="74"/>
    </row>
    <row r="1463" spans="1:28" ht="12" customHeight="1">
      <c r="A1463" s="330"/>
      <c r="B1463" s="314"/>
      <c r="C1463" s="285"/>
      <c r="D1463" s="108"/>
      <c r="E1463" s="285"/>
      <c r="F1463" s="285"/>
      <c r="G1463" s="35"/>
      <c r="H1463" s="104"/>
      <c r="I1463" s="35"/>
      <c r="J1463" s="74"/>
      <c r="K1463" s="74"/>
      <c r="L1463" s="74"/>
      <c r="M1463" s="74"/>
      <c r="N1463" s="74"/>
      <c r="O1463" s="74"/>
      <c r="P1463" s="74"/>
      <c r="Q1463" s="74"/>
      <c r="R1463" s="74"/>
      <c r="S1463" s="74"/>
      <c r="T1463" s="74"/>
      <c r="U1463" s="74"/>
      <c r="V1463" s="74"/>
      <c r="W1463" s="74"/>
      <c r="X1463" s="74"/>
      <c r="Y1463" s="74"/>
      <c r="Z1463" s="74"/>
      <c r="AA1463" s="74"/>
      <c r="AB1463" s="74"/>
    </row>
    <row r="1464" spans="1:28" ht="12" customHeight="1">
      <c r="A1464" s="330"/>
      <c r="B1464" s="314"/>
      <c r="C1464" s="285"/>
      <c r="D1464" s="108"/>
      <c r="E1464" s="285"/>
      <c r="F1464" s="285"/>
      <c r="G1464" s="35"/>
      <c r="H1464" s="104"/>
      <c r="I1464" s="35"/>
      <c r="J1464" s="74"/>
      <c r="K1464" s="74"/>
      <c r="L1464" s="74"/>
      <c r="M1464" s="74"/>
      <c r="N1464" s="74"/>
      <c r="O1464" s="74"/>
      <c r="P1464" s="74"/>
      <c r="Q1464" s="74"/>
      <c r="R1464" s="74"/>
      <c r="S1464" s="74"/>
      <c r="T1464" s="74"/>
      <c r="U1464" s="74"/>
      <c r="V1464" s="74"/>
      <c r="W1464" s="74"/>
      <c r="X1464" s="74"/>
      <c r="Y1464" s="74"/>
      <c r="Z1464" s="74"/>
      <c r="AA1464" s="74"/>
      <c r="AB1464" s="74"/>
    </row>
    <row r="1465" spans="1:28" ht="12" customHeight="1">
      <c r="A1465" s="330"/>
      <c r="B1465" s="314"/>
      <c r="C1465" s="285"/>
      <c r="D1465" s="108"/>
      <c r="E1465" s="285"/>
      <c r="F1465" s="285"/>
      <c r="G1465" s="35"/>
      <c r="H1465" s="104"/>
      <c r="I1465" s="35"/>
      <c r="J1465" s="74"/>
      <c r="K1465" s="74"/>
      <c r="L1465" s="74"/>
      <c r="M1465" s="74"/>
      <c r="N1465" s="74"/>
      <c r="O1465" s="74"/>
      <c r="P1465" s="74"/>
      <c r="Q1465" s="74"/>
      <c r="R1465" s="74"/>
      <c r="S1465" s="74"/>
      <c r="T1465" s="74"/>
      <c r="U1465" s="74"/>
      <c r="V1465" s="74"/>
      <c r="W1465" s="74"/>
      <c r="X1465" s="74"/>
      <c r="Y1465" s="74"/>
      <c r="Z1465" s="74"/>
      <c r="AA1465" s="74"/>
      <c r="AB1465" s="74"/>
    </row>
    <row r="1466" spans="1:28" ht="12" customHeight="1">
      <c r="A1466" s="330"/>
      <c r="B1466" s="314"/>
      <c r="C1466" s="285"/>
      <c r="D1466" s="108"/>
      <c r="E1466" s="285"/>
      <c r="F1466" s="285"/>
      <c r="G1466" s="35"/>
      <c r="H1466" s="104"/>
      <c r="I1466" s="35"/>
      <c r="J1466" s="74"/>
      <c r="K1466" s="74"/>
      <c r="L1466" s="74"/>
      <c r="M1466" s="74"/>
      <c r="N1466" s="74"/>
      <c r="O1466" s="74"/>
      <c r="P1466" s="74"/>
      <c r="Q1466" s="74"/>
      <c r="R1466" s="74"/>
      <c r="S1466" s="74"/>
      <c r="T1466" s="74"/>
      <c r="U1466" s="74"/>
      <c r="V1466" s="74"/>
      <c r="W1466" s="74"/>
      <c r="X1466" s="74"/>
      <c r="Y1466" s="74"/>
      <c r="Z1466" s="74"/>
      <c r="AA1466" s="74"/>
      <c r="AB1466" s="74"/>
    </row>
    <row r="1467" spans="1:28" ht="12" customHeight="1">
      <c r="A1467" s="330"/>
      <c r="B1467" s="314"/>
      <c r="C1467" s="285"/>
      <c r="D1467" s="108"/>
      <c r="E1467" s="285"/>
      <c r="F1467" s="285"/>
      <c r="G1467" s="35"/>
      <c r="H1467" s="104"/>
      <c r="I1467" s="35"/>
      <c r="J1467" s="74"/>
      <c r="K1467" s="74"/>
      <c r="L1467" s="74"/>
      <c r="M1467" s="74"/>
      <c r="N1467" s="74"/>
      <c r="O1467" s="74"/>
      <c r="P1467" s="74"/>
      <c r="Q1467" s="74"/>
      <c r="R1467" s="74"/>
      <c r="S1467" s="74"/>
      <c r="T1467" s="74"/>
      <c r="U1467" s="74"/>
      <c r="V1467" s="74"/>
      <c r="W1467" s="74"/>
      <c r="X1467" s="74"/>
      <c r="Y1467" s="74"/>
      <c r="Z1467" s="74"/>
      <c r="AA1467" s="74"/>
      <c r="AB1467" s="74"/>
    </row>
    <row r="1468" spans="1:28" ht="12" customHeight="1">
      <c r="A1468" s="330"/>
      <c r="B1468" s="314"/>
      <c r="C1468" s="285"/>
      <c r="D1468" s="108"/>
      <c r="E1468" s="285"/>
      <c r="F1468" s="285"/>
      <c r="G1468" s="35"/>
      <c r="H1468" s="104"/>
      <c r="I1468" s="35"/>
      <c r="J1468" s="74"/>
      <c r="K1468" s="74"/>
      <c r="L1468" s="74"/>
      <c r="M1468" s="74"/>
      <c r="N1468" s="74"/>
      <c r="O1468" s="74"/>
      <c r="P1468" s="74"/>
      <c r="Q1468" s="74"/>
      <c r="R1468" s="74"/>
      <c r="S1468" s="74"/>
      <c r="T1468" s="74"/>
      <c r="U1468" s="74"/>
      <c r="V1468" s="74"/>
      <c r="W1468" s="74"/>
      <c r="X1468" s="74"/>
      <c r="Y1468" s="74"/>
      <c r="Z1468" s="74"/>
      <c r="AA1468" s="74"/>
      <c r="AB1468" s="74"/>
    </row>
    <row r="1469" spans="1:28" ht="12" customHeight="1">
      <c r="A1469" s="330"/>
      <c r="B1469" s="314"/>
      <c r="C1469" s="285"/>
      <c r="D1469" s="108"/>
      <c r="E1469" s="285"/>
      <c r="F1469" s="285"/>
      <c r="G1469" s="35"/>
      <c r="H1469" s="104"/>
      <c r="I1469" s="35"/>
      <c r="J1469" s="74"/>
      <c r="K1469" s="74"/>
      <c r="L1469" s="74"/>
      <c r="M1469" s="74"/>
      <c r="N1469" s="74"/>
      <c r="O1469" s="74"/>
      <c r="P1469" s="74"/>
      <c r="Q1469" s="74"/>
      <c r="R1469" s="74"/>
      <c r="S1469" s="74"/>
      <c r="T1469" s="74"/>
      <c r="U1469" s="74"/>
      <c r="V1469" s="74"/>
      <c r="W1469" s="74"/>
      <c r="X1469" s="74"/>
      <c r="Y1469" s="74"/>
      <c r="Z1469" s="74"/>
      <c r="AA1469" s="74"/>
      <c r="AB1469" s="74"/>
    </row>
    <row r="1470" spans="1:28" ht="12" customHeight="1">
      <c r="A1470" s="330"/>
      <c r="B1470" s="314"/>
      <c r="C1470" s="285"/>
      <c r="D1470" s="108"/>
      <c r="E1470" s="285"/>
      <c r="F1470" s="285"/>
      <c r="G1470" s="35"/>
      <c r="H1470" s="104"/>
      <c r="I1470" s="35"/>
      <c r="J1470" s="74"/>
      <c r="K1470" s="74"/>
      <c r="L1470" s="74"/>
      <c r="M1470" s="74"/>
      <c r="N1470" s="74"/>
      <c r="O1470" s="74"/>
      <c r="P1470" s="74"/>
      <c r="Q1470" s="74"/>
      <c r="R1470" s="74"/>
      <c r="S1470" s="74"/>
      <c r="T1470" s="74"/>
      <c r="U1470" s="74"/>
      <c r="V1470" s="74"/>
      <c r="W1470" s="74"/>
      <c r="X1470" s="74"/>
      <c r="Y1470" s="74"/>
      <c r="Z1470" s="74"/>
      <c r="AA1470" s="74"/>
      <c r="AB1470" s="74"/>
    </row>
    <row r="1471" spans="1:28" ht="12" customHeight="1">
      <c r="A1471" s="330"/>
      <c r="B1471" s="314"/>
      <c r="C1471" s="285"/>
      <c r="D1471" s="108"/>
      <c r="E1471" s="285"/>
      <c r="F1471" s="285"/>
      <c r="G1471" s="35"/>
      <c r="H1471" s="104"/>
      <c r="I1471" s="35"/>
      <c r="J1471" s="74"/>
      <c r="K1471" s="74"/>
      <c r="L1471" s="74"/>
      <c r="M1471" s="74"/>
      <c r="N1471" s="74"/>
      <c r="O1471" s="74"/>
      <c r="P1471" s="74"/>
      <c r="Q1471" s="74"/>
      <c r="R1471" s="74"/>
      <c r="S1471" s="74"/>
      <c r="T1471" s="74"/>
      <c r="U1471" s="74"/>
      <c r="V1471" s="74"/>
      <c r="W1471" s="74"/>
      <c r="X1471" s="74"/>
      <c r="Y1471" s="74"/>
      <c r="Z1471" s="74"/>
      <c r="AA1471" s="74"/>
      <c r="AB1471" s="74"/>
    </row>
    <row r="1472" spans="1:28" ht="12" customHeight="1">
      <c r="A1472" s="330"/>
      <c r="B1472" s="314"/>
      <c r="C1472" s="285"/>
      <c r="D1472" s="108"/>
      <c r="E1472" s="285"/>
      <c r="F1472" s="285"/>
      <c r="G1472" s="35"/>
      <c r="H1472" s="104"/>
      <c r="I1472" s="35"/>
      <c r="J1472" s="74"/>
      <c r="K1472" s="74"/>
      <c r="L1472" s="74"/>
      <c r="M1472" s="74"/>
      <c r="N1472" s="74"/>
      <c r="O1472" s="74"/>
      <c r="P1472" s="74"/>
      <c r="Q1472" s="74"/>
      <c r="R1472" s="74"/>
      <c r="S1472" s="74"/>
      <c r="T1472" s="74"/>
      <c r="U1472" s="74"/>
      <c r="V1472" s="74"/>
      <c r="W1472" s="74"/>
      <c r="X1472" s="74"/>
      <c r="Y1472" s="74"/>
      <c r="Z1472" s="74"/>
      <c r="AA1472" s="74"/>
      <c r="AB1472" s="74"/>
    </row>
    <row r="1473" spans="1:28" ht="12" customHeight="1">
      <c r="A1473" s="330"/>
      <c r="B1473" s="314"/>
      <c r="C1473" s="285"/>
      <c r="D1473" s="108"/>
      <c r="E1473" s="285"/>
      <c r="F1473" s="285"/>
      <c r="G1473" s="35"/>
      <c r="H1473" s="104"/>
      <c r="I1473" s="35"/>
      <c r="J1473" s="74"/>
      <c r="K1473" s="74"/>
      <c r="L1473" s="74"/>
      <c r="M1473" s="74"/>
      <c r="N1473" s="74"/>
      <c r="O1473" s="74"/>
      <c r="P1473" s="74"/>
      <c r="Q1473" s="74"/>
      <c r="R1473" s="74"/>
      <c r="S1473" s="74"/>
      <c r="T1473" s="74"/>
      <c r="U1473" s="74"/>
      <c r="V1473" s="74"/>
      <c r="W1473" s="74"/>
      <c r="X1473" s="74"/>
      <c r="Y1473" s="74"/>
      <c r="Z1473" s="74"/>
      <c r="AA1473" s="74"/>
      <c r="AB1473" s="74"/>
    </row>
    <row r="1474" spans="1:28" ht="12" customHeight="1">
      <c r="A1474" s="330"/>
      <c r="B1474" s="314"/>
      <c r="C1474" s="285"/>
      <c r="D1474" s="108"/>
      <c r="E1474" s="285"/>
      <c r="F1474" s="285"/>
      <c r="G1474" s="35"/>
      <c r="H1474" s="104"/>
      <c r="I1474" s="35"/>
      <c r="J1474" s="74"/>
      <c r="K1474" s="74"/>
      <c r="L1474" s="74"/>
      <c r="M1474" s="74"/>
      <c r="N1474" s="74"/>
      <c r="O1474" s="74"/>
      <c r="P1474" s="74"/>
      <c r="Q1474" s="74"/>
      <c r="R1474" s="74"/>
      <c r="S1474" s="74"/>
      <c r="T1474" s="74"/>
      <c r="U1474" s="74"/>
      <c r="V1474" s="74"/>
      <c r="W1474" s="74"/>
      <c r="X1474" s="74"/>
      <c r="Y1474" s="74"/>
      <c r="Z1474" s="74"/>
      <c r="AA1474" s="74"/>
      <c r="AB1474" s="74"/>
    </row>
    <row r="1475" spans="1:28" ht="12" customHeight="1">
      <c r="A1475" s="330"/>
      <c r="B1475" s="314"/>
      <c r="C1475" s="285"/>
      <c r="D1475" s="108"/>
      <c r="E1475" s="285"/>
      <c r="F1475" s="285"/>
      <c r="G1475" s="35"/>
      <c r="H1475" s="104"/>
      <c r="I1475" s="35"/>
      <c r="J1475" s="74"/>
      <c r="K1475" s="74"/>
      <c r="L1475" s="74"/>
      <c r="M1475" s="74"/>
      <c r="N1475" s="74"/>
      <c r="O1475" s="74"/>
      <c r="P1475" s="74"/>
      <c r="Q1475" s="74"/>
      <c r="R1475" s="74"/>
      <c r="S1475" s="74"/>
      <c r="T1475" s="74"/>
      <c r="U1475" s="74"/>
      <c r="V1475" s="74"/>
      <c r="W1475" s="74"/>
      <c r="X1475" s="74"/>
      <c r="Y1475" s="74"/>
      <c r="Z1475" s="74"/>
      <c r="AA1475" s="74"/>
      <c r="AB1475" s="74"/>
    </row>
    <row r="1476" spans="1:28" ht="12" customHeight="1">
      <c r="A1476" s="330"/>
      <c r="B1476" s="314"/>
      <c r="C1476" s="285"/>
      <c r="D1476" s="108"/>
      <c r="E1476" s="285"/>
      <c r="F1476" s="285"/>
      <c r="G1476" s="35"/>
      <c r="H1476" s="104"/>
      <c r="I1476" s="35"/>
      <c r="J1476" s="74"/>
      <c r="K1476" s="74"/>
      <c r="L1476" s="74"/>
      <c r="M1476" s="74"/>
      <c r="N1476" s="74"/>
      <c r="O1476" s="74"/>
      <c r="P1476" s="74"/>
      <c r="Q1476" s="74"/>
      <c r="R1476" s="74"/>
      <c r="S1476" s="74"/>
      <c r="T1476" s="74"/>
      <c r="U1476" s="74"/>
      <c r="V1476" s="74"/>
      <c r="W1476" s="74"/>
      <c r="X1476" s="74"/>
      <c r="Y1476" s="74"/>
      <c r="Z1476" s="74"/>
      <c r="AA1476" s="74"/>
      <c r="AB1476" s="74"/>
    </row>
    <row r="1477" spans="1:28" ht="12" customHeight="1">
      <c r="A1477" s="330"/>
      <c r="B1477" s="314"/>
      <c r="C1477" s="285"/>
      <c r="D1477" s="108"/>
      <c r="E1477" s="285"/>
      <c r="F1477" s="285"/>
      <c r="G1477" s="35"/>
      <c r="H1477" s="104"/>
      <c r="I1477" s="35"/>
      <c r="J1477" s="74"/>
      <c r="K1477" s="74"/>
      <c r="L1477" s="74"/>
      <c r="M1477" s="74"/>
      <c r="N1477" s="74"/>
      <c r="O1477" s="74"/>
      <c r="P1477" s="74"/>
      <c r="Q1477" s="74"/>
      <c r="R1477" s="74"/>
      <c r="S1477" s="74"/>
      <c r="T1477" s="74"/>
      <c r="U1477" s="74"/>
      <c r="V1477" s="74"/>
      <c r="W1477" s="74"/>
      <c r="X1477" s="74"/>
      <c r="Y1477" s="74"/>
      <c r="Z1477" s="74"/>
      <c r="AA1477" s="74"/>
      <c r="AB1477" s="74"/>
    </row>
    <row r="1478" spans="1:28" ht="12" customHeight="1">
      <c r="A1478" s="330"/>
      <c r="B1478" s="314"/>
      <c r="C1478" s="285"/>
      <c r="D1478" s="108"/>
      <c r="E1478" s="285"/>
      <c r="F1478" s="285"/>
      <c r="G1478" s="35"/>
      <c r="H1478" s="104"/>
      <c r="I1478" s="35"/>
      <c r="J1478" s="74"/>
      <c r="K1478" s="74"/>
      <c r="L1478" s="74"/>
      <c r="M1478" s="74"/>
      <c r="N1478" s="74"/>
      <c r="O1478" s="74"/>
      <c r="P1478" s="74"/>
      <c r="Q1478" s="74"/>
      <c r="R1478" s="74"/>
      <c r="S1478" s="74"/>
      <c r="T1478" s="74"/>
      <c r="U1478" s="74"/>
      <c r="V1478" s="74"/>
      <c r="W1478" s="74"/>
      <c r="X1478" s="74"/>
      <c r="Y1478" s="74"/>
      <c r="Z1478" s="74"/>
      <c r="AA1478" s="74"/>
      <c r="AB1478" s="74"/>
    </row>
    <row r="1479" spans="1:28" ht="12" customHeight="1">
      <c r="A1479" s="330"/>
      <c r="B1479" s="314"/>
      <c r="C1479" s="285"/>
      <c r="D1479" s="108"/>
      <c r="E1479" s="285"/>
      <c r="F1479" s="285"/>
      <c r="G1479" s="35"/>
      <c r="H1479" s="104"/>
      <c r="I1479" s="35"/>
      <c r="J1479" s="74"/>
      <c r="K1479" s="74"/>
      <c r="L1479" s="74"/>
      <c r="M1479" s="74"/>
      <c r="N1479" s="74"/>
      <c r="O1479" s="74"/>
      <c r="P1479" s="74"/>
      <c r="Q1479" s="74"/>
      <c r="R1479" s="74"/>
      <c r="S1479" s="74"/>
      <c r="T1479" s="74"/>
      <c r="U1479" s="74"/>
      <c r="V1479" s="74"/>
      <c r="W1479" s="74"/>
      <c r="X1479" s="74"/>
      <c r="Y1479" s="74"/>
      <c r="Z1479" s="74"/>
      <c r="AA1479" s="74"/>
      <c r="AB1479" s="74"/>
    </row>
    <row r="1480" spans="1:28" ht="12" customHeight="1">
      <c r="A1480" s="330"/>
      <c r="B1480" s="314"/>
      <c r="C1480" s="285"/>
      <c r="D1480" s="108"/>
      <c r="E1480" s="285"/>
      <c r="F1480" s="285"/>
      <c r="G1480" s="35"/>
      <c r="H1480" s="104"/>
      <c r="I1480" s="35"/>
      <c r="J1480" s="74"/>
      <c r="K1480" s="74"/>
      <c r="L1480" s="74"/>
      <c r="M1480" s="74"/>
      <c r="N1480" s="74"/>
      <c r="O1480" s="74"/>
      <c r="P1480" s="74"/>
      <c r="Q1480" s="74"/>
      <c r="R1480" s="74"/>
      <c r="S1480" s="74"/>
      <c r="T1480" s="74"/>
      <c r="U1480" s="74"/>
      <c r="V1480" s="74"/>
      <c r="W1480" s="74"/>
      <c r="X1480" s="74"/>
      <c r="Y1480" s="74"/>
      <c r="Z1480" s="74"/>
      <c r="AA1480" s="74"/>
      <c r="AB1480" s="74"/>
    </row>
    <row r="1481" spans="1:28" ht="12" customHeight="1">
      <c r="A1481" s="330"/>
      <c r="B1481" s="314"/>
      <c r="C1481" s="285"/>
      <c r="D1481" s="108"/>
      <c r="E1481" s="285"/>
      <c r="F1481" s="285"/>
      <c r="G1481" s="35"/>
      <c r="H1481" s="104"/>
      <c r="I1481" s="35"/>
      <c r="J1481" s="74"/>
      <c r="K1481" s="74"/>
      <c r="L1481" s="74"/>
      <c r="M1481" s="74"/>
      <c r="N1481" s="74"/>
      <c r="O1481" s="74"/>
      <c r="P1481" s="74"/>
      <c r="Q1481" s="74"/>
      <c r="R1481" s="74"/>
      <c r="S1481" s="74"/>
      <c r="T1481" s="74"/>
      <c r="U1481" s="74"/>
      <c r="V1481" s="74"/>
      <c r="W1481" s="74"/>
      <c r="X1481" s="74"/>
      <c r="Y1481" s="74"/>
      <c r="Z1481" s="74"/>
      <c r="AA1481" s="74"/>
      <c r="AB1481" s="74"/>
    </row>
    <row r="1482" spans="1:28" ht="12" customHeight="1">
      <c r="A1482" s="330"/>
      <c r="B1482" s="314"/>
      <c r="C1482" s="285"/>
      <c r="D1482" s="108"/>
      <c r="E1482" s="285"/>
      <c r="F1482" s="285"/>
      <c r="G1482" s="35"/>
      <c r="H1482" s="104"/>
      <c r="I1482" s="35"/>
      <c r="J1482" s="74"/>
      <c r="K1482" s="74"/>
      <c r="L1482" s="74"/>
      <c r="M1482" s="74"/>
      <c r="N1482" s="74"/>
      <c r="O1482" s="74"/>
      <c r="P1482" s="74"/>
      <c r="Q1482" s="74"/>
      <c r="R1482" s="74"/>
      <c r="S1482" s="74"/>
      <c r="T1482" s="74"/>
      <c r="U1482" s="74"/>
      <c r="V1482" s="74"/>
      <c r="W1482" s="74"/>
      <c r="X1482" s="74"/>
      <c r="Y1482" s="74"/>
      <c r="Z1482" s="74"/>
      <c r="AA1482" s="74"/>
      <c r="AB1482" s="74"/>
    </row>
    <row r="1483" spans="1:28" ht="12" customHeight="1">
      <c r="A1483" s="330"/>
      <c r="B1483" s="314"/>
      <c r="C1483" s="285"/>
      <c r="D1483" s="108"/>
      <c r="E1483" s="285"/>
      <c r="F1483" s="285"/>
      <c r="G1483" s="35"/>
      <c r="H1483" s="104"/>
      <c r="I1483" s="35"/>
      <c r="J1483" s="74"/>
      <c r="K1483" s="74"/>
      <c r="L1483" s="74"/>
      <c r="M1483" s="74"/>
      <c r="N1483" s="74"/>
      <c r="O1483" s="74"/>
      <c r="P1483" s="74"/>
      <c r="Q1483" s="74"/>
      <c r="R1483" s="74"/>
      <c r="S1483" s="74"/>
      <c r="T1483" s="74"/>
      <c r="U1483" s="74"/>
      <c r="V1483" s="74"/>
      <c r="W1483" s="74"/>
      <c r="X1483" s="74"/>
      <c r="Y1483" s="74"/>
      <c r="Z1483" s="74"/>
      <c r="AA1483" s="74"/>
      <c r="AB1483" s="74"/>
    </row>
    <row r="1484" spans="1:28" ht="12" customHeight="1">
      <c r="A1484" s="330"/>
      <c r="B1484" s="314"/>
      <c r="C1484" s="285"/>
      <c r="D1484" s="108"/>
      <c r="E1484" s="285"/>
      <c r="F1484" s="285"/>
      <c r="G1484" s="35"/>
      <c r="H1484" s="104"/>
      <c r="I1484" s="35"/>
      <c r="J1484" s="74"/>
      <c r="K1484" s="74"/>
      <c r="L1484" s="74"/>
      <c r="M1484" s="74"/>
      <c r="N1484" s="74"/>
      <c r="O1484" s="74"/>
      <c r="P1484" s="74"/>
      <c r="Q1484" s="74"/>
      <c r="R1484" s="74"/>
      <c r="S1484" s="74"/>
      <c r="T1484" s="74"/>
      <c r="U1484" s="74"/>
      <c r="V1484" s="74"/>
      <c r="W1484" s="74"/>
      <c r="X1484" s="74"/>
      <c r="Y1484" s="74"/>
      <c r="Z1484" s="74"/>
      <c r="AA1484" s="74"/>
      <c r="AB1484" s="74"/>
    </row>
    <row r="1485" spans="1:28" ht="12" customHeight="1">
      <c r="A1485" s="330"/>
      <c r="B1485" s="314"/>
      <c r="C1485" s="285"/>
      <c r="D1485" s="108"/>
      <c r="E1485" s="285"/>
      <c r="F1485" s="285"/>
      <c r="G1485" s="35"/>
      <c r="H1485" s="104"/>
      <c r="I1485" s="35"/>
      <c r="J1485" s="74"/>
      <c r="K1485" s="74"/>
      <c r="L1485" s="74"/>
      <c r="M1485" s="74"/>
      <c r="N1485" s="74"/>
      <c r="O1485" s="74"/>
      <c r="P1485" s="74"/>
      <c r="Q1485" s="74"/>
      <c r="R1485" s="74"/>
      <c r="S1485" s="74"/>
      <c r="T1485" s="74"/>
      <c r="U1485" s="74"/>
      <c r="V1485" s="74"/>
      <c r="W1485" s="74"/>
      <c r="X1485" s="74"/>
      <c r="Y1485" s="74"/>
      <c r="Z1485" s="74"/>
      <c r="AA1485" s="74"/>
      <c r="AB1485" s="74"/>
    </row>
    <row r="1486" spans="1:28" ht="12" customHeight="1">
      <c r="A1486" s="330"/>
      <c r="B1486" s="314"/>
      <c r="C1486" s="285"/>
      <c r="D1486" s="108"/>
      <c r="E1486" s="285"/>
      <c r="F1486" s="285"/>
      <c r="G1486" s="35"/>
      <c r="H1486" s="104"/>
      <c r="I1486" s="35"/>
      <c r="J1486" s="74"/>
      <c r="K1486" s="74"/>
      <c r="L1486" s="74"/>
      <c r="M1486" s="74"/>
      <c r="N1486" s="74"/>
      <c r="O1486" s="74"/>
      <c r="P1486" s="74"/>
      <c r="Q1486" s="74"/>
      <c r="R1486" s="74"/>
      <c r="S1486" s="74"/>
      <c r="T1486" s="74"/>
      <c r="U1486" s="74"/>
      <c r="V1486" s="74"/>
      <c r="W1486" s="74"/>
      <c r="X1486" s="74"/>
      <c r="Y1486" s="74"/>
      <c r="Z1486" s="74"/>
      <c r="AA1486" s="74"/>
      <c r="AB1486" s="74"/>
    </row>
    <row r="1487" spans="1:28" ht="12" customHeight="1">
      <c r="A1487" s="330"/>
      <c r="B1487" s="314"/>
      <c r="C1487" s="285"/>
      <c r="D1487" s="108"/>
      <c r="E1487" s="285"/>
      <c r="F1487" s="285"/>
      <c r="G1487" s="35"/>
      <c r="H1487" s="104"/>
      <c r="I1487" s="35"/>
      <c r="J1487" s="74"/>
      <c r="K1487" s="74"/>
      <c r="L1487" s="74"/>
      <c r="M1487" s="74"/>
      <c r="N1487" s="74"/>
      <c r="O1487" s="74"/>
      <c r="P1487" s="74"/>
      <c r="Q1487" s="74"/>
      <c r="R1487" s="74"/>
      <c r="S1487" s="74"/>
      <c r="T1487" s="74"/>
      <c r="U1487" s="74"/>
      <c r="V1487" s="74"/>
      <c r="W1487" s="74"/>
      <c r="X1487" s="74"/>
      <c r="Y1487" s="74"/>
      <c r="Z1487" s="74"/>
      <c r="AA1487" s="74"/>
      <c r="AB1487" s="74"/>
    </row>
    <row r="1488" spans="1:28" ht="12" customHeight="1">
      <c r="A1488" s="330"/>
      <c r="B1488" s="314"/>
      <c r="C1488" s="285"/>
      <c r="D1488" s="108"/>
      <c r="E1488" s="285"/>
      <c r="F1488" s="285"/>
      <c r="G1488" s="35"/>
      <c r="H1488" s="104"/>
      <c r="I1488" s="35"/>
      <c r="J1488" s="74"/>
      <c r="K1488" s="74"/>
      <c r="L1488" s="74"/>
      <c r="M1488" s="74"/>
      <c r="N1488" s="74"/>
      <c r="O1488" s="74"/>
      <c r="P1488" s="74"/>
      <c r="Q1488" s="74"/>
      <c r="R1488" s="74"/>
      <c r="S1488" s="74"/>
      <c r="T1488" s="74"/>
      <c r="U1488" s="74"/>
      <c r="V1488" s="74"/>
      <c r="W1488" s="74"/>
      <c r="X1488" s="74"/>
      <c r="Y1488" s="74"/>
      <c r="Z1488" s="74"/>
      <c r="AA1488" s="74"/>
      <c r="AB1488" s="74"/>
    </row>
    <row r="1489" spans="1:28" ht="12" customHeight="1">
      <c r="A1489" s="330"/>
      <c r="B1489" s="314"/>
      <c r="C1489" s="285"/>
      <c r="D1489" s="108"/>
      <c r="E1489" s="285"/>
      <c r="F1489" s="285"/>
      <c r="G1489" s="35"/>
      <c r="H1489" s="104"/>
      <c r="I1489" s="35"/>
      <c r="J1489" s="74"/>
      <c r="K1489" s="74"/>
      <c r="L1489" s="74"/>
      <c r="M1489" s="74"/>
      <c r="N1489" s="74"/>
      <c r="O1489" s="74"/>
      <c r="P1489" s="74"/>
      <c r="Q1489" s="74"/>
      <c r="R1489" s="74"/>
      <c r="S1489" s="74"/>
      <c r="T1489" s="74"/>
      <c r="U1489" s="74"/>
      <c r="V1489" s="74"/>
      <c r="W1489" s="74"/>
      <c r="X1489" s="74"/>
      <c r="Y1489" s="74"/>
      <c r="Z1489" s="74"/>
      <c r="AA1489" s="74"/>
      <c r="AB1489" s="74"/>
    </row>
    <row r="1490" spans="1:28" ht="12" customHeight="1">
      <c r="A1490" s="330"/>
      <c r="B1490" s="314"/>
      <c r="C1490" s="285"/>
      <c r="D1490" s="108"/>
      <c r="E1490" s="285"/>
      <c r="F1490" s="285"/>
      <c r="G1490" s="35"/>
      <c r="H1490" s="104"/>
      <c r="I1490" s="35"/>
      <c r="J1490" s="74"/>
      <c r="K1490" s="74"/>
      <c r="L1490" s="74"/>
      <c r="M1490" s="74"/>
      <c r="N1490" s="74"/>
      <c r="O1490" s="74"/>
      <c r="P1490" s="74"/>
      <c r="Q1490" s="74"/>
      <c r="R1490" s="74"/>
      <c r="S1490" s="74"/>
      <c r="T1490" s="74"/>
      <c r="U1490" s="74"/>
      <c r="V1490" s="74"/>
      <c r="W1490" s="74"/>
      <c r="X1490" s="74"/>
      <c r="Y1490" s="74"/>
      <c r="Z1490" s="74"/>
      <c r="AA1490" s="74"/>
      <c r="AB1490" s="74"/>
    </row>
    <row r="1491" spans="1:28" ht="12" customHeight="1">
      <c r="A1491" s="330"/>
      <c r="B1491" s="314"/>
      <c r="C1491" s="285"/>
      <c r="D1491" s="108"/>
      <c r="E1491" s="285"/>
      <c r="F1491" s="285"/>
      <c r="G1491" s="35"/>
      <c r="H1491" s="104"/>
      <c r="I1491" s="35"/>
      <c r="J1491" s="74"/>
      <c r="K1491" s="74"/>
      <c r="L1491" s="74"/>
      <c r="M1491" s="74"/>
      <c r="N1491" s="74"/>
      <c r="O1491" s="74"/>
      <c r="P1491" s="74"/>
      <c r="Q1491" s="74"/>
      <c r="R1491" s="74"/>
      <c r="S1491" s="74"/>
      <c r="T1491" s="74"/>
      <c r="U1491" s="74"/>
      <c r="V1491" s="74"/>
      <c r="W1491" s="74"/>
      <c r="X1491" s="74"/>
      <c r="Y1491" s="74"/>
      <c r="Z1491" s="74"/>
      <c r="AA1491" s="74"/>
      <c r="AB1491" s="74"/>
    </row>
    <row r="1492" spans="1:28" ht="12" customHeight="1">
      <c r="A1492" s="330"/>
      <c r="B1492" s="314"/>
      <c r="C1492" s="285"/>
      <c r="D1492" s="108"/>
      <c r="E1492" s="285"/>
      <c r="F1492" s="285"/>
      <c r="G1492" s="35"/>
      <c r="H1492" s="104"/>
      <c r="I1492" s="35"/>
      <c r="J1492" s="74"/>
      <c r="K1492" s="74"/>
      <c r="L1492" s="74"/>
      <c r="M1492" s="74"/>
      <c r="N1492" s="74"/>
      <c r="O1492" s="74"/>
      <c r="P1492" s="74"/>
      <c r="Q1492" s="74"/>
      <c r="R1492" s="74"/>
      <c r="S1492" s="74"/>
      <c r="T1492" s="74"/>
      <c r="U1492" s="74"/>
      <c r="V1492" s="74"/>
      <c r="W1492" s="74"/>
      <c r="X1492" s="74"/>
      <c r="Y1492" s="74"/>
      <c r="Z1492" s="74"/>
      <c r="AA1492" s="74"/>
      <c r="AB1492" s="74"/>
    </row>
    <row r="1493" spans="1:28" ht="12" customHeight="1">
      <c r="A1493" s="330"/>
      <c r="B1493" s="314"/>
      <c r="C1493" s="285"/>
      <c r="D1493" s="108"/>
      <c r="E1493" s="285"/>
      <c r="F1493" s="285"/>
      <c r="G1493" s="35"/>
      <c r="H1493" s="104"/>
      <c r="I1493" s="35"/>
      <c r="J1493" s="74"/>
      <c r="K1493" s="74"/>
      <c r="L1493" s="74"/>
      <c r="M1493" s="74"/>
      <c r="N1493" s="74"/>
      <c r="O1493" s="74"/>
      <c r="P1493" s="74"/>
      <c r="Q1493" s="74"/>
      <c r="R1493" s="74"/>
      <c r="S1493" s="74"/>
      <c r="T1493" s="74"/>
      <c r="U1493" s="74"/>
      <c r="V1493" s="74"/>
      <c r="W1493" s="74"/>
      <c r="X1493" s="74"/>
      <c r="Y1493" s="74"/>
      <c r="Z1493" s="74"/>
      <c r="AA1493" s="74"/>
      <c r="AB1493" s="74"/>
    </row>
    <row r="1494" spans="1:28" ht="12" customHeight="1">
      <c r="A1494" s="330"/>
      <c r="B1494" s="314"/>
      <c r="C1494" s="285"/>
      <c r="D1494" s="108"/>
      <c r="E1494" s="285"/>
      <c r="F1494" s="285"/>
      <c r="G1494" s="35"/>
      <c r="H1494" s="104"/>
      <c r="I1494" s="35"/>
      <c r="J1494" s="74"/>
      <c r="K1494" s="74"/>
      <c r="L1494" s="74"/>
      <c r="M1494" s="74"/>
      <c r="N1494" s="74"/>
      <c r="O1494" s="74"/>
      <c r="P1494" s="74"/>
      <c r="Q1494" s="74"/>
      <c r="R1494" s="74"/>
      <c r="S1494" s="74"/>
      <c r="T1494" s="74"/>
      <c r="U1494" s="74"/>
      <c r="V1494" s="74"/>
      <c r="W1494" s="74"/>
      <c r="X1494" s="74"/>
      <c r="Y1494" s="74"/>
      <c r="Z1494" s="74"/>
      <c r="AA1494" s="74"/>
      <c r="AB1494" s="74"/>
    </row>
    <row r="1495" spans="1:28" ht="12" customHeight="1">
      <c r="A1495" s="330"/>
      <c r="B1495" s="314"/>
      <c r="C1495" s="285"/>
      <c r="D1495" s="108"/>
      <c r="E1495" s="285"/>
      <c r="F1495" s="285"/>
      <c r="G1495" s="35"/>
      <c r="H1495" s="104"/>
      <c r="I1495" s="35"/>
      <c r="J1495" s="74"/>
      <c r="K1495" s="74"/>
      <c r="L1495" s="74"/>
      <c r="M1495" s="74"/>
      <c r="N1495" s="74"/>
      <c r="O1495" s="74"/>
      <c r="P1495" s="74"/>
      <c r="Q1495" s="74"/>
      <c r="R1495" s="74"/>
      <c r="S1495" s="74"/>
      <c r="T1495" s="74"/>
      <c r="U1495" s="74"/>
      <c r="V1495" s="74"/>
      <c r="W1495" s="74"/>
      <c r="X1495" s="74"/>
      <c r="Y1495" s="74"/>
      <c r="Z1495" s="74"/>
      <c r="AA1495" s="74"/>
      <c r="AB1495" s="74"/>
    </row>
    <row r="1496" spans="1:28" ht="12" customHeight="1">
      <c r="A1496" s="330"/>
      <c r="B1496" s="314"/>
      <c r="C1496" s="285"/>
      <c r="D1496" s="108"/>
      <c r="E1496" s="285"/>
      <c r="F1496" s="285"/>
      <c r="G1496" s="35"/>
      <c r="H1496" s="104"/>
      <c r="I1496" s="35"/>
      <c r="J1496" s="74"/>
      <c r="K1496" s="74"/>
      <c r="L1496" s="74"/>
      <c r="M1496" s="74"/>
      <c r="N1496" s="74"/>
      <c r="O1496" s="74"/>
      <c r="P1496" s="74"/>
      <c r="Q1496" s="74"/>
      <c r="R1496" s="74"/>
      <c r="S1496" s="74"/>
      <c r="T1496" s="74"/>
      <c r="U1496" s="74"/>
      <c r="V1496" s="74"/>
      <c r="W1496" s="74"/>
      <c r="X1496" s="74"/>
      <c r="Y1496" s="74"/>
      <c r="Z1496" s="74"/>
      <c r="AA1496" s="74"/>
      <c r="AB1496" s="74"/>
    </row>
    <row r="1497" spans="1:28" ht="12" customHeight="1">
      <c r="A1497" s="330"/>
      <c r="B1497" s="314"/>
      <c r="C1497" s="285"/>
      <c r="D1497" s="108"/>
      <c r="E1497" s="285"/>
      <c r="F1497" s="285"/>
      <c r="G1497" s="35"/>
      <c r="H1497" s="104"/>
      <c r="I1497" s="35"/>
      <c r="J1497" s="74"/>
      <c r="K1497" s="74"/>
      <c r="L1497" s="74"/>
      <c r="M1497" s="74"/>
      <c r="N1497" s="74"/>
      <c r="O1497" s="74"/>
      <c r="P1497" s="74"/>
      <c r="Q1497" s="74"/>
      <c r="R1497" s="74"/>
      <c r="S1497" s="74"/>
      <c r="T1497" s="74"/>
      <c r="U1497" s="74"/>
      <c r="V1497" s="74"/>
      <c r="W1497" s="74"/>
      <c r="X1497" s="74"/>
      <c r="Y1497" s="74"/>
      <c r="Z1497" s="74"/>
      <c r="AA1497" s="74"/>
      <c r="AB1497" s="74"/>
    </row>
    <row r="1498" spans="1:28" ht="12" customHeight="1">
      <c r="A1498" s="330"/>
      <c r="B1498" s="314"/>
      <c r="C1498" s="285"/>
      <c r="D1498" s="108"/>
      <c r="E1498" s="285"/>
      <c r="F1498" s="285"/>
      <c r="G1498" s="35"/>
      <c r="H1498" s="104"/>
      <c r="I1498" s="35"/>
      <c r="J1498" s="74"/>
      <c r="K1498" s="74"/>
      <c r="L1498" s="74"/>
      <c r="M1498" s="74"/>
      <c r="N1498" s="74"/>
      <c r="O1498" s="74"/>
      <c r="P1498" s="74"/>
      <c r="Q1498" s="74"/>
      <c r="R1498" s="74"/>
      <c r="S1498" s="74"/>
      <c r="T1498" s="74"/>
      <c r="U1498" s="74"/>
      <c r="V1498" s="74"/>
      <c r="W1498" s="74"/>
      <c r="X1498" s="74"/>
      <c r="Y1498" s="74"/>
      <c r="Z1498" s="74"/>
      <c r="AA1498" s="74"/>
      <c r="AB1498" s="74"/>
    </row>
    <row r="1499" spans="1:28" ht="12" customHeight="1">
      <c r="A1499" s="330"/>
      <c r="B1499" s="314"/>
      <c r="C1499" s="285"/>
      <c r="D1499" s="108"/>
      <c r="E1499" s="285"/>
      <c r="F1499" s="285"/>
      <c r="G1499" s="35"/>
      <c r="H1499" s="104"/>
      <c r="I1499" s="35"/>
      <c r="J1499" s="74"/>
      <c r="K1499" s="74"/>
      <c r="L1499" s="74"/>
      <c r="M1499" s="74"/>
      <c r="N1499" s="74"/>
      <c r="O1499" s="74"/>
      <c r="P1499" s="74"/>
      <c r="Q1499" s="74"/>
      <c r="R1499" s="74"/>
      <c r="S1499" s="74"/>
      <c r="T1499" s="74"/>
      <c r="U1499" s="74"/>
      <c r="V1499" s="74"/>
      <c r="W1499" s="74"/>
      <c r="X1499" s="74"/>
      <c r="Y1499" s="74"/>
      <c r="Z1499" s="74"/>
      <c r="AA1499" s="74"/>
      <c r="AB1499" s="74"/>
    </row>
    <row r="1500" spans="1:28" ht="12" customHeight="1">
      <c r="A1500" s="330"/>
      <c r="B1500" s="314"/>
      <c r="C1500" s="285"/>
      <c r="D1500" s="108"/>
      <c r="E1500" s="285"/>
      <c r="F1500" s="285"/>
      <c r="G1500" s="35"/>
      <c r="H1500" s="104"/>
      <c r="I1500" s="35"/>
      <c r="J1500" s="74"/>
      <c r="K1500" s="74"/>
      <c r="L1500" s="74"/>
      <c r="M1500" s="74"/>
      <c r="N1500" s="74"/>
      <c r="O1500" s="74"/>
      <c r="P1500" s="74"/>
      <c r="Q1500" s="74"/>
      <c r="R1500" s="74"/>
      <c r="S1500" s="74"/>
      <c r="T1500" s="74"/>
      <c r="U1500" s="74"/>
      <c r="V1500" s="74"/>
      <c r="W1500" s="74"/>
      <c r="X1500" s="74"/>
      <c r="Y1500" s="74"/>
      <c r="Z1500" s="74"/>
      <c r="AA1500" s="74"/>
      <c r="AB1500" s="74"/>
    </row>
    <row r="1501" spans="1:28" ht="12" customHeight="1">
      <c r="A1501" s="330"/>
      <c r="B1501" s="314"/>
      <c r="C1501" s="285"/>
      <c r="D1501" s="108"/>
      <c r="E1501" s="285"/>
      <c r="F1501" s="285"/>
      <c r="G1501" s="35"/>
      <c r="H1501" s="104"/>
      <c r="I1501" s="35"/>
      <c r="J1501" s="74"/>
      <c r="K1501" s="74"/>
      <c r="L1501" s="74"/>
      <c r="M1501" s="74"/>
      <c r="N1501" s="74"/>
      <c r="O1501" s="74"/>
      <c r="P1501" s="74"/>
      <c r="Q1501" s="74"/>
      <c r="R1501" s="74"/>
      <c r="S1501" s="74"/>
      <c r="T1501" s="74"/>
      <c r="U1501" s="74"/>
      <c r="V1501" s="74"/>
      <c r="W1501" s="74"/>
      <c r="X1501" s="74"/>
      <c r="Y1501" s="74"/>
      <c r="Z1501" s="74"/>
      <c r="AA1501" s="74"/>
      <c r="AB1501" s="74"/>
    </row>
    <row r="1502" spans="1:28" ht="12" customHeight="1">
      <c r="A1502" s="330"/>
      <c r="B1502" s="314"/>
      <c r="C1502" s="285"/>
      <c r="D1502" s="108"/>
      <c r="E1502" s="285"/>
      <c r="F1502" s="285"/>
      <c r="G1502" s="35"/>
      <c r="H1502" s="104"/>
      <c r="I1502" s="35"/>
      <c r="J1502" s="74"/>
      <c r="K1502" s="74"/>
      <c r="L1502" s="74"/>
      <c r="M1502" s="74"/>
      <c r="N1502" s="74"/>
      <c r="O1502" s="74"/>
      <c r="P1502" s="74"/>
      <c r="Q1502" s="74"/>
      <c r="R1502" s="74"/>
      <c r="S1502" s="74"/>
      <c r="T1502" s="74"/>
      <c r="U1502" s="74"/>
      <c r="V1502" s="74"/>
      <c r="W1502" s="74"/>
      <c r="X1502" s="74"/>
      <c r="Y1502" s="74"/>
      <c r="Z1502" s="74"/>
      <c r="AA1502" s="74"/>
      <c r="AB1502" s="74"/>
    </row>
    <row r="1503" spans="1:28" ht="12" customHeight="1">
      <c r="A1503" s="330"/>
      <c r="B1503" s="314"/>
      <c r="C1503" s="285"/>
      <c r="D1503" s="108"/>
      <c r="E1503" s="285"/>
      <c r="F1503" s="285"/>
      <c r="G1503" s="35"/>
      <c r="H1503" s="104"/>
      <c r="I1503" s="35"/>
      <c r="J1503" s="74"/>
      <c r="K1503" s="74"/>
      <c r="L1503" s="74"/>
      <c r="M1503" s="74"/>
      <c r="N1503" s="74"/>
      <c r="O1503" s="74"/>
      <c r="P1503" s="74"/>
      <c r="Q1503" s="74"/>
      <c r="R1503" s="74"/>
      <c r="S1503" s="74"/>
      <c r="T1503" s="74"/>
      <c r="U1503" s="74"/>
      <c r="V1503" s="74"/>
      <c r="W1503" s="74"/>
      <c r="X1503" s="74"/>
      <c r="Y1503" s="74"/>
      <c r="Z1503" s="74"/>
      <c r="AA1503" s="74"/>
      <c r="AB1503" s="74"/>
    </row>
    <row r="1504" spans="1:28" ht="12" customHeight="1">
      <c r="A1504" s="330"/>
      <c r="B1504" s="314"/>
      <c r="C1504" s="285"/>
      <c r="D1504" s="108"/>
      <c r="E1504" s="285"/>
      <c r="F1504" s="285"/>
      <c r="G1504" s="35"/>
      <c r="H1504" s="104"/>
      <c r="I1504" s="35"/>
      <c r="J1504" s="74"/>
      <c r="K1504" s="74"/>
      <c r="L1504" s="74"/>
      <c r="M1504" s="74"/>
      <c r="N1504" s="74"/>
      <c r="O1504" s="74"/>
      <c r="P1504" s="74"/>
      <c r="Q1504" s="74"/>
      <c r="R1504" s="74"/>
      <c r="S1504" s="74"/>
      <c r="T1504" s="74"/>
      <c r="U1504" s="74"/>
      <c r="V1504" s="74"/>
      <c r="W1504" s="74"/>
      <c r="X1504" s="74"/>
      <c r="Y1504" s="74"/>
      <c r="Z1504" s="74"/>
      <c r="AA1504" s="74"/>
      <c r="AB1504" s="74"/>
    </row>
    <row r="1505" spans="1:28" ht="12" customHeight="1">
      <c r="A1505" s="330"/>
      <c r="B1505" s="314"/>
      <c r="C1505" s="285"/>
      <c r="D1505" s="108"/>
      <c r="E1505" s="285"/>
      <c r="F1505" s="285"/>
      <c r="G1505" s="35"/>
      <c r="H1505" s="104"/>
      <c r="I1505" s="35"/>
      <c r="J1505" s="74"/>
      <c r="K1505" s="74"/>
      <c r="L1505" s="74"/>
      <c r="M1505" s="74"/>
      <c r="N1505" s="74"/>
      <c r="O1505" s="74"/>
      <c r="P1505" s="74"/>
      <c r="Q1505" s="74"/>
      <c r="R1505" s="74"/>
      <c r="S1505" s="74"/>
      <c r="T1505" s="74"/>
      <c r="U1505" s="74"/>
      <c r="V1505" s="74"/>
      <c r="W1505" s="74"/>
      <c r="X1505" s="74"/>
      <c r="Y1505" s="74"/>
      <c r="Z1505" s="74"/>
      <c r="AA1505" s="74"/>
      <c r="AB1505" s="74"/>
    </row>
    <row r="1506" spans="1:28" ht="12" customHeight="1">
      <c r="A1506" s="330"/>
      <c r="B1506" s="314"/>
      <c r="C1506" s="285"/>
      <c r="D1506" s="108"/>
      <c r="E1506" s="285"/>
      <c r="F1506" s="285"/>
      <c r="G1506" s="35"/>
      <c r="H1506" s="104"/>
      <c r="I1506" s="35"/>
      <c r="J1506" s="74"/>
      <c r="K1506" s="74"/>
      <c r="L1506" s="74"/>
      <c r="M1506" s="74"/>
      <c r="N1506" s="74"/>
      <c r="O1506" s="74"/>
      <c r="P1506" s="74"/>
      <c r="Q1506" s="74"/>
      <c r="R1506" s="74"/>
      <c r="S1506" s="74"/>
      <c r="T1506" s="74"/>
      <c r="U1506" s="74"/>
      <c r="V1506" s="74"/>
      <c r="W1506" s="74"/>
      <c r="X1506" s="74"/>
      <c r="Y1506" s="74"/>
      <c r="Z1506" s="74"/>
      <c r="AA1506" s="74"/>
      <c r="AB1506" s="74"/>
    </row>
    <row r="1507" spans="1:28" ht="12" customHeight="1">
      <c r="A1507" s="330"/>
      <c r="B1507" s="314"/>
      <c r="C1507" s="285"/>
      <c r="D1507" s="108"/>
      <c r="E1507" s="285"/>
      <c r="F1507" s="285"/>
      <c r="G1507" s="35"/>
      <c r="H1507" s="104"/>
      <c r="I1507" s="35"/>
      <c r="J1507" s="74"/>
      <c r="K1507" s="74"/>
      <c r="L1507" s="74"/>
      <c r="M1507" s="74"/>
      <c r="N1507" s="74"/>
      <c r="O1507" s="74"/>
      <c r="P1507" s="74"/>
      <c r="Q1507" s="74"/>
      <c r="R1507" s="74"/>
      <c r="S1507" s="74"/>
      <c r="T1507" s="74"/>
      <c r="U1507" s="74"/>
      <c r="V1507" s="74"/>
      <c r="W1507" s="74"/>
      <c r="X1507" s="74"/>
      <c r="Y1507" s="74"/>
      <c r="Z1507" s="74"/>
      <c r="AA1507" s="74"/>
      <c r="AB1507" s="74"/>
    </row>
    <row r="1508" spans="1:28" ht="12" customHeight="1">
      <c r="A1508" s="330"/>
      <c r="B1508" s="314"/>
      <c r="C1508" s="285"/>
      <c r="D1508" s="108"/>
      <c r="E1508" s="285"/>
      <c r="F1508" s="285"/>
      <c r="G1508" s="35"/>
      <c r="H1508" s="104"/>
      <c r="I1508" s="35"/>
      <c r="J1508" s="74"/>
      <c r="K1508" s="74"/>
      <c r="L1508" s="74"/>
      <c r="M1508" s="74"/>
      <c r="N1508" s="74"/>
      <c r="O1508" s="74"/>
      <c r="P1508" s="74"/>
      <c r="Q1508" s="74"/>
      <c r="R1508" s="74"/>
      <c r="S1508" s="74"/>
      <c r="T1508" s="74"/>
      <c r="U1508" s="74"/>
      <c r="V1508" s="74"/>
      <c r="W1508" s="74"/>
      <c r="X1508" s="74"/>
      <c r="Y1508" s="74"/>
      <c r="Z1508" s="74"/>
      <c r="AA1508" s="74"/>
      <c r="AB1508" s="74"/>
    </row>
    <row r="1509" spans="1:28" ht="12" customHeight="1">
      <c r="A1509" s="330"/>
      <c r="B1509" s="314"/>
      <c r="C1509" s="285"/>
      <c r="D1509" s="108"/>
      <c r="E1509" s="285"/>
      <c r="F1509" s="285"/>
      <c r="G1509" s="35"/>
      <c r="H1509" s="104"/>
      <c r="I1509" s="35"/>
      <c r="J1509" s="74"/>
      <c r="K1509" s="74"/>
      <c r="L1509" s="74"/>
      <c r="M1509" s="74"/>
      <c r="N1509" s="74"/>
      <c r="O1509" s="74"/>
      <c r="P1509" s="74"/>
      <c r="Q1509" s="74"/>
      <c r="R1509" s="74"/>
      <c r="S1509" s="74"/>
      <c r="T1509" s="74"/>
      <c r="U1509" s="74"/>
      <c r="V1509" s="74"/>
      <c r="W1509" s="74"/>
      <c r="X1509" s="74"/>
      <c r="Y1509" s="74"/>
      <c r="Z1509" s="74"/>
      <c r="AA1509" s="74"/>
      <c r="AB1509" s="74"/>
    </row>
    <row r="1510" spans="1:28" ht="12" customHeight="1">
      <c r="A1510" s="330"/>
      <c r="B1510" s="314"/>
      <c r="C1510" s="285"/>
      <c r="D1510" s="108"/>
      <c r="E1510" s="285"/>
      <c r="F1510" s="285"/>
      <c r="G1510" s="35"/>
      <c r="H1510" s="104"/>
      <c r="I1510" s="35"/>
      <c r="J1510" s="74"/>
      <c r="K1510" s="74"/>
      <c r="L1510" s="74"/>
      <c r="M1510" s="74"/>
      <c r="N1510" s="74"/>
      <c r="O1510" s="74"/>
      <c r="P1510" s="74"/>
      <c r="Q1510" s="74"/>
      <c r="R1510" s="74"/>
      <c r="S1510" s="74"/>
      <c r="T1510" s="74"/>
      <c r="U1510" s="74"/>
      <c r="V1510" s="74"/>
      <c r="W1510" s="74"/>
      <c r="X1510" s="74"/>
      <c r="Y1510" s="74"/>
      <c r="Z1510" s="74"/>
      <c r="AA1510" s="74"/>
      <c r="AB1510" s="74"/>
    </row>
    <row r="1511" spans="1:28" ht="12" customHeight="1">
      <c r="A1511" s="330"/>
      <c r="B1511" s="314"/>
      <c r="C1511" s="285"/>
      <c r="D1511" s="108"/>
      <c r="E1511" s="285"/>
      <c r="F1511" s="285"/>
      <c r="G1511" s="35"/>
      <c r="H1511" s="104"/>
      <c r="I1511" s="35"/>
      <c r="J1511" s="74"/>
      <c r="K1511" s="74"/>
      <c r="L1511" s="74"/>
      <c r="M1511" s="74"/>
      <c r="N1511" s="74"/>
      <c r="O1511" s="74"/>
      <c r="P1511" s="74"/>
      <c r="Q1511" s="74"/>
      <c r="R1511" s="74"/>
      <c r="S1511" s="74"/>
      <c r="T1511" s="74"/>
      <c r="U1511" s="74"/>
      <c r="V1511" s="74"/>
      <c r="W1511" s="74"/>
      <c r="X1511" s="74"/>
      <c r="Y1511" s="74"/>
      <c r="Z1511" s="74"/>
      <c r="AA1511" s="74"/>
      <c r="AB1511" s="74"/>
    </row>
    <row r="1512" spans="1:28" ht="12" customHeight="1">
      <c r="A1512" s="330"/>
      <c r="B1512" s="314"/>
      <c r="C1512" s="285"/>
      <c r="D1512" s="108"/>
      <c r="E1512" s="285"/>
      <c r="F1512" s="285"/>
      <c r="G1512" s="35"/>
      <c r="H1512" s="104"/>
      <c r="I1512" s="35"/>
      <c r="J1512" s="74"/>
      <c r="K1512" s="74"/>
      <c r="L1512" s="74"/>
      <c r="M1512" s="74"/>
      <c r="N1512" s="74"/>
      <c r="O1512" s="74"/>
      <c r="P1512" s="74"/>
      <c r="Q1512" s="74"/>
      <c r="R1512" s="74"/>
      <c r="S1512" s="74"/>
      <c r="T1512" s="74"/>
      <c r="U1512" s="74"/>
      <c r="V1512" s="74"/>
      <c r="W1512" s="74"/>
      <c r="X1512" s="74"/>
      <c r="Y1512" s="74"/>
      <c r="Z1512" s="74"/>
      <c r="AA1512" s="74"/>
      <c r="AB1512" s="74"/>
    </row>
    <row r="1513" spans="1:28" ht="12" customHeight="1">
      <c r="A1513" s="330"/>
      <c r="B1513" s="314"/>
      <c r="C1513" s="285"/>
      <c r="D1513" s="108"/>
      <c r="E1513" s="285"/>
      <c r="F1513" s="285"/>
      <c r="G1513" s="35"/>
      <c r="H1513" s="104"/>
      <c r="I1513" s="35"/>
      <c r="J1513" s="74"/>
      <c r="K1513" s="74"/>
      <c r="L1513" s="74"/>
      <c r="M1513" s="74"/>
      <c r="N1513" s="74"/>
      <c r="O1513" s="74"/>
      <c r="P1513" s="74"/>
      <c r="Q1513" s="74"/>
      <c r="R1513" s="74"/>
      <c r="S1513" s="74"/>
      <c r="T1513" s="74"/>
      <c r="U1513" s="74"/>
      <c r="V1513" s="74"/>
      <c r="W1513" s="74"/>
      <c r="X1513" s="74"/>
      <c r="Y1513" s="74"/>
      <c r="Z1513" s="74"/>
      <c r="AA1513" s="74"/>
      <c r="AB1513" s="74"/>
    </row>
    <row r="1514" spans="1:28" ht="12" customHeight="1">
      <c r="A1514" s="330"/>
      <c r="B1514" s="314"/>
      <c r="C1514" s="285"/>
      <c r="D1514" s="108"/>
      <c r="E1514" s="285"/>
      <c r="F1514" s="285"/>
      <c r="G1514" s="35"/>
      <c r="H1514" s="104"/>
      <c r="I1514" s="35"/>
      <c r="J1514" s="74"/>
      <c r="K1514" s="74"/>
      <c r="L1514" s="74"/>
      <c r="M1514" s="74"/>
      <c r="N1514" s="74"/>
      <c r="O1514" s="74"/>
      <c r="P1514" s="74"/>
      <c r="Q1514" s="74"/>
      <c r="R1514" s="74"/>
      <c r="S1514" s="74"/>
      <c r="T1514" s="74"/>
      <c r="U1514" s="74"/>
      <c r="V1514" s="74"/>
      <c r="W1514" s="74"/>
      <c r="X1514" s="74"/>
      <c r="Y1514" s="74"/>
      <c r="Z1514" s="74"/>
      <c r="AA1514" s="74"/>
      <c r="AB1514" s="74"/>
    </row>
    <row r="1515" spans="1:28" ht="12" customHeight="1">
      <c r="A1515" s="330"/>
      <c r="B1515" s="314"/>
      <c r="C1515" s="285"/>
      <c r="D1515" s="108"/>
      <c r="E1515" s="285"/>
      <c r="F1515" s="285"/>
      <c r="G1515" s="35"/>
      <c r="H1515" s="104"/>
      <c r="I1515" s="35"/>
      <c r="J1515" s="74"/>
      <c r="K1515" s="74"/>
      <c r="L1515" s="74"/>
      <c r="M1515" s="74"/>
      <c r="N1515" s="74"/>
      <c r="O1515" s="74"/>
      <c r="P1515" s="74"/>
      <c r="Q1515" s="74"/>
      <c r="R1515" s="74"/>
      <c r="S1515" s="74"/>
      <c r="T1515" s="74"/>
      <c r="U1515" s="74"/>
      <c r="V1515" s="74"/>
      <c r="W1515" s="74"/>
      <c r="X1515" s="74"/>
      <c r="Y1515" s="74"/>
      <c r="Z1515" s="74"/>
      <c r="AA1515" s="74"/>
      <c r="AB1515" s="74"/>
    </row>
    <row r="1516" spans="1:28" ht="12" customHeight="1">
      <c r="A1516" s="330"/>
      <c r="B1516" s="314"/>
      <c r="C1516" s="285"/>
      <c r="D1516" s="108"/>
      <c r="E1516" s="285"/>
      <c r="F1516" s="285"/>
      <c r="G1516" s="35"/>
      <c r="H1516" s="104"/>
      <c r="I1516" s="35"/>
      <c r="J1516" s="74"/>
      <c r="K1516" s="74"/>
      <c r="L1516" s="74"/>
      <c r="M1516" s="74"/>
      <c r="N1516" s="74"/>
      <c r="O1516" s="74"/>
      <c r="P1516" s="74"/>
      <c r="Q1516" s="74"/>
      <c r="R1516" s="74"/>
      <c r="S1516" s="74"/>
      <c r="T1516" s="74"/>
      <c r="U1516" s="74"/>
      <c r="V1516" s="74"/>
      <c r="W1516" s="74"/>
      <c r="X1516" s="74"/>
      <c r="Y1516" s="74"/>
      <c r="Z1516" s="74"/>
      <c r="AA1516" s="74"/>
      <c r="AB1516" s="74"/>
    </row>
    <row r="1517" spans="1:28" ht="12" customHeight="1">
      <c r="A1517" s="330"/>
      <c r="B1517" s="314"/>
      <c r="C1517" s="285"/>
      <c r="D1517" s="108"/>
      <c r="E1517" s="285"/>
      <c r="F1517" s="285"/>
      <c r="G1517" s="35"/>
      <c r="H1517" s="104"/>
      <c r="I1517" s="35"/>
      <c r="J1517" s="74"/>
      <c r="K1517" s="74"/>
      <c r="L1517" s="74"/>
      <c r="M1517" s="74"/>
      <c r="N1517" s="74"/>
      <c r="O1517" s="74"/>
      <c r="P1517" s="74"/>
      <c r="Q1517" s="74"/>
      <c r="R1517" s="74"/>
      <c r="S1517" s="74"/>
      <c r="T1517" s="74"/>
      <c r="U1517" s="74"/>
      <c r="V1517" s="74"/>
      <c r="W1517" s="74"/>
      <c r="X1517" s="74"/>
      <c r="Y1517" s="74"/>
      <c r="Z1517" s="74"/>
      <c r="AA1517" s="74"/>
      <c r="AB1517" s="74"/>
    </row>
    <row r="1518" spans="1:28" ht="12" customHeight="1">
      <c r="A1518" s="330"/>
      <c r="B1518" s="314"/>
      <c r="C1518" s="285"/>
      <c r="D1518" s="108"/>
      <c r="E1518" s="285"/>
      <c r="F1518" s="285"/>
      <c r="G1518" s="35"/>
      <c r="H1518" s="104"/>
      <c r="I1518" s="35"/>
      <c r="J1518" s="74"/>
      <c r="K1518" s="74"/>
      <c r="L1518" s="74"/>
      <c r="M1518" s="74"/>
      <c r="N1518" s="74"/>
      <c r="O1518" s="74"/>
      <c r="P1518" s="74"/>
      <c r="Q1518" s="74"/>
      <c r="R1518" s="74"/>
      <c r="S1518" s="74"/>
      <c r="T1518" s="74"/>
      <c r="U1518" s="74"/>
      <c r="V1518" s="74"/>
      <c r="W1518" s="74"/>
      <c r="X1518" s="74"/>
      <c r="Y1518" s="74"/>
      <c r="Z1518" s="74"/>
      <c r="AA1518" s="74"/>
      <c r="AB1518" s="74"/>
    </row>
    <row r="1519" spans="1:28" ht="12" customHeight="1">
      <c r="A1519" s="330"/>
      <c r="B1519" s="314"/>
      <c r="C1519" s="285"/>
      <c r="D1519" s="108"/>
      <c r="E1519" s="285"/>
      <c r="F1519" s="285"/>
      <c r="G1519" s="35"/>
      <c r="H1519" s="104"/>
      <c r="I1519" s="35"/>
      <c r="J1519" s="74"/>
      <c r="K1519" s="74"/>
      <c r="L1519" s="74"/>
      <c r="M1519" s="74"/>
      <c r="N1519" s="74"/>
      <c r="O1519" s="74"/>
      <c r="P1519" s="74"/>
      <c r="Q1519" s="74"/>
      <c r="R1519" s="74"/>
      <c r="S1519" s="74"/>
      <c r="T1519" s="74"/>
      <c r="U1519" s="74"/>
      <c r="V1519" s="74"/>
      <c r="W1519" s="74"/>
      <c r="X1519" s="74"/>
      <c r="Y1519" s="74"/>
      <c r="Z1519" s="74"/>
      <c r="AA1519" s="74"/>
      <c r="AB1519" s="74"/>
    </row>
    <row r="1520" spans="1:28" ht="12" customHeight="1">
      <c r="A1520" s="330"/>
      <c r="B1520" s="314"/>
      <c r="C1520" s="285"/>
      <c r="D1520" s="108"/>
      <c r="E1520" s="285"/>
      <c r="F1520" s="285"/>
      <c r="G1520" s="35"/>
      <c r="H1520" s="104"/>
      <c r="I1520" s="35"/>
      <c r="J1520" s="74"/>
      <c r="K1520" s="74"/>
      <c r="L1520" s="74"/>
      <c r="M1520" s="74"/>
      <c r="N1520" s="74"/>
      <c r="O1520" s="74"/>
      <c r="P1520" s="74"/>
      <c r="Q1520" s="74"/>
      <c r="R1520" s="74"/>
      <c r="S1520" s="74"/>
      <c r="T1520" s="74"/>
      <c r="U1520" s="74"/>
      <c r="V1520" s="74"/>
      <c r="W1520" s="74"/>
      <c r="X1520" s="74"/>
      <c r="Y1520" s="74"/>
      <c r="Z1520" s="74"/>
      <c r="AA1520" s="74"/>
      <c r="AB1520" s="74"/>
    </row>
    <row r="1521" spans="1:28" ht="12" customHeight="1">
      <c r="A1521" s="330"/>
      <c r="B1521" s="314"/>
      <c r="C1521" s="285"/>
      <c r="D1521" s="108"/>
      <c r="E1521" s="285"/>
      <c r="F1521" s="285"/>
      <c r="G1521" s="35"/>
      <c r="H1521" s="104"/>
      <c r="I1521" s="35"/>
      <c r="J1521" s="74"/>
      <c r="K1521" s="74"/>
      <c r="L1521" s="74"/>
      <c r="M1521" s="74"/>
      <c r="N1521" s="74"/>
      <c r="O1521" s="74"/>
      <c r="P1521" s="74"/>
      <c r="Q1521" s="74"/>
      <c r="R1521" s="74"/>
      <c r="S1521" s="74"/>
      <c r="T1521" s="74"/>
      <c r="U1521" s="74"/>
      <c r="V1521" s="74"/>
      <c r="W1521" s="74"/>
      <c r="X1521" s="74"/>
      <c r="Y1521" s="74"/>
      <c r="Z1521" s="74"/>
      <c r="AA1521" s="74"/>
      <c r="AB1521" s="74"/>
    </row>
    <row r="1522" spans="1:28" ht="12" customHeight="1">
      <c r="A1522" s="330"/>
      <c r="B1522" s="314"/>
      <c r="C1522" s="285"/>
      <c r="D1522" s="108"/>
      <c r="E1522" s="285"/>
      <c r="F1522" s="285"/>
      <c r="G1522" s="35"/>
      <c r="H1522" s="104"/>
      <c r="I1522" s="35"/>
      <c r="J1522" s="74"/>
      <c r="K1522" s="74"/>
      <c r="L1522" s="74"/>
      <c r="M1522" s="74"/>
      <c r="N1522" s="74"/>
      <c r="O1522" s="74"/>
      <c r="P1522" s="74"/>
      <c r="Q1522" s="74"/>
      <c r="R1522" s="74"/>
      <c r="S1522" s="74"/>
      <c r="T1522" s="74"/>
      <c r="U1522" s="74"/>
      <c r="V1522" s="74"/>
      <c r="W1522" s="74"/>
      <c r="X1522" s="74"/>
      <c r="Y1522" s="74"/>
      <c r="Z1522" s="74"/>
      <c r="AA1522" s="74"/>
      <c r="AB1522" s="74"/>
    </row>
    <row r="1523" spans="1:28" ht="12" customHeight="1">
      <c r="A1523" s="330"/>
      <c r="B1523" s="314"/>
      <c r="C1523" s="285"/>
      <c r="D1523" s="108"/>
      <c r="E1523" s="285"/>
      <c r="F1523" s="285"/>
      <c r="G1523" s="35"/>
      <c r="H1523" s="104"/>
      <c r="I1523" s="35"/>
      <c r="J1523" s="74"/>
      <c r="K1523" s="74"/>
      <c r="L1523" s="74"/>
      <c r="M1523" s="74"/>
      <c r="N1523" s="74"/>
      <c r="O1523" s="74"/>
      <c r="P1523" s="74"/>
      <c r="Q1523" s="74"/>
      <c r="R1523" s="74"/>
      <c r="S1523" s="74"/>
      <c r="T1523" s="74"/>
      <c r="U1523" s="74"/>
      <c r="V1523" s="74"/>
      <c r="W1523" s="74"/>
      <c r="X1523" s="74"/>
      <c r="Y1523" s="74"/>
      <c r="Z1523" s="74"/>
      <c r="AA1523" s="74"/>
      <c r="AB1523" s="74"/>
    </row>
    <row r="1524" spans="1:28" ht="12" customHeight="1">
      <c r="A1524" s="330"/>
      <c r="B1524" s="314"/>
      <c r="C1524" s="285"/>
      <c r="D1524" s="108"/>
      <c r="E1524" s="285"/>
      <c r="F1524" s="285"/>
      <c r="G1524" s="35"/>
      <c r="H1524" s="104"/>
      <c r="I1524" s="35"/>
      <c r="J1524" s="74"/>
      <c r="K1524" s="74"/>
      <c r="L1524" s="74"/>
      <c r="M1524" s="74"/>
      <c r="N1524" s="74"/>
      <c r="O1524" s="74"/>
      <c r="P1524" s="74"/>
      <c r="Q1524" s="74"/>
      <c r="R1524" s="74"/>
      <c r="S1524" s="74"/>
      <c r="T1524" s="74"/>
      <c r="U1524" s="74"/>
      <c r="V1524" s="74"/>
      <c r="W1524" s="74"/>
      <c r="X1524" s="74"/>
      <c r="Y1524" s="74"/>
      <c r="Z1524" s="74"/>
      <c r="AA1524" s="74"/>
      <c r="AB1524" s="74"/>
    </row>
    <row r="1525" spans="1:28" ht="12" customHeight="1">
      <c r="A1525" s="330"/>
      <c r="B1525" s="314"/>
      <c r="C1525" s="285"/>
      <c r="D1525" s="108"/>
      <c r="E1525" s="285"/>
      <c r="F1525" s="285"/>
      <c r="G1525" s="35"/>
      <c r="H1525" s="104"/>
      <c r="I1525" s="35"/>
      <c r="J1525" s="74"/>
      <c r="K1525" s="74"/>
      <c r="L1525" s="74"/>
      <c r="M1525" s="74"/>
      <c r="N1525" s="74"/>
      <c r="O1525" s="74"/>
      <c r="P1525" s="74"/>
      <c r="Q1525" s="74"/>
      <c r="R1525" s="74"/>
      <c r="S1525" s="74"/>
      <c r="T1525" s="74"/>
      <c r="U1525" s="74"/>
      <c r="V1525" s="74"/>
      <c r="W1525" s="74"/>
      <c r="X1525" s="74"/>
      <c r="Y1525" s="74"/>
      <c r="Z1525" s="74"/>
      <c r="AA1525" s="74"/>
      <c r="AB1525" s="74"/>
    </row>
    <row r="1526" spans="1:28" ht="12" customHeight="1">
      <c r="A1526" s="330"/>
      <c r="B1526" s="314"/>
      <c r="C1526" s="285"/>
      <c r="D1526" s="108"/>
      <c r="E1526" s="285"/>
      <c r="F1526" s="285"/>
      <c r="G1526" s="35"/>
      <c r="H1526" s="104"/>
      <c r="I1526" s="35"/>
      <c r="J1526" s="74"/>
      <c r="K1526" s="74"/>
      <c r="L1526" s="74"/>
      <c r="M1526" s="74"/>
      <c r="N1526" s="74"/>
      <c r="O1526" s="74"/>
      <c r="P1526" s="74"/>
      <c r="Q1526" s="74"/>
      <c r="R1526" s="74"/>
      <c r="S1526" s="74"/>
      <c r="T1526" s="74"/>
      <c r="U1526" s="74"/>
      <c r="V1526" s="74"/>
      <c r="W1526" s="74"/>
      <c r="X1526" s="74"/>
      <c r="Y1526" s="74"/>
      <c r="Z1526" s="74"/>
      <c r="AA1526" s="74"/>
      <c r="AB1526" s="74"/>
    </row>
    <row r="1527" spans="1:28" ht="12" customHeight="1">
      <c r="A1527" s="330"/>
      <c r="B1527" s="314"/>
      <c r="C1527" s="285"/>
      <c r="D1527" s="108"/>
      <c r="E1527" s="285"/>
      <c r="F1527" s="285"/>
      <c r="G1527" s="35"/>
      <c r="H1527" s="104"/>
      <c r="I1527" s="35"/>
      <c r="J1527" s="74"/>
      <c r="K1527" s="74"/>
      <c r="L1527" s="74"/>
      <c r="M1527" s="74"/>
      <c r="N1527" s="74"/>
      <c r="O1527" s="74"/>
      <c r="P1527" s="74"/>
      <c r="Q1527" s="74"/>
      <c r="R1527" s="74"/>
      <c r="S1527" s="74"/>
      <c r="T1527" s="74"/>
      <c r="U1527" s="74"/>
      <c r="V1527" s="74"/>
      <c r="W1527" s="74"/>
      <c r="X1527" s="74"/>
      <c r="Y1527" s="74"/>
      <c r="Z1527" s="74"/>
      <c r="AA1527" s="74"/>
      <c r="AB1527" s="74"/>
    </row>
    <row r="1528" spans="1:28" ht="12" customHeight="1">
      <c r="A1528" s="330"/>
      <c r="B1528" s="314"/>
      <c r="C1528" s="285"/>
      <c r="D1528" s="108"/>
      <c r="E1528" s="285"/>
      <c r="F1528" s="285"/>
      <c r="G1528" s="35"/>
      <c r="H1528" s="104"/>
      <c r="I1528" s="35"/>
      <c r="J1528" s="74"/>
      <c r="K1528" s="74"/>
      <c r="L1528" s="74"/>
      <c r="M1528" s="74"/>
      <c r="N1528" s="74"/>
      <c r="O1528" s="74"/>
      <c r="P1528" s="74"/>
      <c r="Q1528" s="74"/>
      <c r="R1528" s="74"/>
      <c r="S1528" s="74"/>
      <c r="T1528" s="74"/>
      <c r="U1528" s="74"/>
      <c r="V1528" s="74"/>
      <c r="W1528" s="74"/>
      <c r="X1528" s="74"/>
      <c r="Y1528" s="74"/>
      <c r="Z1528" s="74"/>
      <c r="AA1528" s="74"/>
      <c r="AB1528" s="74"/>
    </row>
    <row r="1529" spans="1:28" ht="12" customHeight="1">
      <c r="A1529" s="330"/>
      <c r="B1529" s="314"/>
      <c r="C1529" s="285"/>
      <c r="D1529" s="108"/>
      <c r="E1529" s="285"/>
      <c r="F1529" s="285"/>
      <c r="G1529" s="35"/>
      <c r="H1529" s="104"/>
      <c r="I1529" s="35"/>
      <c r="J1529" s="74"/>
      <c r="K1529" s="74"/>
      <c r="L1529" s="74"/>
      <c r="M1529" s="74"/>
      <c r="N1529" s="74"/>
      <c r="O1529" s="74"/>
      <c r="P1529" s="74"/>
      <c r="Q1529" s="74"/>
      <c r="R1529" s="74"/>
      <c r="S1529" s="74"/>
      <c r="T1529" s="74"/>
      <c r="U1529" s="74"/>
      <c r="V1529" s="74"/>
      <c r="W1529" s="74"/>
      <c r="X1529" s="74"/>
      <c r="Y1529" s="74"/>
      <c r="Z1529" s="74"/>
      <c r="AA1529" s="74"/>
      <c r="AB1529" s="74"/>
    </row>
    <row r="1530" spans="1:28" ht="12" customHeight="1">
      <c r="A1530" s="330"/>
      <c r="B1530" s="314"/>
      <c r="C1530" s="285"/>
      <c r="D1530" s="108"/>
      <c r="E1530" s="285"/>
      <c r="F1530" s="285"/>
      <c r="G1530" s="35"/>
      <c r="H1530" s="104"/>
      <c r="I1530" s="35"/>
      <c r="J1530" s="74"/>
      <c r="K1530" s="74"/>
      <c r="L1530" s="74"/>
      <c r="M1530" s="74"/>
      <c r="N1530" s="74"/>
      <c r="O1530" s="74"/>
      <c r="P1530" s="74"/>
      <c r="Q1530" s="74"/>
      <c r="R1530" s="74"/>
      <c r="S1530" s="74"/>
      <c r="T1530" s="74"/>
      <c r="U1530" s="74"/>
      <c r="V1530" s="74"/>
      <c r="W1530" s="74"/>
      <c r="X1530" s="74"/>
      <c r="Y1530" s="74"/>
      <c r="Z1530" s="74"/>
      <c r="AA1530" s="74"/>
      <c r="AB1530" s="74"/>
    </row>
    <row r="1531" spans="1:28" ht="12" customHeight="1">
      <c r="A1531" s="330"/>
      <c r="B1531" s="314"/>
      <c r="C1531" s="285"/>
      <c r="D1531" s="108"/>
      <c r="E1531" s="285"/>
      <c r="F1531" s="285"/>
      <c r="G1531" s="35"/>
      <c r="H1531" s="104"/>
      <c r="I1531" s="35"/>
      <c r="J1531" s="74"/>
      <c r="K1531" s="74"/>
      <c r="L1531" s="74"/>
      <c r="M1531" s="74"/>
      <c r="N1531" s="74"/>
      <c r="O1531" s="74"/>
      <c r="P1531" s="74"/>
      <c r="Q1531" s="74"/>
      <c r="R1531" s="74"/>
      <c r="S1531" s="74"/>
      <c r="T1531" s="74"/>
      <c r="U1531" s="74"/>
      <c r="V1531" s="74"/>
      <c r="W1531" s="74"/>
      <c r="X1531" s="74"/>
      <c r="Y1531" s="74"/>
      <c r="Z1531" s="74"/>
      <c r="AA1531" s="74"/>
      <c r="AB1531" s="74"/>
    </row>
    <row r="1532" spans="1:28" ht="12" customHeight="1">
      <c r="A1532" s="330"/>
      <c r="B1532" s="314"/>
      <c r="C1532" s="285"/>
      <c r="D1532" s="108"/>
      <c r="E1532" s="285"/>
      <c r="F1532" s="285"/>
      <c r="G1532" s="35"/>
      <c r="H1532" s="104"/>
      <c r="I1532" s="35"/>
      <c r="J1532" s="74"/>
      <c r="K1532" s="74"/>
      <c r="L1532" s="74"/>
      <c r="M1532" s="74"/>
      <c r="N1532" s="74"/>
      <c r="O1532" s="74"/>
      <c r="P1532" s="74"/>
      <c r="Q1532" s="74"/>
      <c r="R1532" s="74"/>
      <c r="S1532" s="74"/>
      <c r="T1532" s="74"/>
      <c r="U1532" s="74"/>
      <c r="V1532" s="74"/>
      <c r="W1532" s="74"/>
      <c r="X1532" s="74"/>
      <c r="Y1532" s="74"/>
      <c r="Z1532" s="74"/>
      <c r="AA1532" s="74"/>
      <c r="AB1532" s="74"/>
    </row>
    <row r="1533" spans="1:28" ht="12" customHeight="1">
      <c r="A1533" s="330"/>
      <c r="B1533" s="314"/>
      <c r="C1533" s="285"/>
      <c r="D1533" s="108"/>
      <c r="E1533" s="285"/>
      <c r="F1533" s="285"/>
      <c r="G1533" s="35"/>
      <c r="H1533" s="104"/>
      <c r="I1533" s="35"/>
      <c r="J1533" s="74"/>
      <c r="K1533" s="74"/>
      <c r="L1533" s="74"/>
      <c r="M1533" s="74"/>
      <c r="N1533" s="74"/>
      <c r="O1533" s="74"/>
      <c r="P1533" s="74"/>
      <c r="Q1533" s="74"/>
      <c r="R1533" s="74"/>
      <c r="S1533" s="74"/>
      <c r="T1533" s="74"/>
      <c r="U1533" s="74"/>
      <c r="V1533" s="74"/>
      <c r="W1533" s="74"/>
      <c r="X1533" s="74"/>
      <c r="Y1533" s="74"/>
      <c r="Z1533" s="74"/>
      <c r="AA1533" s="74"/>
      <c r="AB1533" s="74"/>
    </row>
    <row r="1534" spans="1:28" ht="12" customHeight="1">
      <c r="A1534" s="330"/>
      <c r="B1534" s="314"/>
      <c r="C1534" s="285"/>
      <c r="D1534" s="108"/>
      <c r="E1534" s="285"/>
      <c r="F1534" s="285"/>
      <c r="G1534" s="35"/>
      <c r="H1534" s="104"/>
      <c r="I1534" s="35"/>
      <c r="J1534" s="74"/>
      <c r="K1534" s="74"/>
      <c r="L1534" s="74"/>
      <c r="M1534" s="74"/>
      <c r="N1534" s="74"/>
      <c r="O1534" s="74"/>
      <c r="P1534" s="74"/>
      <c r="Q1534" s="74"/>
      <c r="R1534" s="74"/>
      <c r="S1534" s="74"/>
      <c r="T1534" s="74"/>
      <c r="U1534" s="74"/>
      <c r="V1534" s="74"/>
      <c r="W1534" s="74"/>
      <c r="X1534" s="74"/>
      <c r="Y1534" s="74"/>
      <c r="Z1534" s="74"/>
      <c r="AA1534" s="74"/>
      <c r="AB1534" s="74"/>
    </row>
    <row r="1535" spans="1:28" ht="12" customHeight="1">
      <c r="A1535" s="330"/>
      <c r="B1535" s="314"/>
      <c r="C1535" s="285"/>
      <c r="D1535" s="108"/>
      <c r="E1535" s="285"/>
      <c r="F1535" s="285"/>
      <c r="G1535" s="35"/>
      <c r="H1535" s="104"/>
      <c r="I1535" s="35"/>
      <c r="J1535" s="74"/>
      <c r="K1535" s="74"/>
      <c r="L1535" s="74"/>
      <c r="M1535" s="74"/>
      <c r="N1535" s="74"/>
      <c r="O1535" s="74"/>
      <c r="P1535" s="74"/>
      <c r="Q1535" s="74"/>
      <c r="R1535" s="74"/>
      <c r="S1535" s="74"/>
      <c r="T1535" s="74"/>
      <c r="U1535" s="74"/>
      <c r="V1535" s="74"/>
      <c r="W1535" s="74"/>
      <c r="X1535" s="74"/>
      <c r="Y1535" s="74"/>
      <c r="Z1535" s="74"/>
      <c r="AA1535" s="74"/>
      <c r="AB1535" s="74"/>
    </row>
    <row r="1536" spans="1:28" ht="12" customHeight="1">
      <c r="A1536" s="330"/>
      <c r="B1536" s="314"/>
      <c r="C1536" s="285"/>
      <c r="D1536" s="108"/>
      <c r="E1536" s="285"/>
      <c r="F1536" s="285"/>
      <c r="G1536" s="35"/>
      <c r="H1536" s="104"/>
      <c r="I1536" s="35"/>
      <c r="J1536" s="74"/>
      <c r="K1536" s="74"/>
      <c r="L1536" s="74"/>
      <c r="M1536" s="74"/>
      <c r="N1536" s="74"/>
      <c r="O1536" s="74"/>
      <c r="P1536" s="74"/>
      <c r="Q1536" s="74"/>
      <c r="R1536" s="74"/>
      <c r="S1536" s="74"/>
      <c r="T1536" s="74"/>
      <c r="U1536" s="74"/>
      <c r="V1536" s="74"/>
      <c r="W1536" s="74"/>
      <c r="X1536" s="74"/>
      <c r="Y1536" s="74"/>
      <c r="Z1536" s="74"/>
      <c r="AA1536" s="74"/>
      <c r="AB1536" s="74"/>
    </row>
    <row r="1537" spans="1:28" ht="12" customHeight="1">
      <c r="A1537" s="330"/>
      <c r="B1537" s="314"/>
      <c r="C1537" s="285"/>
      <c r="D1537" s="108"/>
      <c r="E1537" s="285"/>
      <c r="F1537" s="285"/>
      <c r="G1537" s="35"/>
      <c r="H1537" s="104"/>
      <c r="I1537" s="35"/>
      <c r="J1537" s="74"/>
      <c r="K1537" s="74"/>
      <c r="L1537" s="74"/>
      <c r="M1537" s="74"/>
      <c r="N1537" s="74"/>
      <c r="O1537" s="74"/>
      <c r="P1537" s="74"/>
      <c r="Q1537" s="74"/>
      <c r="R1537" s="74"/>
      <c r="S1537" s="74"/>
      <c r="T1537" s="74"/>
      <c r="U1537" s="74"/>
      <c r="V1537" s="74"/>
      <c r="W1537" s="74"/>
      <c r="X1537" s="74"/>
      <c r="Y1537" s="74"/>
      <c r="Z1537" s="74"/>
      <c r="AA1537" s="74"/>
      <c r="AB1537" s="74"/>
    </row>
    <row r="1538" spans="1:28" ht="12" customHeight="1">
      <c r="A1538" s="330"/>
      <c r="B1538" s="314"/>
      <c r="C1538" s="285"/>
      <c r="D1538" s="108"/>
      <c r="E1538" s="285"/>
      <c r="F1538" s="285"/>
      <c r="G1538" s="35"/>
      <c r="H1538" s="104"/>
      <c r="I1538" s="35"/>
      <c r="J1538" s="74"/>
      <c r="K1538" s="74"/>
      <c r="L1538" s="74"/>
      <c r="M1538" s="74"/>
      <c r="N1538" s="74"/>
      <c r="O1538" s="74"/>
      <c r="P1538" s="74"/>
      <c r="Q1538" s="74"/>
      <c r="R1538" s="74"/>
      <c r="S1538" s="74"/>
      <c r="T1538" s="74"/>
      <c r="U1538" s="74"/>
      <c r="V1538" s="74"/>
      <c r="W1538" s="74"/>
      <c r="X1538" s="74"/>
      <c r="Y1538" s="74"/>
      <c r="Z1538" s="74"/>
      <c r="AA1538" s="74"/>
      <c r="AB1538" s="74"/>
    </row>
    <row r="1539" spans="1:28" ht="12" customHeight="1">
      <c r="A1539" s="330"/>
      <c r="B1539" s="314"/>
      <c r="C1539" s="285"/>
      <c r="D1539" s="108"/>
      <c r="E1539" s="285"/>
      <c r="F1539" s="285"/>
      <c r="G1539" s="35"/>
      <c r="H1539" s="104"/>
      <c r="I1539" s="35"/>
      <c r="J1539" s="74"/>
      <c r="K1539" s="74"/>
      <c r="L1539" s="74"/>
      <c r="M1539" s="74"/>
      <c r="N1539" s="74"/>
      <c r="O1539" s="74"/>
      <c r="P1539" s="74"/>
      <c r="Q1539" s="74"/>
      <c r="R1539" s="74"/>
      <c r="S1539" s="74"/>
      <c r="T1539" s="74"/>
      <c r="U1539" s="74"/>
      <c r="V1539" s="74"/>
      <c r="W1539" s="74"/>
      <c r="X1539" s="74"/>
      <c r="Y1539" s="74"/>
      <c r="Z1539" s="74"/>
      <c r="AA1539" s="74"/>
      <c r="AB1539" s="74"/>
    </row>
    <row r="1540" spans="1:28" ht="12" customHeight="1">
      <c r="A1540" s="330"/>
      <c r="B1540" s="314"/>
      <c r="C1540" s="285"/>
      <c r="D1540" s="108"/>
      <c r="E1540" s="285"/>
      <c r="F1540" s="285"/>
      <c r="G1540" s="35"/>
      <c r="H1540" s="104"/>
      <c r="I1540" s="35"/>
      <c r="J1540" s="74"/>
      <c r="K1540" s="74"/>
      <c r="L1540" s="74"/>
      <c r="M1540" s="74"/>
      <c r="N1540" s="74"/>
      <c r="O1540" s="74"/>
      <c r="P1540" s="74"/>
      <c r="Q1540" s="74"/>
      <c r="R1540" s="74"/>
      <c r="S1540" s="74"/>
      <c r="T1540" s="74"/>
      <c r="U1540" s="74"/>
      <c r="V1540" s="74"/>
      <c r="W1540" s="74"/>
      <c r="X1540" s="74"/>
      <c r="Y1540" s="74"/>
      <c r="Z1540" s="74"/>
      <c r="AA1540" s="74"/>
      <c r="AB1540" s="74"/>
    </row>
    <row r="1541" spans="1:28" ht="12" customHeight="1">
      <c r="A1541" s="330"/>
      <c r="B1541" s="314"/>
      <c r="C1541" s="285"/>
      <c r="D1541" s="108"/>
      <c r="E1541" s="285"/>
      <c r="F1541" s="285"/>
      <c r="G1541" s="35"/>
      <c r="H1541" s="104"/>
      <c r="I1541" s="35"/>
      <c r="J1541" s="74"/>
      <c r="K1541" s="74"/>
      <c r="L1541" s="74"/>
      <c r="M1541" s="74"/>
      <c r="N1541" s="74"/>
      <c r="O1541" s="74"/>
      <c r="P1541" s="74"/>
      <c r="Q1541" s="74"/>
      <c r="R1541" s="74"/>
      <c r="S1541" s="74"/>
      <c r="T1541" s="74"/>
      <c r="U1541" s="74"/>
      <c r="V1541" s="74"/>
      <c r="W1541" s="74"/>
      <c r="X1541" s="74"/>
      <c r="Y1541" s="74"/>
      <c r="Z1541" s="74"/>
      <c r="AA1541" s="74"/>
      <c r="AB1541" s="74"/>
    </row>
    <row r="1542" spans="1:28" ht="12" customHeight="1">
      <c r="A1542" s="330"/>
      <c r="B1542" s="314"/>
      <c r="C1542" s="285"/>
      <c r="D1542" s="108"/>
      <c r="E1542" s="285"/>
      <c r="F1542" s="285"/>
      <c r="G1542" s="35"/>
      <c r="H1542" s="104"/>
      <c r="I1542" s="35"/>
      <c r="J1542" s="74"/>
      <c r="K1542" s="74"/>
      <c r="L1542" s="74"/>
      <c r="M1542" s="74"/>
      <c r="N1542" s="74"/>
      <c r="O1542" s="74"/>
      <c r="P1542" s="74"/>
      <c r="Q1542" s="74"/>
      <c r="R1542" s="74"/>
      <c r="S1542" s="74"/>
      <c r="T1542" s="74"/>
      <c r="U1542" s="74"/>
      <c r="V1542" s="74"/>
      <c r="W1542" s="74"/>
      <c r="X1542" s="74"/>
      <c r="Y1542" s="74"/>
      <c r="Z1542" s="74"/>
      <c r="AA1542" s="74"/>
      <c r="AB1542" s="74"/>
    </row>
    <row r="1543" spans="1:28" ht="12" customHeight="1">
      <c r="A1543" s="330"/>
      <c r="B1543" s="314"/>
      <c r="C1543" s="285"/>
      <c r="D1543" s="108"/>
      <c r="E1543" s="285"/>
      <c r="F1543" s="285"/>
      <c r="G1543" s="35"/>
      <c r="H1543" s="104"/>
      <c r="I1543" s="35"/>
      <c r="J1543" s="74"/>
      <c r="K1543" s="74"/>
      <c r="L1543" s="74"/>
      <c r="M1543" s="74"/>
      <c r="N1543" s="74"/>
      <c r="O1543" s="74"/>
      <c r="P1543" s="74"/>
      <c r="Q1543" s="74"/>
      <c r="R1543" s="74"/>
      <c r="S1543" s="74"/>
      <c r="T1543" s="74"/>
      <c r="U1543" s="74"/>
      <c r="V1543" s="74"/>
      <c r="W1543" s="74"/>
      <c r="X1543" s="74"/>
      <c r="Y1543" s="74"/>
      <c r="Z1543" s="74"/>
      <c r="AA1543" s="74"/>
      <c r="AB1543" s="74"/>
    </row>
    <row r="1544" spans="1:28" ht="12" customHeight="1">
      <c r="A1544" s="330"/>
      <c r="B1544" s="314"/>
      <c r="C1544" s="285"/>
      <c r="D1544" s="108"/>
      <c r="E1544" s="285"/>
      <c r="F1544" s="285"/>
      <c r="G1544" s="35"/>
      <c r="H1544" s="104"/>
      <c r="I1544" s="35"/>
      <c r="J1544" s="74"/>
      <c r="K1544" s="74"/>
      <c r="L1544" s="74"/>
      <c r="M1544" s="74"/>
      <c r="N1544" s="74"/>
      <c r="O1544" s="74"/>
      <c r="P1544" s="74"/>
      <c r="Q1544" s="74"/>
      <c r="R1544" s="74"/>
      <c r="S1544" s="74"/>
      <c r="T1544" s="74"/>
      <c r="U1544" s="74"/>
      <c r="V1544" s="74"/>
      <c r="W1544" s="74"/>
      <c r="X1544" s="74"/>
      <c r="Y1544" s="74"/>
      <c r="Z1544" s="74"/>
      <c r="AA1544" s="74"/>
      <c r="AB1544" s="74"/>
    </row>
    <row r="1545" spans="1:28" ht="12" customHeight="1">
      <c r="A1545" s="330"/>
      <c r="B1545" s="314"/>
      <c r="C1545" s="285"/>
      <c r="D1545" s="108"/>
      <c r="E1545" s="285"/>
      <c r="F1545" s="285"/>
      <c r="G1545" s="35"/>
      <c r="H1545" s="104"/>
      <c r="I1545" s="35"/>
      <c r="J1545" s="74"/>
      <c r="K1545" s="74"/>
      <c r="L1545" s="74"/>
      <c r="M1545" s="74"/>
      <c r="N1545" s="74"/>
      <c r="O1545" s="74"/>
      <c r="P1545" s="74"/>
      <c r="Q1545" s="74"/>
      <c r="R1545" s="74"/>
      <c r="S1545" s="74"/>
      <c r="T1545" s="74"/>
      <c r="U1545" s="74"/>
      <c r="V1545" s="74"/>
      <c r="W1545" s="74"/>
      <c r="X1545" s="74"/>
      <c r="Y1545" s="74"/>
      <c r="Z1545" s="74"/>
      <c r="AA1545" s="74"/>
      <c r="AB1545" s="74"/>
    </row>
    <row r="1546" spans="1:28" ht="12" customHeight="1">
      <c r="A1546" s="330"/>
      <c r="B1546" s="314"/>
      <c r="C1546" s="285"/>
      <c r="D1546" s="108"/>
      <c r="E1546" s="285"/>
      <c r="F1546" s="285"/>
      <c r="G1546" s="35"/>
      <c r="H1546" s="104"/>
      <c r="I1546" s="35"/>
      <c r="J1546" s="74"/>
      <c r="K1546" s="74"/>
      <c r="L1546" s="74"/>
      <c r="M1546" s="74"/>
      <c r="N1546" s="74"/>
      <c r="O1546" s="74"/>
      <c r="P1546" s="74"/>
      <c r="Q1546" s="74"/>
      <c r="R1546" s="74"/>
      <c r="S1546" s="74"/>
      <c r="T1546" s="74"/>
      <c r="U1546" s="74"/>
      <c r="V1546" s="74"/>
      <c r="W1546" s="74"/>
      <c r="X1546" s="74"/>
      <c r="Y1546" s="74"/>
      <c r="Z1546" s="74"/>
      <c r="AA1546" s="74"/>
      <c r="AB1546" s="74"/>
    </row>
    <row r="1547" spans="1:28" ht="12" customHeight="1">
      <c r="A1547" s="330"/>
      <c r="B1547" s="314"/>
      <c r="C1547" s="285"/>
      <c r="D1547" s="108"/>
      <c r="E1547" s="285"/>
      <c r="F1547" s="285"/>
      <c r="G1547" s="35"/>
      <c r="H1547" s="104"/>
      <c r="I1547" s="35"/>
      <c r="J1547" s="74"/>
      <c r="K1547" s="74"/>
      <c r="L1547" s="74"/>
      <c r="M1547" s="74"/>
      <c r="N1547" s="74"/>
      <c r="O1547" s="74"/>
      <c r="P1547" s="74"/>
      <c r="Q1547" s="74"/>
      <c r="R1547" s="74"/>
      <c r="S1547" s="74"/>
      <c r="T1547" s="74"/>
      <c r="U1547" s="74"/>
      <c r="V1547" s="74"/>
      <c r="W1547" s="74"/>
      <c r="X1547" s="74"/>
      <c r="Y1547" s="74"/>
      <c r="Z1547" s="74"/>
      <c r="AA1547" s="74"/>
      <c r="AB1547" s="74"/>
    </row>
    <row r="1548" spans="1:28" ht="12" customHeight="1">
      <c r="A1548" s="330"/>
      <c r="B1548" s="314"/>
      <c r="C1548" s="285"/>
      <c r="D1548" s="108"/>
      <c r="E1548" s="285"/>
      <c r="F1548" s="285"/>
      <c r="G1548" s="35"/>
      <c r="H1548" s="104"/>
      <c r="I1548" s="35"/>
      <c r="J1548" s="74"/>
      <c r="K1548" s="74"/>
      <c r="L1548" s="74"/>
      <c r="M1548" s="74"/>
      <c r="N1548" s="74"/>
      <c r="O1548" s="74"/>
      <c r="P1548" s="74"/>
      <c r="Q1548" s="74"/>
      <c r="R1548" s="74"/>
      <c r="S1548" s="74"/>
      <c r="T1548" s="74"/>
      <c r="U1548" s="74"/>
      <c r="V1548" s="74"/>
      <c r="W1548" s="74"/>
      <c r="X1548" s="74"/>
      <c r="Y1548" s="74"/>
      <c r="Z1548" s="74"/>
      <c r="AA1548" s="74"/>
      <c r="AB1548" s="74"/>
    </row>
    <row r="1549" spans="1:28" ht="12" customHeight="1">
      <c r="A1549" s="330"/>
      <c r="B1549" s="314"/>
      <c r="C1549" s="285"/>
      <c r="D1549" s="108"/>
      <c r="E1549" s="285"/>
      <c r="F1549" s="285"/>
      <c r="G1549" s="35"/>
      <c r="H1549" s="104"/>
      <c r="I1549" s="35"/>
      <c r="J1549" s="74"/>
      <c r="K1549" s="74"/>
      <c r="L1549" s="74"/>
      <c r="M1549" s="74"/>
      <c r="N1549" s="74"/>
      <c r="O1549" s="74"/>
      <c r="P1549" s="74"/>
      <c r="Q1549" s="74"/>
      <c r="R1549" s="74"/>
      <c r="S1549" s="74"/>
      <c r="T1549" s="74"/>
      <c r="U1549" s="74"/>
      <c r="V1549" s="74"/>
      <c r="W1549" s="74"/>
      <c r="X1549" s="74"/>
      <c r="Y1549" s="74"/>
      <c r="Z1549" s="74"/>
      <c r="AA1549" s="74"/>
      <c r="AB1549" s="74"/>
    </row>
    <row r="1550" spans="1:28" ht="12" customHeight="1">
      <c r="A1550" s="330"/>
      <c r="B1550" s="314"/>
      <c r="C1550" s="285"/>
      <c r="D1550" s="108"/>
      <c r="E1550" s="285"/>
      <c r="F1550" s="285"/>
      <c r="G1550" s="35"/>
      <c r="H1550" s="104"/>
      <c r="I1550" s="35"/>
      <c r="J1550" s="74"/>
      <c r="K1550" s="74"/>
      <c r="L1550" s="74"/>
      <c r="M1550" s="74"/>
      <c r="N1550" s="74"/>
      <c r="O1550" s="74"/>
      <c r="P1550" s="74"/>
      <c r="Q1550" s="74"/>
      <c r="R1550" s="74"/>
      <c r="S1550" s="74"/>
      <c r="T1550" s="74"/>
      <c r="U1550" s="74"/>
      <c r="V1550" s="74"/>
      <c r="W1550" s="74"/>
      <c r="X1550" s="74"/>
      <c r="Y1550" s="74"/>
      <c r="Z1550" s="74"/>
      <c r="AA1550" s="74"/>
      <c r="AB1550" s="74"/>
    </row>
    <row r="1551" spans="1:28" ht="12" customHeight="1">
      <c r="A1551" s="330"/>
      <c r="B1551" s="314"/>
      <c r="C1551" s="285"/>
      <c r="D1551" s="108"/>
      <c r="E1551" s="285"/>
      <c r="F1551" s="285"/>
      <c r="G1551" s="35"/>
      <c r="H1551" s="104"/>
      <c r="I1551" s="35"/>
      <c r="J1551" s="74"/>
      <c r="K1551" s="74"/>
      <c r="L1551" s="74"/>
      <c r="M1551" s="74"/>
      <c r="N1551" s="74"/>
      <c r="O1551" s="74"/>
      <c r="P1551" s="74"/>
      <c r="Q1551" s="74"/>
      <c r="R1551" s="74"/>
      <c r="S1551" s="74"/>
      <c r="T1551" s="74"/>
      <c r="U1551" s="74"/>
      <c r="V1551" s="74"/>
      <c r="W1551" s="74"/>
      <c r="X1551" s="74"/>
      <c r="Y1551" s="74"/>
      <c r="Z1551" s="74"/>
      <c r="AA1551" s="74"/>
      <c r="AB1551" s="74"/>
    </row>
    <row r="1552" spans="1:28" ht="12" customHeight="1">
      <c r="A1552" s="330"/>
      <c r="B1552" s="314"/>
      <c r="C1552" s="285"/>
      <c r="D1552" s="108"/>
      <c r="E1552" s="285"/>
      <c r="F1552" s="285"/>
      <c r="G1552" s="35"/>
      <c r="H1552" s="104"/>
      <c r="I1552" s="35"/>
      <c r="J1552" s="74"/>
      <c r="K1552" s="74"/>
      <c r="L1552" s="74"/>
      <c r="M1552" s="74"/>
      <c r="N1552" s="74"/>
      <c r="O1552" s="74"/>
      <c r="P1552" s="74"/>
      <c r="Q1552" s="74"/>
      <c r="R1552" s="74"/>
      <c r="S1552" s="74"/>
      <c r="T1552" s="74"/>
      <c r="U1552" s="74"/>
      <c r="V1552" s="74"/>
      <c r="W1552" s="74"/>
      <c r="X1552" s="74"/>
      <c r="Y1552" s="74"/>
      <c r="Z1552" s="74"/>
      <c r="AA1552" s="74"/>
      <c r="AB1552" s="74"/>
    </row>
    <row r="1553" spans="1:28" ht="12" customHeight="1">
      <c r="A1553" s="330"/>
      <c r="B1553" s="314"/>
      <c r="C1553" s="285"/>
      <c r="D1553" s="108"/>
      <c r="E1553" s="285"/>
      <c r="F1553" s="285"/>
      <c r="G1553" s="35"/>
      <c r="H1553" s="104"/>
      <c r="I1553" s="35"/>
      <c r="J1553" s="74"/>
      <c r="K1553" s="74"/>
      <c r="L1553" s="74"/>
      <c r="M1553" s="74"/>
      <c r="N1553" s="74"/>
      <c r="O1553" s="74"/>
      <c r="P1553" s="74"/>
      <c r="Q1553" s="74"/>
      <c r="R1553" s="74"/>
      <c r="S1553" s="74"/>
      <c r="T1553" s="74"/>
      <c r="U1553" s="74"/>
      <c r="V1553" s="74"/>
      <c r="W1553" s="74"/>
      <c r="X1553" s="74"/>
      <c r="Y1553" s="74"/>
      <c r="Z1553" s="74"/>
      <c r="AA1553" s="74"/>
      <c r="AB1553" s="74"/>
    </row>
    <row r="1554" spans="1:28" ht="12" customHeight="1">
      <c r="A1554" s="330"/>
      <c r="B1554" s="314"/>
      <c r="C1554" s="285"/>
      <c r="D1554" s="108"/>
      <c r="E1554" s="285"/>
      <c r="F1554" s="285"/>
      <c r="G1554" s="35"/>
      <c r="H1554" s="104"/>
      <c r="I1554" s="35"/>
      <c r="J1554" s="74"/>
      <c r="K1554" s="74"/>
      <c r="L1554" s="74"/>
      <c r="M1554" s="74"/>
      <c r="N1554" s="74"/>
      <c r="O1554" s="74"/>
      <c r="P1554" s="74"/>
      <c r="Q1554" s="74"/>
      <c r="R1554" s="74"/>
      <c r="S1554" s="74"/>
      <c r="T1554" s="74"/>
      <c r="U1554" s="74"/>
      <c r="V1554" s="74"/>
      <c r="W1554" s="74"/>
      <c r="X1554" s="74"/>
      <c r="Y1554" s="74"/>
      <c r="Z1554" s="74"/>
      <c r="AA1554" s="74"/>
      <c r="AB1554" s="74"/>
    </row>
    <row r="1555" spans="1:28" ht="12" customHeight="1">
      <c r="A1555" s="330"/>
      <c r="B1555" s="314"/>
      <c r="C1555" s="285"/>
      <c r="D1555" s="108"/>
      <c r="E1555" s="285"/>
      <c r="F1555" s="285"/>
      <c r="G1555" s="35"/>
      <c r="H1555" s="104"/>
      <c r="I1555" s="35"/>
      <c r="J1555" s="74"/>
      <c r="K1555" s="74"/>
      <c r="L1555" s="74"/>
      <c r="M1555" s="74"/>
      <c r="N1555" s="74"/>
      <c r="O1555" s="74"/>
      <c r="P1555" s="74"/>
      <c r="Q1555" s="74"/>
      <c r="R1555" s="74"/>
      <c r="S1555" s="74"/>
      <c r="T1555" s="74"/>
      <c r="U1555" s="74"/>
      <c r="V1555" s="74"/>
      <c r="W1555" s="74"/>
      <c r="X1555" s="74"/>
      <c r="Y1555" s="74"/>
      <c r="Z1555" s="74"/>
      <c r="AA1555" s="74"/>
      <c r="AB1555" s="74"/>
    </row>
    <row r="1556" spans="1:28" ht="12" customHeight="1">
      <c r="A1556" s="330"/>
      <c r="B1556" s="314"/>
      <c r="C1556" s="285"/>
      <c r="D1556" s="108"/>
      <c r="E1556" s="285"/>
      <c r="F1556" s="285"/>
      <c r="G1556" s="35"/>
      <c r="H1556" s="104"/>
      <c r="I1556" s="35"/>
      <c r="J1556" s="74"/>
      <c r="K1556" s="74"/>
      <c r="L1556" s="74"/>
      <c r="M1556" s="74"/>
      <c r="N1556" s="74"/>
      <c r="O1556" s="74"/>
      <c r="P1556" s="74"/>
      <c r="Q1556" s="74"/>
      <c r="R1556" s="74"/>
      <c r="S1556" s="74"/>
      <c r="T1556" s="74"/>
      <c r="U1556" s="74"/>
      <c r="V1556" s="74"/>
      <c r="W1556" s="74"/>
      <c r="X1556" s="74"/>
      <c r="Y1556" s="74"/>
      <c r="Z1556" s="74"/>
      <c r="AA1556" s="74"/>
      <c r="AB1556" s="74"/>
    </row>
    <row r="1557" spans="1:28" ht="12" customHeight="1">
      <c r="A1557" s="330"/>
      <c r="B1557" s="314"/>
      <c r="C1557" s="285"/>
      <c r="D1557" s="108"/>
      <c r="E1557" s="285"/>
      <c r="F1557" s="285"/>
      <c r="G1557" s="35"/>
      <c r="H1557" s="104"/>
      <c r="I1557" s="35"/>
      <c r="J1557" s="74"/>
      <c r="K1557" s="74"/>
      <c r="L1557" s="74"/>
      <c r="M1557" s="74"/>
      <c r="N1557" s="74"/>
      <c r="O1557" s="74"/>
      <c r="P1557" s="74"/>
      <c r="Q1557" s="74"/>
      <c r="R1557" s="74"/>
      <c r="S1557" s="74"/>
      <c r="T1557" s="74"/>
      <c r="U1557" s="74"/>
      <c r="V1557" s="74"/>
      <c r="W1557" s="74"/>
      <c r="X1557" s="74"/>
      <c r="Y1557" s="74"/>
      <c r="Z1557" s="74"/>
      <c r="AA1557" s="74"/>
      <c r="AB1557" s="74"/>
    </row>
    <row r="1558" spans="1:28" ht="12" customHeight="1">
      <c r="A1558" s="330"/>
      <c r="B1558" s="314"/>
      <c r="C1558" s="285"/>
      <c r="D1558" s="108"/>
      <c r="E1558" s="285"/>
      <c r="F1558" s="285"/>
      <c r="G1558" s="35"/>
      <c r="H1558" s="104"/>
      <c r="I1558" s="35"/>
      <c r="J1558" s="74"/>
      <c r="K1558" s="74"/>
      <c r="L1558" s="74"/>
      <c r="M1558" s="74"/>
      <c r="N1558" s="74"/>
      <c r="O1558" s="74"/>
      <c r="P1558" s="74"/>
      <c r="Q1558" s="74"/>
      <c r="R1558" s="74"/>
      <c r="S1558" s="74"/>
      <c r="T1558" s="74"/>
      <c r="U1558" s="74"/>
      <c r="V1558" s="74"/>
      <c r="W1558" s="74"/>
      <c r="X1558" s="74"/>
      <c r="Y1558" s="74"/>
      <c r="Z1558" s="74"/>
      <c r="AA1558" s="74"/>
      <c r="AB1558" s="74"/>
    </row>
    <row r="1559" spans="1:28" ht="12" customHeight="1">
      <c r="A1559" s="330"/>
      <c r="B1559" s="314"/>
      <c r="C1559" s="285"/>
      <c r="D1559" s="108"/>
      <c r="E1559" s="285"/>
      <c r="F1559" s="285"/>
      <c r="G1559" s="35"/>
      <c r="H1559" s="104"/>
      <c r="I1559" s="35"/>
      <c r="J1559" s="74"/>
      <c r="K1559" s="74"/>
      <c r="L1559" s="74"/>
      <c r="M1559" s="74"/>
      <c r="N1559" s="74"/>
      <c r="O1559" s="74"/>
      <c r="P1559" s="74"/>
      <c r="Q1559" s="74"/>
      <c r="R1559" s="74"/>
      <c r="S1559" s="74"/>
      <c r="T1559" s="74"/>
      <c r="U1559" s="74"/>
      <c r="V1559" s="74"/>
      <c r="W1559" s="74"/>
      <c r="X1559" s="74"/>
      <c r="Y1559" s="74"/>
      <c r="Z1559" s="74"/>
      <c r="AA1559" s="74"/>
      <c r="AB1559" s="74"/>
    </row>
    <row r="1560" spans="1:28" ht="12" customHeight="1">
      <c r="A1560" s="330"/>
      <c r="B1560" s="314"/>
      <c r="C1560" s="285"/>
      <c r="D1560" s="108"/>
      <c r="E1560" s="285"/>
      <c r="F1560" s="285"/>
      <c r="G1560" s="35"/>
      <c r="H1560" s="104"/>
      <c r="I1560" s="35"/>
      <c r="J1560" s="74"/>
      <c r="K1560" s="74"/>
      <c r="L1560" s="74"/>
      <c r="M1560" s="74"/>
      <c r="N1560" s="74"/>
      <c r="O1560" s="74"/>
      <c r="P1560" s="74"/>
      <c r="Q1560" s="74"/>
      <c r="R1560" s="74"/>
      <c r="S1560" s="74"/>
      <c r="T1560" s="74"/>
      <c r="U1560" s="74"/>
      <c r="V1560" s="74"/>
      <c r="W1560" s="74"/>
      <c r="X1560" s="74"/>
      <c r="Y1560" s="74"/>
      <c r="Z1560" s="74"/>
      <c r="AA1560" s="74"/>
      <c r="AB1560" s="74"/>
    </row>
    <row r="1561" spans="1:28" ht="12" customHeight="1">
      <c r="A1561" s="330"/>
      <c r="B1561" s="314"/>
      <c r="C1561" s="285"/>
      <c r="D1561" s="108"/>
      <c r="E1561" s="285"/>
      <c r="F1561" s="285"/>
      <c r="G1561" s="35"/>
      <c r="H1561" s="104"/>
      <c r="I1561" s="35"/>
      <c r="J1561" s="74"/>
      <c r="K1561" s="74"/>
      <c r="L1561" s="74"/>
      <c r="M1561" s="74"/>
      <c r="N1561" s="74"/>
      <c r="O1561" s="74"/>
      <c r="P1561" s="74"/>
      <c r="Q1561" s="74"/>
      <c r="R1561" s="74"/>
      <c r="S1561" s="74"/>
      <c r="T1561" s="74"/>
      <c r="U1561" s="74"/>
      <c r="V1561" s="74"/>
      <c r="W1561" s="74"/>
      <c r="X1561" s="74"/>
      <c r="Y1561" s="74"/>
      <c r="Z1561" s="74"/>
      <c r="AA1561" s="74"/>
      <c r="AB1561" s="74"/>
    </row>
    <row r="1562" spans="1:28" ht="12" customHeight="1">
      <c r="A1562" s="330"/>
      <c r="B1562" s="314"/>
      <c r="C1562" s="285"/>
      <c r="D1562" s="108"/>
      <c r="E1562" s="285"/>
      <c r="F1562" s="285"/>
      <c r="G1562" s="35"/>
      <c r="H1562" s="104"/>
      <c r="I1562" s="35"/>
      <c r="J1562" s="74"/>
      <c r="K1562" s="74"/>
      <c r="L1562" s="74"/>
      <c r="M1562" s="74"/>
      <c r="N1562" s="74"/>
      <c r="O1562" s="74"/>
      <c r="P1562" s="74"/>
      <c r="Q1562" s="74"/>
      <c r="R1562" s="74"/>
      <c r="S1562" s="74"/>
      <c r="T1562" s="74"/>
      <c r="U1562" s="74"/>
      <c r="V1562" s="74"/>
      <c r="W1562" s="74"/>
      <c r="X1562" s="74"/>
      <c r="Y1562" s="74"/>
      <c r="Z1562" s="74"/>
      <c r="AA1562" s="74"/>
      <c r="AB1562" s="74"/>
    </row>
    <row r="1563" spans="1:28" ht="12" customHeight="1">
      <c r="A1563" s="330"/>
      <c r="B1563" s="314"/>
      <c r="C1563" s="285"/>
      <c r="D1563" s="108"/>
      <c r="E1563" s="285"/>
      <c r="F1563" s="285"/>
      <c r="G1563" s="35"/>
      <c r="H1563" s="104"/>
      <c r="I1563" s="35"/>
      <c r="J1563" s="74"/>
      <c r="K1563" s="74"/>
      <c r="L1563" s="74"/>
      <c r="M1563" s="74"/>
      <c r="N1563" s="74"/>
      <c r="O1563" s="74"/>
      <c r="P1563" s="74"/>
      <c r="Q1563" s="74"/>
      <c r="R1563" s="74"/>
      <c r="S1563" s="74"/>
      <c r="T1563" s="74"/>
      <c r="U1563" s="74"/>
      <c r="V1563" s="74"/>
      <c r="W1563" s="74"/>
      <c r="X1563" s="74"/>
      <c r="Y1563" s="74"/>
      <c r="Z1563" s="74"/>
      <c r="AA1563" s="74"/>
      <c r="AB1563" s="74"/>
    </row>
    <row r="1564" spans="1:28" ht="12" customHeight="1">
      <c r="A1564" s="330"/>
      <c r="B1564" s="314"/>
      <c r="C1564" s="285"/>
      <c r="D1564" s="108"/>
      <c r="E1564" s="285"/>
      <c r="F1564" s="285"/>
      <c r="G1564" s="35"/>
      <c r="H1564" s="104"/>
      <c r="I1564" s="35"/>
      <c r="J1564" s="74"/>
      <c r="K1564" s="74"/>
      <c r="L1564" s="74"/>
      <c r="M1564" s="74"/>
      <c r="N1564" s="74"/>
      <c r="O1564" s="74"/>
      <c r="P1564" s="74"/>
      <c r="Q1564" s="74"/>
      <c r="R1564" s="74"/>
      <c r="S1564" s="74"/>
      <c r="T1564" s="74"/>
      <c r="U1564" s="74"/>
      <c r="V1564" s="74"/>
      <c r="W1564" s="74"/>
      <c r="X1564" s="74"/>
      <c r="Y1564" s="74"/>
      <c r="Z1564" s="74"/>
      <c r="AA1564" s="74"/>
      <c r="AB1564" s="74"/>
    </row>
    <row r="1565" spans="1:28" ht="12" customHeight="1">
      <c r="A1565" s="330"/>
      <c r="B1565" s="314"/>
      <c r="C1565" s="285"/>
      <c r="D1565" s="108"/>
      <c r="E1565" s="285"/>
      <c r="F1565" s="285"/>
      <c r="G1565" s="35"/>
      <c r="H1565" s="104"/>
      <c r="I1565" s="35"/>
      <c r="J1565" s="74"/>
      <c r="K1565" s="74"/>
      <c r="L1565" s="74"/>
      <c r="M1565" s="74"/>
      <c r="N1565" s="74"/>
      <c r="O1565" s="74"/>
      <c r="P1565" s="74"/>
      <c r="Q1565" s="74"/>
      <c r="R1565" s="74"/>
      <c r="S1565" s="74"/>
      <c r="T1565" s="74"/>
      <c r="U1565" s="74"/>
      <c r="V1565" s="74"/>
      <c r="W1565" s="74"/>
      <c r="X1565" s="74"/>
      <c r="Y1565" s="74"/>
      <c r="Z1565" s="74"/>
      <c r="AA1565" s="74"/>
      <c r="AB1565" s="74"/>
    </row>
    <row r="1566" spans="1:28" ht="12" customHeight="1">
      <c r="A1566" s="330"/>
      <c r="B1566" s="314"/>
      <c r="C1566" s="285"/>
      <c r="D1566" s="108"/>
      <c r="E1566" s="285"/>
      <c r="F1566" s="285"/>
      <c r="G1566" s="35"/>
      <c r="H1566" s="104"/>
      <c r="I1566" s="35"/>
      <c r="J1566" s="74"/>
      <c r="K1566" s="74"/>
      <c r="L1566" s="74"/>
      <c r="M1566" s="74"/>
      <c r="N1566" s="74"/>
      <c r="O1566" s="74"/>
      <c r="P1566" s="74"/>
      <c r="Q1566" s="74"/>
      <c r="R1566" s="74"/>
      <c r="S1566" s="74"/>
      <c r="T1566" s="74"/>
      <c r="U1566" s="74"/>
      <c r="V1566" s="74"/>
      <c r="W1566" s="74"/>
      <c r="X1566" s="74"/>
      <c r="Y1566" s="74"/>
      <c r="Z1566" s="74"/>
      <c r="AA1566" s="74"/>
      <c r="AB1566" s="74"/>
    </row>
    <row r="1567" spans="1:28" ht="12" customHeight="1">
      <c r="A1567" s="330"/>
      <c r="B1567" s="314"/>
      <c r="C1567" s="285"/>
      <c r="D1567" s="108"/>
      <c r="E1567" s="285"/>
      <c r="F1567" s="285"/>
      <c r="G1567" s="35"/>
      <c r="H1567" s="104"/>
      <c r="I1567" s="35"/>
      <c r="J1567" s="74"/>
      <c r="K1567" s="74"/>
      <c r="L1567" s="74"/>
      <c r="M1567" s="74"/>
      <c r="N1567" s="74"/>
      <c r="O1567" s="74"/>
      <c r="P1567" s="74"/>
      <c r="Q1567" s="74"/>
      <c r="R1567" s="74"/>
      <c r="S1567" s="74"/>
      <c r="T1567" s="74"/>
      <c r="U1567" s="74"/>
      <c r="V1567" s="74"/>
      <c r="W1567" s="74"/>
      <c r="X1567" s="74"/>
      <c r="Y1567" s="74"/>
      <c r="Z1567" s="74"/>
      <c r="AA1567" s="74"/>
      <c r="AB1567" s="74"/>
    </row>
    <row r="1568" spans="1:28" ht="12" customHeight="1">
      <c r="A1568" s="330"/>
      <c r="B1568" s="314"/>
      <c r="C1568" s="285"/>
      <c r="D1568" s="108"/>
      <c r="E1568" s="285"/>
      <c r="F1568" s="285"/>
      <c r="G1568" s="35"/>
      <c r="H1568" s="104"/>
      <c r="I1568" s="35"/>
      <c r="J1568" s="74"/>
      <c r="K1568" s="74"/>
      <c r="L1568" s="74"/>
      <c r="M1568" s="74"/>
      <c r="N1568" s="74"/>
      <c r="O1568" s="74"/>
      <c r="P1568" s="74"/>
      <c r="Q1568" s="74"/>
      <c r="R1568" s="74"/>
      <c r="S1568" s="74"/>
      <c r="T1568" s="74"/>
      <c r="U1568" s="74"/>
      <c r="V1568" s="74"/>
      <c r="W1568" s="74"/>
      <c r="X1568" s="74"/>
      <c r="Y1568" s="74"/>
      <c r="Z1568" s="74"/>
      <c r="AA1568" s="74"/>
      <c r="AB1568" s="74"/>
    </row>
    <row r="1569" spans="1:28" ht="12" customHeight="1">
      <c r="A1569" s="330"/>
      <c r="B1569" s="314"/>
      <c r="C1569" s="285"/>
      <c r="D1569" s="108"/>
      <c r="E1569" s="285"/>
      <c r="F1569" s="285"/>
      <c r="G1569" s="35"/>
      <c r="H1569" s="104"/>
      <c r="I1569" s="35"/>
      <c r="J1569" s="74"/>
      <c r="K1569" s="74"/>
      <c r="L1569" s="74"/>
      <c r="M1569" s="74"/>
      <c r="N1569" s="74"/>
      <c r="O1569" s="74"/>
      <c r="P1569" s="74"/>
      <c r="Q1569" s="74"/>
      <c r="R1569" s="74"/>
      <c r="S1569" s="74"/>
      <c r="T1569" s="74"/>
      <c r="U1569" s="74"/>
      <c r="V1569" s="74"/>
      <c r="W1569" s="74"/>
      <c r="X1569" s="74"/>
      <c r="Y1569" s="74"/>
      <c r="Z1569" s="74"/>
      <c r="AA1569" s="74"/>
      <c r="AB1569" s="74"/>
    </row>
    <row r="1570" spans="1:28" ht="12" customHeight="1">
      <c r="A1570" s="330"/>
      <c r="B1570" s="314"/>
      <c r="C1570" s="285"/>
      <c r="D1570" s="108"/>
      <c r="E1570" s="285"/>
      <c r="F1570" s="285"/>
      <c r="G1570" s="35"/>
      <c r="H1570" s="104"/>
      <c r="I1570" s="35"/>
      <c r="J1570" s="74"/>
      <c r="K1570" s="74"/>
      <c r="L1570" s="74"/>
      <c r="M1570" s="74"/>
      <c r="N1570" s="74"/>
      <c r="O1570" s="74"/>
      <c r="P1570" s="74"/>
      <c r="Q1570" s="74"/>
      <c r="R1570" s="74"/>
      <c r="S1570" s="74"/>
      <c r="T1570" s="74"/>
      <c r="U1570" s="74"/>
      <c r="V1570" s="74"/>
      <c r="W1570" s="74"/>
      <c r="X1570" s="74"/>
      <c r="Y1570" s="74"/>
      <c r="Z1570" s="74"/>
      <c r="AA1570" s="74"/>
      <c r="AB1570" s="74"/>
    </row>
    <row r="1571" spans="1:28" ht="12" customHeight="1">
      <c r="A1571" s="330"/>
      <c r="B1571" s="314"/>
      <c r="C1571" s="285"/>
      <c r="D1571" s="108"/>
      <c r="E1571" s="285"/>
      <c r="F1571" s="285"/>
      <c r="G1571" s="35"/>
      <c r="H1571" s="104"/>
      <c r="I1571" s="35"/>
      <c r="J1571" s="74"/>
      <c r="K1571" s="74"/>
      <c r="L1571" s="74"/>
      <c r="M1571" s="74"/>
      <c r="N1571" s="74"/>
      <c r="O1571" s="74"/>
      <c r="P1571" s="74"/>
      <c r="Q1571" s="74"/>
      <c r="R1571" s="74"/>
      <c r="S1571" s="74"/>
      <c r="T1571" s="74"/>
      <c r="U1571" s="74"/>
      <c r="V1571" s="74"/>
      <c r="W1571" s="74"/>
      <c r="X1571" s="74"/>
      <c r="Y1571" s="74"/>
      <c r="Z1571" s="74"/>
      <c r="AA1571" s="74"/>
      <c r="AB1571" s="74"/>
    </row>
    <row r="1572" spans="1:28" ht="12" customHeight="1">
      <c r="A1572" s="330"/>
      <c r="B1572" s="314"/>
      <c r="C1572" s="285"/>
      <c r="D1572" s="108"/>
      <c r="E1572" s="285"/>
      <c r="F1572" s="285"/>
      <c r="G1572" s="35"/>
      <c r="H1572" s="104"/>
      <c r="I1572" s="35"/>
      <c r="J1572" s="74"/>
      <c r="K1572" s="74"/>
      <c r="L1572" s="74"/>
      <c r="M1572" s="74"/>
      <c r="N1572" s="74"/>
      <c r="O1572" s="74"/>
      <c r="P1572" s="74"/>
      <c r="Q1572" s="74"/>
      <c r="R1572" s="74"/>
      <c r="S1572" s="74"/>
      <c r="T1572" s="74"/>
      <c r="U1572" s="74"/>
      <c r="V1572" s="74"/>
      <c r="W1572" s="74"/>
      <c r="X1572" s="74"/>
      <c r="Y1572" s="74"/>
      <c r="Z1572" s="74"/>
      <c r="AA1572" s="74"/>
      <c r="AB1572" s="74"/>
    </row>
    <row r="1573" spans="1:28" ht="12" customHeight="1">
      <c r="A1573" s="330"/>
      <c r="B1573" s="314"/>
      <c r="C1573" s="285"/>
      <c r="D1573" s="108"/>
      <c r="E1573" s="285"/>
      <c r="F1573" s="285"/>
      <c r="G1573" s="35"/>
      <c r="H1573" s="104"/>
      <c r="I1573" s="35"/>
      <c r="J1573" s="74"/>
      <c r="K1573" s="74"/>
      <c r="L1573" s="74"/>
      <c r="M1573" s="74"/>
      <c r="N1573" s="74"/>
      <c r="O1573" s="74"/>
      <c r="P1573" s="74"/>
      <c r="Q1573" s="74"/>
      <c r="R1573" s="74"/>
      <c r="S1573" s="74"/>
      <c r="T1573" s="74"/>
      <c r="U1573" s="74"/>
      <c r="V1573" s="74"/>
      <c r="W1573" s="74"/>
      <c r="X1573" s="74"/>
      <c r="Y1573" s="74"/>
      <c r="Z1573" s="74"/>
      <c r="AA1573" s="74"/>
      <c r="AB1573" s="74"/>
    </row>
    <row r="1574" spans="1:28" ht="12" customHeight="1">
      <c r="A1574" s="330"/>
      <c r="B1574" s="314"/>
      <c r="C1574" s="285"/>
      <c r="D1574" s="108"/>
      <c r="E1574" s="285"/>
      <c r="F1574" s="285"/>
      <c r="G1574" s="35"/>
      <c r="H1574" s="104"/>
      <c r="I1574" s="35"/>
      <c r="J1574" s="74"/>
      <c r="K1574" s="74"/>
      <c r="L1574" s="74"/>
      <c r="M1574" s="74"/>
      <c r="N1574" s="74"/>
      <c r="O1574" s="74"/>
      <c r="P1574" s="74"/>
      <c r="Q1574" s="74"/>
      <c r="R1574" s="74"/>
      <c r="S1574" s="74"/>
      <c r="T1574" s="74"/>
      <c r="U1574" s="74"/>
      <c r="V1574" s="74"/>
      <c r="W1574" s="74"/>
      <c r="X1574" s="74"/>
      <c r="Y1574" s="74"/>
      <c r="Z1574" s="74"/>
      <c r="AA1574" s="74"/>
      <c r="AB1574" s="74"/>
    </row>
    <row r="1575" spans="1:28" ht="12" customHeight="1">
      <c r="A1575" s="330"/>
      <c r="B1575" s="314"/>
      <c r="C1575" s="285"/>
      <c r="D1575" s="108"/>
      <c r="E1575" s="285"/>
      <c r="F1575" s="285"/>
      <c r="G1575" s="35"/>
      <c r="H1575" s="104"/>
      <c r="I1575" s="35"/>
      <c r="J1575" s="74"/>
      <c r="K1575" s="74"/>
      <c r="L1575" s="74"/>
      <c r="M1575" s="74"/>
      <c r="N1575" s="74"/>
      <c r="O1575" s="74"/>
      <c r="P1575" s="74"/>
      <c r="Q1575" s="74"/>
      <c r="R1575" s="74"/>
      <c r="S1575" s="74"/>
      <c r="T1575" s="74"/>
      <c r="U1575" s="74"/>
      <c r="V1575" s="74"/>
      <c r="W1575" s="74"/>
      <c r="X1575" s="74"/>
      <c r="Y1575" s="74"/>
      <c r="Z1575" s="74"/>
      <c r="AA1575" s="74"/>
      <c r="AB1575" s="74"/>
    </row>
    <row r="1576" spans="1:28" ht="12" customHeight="1">
      <c r="A1576" s="330"/>
      <c r="B1576" s="314"/>
      <c r="C1576" s="285"/>
      <c r="D1576" s="108"/>
      <c r="E1576" s="285"/>
      <c r="F1576" s="285"/>
      <c r="G1576" s="35"/>
      <c r="H1576" s="104"/>
      <c r="I1576" s="35"/>
      <c r="J1576" s="74"/>
      <c r="K1576" s="74"/>
      <c r="L1576" s="74"/>
      <c r="M1576" s="74"/>
      <c r="N1576" s="74"/>
      <c r="O1576" s="74"/>
      <c r="P1576" s="74"/>
      <c r="Q1576" s="74"/>
      <c r="R1576" s="74"/>
      <c r="S1576" s="74"/>
      <c r="T1576" s="74"/>
      <c r="U1576" s="74"/>
      <c r="V1576" s="74"/>
      <c r="W1576" s="74"/>
      <c r="X1576" s="74"/>
      <c r="Y1576" s="74"/>
      <c r="Z1576" s="74"/>
      <c r="AA1576" s="74"/>
      <c r="AB1576" s="74"/>
    </row>
    <row r="1577" spans="1:28" ht="12" customHeight="1">
      <c r="A1577" s="330"/>
      <c r="B1577" s="314"/>
      <c r="C1577" s="285"/>
      <c r="D1577" s="108"/>
      <c r="E1577" s="285"/>
      <c r="F1577" s="285"/>
      <c r="G1577" s="35"/>
      <c r="H1577" s="104"/>
      <c r="I1577" s="35"/>
      <c r="J1577" s="74"/>
      <c r="K1577" s="74"/>
      <c r="L1577" s="74"/>
      <c r="M1577" s="74"/>
      <c r="N1577" s="74"/>
      <c r="O1577" s="74"/>
      <c r="P1577" s="74"/>
      <c r="Q1577" s="74"/>
      <c r="R1577" s="74"/>
      <c r="S1577" s="74"/>
      <c r="T1577" s="74"/>
      <c r="U1577" s="74"/>
      <c r="V1577" s="74"/>
      <c r="W1577" s="74"/>
      <c r="X1577" s="74"/>
      <c r="Y1577" s="74"/>
      <c r="Z1577" s="74"/>
      <c r="AA1577" s="74"/>
      <c r="AB1577" s="74"/>
    </row>
    <row r="1578" spans="1:28" ht="12" customHeight="1">
      <c r="A1578" s="330"/>
      <c r="B1578" s="314"/>
      <c r="C1578" s="285"/>
      <c r="D1578" s="108"/>
      <c r="E1578" s="285"/>
      <c r="F1578" s="285"/>
      <c r="G1578" s="35"/>
      <c r="H1578" s="104"/>
      <c r="I1578" s="35"/>
      <c r="J1578" s="74"/>
      <c r="K1578" s="74"/>
      <c r="L1578" s="74"/>
      <c r="M1578" s="74"/>
      <c r="N1578" s="74"/>
      <c r="O1578" s="74"/>
      <c r="P1578" s="74"/>
      <c r="Q1578" s="74"/>
      <c r="R1578" s="74"/>
      <c r="S1578" s="74"/>
      <c r="T1578" s="74"/>
      <c r="U1578" s="74"/>
      <c r="V1578" s="74"/>
      <c r="W1578" s="74"/>
      <c r="X1578" s="74"/>
      <c r="Y1578" s="74"/>
      <c r="Z1578" s="74"/>
      <c r="AA1578" s="74"/>
      <c r="AB1578" s="74"/>
    </row>
    <row r="1579" spans="1:28" ht="12" customHeight="1">
      <c r="A1579" s="330"/>
      <c r="B1579" s="314"/>
      <c r="C1579" s="285"/>
      <c r="D1579" s="108"/>
      <c r="E1579" s="285"/>
      <c r="F1579" s="285"/>
      <c r="G1579" s="35"/>
      <c r="H1579" s="104"/>
      <c r="I1579" s="35"/>
      <c r="J1579" s="74"/>
      <c r="K1579" s="74"/>
      <c r="L1579" s="74"/>
      <c r="M1579" s="74"/>
      <c r="N1579" s="74"/>
      <c r="O1579" s="74"/>
      <c r="P1579" s="74"/>
      <c r="Q1579" s="74"/>
      <c r="R1579" s="74"/>
      <c r="S1579" s="74"/>
      <c r="T1579" s="74"/>
      <c r="U1579" s="74"/>
      <c r="V1579" s="74"/>
      <c r="W1579" s="74"/>
      <c r="X1579" s="74"/>
      <c r="Y1579" s="74"/>
      <c r="Z1579" s="74"/>
      <c r="AA1579" s="74"/>
      <c r="AB1579" s="74"/>
    </row>
    <row r="1580" spans="1:28" ht="12" customHeight="1">
      <c r="A1580" s="330"/>
      <c r="B1580" s="314"/>
      <c r="C1580" s="285"/>
      <c r="D1580" s="108"/>
      <c r="E1580" s="285"/>
      <c r="F1580" s="285"/>
      <c r="G1580" s="35"/>
      <c r="H1580" s="104"/>
      <c r="I1580" s="35"/>
      <c r="J1580" s="74"/>
      <c r="K1580" s="74"/>
      <c r="L1580" s="74"/>
      <c r="M1580" s="74"/>
      <c r="N1580" s="74"/>
      <c r="O1580" s="74"/>
      <c r="P1580" s="74"/>
      <c r="Q1580" s="74"/>
      <c r="R1580" s="74"/>
      <c r="S1580" s="74"/>
      <c r="T1580" s="74"/>
      <c r="U1580" s="74"/>
      <c r="V1580" s="74"/>
      <c r="W1580" s="74"/>
      <c r="X1580" s="74"/>
      <c r="Y1580" s="74"/>
      <c r="Z1580" s="74"/>
      <c r="AA1580" s="74"/>
      <c r="AB1580" s="74"/>
    </row>
    <row r="1581" spans="1:28" ht="12" customHeight="1">
      <c r="A1581" s="330"/>
      <c r="B1581" s="314"/>
      <c r="C1581" s="285"/>
      <c r="D1581" s="108"/>
      <c r="E1581" s="285"/>
      <c r="F1581" s="285"/>
      <c r="G1581" s="35"/>
      <c r="H1581" s="104"/>
      <c r="I1581" s="35"/>
      <c r="J1581" s="74"/>
      <c r="K1581" s="74"/>
      <c r="L1581" s="74"/>
      <c r="M1581" s="74"/>
      <c r="N1581" s="74"/>
      <c r="O1581" s="74"/>
      <c r="P1581" s="74"/>
      <c r="Q1581" s="74"/>
      <c r="R1581" s="74"/>
      <c r="S1581" s="74"/>
      <c r="T1581" s="74"/>
      <c r="U1581" s="74"/>
      <c r="V1581" s="74"/>
      <c r="W1581" s="74"/>
      <c r="X1581" s="74"/>
      <c r="Y1581" s="74"/>
      <c r="Z1581" s="74"/>
      <c r="AA1581" s="74"/>
      <c r="AB1581" s="74"/>
    </row>
    <row r="1582" spans="1:28" ht="12" customHeight="1">
      <c r="A1582" s="330"/>
      <c r="B1582" s="314"/>
      <c r="C1582" s="285"/>
      <c r="D1582" s="108"/>
      <c r="E1582" s="285"/>
      <c r="F1582" s="285"/>
      <c r="G1582" s="35"/>
      <c r="H1582" s="104"/>
      <c r="I1582" s="35"/>
      <c r="J1582" s="74"/>
      <c r="K1582" s="74"/>
      <c r="L1582" s="74"/>
      <c r="M1582" s="74"/>
      <c r="N1582" s="74"/>
      <c r="O1582" s="74"/>
      <c r="P1582" s="74"/>
      <c r="Q1582" s="74"/>
      <c r="R1582" s="74"/>
      <c r="S1582" s="74"/>
      <c r="T1582" s="74"/>
      <c r="U1582" s="74"/>
      <c r="V1582" s="74"/>
      <c r="W1582" s="74"/>
      <c r="X1582" s="74"/>
      <c r="Y1582" s="74"/>
      <c r="Z1582" s="74"/>
      <c r="AA1582" s="74"/>
      <c r="AB1582" s="74"/>
    </row>
    <row r="1583" spans="1:28" ht="12" customHeight="1">
      <c r="A1583" s="330"/>
      <c r="B1583" s="314"/>
      <c r="C1583" s="285"/>
      <c r="D1583" s="108"/>
      <c r="E1583" s="285"/>
      <c r="F1583" s="285"/>
      <c r="G1583" s="35"/>
      <c r="H1583" s="104"/>
      <c r="I1583" s="35"/>
      <c r="J1583" s="74"/>
      <c r="K1583" s="74"/>
      <c r="L1583" s="74"/>
      <c r="M1583" s="74"/>
      <c r="N1583" s="74"/>
      <c r="O1583" s="74"/>
      <c r="P1583" s="74"/>
      <c r="Q1583" s="74"/>
      <c r="R1583" s="74"/>
      <c r="S1583" s="74"/>
      <c r="T1583" s="74"/>
      <c r="U1583" s="74"/>
      <c r="V1583" s="74"/>
      <c r="W1583" s="74"/>
      <c r="X1583" s="74"/>
      <c r="Y1583" s="74"/>
      <c r="Z1583" s="74"/>
      <c r="AA1583" s="74"/>
      <c r="AB1583" s="74"/>
    </row>
    <row r="1584" spans="1:28" ht="12" customHeight="1">
      <c r="A1584" s="330"/>
      <c r="B1584" s="314"/>
      <c r="C1584" s="285"/>
      <c r="D1584" s="108"/>
      <c r="E1584" s="285"/>
      <c r="F1584" s="285"/>
      <c r="G1584" s="35"/>
      <c r="H1584" s="104"/>
      <c r="I1584" s="35"/>
      <c r="J1584" s="74"/>
      <c r="K1584" s="74"/>
      <c r="L1584" s="74"/>
      <c r="M1584" s="74"/>
      <c r="N1584" s="74"/>
      <c r="O1584" s="74"/>
      <c r="P1584" s="74"/>
      <c r="Q1584" s="74"/>
      <c r="R1584" s="74"/>
      <c r="S1584" s="74"/>
      <c r="T1584" s="74"/>
      <c r="U1584" s="74"/>
      <c r="V1584" s="74"/>
      <c r="W1584" s="74"/>
      <c r="X1584" s="74"/>
      <c r="Y1584" s="74"/>
      <c r="Z1584" s="74"/>
      <c r="AA1584" s="74"/>
      <c r="AB1584" s="74"/>
    </row>
    <row r="1585" spans="1:28" ht="12" customHeight="1">
      <c r="A1585" s="330"/>
      <c r="B1585" s="314"/>
      <c r="C1585" s="285"/>
      <c r="D1585" s="108"/>
      <c r="E1585" s="285"/>
      <c r="F1585" s="285"/>
      <c r="G1585" s="35"/>
      <c r="H1585" s="104"/>
      <c r="I1585" s="35"/>
      <c r="J1585" s="74"/>
      <c r="K1585" s="74"/>
      <c r="L1585" s="74"/>
      <c r="M1585" s="74"/>
      <c r="N1585" s="74"/>
      <c r="O1585" s="74"/>
      <c r="P1585" s="74"/>
      <c r="Q1585" s="74"/>
      <c r="R1585" s="74"/>
      <c r="S1585" s="74"/>
      <c r="T1585" s="74"/>
      <c r="U1585" s="74"/>
      <c r="V1585" s="74"/>
      <c r="W1585" s="74"/>
      <c r="X1585" s="74"/>
      <c r="Y1585" s="74"/>
      <c r="Z1585" s="74"/>
      <c r="AA1585" s="74"/>
      <c r="AB1585" s="74"/>
    </row>
    <row r="1586" spans="1:28" ht="12" customHeight="1">
      <c r="A1586" s="330"/>
      <c r="B1586" s="314"/>
      <c r="C1586" s="285"/>
      <c r="D1586" s="108"/>
      <c r="E1586" s="285"/>
      <c r="F1586" s="285"/>
      <c r="G1586" s="35"/>
      <c r="H1586" s="104"/>
      <c r="I1586" s="35"/>
      <c r="J1586" s="74"/>
      <c r="K1586" s="74"/>
      <c r="L1586" s="74"/>
      <c r="M1586" s="74"/>
      <c r="N1586" s="74"/>
      <c r="O1586" s="74"/>
      <c r="P1586" s="74"/>
      <c r="Q1586" s="74"/>
      <c r="R1586" s="74"/>
      <c r="S1586" s="74"/>
      <c r="T1586" s="74"/>
      <c r="U1586" s="74"/>
      <c r="V1586" s="74"/>
      <c r="W1586" s="74"/>
      <c r="X1586" s="74"/>
      <c r="Y1586" s="74"/>
      <c r="Z1586" s="74"/>
      <c r="AA1586" s="74"/>
      <c r="AB1586" s="74"/>
    </row>
    <row r="1587" spans="1:28" ht="12" customHeight="1">
      <c r="A1587" s="330"/>
      <c r="B1587" s="314"/>
      <c r="C1587" s="285"/>
      <c r="D1587" s="108"/>
      <c r="E1587" s="285"/>
      <c r="F1587" s="285"/>
      <c r="G1587" s="35"/>
      <c r="H1587" s="104"/>
      <c r="I1587" s="35"/>
      <c r="J1587" s="74"/>
      <c r="K1587" s="74"/>
      <c r="L1587" s="74"/>
      <c r="M1587" s="74"/>
      <c r="N1587" s="74"/>
      <c r="O1587" s="74"/>
      <c r="P1587" s="74"/>
      <c r="Q1587" s="74"/>
      <c r="R1587" s="74"/>
      <c r="S1587" s="74"/>
      <c r="T1587" s="74"/>
      <c r="U1587" s="74"/>
      <c r="V1587" s="74"/>
      <c r="W1587" s="74"/>
      <c r="X1587" s="74"/>
      <c r="Y1587" s="74"/>
      <c r="Z1587" s="74"/>
      <c r="AA1587" s="74"/>
      <c r="AB1587" s="74"/>
    </row>
    <row r="1588" spans="1:28" ht="12" customHeight="1">
      <c r="A1588" s="330"/>
      <c r="B1588" s="314"/>
      <c r="C1588" s="285"/>
      <c r="D1588" s="108"/>
      <c r="E1588" s="285"/>
      <c r="F1588" s="285"/>
      <c r="G1588" s="35"/>
      <c r="H1588" s="104"/>
      <c r="I1588" s="35"/>
      <c r="J1588" s="74"/>
      <c r="K1588" s="74"/>
      <c r="L1588" s="74"/>
      <c r="M1588" s="74"/>
      <c r="N1588" s="74"/>
      <c r="O1588" s="74"/>
      <c r="P1588" s="74"/>
      <c r="Q1588" s="74"/>
      <c r="R1588" s="74"/>
      <c r="S1588" s="74"/>
      <c r="T1588" s="74"/>
      <c r="U1588" s="74"/>
      <c r="V1588" s="74"/>
      <c r="W1588" s="74"/>
      <c r="X1588" s="74"/>
      <c r="Y1588" s="74"/>
      <c r="Z1588" s="74"/>
      <c r="AA1588" s="74"/>
      <c r="AB1588" s="74"/>
    </row>
    <row r="1589" spans="1:28" ht="12" customHeight="1">
      <c r="A1589" s="330"/>
      <c r="B1589" s="314"/>
      <c r="C1589" s="285"/>
      <c r="D1589" s="108"/>
      <c r="E1589" s="285"/>
      <c r="F1589" s="285"/>
      <c r="G1589" s="35"/>
      <c r="H1589" s="104"/>
      <c r="I1589" s="35"/>
      <c r="J1589" s="74"/>
      <c r="K1589" s="74"/>
      <c r="L1589" s="74"/>
      <c r="M1589" s="74"/>
      <c r="N1589" s="74"/>
      <c r="O1589" s="74"/>
      <c r="P1589" s="74"/>
      <c r="Q1589" s="74"/>
      <c r="R1589" s="74"/>
      <c r="S1589" s="74"/>
      <c r="T1589" s="74"/>
      <c r="U1589" s="74"/>
      <c r="V1589" s="74"/>
      <c r="W1589" s="74"/>
      <c r="X1589" s="74"/>
      <c r="Y1589" s="74"/>
      <c r="Z1589" s="74"/>
      <c r="AA1589" s="74"/>
      <c r="AB1589" s="74"/>
    </row>
    <row r="1590" spans="1:28" ht="12" customHeight="1">
      <c r="A1590" s="330"/>
      <c r="B1590" s="314"/>
      <c r="C1590" s="285"/>
      <c r="D1590" s="108"/>
      <c r="E1590" s="285"/>
      <c r="F1590" s="285"/>
      <c r="G1590" s="35"/>
      <c r="H1590" s="104"/>
      <c r="I1590" s="35"/>
      <c r="J1590" s="74"/>
      <c r="K1590" s="74"/>
      <c r="L1590" s="74"/>
      <c r="M1590" s="74"/>
      <c r="N1590" s="74"/>
      <c r="O1590" s="74"/>
      <c r="P1590" s="74"/>
      <c r="Q1590" s="74"/>
      <c r="R1590" s="74"/>
      <c r="S1590" s="74"/>
      <c r="T1590" s="74"/>
      <c r="U1590" s="74"/>
      <c r="V1590" s="74"/>
      <c r="W1590" s="74"/>
      <c r="X1590" s="74"/>
      <c r="Y1590" s="74"/>
      <c r="Z1590" s="74"/>
      <c r="AA1590" s="74"/>
      <c r="AB1590" s="74"/>
    </row>
    <row r="1591" spans="1:28" ht="12" customHeight="1">
      <c r="A1591" s="330"/>
      <c r="B1591" s="314"/>
      <c r="C1591" s="285"/>
      <c r="D1591" s="108"/>
      <c r="E1591" s="285"/>
      <c r="F1591" s="285"/>
      <c r="G1591" s="35"/>
      <c r="H1591" s="104"/>
      <c r="I1591" s="35"/>
      <c r="J1591" s="74"/>
      <c r="K1591" s="74"/>
      <c r="L1591" s="74"/>
      <c r="M1591" s="74"/>
      <c r="N1591" s="74"/>
      <c r="O1591" s="74"/>
      <c r="P1591" s="74"/>
      <c r="Q1591" s="74"/>
      <c r="R1591" s="74"/>
      <c r="S1591" s="74"/>
      <c r="T1591" s="74"/>
      <c r="U1591" s="74"/>
      <c r="V1591" s="74"/>
      <c r="W1591" s="74"/>
      <c r="X1591" s="74"/>
      <c r="Y1591" s="74"/>
      <c r="Z1591" s="74"/>
      <c r="AA1591" s="74"/>
      <c r="AB1591" s="74"/>
    </row>
    <row r="1592" spans="1:28" ht="12" customHeight="1">
      <c r="A1592" s="330"/>
      <c r="B1592" s="314"/>
      <c r="C1592" s="285"/>
      <c r="D1592" s="108"/>
      <c r="E1592" s="285"/>
      <c r="F1592" s="285"/>
      <c r="G1592" s="35"/>
      <c r="H1592" s="104"/>
      <c r="I1592" s="35"/>
      <c r="J1592" s="74"/>
      <c r="K1592" s="74"/>
      <c r="L1592" s="74"/>
      <c r="M1592" s="74"/>
      <c r="N1592" s="74"/>
      <c r="O1592" s="74"/>
      <c r="P1592" s="74"/>
      <c r="Q1592" s="74"/>
      <c r="R1592" s="74"/>
      <c r="S1592" s="74"/>
      <c r="T1592" s="74"/>
      <c r="U1592" s="74"/>
      <c r="V1592" s="74"/>
      <c r="W1592" s="74"/>
      <c r="X1592" s="74"/>
      <c r="Y1592" s="74"/>
      <c r="Z1592" s="74"/>
      <c r="AA1592" s="74"/>
      <c r="AB1592" s="74"/>
    </row>
    <row r="1593" spans="1:28" ht="12" customHeight="1">
      <c r="A1593" s="330"/>
      <c r="B1593" s="314"/>
      <c r="C1593" s="285"/>
      <c r="D1593" s="108"/>
      <c r="E1593" s="285"/>
      <c r="F1593" s="285"/>
      <c r="G1593" s="35"/>
      <c r="H1593" s="104"/>
      <c r="I1593" s="35"/>
      <c r="J1593" s="74"/>
      <c r="K1593" s="74"/>
      <c r="L1593" s="74"/>
      <c r="M1593" s="74"/>
      <c r="N1593" s="74"/>
      <c r="O1593" s="74"/>
      <c r="P1593" s="74"/>
      <c r="Q1593" s="74"/>
      <c r="R1593" s="74"/>
      <c r="S1593" s="74"/>
      <c r="T1593" s="74"/>
      <c r="U1593" s="74"/>
      <c r="V1593" s="74"/>
      <c r="W1593" s="74"/>
      <c r="X1593" s="74"/>
      <c r="Y1593" s="74"/>
      <c r="Z1593" s="74"/>
      <c r="AA1593" s="74"/>
      <c r="AB1593" s="74"/>
    </row>
    <row r="1594" spans="1:28" ht="12" customHeight="1">
      <c r="A1594" s="330"/>
      <c r="B1594" s="314"/>
      <c r="C1594" s="285"/>
      <c r="D1594" s="108"/>
      <c r="E1594" s="285"/>
      <c r="F1594" s="285"/>
      <c r="G1594" s="35"/>
      <c r="H1594" s="104"/>
      <c r="I1594" s="35"/>
      <c r="J1594" s="74"/>
      <c r="K1594" s="74"/>
      <c r="L1594" s="74"/>
      <c r="M1594" s="74"/>
      <c r="N1594" s="74"/>
      <c r="O1594" s="74"/>
      <c r="P1594" s="74"/>
      <c r="Q1594" s="74"/>
      <c r="R1594" s="74"/>
      <c r="S1594" s="74"/>
      <c r="T1594" s="74"/>
      <c r="U1594" s="74"/>
      <c r="V1594" s="74"/>
      <c r="W1594" s="74"/>
      <c r="X1594" s="74"/>
      <c r="Y1594" s="74"/>
      <c r="Z1594" s="74"/>
      <c r="AA1594" s="74"/>
      <c r="AB1594" s="74"/>
    </row>
    <row r="1595" spans="1:28" ht="12" customHeight="1">
      <c r="A1595" s="330"/>
      <c r="B1595" s="314"/>
      <c r="C1595" s="285"/>
      <c r="D1595" s="108"/>
      <c r="E1595" s="285"/>
      <c r="F1595" s="285"/>
      <c r="G1595" s="35"/>
      <c r="H1595" s="104"/>
      <c r="I1595" s="35"/>
      <c r="J1595" s="74"/>
      <c r="K1595" s="74"/>
      <c r="L1595" s="74"/>
      <c r="M1595" s="74"/>
      <c r="N1595" s="74"/>
      <c r="O1595" s="74"/>
      <c r="P1595" s="74"/>
      <c r="Q1595" s="74"/>
      <c r="R1595" s="74"/>
      <c r="S1595" s="74"/>
      <c r="T1595" s="74"/>
      <c r="U1595" s="74"/>
      <c r="V1595" s="74"/>
      <c r="W1595" s="74"/>
      <c r="X1595" s="74"/>
      <c r="Y1595" s="74"/>
      <c r="Z1595" s="74"/>
      <c r="AA1595" s="74"/>
      <c r="AB1595" s="74"/>
    </row>
    <row r="1596" spans="1:28" ht="12" customHeight="1">
      <c r="A1596" s="330"/>
      <c r="B1596" s="314"/>
      <c r="C1596" s="285"/>
      <c r="D1596" s="108"/>
      <c r="E1596" s="285"/>
      <c r="F1596" s="285"/>
      <c r="G1596" s="35"/>
      <c r="H1596" s="104"/>
      <c r="I1596" s="35"/>
      <c r="J1596" s="74"/>
      <c r="K1596" s="74"/>
      <c r="L1596" s="74"/>
      <c r="M1596" s="74"/>
      <c r="N1596" s="74"/>
      <c r="O1596" s="74"/>
      <c r="P1596" s="74"/>
      <c r="Q1596" s="74"/>
      <c r="R1596" s="74"/>
      <c r="S1596" s="74"/>
      <c r="T1596" s="74"/>
      <c r="U1596" s="74"/>
      <c r="V1596" s="74"/>
      <c r="W1596" s="74"/>
      <c r="X1596" s="74"/>
      <c r="Y1596" s="74"/>
      <c r="Z1596" s="74"/>
      <c r="AA1596" s="74"/>
      <c r="AB1596" s="74"/>
    </row>
    <row r="1597" spans="1:28" ht="12" customHeight="1">
      <c r="A1597" s="330"/>
      <c r="B1597" s="314"/>
      <c r="C1597" s="285"/>
      <c r="D1597" s="108"/>
      <c r="E1597" s="285"/>
      <c r="F1597" s="285"/>
      <c r="G1597" s="35"/>
      <c r="H1597" s="104"/>
      <c r="I1597" s="35"/>
      <c r="J1597" s="74"/>
      <c r="K1597" s="74"/>
      <c r="L1597" s="74"/>
      <c r="M1597" s="74"/>
      <c r="N1597" s="74"/>
      <c r="O1597" s="74"/>
      <c r="P1597" s="74"/>
      <c r="Q1597" s="74"/>
      <c r="R1597" s="74"/>
      <c r="S1597" s="74"/>
      <c r="T1597" s="74"/>
      <c r="U1597" s="74"/>
      <c r="V1597" s="74"/>
      <c r="W1597" s="74"/>
      <c r="X1597" s="74"/>
      <c r="Y1597" s="74"/>
      <c r="Z1597" s="74"/>
      <c r="AA1597" s="74"/>
      <c r="AB1597" s="74"/>
    </row>
    <row r="1598" spans="1:28" ht="12" customHeight="1">
      <c r="A1598" s="330"/>
      <c r="B1598" s="314"/>
      <c r="C1598" s="285"/>
      <c r="D1598" s="108"/>
      <c r="E1598" s="285"/>
      <c r="F1598" s="285"/>
      <c r="G1598" s="35"/>
      <c r="H1598" s="104"/>
      <c r="I1598" s="35"/>
      <c r="J1598" s="74"/>
      <c r="K1598" s="74"/>
      <c r="L1598" s="74"/>
      <c r="M1598" s="74"/>
      <c r="N1598" s="74"/>
      <c r="O1598" s="74"/>
      <c r="P1598" s="74"/>
      <c r="Q1598" s="74"/>
      <c r="R1598" s="74"/>
      <c r="S1598" s="74"/>
      <c r="T1598" s="74"/>
      <c r="U1598" s="74"/>
      <c r="V1598" s="74"/>
      <c r="W1598" s="74"/>
      <c r="X1598" s="74"/>
      <c r="Y1598" s="74"/>
      <c r="Z1598" s="74"/>
      <c r="AA1598" s="74"/>
      <c r="AB1598" s="74"/>
    </row>
    <row r="1599" spans="1:28" ht="12" customHeight="1">
      <c r="A1599" s="330"/>
      <c r="B1599" s="314"/>
      <c r="C1599" s="285"/>
      <c r="D1599" s="108"/>
      <c r="E1599" s="285"/>
      <c r="F1599" s="285"/>
      <c r="G1599" s="35"/>
      <c r="H1599" s="104"/>
      <c r="I1599" s="35"/>
      <c r="J1599" s="74"/>
      <c r="K1599" s="74"/>
      <c r="L1599" s="74"/>
      <c r="M1599" s="74"/>
      <c r="N1599" s="74"/>
      <c r="O1599" s="74"/>
      <c r="P1599" s="74"/>
      <c r="Q1599" s="74"/>
      <c r="R1599" s="74"/>
      <c r="S1599" s="74"/>
      <c r="T1599" s="74"/>
      <c r="U1599" s="74"/>
      <c r="V1599" s="74"/>
      <c r="W1599" s="74"/>
      <c r="X1599" s="74"/>
      <c r="Y1599" s="74"/>
      <c r="Z1599" s="74"/>
      <c r="AA1599" s="74"/>
      <c r="AB1599" s="74"/>
    </row>
    <row r="1600" spans="1:28" ht="12" customHeight="1">
      <c r="A1600" s="330"/>
      <c r="B1600" s="314"/>
      <c r="C1600" s="285"/>
      <c r="D1600" s="108"/>
      <c r="E1600" s="285"/>
      <c r="F1600" s="285"/>
      <c r="G1600" s="35"/>
      <c r="H1600" s="104"/>
      <c r="I1600" s="35"/>
      <c r="J1600" s="74"/>
      <c r="K1600" s="74"/>
      <c r="L1600" s="74"/>
      <c r="M1600" s="74"/>
      <c r="N1600" s="74"/>
      <c r="O1600" s="74"/>
      <c r="P1600" s="74"/>
      <c r="Q1600" s="74"/>
      <c r="R1600" s="74"/>
      <c r="S1600" s="74"/>
      <c r="T1600" s="74"/>
      <c r="U1600" s="74"/>
      <c r="V1600" s="74"/>
      <c r="W1600" s="74"/>
      <c r="X1600" s="74"/>
      <c r="Y1600" s="74"/>
      <c r="Z1600" s="74"/>
      <c r="AA1600" s="74"/>
      <c r="AB1600" s="74"/>
    </row>
    <row r="1601" spans="1:28" ht="12" customHeight="1">
      <c r="A1601" s="330"/>
      <c r="B1601" s="314"/>
      <c r="C1601" s="285"/>
      <c r="D1601" s="108"/>
      <c r="E1601" s="285"/>
      <c r="F1601" s="285"/>
      <c r="G1601" s="35"/>
      <c r="H1601" s="104"/>
      <c r="I1601" s="35"/>
      <c r="J1601" s="74"/>
      <c r="K1601" s="74"/>
      <c r="L1601" s="74"/>
      <c r="M1601" s="74"/>
      <c r="N1601" s="74"/>
      <c r="O1601" s="74"/>
      <c r="P1601" s="74"/>
      <c r="Q1601" s="74"/>
      <c r="R1601" s="74"/>
      <c r="S1601" s="74"/>
      <c r="T1601" s="74"/>
      <c r="U1601" s="74"/>
      <c r="V1601" s="74"/>
      <c r="W1601" s="74"/>
      <c r="X1601" s="74"/>
      <c r="Y1601" s="74"/>
      <c r="Z1601" s="74"/>
      <c r="AA1601" s="74"/>
      <c r="AB1601" s="74"/>
    </row>
    <row r="1602" spans="1:28" ht="12" customHeight="1">
      <c r="A1602" s="330"/>
      <c r="B1602" s="314"/>
      <c r="C1602" s="285"/>
      <c r="D1602" s="108"/>
      <c r="E1602" s="285"/>
      <c r="F1602" s="285"/>
      <c r="G1602" s="35"/>
      <c r="H1602" s="104"/>
      <c r="I1602" s="35"/>
      <c r="J1602" s="74"/>
      <c r="K1602" s="74"/>
      <c r="L1602" s="74"/>
      <c r="M1602" s="74"/>
      <c r="N1602" s="74"/>
      <c r="O1602" s="74"/>
      <c r="P1602" s="74"/>
      <c r="Q1602" s="74"/>
      <c r="R1602" s="74"/>
      <c r="S1602" s="74"/>
      <c r="T1602" s="74"/>
      <c r="U1602" s="74"/>
      <c r="V1602" s="74"/>
      <c r="W1602" s="74"/>
      <c r="X1602" s="74"/>
      <c r="Y1602" s="74"/>
      <c r="Z1602" s="74"/>
      <c r="AA1602" s="74"/>
      <c r="AB1602" s="74"/>
    </row>
    <row r="1603" spans="1:28" ht="12" customHeight="1">
      <c r="A1603" s="330"/>
      <c r="B1603" s="314"/>
      <c r="C1603" s="285"/>
      <c r="D1603" s="108"/>
      <c r="E1603" s="285"/>
      <c r="F1603" s="285"/>
      <c r="G1603" s="35"/>
      <c r="H1603" s="104"/>
      <c r="I1603" s="35"/>
      <c r="J1603" s="74"/>
      <c r="K1603" s="74"/>
      <c r="L1603" s="74"/>
      <c r="M1603" s="74"/>
      <c r="N1603" s="74"/>
      <c r="O1603" s="74"/>
      <c r="P1603" s="74"/>
      <c r="Q1603" s="74"/>
      <c r="R1603" s="74"/>
      <c r="S1603" s="74"/>
      <c r="T1603" s="74"/>
      <c r="U1603" s="74"/>
      <c r="V1603" s="74"/>
      <c r="W1603" s="74"/>
      <c r="X1603" s="74"/>
      <c r="Y1603" s="74"/>
      <c r="Z1603" s="74"/>
      <c r="AA1603" s="74"/>
      <c r="AB1603" s="74"/>
    </row>
    <row r="1604" spans="1:28" ht="12" customHeight="1">
      <c r="A1604" s="330"/>
      <c r="B1604" s="314"/>
      <c r="C1604" s="285"/>
      <c r="D1604" s="108"/>
      <c r="E1604" s="285"/>
      <c r="F1604" s="285"/>
      <c r="G1604" s="35"/>
      <c r="H1604" s="104"/>
      <c r="I1604" s="35"/>
      <c r="J1604" s="74"/>
      <c r="K1604" s="74"/>
      <c r="L1604" s="74"/>
      <c r="M1604" s="74"/>
      <c r="N1604" s="74"/>
      <c r="O1604" s="74"/>
      <c r="P1604" s="74"/>
      <c r="Q1604" s="74"/>
      <c r="R1604" s="74"/>
      <c r="S1604" s="74"/>
      <c r="T1604" s="74"/>
      <c r="U1604" s="74"/>
      <c r="V1604" s="74"/>
      <c r="W1604" s="74"/>
      <c r="X1604" s="74"/>
      <c r="Y1604" s="74"/>
      <c r="Z1604" s="74"/>
      <c r="AA1604" s="74"/>
      <c r="AB1604" s="74"/>
    </row>
    <row r="1605" spans="1:28" ht="12" customHeight="1">
      <c r="A1605" s="330"/>
      <c r="B1605" s="314"/>
      <c r="C1605" s="285"/>
      <c r="D1605" s="108"/>
      <c r="E1605" s="285"/>
      <c r="F1605" s="285"/>
      <c r="G1605" s="35"/>
      <c r="H1605" s="104"/>
      <c r="I1605" s="35"/>
      <c r="J1605" s="74"/>
      <c r="K1605" s="74"/>
      <c r="L1605" s="74"/>
      <c r="M1605" s="74"/>
      <c r="N1605" s="74"/>
      <c r="O1605" s="74"/>
      <c r="P1605" s="74"/>
      <c r="Q1605" s="74"/>
      <c r="R1605" s="74"/>
      <c r="S1605" s="74"/>
      <c r="T1605" s="74"/>
      <c r="U1605" s="74"/>
      <c r="V1605" s="74"/>
      <c r="W1605" s="74"/>
      <c r="X1605" s="74"/>
      <c r="Y1605" s="74"/>
      <c r="Z1605" s="74"/>
      <c r="AA1605" s="74"/>
      <c r="AB1605" s="74"/>
    </row>
    <row r="1606" spans="1:28" ht="12" customHeight="1">
      <c r="A1606" s="330"/>
      <c r="B1606" s="314"/>
      <c r="C1606" s="285"/>
      <c r="D1606" s="108"/>
      <c r="E1606" s="285"/>
      <c r="F1606" s="285"/>
      <c r="G1606" s="35"/>
      <c r="H1606" s="104"/>
      <c r="I1606" s="35"/>
      <c r="J1606" s="74"/>
      <c r="K1606" s="74"/>
      <c r="L1606" s="74"/>
      <c r="M1606" s="74"/>
      <c r="N1606" s="74"/>
      <c r="O1606" s="74"/>
      <c r="P1606" s="74"/>
      <c r="Q1606" s="74"/>
      <c r="R1606" s="74"/>
      <c r="S1606" s="74"/>
      <c r="T1606" s="74"/>
      <c r="U1606" s="74"/>
      <c r="V1606" s="74"/>
      <c r="W1606" s="74"/>
      <c r="X1606" s="74"/>
      <c r="Y1606" s="74"/>
      <c r="Z1606" s="74"/>
      <c r="AA1606" s="74"/>
      <c r="AB1606" s="74"/>
    </row>
    <row r="1607" spans="1:28" ht="12" customHeight="1">
      <c r="A1607" s="330"/>
      <c r="B1607" s="314"/>
      <c r="C1607" s="285"/>
      <c r="D1607" s="108"/>
      <c r="E1607" s="285"/>
      <c r="F1607" s="285"/>
      <c r="G1607" s="35"/>
      <c r="H1607" s="104"/>
      <c r="I1607" s="35"/>
      <c r="J1607" s="74"/>
      <c r="K1607" s="74"/>
      <c r="L1607" s="74"/>
      <c r="M1607" s="74"/>
      <c r="N1607" s="74"/>
      <c r="O1607" s="74"/>
      <c r="P1607" s="74"/>
      <c r="Q1607" s="74"/>
      <c r="R1607" s="74"/>
      <c r="S1607" s="74"/>
      <c r="T1607" s="74"/>
      <c r="U1607" s="74"/>
      <c r="V1607" s="74"/>
      <c r="W1607" s="74"/>
      <c r="X1607" s="74"/>
      <c r="Y1607" s="74"/>
      <c r="Z1607" s="74"/>
      <c r="AA1607" s="74"/>
      <c r="AB1607" s="74"/>
    </row>
    <row r="1608" spans="1:28" ht="12" customHeight="1">
      <c r="A1608" s="330"/>
      <c r="B1608" s="314"/>
      <c r="C1608" s="285"/>
      <c r="D1608" s="108"/>
      <c r="E1608" s="285"/>
      <c r="F1608" s="285"/>
      <c r="G1608" s="35"/>
      <c r="H1608" s="104"/>
      <c r="I1608" s="35"/>
      <c r="J1608" s="74"/>
      <c r="K1608" s="74"/>
      <c r="L1608" s="74"/>
      <c r="M1608" s="74"/>
      <c r="N1608" s="74"/>
      <c r="O1608" s="74"/>
      <c r="P1608" s="74"/>
      <c r="Q1608" s="74"/>
      <c r="R1608" s="74"/>
      <c r="S1608" s="74"/>
      <c r="T1608" s="74"/>
      <c r="U1608" s="74"/>
      <c r="V1608" s="74"/>
      <c r="W1608" s="74"/>
      <c r="X1608" s="74"/>
      <c r="Y1608" s="74"/>
      <c r="Z1608" s="74"/>
      <c r="AA1608" s="74"/>
      <c r="AB1608" s="74"/>
    </row>
    <row r="1609" spans="1:28" ht="12" customHeight="1">
      <c r="A1609" s="330"/>
      <c r="B1609" s="314"/>
      <c r="C1609" s="285"/>
      <c r="D1609" s="108"/>
      <c r="E1609" s="285"/>
      <c r="F1609" s="285"/>
      <c r="G1609" s="35"/>
      <c r="H1609" s="104"/>
      <c r="I1609" s="35"/>
      <c r="J1609" s="74"/>
      <c r="K1609" s="74"/>
      <c r="L1609" s="74"/>
      <c r="M1609" s="74"/>
      <c r="N1609" s="74"/>
      <c r="O1609" s="74"/>
      <c r="P1609" s="74"/>
      <c r="Q1609" s="74"/>
      <c r="R1609" s="74"/>
      <c r="S1609" s="74"/>
      <c r="T1609" s="74"/>
      <c r="U1609" s="74"/>
      <c r="V1609" s="74"/>
      <c r="W1609" s="74"/>
      <c r="X1609" s="74"/>
      <c r="Y1609" s="74"/>
      <c r="Z1609" s="74"/>
      <c r="AA1609" s="74"/>
      <c r="AB1609" s="74"/>
    </row>
    <row r="1610" spans="1:28" ht="12" customHeight="1">
      <c r="A1610" s="330"/>
      <c r="B1610" s="314"/>
      <c r="C1610" s="285"/>
      <c r="D1610" s="108"/>
      <c r="E1610" s="285"/>
      <c r="F1610" s="285"/>
      <c r="G1610" s="35"/>
      <c r="H1610" s="104"/>
      <c r="I1610" s="35"/>
      <c r="J1610" s="74"/>
      <c r="K1610" s="74"/>
      <c r="L1610" s="74"/>
      <c r="M1610" s="74"/>
      <c r="N1610" s="74"/>
      <c r="O1610" s="74"/>
      <c r="P1610" s="74"/>
      <c r="Q1610" s="74"/>
      <c r="R1610" s="74"/>
      <c r="S1610" s="74"/>
      <c r="T1610" s="74"/>
      <c r="U1610" s="74"/>
      <c r="V1610" s="74"/>
      <c r="W1610" s="74"/>
      <c r="X1610" s="74"/>
      <c r="Y1610" s="74"/>
      <c r="Z1610" s="74"/>
      <c r="AA1610" s="74"/>
      <c r="AB1610" s="74"/>
    </row>
    <row r="1611" spans="1:28" ht="12" customHeight="1">
      <c r="A1611" s="330"/>
      <c r="B1611" s="314"/>
      <c r="C1611" s="285"/>
      <c r="D1611" s="108"/>
      <c r="E1611" s="285"/>
      <c r="F1611" s="285"/>
      <c r="G1611" s="35"/>
      <c r="H1611" s="104"/>
      <c r="I1611" s="35"/>
      <c r="J1611" s="74"/>
      <c r="K1611" s="74"/>
      <c r="L1611" s="74"/>
      <c r="M1611" s="74"/>
      <c r="N1611" s="74"/>
      <c r="O1611" s="74"/>
      <c r="P1611" s="74"/>
      <c r="Q1611" s="74"/>
      <c r="R1611" s="74"/>
      <c r="S1611" s="74"/>
      <c r="T1611" s="74"/>
      <c r="U1611" s="74"/>
      <c r="V1611" s="74"/>
      <c r="W1611" s="74"/>
      <c r="X1611" s="74"/>
      <c r="Y1611" s="74"/>
      <c r="Z1611" s="74"/>
      <c r="AA1611" s="74"/>
      <c r="AB1611" s="74"/>
    </row>
    <row r="1612" spans="1:28" ht="12" customHeight="1">
      <c r="A1612" s="330"/>
      <c r="B1612" s="314"/>
      <c r="C1612" s="285"/>
      <c r="D1612" s="108"/>
      <c r="E1612" s="285"/>
      <c r="F1612" s="285"/>
      <c r="G1612" s="35"/>
      <c r="H1612" s="104"/>
      <c r="I1612" s="35"/>
      <c r="J1612" s="74"/>
      <c r="K1612" s="74"/>
      <c r="L1612" s="74"/>
      <c r="M1612" s="74"/>
      <c r="N1612" s="74"/>
      <c r="O1612" s="74"/>
      <c r="P1612" s="74"/>
      <c r="Q1612" s="74"/>
      <c r="R1612" s="74"/>
      <c r="S1612" s="74"/>
      <c r="T1612" s="74"/>
      <c r="U1612" s="74"/>
      <c r="V1612" s="74"/>
      <c r="W1612" s="74"/>
      <c r="X1612" s="74"/>
      <c r="Y1612" s="74"/>
      <c r="Z1612" s="74"/>
      <c r="AA1612" s="74"/>
      <c r="AB1612" s="74"/>
    </row>
    <row r="1613" spans="1:28" ht="12" customHeight="1">
      <c r="A1613" s="330"/>
      <c r="B1613" s="314"/>
      <c r="C1613" s="285"/>
      <c r="D1613" s="108"/>
      <c r="E1613" s="285"/>
      <c r="F1613" s="285"/>
      <c r="G1613" s="35"/>
      <c r="H1613" s="104"/>
      <c r="I1613" s="35"/>
      <c r="J1613" s="74"/>
      <c r="K1613" s="74"/>
      <c r="L1613" s="74"/>
      <c r="M1613" s="74"/>
      <c r="N1613" s="74"/>
      <c r="O1613" s="74"/>
      <c r="P1613" s="74"/>
      <c r="Q1613" s="74"/>
      <c r="R1613" s="74"/>
      <c r="S1613" s="74"/>
      <c r="T1613" s="74"/>
      <c r="U1613" s="74"/>
      <c r="V1613" s="74"/>
      <c r="W1613" s="74"/>
      <c r="X1613" s="74"/>
      <c r="Y1613" s="74"/>
      <c r="Z1613" s="74"/>
      <c r="AA1613" s="74"/>
      <c r="AB1613" s="74"/>
    </row>
    <row r="1614" spans="1:28" ht="12" customHeight="1">
      <c r="A1614" s="330"/>
      <c r="B1614" s="314"/>
      <c r="C1614" s="285"/>
      <c r="D1614" s="108"/>
      <c r="E1614" s="285"/>
      <c r="F1614" s="285"/>
      <c r="G1614" s="35"/>
      <c r="H1614" s="104"/>
      <c r="I1614" s="35"/>
      <c r="J1614" s="74"/>
      <c r="K1614" s="74"/>
      <c r="L1614" s="74"/>
      <c r="M1614" s="74"/>
      <c r="N1614" s="74"/>
      <c r="O1614" s="74"/>
      <c r="P1614" s="74"/>
      <c r="Q1614" s="74"/>
      <c r="R1614" s="74"/>
      <c r="S1614" s="74"/>
      <c r="T1614" s="74"/>
      <c r="U1614" s="74"/>
      <c r="V1614" s="74"/>
      <c r="W1614" s="74"/>
      <c r="X1614" s="74"/>
      <c r="Y1614" s="74"/>
      <c r="Z1614" s="74"/>
      <c r="AA1614" s="74"/>
      <c r="AB1614" s="74"/>
    </row>
    <row r="1615" spans="1:28" ht="12" customHeight="1">
      <c r="A1615" s="330"/>
      <c r="B1615" s="314"/>
      <c r="C1615" s="285"/>
      <c r="D1615" s="108"/>
      <c r="E1615" s="285"/>
      <c r="F1615" s="285"/>
      <c r="G1615" s="35"/>
      <c r="H1615" s="104"/>
      <c r="I1615" s="35"/>
      <c r="J1615" s="74"/>
      <c r="K1615" s="74"/>
      <c r="L1615" s="74"/>
      <c r="M1615" s="74"/>
      <c r="N1615" s="74"/>
      <c r="O1615" s="74"/>
      <c r="P1615" s="74"/>
      <c r="Q1615" s="74"/>
      <c r="R1615" s="74"/>
      <c r="S1615" s="74"/>
      <c r="T1615" s="74"/>
      <c r="U1615" s="74"/>
      <c r="V1615" s="74"/>
      <c r="W1615" s="74"/>
      <c r="X1615" s="74"/>
      <c r="Y1615" s="74"/>
      <c r="Z1615" s="74"/>
      <c r="AA1615" s="74"/>
      <c r="AB1615" s="74"/>
    </row>
    <row r="1616" spans="1:28" ht="12" customHeight="1">
      <c r="A1616" s="330"/>
      <c r="B1616" s="314"/>
      <c r="C1616" s="285"/>
      <c r="D1616" s="108"/>
      <c r="E1616" s="285"/>
      <c r="F1616" s="285"/>
      <c r="G1616" s="35"/>
      <c r="H1616" s="104"/>
      <c r="I1616" s="35"/>
      <c r="J1616" s="74"/>
      <c r="K1616" s="74"/>
      <c r="L1616" s="74"/>
      <c r="M1616" s="74"/>
      <c r="N1616" s="74"/>
      <c r="O1616" s="74"/>
      <c r="P1616" s="74"/>
      <c r="Q1616" s="74"/>
      <c r="R1616" s="74"/>
      <c r="S1616" s="74"/>
      <c r="T1616" s="74"/>
      <c r="U1616" s="74"/>
      <c r="V1616" s="74"/>
      <c r="W1616" s="74"/>
      <c r="X1616" s="74"/>
      <c r="Y1616" s="74"/>
      <c r="Z1616" s="74"/>
      <c r="AA1616" s="74"/>
      <c r="AB1616" s="74"/>
    </row>
    <row r="1617" spans="1:28" ht="12" customHeight="1">
      <c r="A1617" s="330"/>
      <c r="B1617" s="314"/>
      <c r="C1617" s="285"/>
      <c r="D1617" s="108"/>
      <c r="E1617" s="285"/>
      <c r="F1617" s="285"/>
      <c r="G1617" s="35"/>
      <c r="H1617" s="104"/>
      <c r="I1617" s="35"/>
      <c r="J1617" s="74"/>
      <c r="K1617" s="74"/>
      <c r="L1617" s="74"/>
      <c r="M1617" s="74"/>
      <c r="N1617" s="74"/>
      <c r="O1617" s="74"/>
      <c r="P1617" s="74"/>
      <c r="Q1617" s="74"/>
      <c r="R1617" s="74"/>
      <c r="S1617" s="74"/>
      <c r="T1617" s="74"/>
      <c r="U1617" s="74"/>
      <c r="V1617" s="74"/>
      <c r="W1617" s="74"/>
      <c r="X1617" s="74"/>
      <c r="Y1617" s="74"/>
      <c r="Z1617" s="74"/>
      <c r="AA1617" s="74"/>
      <c r="AB1617" s="74"/>
    </row>
    <row r="1618" spans="1:28" ht="12" customHeight="1">
      <c r="A1618" s="330"/>
      <c r="B1618" s="314"/>
      <c r="C1618" s="285"/>
      <c r="D1618" s="108"/>
      <c r="E1618" s="285"/>
      <c r="F1618" s="285"/>
      <c r="G1618" s="35"/>
      <c r="H1618" s="104"/>
      <c r="I1618" s="35"/>
      <c r="J1618" s="74"/>
      <c r="K1618" s="74"/>
      <c r="L1618" s="74"/>
      <c r="M1618" s="74"/>
      <c r="N1618" s="74"/>
      <c r="O1618" s="74"/>
      <c r="P1618" s="74"/>
      <c r="Q1618" s="74"/>
      <c r="R1618" s="74"/>
      <c r="S1618" s="74"/>
      <c r="T1618" s="74"/>
      <c r="U1618" s="74"/>
      <c r="V1618" s="74"/>
      <c r="W1618" s="74"/>
      <c r="X1618" s="74"/>
      <c r="Y1618" s="74"/>
      <c r="Z1618" s="74"/>
      <c r="AA1618" s="74"/>
      <c r="AB1618" s="74"/>
    </row>
    <row r="1619" spans="1:28" ht="12" customHeight="1">
      <c r="A1619" s="330"/>
      <c r="B1619" s="314"/>
      <c r="C1619" s="285"/>
      <c r="D1619" s="108"/>
      <c r="E1619" s="285"/>
      <c r="F1619" s="285"/>
      <c r="G1619" s="35"/>
      <c r="H1619" s="104"/>
      <c r="I1619" s="35"/>
      <c r="J1619" s="74"/>
      <c r="K1619" s="74"/>
      <c r="L1619" s="74"/>
      <c r="M1619" s="74"/>
      <c r="N1619" s="74"/>
      <c r="O1619" s="74"/>
      <c r="P1619" s="74"/>
      <c r="Q1619" s="74"/>
      <c r="R1619" s="74"/>
      <c r="S1619" s="74"/>
      <c r="T1619" s="74"/>
      <c r="U1619" s="74"/>
      <c r="V1619" s="74"/>
      <c r="W1619" s="74"/>
      <c r="X1619" s="74"/>
      <c r="Y1619" s="74"/>
      <c r="Z1619" s="74"/>
      <c r="AA1619" s="74"/>
      <c r="AB1619" s="74"/>
    </row>
    <row r="1620" spans="1:28" ht="12" customHeight="1">
      <c r="A1620" s="330"/>
      <c r="B1620" s="314"/>
      <c r="C1620" s="285"/>
      <c r="D1620" s="108"/>
      <c r="E1620" s="285"/>
      <c r="F1620" s="285"/>
      <c r="G1620" s="35"/>
      <c r="H1620" s="104"/>
      <c r="I1620" s="35"/>
      <c r="J1620" s="74"/>
      <c r="K1620" s="74"/>
      <c r="L1620" s="74"/>
      <c r="M1620" s="74"/>
      <c r="N1620" s="74"/>
      <c r="O1620" s="74"/>
      <c r="P1620" s="74"/>
      <c r="Q1620" s="74"/>
      <c r="R1620" s="74"/>
      <c r="S1620" s="74"/>
      <c r="T1620" s="74"/>
      <c r="U1620" s="74"/>
      <c r="V1620" s="74"/>
      <c r="W1620" s="74"/>
      <c r="X1620" s="74"/>
      <c r="Y1620" s="74"/>
      <c r="Z1620" s="74"/>
      <c r="AA1620" s="74"/>
      <c r="AB1620" s="74"/>
    </row>
    <row r="1621" spans="1:28" ht="12" customHeight="1">
      <c r="A1621" s="330"/>
      <c r="B1621" s="314"/>
      <c r="C1621" s="285"/>
      <c r="D1621" s="108"/>
      <c r="E1621" s="285"/>
      <c r="F1621" s="285"/>
      <c r="G1621" s="35"/>
      <c r="H1621" s="104"/>
      <c r="I1621" s="35"/>
      <c r="J1621" s="74"/>
      <c r="K1621" s="74"/>
      <c r="L1621" s="74"/>
      <c r="M1621" s="74"/>
      <c r="N1621" s="74"/>
      <c r="O1621" s="74"/>
      <c r="P1621" s="74"/>
      <c r="Q1621" s="74"/>
      <c r="R1621" s="74"/>
      <c r="S1621" s="74"/>
      <c r="T1621" s="74"/>
      <c r="U1621" s="74"/>
      <c r="V1621" s="74"/>
      <c r="W1621" s="74"/>
      <c r="X1621" s="74"/>
      <c r="Y1621" s="74"/>
      <c r="Z1621" s="74"/>
      <c r="AA1621" s="74"/>
      <c r="AB1621" s="74"/>
    </row>
    <row r="1622" spans="1:28" ht="12" customHeight="1">
      <c r="A1622" s="330"/>
      <c r="B1622" s="314"/>
      <c r="C1622" s="285"/>
      <c r="D1622" s="108"/>
      <c r="E1622" s="285"/>
      <c r="F1622" s="285"/>
      <c r="G1622" s="35"/>
      <c r="H1622" s="104"/>
      <c r="I1622" s="35"/>
      <c r="J1622" s="74"/>
      <c r="K1622" s="74"/>
      <c r="L1622" s="74"/>
      <c r="M1622" s="74"/>
      <c r="N1622" s="74"/>
      <c r="O1622" s="74"/>
      <c r="P1622" s="74"/>
      <c r="Q1622" s="74"/>
      <c r="R1622" s="74"/>
      <c r="S1622" s="74"/>
      <c r="T1622" s="74"/>
      <c r="U1622" s="74"/>
      <c r="V1622" s="74"/>
      <c r="W1622" s="74"/>
      <c r="X1622" s="74"/>
      <c r="Y1622" s="74"/>
      <c r="Z1622" s="74"/>
      <c r="AA1622" s="74"/>
      <c r="AB1622" s="74"/>
    </row>
    <row r="1623" spans="1:28" ht="12" customHeight="1">
      <c r="A1623" s="330"/>
      <c r="B1623" s="314"/>
      <c r="C1623" s="285"/>
      <c r="D1623" s="108"/>
      <c r="E1623" s="285"/>
      <c r="F1623" s="285"/>
      <c r="G1623" s="35"/>
      <c r="H1623" s="104"/>
      <c r="I1623" s="35"/>
      <c r="J1623" s="74"/>
      <c r="K1623" s="74"/>
      <c r="L1623" s="74"/>
      <c r="M1623" s="74"/>
      <c r="N1623" s="74"/>
      <c r="O1623" s="74"/>
      <c r="P1623" s="74"/>
      <c r="Q1623" s="74"/>
      <c r="R1623" s="74"/>
      <c r="S1623" s="74"/>
      <c r="T1623" s="74"/>
      <c r="U1623" s="74"/>
      <c r="V1623" s="74"/>
      <c r="W1623" s="74"/>
      <c r="X1623" s="74"/>
      <c r="Y1623" s="74"/>
      <c r="Z1623" s="74"/>
      <c r="AA1623" s="74"/>
      <c r="AB1623" s="74"/>
    </row>
    <row r="1624" spans="1:28" ht="12" customHeight="1">
      <c r="A1624" s="330"/>
      <c r="B1624" s="314"/>
      <c r="C1624" s="285"/>
      <c r="D1624" s="108"/>
      <c r="E1624" s="285"/>
      <c r="F1624" s="285"/>
      <c r="G1624" s="35"/>
      <c r="H1624" s="104"/>
      <c r="I1624" s="35"/>
      <c r="J1624" s="74"/>
      <c r="K1624" s="74"/>
      <c r="L1624" s="74"/>
      <c r="M1624" s="74"/>
      <c r="N1624" s="74"/>
      <c r="O1624" s="74"/>
      <c r="P1624" s="74"/>
      <c r="Q1624" s="74"/>
      <c r="R1624" s="74"/>
      <c r="S1624" s="74"/>
      <c r="T1624" s="74"/>
      <c r="U1624" s="74"/>
      <c r="V1624" s="74"/>
      <c r="W1624" s="74"/>
      <c r="X1624" s="74"/>
      <c r="Y1624" s="74"/>
      <c r="Z1624" s="74"/>
      <c r="AA1624" s="74"/>
      <c r="AB1624" s="74"/>
    </row>
    <row r="1625" spans="1:28" ht="12" customHeight="1">
      <c r="A1625" s="330"/>
      <c r="B1625" s="314"/>
      <c r="C1625" s="285"/>
      <c r="D1625" s="108"/>
      <c r="E1625" s="285"/>
      <c r="F1625" s="285"/>
      <c r="G1625" s="35"/>
      <c r="H1625" s="104"/>
      <c r="I1625" s="35"/>
      <c r="J1625" s="74"/>
      <c r="K1625" s="74"/>
      <c r="L1625" s="74"/>
      <c r="M1625" s="74"/>
      <c r="N1625" s="74"/>
      <c r="O1625" s="74"/>
      <c r="P1625" s="74"/>
      <c r="Q1625" s="74"/>
      <c r="R1625" s="74"/>
      <c r="S1625" s="74"/>
      <c r="T1625" s="74"/>
      <c r="U1625" s="74"/>
      <c r="V1625" s="74"/>
      <c r="W1625" s="74"/>
      <c r="X1625" s="74"/>
      <c r="Y1625" s="74"/>
      <c r="Z1625" s="74"/>
      <c r="AA1625" s="74"/>
      <c r="AB1625" s="74"/>
    </row>
    <row r="1626" spans="1:28" ht="12" customHeight="1">
      <c r="A1626" s="330"/>
      <c r="B1626" s="314"/>
      <c r="C1626" s="285"/>
      <c r="D1626" s="108"/>
      <c r="E1626" s="285"/>
      <c r="F1626" s="285"/>
      <c r="G1626" s="35"/>
      <c r="H1626" s="104"/>
      <c r="I1626" s="35"/>
      <c r="J1626" s="74"/>
      <c r="K1626" s="74"/>
      <c r="L1626" s="74"/>
      <c r="M1626" s="74"/>
      <c r="N1626" s="74"/>
      <c r="O1626" s="74"/>
      <c r="P1626" s="74"/>
      <c r="Q1626" s="74"/>
      <c r="R1626" s="74"/>
      <c r="S1626" s="74"/>
      <c r="T1626" s="74"/>
      <c r="U1626" s="74"/>
      <c r="V1626" s="74"/>
      <c r="W1626" s="74"/>
      <c r="X1626" s="74"/>
      <c r="Y1626" s="74"/>
      <c r="Z1626" s="74"/>
      <c r="AA1626" s="74"/>
      <c r="AB1626" s="74"/>
    </row>
    <row r="1627" spans="1:28" ht="12" customHeight="1">
      <c r="A1627" s="330"/>
      <c r="B1627" s="314"/>
      <c r="C1627" s="285"/>
      <c r="D1627" s="108"/>
      <c r="E1627" s="285"/>
      <c r="F1627" s="285"/>
      <c r="G1627" s="35"/>
      <c r="H1627" s="104"/>
      <c r="I1627" s="35"/>
      <c r="J1627" s="74"/>
      <c r="K1627" s="74"/>
      <c r="L1627" s="74"/>
      <c r="M1627" s="74"/>
      <c r="N1627" s="74"/>
      <c r="O1627" s="74"/>
      <c r="P1627" s="74"/>
      <c r="Q1627" s="74"/>
      <c r="R1627" s="74"/>
      <c r="S1627" s="74"/>
      <c r="T1627" s="74"/>
      <c r="U1627" s="74"/>
      <c r="V1627" s="74"/>
      <c r="W1627" s="74"/>
      <c r="X1627" s="74"/>
      <c r="Y1627" s="74"/>
      <c r="Z1627" s="74"/>
      <c r="AA1627" s="74"/>
      <c r="AB1627" s="74"/>
    </row>
    <row r="1628" spans="1:28" ht="12" customHeight="1">
      <c r="A1628" s="330"/>
      <c r="B1628" s="314"/>
      <c r="C1628" s="285"/>
      <c r="D1628" s="108"/>
      <c r="E1628" s="285"/>
      <c r="F1628" s="285"/>
      <c r="G1628" s="35"/>
      <c r="H1628" s="104"/>
      <c r="I1628" s="35"/>
      <c r="J1628" s="74"/>
      <c r="K1628" s="74"/>
      <c r="L1628" s="74"/>
      <c r="M1628" s="74"/>
      <c r="N1628" s="74"/>
      <c r="O1628" s="74"/>
      <c r="P1628" s="74"/>
      <c r="Q1628" s="74"/>
      <c r="R1628" s="74"/>
      <c r="S1628" s="74"/>
      <c r="T1628" s="74"/>
      <c r="U1628" s="74"/>
      <c r="V1628" s="74"/>
      <c r="W1628" s="74"/>
      <c r="X1628" s="74"/>
      <c r="Y1628" s="74"/>
      <c r="Z1628" s="74"/>
      <c r="AA1628" s="74"/>
      <c r="AB1628" s="74"/>
    </row>
    <row r="1629" spans="1:28" ht="12" customHeight="1">
      <c r="A1629" s="330"/>
      <c r="B1629" s="314"/>
      <c r="C1629" s="285"/>
      <c r="D1629" s="108"/>
      <c r="E1629" s="285"/>
      <c r="F1629" s="285"/>
      <c r="G1629" s="35"/>
      <c r="H1629" s="104"/>
      <c r="I1629" s="35"/>
      <c r="J1629" s="74"/>
      <c r="K1629" s="74"/>
      <c r="L1629" s="74"/>
      <c r="M1629" s="74"/>
      <c r="N1629" s="74"/>
      <c r="O1629" s="74"/>
      <c r="P1629" s="74"/>
      <c r="Q1629" s="74"/>
      <c r="R1629" s="74"/>
      <c r="S1629" s="74"/>
      <c r="T1629" s="74"/>
      <c r="U1629" s="74"/>
      <c r="V1629" s="74"/>
      <c r="W1629" s="74"/>
      <c r="X1629" s="74"/>
      <c r="Y1629" s="74"/>
      <c r="Z1629" s="74"/>
      <c r="AA1629" s="74"/>
      <c r="AB1629" s="74"/>
    </row>
    <row r="1630" spans="1:28" ht="12" customHeight="1">
      <c r="A1630" s="330"/>
      <c r="B1630" s="314"/>
      <c r="C1630" s="285"/>
      <c r="D1630" s="108"/>
      <c r="E1630" s="285"/>
      <c r="F1630" s="285"/>
      <c r="G1630" s="35"/>
      <c r="H1630" s="104"/>
      <c r="I1630" s="35"/>
      <c r="J1630" s="74"/>
      <c r="K1630" s="74"/>
      <c r="L1630" s="74"/>
      <c r="M1630" s="74"/>
      <c r="N1630" s="74"/>
      <c r="O1630" s="74"/>
      <c r="P1630" s="74"/>
      <c r="Q1630" s="74"/>
      <c r="R1630" s="74"/>
      <c r="S1630" s="74"/>
      <c r="T1630" s="74"/>
      <c r="U1630" s="74"/>
      <c r="V1630" s="74"/>
      <c r="W1630" s="74"/>
      <c r="X1630" s="74"/>
      <c r="Y1630" s="74"/>
      <c r="Z1630" s="74"/>
      <c r="AA1630" s="74"/>
      <c r="AB1630" s="74"/>
    </row>
    <row r="1631" spans="1:28" ht="12" customHeight="1">
      <c r="A1631" s="330"/>
      <c r="B1631" s="314"/>
      <c r="C1631" s="285"/>
      <c r="D1631" s="108"/>
      <c r="E1631" s="285"/>
      <c r="F1631" s="285"/>
      <c r="G1631" s="35"/>
      <c r="H1631" s="104"/>
      <c r="I1631" s="35"/>
      <c r="J1631" s="74"/>
      <c r="K1631" s="74"/>
      <c r="L1631" s="74"/>
      <c r="M1631" s="74"/>
      <c r="N1631" s="74"/>
      <c r="O1631" s="74"/>
      <c r="P1631" s="74"/>
      <c r="Q1631" s="74"/>
      <c r="R1631" s="74"/>
      <c r="S1631" s="74"/>
      <c r="T1631" s="74"/>
      <c r="U1631" s="74"/>
      <c r="V1631" s="74"/>
      <c r="W1631" s="74"/>
      <c r="X1631" s="74"/>
      <c r="Y1631" s="74"/>
      <c r="Z1631" s="74"/>
      <c r="AA1631" s="74"/>
      <c r="AB1631" s="74"/>
    </row>
    <row r="1632" spans="1:28" ht="12" customHeight="1">
      <c r="A1632" s="330"/>
      <c r="B1632" s="314"/>
      <c r="C1632" s="285"/>
      <c r="D1632" s="108"/>
      <c r="E1632" s="285"/>
      <c r="F1632" s="285"/>
      <c r="G1632" s="35"/>
      <c r="H1632" s="104"/>
      <c r="I1632" s="35"/>
      <c r="J1632" s="74"/>
      <c r="K1632" s="74"/>
      <c r="L1632" s="74"/>
      <c r="M1632" s="74"/>
      <c r="N1632" s="74"/>
      <c r="O1632" s="74"/>
      <c r="P1632" s="74"/>
      <c r="Q1632" s="74"/>
      <c r="R1632" s="74"/>
      <c r="S1632" s="74"/>
      <c r="T1632" s="74"/>
      <c r="U1632" s="74"/>
      <c r="V1632" s="74"/>
      <c r="W1632" s="74"/>
      <c r="X1632" s="74"/>
      <c r="Y1632" s="74"/>
      <c r="Z1632" s="74"/>
      <c r="AA1632" s="74"/>
      <c r="AB1632" s="74"/>
    </row>
    <row r="1633" spans="1:28" ht="12" customHeight="1">
      <c r="A1633" s="330"/>
      <c r="B1633" s="314"/>
      <c r="C1633" s="285"/>
      <c r="D1633" s="108"/>
      <c r="E1633" s="285"/>
      <c r="F1633" s="285"/>
      <c r="G1633" s="35"/>
      <c r="H1633" s="104"/>
      <c r="I1633" s="35"/>
      <c r="J1633" s="74"/>
      <c r="K1633" s="74"/>
      <c r="L1633" s="74"/>
      <c r="M1633" s="74"/>
      <c r="N1633" s="74"/>
      <c r="O1633" s="74"/>
      <c r="P1633" s="74"/>
      <c r="Q1633" s="74"/>
      <c r="R1633" s="74"/>
      <c r="S1633" s="74"/>
      <c r="T1633" s="74"/>
      <c r="U1633" s="74"/>
      <c r="V1633" s="74"/>
      <c r="W1633" s="74"/>
      <c r="X1633" s="74"/>
      <c r="Y1633" s="74"/>
      <c r="Z1633" s="74"/>
      <c r="AA1633" s="74"/>
      <c r="AB1633" s="74"/>
    </row>
    <row r="1634" spans="1:28" ht="12" customHeight="1">
      <c r="A1634" s="330"/>
      <c r="B1634" s="314"/>
      <c r="C1634" s="285"/>
      <c r="D1634" s="108"/>
      <c r="E1634" s="285"/>
      <c r="F1634" s="285"/>
      <c r="G1634" s="35"/>
      <c r="H1634" s="104"/>
      <c r="I1634" s="35"/>
      <c r="J1634" s="74"/>
      <c r="K1634" s="74"/>
      <c r="L1634" s="74"/>
      <c r="M1634" s="74"/>
      <c r="N1634" s="74"/>
      <c r="O1634" s="74"/>
      <c r="P1634" s="74"/>
      <c r="Q1634" s="74"/>
      <c r="R1634" s="74"/>
      <c r="S1634" s="74"/>
      <c r="T1634" s="74"/>
      <c r="U1634" s="74"/>
      <c r="V1634" s="74"/>
      <c r="W1634" s="74"/>
      <c r="X1634" s="74"/>
      <c r="Y1634" s="74"/>
      <c r="Z1634" s="74"/>
      <c r="AA1634" s="74"/>
      <c r="AB1634" s="74"/>
    </row>
    <row r="1635" spans="1:28" ht="12" customHeight="1">
      <c r="A1635" s="330"/>
      <c r="B1635" s="314"/>
      <c r="C1635" s="285"/>
      <c r="D1635" s="108"/>
      <c r="E1635" s="285"/>
      <c r="F1635" s="285"/>
      <c r="G1635" s="35"/>
      <c r="H1635" s="104"/>
      <c r="I1635" s="35"/>
      <c r="J1635" s="74"/>
      <c r="K1635" s="74"/>
      <c r="L1635" s="74"/>
      <c r="M1635" s="74"/>
      <c r="N1635" s="74"/>
      <c r="O1635" s="74"/>
      <c r="P1635" s="74"/>
      <c r="Q1635" s="74"/>
      <c r="R1635" s="74"/>
      <c r="S1635" s="74"/>
      <c r="T1635" s="74"/>
      <c r="U1635" s="74"/>
      <c r="V1635" s="74"/>
      <c r="W1635" s="74"/>
      <c r="X1635" s="74"/>
      <c r="Y1635" s="74"/>
      <c r="Z1635" s="74"/>
      <c r="AA1635" s="74"/>
      <c r="AB1635" s="74"/>
    </row>
    <row r="1636" spans="1:28" ht="12" customHeight="1">
      <c r="A1636" s="330"/>
      <c r="B1636" s="314"/>
      <c r="C1636" s="285"/>
      <c r="D1636" s="108"/>
      <c r="E1636" s="285"/>
      <c r="F1636" s="285"/>
      <c r="G1636" s="35"/>
      <c r="H1636" s="104"/>
      <c r="I1636" s="35"/>
      <c r="J1636" s="74"/>
      <c r="K1636" s="74"/>
      <c r="L1636" s="74"/>
      <c r="M1636" s="74"/>
      <c r="N1636" s="74"/>
      <c r="O1636" s="74"/>
      <c r="P1636" s="74"/>
      <c r="Q1636" s="74"/>
      <c r="R1636" s="74"/>
      <c r="S1636" s="74"/>
      <c r="T1636" s="74"/>
      <c r="U1636" s="74"/>
      <c r="V1636" s="74"/>
      <c r="W1636" s="74"/>
      <c r="X1636" s="74"/>
      <c r="Y1636" s="74"/>
      <c r="Z1636" s="74"/>
      <c r="AA1636" s="74"/>
      <c r="AB1636" s="74"/>
    </row>
    <row r="1637" spans="1:28" ht="12" customHeight="1">
      <c r="A1637" s="330"/>
      <c r="B1637" s="314"/>
      <c r="C1637" s="285"/>
      <c r="D1637" s="108"/>
      <c r="E1637" s="285"/>
      <c r="F1637" s="285"/>
      <c r="G1637" s="35"/>
      <c r="H1637" s="104"/>
      <c r="I1637" s="35"/>
      <c r="J1637" s="74"/>
      <c r="K1637" s="74"/>
      <c r="L1637" s="74"/>
      <c r="M1637" s="74"/>
      <c r="N1637" s="74"/>
      <c r="O1637" s="74"/>
      <c r="P1637" s="74"/>
      <c r="Q1637" s="74"/>
      <c r="R1637" s="74"/>
      <c r="S1637" s="74"/>
      <c r="T1637" s="74"/>
      <c r="U1637" s="74"/>
      <c r="V1637" s="74"/>
      <c r="W1637" s="74"/>
      <c r="X1637" s="74"/>
      <c r="Y1637" s="74"/>
      <c r="Z1637" s="74"/>
      <c r="AA1637" s="74"/>
      <c r="AB1637" s="74"/>
    </row>
    <row r="1638" spans="1:28" ht="12" customHeight="1">
      <c r="A1638" s="330"/>
      <c r="B1638" s="314"/>
      <c r="C1638" s="285"/>
      <c r="D1638" s="108"/>
      <c r="E1638" s="285"/>
      <c r="F1638" s="285"/>
      <c r="G1638" s="35"/>
      <c r="H1638" s="104"/>
      <c r="I1638" s="35"/>
      <c r="J1638" s="74"/>
      <c r="K1638" s="74"/>
      <c r="L1638" s="74"/>
      <c r="M1638" s="74"/>
      <c r="N1638" s="74"/>
      <c r="O1638" s="74"/>
      <c r="P1638" s="74"/>
      <c r="Q1638" s="74"/>
      <c r="R1638" s="74"/>
      <c r="S1638" s="74"/>
      <c r="T1638" s="74"/>
      <c r="U1638" s="74"/>
      <c r="V1638" s="74"/>
      <c r="W1638" s="74"/>
      <c r="X1638" s="74"/>
      <c r="Y1638" s="74"/>
      <c r="Z1638" s="74"/>
      <c r="AA1638" s="74"/>
      <c r="AB1638" s="74"/>
    </row>
    <row r="1639" spans="1:28" ht="12" customHeight="1">
      <c r="A1639" s="330"/>
      <c r="B1639" s="314"/>
      <c r="C1639" s="285"/>
      <c r="D1639" s="108"/>
      <c r="E1639" s="285"/>
      <c r="F1639" s="285"/>
      <c r="G1639" s="35"/>
      <c r="H1639" s="104"/>
      <c r="I1639" s="35"/>
      <c r="J1639" s="74"/>
      <c r="K1639" s="74"/>
      <c r="L1639" s="74"/>
      <c r="M1639" s="74"/>
      <c r="N1639" s="74"/>
      <c r="O1639" s="74"/>
      <c r="P1639" s="74"/>
      <c r="Q1639" s="74"/>
      <c r="R1639" s="74"/>
      <c r="S1639" s="74"/>
      <c r="T1639" s="74"/>
      <c r="U1639" s="74"/>
      <c r="V1639" s="74"/>
      <c r="W1639" s="74"/>
      <c r="X1639" s="74"/>
      <c r="Y1639" s="74"/>
      <c r="Z1639" s="74"/>
      <c r="AA1639" s="74"/>
      <c r="AB1639" s="74"/>
    </row>
    <row r="1640" spans="1:28" ht="12" customHeight="1">
      <c r="A1640" s="330"/>
      <c r="B1640" s="314"/>
      <c r="C1640" s="285"/>
      <c r="D1640" s="108"/>
      <c r="E1640" s="285"/>
      <c r="F1640" s="285"/>
      <c r="G1640" s="35"/>
      <c r="H1640" s="104"/>
      <c r="I1640" s="35"/>
      <c r="J1640" s="74"/>
      <c r="K1640" s="74"/>
      <c r="L1640" s="74"/>
      <c r="M1640" s="74"/>
      <c r="N1640" s="74"/>
      <c r="O1640" s="74"/>
      <c r="P1640" s="74"/>
      <c r="Q1640" s="74"/>
      <c r="R1640" s="74"/>
      <c r="S1640" s="74"/>
      <c r="T1640" s="74"/>
      <c r="U1640" s="74"/>
      <c r="V1640" s="74"/>
      <c r="W1640" s="74"/>
      <c r="X1640" s="74"/>
      <c r="Y1640" s="74"/>
      <c r="Z1640" s="74"/>
      <c r="AA1640" s="74"/>
      <c r="AB1640" s="74"/>
    </row>
    <row r="1641" spans="1:28" ht="12" customHeight="1">
      <c r="A1641" s="330"/>
      <c r="B1641" s="314"/>
      <c r="C1641" s="285"/>
      <c r="D1641" s="108"/>
      <c r="E1641" s="285"/>
      <c r="F1641" s="285"/>
      <c r="G1641" s="35"/>
      <c r="H1641" s="104"/>
      <c r="I1641" s="35"/>
      <c r="J1641" s="74"/>
      <c r="K1641" s="74"/>
      <c r="L1641" s="74"/>
      <c r="M1641" s="74"/>
      <c r="N1641" s="74"/>
      <c r="O1641" s="74"/>
      <c r="P1641" s="74"/>
      <c r="Q1641" s="74"/>
      <c r="R1641" s="74"/>
      <c r="S1641" s="74"/>
      <c r="T1641" s="74"/>
      <c r="U1641" s="74"/>
      <c r="V1641" s="74"/>
      <c r="W1641" s="74"/>
      <c r="X1641" s="74"/>
      <c r="Y1641" s="74"/>
      <c r="Z1641" s="74"/>
      <c r="AA1641" s="74"/>
      <c r="AB1641" s="74"/>
    </row>
    <row r="1642" spans="1:28" ht="12" customHeight="1">
      <c r="A1642" s="330"/>
      <c r="B1642" s="314"/>
      <c r="C1642" s="285"/>
      <c r="D1642" s="108"/>
      <c r="E1642" s="285"/>
      <c r="F1642" s="285"/>
      <c r="G1642" s="35"/>
      <c r="H1642" s="104"/>
      <c r="I1642" s="35"/>
      <c r="J1642" s="74"/>
      <c r="K1642" s="74"/>
      <c r="L1642" s="74"/>
      <c r="M1642" s="74"/>
      <c r="N1642" s="74"/>
      <c r="O1642" s="74"/>
      <c r="P1642" s="74"/>
      <c r="Q1642" s="74"/>
      <c r="R1642" s="74"/>
      <c r="S1642" s="74"/>
      <c r="T1642" s="74"/>
      <c r="U1642" s="74"/>
      <c r="V1642" s="74"/>
      <c r="W1642" s="74"/>
      <c r="X1642" s="74"/>
      <c r="Y1642" s="74"/>
      <c r="Z1642" s="74"/>
      <c r="AA1642" s="74"/>
      <c r="AB1642" s="74"/>
    </row>
    <row r="1643" spans="1:28" ht="12" customHeight="1">
      <c r="A1643" s="330"/>
      <c r="B1643" s="314"/>
      <c r="C1643" s="285"/>
      <c r="D1643" s="108"/>
      <c r="E1643" s="285"/>
      <c r="F1643" s="285"/>
      <c r="G1643" s="35"/>
      <c r="H1643" s="104"/>
      <c r="I1643" s="35"/>
      <c r="J1643" s="74"/>
      <c r="K1643" s="74"/>
      <c r="L1643" s="74"/>
      <c r="M1643" s="74"/>
      <c r="N1643" s="74"/>
      <c r="O1643" s="74"/>
      <c r="P1643" s="74"/>
      <c r="Q1643" s="74"/>
      <c r="R1643" s="74"/>
      <c r="S1643" s="74"/>
      <c r="T1643" s="74"/>
      <c r="U1643" s="74"/>
      <c r="V1643" s="74"/>
      <c r="W1643" s="74"/>
      <c r="X1643" s="74"/>
      <c r="Y1643" s="74"/>
      <c r="Z1643" s="74"/>
      <c r="AA1643" s="74"/>
      <c r="AB1643" s="74"/>
    </row>
    <row r="1644" spans="1:28" ht="12" customHeight="1">
      <c r="A1644" s="330"/>
      <c r="B1644" s="314"/>
      <c r="C1644" s="285"/>
      <c r="D1644" s="108"/>
      <c r="E1644" s="285"/>
      <c r="F1644" s="285"/>
      <c r="G1644" s="35"/>
      <c r="H1644" s="104"/>
      <c r="I1644" s="35"/>
      <c r="J1644" s="74"/>
      <c r="K1644" s="74"/>
      <c r="L1644" s="74"/>
      <c r="M1644" s="74"/>
      <c r="N1644" s="74"/>
      <c r="O1644" s="74"/>
      <c r="P1644" s="74"/>
      <c r="Q1644" s="74"/>
      <c r="R1644" s="74"/>
      <c r="S1644" s="74"/>
      <c r="T1644" s="74"/>
      <c r="U1644" s="74"/>
      <c r="V1644" s="74"/>
      <c r="W1644" s="74"/>
      <c r="X1644" s="74"/>
      <c r="Y1644" s="74"/>
      <c r="Z1644" s="74"/>
      <c r="AA1644" s="74"/>
      <c r="AB1644" s="74"/>
    </row>
    <row r="1645" spans="1:28" ht="12" customHeight="1">
      <c r="A1645" s="330"/>
      <c r="B1645" s="314"/>
      <c r="C1645" s="285"/>
      <c r="D1645" s="108"/>
      <c r="E1645" s="285"/>
      <c r="F1645" s="285"/>
      <c r="G1645" s="35"/>
      <c r="H1645" s="104"/>
      <c r="I1645" s="35"/>
      <c r="J1645" s="74"/>
      <c r="K1645" s="74"/>
      <c r="L1645" s="74"/>
      <c r="M1645" s="74"/>
      <c r="N1645" s="74"/>
      <c r="O1645" s="74"/>
      <c r="P1645" s="74"/>
      <c r="Q1645" s="74"/>
      <c r="R1645" s="74"/>
      <c r="S1645" s="74"/>
      <c r="T1645" s="74"/>
      <c r="U1645" s="74"/>
      <c r="V1645" s="74"/>
      <c r="W1645" s="74"/>
      <c r="X1645" s="74"/>
      <c r="Y1645" s="74"/>
      <c r="Z1645" s="74"/>
      <c r="AA1645" s="74"/>
      <c r="AB1645" s="74"/>
    </row>
    <row r="1646" spans="1:28" ht="12" customHeight="1">
      <c r="A1646" s="330"/>
      <c r="B1646" s="314"/>
      <c r="C1646" s="285"/>
      <c r="D1646" s="108"/>
      <c r="E1646" s="285"/>
      <c r="F1646" s="285"/>
      <c r="G1646" s="35"/>
      <c r="H1646" s="104"/>
      <c r="I1646" s="35"/>
      <c r="J1646" s="74"/>
      <c r="K1646" s="74"/>
      <c r="L1646" s="74"/>
      <c r="M1646" s="74"/>
      <c r="N1646" s="74"/>
      <c r="O1646" s="74"/>
      <c r="P1646" s="74"/>
      <c r="Q1646" s="74"/>
      <c r="R1646" s="74"/>
      <c r="S1646" s="74"/>
      <c r="T1646" s="74"/>
      <c r="U1646" s="74"/>
      <c r="V1646" s="74"/>
      <c r="W1646" s="74"/>
      <c r="X1646" s="74"/>
      <c r="Y1646" s="74"/>
      <c r="Z1646" s="74"/>
      <c r="AA1646" s="74"/>
      <c r="AB1646" s="74"/>
    </row>
    <row r="1647" spans="1:28" ht="12" customHeight="1">
      <c r="A1647" s="330"/>
      <c r="B1647" s="314"/>
      <c r="C1647" s="285"/>
      <c r="D1647" s="108"/>
      <c r="E1647" s="285"/>
      <c r="F1647" s="285"/>
      <c r="G1647" s="35"/>
      <c r="H1647" s="104"/>
      <c r="I1647" s="35"/>
      <c r="J1647" s="74"/>
      <c r="K1647" s="74"/>
      <c r="L1647" s="74"/>
      <c r="M1647" s="74"/>
      <c r="N1647" s="74"/>
      <c r="O1647" s="74"/>
      <c r="P1647" s="74"/>
      <c r="Q1647" s="74"/>
      <c r="R1647" s="74"/>
      <c r="S1647" s="74"/>
      <c r="T1647" s="74"/>
      <c r="U1647" s="74"/>
      <c r="V1647" s="74"/>
      <c r="W1647" s="74"/>
      <c r="X1647" s="74"/>
      <c r="Y1647" s="74"/>
      <c r="Z1647" s="74"/>
      <c r="AA1647" s="74"/>
      <c r="AB1647" s="74"/>
    </row>
    <row r="1648" spans="1:28" ht="12" customHeight="1">
      <c r="A1648" s="330"/>
      <c r="B1648" s="314"/>
      <c r="C1648" s="285"/>
      <c r="D1648" s="108"/>
      <c r="E1648" s="285"/>
      <c r="F1648" s="285"/>
      <c r="G1648" s="35"/>
      <c r="H1648" s="104"/>
      <c r="I1648" s="35"/>
      <c r="J1648" s="74"/>
      <c r="K1648" s="74"/>
      <c r="L1648" s="74"/>
      <c r="M1648" s="74"/>
      <c r="N1648" s="74"/>
      <c r="O1648" s="74"/>
      <c r="P1648" s="74"/>
      <c r="Q1648" s="74"/>
      <c r="R1648" s="74"/>
      <c r="S1648" s="74"/>
      <c r="T1648" s="74"/>
      <c r="U1648" s="74"/>
      <c r="V1648" s="74"/>
      <c r="W1648" s="74"/>
      <c r="X1648" s="74"/>
      <c r="Y1648" s="74"/>
      <c r="Z1648" s="74"/>
      <c r="AA1648" s="74"/>
      <c r="AB1648" s="74"/>
    </row>
    <row r="1649" spans="1:28" ht="12" customHeight="1">
      <c r="A1649" s="330"/>
      <c r="B1649" s="314"/>
      <c r="C1649" s="285"/>
      <c r="D1649" s="108"/>
      <c r="E1649" s="285"/>
      <c r="F1649" s="285"/>
      <c r="G1649" s="35"/>
      <c r="H1649" s="104"/>
      <c r="I1649" s="35"/>
      <c r="J1649" s="74"/>
      <c r="K1649" s="74"/>
      <c r="L1649" s="74"/>
      <c r="M1649" s="74"/>
      <c r="N1649" s="74"/>
      <c r="O1649" s="74"/>
      <c r="P1649" s="74"/>
      <c r="Q1649" s="74"/>
      <c r="R1649" s="74"/>
      <c r="S1649" s="74"/>
      <c r="T1649" s="74"/>
      <c r="U1649" s="74"/>
      <c r="V1649" s="74"/>
      <c r="W1649" s="74"/>
      <c r="X1649" s="74"/>
      <c r="Y1649" s="74"/>
      <c r="Z1649" s="74"/>
      <c r="AA1649" s="74"/>
      <c r="AB1649" s="74"/>
    </row>
    <row r="1650" spans="1:28" ht="12" customHeight="1">
      <c r="A1650" s="330"/>
      <c r="B1650" s="314"/>
      <c r="C1650" s="285"/>
      <c r="D1650" s="108"/>
      <c r="E1650" s="285"/>
      <c r="F1650" s="285"/>
      <c r="G1650" s="35"/>
      <c r="H1650" s="104"/>
      <c r="I1650" s="35"/>
      <c r="J1650" s="74"/>
      <c r="K1650" s="74"/>
      <c r="L1650" s="74"/>
      <c r="M1650" s="74"/>
      <c r="N1650" s="74"/>
      <c r="O1650" s="74"/>
      <c r="P1650" s="74"/>
      <c r="Q1650" s="74"/>
      <c r="R1650" s="74"/>
      <c r="S1650" s="74"/>
      <c r="T1650" s="74"/>
      <c r="U1650" s="74"/>
      <c r="V1650" s="74"/>
      <c r="W1650" s="74"/>
      <c r="X1650" s="74"/>
      <c r="Y1650" s="74"/>
      <c r="Z1650" s="74"/>
      <c r="AA1650" s="74"/>
      <c r="AB1650" s="74"/>
    </row>
    <row r="1651" spans="1:28" ht="12" customHeight="1">
      <c r="A1651" s="330"/>
      <c r="B1651" s="314"/>
      <c r="C1651" s="285"/>
      <c r="D1651" s="108"/>
      <c r="E1651" s="285"/>
      <c r="F1651" s="285"/>
      <c r="G1651" s="35"/>
      <c r="H1651" s="104"/>
      <c r="I1651" s="35"/>
      <c r="J1651" s="74"/>
      <c r="K1651" s="74"/>
      <c r="L1651" s="74"/>
      <c r="M1651" s="74"/>
      <c r="N1651" s="74"/>
      <c r="O1651" s="74"/>
      <c r="P1651" s="74"/>
      <c r="Q1651" s="74"/>
      <c r="R1651" s="74"/>
      <c r="S1651" s="74"/>
      <c r="T1651" s="74"/>
      <c r="U1651" s="74"/>
      <c r="V1651" s="74"/>
      <c r="W1651" s="74"/>
      <c r="X1651" s="74"/>
      <c r="Y1651" s="74"/>
      <c r="Z1651" s="74"/>
      <c r="AA1651" s="74"/>
      <c r="AB1651" s="74"/>
    </row>
    <row r="1652" spans="1:28" ht="12" customHeight="1">
      <c r="A1652" s="330"/>
      <c r="B1652" s="314"/>
      <c r="C1652" s="285"/>
      <c r="D1652" s="108"/>
      <c r="E1652" s="285"/>
      <c r="F1652" s="285"/>
      <c r="G1652" s="35"/>
      <c r="H1652" s="104"/>
      <c r="I1652" s="35"/>
      <c r="J1652" s="74"/>
      <c r="K1652" s="74"/>
      <c r="L1652" s="74"/>
      <c r="M1652" s="74"/>
      <c r="N1652" s="74"/>
      <c r="O1652" s="74"/>
      <c r="P1652" s="74"/>
      <c r="Q1652" s="74"/>
      <c r="R1652" s="74"/>
      <c r="S1652" s="74"/>
      <c r="T1652" s="74"/>
      <c r="U1652" s="74"/>
      <c r="V1652" s="74"/>
      <c r="W1652" s="74"/>
      <c r="X1652" s="74"/>
      <c r="Y1652" s="74"/>
      <c r="Z1652" s="74"/>
      <c r="AA1652" s="74"/>
      <c r="AB1652" s="74"/>
    </row>
    <row r="1653" spans="1:28" ht="12" customHeight="1">
      <c r="A1653" s="330"/>
      <c r="B1653" s="314"/>
      <c r="C1653" s="285"/>
      <c r="D1653" s="108"/>
      <c r="E1653" s="285"/>
      <c r="F1653" s="285"/>
      <c r="G1653" s="35"/>
      <c r="H1653" s="104"/>
      <c r="I1653" s="35"/>
      <c r="J1653" s="74"/>
      <c r="K1653" s="74"/>
      <c r="L1653" s="74"/>
      <c r="M1653" s="74"/>
      <c r="N1653" s="74"/>
      <c r="O1653" s="74"/>
      <c r="P1653" s="74"/>
      <c r="Q1653" s="74"/>
      <c r="R1653" s="74"/>
      <c r="S1653" s="74"/>
      <c r="T1653" s="74"/>
      <c r="U1653" s="74"/>
      <c r="V1653" s="74"/>
      <c r="W1653" s="74"/>
      <c r="X1653" s="74"/>
      <c r="Y1653" s="74"/>
      <c r="Z1653" s="74"/>
      <c r="AA1653" s="74"/>
      <c r="AB1653" s="74"/>
    </row>
    <row r="1654" spans="1:28" ht="12" customHeight="1">
      <c r="A1654" s="330"/>
      <c r="B1654" s="314"/>
      <c r="C1654" s="285"/>
      <c r="D1654" s="108"/>
      <c r="E1654" s="285"/>
      <c r="F1654" s="285"/>
      <c r="G1654" s="35"/>
      <c r="H1654" s="104"/>
      <c r="I1654" s="35"/>
      <c r="J1654" s="74"/>
      <c r="K1654" s="74"/>
      <c r="L1654" s="74"/>
      <c r="M1654" s="74"/>
      <c r="N1654" s="74"/>
      <c r="O1654" s="74"/>
      <c r="P1654" s="74"/>
      <c r="Q1654" s="74"/>
      <c r="R1654" s="74"/>
      <c r="S1654" s="74"/>
      <c r="T1654" s="74"/>
      <c r="U1654" s="74"/>
      <c r="V1654" s="74"/>
      <c r="W1654" s="74"/>
      <c r="X1654" s="74"/>
      <c r="Y1654" s="74"/>
      <c r="Z1654" s="74"/>
      <c r="AA1654" s="74"/>
      <c r="AB1654" s="74"/>
    </row>
    <row r="1655" spans="1:28" ht="12" customHeight="1">
      <c r="A1655" s="330"/>
      <c r="B1655" s="314"/>
      <c r="C1655" s="285"/>
      <c r="D1655" s="108"/>
      <c r="E1655" s="285"/>
      <c r="F1655" s="285"/>
      <c r="G1655" s="35"/>
      <c r="H1655" s="104"/>
      <c r="I1655" s="35"/>
      <c r="J1655" s="74"/>
      <c r="K1655" s="74"/>
      <c r="L1655" s="74"/>
      <c r="M1655" s="74"/>
      <c r="N1655" s="74"/>
      <c r="O1655" s="74"/>
      <c r="P1655" s="74"/>
      <c r="Q1655" s="74"/>
      <c r="R1655" s="74"/>
      <c r="S1655" s="74"/>
      <c r="T1655" s="74"/>
      <c r="U1655" s="74"/>
      <c r="V1655" s="74"/>
      <c r="W1655" s="74"/>
      <c r="X1655" s="74"/>
      <c r="Y1655" s="74"/>
      <c r="Z1655" s="74"/>
      <c r="AA1655" s="74"/>
      <c r="AB1655" s="74"/>
    </row>
    <row r="1656" spans="1:28" ht="12" customHeight="1">
      <c r="A1656" s="330"/>
      <c r="B1656" s="314"/>
      <c r="C1656" s="285"/>
      <c r="D1656" s="108"/>
      <c r="E1656" s="285"/>
      <c r="F1656" s="285"/>
      <c r="G1656" s="35"/>
      <c r="H1656" s="104"/>
      <c r="I1656" s="35"/>
      <c r="J1656" s="74"/>
      <c r="K1656" s="74"/>
      <c r="L1656" s="74"/>
      <c r="M1656" s="74"/>
      <c r="N1656" s="74"/>
      <c r="O1656" s="74"/>
      <c r="P1656" s="74"/>
      <c r="Q1656" s="74"/>
      <c r="R1656" s="74"/>
      <c r="S1656" s="74"/>
      <c r="T1656" s="74"/>
      <c r="U1656" s="74"/>
      <c r="V1656" s="74"/>
      <c r="W1656" s="74"/>
      <c r="X1656" s="74"/>
      <c r="Y1656" s="74"/>
      <c r="Z1656" s="74"/>
      <c r="AA1656" s="74"/>
      <c r="AB1656" s="74"/>
    </row>
    <row r="1657" spans="1:28" ht="12" customHeight="1">
      <c r="A1657" s="330"/>
      <c r="B1657" s="314"/>
      <c r="C1657" s="285"/>
      <c r="D1657" s="108"/>
      <c r="E1657" s="285"/>
      <c r="F1657" s="285"/>
      <c r="G1657" s="35"/>
      <c r="H1657" s="104"/>
      <c r="I1657" s="35"/>
      <c r="J1657" s="74"/>
      <c r="K1657" s="74"/>
      <c r="L1657" s="74"/>
      <c r="M1657" s="74"/>
      <c r="N1657" s="74"/>
      <c r="O1657" s="74"/>
      <c r="P1657" s="74"/>
      <c r="Q1657" s="74"/>
      <c r="R1657" s="74"/>
      <c r="S1657" s="74"/>
      <c r="T1657" s="74"/>
      <c r="U1657" s="74"/>
      <c r="V1657" s="74"/>
      <c r="W1657" s="74"/>
      <c r="X1657" s="74"/>
      <c r="Y1657" s="74"/>
      <c r="Z1657" s="74"/>
      <c r="AA1657" s="74"/>
      <c r="AB1657" s="74"/>
    </row>
    <row r="1658" spans="1:28" ht="12" customHeight="1">
      <c r="A1658" s="330"/>
      <c r="B1658" s="314"/>
      <c r="C1658" s="285"/>
      <c r="D1658" s="108"/>
      <c r="E1658" s="285"/>
      <c r="F1658" s="285"/>
      <c r="G1658" s="35"/>
      <c r="H1658" s="104"/>
      <c r="I1658" s="35"/>
      <c r="J1658" s="74"/>
      <c r="K1658" s="74"/>
      <c r="L1658" s="74"/>
      <c r="M1658" s="74"/>
      <c r="N1658" s="74"/>
      <c r="O1658" s="74"/>
      <c r="P1658" s="74"/>
      <c r="Q1658" s="74"/>
      <c r="R1658" s="74"/>
      <c r="S1658" s="74"/>
      <c r="T1658" s="74"/>
      <c r="U1658" s="74"/>
      <c r="V1658" s="74"/>
      <c r="W1658" s="74"/>
      <c r="X1658" s="74"/>
      <c r="Y1658" s="74"/>
      <c r="Z1658" s="74"/>
      <c r="AA1658" s="74"/>
      <c r="AB1658" s="74"/>
    </row>
    <row r="1659" spans="1:28" ht="12" customHeight="1">
      <c r="A1659" s="330"/>
      <c r="B1659" s="314"/>
      <c r="C1659" s="285"/>
      <c r="D1659" s="108"/>
      <c r="E1659" s="285"/>
      <c r="F1659" s="285"/>
      <c r="G1659" s="35"/>
      <c r="H1659" s="104"/>
      <c r="I1659" s="35"/>
      <c r="J1659" s="74"/>
      <c r="K1659" s="74"/>
      <c r="L1659" s="74"/>
      <c r="M1659" s="74"/>
      <c r="N1659" s="74"/>
      <c r="O1659" s="74"/>
      <c r="P1659" s="74"/>
      <c r="Q1659" s="74"/>
      <c r="R1659" s="74"/>
      <c r="S1659" s="74"/>
      <c r="T1659" s="74"/>
      <c r="U1659" s="74"/>
      <c r="V1659" s="74"/>
      <c r="W1659" s="74"/>
      <c r="X1659" s="74"/>
      <c r="Y1659" s="74"/>
      <c r="Z1659" s="74"/>
      <c r="AA1659" s="74"/>
      <c r="AB1659" s="74"/>
    </row>
    <row r="1660" spans="1:28" ht="12" customHeight="1">
      <c r="A1660" s="330"/>
      <c r="B1660" s="314"/>
      <c r="C1660" s="285"/>
      <c r="D1660" s="108"/>
      <c r="E1660" s="285"/>
      <c r="F1660" s="285"/>
      <c r="G1660" s="35"/>
      <c r="H1660" s="104"/>
      <c r="I1660" s="35"/>
      <c r="J1660" s="74"/>
      <c r="K1660" s="74"/>
      <c r="L1660" s="74"/>
      <c r="M1660" s="74"/>
      <c r="N1660" s="74"/>
      <c r="O1660" s="74"/>
      <c r="P1660" s="74"/>
      <c r="Q1660" s="74"/>
      <c r="R1660" s="74"/>
      <c r="S1660" s="74"/>
      <c r="T1660" s="74"/>
      <c r="U1660" s="74"/>
      <c r="V1660" s="74"/>
      <c r="W1660" s="74"/>
      <c r="X1660" s="74"/>
      <c r="Y1660" s="74"/>
      <c r="Z1660" s="74"/>
      <c r="AA1660" s="74"/>
      <c r="AB1660" s="74"/>
    </row>
    <row r="1661" spans="1:28" ht="12" customHeight="1">
      <c r="A1661" s="330"/>
      <c r="B1661" s="314"/>
      <c r="C1661" s="285"/>
      <c r="D1661" s="108"/>
      <c r="E1661" s="285"/>
      <c r="F1661" s="285"/>
      <c r="G1661" s="35"/>
      <c r="H1661" s="104"/>
      <c r="I1661" s="35"/>
      <c r="J1661" s="74"/>
      <c r="K1661" s="74"/>
      <c r="L1661" s="74"/>
      <c r="M1661" s="74"/>
      <c r="N1661" s="74"/>
      <c r="O1661" s="74"/>
      <c r="P1661" s="74"/>
      <c r="Q1661" s="74"/>
      <c r="R1661" s="74"/>
      <c r="S1661" s="74"/>
      <c r="T1661" s="74"/>
      <c r="U1661" s="74"/>
      <c r="V1661" s="74"/>
      <c r="W1661" s="74"/>
      <c r="X1661" s="74"/>
      <c r="Y1661" s="74"/>
      <c r="Z1661" s="74"/>
      <c r="AA1661" s="74"/>
      <c r="AB1661" s="74"/>
    </row>
    <row r="1662" spans="1:28" ht="12" customHeight="1">
      <c r="A1662" s="330"/>
      <c r="B1662" s="314"/>
      <c r="C1662" s="285"/>
      <c r="D1662" s="108"/>
      <c r="E1662" s="285"/>
      <c r="F1662" s="285"/>
      <c r="G1662" s="35"/>
      <c r="H1662" s="104"/>
      <c r="I1662" s="35"/>
      <c r="J1662" s="74"/>
      <c r="K1662" s="74"/>
      <c r="L1662" s="74"/>
      <c r="M1662" s="74"/>
      <c r="N1662" s="74"/>
      <c r="O1662" s="74"/>
      <c r="P1662" s="74"/>
      <c r="Q1662" s="74"/>
      <c r="R1662" s="74"/>
      <c r="S1662" s="74"/>
      <c r="T1662" s="74"/>
      <c r="U1662" s="74"/>
      <c r="V1662" s="74"/>
      <c r="W1662" s="74"/>
      <c r="X1662" s="74"/>
      <c r="Y1662" s="74"/>
      <c r="Z1662" s="74"/>
      <c r="AA1662" s="74"/>
      <c r="AB1662" s="74"/>
    </row>
    <row r="1663" spans="1:28" ht="12" customHeight="1">
      <c r="A1663" s="330"/>
      <c r="B1663" s="314"/>
      <c r="C1663" s="285"/>
      <c r="D1663" s="108"/>
      <c r="E1663" s="285"/>
      <c r="F1663" s="285"/>
      <c r="G1663" s="35"/>
      <c r="H1663" s="104"/>
      <c r="I1663" s="35"/>
      <c r="J1663" s="74"/>
      <c r="K1663" s="74"/>
      <c r="L1663" s="74"/>
      <c r="M1663" s="74"/>
      <c r="N1663" s="74"/>
      <c r="O1663" s="74"/>
      <c r="P1663" s="74"/>
      <c r="Q1663" s="74"/>
      <c r="R1663" s="74"/>
      <c r="S1663" s="74"/>
      <c r="T1663" s="74"/>
      <c r="U1663" s="74"/>
      <c r="V1663" s="74"/>
      <c r="W1663" s="74"/>
      <c r="X1663" s="74"/>
      <c r="Y1663" s="74"/>
      <c r="Z1663" s="74"/>
      <c r="AA1663" s="74"/>
      <c r="AB1663" s="74"/>
    </row>
    <row r="1664" spans="1:28" ht="12" customHeight="1">
      <c r="A1664" s="330"/>
      <c r="B1664" s="314"/>
      <c r="C1664" s="285"/>
      <c r="D1664" s="108"/>
      <c r="E1664" s="285"/>
      <c r="F1664" s="285"/>
      <c r="G1664" s="35"/>
      <c r="H1664" s="104"/>
      <c r="I1664" s="35"/>
      <c r="J1664" s="74"/>
      <c r="K1664" s="74"/>
      <c r="L1664" s="74"/>
      <c r="M1664" s="74"/>
      <c r="N1664" s="74"/>
      <c r="O1664" s="74"/>
      <c r="P1664" s="74"/>
      <c r="Q1664" s="74"/>
      <c r="R1664" s="74"/>
      <c r="S1664" s="74"/>
      <c r="T1664" s="74"/>
      <c r="U1664" s="74"/>
      <c r="V1664" s="74"/>
      <c r="W1664" s="74"/>
      <c r="X1664" s="74"/>
      <c r="Y1664" s="74"/>
      <c r="Z1664" s="74"/>
      <c r="AA1664" s="74"/>
      <c r="AB1664" s="74"/>
    </row>
    <row r="1665" spans="1:28" ht="12" customHeight="1">
      <c r="A1665" s="330"/>
      <c r="B1665" s="314"/>
      <c r="C1665" s="285"/>
      <c r="D1665" s="108"/>
      <c r="E1665" s="285"/>
      <c r="F1665" s="285"/>
      <c r="G1665" s="35"/>
      <c r="H1665" s="104"/>
      <c r="I1665" s="35"/>
      <c r="J1665" s="74"/>
      <c r="K1665" s="74"/>
      <c r="L1665" s="74"/>
      <c r="M1665" s="74"/>
      <c r="N1665" s="74"/>
      <c r="O1665" s="74"/>
      <c r="P1665" s="74"/>
      <c r="Q1665" s="74"/>
      <c r="R1665" s="74"/>
      <c r="S1665" s="74"/>
      <c r="T1665" s="74"/>
      <c r="U1665" s="74"/>
      <c r="V1665" s="74"/>
      <c r="W1665" s="74"/>
      <c r="X1665" s="74"/>
      <c r="Y1665" s="74"/>
      <c r="Z1665" s="74"/>
      <c r="AA1665" s="74"/>
      <c r="AB1665" s="74"/>
    </row>
    <row r="1666" spans="1:28" ht="12" customHeight="1">
      <c r="A1666" s="330"/>
      <c r="B1666" s="314"/>
      <c r="C1666" s="285"/>
      <c r="D1666" s="108"/>
      <c r="E1666" s="285"/>
      <c r="F1666" s="285"/>
      <c r="G1666" s="35"/>
      <c r="H1666" s="104"/>
      <c r="I1666" s="35"/>
      <c r="J1666" s="74"/>
      <c r="K1666" s="74"/>
      <c r="L1666" s="74"/>
      <c r="M1666" s="74"/>
      <c r="N1666" s="74"/>
      <c r="O1666" s="74"/>
      <c r="P1666" s="74"/>
      <c r="Q1666" s="74"/>
      <c r="R1666" s="74"/>
      <c r="S1666" s="74"/>
      <c r="T1666" s="74"/>
      <c r="U1666" s="74"/>
      <c r="V1666" s="74"/>
      <c r="W1666" s="74"/>
      <c r="X1666" s="74"/>
      <c r="Y1666" s="74"/>
      <c r="Z1666" s="74"/>
      <c r="AA1666" s="74"/>
      <c r="AB1666" s="74"/>
    </row>
    <row r="1667" spans="1:28" ht="12" customHeight="1">
      <c r="A1667" s="330"/>
      <c r="B1667" s="314"/>
      <c r="C1667" s="285"/>
      <c r="D1667" s="108"/>
      <c r="E1667" s="285"/>
      <c r="F1667" s="285"/>
      <c r="G1667" s="35"/>
      <c r="H1667" s="104"/>
      <c r="I1667" s="35"/>
      <c r="J1667" s="74"/>
      <c r="K1667" s="74"/>
      <c r="L1667" s="74"/>
      <c r="M1667" s="74"/>
      <c r="N1667" s="74"/>
      <c r="O1667" s="74"/>
      <c r="P1667" s="74"/>
      <c r="Q1667" s="74"/>
      <c r="R1667" s="74"/>
      <c r="S1667" s="74"/>
      <c r="T1667" s="74"/>
      <c r="U1667" s="74"/>
      <c r="V1667" s="74"/>
      <c r="W1667" s="74"/>
      <c r="X1667" s="74"/>
      <c r="Y1667" s="74"/>
      <c r="Z1667" s="74"/>
      <c r="AA1667" s="74"/>
      <c r="AB1667" s="74"/>
    </row>
    <row r="1668" spans="1:28" ht="12" customHeight="1">
      <c r="A1668" s="330"/>
      <c r="B1668" s="314"/>
      <c r="C1668" s="285"/>
      <c r="D1668" s="108"/>
      <c r="E1668" s="285"/>
      <c r="F1668" s="285"/>
      <c r="G1668" s="35"/>
      <c r="H1668" s="104"/>
      <c r="I1668" s="35"/>
      <c r="J1668" s="74"/>
      <c r="K1668" s="74"/>
      <c r="L1668" s="74"/>
      <c r="M1668" s="74"/>
      <c r="N1668" s="74"/>
      <c r="O1668" s="74"/>
      <c r="P1668" s="74"/>
      <c r="Q1668" s="74"/>
      <c r="R1668" s="74"/>
      <c r="S1668" s="74"/>
      <c r="T1668" s="74"/>
      <c r="U1668" s="74"/>
      <c r="V1668" s="74"/>
      <c r="W1668" s="74"/>
      <c r="X1668" s="74"/>
      <c r="Y1668" s="74"/>
      <c r="Z1668" s="74"/>
      <c r="AA1668" s="74"/>
      <c r="AB1668" s="74"/>
    </row>
    <row r="1669" spans="1:28" ht="12" customHeight="1">
      <c r="A1669" s="330"/>
      <c r="B1669" s="314"/>
      <c r="C1669" s="285"/>
      <c r="D1669" s="108"/>
      <c r="E1669" s="285"/>
      <c r="F1669" s="285"/>
      <c r="G1669" s="35"/>
      <c r="H1669" s="104"/>
      <c r="I1669" s="35"/>
      <c r="J1669" s="74"/>
      <c r="K1669" s="74"/>
      <c r="L1669" s="74"/>
      <c r="M1669" s="74"/>
      <c r="N1669" s="74"/>
      <c r="O1669" s="74"/>
      <c r="P1669" s="74"/>
      <c r="Q1669" s="74"/>
      <c r="R1669" s="74"/>
      <c r="S1669" s="74"/>
      <c r="T1669" s="74"/>
      <c r="U1669" s="74"/>
      <c r="V1669" s="74"/>
      <c r="W1669" s="74"/>
      <c r="X1669" s="74"/>
      <c r="Y1669" s="74"/>
      <c r="Z1669" s="74"/>
      <c r="AA1669" s="74"/>
      <c r="AB1669" s="74"/>
    </row>
    <row r="1670" spans="1:28" ht="12" customHeight="1">
      <c r="A1670" s="330"/>
      <c r="B1670" s="314"/>
      <c r="C1670" s="285"/>
      <c r="D1670" s="108"/>
      <c r="E1670" s="285"/>
      <c r="F1670" s="285"/>
      <c r="G1670" s="35"/>
      <c r="H1670" s="104"/>
      <c r="I1670" s="35"/>
      <c r="J1670" s="74"/>
      <c r="K1670" s="74"/>
      <c r="L1670" s="74"/>
      <c r="M1670" s="74"/>
      <c r="N1670" s="74"/>
      <c r="O1670" s="74"/>
      <c r="P1670" s="74"/>
      <c r="Q1670" s="74"/>
      <c r="R1670" s="74"/>
      <c r="S1670" s="74"/>
      <c r="T1670" s="74"/>
      <c r="U1670" s="74"/>
      <c r="V1670" s="74"/>
      <c r="W1670" s="74"/>
      <c r="X1670" s="74"/>
      <c r="Y1670" s="74"/>
      <c r="Z1670" s="74"/>
      <c r="AA1670" s="74"/>
      <c r="AB1670" s="74"/>
    </row>
    <row r="1671" spans="1:28" ht="12" customHeight="1">
      <c r="A1671" s="330"/>
      <c r="B1671" s="314"/>
      <c r="C1671" s="285"/>
      <c r="D1671" s="108"/>
      <c r="E1671" s="285"/>
      <c r="F1671" s="285"/>
      <c r="G1671" s="35"/>
      <c r="H1671" s="104"/>
      <c r="I1671" s="35"/>
      <c r="J1671" s="74"/>
      <c r="K1671" s="74"/>
      <c r="L1671" s="74"/>
      <c r="M1671" s="74"/>
      <c r="N1671" s="74"/>
      <c r="O1671" s="74"/>
      <c r="P1671" s="74"/>
      <c r="Q1671" s="74"/>
      <c r="R1671" s="74"/>
      <c r="S1671" s="74"/>
      <c r="T1671" s="74"/>
      <c r="U1671" s="74"/>
      <c r="V1671" s="74"/>
      <c r="W1671" s="74"/>
      <c r="X1671" s="74"/>
      <c r="Y1671" s="74"/>
      <c r="Z1671" s="74"/>
      <c r="AA1671" s="74"/>
      <c r="AB1671" s="74"/>
    </row>
    <row r="1672" spans="1:28" ht="12" customHeight="1">
      <c r="A1672" s="330"/>
      <c r="B1672" s="314"/>
      <c r="C1672" s="285"/>
      <c r="D1672" s="108"/>
      <c r="E1672" s="285"/>
      <c r="F1672" s="285"/>
      <c r="G1672" s="35"/>
      <c r="H1672" s="104"/>
      <c r="I1672" s="35"/>
      <c r="J1672" s="74"/>
      <c r="K1672" s="74"/>
      <c r="L1672" s="74"/>
      <c r="M1672" s="74"/>
      <c r="N1672" s="74"/>
      <c r="O1672" s="74"/>
      <c r="P1672" s="74"/>
      <c r="Q1672" s="74"/>
      <c r="R1672" s="74"/>
      <c r="S1672" s="74"/>
      <c r="T1672" s="74"/>
      <c r="U1672" s="74"/>
      <c r="V1672" s="74"/>
      <c r="W1672" s="74"/>
      <c r="X1672" s="74"/>
      <c r="Y1672" s="74"/>
      <c r="Z1672" s="74"/>
      <c r="AA1672" s="74"/>
      <c r="AB1672" s="74"/>
    </row>
    <row r="1673" spans="1:28" ht="12" customHeight="1">
      <c r="A1673" s="330"/>
      <c r="B1673" s="314"/>
      <c r="C1673" s="285"/>
      <c r="D1673" s="108"/>
      <c r="E1673" s="285"/>
      <c r="F1673" s="285"/>
      <c r="G1673" s="35"/>
      <c r="H1673" s="104"/>
      <c r="I1673" s="35"/>
      <c r="J1673" s="74"/>
      <c r="K1673" s="74"/>
      <c r="L1673" s="74"/>
      <c r="M1673" s="74"/>
      <c r="N1673" s="74"/>
      <c r="O1673" s="74"/>
      <c r="P1673" s="74"/>
      <c r="Q1673" s="74"/>
      <c r="R1673" s="74"/>
      <c r="S1673" s="74"/>
      <c r="T1673" s="74"/>
      <c r="U1673" s="74"/>
      <c r="V1673" s="74"/>
      <c r="W1673" s="74"/>
      <c r="X1673" s="74"/>
      <c r="Y1673" s="74"/>
      <c r="Z1673" s="74"/>
      <c r="AA1673" s="74"/>
      <c r="AB1673" s="74"/>
    </row>
    <row r="1674" spans="1:28" ht="12" customHeight="1">
      <c r="A1674" s="330"/>
      <c r="B1674" s="314"/>
      <c r="C1674" s="285"/>
      <c r="D1674" s="108"/>
      <c r="E1674" s="285"/>
      <c r="F1674" s="285"/>
      <c r="G1674" s="35"/>
      <c r="H1674" s="104"/>
      <c r="I1674" s="35"/>
      <c r="J1674" s="74"/>
      <c r="K1674" s="74"/>
      <c r="L1674" s="74"/>
      <c r="M1674" s="74"/>
      <c r="N1674" s="74"/>
      <c r="O1674" s="74"/>
      <c r="P1674" s="74"/>
      <c r="Q1674" s="74"/>
      <c r="R1674" s="74"/>
      <c r="S1674" s="74"/>
      <c r="T1674" s="74"/>
      <c r="U1674" s="74"/>
      <c r="V1674" s="74"/>
      <c r="W1674" s="74"/>
      <c r="X1674" s="74"/>
      <c r="Y1674" s="74"/>
      <c r="Z1674" s="74"/>
      <c r="AA1674" s="74"/>
      <c r="AB1674" s="74"/>
    </row>
    <row r="1675" spans="1:28" ht="12" customHeight="1">
      <c r="A1675" s="330"/>
      <c r="B1675" s="314"/>
      <c r="C1675" s="285"/>
      <c r="D1675" s="108"/>
      <c r="E1675" s="285"/>
      <c r="F1675" s="285"/>
      <c r="G1675" s="35"/>
      <c r="H1675" s="104"/>
      <c r="I1675" s="35"/>
      <c r="J1675" s="74"/>
      <c r="K1675" s="74"/>
      <c r="L1675" s="74"/>
      <c r="M1675" s="74"/>
      <c r="N1675" s="74"/>
      <c r="O1675" s="74"/>
      <c r="P1675" s="74"/>
      <c r="Q1675" s="74"/>
      <c r="R1675" s="74"/>
      <c r="S1675" s="74"/>
      <c r="T1675" s="74"/>
      <c r="U1675" s="74"/>
      <c r="V1675" s="74"/>
      <c r="W1675" s="74"/>
      <c r="X1675" s="74"/>
      <c r="Y1675" s="74"/>
      <c r="Z1675" s="74"/>
      <c r="AA1675" s="74"/>
      <c r="AB1675" s="74"/>
    </row>
    <row r="1676" spans="1:28" ht="12" customHeight="1">
      <c r="A1676" s="330"/>
      <c r="B1676" s="314"/>
      <c r="C1676" s="285"/>
      <c r="D1676" s="108"/>
      <c r="E1676" s="285"/>
      <c r="F1676" s="285"/>
      <c r="G1676" s="35"/>
      <c r="H1676" s="104"/>
      <c r="I1676" s="35"/>
      <c r="J1676" s="74"/>
      <c r="K1676" s="74"/>
      <c r="L1676" s="74"/>
      <c r="M1676" s="74"/>
      <c r="N1676" s="74"/>
      <c r="O1676" s="74"/>
      <c r="P1676" s="74"/>
      <c r="Q1676" s="74"/>
      <c r="R1676" s="74"/>
      <c r="S1676" s="74"/>
      <c r="T1676" s="74"/>
      <c r="U1676" s="74"/>
      <c r="V1676" s="74"/>
      <c r="W1676" s="74"/>
      <c r="X1676" s="74"/>
      <c r="Y1676" s="74"/>
      <c r="Z1676" s="74"/>
      <c r="AA1676" s="74"/>
      <c r="AB1676" s="74"/>
    </row>
    <row r="1677" spans="1:28" ht="12" customHeight="1">
      <c r="A1677" s="330"/>
      <c r="B1677" s="314"/>
      <c r="C1677" s="285"/>
      <c r="D1677" s="108"/>
      <c r="E1677" s="285"/>
      <c r="F1677" s="285"/>
      <c r="G1677" s="35"/>
      <c r="H1677" s="104"/>
      <c r="I1677" s="35"/>
      <c r="J1677" s="74"/>
      <c r="K1677" s="74"/>
      <c r="L1677" s="74"/>
      <c r="M1677" s="74"/>
      <c r="N1677" s="74"/>
      <c r="O1677" s="74"/>
      <c r="P1677" s="74"/>
      <c r="Q1677" s="74"/>
      <c r="R1677" s="74"/>
      <c r="S1677" s="74"/>
      <c r="T1677" s="74"/>
      <c r="U1677" s="74"/>
      <c r="V1677" s="74"/>
      <c r="W1677" s="74"/>
      <c r="X1677" s="74"/>
      <c r="Y1677" s="74"/>
      <c r="Z1677" s="74"/>
      <c r="AA1677" s="74"/>
      <c r="AB1677" s="74"/>
    </row>
    <row r="1678" spans="1:28" ht="12" customHeight="1">
      <c r="A1678" s="330"/>
      <c r="B1678" s="314"/>
      <c r="C1678" s="285"/>
      <c r="D1678" s="108"/>
      <c r="E1678" s="285"/>
      <c r="F1678" s="285"/>
      <c r="G1678" s="35"/>
      <c r="H1678" s="104"/>
      <c r="I1678" s="35"/>
      <c r="J1678" s="74"/>
      <c r="K1678" s="74"/>
      <c r="L1678" s="74"/>
      <c r="M1678" s="74"/>
      <c r="N1678" s="74"/>
      <c r="O1678" s="74"/>
      <c r="P1678" s="74"/>
      <c r="Q1678" s="74"/>
      <c r="R1678" s="74"/>
      <c r="S1678" s="74"/>
      <c r="T1678" s="74"/>
      <c r="U1678" s="74"/>
      <c r="V1678" s="74"/>
      <c r="W1678" s="74"/>
      <c r="X1678" s="74"/>
      <c r="Y1678" s="74"/>
      <c r="Z1678" s="74"/>
      <c r="AA1678" s="74"/>
      <c r="AB1678" s="74"/>
    </row>
    <row r="1679" spans="1:28" ht="12" customHeight="1">
      <c r="A1679" s="330"/>
      <c r="B1679" s="314"/>
      <c r="C1679" s="285"/>
      <c r="D1679" s="108"/>
      <c r="E1679" s="285"/>
      <c r="F1679" s="285"/>
      <c r="G1679" s="35"/>
      <c r="H1679" s="104"/>
      <c r="I1679" s="35"/>
      <c r="J1679" s="74"/>
      <c r="K1679" s="74"/>
      <c r="L1679" s="74"/>
      <c r="M1679" s="74"/>
      <c r="N1679" s="74"/>
      <c r="O1679" s="74"/>
      <c r="P1679" s="74"/>
      <c r="Q1679" s="74"/>
      <c r="R1679" s="74"/>
      <c r="S1679" s="74"/>
      <c r="T1679" s="74"/>
      <c r="U1679" s="74"/>
      <c r="V1679" s="74"/>
      <c r="W1679" s="74"/>
      <c r="X1679" s="74"/>
      <c r="Y1679" s="74"/>
      <c r="Z1679" s="74"/>
      <c r="AA1679" s="74"/>
      <c r="AB1679" s="74"/>
    </row>
    <row r="1680" spans="1:28" ht="12" customHeight="1">
      <c r="A1680" s="330"/>
      <c r="B1680" s="314"/>
      <c r="C1680" s="285"/>
      <c r="D1680" s="108"/>
      <c r="E1680" s="285"/>
      <c r="F1680" s="285"/>
      <c r="G1680" s="35"/>
      <c r="H1680" s="104"/>
      <c r="I1680" s="35"/>
      <c r="J1680" s="74"/>
      <c r="K1680" s="74"/>
      <c r="L1680" s="74"/>
      <c r="M1680" s="74"/>
      <c r="N1680" s="74"/>
      <c r="O1680" s="74"/>
      <c r="P1680" s="74"/>
      <c r="Q1680" s="74"/>
      <c r="R1680" s="74"/>
      <c r="S1680" s="74"/>
      <c r="T1680" s="74"/>
      <c r="U1680" s="74"/>
      <c r="V1680" s="74"/>
      <c r="W1680" s="74"/>
      <c r="X1680" s="74"/>
      <c r="Y1680" s="74"/>
      <c r="Z1680" s="74"/>
      <c r="AA1680" s="74"/>
      <c r="AB1680" s="74"/>
    </row>
    <row r="1681" spans="1:28" ht="12" customHeight="1">
      <c r="A1681" s="330"/>
      <c r="B1681" s="314"/>
      <c r="C1681" s="285"/>
      <c r="D1681" s="108"/>
      <c r="E1681" s="285"/>
      <c r="F1681" s="285"/>
      <c r="G1681" s="35"/>
      <c r="H1681" s="104"/>
      <c r="I1681" s="35"/>
      <c r="J1681" s="74"/>
      <c r="K1681" s="74"/>
      <c r="L1681" s="74"/>
      <c r="M1681" s="74"/>
      <c r="N1681" s="74"/>
      <c r="O1681" s="74"/>
      <c r="P1681" s="74"/>
      <c r="Q1681" s="74"/>
      <c r="R1681" s="74"/>
      <c r="S1681" s="74"/>
      <c r="T1681" s="74"/>
      <c r="U1681" s="74"/>
      <c r="V1681" s="74"/>
      <c r="W1681" s="74"/>
      <c r="X1681" s="74"/>
      <c r="Y1681" s="74"/>
      <c r="Z1681" s="74"/>
      <c r="AA1681" s="74"/>
      <c r="AB1681" s="74"/>
    </row>
    <row r="1682" spans="1:28" ht="12" customHeight="1">
      <c r="A1682" s="330"/>
      <c r="B1682" s="314"/>
      <c r="C1682" s="285"/>
      <c r="D1682" s="108"/>
      <c r="E1682" s="285"/>
      <c r="F1682" s="285"/>
      <c r="G1682" s="35"/>
      <c r="H1682" s="104"/>
      <c r="I1682" s="35"/>
      <c r="J1682" s="74"/>
      <c r="K1682" s="74"/>
      <c r="L1682" s="74"/>
      <c r="M1682" s="74"/>
      <c r="N1682" s="74"/>
      <c r="O1682" s="74"/>
      <c r="P1682" s="74"/>
      <c r="Q1682" s="74"/>
      <c r="R1682" s="74"/>
      <c r="S1682" s="74"/>
      <c r="T1682" s="74"/>
      <c r="U1682" s="74"/>
      <c r="V1682" s="74"/>
      <c r="W1682" s="74"/>
      <c r="X1682" s="74"/>
      <c r="Y1682" s="74"/>
      <c r="Z1682" s="74"/>
      <c r="AA1682" s="74"/>
      <c r="AB1682" s="74"/>
    </row>
    <row r="1683" spans="1:28" ht="12" customHeight="1">
      <c r="A1683" s="330"/>
      <c r="B1683" s="314"/>
      <c r="C1683" s="285"/>
      <c r="D1683" s="108"/>
      <c r="E1683" s="285"/>
      <c r="F1683" s="285"/>
      <c r="G1683" s="35"/>
      <c r="H1683" s="104"/>
      <c r="I1683" s="35"/>
      <c r="J1683" s="74"/>
      <c r="K1683" s="74"/>
      <c r="L1683" s="74"/>
      <c r="M1683" s="74"/>
      <c r="N1683" s="74"/>
      <c r="O1683" s="74"/>
      <c r="P1683" s="74"/>
      <c r="Q1683" s="74"/>
      <c r="R1683" s="74"/>
      <c r="S1683" s="74"/>
      <c r="T1683" s="74"/>
      <c r="U1683" s="74"/>
      <c r="V1683" s="74"/>
      <c r="W1683" s="74"/>
      <c r="X1683" s="74"/>
      <c r="Y1683" s="74"/>
      <c r="Z1683" s="74"/>
      <c r="AA1683" s="74"/>
      <c r="AB1683" s="74"/>
    </row>
    <row r="1684" spans="1:28" ht="12" customHeight="1">
      <c r="A1684" s="330"/>
      <c r="B1684" s="314"/>
      <c r="C1684" s="285"/>
      <c r="D1684" s="108"/>
      <c r="E1684" s="285"/>
      <c r="F1684" s="285"/>
      <c r="G1684" s="35"/>
      <c r="H1684" s="104"/>
      <c r="I1684" s="35"/>
      <c r="J1684" s="74"/>
      <c r="K1684" s="74"/>
      <c r="L1684" s="74"/>
      <c r="M1684" s="74"/>
      <c r="N1684" s="74"/>
      <c r="O1684" s="74"/>
      <c r="P1684" s="74"/>
      <c r="Q1684" s="74"/>
      <c r="R1684" s="74"/>
      <c r="S1684" s="74"/>
      <c r="T1684" s="74"/>
      <c r="U1684" s="74"/>
      <c r="V1684" s="74"/>
      <c r="W1684" s="74"/>
      <c r="X1684" s="74"/>
      <c r="Y1684" s="74"/>
      <c r="Z1684" s="74"/>
      <c r="AA1684" s="74"/>
      <c r="AB1684" s="74"/>
    </row>
    <row r="1685" spans="1:28" ht="12" customHeight="1">
      <c r="A1685" s="330"/>
      <c r="B1685" s="314"/>
      <c r="C1685" s="285"/>
      <c r="D1685" s="108"/>
      <c r="E1685" s="285"/>
      <c r="F1685" s="285"/>
      <c r="G1685" s="35"/>
      <c r="H1685" s="104"/>
      <c r="I1685" s="35"/>
      <c r="J1685" s="74"/>
      <c r="K1685" s="74"/>
      <c r="L1685" s="74"/>
      <c r="M1685" s="74"/>
      <c r="N1685" s="74"/>
      <c r="O1685" s="74"/>
      <c r="P1685" s="74"/>
      <c r="Q1685" s="74"/>
      <c r="R1685" s="74"/>
      <c r="S1685" s="74"/>
      <c r="T1685" s="74"/>
      <c r="U1685" s="74"/>
      <c r="V1685" s="74"/>
      <c r="W1685" s="74"/>
      <c r="X1685" s="74"/>
      <c r="Y1685" s="74"/>
      <c r="Z1685" s="74"/>
      <c r="AA1685" s="74"/>
      <c r="AB1685" s="74"/>
    </row>
    <row r="1686" spans="1:28" ht="12" customHeight="1">
      <c r="A1686" s="330"/>
      <c r="B1686" s="314"/>
      <c r="C1686" s="285"/>
      <c r="D1686" s="108"/>
      <c r="E1686" s="285"/>
      <c r="F1686" s="285"/>
      <c r="G1686" s="35"/>
      <c r="H1686" s="104"/>
      <c r="I1686" s="35"/>
      <c r="J1686" s="74"/>
      <c r="K1686" s="74"/>
      <c r="L1686" s="74"/>
      <c r="M1686" s="74"/>
      <c r="N1686" s="74"/>
      <c r="O1686" s="74"/>
      <c r="P1686" s="74"/>
      <c r="Q1686" s="74"/>
      <c r="R1686" s="74"/>
      <c r="S1686" s="74"/>
      <c r="T1686" s="74"/>
      <c r="U1686" s="74"/>
      <c r="V1686" s="74"/>
      <c r="W1686" s="74"/>
      <c r="X1686" s="74"/>
      <c r="Y1686" s="74"/>
      <c r="Z1686" s="74"/>
      <c r="AA1686" s="74"/>
      <c r="AB1686" s="74"/>
    </row>
    <row r="1687" spans="1:28" ht="12" customHeight="1">
      <c r="A1687" s="330"/>
      <c r="B1687" s="314"/>
      <c r="C1687" s="285"/>
      <c r="D1687" s="108"/>
      <c r="E1687" s="285"/>
      <c r="F1687" s="285"/>
      <c r="G1687" s="35"/>
      <c r="H1687" s="104"/>
      <c r="I1687" s="35"/>
      <c r="J1687" s="74"/>
      <c r="K1687" s="74"/>
      <c r="L1687" s="74"/>
      <c r="M1687" s="74"/>
      <c r="N1687" s="74"/>
      <c r="O1687" s="74"/>
      <c r="P1687" s="74"/>
      <c r="Q1687" s="74"/>
      <c r="R1687" s="74"/>
      <c r="S1687" s="74"/>
      <c r="T1687" s="74"/>
      <c r="U1687" s="74"/>
      <c r="V1687" s="74"/>
      <c r="W1687" s="74"/>
      <c r="X1687" s="74"/>
      <c r="Y1687" s="74"/>
      <c r="Z1687" s="74"/>
      <c r="AA1687" s="74"/>
      <c r="AB1687" s="74"/>
    </row>
    <row r="1688" spans="1:28" ht="12" customHeight="1">
      <c r="A1688" s="330"/>
      <c r="B1688" s="314"/>
      <c r="C1688" s="285"/>
      <c r="D1688" s="108"/>
      <c r="E1688" s="285"/>
      <c r="F1688" s="285"/>
      <c r="G1688" s="35"/>
      <c r="H1688" s="104"/>
      <c r="I1688" s="35"/>
      <c r="J1688" s="74"/>
      <c r="K1688" s="74"/>
      <c r="L1688" s="74"/>
      <c r="M1688" s="74"/>
      <c r="N1688" s="74"/>
      <c r="O1688" s="74"/>
      <c r="P1688" s="74"/>
      <c r="Q1688" s="74"/>
      <c r="R1688" s="74"/>
      <c r="S1688" s="74"/>
      <c r="T1688" s="74"/>
      <c r="U1688" s="74"/>
      <c r="V1688" s="74"/>
      <c r="W1688" s="74"/>
      <c r="X1688" s="74"/>
      <c r="Y1688" s="74"/>
      <c r="Z1688" s="74"/>
      <c r="AA1688" s="74"/>
      <c r="AB1688" s="74"/>
    </row>
    <row r="1689" spans="1:28" ht="12" customHeight="1">
      <c r="A1689" s="330"/>
      <c r="B1689" s="314"/>
      <c r="C1689" s="285"/>
      <c r="D1689" s="108"/>
      <c r="E1689" s="285"/>
      <c r="F1689" s="285"/>
      <c r="G1689" s="35"/>
      <c r="H1689" s="104"/>
      <c r="I1689" s="35"/>
      <c r="J1689" s="74"/>
      <c r="K1689" s="74"/>
      <c r="L1689" s="74"/>
      <c r="M1689" s="74"/>
      <c r="N1689" s="74"/>
      <c r="O1689" s="74"/>
      <c r="P1689" s="74"/>
      <c r="Q1689" s="74"/>
      <c r="R1689" s="74"/>
      <c r="S1689" s="74"/>
      <c r="T1689" s="74"/>
      <c r="U1689" s="74"/>
      <c r="V1689" s="74"/>
      <c r="W1689" s="74"/>
      <c r="X1689" s="74"/>
      <c r="Y1689" s="74"/>
      <c r="Z1689" s="74"/>
      <c r="AA1689" s="74"/>
      <c r="AB1689" s="74"/>
    </row>
    <row r="1690" spans="1:28" ht="12" customHeight="1">
      <c r="A1690" s="330"/>
      <c r="B1690" s="314"/>
      <c r="C1690" s="285"/>
      <c r="D1690" s="108"/>
      <c r="E1690" s="285"/>
      <c r="F1690" s="285"/>
      <c r="G1690" s="35"/>
      <c r="H1690" s="104"/>
      <c r="I1690" s="35"/>
      <c r="J1690" s="74"/>
      <c r="K1690" s="74"/>
      <c r="L1690" s="74"/>
      <c r="M1690" s="74"/>
      <c r="N1690" s="74"/>
      <c r="O1690" s="74"/>
      <c r="P1690" s="74"/>
      <c r="Q1690" s="74"/>
      <c r="R1690" s="74"/>
      <c r="S1690" s="74"/>
      <c r="T1690" s="74"/>
      <c r="U1690" s="74"/>
      <c r="V1690" s="74"/>
      <c r="W1690" s="74"/>
      <c r="X1690" s="74"/>
      <c r="Y1690" s="74"/>
      <c r="Z1690" s="74"/>
      <c r="AA1690" s="74"/>
      <c r="AB1690" s="74"/>
    </row>
    <row r="1691" spans="1:28" ht="12" customHeight="1">
      <c r="A1691" s="330"/>
      <c r="B1691" s="314"/>
      <c r="C1691" s="285"/>
      <c r="D1691" s="108"/>
      <c r="E1691" s="285"/>
      <c r="F1691" s="285"/>
      <c r="G1691" s="35"/>
      <c r="H1691" s="104"/>
      <c r="I1691" s="35"/>
      <c r="J1691" s="74"/>
      <c r="K1691" s="74"/>
      <c r="L1691" s="74"/>
      <c r="M1691" s="74"/>
      <c r="N1691" s="74"/>
      <c r="O1691" s="74"/>
      <c r="P1691" s="74"/>
      <c r="Q1691" s="74"/>
      <c r="R1691" s="74"/>
      <c r="S1691" s="74"/>
      <c r="T1691" s="74"/>
      <c r="U1691" s="74"/>
      <c r="V1691" s="74"/>
      <c r="W1691" s="74"/>
      <c r="X1691" s="74"/>
      <c r="Y1691" s="74"/>
      <c r="Z1691" s="74"/>
      <c r="AA1691" s="74"/>
      <c r="AB1691" s="74"/>
    </row>
    <row r="1692" spans="1:28" ht="12" customHeight="1">
      <c r="A1692" s="330"/>
      <c r="B1692" s="314"/>
      <c r="C1692" s="285"/>
      <c r="D1692" s="108"/>
      <c r="E1692" s="285"/>
      <c r="F1692" s="285"/>
      <c r="G1692" s="35"/>
      <c r="H1692" s="104"/>
      <c r="I1692" s="35"/>
      <c r="J1692" s="74"/>
      <c r="K1692" s="74"/>
      <c r="L1692" s="74"/>
      <c r="M1692" s="74"/>
      <c r="N1692" s="74"/>
      <c r="O1692" s="74"/>
      <c r="P1692" s="74"/>
      <c r="Q1692" s="74"/>
      <c r="R1692" s="74"/>
      <c r="S1692" s="74"/>
      <c r="T1692" s="74"/>
      <c r="U1692" s="74"/>
      <c r="V1692" s="74"/>
      <c r="W1692" s="74"/>
      <c r="X1692" s="74"/>
      <c r="Y1692" s="74"/>
      <c r="Z1692" s="74"/>
      <c r="AA1692" s="74"/>
      <c r="AB1692" s="74"/>
    </row>
    <row r="1693" spans="1:28" ht="12" customHeight="1">
      <c r="A1693" s="330"/>
      <c r="B1693" s="314"/>
      <c r="C1693" s="285"/>
      <c r="D1693" s="108"/>
      <c r="E1693" s="285"/>
      <c r="F1693" s="285"/>
      <c r="G1693" s="35"/>
      <c r="H1693" s="104"/>
      <c r="I1693" s="35"/>
      <c r="J1693" s="74"/>
      <c r="K1693" s="74"/>
      <c r="L1693" s="74"/>
      <c r="M1693" s="74"/>
      <c r="N1693" s="74"/>
      <c r="O1693" s="74"/>
      <c r="P1693" s="74"/>
      <c r="Q1693" s="74"/>
      <c r="R1693" s="74"/>
      <c r="S1693" s="74"/>
      <c r="T1693" s="74"/>
      <c r="U1693" s="74"/>
      <c r="V1693" s="74"/>
      <c r="W1693" s="74"/>
      <c r="X1693" s="74"/>
      <c r="Y1693" s="74"/>
      <c r="Z1693" s="74"/>
      <c r="AA1693" s="74"/>
      <c r="AB1693" s="74"/>
    </row>
    <row r="1694" spans="1:28" ht="12" customHeight="1">
      <c r="A1694" s="330"/>
      <c r="B1694" s="314"/>
      <c r="C1694" s="285"/>
      <c r="D1694" s="108"/>
      <c r="E1694" s="285"/>
      <c r="F1694" s="285"/>
      <c r="G1694" s="35"/>
      <c r="H1694" s="104"/>
      <c r="I1694" s="35"/>
      <c r="J1694" s="74"/>
      <c r="K1694" s="74"/>
      <c r="L1694" s="74"/>
      <c r="M1694" s="74"/>
      <c r="N1694" s="74"/>
      <c r="O1694" s="74"/>
      <c r="P1694" s="74"/>
      <c r="Q1694" s="74"/>
      <c r="R1694" s="74"/>
      <c r="S1694" s="74"/>
      <c r="T1694" s="74"/>
      <c r="U1694" s="74"/>
      <c r="V1694" s="74"/>
      <c r="W1694" s="74"/>
      <c r="X1694" s="74"/>
      <c r="Y1694" s="74"/>
      <c r="Z1694" s="74"/>
      <c r="AA1694" s="74"/>
      <c r="AB1694" s="74"/>
    </row>
    <row r="1695" spans="1:28" ht="12" customHeight="1">
      <c r="A1695" s="330"/>
      <c r="B1695" s="314"/>
      <c r="C1695" s="285"/>
      <c r="D1695" s="108"/>
      <c r="E1695" s="285"/>
      <c r="F1695" s="285"/>
      <c r="G1695" s="35"/>
      <c r="H1695" s="104"/>
      <c r="I1695" s="35"/>
      <c r="J1695" s="74"/>
      <c r="K1695" s="74"/>
      <c r="L1695" s="74"/>
      <c r="M1695" s="74"/>
      <c r="N1695" s="74"/>
      <c r="O1695" s="74"/>
      <c r="P1695" s="74"/>
      <c r="Q1695" s="74"/>
      <c r="R1695" s="74"/>
      <c r="S1695" s="74"/>
      <c r="T1695" s="74"/>
      <c r="U1695" s="74"/>
      <c r="V1695" s="74"/>
      <c r="W1695" s="74"/>
      <c r="X1695" s="74"/>
      <c r="Y1695" s="74"/>
      <c r="Z1695" s="74"/>
      <c r="AA1695" s="74"/>
      <c r="AB1695" s="74"/>
    </row>
    <row r="1696" spans="1:28" ht="12" customHeight="1">
      <c r="A1696" s="330"/>
      <c r="B1696" s="314"/>
      <c r="C1696" s="285"/>
      <c r="D1696" s="108"/>
      <c r="E1696" s="285"/>
      <c r="F1696" s="285"/>
      <c r="G1696" s="35"/>
      <c r="H1696" s="104"/>
      <c r="I1696" s="35"/>
      <c r="J1696" s="74"/>
      <c r="K1696" s="74"/>
      <c r="L1696" s="74"/>
      <c r="M1696" s="74"/>
      <c r="N1696" s="74"/>
      <c r="O1696" s="74"/>
      <c r="P1696" s="74"/>
      <c r="Q1696" s="74"/>
      <c r="R1696" s="74"/>
      <c r="S1696" s="74"/>
      <c r="T1696" s="74"/>
      <c r="U1696" s="74"/>
      <c r="V1696" s="74"/>
      <c r="W1696" s="74"/>
      <c r="X1696" s="74"/>
      <c r="Y1696" s="74"/>
      <c r="Z1696" s="74"/>
      <c r="AA1696" s="74"/>
      <c r="AB1696" s="74"/>
    </row>
    <row r="1697" spans="1:28" ht="12" customHeight="1">
      <c r="A1697" s="330"/>
      <c r="B1697" s="314"/>
      <c r="C1697" s="285"/>
      <c r="D1697" s="108"/>
      <c r="E1697" s="285"/>
      <c r="F1697" s="285"/>
      <c r="G1697" s="35"/>
      <c r="H1697" s="104"/>
      <c r="I1697" s="35"/>
      <c r="J1697" s="74"/>
      <c r="K1697" s="74"/>
      <c r="L1697" s="74"/>
      <c r="M1697" s="74"/>
      <c r="N1697" s="74"/>
      <c r="O1697" s="74"/>
      <c r="P1697" s="74"/>
      <c r="Q1697" s="74"/>
      <c r="R1697" s="74"/>
      <c r="S1697" s="74"/>
      <c r="T1697" s="74"/>
      <c r="U1697" s="74"/>
      <c r="V1697" s="74"/>
      <c r="W1697" s="74"/>
      <c r="X1697" s="74"/>
      <c r="Y1697" s="74"/>
      <c r="Z1697" s="74"/>
      <c r="AA1697" s="74"/>
      <c r="AB1697" s="74"/>
    </row>
    <row r="1698" spans="1:28" ht="12" customHeight="1">
      <c r="A1698" s="330"/>
      <c r="B1698" s="314"/>
      <c r="C1698" s="285"/>
      <c r="D1698" s="108"/>
      <c r="E1698" s="285"/>
      <c r="F1698" s="285"/>
      <c r="G1698" s="35"/>
      <c r="H1698" s="104"/>
      <c r="I1698" s="35"/>
      <c r="J1698" s="74"/>
      <c r="K1698" s="74"/>
      <c r="L1698" s="74"/>
      <c r="M1698" s="74"/>
      <c r="N1698" s="74"/>
      <c r="O1698" s="74"/>
      <c r="P1698" s="74"/>
      <c r="Q1698" s="74"/>
      <c r="R1698" s="74"/>
      <c r="S1698" s="74"/>
      <c r="T1698" s="74"/>
      <c r="U1698" s="74"/>
      <c r="V1698" s="74"/>
      <c r="W1698" s="74"/>
      <c r="X1698" s="74"/>
      <c r="Y1698" s="74"/>
      <c r="Z1698" s="74"/>
      <c r="AA1698" s="74"/>
      <c r="AB1698" s="74"/>
    </row>
    <row r="1699" spans="1:28" ht="12" customHeight="1">
      <c r="A1699" s="330"/>
      <c r="B1699" s="314"/>
      <c r="C1699" s="285"/>
      <c r="D1699" s="108"/>
      <c r="E1699" s="285"/>
      <c r="F1699" s="285"/>
      <c r="G1699" s="35"/>
      <c r="H1699" s="104"/>
      <c r="I1699" s="35"/>
      <c r="J1699" s="74"/>
      <c r="K1699" s="74"/>
      <c r="L1699" s="74"/>
      <c r="M1699" s="74"/>
      <c r="N1699" s="74"/>
      <c r="O1699" s="74"/>
      <c r="P1699" s="74"/>
      <c r="Q1699" s="74"/>
      <c r="R1699" s="74"/>
      <c r="S1699" s="74"/>
      <c r="T1699" s="74"/>
      <c r="U1699" s="74"/>
      <c r="V1699" s="74"/>
      <c r="W1699" s="74"/>
      <c r="X1699" s="74"/>
      <c r="Y1699" s="74"/>
      <c r="Z1699" s="74"/>
      <c r="AA1699" s="74"/>
      <c r="AB1699" s="74"/>
    </row>
    <row r="1700" spans="1:28" ht="12" customHeight="1">
      <c r="A1700" s="330"/>
      <c r="B1700" s="314"/>
      <c r="C1700" s="285"/>
      <c r="D1700" s="108"/>
      <c r="E1700" s="285"/>
      <c r="F1700" s="285"/>
      <c r="G1700" s="35"/>
      <c r="H1700" s="104"/>
      <c r="I1700" s="35"/>
      <c r="J1700" s="74"/>
      <c r="K1700" s="74"/>
      <c r="L1700" s="74"/>
      <c r="M1700" s="74"/>
      <c r="N1700" s="74"/>
      <c r="O1700" s="74"/>
      <c r="P1700" s="74"/>
      <c r="Q1700" s="74"/>
      <c r="R1700" s="74"/>
      <c r="S1700" s="74"/>
      <c r="T1700" s="74"/>
      <c r="U1700" s="74"/>
      <c r="V1700" s="74"/>
      <c r="W1700" s="74"/>
      <c r="X1700" s="74"/>
      <c r="Y1700" s="74"/>
      <c r="Z1700" s="74"/>
      <c r="AA1700" s="74"/>
      <c r="AB1700" s="74"/>
    </row>
    <row r="1701" spans="1:28" ht="12" customHeight="1">
      <c r="A1701" s="330"/>
      <c r="B1701" s="314"/>
      <c r="C1701" s="285"/>
      <c r="D1701" s="108"/>
      <c r="E1701" s="285"/>
      <c r="F1701" s="285"/>
      <c r="G1701" s="35"/>
      <c r="H1701" s="104"/>
      <c r="I1701" s="35"/>
      <c r="J1701" s="74"/>
      <c r="K1701" s="74"/>
      <c r="L1701" s="74"/>
      <c r="M1701" s="74"/>
      <c r="N1701" s="74"/>
      <c r="O1701" s="74"/>
      <c r="P1701" s="74"/>
      <c r="Q1701" s="74"/>
      <c r="R1701" s="74"/>
      <c r="S1701" s="74"/>
      <c r="T1701" s="74"/>
      <c r="U1701" s="74"/>
      <c r="V1701" s="74"/>
      <c r="W1701" s="74"/>
      <c r="X1701" s="74"/>
      <c r="Y1701" s="74"/>
      <c r="Z1701" s="74"/>
      <c r="AA1701" s="74"/>
      <c r="AB1701" s="74"/>
    </row>
    <row r="1702" spans="1:28" ht="12" customHeight="1">
      <c r="A1702" s="330"/>
      <c r="B1702" s="314"/>
      <c r="C1702" s="285"/>
      <c r="D1702" s="108"/>
      <c r="E1702" s="285"/>
      <c r="F1702" s="285"/>
      <c r="G1702" s="35"/>
      <c r="H1702" s="104"/>
      <c r="I1702" s="35"/>
      <c r="J1702" s="74"/>
      <c r="K1702" s="74"/>
      <c r="L1702" s="74"/>
      <c r="M1702" s="74"/>
      <c r="N1702" s="74"/>
      <c r="O1702" s="74"/>
      <c r="P1702" s="74"/>
      <c r="Q1702" s="74"/>
      <c r="R1702" s="74"/>
      <c r="S1702" s="74"/>
      <c r="T1702" s="74"/>
      <c r="U1702" s="74"/>
      <c r="V1702" s="74"/>
      <c r="W1702" s="74"/>
      <c r="X1702" s="74"/>
      <c r="Y1702" s="74"/>
      <c r="Z1702" s="74"/>
      <c r="AA1702" s="74"/>
      <c r="AB1702" s="74"/>
    </row>
    <row r="1703" spans="1:28" ht="12" customHeight="1">
      <c r="A1703" s="330"/>
      <c r="B1703" s="314"/>
      <c r="C1703" s="285"/>
      <c r="D1703" s="108"/>
      <c r="E1703" s="285"/>
      <c r="F1703" s="285"/>
      <c r="G1703" s="35"/>
      <c r="H1703" s="104"/>
      <c r="I1703" s="35"/>
      <c r="J1703" s="74"/>
      <c r="K1703" s="74"/>
      <c r="L1703" s="74"/>
      <c r="M1703" s="74"/>
      <c r="N1703" s="74"/>
      <c r="O1703" s="74"/>
      <c r="P1703" s="74"/>
      <c r="Q1703" s="74"/>
      <c r="R1703" s="74"/>
      <c r="S1703" s="74"/>
      <c r="T1703" s="74"/>
      <c r="U1703" s="74"/>
      <c r="V1703" s="74"/>
      <c r="W1703" s="74"/>
      <c r="X1703" s="74"/>
      <c r="Y1703" s="74"/>
      <c r="Z1703" s="74"/>
      <c r="AA1703" s="74"/>
      <c r="AB1703" s="74"/>
    </row>
    <row r="1704" spans="1:28" ht="12" customHeight="1">
      <c r="A1704" s="330"/>
      <c r="B1704" s="314"/>
      <c r="C1704" s="285"/>
      <c r="D1704" s="108"/>
      <c r="E1704" s="285"/>
      <c r="F1704" s="285"/>
      <c r="G1704" s="35"/>
      <c r="H1704" s="104"/>
      <c r="I1704" s="35"/>
      <c r="J1704" s="74"/>
      <c r="K1704" s="74"/>
      <c r="L1704" s="74"/>
      <c r="M1704" s="74"/>
      <c r="N1704" s="74"/>
      <c r="O1704" s="74"/>
      <c r="P1704" s="74"/>
      <c r="Q1704" s="74"/>
      <c r="R1704" s="74"/>
      <c r="S1704" s="74"/>
      <c r="T1704" s="74"/>
      <c r="U1704" s="74"/>
      <c r="V1704" s="74"/>
      <c r="W1704" s="74"/>
      <c r="X1704" s="74"/>
      <c r="Y1704" s="74"/>
      <c r="Z1704" s="74"/>
      <c r="AA1704" s="74"/>
      <c r="AB1704" s="74"/>
    </row>
    <row r="1705" spans="1:28" ht="12" customHeight="1">
      <c r="A1705" s="330"/>
      <c r="B1705" s="314"/>
      <c r="C1705" s="285"/>
      <c r="D1705" s="108"/>
      <c r="E1705" s="285"/>
      <c r="F1705" s="285"/>
      <c r="G1705" s="35"/>
      <c r="H1705" s="104"/>
      <c r="I1705" s="35"/>
      <c r="J1705" s="74"/>
      <c r="K1705" s="74"/>
      <c r="L1705" s="74"/>
      <c r="M1705" s="74"/>
      <c r="N1705" s="74"/>
      <c r="O1705" s="74"/>
      <c r="P1705" s="74"/>
      <c r="Q1705" s="74"/>
      <c r="R1705" s="74"/>
      <c r="S1705" s="74"/>
      <c r="T1705" s="74"/>
      <c r="U1705" s="74"/>
      <c r="V1705" s="74"/>
      <c r="W1705" s="74"/>
      <c r="X1705" s="74"/>
      <c r="Y1705" s="74"/>
      <c r="Z1705" s="74"/>
      <c r="AA1705" s="74"/>
      <c r="AB1705" s="74"/>
    </row>
    <row r="1706" spans="1:28" ht="12" customHeight="1">
      <c r="A1706" s="330"/>
      <c r="B1706" s="314"/>
      <c r="C1706" s="285"/>
      <c r="D1706" s="108"/>
      <c r="E1706" s="285"/>
      <c r="F1706" s="285"/>
      <c r="G1706" s="35"/>
      <c r="H1706" s="104"/>
      <c r="I1706" s="35"/>
      <c r="J1706" s="74"/>
      <c r="K1706" s="74"/>
      <c r="L1706" s="74"/>
      <c r="M1706" s="74"/>
      <c r="N1706" s="74"/>
      <c r="O1706" s="74"/>
      <c r="P1706" s="74"/>
      <c r="Q1706" s="74"/>
      <c r="R1706" s="74"/>
      <c r="S1706" s="74"/>
      <c r="T1706" s="74"/>
      <c r="U1706" s="74"/>
      <c r="V1706" s="74"/>
      <c r="W1706" s="74"/>
      <c r="X1706" s="74"/>
      <c r="Y1706" s="74"/>
      <c r="Z1706" s="74"/>
      <c r="AA1706" s="74"/>
      <c r="AB1706" s="74"/>
    </row>
    <row r="1707" spans="1:28" ht="12" customHeight="1">
      <c r="A1707" s="330"/>
      <c r="B1707" s="314"/>
      <c r="C1707" s="285"/>
      <c r="D1707" s="108"/>
      <c r="E1707" s="285"/>
      <c r="F1707" s="285"/>
      <c r="G1707" s="35"/>
      <c r="H1707" s="104"/>
      <c r="I1707" s="35"/>
      <c r="J1707" s="74"/>
      <c r="K1707" s="74"/>
      <c r="L1707" s="74"/>
      <c r="M1707" s="74"/>
      <c r="N1707" s="74"/>
      <c r="O1707" s="74"/>
      <c r="P1707" s="74"/>
      <c r="Q1707" s="74"/>
      <c r="R1707" s="74"/>
      <c r="S1707" s="74"/>
      <c r="T1707" s="74"/>
      <c r="U1707" s="74"/>
      <c r="V1707" s="74"/>
      <c r="W1707" s="74"/>
      <c r="X1707" s="74"/>
      <c r="Y1707" s="74"/>
      <c r="Z1707" s="74"/>
      <c r="AA1707" s="74"/>
      <c r="AB1707" s="74"/>
    </row>
    <row r="1708" spans="1:28" ht="12" customHeight="1">
      <c r="A1708" s="330"/>
      <c r="B1708" s="314"/>
      <c r="C1708" s="285"/>
      <c r="D1708" s="108"/>
      <c r="E1708" s="285"/>
      <c r="F1708" s="285"/>
      <c r="G1708" s="35"/>
      <c r="H1708" s="104"/>
      <c r="I1708" s="35"/>
      <c r="J1708" s="74"/>
      <c r="K1708" s="74"/>
      <c r="L1708" s="74"/>
      <c r="M1708" s="74"/>
      <c r="N1708" s="74"/>
      <c r="O1708" s="74"/>
      <c r="P1708" s="74"/>
      <c r="Q1708" s="74"/>
      <c r="R1708" s="74"/>
      <c r="S1708" s="74"/>
      <c r="T1708" s="74"/>
      <c r="U1708" s="74"/>
      <c r="V1708" s="74"/>
      <c r="W1708" s="74"/>
      <c r="X1708" s="74"/>
      <c r="Y1708" s="74"/>
      <c r="Z1708" s="74"/>
      <c r="AA1708" s="74"/>
      <c r="AB1708" s="74"/>
    </row>
    <row r="1709" spans="1:28" ht="12" customHeight="1">
      <c r="A1709" s="330"/>
      <c r="B1709" s="314"/>
      <c r="C1709" s="285"/>
      <c r="D1709" s="108"/>
      <c r="E1709" s="285"/>
      <c r="F1709" s="285"/>
      <c r="G1709" s="35"/>
      <c r="H1709" s="104"/>
      <c r="I1709" s="35"/>
      <c r="J1709" s="74"/>
      <c r="K1709" s="74"/>
      <c r="L1709" s="74"/>
      <c r="M1709" s="74"/>
      <c r="N1709" s="74"/>
      <c r="O1709" s="74"/>
      <c r="P1709" s="74"/>
      <c r="Q1709" s="74"/>
      <c r="R1709" s="74"/>
      <c r="S1709" s="74"/>
      <c r="T1709" s="74"/>
      <c r="U1709" s="74"/>
      <c r="V1709" s="74"/>
      <c r="W1709" s="74"/>
      <c r="X1709" s="74"/>
      <c r="Y1709" s="74"/>
      <c r="Z1709" s="74"/>
      <c r="AA1709" s="74"/>
      <c r="AB1709" s="74"/>
    </row>
    <row r="1710" spans="1:28" ht="12" customHeight="1">
      <c r="A1710" s="330"/>
      <c r="B1710" s="314"/>
      <c r="C1710" s="285"/>
      <c r="D1710" s="108"/>
      <c r="E1710" s="285"/>
      <c r="F1710" s="285"/>
      <c r="G1710" s="35"/>
      <c r="H1710" s="104"/>
      <c r="I1710" s="35"/>
      <c r="J1710" s="74"/>
      <c r="K1710" s="74"/>
      <c r="L1710" s="74"/>
      <c r="M1710" s="74"/>
      <c r="N1710" s="74"/>
      <c r="O1710" s="74"/>
      <c r="P1710" s="74"/>
      <c r="Q1710" s="74"/>
      <c r="R1710" s="74"/>
      <c r="S1710" s="74"/>
      <c r="T1710" s="74"/>
      <c r="U1710" s="74"/>
      <c r="V1710" s="74"/>
      <c r="W1710" s="74"/>
      <c r="X1710" s="74"/>
      <c r="Y1710" s="74"/>
      <c r="Z1710" s="74"/>
      <c r="AA1710" s="74"/>
      <c r="AB1710" s="74"/>
    </row>
    <row r="1711" spans="1:28" ht="12" customHeight="1">
      <c r="A1711" s="330"/>
      <c r="B1711" s="314"/>
      <c r="C1711" s="285"/>
      <c r="D1711" s="108"/>
      <c r="E1711" s="285"/>
      <c r="F1711" s="285"/>
      <c r="G1711" s="35"/>
      <c r="H1711" s="104"/>
      <c r="I1711" s="35"/>
      <c r="J1711" s="74"/>
      <c r="K1711" s="74"/>
      <c r="L1711" s="74"/>
      <c r="M1711" s="74"/>
      <c r="N1711" s="74"/>
      <c r="O1711" s="74"/>
      <c r="P1711" s="74"/>
      <c r="Q1711" s="74"/>
      <c r="R1711" s="74"/>
      <c r="S1711" s="74"/>
      <c r="T1711" s="74"/>
      <c r="U1711" s="74"/>
      <c r="V1711" s="74"/>
      <c r="W1711" s="74"/>
      <c r="X1711" s="74"/>
      <c r="Y1711" s="74"/>
      <c r="Z1711" s="74"/>
      <c r="AA1711" s="74"/>
      <c r="AB1711" s="74"/>
    </row>
    <row r="1712" spans="1:28" ht="12" customHeight="1">
      <c r="A1712" s="330"/>
      <c r="B1712" s="314"/>
      <c r="C1712" s="285"/>
      <c r="D1712" s="108"/>
      <c r="E1712" s="285"/>
      <c r="F1712" s="285"/>
      <c r="G1712" s="35"/>
      <c r="H1712" s="104"/>
      <c r="I1712" s="35"/>
      <c r="J1712" s="74"/>
      <c r="K1712" s="74"/>
      <c r="L1712" s="74"/>
      <c r="M1712" s="74"/>
      <c r="N1712" s="74"/>
      <c r="O1712" s="74"/>
      <c r="P1712" s="74"/>
      <c r="Q1712" s="74"/>
      <c r="R1712" s="74"/>
      <c r="S1712" s="74"/>
      <c r="T1712" s="74"/>
      <c r="U1712" s="74"/>
      <c r="V1712" s="74"/>
      <c r="W1712" s="74"/>
      <c r="X1712" s="74"/>
      <c r="Y1712" s="74"/>
      <c r="Z1712" s="74"/>
      <c r="AA1712" s="74"/>
      <c r="AB1712" s="74"/>
    </row>
    <row r="1713" spans="1:28" ht="12" customHeight="1">
      <c r="A1713" s="330"/>
      <c r="B1713" s="314"/>
      <c r="C1713" s="285"/>
      <c r="D1713" s="108"/>
      <c r="E1713" s="285"/>
      <c r="F1713" s="285"/>
      <c r="G1713" s="35"/>
      <c r="H1713" s="104"/>
      <c r="I1713" s="35"/>
      <c r="J1713" s="74"/>
      <c r="K1713" s="74"/>
      <c r="L1713" s="74"/>
      <c r="M1713" s="74"/>
      <c r="N1713" s="74"/>
      <c r="O1713" s="74"/>
      <c r="P1713" s="74"/>
      <c r="Q1713" s="74"/>
      <c r="R1713" s="74"/>
      <c r="S1713" s="74"/>
      <c r="T1713" s="74"/>
      <c r="U1713" s="74"/>
      <c r="V1713" s="74"/>
      <c r="W1713" s="74"/>
      <c r="X1713" s="74"/>
      <c r="Y1713" s="74"/>
      <c r="Z1713" s="74"/>
      <c r="AA1713" s="74"/>
      <c r="AB1713" s="74"/>
    </row>
    <row r="1714" spans="1:28" ht="12" customHeight="1">
      <c r="A1714" s="330"/>
      <c r="B1714" s="314"/>
      <c r="C1714" s="285"/>
      <c r="D1714" s="108"/>
      <c r="E1714" s="285"/>
      <c r="F1714" s="285"/>
      <c r="G1714" s="35"/>
      <c r="H1714" s="104"/>
      <c r="I1714" s="35"/>
      <c r="J1714" s="74"/>
      <c r="K1714" s="74"/>
      <c r="L1714" s="74"/>
      <c r="M1714" s="74"/>
      <c r="N1714" s="74"/>
      <c r="O1714" s="74"/>
      <c r="P1714" s="74"/>
      <c r="Q1714" s="74"/>
      <c r="R1714" s="74"/>
      <c r="S1714" s="74"/>
      <c r="T1714" s="74"/>
      <c r="U1714" s="74"/>
      <c r="V1714" s="74"/>
      <c r="W1714" s="74"/>
      <c r="X1714" s="74"/>
      <c r="Y1714" s="74"/>
      <c r="Z1714" s="74"/>
      <c r="AA1714" s="74"/>
      <c r="AB1714" s="74"/>
    </row>
    <row r="1715" spans="1:28" ht="12" customHeight="1">
      <c r="A1715" s="330"/>
      <c r="B1715" s="314"/>
      <c r="C1715" s="285"/>
      <c r="D1715" s="108"/>
      <c r="E1715" s="285"/>
      <c r="F1715" s="285"/>
      <c r="G1715" s="35"/>
      <c r="H1715" s="104"/>
      <c r="I1715" s="35"/>
      <c r="J1715" s="74"/>
      <c r="K1715" s="74"/>
      <c r="L1715" s="74"/>
      <c r="M1715" s="74"/>
      <c r="N1715" s="74"/>
      <c r="O1715" s="74"/>
      <c r="P1715" s="74"/>
      <c r="Q1715" s="74"/>
      <c r="R1715" s="74"/>
      <c r="S1715" s="74"/>
      <c r="T1715" s="74"/>
      <c r="U1715" s="74"/>
      <c r="V1715" s="74"/>
      <c r="W1715" s="74"/>
      <c r="X1715" s="74"/>
      <c r="Y1715" s="74"/>
      <c r="Z1715" s="74"/>
      <c r="AA1715" s="74"/>
      <c r="AB1715" s="74"/>
    </row>
    <row r="1716" spans="1:28" ht="12" customHeight="1">
      <c r="A1716" s="330"/>
      <c r="B1716" s="314"/>
      <c r="C1716" s="285"/>
      <c r="D1716" s="108"/>
      <c r="E1716" s="285"/>
      <c r="F1716" s="285"/>
      <c r="G1716" s="35"/>
      <c r="H1716" s="104"/>
      <c r="I1716" s="35"/>
      <c r="J1716" s="74"/>
      <c r="K1716" s="74"/>
      <c r="L1716" s="74"/>
      <c r="M1716" s="74"/>
      <c r="N1716" s="74"/>
      <c r="O1716" s="74"/>
      <c r="P1716" s="74"/>
      <c r="Q1716" s="74"/>
      <c r="R1716" s="74"/>
      <c r="S1716" s="74"/>
      <c r="T1716" s="74"/>
      <c r="U1716" s="74"/>
      <c r="V1716" s="74"/>
      <c r="W1716" s="74"/>
      <c r="X1716" s="74"/>
      <c r="Y1716" s="74"/>
      <c r="Z1716" s="74"/>
      <c r="AA1716" s="74"/>
      <c r="AB1716" s="74"/>
    </row>
    <row r="1717" spans="1:28" ht="12" customHeight="1">
      <c r="A1717" s="330"/>
      <c r="B1717" s="314"/>
      <c r="C1717" s="285"/>
      <c r="D1717" s="108"/>
      <c r="E1717" s="285"/>
      <c r="F1717" s="285"/>
      <c r="G1717" s="35"/>
      <c r="H1717" s="104"/>
      <c r="I1717" s="35"/>
      <c r="J1717" s="74"/>
      <c r="K1717" s="74"/>
      <c r="L1717" s="74"/>
      <c r="M1717" s="74"/>
      <c r="N1717" s="74"/>
      <c r="O1717" s="74"/>
      <c r="P1717" s="74"/>
      <c r="Q1717" s="74"/>
      <c r="R1717" s="74"/>
      <c r="S1717" s="74"/>
      <c r="T1717" s="74"/>
      <c r="U1717" s="74"/>
      <c r="V1717" s="74"/>
      <c r="W1717" s="74"/>
      <c r="X1717" s="74"/>
      <c r="Y1717" s="74"/>
      <c r="Z1717" s="74"/>
      <c r="AA1717" s="74"/>
      <c r="AB1717" s="74"/>
    </row>
    <row r="1718" spans="1:28" ht="12" customHeight="1">
      <c r="A1718" s="330"/>
      <c r="B1718" s="314"/>
      <c r="C1718" s="285"/>
      <c r="D1718" s="108"/>
      <c r="E1718" s="285"/>
      <c r="F1718" s="285"/>
      <c r="G1718" s="35"/>
      <c r="H1718" s="104"/>
      <c r="I1718" s="35"/>
      <c r="J1718" s="74"/>
      <c r="K1718" s="74"/>
      <c r="L1718" s="74"/>
      <c r="M1718" s="74"/>
      <c r="N1718" s="74"/>
      <c r="O1718" s="74"/>
      <c r="P1718" s="74"/>
      <c r="Q1718" s="74"/>
      <c r="R1718" s="74"/>
      <c r="S1718" s="74"/>
      <c r="T1718" s="74"/>
      <c r="U1718" s="74"/>
      <c r="V1718" s="74"/>
      <c r="W1718" s="74"/>
      <c r="X1718" s="74"/>
      <c r="Y1718" s="74"/>
      <c r="Z1718" s="74"/>
      <c r="AA1718" s="74"/>
      <c r="AB1718" s="74"/>
    </row>
    <row r="1719" spans="1:28" ht="12" customHeight="1">
      <c r="A1719" s="330"/>
      <c r="B1719" s="314"/>
      <c r="C1719" s="285"/>
      <c r="D1719" s="108"/>
      <c r="E1719" s="285"/>
      <c r="F1719" s="285"/>
      <c r="G1719" s="35"/>
      <c r="H1719" s="104"/>
      <c r="I1719" s="35"/>
      <c r="J1719" s="74"/>
      <c r="K1719" s="74"/>
      <c r="L1719" s="74"/>
      <c r="M1719" s="74"/>
      <c r="N1719" s="74"/>
      <c r="O1719" s="74"/>
      <c r="P1719" s="74"/>
      <c r="Q1719" s="74"/>
      <c r="R1719" s="74"/>
      <c r="S1719" s="74"/>
      <c r="T1719" s="74"/>
      <c r="U1719" s="74"/>
      <c r="V1719" s="74"/>
      <c r="W1719" s="74"/>
      <c r="X1719" s="74"/>
      <c r="Y1719" s="74"/>
      <c r="Z1719" s="74"/>
      <c r="AA1719" s="74"/>
      <c r="AB1719" s="74"/>
    </row>
    <row r="1720" spans="1:28" ht="12" customHeight="1">
      <c r="A1720" s="330"/>
      <c r="B1720" s="314"/>
      <c r="C1720" s="285"/>
      <c r="D1720" s="108"/>
      <c r="E1720" s="285"/>
      <c r="F1720" s="285"/>
      <c r="G1720" s="35"/>
      <c r="H1720" s="104"/>
      <c r="I1720" s="35"/>
      <c r="J1720" s="74"/>
      <c r="K1720" s="74"/>
      <c r="L1720" s="74"/>
      <c r="M1720" s="74"/>
      <c r="N1720" s="74"/>
      <c r="O1720" s="74"/>
      <c r="P1720" s="74"/>
      <c r="Q1720" s="74"/>
      <c r="R1720" s="74"/>
      <c r="S1720" s="74"/>
      <c r="T1720" s="74"/>
      <c r="U1720" s="74"/>
      <c r="V1720" s="74"/>
      <c r="W1720" s="74"/>
      <c r="X1720" s="74"/>
      <c r="Y1720" s="74"/>
      <c r="Z1720" s="74"/>
      <c r="AA1720" s="74"/>
      <c r="AB1720" s="74"/>
    </row>
    <row r="1721" spans="1:28" ht="12" customHeight="1">
      <c r="A1721" s="330"/>
      <c r="B1721" s="314"/>
      <c r="C1721" s="285"/>
      <c r="D1721" s="108"/>
      <c r="E1721" s="285"/>
      <c r="F1721" s="285"/>
      <c r="G1721" s="35"/>
      <c r="H1721" s="104"/>
      <c r="I1721" s="35"/>
      <c r="J1721" s="74"/>
      <c r="K1721" s="74"/>
      <c r="L1721" s="74"/>
      <c r="M1721" s="74"/>
      <c r="N1721" s="74"/>
      <c r="O1721" s="74"/>
      <c r="P1721" s="74"/>
      <c r="Q1721" s="74"/>
      <c r="R1721" s="74"/>
      <c r="S1721" s="74"/>
      <c r="T1721" s="74"/>
      <c r="U1721" s="74"/>
      <c r="V1721" s="74"/>
      <c r="W1721" s="74"/>
      <c r="X1721" s="74"/>
      <c r="Y1721" s="74"/>
      <c r="Z1721" s="74"/>
      <c r="AA1721" s="74"/>
      <c r="AB1721" s="74"/>
    </row>
    <row r="1722" spans="1:28" ht="12" customHeight="1">
      <c r="A1722" s="330"/>
      <c r="B1722" s="314"/>
      <c r="C1722" s="285"/>
      <c r="D1722" s="108"/>
      <c r="E1722" s="285"/>
      <c r="F1722" s="285"/>
      <c r="G1722" s="35"/>
      <c r="H1722" s="104"/>
      <c r="I1722" s="35"/>
      <c r="J1722" s="74"/>
      <c r="K1722" s="74"/>
      <c r="L1722" s="74"/>
      <c r="M1722" s="74"/>
      <c r="N1722" s="74"/>
      <c r="O1722" s="74"/>
      <c r="P1722" s="74"/>
      <c r="Q1722" s="74"/>
      <c r="R1722" s="74"/>
      <c r="S1722" s="74"/>
      <c r="T1722" s="74"/>
      <c r="U1722" s="74"/>
      <c r="V1722" s="74"/>
      <c r="W1722" s="74"/>
      <c r="X1722" s="74"/>
      <c r="Y1722" s="74"/>
      <c r="Z1722" s="74"/>
      <c r="AA1722" s="74"/>
      <c r="AB1722" s="74"/>
    </row>
    <row r="1723" spans="1:28" ht="12" customHeight="1">
      <c r="A1723" s="330"/>
      <c r="B1723" s="314"/>
      <c r="C1723" s="285"/>
      <c r="D1723" s="108"/>
      <c r="E1723" s="285"/>
      <c r="F1723" s="285"/>
      <c r="G1723" s="35"/>
      <c r="H1723" s="104"/>
      <c r="I1723" s="35"/>
      <c r="J1723" s="74"/>
      <c r="K1723" s="74"/>
      <c r="L1723" s="74"/>
      <c r="M1723" s="74"/>
      <c r="N1723" s="74"/>
      <c r="O1723" s="74"/>
      <c r="P1723" s="74"/>
      <c r="Q1723" s="74"/>
      <c r="R1723" s="74"/>
      <c r="S1723" s="74"/>
      <c r="T1723" s="74"/>
      <c r="U1723" s="74"/>
      <c r="V1723" s="74"/>
      <c r="W1723" s="74"/>
      <c r="X1723" s="74"/>
      <c r="Y1723" s="74"/>
      <c r="Z1723" s="74"/>
      <c r="AA1723" s="74"/>
      <c r="AB1723" s="74"/>
    </row>
    <row r="1724" spans="1:28" ht="12" customHeight="1">
      <c r="A1724" s="330"/>
      <c r="B1724" s="314"/>
      <c r="C1724" s="285"/>
      <c r="D1724" s="108"/>
      <c r="E1724" s="285"/>
      <c r="F1724" s="285"/>
      <c r="G1724" s="35"/>
      <c r="H1724" s="104"/>
      <c r="I1724" s="35"/>
      <c r="J1724" s="74"/>
      <c r="K1724" s="74"/>
      <c r="L1724" s="74"/>
      <c r="M1724" s="74"/>
      <c r="N1724" s="74"/>
      <c r="O1724" s="74"/>
      <c r="P1724" s="74"/>
      <c r="Q1724" s="74"/>
      <c r="R1724" s="74"/>
      <c r="S1724" s="74"/>
      <c r="T1724" s="74"/>
      <c r="U1724" s="74"/>
      <c r="V1724" s="74"/>
      <c r="W1724" s="74"/>
      <c r="X1724" s="74"/>
      <c r="Y1724" s="74"/>
      <c r="Z1724" s="74"/>
      <c r="AA1724" s="74"/>
      <c r="AB1724" s="74"/>
    </row>
    <row r="1725" spans="1:28" ht="12" customHeight="1">
      <c r="A1725" s="330"/>
      <c r="B1725" s="314"/>
      <c r="C1725" s="285"/>
      <c r="D1725" s="108"/>
      <c r="E1725" s="285"/>
      <c r="F1725" s="285"/>
      <c r="G1725" s="35"/>
      <c r="H1725" s="104"/>
      <c r="I1725" s="35"/>
      <c r="J1725" s="74"/>
      <c r="K1725" s="74"/>
      <c r="L1725" s="74"/>
      <c r="M1725" s="74"/>
      <c r="N1725" s="74"/>
      <c r="O1725" s="74"/>
      <c r="P1725" s="74"/>
      <c r="Q1725" s="74"/>
      <c r="R1725" s="74"/>
      <c r="S1725" s="74"/>
      <c r="T1725" s="74"/>
      <c r="U1725" s="74"/>
      <c r="V1725" s="74"/>
      <c r="W1725" s="74"/>
      <c r="X1725" s="74"/>
      <c r="Y1725" s="74"/>
      <c r="Z1725" s="74"/>
      <c r="AA1725" s="74"/>
      <c r="AB1725" s="74"/>
    </row>
    <row r="1726" spans="1:28" ht="12" customHeight="1">
      <c r="A1726" s="330"/>
      <c r="B1726" s="314"/>
      <c r="C1726" s="285"/>
      <c r="D1726" s="108"/>
      <c r="E1726" s="285"/>
      <c r="F1726" s="285"/>
      <c r="G1726" s="35"/>
      <c r="H1726" s="104"/>
      <c r="I1726" s="35"/>
      <c r="J1726" s="74"/>
      <c r="K1726" s="74"/>
      <c r="L1726" s="74"/>
      <c r="M1726" s="74"/>
      <c r="N1726" s="74"/>
      <c r="O1726" s="74"/>
      <c r="P1726" s="74"/>
      <c r="Q1726" s="74"/>
      <c r="R1726" s="74"/>
      <c r="S1726" s="74"/>
      <c r="T1726" s="74"/>
      <c r="U1726" s="74"/>
      <c r="V1726" s="74"/>
      <c r="W1726" s="74"/>
      <c r="X1726" s="74"/>
      <c r="Y1726" s="74"/>
      <c r="Z1726" s="74"/>
      <c r="AA1726" s="74"/>
      <c r="AB1726" s="74"/>
    </row>
    <row r="1727" spans="1:28" ht="12" customHeight="1">
      <c r="A1727" s="330"/>
      <c r="B1727" s="314"/>
      <c r="C1727" s="285"/>
      <c r="D1727" s="108"/>
      <c r="E1727" s="285"/>
      <c r="F1727" s="285"/>
      <c r="G1727" s="35"/>
      <c r="H1727" s="104"/>
      <c r="I1727" s="35"/>
      <c r="J1727" s="74"/>
      <c r="K1727" s="74"/>
      <c r="L1727" s="74"/>
      <c r="M1727" s="74"/>
      <c r="N1727" s="74"/>
      <c r="O1727" s="74"/>
      <c r="P1727" s="74"/>
      <c r="Q1727" s="74"/>
      <c r="R1727" s="74"/>
      <c r="S1727" s="74"/>
      <c r="T1727" s="74"/>
      <c r="U1727" s="74"/>
      <c r="V1727" s="74"/>
      <c r="W1727" s="74"/>
      <c r="X1727" s="74"/>
      <c r="Y1727" s="74"/>
      <c r="Z1727" s="74"/>
      <c r="AA1727" s="74"/>
      <c r="AB1727" s="74"/>
    </row>
    <row r="1728" spans="1:28" ht="12" customHeight="1">
      <c r="A1728" s="330"/>
      <c r="B1728" s="314"/>
      <c r="C1728" s="285"/>
      <c r="D1728" s="108"/>
      <c r="E1728" s="285"/>
      <c r="F1728" s="285"/>
      <c r="G1728" s="35"/>
      <c r="H1728" s="104"/>
      <c r="I1728" s="35"/>
      <c r="J1728" s="74"/>
      <c r="K1728" s="74"/>
      <c r="L1728" s="74"/>
      <c r="M1728" s="74"/>
      <c r="N1728" s="74"/>
      <c r="O1728" s="74"/>
      <c r="P1728" s="74"/>
      <c r="Q1728" s="74"/>
      <c r="R1728" s="74"/>
      <c r="S1728" s="74"/>
      <c r="T1728" s="74"/>
      <c r="U1728" s="74"/>
      <c r="V1728" s="74"/>
      <c r="W1728" s="74"/>
      <c r="X1728" s="74"/>
      <c r="Y1728" s="74"/>
      <c r="Z1728" s="74"/>
      <c r="AA1728" s="74"/>
      <c r="AB1728" s="74"/>
    </row>
    <row r="1729" spans="1:28" ht="12" customHeight="1">
      <c r="A1729" s="330"/>
      <c r="B1729" s="314"/>
      <c r="C1729" s="285"/>
      <c r="D1729" s="108"/>
      <c r="E1729" s="285"/>
      <c r="F1729" s="285"/>
      <c r="G1729" s="35"/>
      <c r="H1729" s="104"/>
      <c r="I1729" s="35"/>
      <c r="J1729" s="74"/>
      <c r="K1729" s="74"/>
      <c r="L1729" s="74"/>
      <c r="M1729" s="74"/>
      <c r="N1729" s="74"/>
      <c r="O1729" s="74"/>
      <c r="P1729" s="74"/>
      <c r="Q1729" s="74"/>
      <c r="R1729" s="74"/>
      <c r="S1729" s="74"/>
      <c r="T1729" s="74"/>
      <c r="U1729" s="74"/>
      <c r="V1729" s="74"/>
      <c r="W1729" s="74"/>
      <c r="X1729" s="74"/>
      <c r="Y1729" s="74"/>
      <c r="Z1729" s="74"/>
      <c r="AA1729" s="74"/>
      <c r="AB1729" s="74"/>
    </row>
    <row r="1730" spans="1:28" ht="12" customHeight="1">
      <c r="A1730" s="330"/>
      <c r="B1730" s="314"/>
      <c r="C1730" s="285"/>
      <c r="D1730" s="108"/>
      <c r="E1730" s="285"/>
      <c r="F1730" s="285"/>
      <c r="G1730" s="35"/>
      <c r="H1730" s="104"/>
      <c r="I1730" s="35"/>
      <c r="J1730" s="74"/>
      <c r="K1730" s="74"/>
      <c r="L1730" s="74"/>
      <c r="M1730" s="74"/>
      <c r="N1730" s="74"/>
      <c r="O1730" s="74"/>
      <c r="P1730" s="74"/>
      <c r="Q1730" s="74"/>
      <c r="R1730" s="74"/>
      <c r="S1730" s="74"/>
      <c r="T1730" s="74"/>
      <c r="U1730" s="74"/>
      <c r="V1730" s="74"/>
      <c r="W1730" s="74"/>
      <c r="X1730" s="74"/>
      <c r="Y1730" s="74"/>
      <c r="Z1730" s="74"/>
      <c r="AA1730" s="74"/>
      <c r="AB1730" s="74"/>
    </row>
    <row r="1731" spans="1:28" ht="12" customHeight="1">
      <c r="A1731" s="330"/>
      <c r="B1731" s="314"/>
      <c r="C1731" s="285"/>
      <c r="D1731" s="108"/>
      <c r="E1731" s="285"/>
      <c r="F1731" s="285"/>
      <c r="G1731" s="35"/>
      <c r="H1731" s="104"/>
      <c r="I1731" s="35"/>
      <c r="J1731" s="74"/>
      <c r="K1731" s="74"/>
      <c r="L1731" s="74"/>
      <c r="M1731" s="74"/>
      <c r="N1731" s="74"/>
      <c r="O1731" s="74"/>
      <c r="P1731" s="74"/>
      <c r="Q1731" s="74"/>
      <c r="R1731" s="74"/>
      <c r="S1731" s="74"/>
      <c r="T1731" s="74"/>
      <c r="U1731" s="74"/>
      <c r="V1731" s="74"/>
      <c r="W1731" s="74"/>
      <c r="X1731" s="74"/>
      <c r="Y1731" s="74"/>
      <c r="Z1731" s="74"/>
      <c r="AA1731" s="74"/>
      <c r="AB1731" s="74"/>
    </row>
    <row r="1732" spans="1:28" ht="12" customHeight="1">
      <c r="A1732" s="330"/>
      <c r="B1732" s="314"/>
      <c r="C1732" s="285"/>
      <c r="D1732" s="108"/>
      <c r="E1732" s="285"/>
      <c r="F1732" s="285"/>
      <c r="G1732" s="35"/>
      <c r="H1732" s="104"/>
      <c r="I1732" s="35"/>
      <c r="J1732" s="74"/>
      <c r="K1732" s="74"/>
      <c r="L1732" s="74"/>
      <c r="M1732" s="74"/>
      <c r="N1732" s="74"/>
      <c r="O1732" s="74"/>
      <c r="P1732" s="74"/>
      <c r="Q1732" s="74"/>
      <c r="R1732" s="74"/>
      <c r="S1732" s="74"/>
      <c r="T1732" s="74"/>
      <c r="U1732" s="74"/>
      <c r="V1732" s="74"/>
      <c r="W1732" s="74"/>
      <c r="X1732" s="74"/>
      <c r="Y1732" s="74"/>
      <c r="Z1732" s="74"/>
      <c r="AA1732" s="74"/>
      <c r="AB1732" s="74"/>
    </row>
    <row r="1733" spans="1:28" ht="12" customHeight="1">
      <c r="A1733" s="330"/>
      <c r="B1733" s="314"/>
      <c r="C1733" s="285"/>
      <c r="D1733" s="108"/>
      <c r="E1733" s="285"/>
      <c r="F1733" s="285"/>
      <c r="G1733" s="35"/>
      <c r="H1733" s="104"/>
      <c r="I1733" s="35"/>
      <c r="J1733" s="74"/>
      <c r="K1733" s="74"/>
      <c r="L1733" s="74"/>
      <c r="M1733" s="74"/>
      <c r="N1733" s="74"/>
      <c r="O1733" s="74"/>
      <c r="P1733" s="74"/>
      <c r="Q1733" s="74"/>
      <c r="R1733" s="74"/>
      <c r="S1733" s="74"/>
      <c r="T1733" s="74"/>
      <c r="U1733" s="74"/>
      <c r="V1733" s="74"/>
      <c r="W1733" s="74"/>
      <c r="X1733" s="74"/>
      <c r="Y1733" s="74"/>
      <c r="Z1733" s="74"/>
      <c r="AA1733" s="74"/>
      <c r="AB1733" s="74"/>
    </row>
    <row r="1734" spans="1:28" ht="12" customHeight="1">
      <c r="A1734" s="330"/>
      <c r="B1734" s="314"/>
      <c r="C1734" s="285"/>
      <c r="D1734" s="108"/>
      <c r="E1734" s="285"/>
      <c r="F1734" s="285"/>
      <c r="G1734" s="35"/>
      <c r="H1734" s="104"/>
      <c r="I1734" s="35"/>
      <c r="J1734" s="74"/>
      <c r="K1734" s="74"/>
      <c r="L1734" s="74"/>
      <c r="M1734" s="74"/>
      <c r="N1734" s="74"/>
      <c r="O1734" s="74"/>
      <c r="P1734" s="74"/>
      <c r="Q1734" s="74"/>
      <c r="R1734" s="74"/>
      <c r="S1734" s="74"/>
      <c r="T1734" s="74"/>
      <c r="U1734" s="74"/>
      <c r="V1734" s="74"/>
      <c r="W1734" s="74"/>
      <c r="X1734" s="74"/>
      <c r="Y1734" s="74"/>
      <c r="Z1734" s="74"/>
      <c r="AA1734" s="74"/>
      <c r="AB1734" s="74"/>
    </row>
    <row r="1735" spans="1:28" ht="12" customHeight="1">
      <c r="A1735" s="330"/>
      <c r="B1735" s="314"/>
      <c r="C1735" s="285"/>
      <c r="D1735" s="108"/>
      <c r="E1735" s="285"/>
      <c r="F1735" s="285"/>
      <c r="G1735" s="35"/>
      <c r="H1735" s="104"/>
      <c r="I1735" s="35"/>
      <c r="J1735" s="74"/>
      <c r="K1735" s="74"/>
      <c r="L1735" s="74"/>
      <c r="M1735" s="74"/>
      <c r="N1735" s="74"/>
      <c r="O1735" s="74"/>
      <c r="P1735" s="74"/>
      <c r="Q1735" s="74"/>
      <c r="R1735" s="74"/>
      <c r="S1735" s="74"/>
      <c r="T1735" s="74"/>
      <c r="U1735" s="74"/>
      <c r="V1735" s="74"/>
      <c r="W1735" s="74"/>
      <c r="X1735" s="74"/>
      <c r="Y1735" s="74"/>
      <c r="Z1735" s="74"/>
      <c r="AA1735" s="74"/>
      <c r="AB1735" s="74"/>
    </row>
    <row r="1736" spans="1:28" ht="12" customHeight="1">
      <c r="A1736" s="330"/>
      <c r="B1736" s="314"/>
      <c r="C1736" s="285"/>
      <c r="D1736" s="108"/>
      <c r="E1736" s="285"/>
      <c r="F1736" s="285"/>
      <c r="G1736" s="35"/>
      <c r="H1736" s="104"/>
      <c r="I1736" s="35"/>
      <c r="J1736" s="74"/>
      <c r="K1736" s="74"/>
      <c r="L1736" s="74"/>
      <c r="M1736" s="74"/>
      <c r="N1736" s="74"/>
      <c r="O1736" s="74"/>
      <c r="P1736" s="74"/>
      <c r="Q1736" s="74"/>
      <c r="R1736" s="74"/>
      <c r="S1736" s="74"/>
      <c r="T1736" s="74"/>
      <c r="U1736" s="74"/>
      <c r="V1736" s="74"/>
      <c r="W1736" s="74"/>
      <c r="X1736" s="74"/>
      <c r="Y1736" s="74"/>
      <c r="Z1736" s="74"/>
      <c r="AA1736" s="74"/>
      <c r="AB1736" s="74"/>
    </row>
    <row r="1737" spans="1:28" ht="12" customHeight="1">
      <c r="A1737" s="330"/>
      <c r="B1737" s="314"/>
      <c r="C1737" s="285"/>
      <c r="D1737" s="108"/>
      <c r="E1737" s="285"/>
      <c r="F1737" s="285"/>
      <c r="G1737" s="35"/>
      <c r="H1737" s="104"/>
      <c r="I1737" s="35"/>
      <c r="J1737" s="74"/>
      <c r="K1737" s="74"/>
      <c r="L1737" s="74"/>
      <c r="M1737" s="74"/>
      <c r="N1737" s="74"/>
      <c r="O1737" s="74"/>
      <c r="P1737" s="74"/>
      <c r="Q1737" s="74"/>
      <c r="R1737" s="74"/>
      <c r="S1737" s="74"/>
      <c r="T1737" s="74"/>
      <c r="U1737" s="74"/>
      <c r="V1737" s="74"/>
      <c r="W1737" s="74"/>
      <c r="X1737" s="74"/>
      <c r="Y1737" s="74"/>
      <c r="Z1737" s="74"/>
      <c r="AA1737" s="74"/>
      <c r="AB1737" s="74"/>
    </row>
    <row r="1738" spans="1:28" ht="12" customHeight="1">
      <c r="A1738" s="330"/>
      <c r="B1738" s="314"/>
      <c r="C1738" s="285"/>
      <c r="D1738" s="108"/>
      <c r="E1738" s="285"/>
      <c r="F1738" s="285"/>
      <c r="G1738" s="35"/>
      <c r="H1738" s="104"/>
      <c r="I1738" s="35"/>
      <c r="J1738" s="74"/>
      <c r="K1738" s="74"/>
      <c r="L1738" s="74"/>
      <c r="M1738" s="74"/>
      <c r="N1738" s="74"/>
      <c r="O1738" s="74"/>
      <c r="P1738" s="74"/>
      <c r="Q1738" s="74"/>
      <c r="R1738" s="74"/>
      <c r="S1738" s="74"/>
      <c r="T1738" s="74"/>
      <c r="U1738" s="74"/>
      <c r="V1738" s="74"/>
      <c r="W1738" s="74"/>
      <c r="X1738" s="74"/>
      <c r="Y1738" s="74"/>
      <c r="Z1738" s="74"/>
      <c r="AA1738" s="74"/>
      <c r="AB1738" s="74"/>
    </row>
    <row r="1739" spans="1:28" ht="12" customHeight="1">
      <c r="A1739" s="330"/>
      <c r="B1739" s="314"/>
      <c r="C1739" s="285"/>
      <c r="D1739" s="108"/>
      <c r="E1739" s="285"/>
      <c r="F1739" s="285"/>
      <c r="G1739" s="35"/>
      <c r="H1739" s="104"/>
      <c r="I1739" s="35"/>
      <c r="J1739" s="74"/>
      <c r="K1739" s="74"/>
      <c r="L1739" s="74"/>
      <c r="M1739" s="74"/>
      <c r="N1739" s="74"/>
      <c r="O1739" s="74"/>
      <c r="P1739" s="74"/>
      <c r="Q1739" s="74"/>
      <c r="R1739" s="74"/>
      <c r="S1739" s="74"/>
      <c r="T1739" s="74"/>
      <c r="U1739" s="74"/>
      <c r="V1739" s="74"/>
      <c r="W1739" s="74"/>
      <c r="X1739" s="74"/>
      <c r="Y1739" s="74"/>
      <c r="Z1739" s="74"/>
      <c r="AA1739" s="74"/>
      <c r="AB1739" s="74"/>
    </row>
    <row r="1740" spans="1:28" ht="12" customHeight="1">
      <c r="A1740" s="330"/>
      <c r="B1740" s="314"/>
      <c r="C1740" s="285"/>
      <c r="D1740" s="108"/>
      <c r="E1740" s="285"/>
      <c r="F1740" s="285"/>
      <c r="G1740" s="35"/>
      <c r="H1740" s="104"/>
      <c r="I1740" s="35"/>
      <c r="J1740" s="74"/>
      <c r="K1740" s="74"/>
      <c r="L1740" s="74"/>
      <c r="M1740" s="74"/>
      <c r="N1740" s="74"/>
      <c r="O1740" s="74"/>
      <c r="P1740" s="74"/>
      <c r="Q1740" s="74"/>
      <c r="R1740" s="74"/>
      <c r="S1740" s="74"/>
      <c r="T1740" s="74"/>
      <c r="U1740" s="74"/>
      <c r="V1740" s="74"/>
      <c r="W1740" s="74"/>
      <c r="X1740" s="74"/>
      <c r="Y1740" s="74"/>
      <c r="Z1740" s="74"/>
      <c r="AA1740" s="74"/>
      <c r="AB1740" s="74"/>
    </row>
    <row r="1741" spans="1:28" ht="12" customHeight="1">
      <c r="A1741" s="330"/>
      <c r="B1741" s="314"/>
      <c r="C1741" s="285"/>
      <c r="D1741" s="108"/>
      <c r="E1741" s="285"/>
      <c r="F1741" s="285"/>
      <c r="G1741" s="35"/>
      <c r="H1741" s="104"/>
      <c r="I1741" s="35"/>
      <c r="J1741" s="74"/>
      <c r="K1741" s="74"/>
      <c r="L1741" s="74"/>
      <c r="M1741" s="74"/>
      <c r="N1741" s="74"/>
      <c r="O1741" s="74"/>
      <c r="P1741" s="74"/>
      <c r="Q1741" s="74"/>
      <c r="R1741" s="74"/>
      <c r="S1741" s="74"/>
      <c r="T1741" s="74"/>
      <c r="U1741" s="74"/>
      <c r="V1741" s="74"/>
      <c r="W1741" s="74"/>
      <c r="X1741" s="74"/>
      <c r="Y1741" s="74"/>
      <c r="Z1741" s="74"/>
      <c r="AA1741" s="74"/>
      <c r="AB1741" s="74"/>
    </row>
    <row r="1742" spans="1:28" ht="12" customHeight="1">
      <c r="A1742" s="330"/>
      <c r="B1742" s="314"/>
      <c r="C1742" s="285"/>
      <c r="D1742" s="108"/>
      <c r="E1742" s="285"/>
      <c r="F1742" s="285"/>
      <c r="G1742" s="35"/>
      <c r="H1742" s="104"/>
      <c r="I1742" s="35"/>
      <c r="J1742" s="74"/>
      <c r="K1742" s="74"/>
      <c r="L1742" s="74"/>
      <c r="M1742" s="74"/>
      <c r="N1742" s="74"/>
      <c r="O1742" s="74"/>
      <c r="P1742" s="74"/>
      <c r="Q1742" s="74"/>
      <c r="R1742" s="74"/>
      <c r="S1742" s="74"/>
      <c r="T1742" s="74"/>
      <c r="U1742" s="74"/>
      <c r="V1742" s="74"/>
      <c r="W1742" s="74"/>
      <c r="X1742" s="74"/>
      <c r="Y1742" s="74"/>
      <c r="Z1742" s="74"/>
      <c r="AA1742" s="74"/>
      <c r="AB1742" s="74"/>
    </row>
    <row r="1743" spans="1:28" ht="12" customHeight="1">
      <c r="A1743" s="330"/>
      <c r="B1743" s="314"/>
      <c r="C1743" s="285"/>
      <c r="D1743" s="108"/>
      <c r="E1743" s="285"/>
      <c r="F1743" s="285"/>
      <c r="G1743" s="35"/>
      <c r="H1743" s="104"/>
      <c r="I1743" s="35"/>
      <c r="J1743" s="74"/>
      <c r="K1743" s="74"/>
      <c r="L1743" s="74"/>
      <c r="M1743" s="74"/>
      <c r="N1743" s="74"/>
      <c r="O1743" s="74"/>
      <c r="P1743" s="74"/>
      <c r="Q1743" s="74"/>
      <c r="R1743" s="74"/>
      <c r="S1743" s="74"/>
      <c r="T1743" s="74"/>
      <c r="U1743" s="74"/>
      <c r="V1743" s="74"/>
      <c r="W1743" s="74"/>
      <c r="X1743" s="74"/>
      <c r="Y1743" s="74"/>
      <c r="Z1743" s="74"/>
      <c r="AA1743" s="74"/>
      <c r="AB1743" s="74"/>
    </row>
    <row r="1744" spans="1:28" ht="12" customHeight="1">
      <c r="A1744" s="330"/>
      <c r="B1744" s="314"/>
      <c r="C1744" s="285"/>
      <c r="D1744" s="108"/>
      <c r="E1744" s="285"/>
      <c r="F1744" s="285"/>
      <c r="G1744" s="35"/>
      <c r="H1744" s="104"/>
      <c r="I1744" s="35"/>
      <c r="J1744" s="74"/>
      <c r="K1744" s="74"/>
      <c r="L1744" s="74"/>
      <c r="M1744" s="74"/>
      <c r="N1744" s="74"/>
      <c r="O1744" s="74"/>
      <c r="P1744" s="74"/>
      <c r="Q1744" s="74"/>
      <c r="R1744" s="74"/>
      <c r="S1744" s="74"/>
      <c r="T1744" s="74"/>
      <c r="U1744" s="74"/>
      <c r="V1744" s="74"/>
      <c r="W1744" s="74"/>
      <c r="X1744" s="74"/>
      <c r="Y1744" s="74"/>
      <c r="Z1744" s="74"/>
      <c r="AA1744" s="74"/>
      <c r="AB1744" s="74"/>
    </row>
    <row r="1745" spans="1:28" ht="12" customHeight="1">
      <c r="A1745" s="330"/>
      <c r="B1745" s="314"/>
      <c r="C1745" s="285"/>
      <c r="D1745" s="108"/>
      <c r="E1745" s="285"/>
      <c r="F1745" s="285"/>
      <c r="G1745" s="35"/>
      <c r="H1745" s="104"/>
      <c r="I1745" s="35"/>
      <c r="J1745" s="74"/>
      <c r="K1745" s="74"/>
      <c r="L1745" s="74"/>
      <c r="M1745" s="74"/>
      <c r="N1745" s="74"/>
      <c r="O1745" s="74"/>
      <c r="P1745" s="74"/>
      <c r="Q1745" s="74"/>
      <c r="R1745" s="74"/>
      <c r="S1745" s="74"/>
      <c r="T1745" s="74"/>
      <c r="U1745" s="74"/>
      <c r="V1745" s="74"/>
      <c r="W1745" s="74"/>
      <c r="X1745" s="74"/>
      <c r="Y1745" s="74"/>
      <c r="Z1745" s="74"/>
      <c r="AA1745" s="74"/>
      <c r="AB1745" s="74"/>
    </row>
    <row r="1746" spans="1:28" ht="12" customHeight="1">
      <c r="A1746" s="330"/>
      <c r="B1746" s="314"/>
      <c r="C1746" s="285"/>
      <c r="D1746" s="108"/>
      <c r="E1746" s="285"/>
      <c r="F1746" s="285"/>
      <c r="G1746" s="35"/>
      <c r="H1746" s="104"/>
      <c r="I1746" s="35"/>
      <c r="J1746" s="74"/>
      <c r="K1746" s="74"/>
      <c r="L1746" s="74"/>
      <c r="M1746" s="74"/>
      <c r="N1746" s="74"/>
      <c r="O1746" s="74"/>
      <c r="P1746" s="74"/>
      <c r="Q1746" s="74"/>
      <c r="R1746" s="74"/>
      <c r="S1746" s="74"/>
      <c r="T1746" s="74"/>
      <c r="U1746" s="74"/>
      <c r="V1746" s="74"/>
      <c r="W1746" s="74"/>
      <c r="X1746" s="74"/>
      <c r="Y1746" s="74"/>
      <c r="Z1746" s="74"/>
      <c r="AA1746" s="74"/>
      <c r="AB1746" s="74"/>
    </row>
    <row r="1747" spans="1:28" ht="12" customHeight="1">
      <c r="A1747" s="330"/>
      <c r="B1747" s="314"/>
      <c r="C1747" s="285"/>
      <c r="D1747" s="108"/>
      <c r="E1747" s="285"/>
      <c r="F1747" s="285"/>
      <c r="G1747" s="35"/>
      <c r="H1747" s="104"/>
      <c r="I1747" s="35"/>
      <c r="J1747" s="74"/>
      <c r="K1747" s="74"/>
      <c r="L1747" s="74"/>
      <c r="M1747" s="74"/>
      <c r="N1747" s="74"/>
      <c r="O1747" s="74"/>
      <c r="P1747" s="74"/>
      <c r="Q1747" s="74"/>
      <c r="R1747" s="74"/>
      <c r="S1747" s="74"/>
      <c r="T1747" s="74"/>
      <c r="U1747" s="74"/>
      <c r="V1747" s="74"/>
      <c r="W1747" s="74"/>
      <c r="X1747" s="74"/>
      <c r="Y1747" s="74"/>
      <c r="Z1747" s="74"/>
      <c r="AA1747" s="74"/>
      <c r="AB1747" s="74"/>
    </row>
    <row r="1748" spans="1:28" ht="12" customHeight="1">
      <c r="A1748" s="330"/>
      <c r="B1748" s="314"/>
      <c r="C1748" s="285"/>
      <c r="D1748" s="108"/>
      <c r="E1748" s="285"/>
      <c r="F1748" s="285"/>
      <c r="G1748" s="35"/>
      <c r="H1748" s="104"/>
      <c r="I1748" s="35"/>
      <c r="J1748" s="74"/>
      <c r="K1748" s="74"/>
      <c r="L1748" s="74"/>
      <c r="M1748" s="74"/>
      <c r="N1748" s="74"/>
      <c r="O1748" s="74"/>
      <c r="P1748" s="74"/>
      <c r="Q1748" s="74"/>
      <c r="R1748" s="74"/>
      <c r="S1748" s="74"/>
      <c r="T1748" s="74"/>
      <c r="U1748" s="74"/>
      <c r="V1748" s="74"/>
      <c r="W1748" s="74"/>
      <c r="X1748" s="74"/>
      <c r="Y1748" s="74"/>
      <c r="Z1748" s="74"/>
      <c r="AA1748" s="74"/>
      <c r="AB1748" s="74"/>
    </row>
    <row r="1749" spans="1:28" ht="12" customHeight="1">
      <c r="A1749" s="330"/>
      <c r="B1749" s="314"/>
      <c r="C1749" s="285"/>
      <c r="D1749" s="108"/>
      <c r="E1749" s="285"/>
      <c r="F1749" s="285"/>
      <c r="G1749" s="35"/>
      <c r="H1749" s="104"/>
      <c r="I1749" s="35"/>
      <c r="J1749" s="74"/>
      <c r="K1749" s="74"/>
      <c r="L1749" s="74"/>
      <c r="M1749" s="74"/>
      <c r="N1749" s="74"/>
      <c r="O1749" s="74"/>
      <c r="P1749" s="74"/>
      <c r="Q1749" s="74"/>
      <c r="R1749" s="74"/>
      <c r="S1749" s="74"/>
      <c r="T1749" s="74"/>
      <c r="U1749" s="74"/>
      <c r="V1749" s="74"/>
      <c r="W1749" s="74"/>
      <c r="X1749" s="74"/>
      <c r="Y1749" s="74"/>
      <c r="Z1749" s="74"/>
      <c r="AA1749" s="74"/>
      <c r="AB1749" s="74"/>
    </row>
    <row r="1750" spans="1:28" ht="12" customHeight="1">
      <c r="A1750" s="330"/>
      <c r="B1750" s="314"/>
      <c r="C1750" s="285"/>
      <c r="D1750" s="108"/>
      <c r="E1750" s="285"/>
      <c r="F1750" s="285"/>
      <c r="G1750" s="35"/>
      <c r="H1750" s="104"/>
      <c r="I1750" s="35"/>
      <c r="J1750" s="74"/>
      <c r="K1750" s="74"/>
      <c r="L1750" s="74"/>
      <c r="M1750" s="74"/>
      <c r="N1750" s="74"/>
      <c r="O1750" s="74"/>
      <c r="P1750" s="74"/>
      <c r="Q1750" s="74"/>
      <c r="R1750" s="74"/>
      <c r="S1750" s="74"/>
      <c r="T1750" s="74"/>
      <c r="U1750" s="74"/>
      <c r="V1750" s="74"/>
      <c r="W1750" s="74"/>
      <c r="X1750" s="74"/>
      <c r="Y1750" s="74"/>
      <c r="Z1750" s="74"/>
      <c r="AA1750" s="74"/>
      <c r="AB1750" s="74"/>
    </row>
    <row r="1751" spans="1:28" ht="12" customHeight="1">
      <c r="A1751" s="330"/>
      <c r="B1751" s="314"/>
      <c r="C1751" s="285"/>
      <c r="D1751" s="108"/>
      <c r="E1751" s="285"/>
      <c r="F1751" s="285"/>
      <c r="G1751" s="35"/>
      <c r="H1751" s="104"/>
      <c r="I1751" s="35"/>
      <c r="J1751" s="74"/>
      <c r="K1751" s="74"/>
      <c r="L1751" s="74"/>
      <c r="M1751" s="74"/>
      <c r="N1751" s="74"/>
      <c r="O1751" s="74"/>
      <c r="P1751" s="74"/>
      <c r="Q1751" s="74"/>
      <c r="R1751" s="74"/>
      <c r="S1751" s="74"/>
      <c r="T1751" s="74"/>
      <c r="U1751" s="74"/>
      <c r="V1751" s="74"/>
      <c r="W1751" s="74"/>
      <c r="X1751" s="74"/>
      <c r="Y1751" s="74"/>
      <c r="Z1751" s="74"/>
      <c r="AA1751" s="74"/>
      <c r="AB1751" s="74"/>
    </row>
    <row r="1752" spans="1:28" ht="12" customHeight="1">
      <c r="A1752" s="330"/>
      <c r="B1752" s="314"/>
      <c r="C1752" s="285"/>
      <c r="D1752" s="108"/>
      <c r="E1752" s="285"/>
      <c r="F1752" s="285"/>
      <c r="G1752" s="35"/>
      <c r="H1752" s="104"/>
      <c r="I1752" s="35"/>
      <c r="J1752" s="74"/>
      <c r="K1752" s="74"/>
      <c r="L1752" s="74"/>
      <c r="M1752" s="74"/>
      <c r="N1752" s="74"/>
      <c r="O1752" s="74"/>
      <c r="P1752" s="74"/>
      <c r="Q1752" s="74"/>
      <c r="R1752" s="74"/>
      <c r="S1752" s="74"/>
      <c r="T1752" s="74"/>
      <c r="U1752" s="74"/>
      <c r="V1752" s="74"/>
      <c r="W1752" s="74"/>
      <c r="X1752" s="74"/>
      <c r="Y1752" s="74"/>
      <c r="Z1752" s="74"/>
      <c r="AA1752" s="74"/>
      <c r="AB1752" s="74"/>
    </row>
    <row r="1753" spans="1:28" ht="12" customHeight="1">
      <c r="A1753" s="330"/>
      <c r="B1753" s="314"/>
      <c r="C1753" s="285"/>
      <c r="D1753" s="108"/>
      <c r="E1753" s="285"/>
      <c r="F1753" s="285"/>
      <c r="G1753" s="35"/>
      <c r="H1753" s="104"/>
      <c r="I1753" s="35"/>
      <c r="J1753" s="74"/>
      <c r="K1753" s="74"/>
      <c r="L1753" s="74"/>
      <c r="M1753" s="74"/>
      <c r="N1753" s="74"/>
      <c r="O1753" s="74"/>
      <c r="P1753" s="74"/>
      <c r="Q1753" s="74"/>
      <c r="R1753" s="74"/>
      <c r="S1753" s="74"/>
      <c r="T1753" s="74"/>
      <c r="U1753" s="74"/>
      <c r="V1753" s="74"/>
      <c r="W1753" s="74"/>
      <c r="X1753" s="74"/>
      <c r="Y1753" s="74"/>
      <c r="Z1753" s="74"/>
      <c r="AA1753" s="74"/>
      <c r="AB1753" s="74"/>
    </row>
    <row r="1754" spans="1:28" ht="12" customHeight="1">
      <c r="A1754" s="330"/>
      <c r="B1754" s="314"/>
      <c r="C1754" s="285"/>
      <c r="D1754" s="108"/>
      <c r="E1754" s="285"/>
      <c r="F1754" s="285"/>
      <c r="G1754" s="35"/>
      <c r="H1754" s="104"/>
      <c r="I1754" s="35"/>
      <c r="J1754" s="74"/>
      <c r="K1754" s="74"/>
      <c r="L1754" s="74"/>
      <c r="M1754" s="74"/>
      <c r="N1754" s="74"/>
      <c r="O1754" s="74"/>
      <c r="P1754" s="74"/>
      <c r="Q1754" s="74"/>
      <c r="R1754" s="74"/>
      <c r="S1754" s="74"/>
      <c r="T1754" s="74"/>
      <c r="U1754" s="74"/>
      <c r="V1754" s="74"/>
      <c r="W1754" s="74"/>
      <c r="X1754" s="74"/>
      <c r="Y1754" s="74"/>
      <c r="Z1754" s="74"/>
      <c r="AA1754" s="74"/>
      <c r="AB1754" s="74"/>
    </row>
    <row r="1755" spans="1:28" ht="12" customHeight="1">
      <c r="A1755" s="330"/>
      <c r="B1755" s="314"/>
      <c r="C1755" s="285"/>
      <c r="D1755" s="108"/>
      <c r="E1755" s="285"/>
      <c r="F1755" s="285"/>
      <c r="G1755" s="35"/>
      <c r="H1755" s="104"/>
      <c r="I1755" s="35"/>
      <c r="J1755" s="74"/>
      <c r="K1755" s="74"/>
      <c r="L1755" s="74"/>
      <c r="M1755" s="74"/>
      <c r="N1755" s="74"/>
      <c r="O1755" s="74"/>
      <c r="P1755" s="74"/>
      <c r="Q1755" s="74"/>
      <c r="R1755" s="74"/>
      <c r="S1755" s="74"/>
      <c r="T1755" s="74"/>
      <c r="U1755" s="74"/>
      <c r="V1755" s="74"/>
      <c r="W1755" s="74"/>
      <c r="X1755" s="74"/>
      <c r="Y1755" s="74"/>
      <c r="Z1755" s="74"/>
      <c r="AA1755" s="74"/>
      <c r="AB1755" s="74"/>
    </row>
    <row r="1756" spans="1:28" ht="12" customHeight="1">
      <c r="A1756" s="330"/>
      <c r="B1756" s="314"/>
      <c r="C1756" s="285"/>
      <c r="D1756" s="108"/>
      <c r="E1756" s="285"/>
      <c r="F1756" s="285"/>
      <c r="G1756" s="35"/>
      <c r="H1756" s="104"/>
      <c r="I1756" s="35"/>
      <c r="J1756" s="74"/>
      <c r="K1756" s="74"/>
      <c r="L1756" s="74"/>
      <c r="M1756" s="74"/>
      <c r="N1756" s="74"/>
      <c r="O1756" s="74"/>
      <c r="P1756" s="74"/>
      <c r="Q1756" s="74"/>
      <c r="R1756" s="74"/>
      <c r="S1756" s="74"/>
      <c r="T1756" s="74"/>
      <c r="U1756" s="74"/>
      <c r="V1756" s="74"/>
      <c r="W1756" s="74"/>
      <c r="X1756" s="74"/>
      <c r="Y1756" s="74"/>
      <c r="Z1756" s="74"/>
      <c r="AA1756" s="74"/>
      <c r="AB1756" s="74"/>
    </row>
    <row r="1757" spans="1:28" ht="12" customHeight="1">
      <c r="A1757" s="330"/>
      <c r="B1757" s="314"/>
      <c r="C1757" s="285"/>
      <c r="D1757" s="108"/>
      <c r="E1757" s="285"/>
      <c r="F1757" s="285"/>
      <c r="G1757" s="35"/>
      <c r="H1757" s="104"/>
      <c r="I1757" s="35"/>
      <c r="J1757" s="74"/>
      <c r="K1757" s="74"/>
      <c r="L1757" s="74"/>
      <c r="M1757" s="74"/>
      <c r="N1757" s="74"/>
      <c r="O1757" s="74"/>
      <c r="P1757" s="74"/>
      <c r="Q1757" s="74"/>
      <c r="R1757" s="74"/>
      <c r="S1757" s="74"/>
      <c r="T1757" s="74"/>
      <c r="U1757" s="74"/>
      <c r="V1757" s="74"/>
      <c r="W1757" s="74"/>
      <c r="X1757" s="74"/>
      <c r="Y1757" s="74"/>
      <c r="Z1757" s="74"/>
      <c r="AA1757" s="74"/>
      <c r="AB1757" s="74"/>
    </row>
    <row r="1758" spans="1:28" ht="12" customHeight="1">
      <c r="A1758" s="330"/>
      <c r="B1758" s="314"/>
      <c r="C1758" s="285"/>
      <c r="D1758" s="108"/>
      <c r="E1758" s="285"/>
      <c r="F1758" s="285"/>
      <c r="G1758" s="35"/>
      <c r="H1758" s="104"/>
      <c r="I1758" s="35"/>
      <c r="J1758" s="74"/>
      <c r="K1758" s="74"/>
      <c r="L1758" s="74"/>
      <c r="M1758" s="74"/>
      <c r="N1758" s="74"/>
      <c r="O1758" s="74"/>
      <c r="P1758" s="74"/>
      <c r="Q1758" s="74"/>
      <c r="R1758" s="74"/>
      <c r="S1758" s="74"/>
      <c r="T1758" s="74"/>
      <c r="U1758" s="74"/>
      <c r="V1758" s="74"/>
      <c r="W1758" s="74"/>
      <c r="X1758" s="74"/>
      <c r="Y1758" s="74"/>
      <c r="Z1758" s="74"/>
      <c r="AA1758" s="74"/>
      <c r="AB1758" s="74"/>
    </row>
    <row r="1759" spans="1:28" ht="12" customHeight="1">
      <c r="A1759" s="330"/>
      <c r="B1759" s="314"/>
      <c r="C1759" s="285"/>
      <c r="D1759" s="108"/>
      <c r="E1759" s="285"/>
      <c r="F1759" s="285"/>
      <c r="G1759" s="35"/>
      <c r="H1759" s="104"/>
      <c r="I1759" s="35"/>
      <c r="J1759" s="74"/>
      <c r="K1759" s="74"/>
      <c r="L1759" s="74"/>
      <c r="M1759" s="74"/>
      <c r="N1759" s="74"/>
      <c r="O1759" s="74"/>
      <c r="P1759" s="74"/>
      <c r="Q1759" s="74"/>
      <c r="R1759" s="74"/>
      <c r="S1759" s="74"/>
      <c r="T1759" s="74"/>
      <c r="U1759" s="74"/>
      <c r="V1759" s="74"/>
      <c r="W1759" s="74"/>
      <c r="X1759" s="74"/>
      <c r="Y1759" s="74"/>
      <c r="Z1759" s="74"/>
      <c r="AA1759" s="74"/>
      <c r="AB1759" s="74"/>
    </row>
    <row r="1760" spans="1:28" ht="12" customHeight="1">
      <c r="A1760" s="330"/>
      <c r="B1760" s="314"/>
      <c r="C1760" s="285"/>
      <c r="D1760" s="108"/>
      <c r="E1760" s="285"/>
      <c r="F1760" s="285"/>
      <c r="G1760" s="35"/>
      <c r="H1760" s="104"/>
      <c r="I1760" s="35"/>
      <c r="J1760" s="74"/>
      <c r="K1760" s="74"/>
      <c r="L1760" s="74"/>
      <c r="M1760" s="74"/>
      <c r="N1760" s="74"/>
      <c r="O1760" s="74"/>
      <c r="P1760" s="74"/>
      <c r="Q1760" s="74"/>
      <c r="R1760" s="74"/>
      <c r="S1760" s="74"/>
      <c r="T1760" s="74"/>
      <c r="U1760" s="74"/>
      <c r="V1760" s="74"/>
      <c r="W1760" s="74"/>
      <c r="X1760" s="74"/>
      <c r="Y1760" s="74"/>
      <c r="Z1760" s="74"/>
      <c r="AA1760" s="74"/>
      <c r="AB1760" s="74"/>
    </row>
    <row r="1761" spans="1:28" ht="12" customHeight="1">
      <c r="A1761" s="330"/>
      <c r="B1761" s="314"/>
      <c r="C1761" s="285"/>
      <c r="D1761" s="108"/>
      <c r="E1761" s="285"/>
      <c r="F1761" s="285"/>
      <c r="G1761" s="35"/>
      <c r="H1761" s="104"/>
      <c r="I1761" s="35"/>
      <c r="J1761" s="74"/>
      <c r="K1761" s="74"/>
      <c r="L1761" s="74"/>
      <c r="M1761" s="74"/>
      <c r="N1761" s="74"/>
      <c r="O1761" s="74"/>
      <c r="P1761" s="74"/>
      <c r="Q1761" s="74"/>
      <c r="R1761" s="74"/>
      <c r="S1761" s="74"/>
      <c r="T1761" s="74"/>
      <c r="U1761" s="74"/>
      <c r="V1761" s="74"/>
      <c r="W1761" s="74"/>
      <c r="X1761" s="74"/>
      <c r="Y1761" s="74"/>
      <c r="Z1761" s="74"/>
      <c r="AA1761" s="74"/>
      <c r="AB1761" s="74"/>
    </row>
    <row r="1762" spans="1:28" ht="12" customHeight="1">
      <c r="A1762" s="330"/>
      <c r="B1762" s="314"/>
      <c r="C1762" s="285"/>
      <c r="D1762" s="108"/>
      <c r="E1762" s="285"/>
      <c r="F1762" s="285"/>
      <c r="G1762" s="35"/>
      <c r="H1762" s="104"/>
      <c r="I1762" s="35"/>
      <c r="J1762" s="74"/>
      <c r="K1762" s="74"/>
      <c r="L1762" s="74"/>
      <c r="M1762" s="74"/>
      <c r="N1762" s="74"/>
      <c r="O1762" s="74"/>
      <c r="P1762" s="74"/>
      <c r="Q1762" s="74"/>
      <c r="R1762" s="74"/>
      <c r="S1762" s="74"/>
      <c r="T1762" s="74"/>
      <c r="U1762" s="74"/>
      <c r="V1762" s="74"/>
      <c r="W1762" s="74"/>
      <c r="X1762" s="74"/>
      <c r="Y1762" s="74"/>
      <c r="Z1762" s="74"/>
      <c r="AA1762" s="74"/>
      <c r="AB1762" s="74"/>
    </row>
    <row r="1763" spans="1:28" ht="12" customHeight="1">
      <c r="A1763" s="330"/>
      <c r="B1763" s="314"/>
      <c r="C1763" s="285"/>
      <c r="D1763" s="108"/>
      <c r="E1763" s="285"/>
      <c r="F1763" s="285"/>
      <c r="G1763" s="35"/>
      <c r="H1763" s="104"/>
      <c r="I1763" s="35"/>
      <c r="J1763" s="74"/>
      <c r="K1763" s="74"/>
      <c r="L1763" s="74"/>
      <c r="M1763" s="74"/>
      <c r="N1763" s="74"/>
      <c r="O1763" s="74"/>
      <c r="P1763" s="74"/>
      <c r="Q1763" s="74"/>
      <c r="R1763" s="74"/>
      <c r="S1763" s="74"/>
      <c r="T1763" s="74"/>
      <c r="U1763" s="74"/>
      <c r="V1763" s="74"/>
      <c r="W1763" s="74"/>
      <c r="X1763" s="74"/>
      <c r="Y1763" s="74"/>
      <c r="Z1763" s="74"/>
      <c r="AA1763" s="74"/>
      <c r="AB1763" s="74"/>
    </row>
    <row r="1764" spans="1:28" ht="12" customHeight="1">
      <c r="A1764" s="330"/>
      <c r="B1764" s="314"/>
      <c r="C1764" s="285"/>
      <c r="D1764" s="108"/>
      <c r="E1764" s="285"/>
      <c r="F1764" s="285"/>
      <c r="G1764" s="35"/>
      <c r="H1764" s="104"/>
      <c r="I1764" s="35"/>
      <c r="J1764" s="74"/>
      <c r="K1764" s="74"/>
      <c r="L1764" s="74"/>
      <c r="M1764" s="74"/>
      <c r="N1764" s="74"/>
      <c r="O1764" s="74"/>
      <c r="P1764" s="74"/>
      <c r="Q1764" s="74"/>
      <c r="R1764" s="74"/>
      <c r="S1764" s="74"/>
      <c r="T1764" s="74"/>
      <c r="U1764" s="74"/>
      <c r="V1764" s="74"/>
      <c r="W1764" s="74"/>
      <c r="X1764" s="74"/>
      <c r="Y1764" s="74"/>
      <c r="Z1764" s="74"/>
      <c r="AA1764" s="74"/>
      <c r="AB1764" s="74"/>
    </row>
    <row r="1765" spans="1:28" ht="12" customHeight="1">
      <c r="A1765" s="330"/>
      <c r="B1765" s="314"/>
      <c r="C1765" s="285"/>
      <c r="D1765" s="108"/>
      <c r="E1765" s="285"/>
      <c r="F1765" s="285"/>
      <c r="G1765" s="35"/>
      <c r="H1765" s="104"/>
      <c r="I1765" s="35"/>
      <c r="J1765" s="74"/>
      <c r="K1765" s="74"/>
      <c r="L1765" s="74"/>
      <c r="M1765" s="74"/>
      <c r="N1765" s="74"/>
      <c r="O1765" s="74"/>
      <c r="P1765" s="74"/>
      <c r="Q1765" s="74"/>
      <c r="R1765" s="74"/>
      <c r="S1765" s="74"/>
      <c r="T1765" s="74"/>
      <c r="U1765" s="74"/>
      <c r="V1765" s="74"/>
      <c r="W1765" s="74"/>
      <c r="X1765" s="74"/>
      <c r="Y1765" s="74"/>
      <c r="Z1765" s="74"/>
      <c r="AA1765" s="74"/>
      <c r="AB1765" s="74"/>
    </row>
    <row r="1766" spans="1:28" ht="12" customHeight="1">
      <c r="A1766" s="330"/>
      <c r="B1766" s="314"/>
      <c r="C1766" s="285"/>
      <c r="D1766" s="108"/>
      <c r="E1766" s="285"/>
      <c r="F1766" s="285"/>
      <c r="G1766" s="35"/>
      <c r="H1766" s="104"/>
      <c r="I1766" s="35"/>
      <c r="J1766" s="74"/>
      <c r="K1766" s="74"/>
      <c r="L1766" s="74"/>
      <c r="M1766" s="74"/>
      <c r="N1766" s="74"/>
      <c r="O1766" s="74"/>
      <c r="P1766" s="74"/>
      <c r="Q1766" s="74"/>
      <c r="R1766" s="74"/>
      <c r="S1766" s="74"/>
      <c r="T1766" s="74"/>
      <c r="U1766" s="74"/>
      <c r="V1766" s="74"/>
      <c r="W1766" s="74"/>
      <c r="X1766" s="74"/>
      <c r="Y1766" s="74"/>
      <c r="Z1766" s="74"/>
      <c r="AA1766" s="74"/>
      <c r="AB1766" s="74"/>
    </row>
    <row r="1767" spans="1:28" ht="12" customHeight="1">
      <c r="A1767" s="330"/>
      <c r="B1767" s="314"/>
      <c r="C1767" s="285"/>
      <c r="D1767" s="108"/>
      <c r="E1767" s="285"/>
      <c r="F1767" s="285"/>
      <c r="G1767" s="35"/>
      <c r="H1767" s="104"/>
      <c r="I1767" s="35"/>
      <c r="J1767" s="74"/>
      <c r="K1767" s="74"/>
      <c r="L1767" s="74"/>
      <c r="M1767" s="74"/>
      <c r="N1767" s="74"/>
      <c r="O1767" s="74"/>
      <c r="P1767" s="74"/>
      <c r="Q1767" s="74"/>
      <c r="R1767" s="74"/>
      <c r="S1767" s="74"/>
      <c r="T1767" s="74"/>
      <c r="U1767" s="74"/>
      <c r="V1767" s="74"/>
      <c r="W1767" s="74"/>
      <c r="X1767" s="74"/>
      <c r="Y1767" s="74"/>
      <c r="Z1767" s="74"/>
      <c r="AA1767" s="74"/>
      <c r="AB1767" s="74"/>
    </row>
    <row r="1768" spans="1:28" ht="12" customHeight="1">
      <c r="A1768" s="330"/>
      <c r="B1768" s="314"/>
      <c r="C1768" s="285"/>
      <c r="D1768" s="108"/>
      <c r="E1768" s="285"/>
      <c r="F1768" s="285"/>
      <c r="G1768" s="35"/>
      <c r="H1768" s="104"/>
      <c r="I1768" s="35"/>
      <c r="J1768" s="74"/>
      <c r="K1768" s="74"/>
      <c r="L1768" s="74"/>
      <c r="M1768" s="74"/>
      <c r="N1768" s="74"/>
      <c r="O1768" s="74"/>
      <c r="P1768" s="74"/>
      <c r="Q1768" s="74"/>
      <c r="R1768" s="74"/>
      <c r="S1768" s="74"/>
      <c r="T1768" s="74"/>
      <c r="U1768" s="74"/>
      <c r="V1768" s="74"/>
      <c r="W1768" s="74"/>
      <c r="X1768" s="74"/>
      <c r="Y1768" s="74"/>
      <c r="Z1768" s="74"/>
      <c r="AA1768" s="74"/>
      <c r="AB1768" s="74"/>
    </row>
    <row r="1769" spans="1:28" ht="12" customHeight="1">
      <c r="A1769" s="330"/>
      <c r="B1769" s="314"/>
      <c r="C1769" s="285"/>
      <c r="D1769" s="108"/>
      <c r="E1769" s="285"/>
      <c r="F1769" s="285"/>
      <c r="G1769" s="35"/>
      <c r="H1769" s="104"/>
      <c r="I1769" s="35"/>
      <c r="J1769" s="74"/>
      <c r="K1769" s="74"/>
      <c r="L1769" s="74"/>
      <c r="M1769" s="74"/>
      <c r="N1769" s="74"/>
      <c r="O1769" s="74"/>
      <c r="P1769" s="74"/>
      <c r="Q1769" s="74"/>
      <c r="R1769" s="74"/>
      <c r="S1769" s="74"/>
      <c r="T1769" s="74"/>
      <c r="U1769" s="74"/>
      <c r="V1769" s="74"/>
      <c r="W1769" s="74"/>
      <c r="X1769" s="74"/>
      <c r="Y1769" s="74"/>
      <c r="Z1769" s="74"/>
      <c r="AA1769" s="74"/>
      <c r="AB1769" s="74"/>
    </row>
    <row r="1770" spans="1:28" ht="12" customHeight="1">
      <c r="A1770" s="330"/>
      <c r="B1770" s="314"/>
      <c r="C1770" s="285"/>
      <c r="D1770" s="108"/>
      <c r="E1770" s="285"/>
      <c r="F1770" s="285"/>
      <c r="G1770" s="35"/>
      <c r="H1770" s="104"/>
      <c r="I1770" s="35"/>
      <c r="J1770" s="74"/>
      <c r="K1770" s="74"/>
      <c r="L1770" s="74"/>
      <c r="M1770" s="74"/>
      <c r="N1770" s="74"/>
      <c r="O1770" s="74"/>
      <c r="P1770" s="74"/>
      <c r="Q1770" s="74"/>
      <c r="R1770" s="74"/>
      <c r="S1770" s="74"/>
      <c r="T1770" s="74"/>
      <c r="U1770" s="74"/>
      <c r="V1770" s="74"/>
      <c r="W1770" s="74"/>
      <c r="X1770" s="74"/>
      <c r="Y1770" s="74"/>
      <c r="Z1770" s="74"/>
      <c r="AA1770" s="74"/>
      <c r="AB1770" s="74"/>
    </row>
    <row r="1771" spans="1:28" ht="12" customHeight="1">
      <c r="A1771" s="330"/>
      <c r="B1771" s="314"/>
      <c r="C1771" s="285"/>
      <c r="D1771" s="108"/>
      <c r="E1771" s="285"/>
      <c r="F1771" s="285"/>
      <c r="G1771" s="35"/>
      <c r="H1771" s="104"/>
      <c r="I1771" s="35"/>
      <c r="J1771" s="74"/>
      <c r="K1771" s="74"/>
      <c r="L1771" s="74"/>
      <c r="M1771" s="74"/>
      <c r="N1771" s="74"/>
      <c r="O1771" s="74"/>
      <c r="P1771" s="74"/>
      <c r="Q1771" s="74"/>
      <c r="R1771" s="74"/>
      <c r="S1771" s="74"/>
      <c r="T1771" s="74"/>
      <c r="U1771" s="74"/>
      <c r="V1771" s="74"/>
      <c r="W1771" s="74"/>
      <c r="X1771" s="74"/>
      <c r="Y1771" s="74"/>
      <c r="Z1771" s="74"/>
      <c r="AA1771" s="74"/>
      <c r="AB1771" s="74"/>
    </row>
    <row r="1772" spans="1:28" ht="12" customHeight="1">
      <c r="A1772" s="330"/>
      <c r="B1772" s="314"/>
      <c r="C1772" s="285"/>
      <c r="D1772" s="108"/>
      <c r="E1772" s="285"/>
      <c r="F1772" s="285"/>
      <c r="G1772" s="35"/>
      <c r="H1772" s="104"/>
      <c r="I1772" s="35"/>
      <c r="J1772" s="74"/>
      <c r="K1772" s="74"/>
      <c r="L1772" s="74"/>
      <c r="M1772" s="74"/>
      <c r="N1772" s="74"/>
      <c r="O1772" s="74"/>
      <c r="P1772" s="74"/>
      <c r="Q1772" s="74"/>
      <c r="R1772" s="74"/>
      <c r="S1772" s="74"/>
      <c r="T1772" s="74"/>
      <c r="U1772" s="74"/>
      <c r="V1772" s="74"/>
      <c r="W1772" s="74"/>
      <c r="X1772" s="74"/>
      <c r="Y1772" s="74"/>
      <c r="Z1772" s="74"/>
      <c r="AA1772" s="74"/>
      <c r="AB1772" s="74"/>
    </row>
    <row r="1773" spans="1:28" ht="12" customHeight="1">
      <c r="A1773" s="330"/>
      <c r="B1773" s="314"/>
      <c r="C1773" s="285"/>
      <c r="D1773" s="108"/>
      <c r="E1773" s="285"/>
      <c r="F1773" s="285"/>
      <c r="G1773" s="35"/>
      <c r="H1773" s="104"/>
      <c r="I1773" s="35"/>
      <c r="J1773" s="74"/>
      <c r="K1773" s="74"/>
      <c r="L1773" s="74"/>
      <c r="M1773" s="74"/>
      <c r="N1773" s="74"/>
      <c r="O1773" s="74"/>
      <c r="P1773" s="74"/>
      <c r="Q1773" s="74"/>
      <c r="R1773" s="74"/>
      <c r="S1773" s="74"/>
      <c r="T1773" s="74"/>
      <c r="U1773" s="74"/>
      <c r="V1773" s="74"/>
      <c r="W1773" s="74"/>
      <c r="X1773" s="74"/>
      <c r="Y1773" s="74"/>
      <c r="Z1773" s="74"/>
      <c r="AA1773" s="74"/>
      <c r="AB1773" s="74"/>
    </row>
    <row r="1774" spans="1:28" ht="12" customHeight="1">
      <c r="A1774" s="330"/>
      <c r="B1774" s="314"/>
      <c r="C1774" s="285"/>
      <c r="D1774" s="108"/>
      <c r="E1774" s="285"/>
      <c r="F1774" s="285"/>
      <c r="G1774" s="35"/>
      <c r="H1774" s="104"/>
      <c r="I1774" s="35"/>
      <c r="J1774" s="74"/>
      <c r="K1774" s="74"/>
      <c r="L1774" s="74"/>
      <c r="M1774" s="74"/>
      <c r="N1774" s="74"/>
      <c r="O1774" s="74"/>
      <c r="P1774" s="74"/>
      <c r="Q1774" s="74"/>
      <c r="R1774" s="74"/>
      <c r="S1774" s="74"/>
      <c r="T1774" s="74"/>
      <c r="U1774" s="74"/>
      <c r="V1774" s="74"/>
      <c r="W1774" s="74"/>
      <c r="X1774" s="74"/>
      <c r="Y1774" s="74"/>
      <c r="Z1774" s="74"/>
      <c r="AA1774" s="74"/>
      <c r="AB1774" s="74"/>
    </row>
    <row r="1775" spans="1:28" ht="12" customHeight="1">
      <c r="A1775" s="330"/>
      <c r="B1775" s="314"/>
      <c r="C1775" s="285"/>
      <c r="D1775" s="108"/>
      <c r="E1775" s="285"/>
      <c r="F1775" s="285"/>
      <c r="G1775" s="35"/>
      <c r="H1775" s="104"/>
      <c r="I1775" s="35"/>
      <c r="J1775" s="74"/>
      <c r="K1775" s="74"/>
      <c r="L1775" s="74"/>
      <c r="M1775" s="74"/>
      <c r="N1775" s="74"/>
      <c r="O1775" s="74"/>
      <c r="P1775" s="74"/>
      <c r="Q1775" s="74"/>
      <c r="R1775" s="74"/>
      <c r="S1775" s="74"/>
      <c r="T1775" s="74"/>
      <c r="U1775" s="74"/>
      <c r="V1775" s="74"/>
      <c r="W1775" s="74"/>
      <c r="X1775" s="74"/>
      <c r="Y1775" s="74"/>
      <c r="Z1775" s="74"/>
      <c r="AA1775" s="74"/>
      <c r="AB1775" s="74"/>
    </row>
    <row r="1776" spans="1:28" ht="12" customHeight="1">
      <c r="A1776" s="330"/>
      <c r="B1776" s="314"/>
      <c r="C1776" s="285"/>
      <c r="D1776" s="108"/>
      <c r="E1776" s="285"/>
      <c r="F1776" s="285"/>
      <c r="G1776" s="35"/>
      <c r="H1776" s="104"/>
      <c r="I1776" s="35"/>
      <c r="J1776" s="74"/>
      <c r="K1776" s="74"/>
      <c r="L1776" s="74"/>
      <c r="M1776" s="74"/>
      <c r="N1776" s="74"/>
      <c r="O1776" s="74"/>
      <c r="P1776" s="74"/>
      <c r="Q1776" s="74"/>
      <c r="R1776" s="74"/>
      <c r="S1776" s="74"/>
      <c r="T1776" s="74"/>
      <c r="U1776" s="74"/>
      <c r="V1776" s="74"/>
      <c r="W1776" s="74"/>
      <c r="X1776" s="74"/>
      <c r="Y1776" s="74"/>
      <c r="Z1776" s="74"/>
      <c r="AA1776" s="74"/>
      <c r="AB1776" s="74"/>
    </row>
    <row r="1777" spans="1:28" ht="12" customHeight="1">
      <c r="A1777" s="330"/>
      <c r="B1777" s="314"/>
      <c r="C1777" s="285"/>
      <c r="D1777" s="108"/>
      <c r="E1777" s="285"/>
      <c r="F1777" s="285"/>
      <c r="G1777" s="35"/>
      <c r="H1777" s="104"/>
      <c r="I1777" s="35"/>
      <c r="J1777" s="74"/>
      <c r="K1777" s="74"/>
      <c r="L1777" s="74"/>
      <c r="M1777" s="74"/>
      <c r="N1777" s="74"/>
      <c r="O1777" s="74"/>
      <c r="P1777" s="74"/>
      <c r="Q1777" s="74"/>
      <c r="R1777" s="74"/>
      <c r="S1777" s="74"/>
      <c r="T1777" s="74"/>
      <c r="U1777" s="74"/>
      <c r="V1777" s="74"/>
      <c r="W1777" s="74"/>
      <c r="X1777" s="74"/>
      <c r="Y1777" s="74"/>
      <c r="Z1777" s="74"/>
      <c r="AA1777" s="74"/>
      <c r="AB1777" s="74"/>
    </row>
    <row r="1778" spans="1:28" ht="12" customHeight="1">
      <c r="A1778" s="330"/>
      <c r="B1778" s="314"/>
      <c r="C1778" s="285"/>
      <c r="D1778" s="108"/>
      <c r="E1778" s="285"/>
      <c r="F1778" s="285"/>
      <c r="G1778" s="35"/>
      <c r="H1778" s="104"/>
      <c r="I1778" s="35"/>
      <c r="J1778" s="74"/>
      <c r="K1778" s="74"/>
      <c r="L1778" s="74"/>
      <c r="M1778" s="74"/>
      <c r="N1778" s="74"/>
      <c r="O1778" s="74"/>
      <c r="P1778" s="74"/>
      <c r="Q1778" s="74"/>
      <c r="R1778" s="74"/>
      <c r="S1778" s="74"/>
      <c r="T1778" s="74"/>
      <c r="U1778" s="74"/>
      <c r="V1778" s="74"/>
      <c r="W1778" s="74"/>
      <c r="X1778" s="74"/>
      <c r="Y1778" s="74"/>
      <c r="Z1778" s="74"/>
      <c r="AA1778" s="74"/>
      <c r="AB1778" s="74"/>
    </row>
    <row r="1779" spans="1:28" ht="12" customHeight="1">
      <c r="A1779" s="330"/>
      <c r="B1779" s="314"/>
      <c r="C1779" s="285"/>
      <c r="D1779" s="108"/>
      <c r="E1779" s="285"/>
      <c r="F1779" s="285"/>
      <c r="G1779" s="35"/>
      <c r="H1779" s="104"/>
      <c r="I1779" s="35"/>
      <c r="J1779" s="74"/>
      <c r="K1779" s="74"/>
      <c r="L1779" s="74"/>
      <c r="M1779" s="74"/>
      <c r="N1779" s="74"/>
      <c r="O1779" s="74"/>
      <c r="P1779" s="74"/>
      <c r="Q1779" s="74"/>
      <c r="R1779" s="74"/>
      <c r="S1779" s="74"/>
      <c r="T1779" s="74"/>
      <c r="U1779" s="74"/>
      <c r="V1779" s="74"/>
      <c r="W1779" s="74"/>
      <c r="X1779" s="74"/>
      <c r="Y1779" s="74"/>
      <c r="Z1779" s="74"/>
      <c r="AA1779" s="74"/>
      <c r="AB1779" s="74"/>
    </row>
    <row r="1780" spans="1:28" ht="12" customHeight="1">
      <c r="A1780" s="330"/>
      <c r="B1780" s="314"/>
      <c r="C1780" s="285"/>
      <c r="D1780" s="108"/>
      <c r="E1780" s="285"/>
      <c r="F1780" s="285"/>
      <c r="G1780" s="35"/>
      <c r="H1780" s="104"/>
      <c r="I1780" s="35"/>
      <c r="J1780" s="74"/>
      <c r="K1780" s="74"/>
      <c r="L1780" s="74"/>
      <c r="M1780" s="74"/>
      <c r="N1780" s="74"/>
      <c r="O1780" s="74"/>
      <c r="P1780" s="74"/>
      <c r="Q1780" s="74"/>
      <c r="R1780" s="74"/>
      <c r="S1780" s="74"/>
      <c r="T1780" s="74"/>
      <c r="U1780" s="74"/>
      <c r="V1780" s="74"/>
      <c r="W1780" s="74"/>
      <c r="X1780" s="74"/>
      <c r="Y1780" s="74"/>
      <c r="Z1780" s="74"/>
      <c r="AA1780" s="74"/>
      <c r="AB1780" s="74"/>
    </row>
    <row r="1781" spans="1:28" ht="12" customHeight="1">
      <c r="A1781" s="330"/>
      <c r="B1781" s="314"/>
      <c r="C1781" s="285"/>
      <c r="D1781" s="108"/>
      <c r="E1781" s="285"/>
      <c r="F1781" s="285"/>
      <c r="G1781" s="35"/>
      <c r="H1781" s="104"/>
      <c r="I1781" s="35"/>
      <c r="J1781" s="74"/>
      <c r="K1781" s="74"/>
      <c r="L1781" s="74"/>
      <c r="M1781" s="74"/>
      <c r="N1781" s="74"/>
      <c r="O1781" s="74"/>
      <c r="P1781" s="74"/>
      <c r="Q1781" s="74"/>
      <c r="R1781" s="74"/>
      <c r="S1781" s="74"/>
      <c r="T1781" s="74"/>
      <c r="U1781" s="74"/>
      <c r="V1781" s="74"/>
      <c r="W1781" s="74"/>
      <c r="X1781" s="74"/>
      <c r="Y1781" s="74"/>
      <c r="Z1781" s="74"/>
      <c r="AA1781" s="74"/>
      <c r="AB1781" s="74"/>
    </row>
    <row r="1782" spans="1:28" ht="12" customHeight="1">
      <c r="A1782" s="330"/>
      <c r="B1782" s="314"/>
      <c r="C1782" s="285"/>
      <c r="D1782" s="108"/>
      <c r="E1782" s="285"/>
      <c r="F1782" s="285"/>
      <c r="G1782" s="35"/>
      <c r="H1782" s="104"/>
      <c r="I1782" s="35"/>
      <c r="J1782" s="74"/>
      <c r="K1782" s="74"/>
      <c r="L1782" s="74"/>
      <c r="M1782" s="74"/>
      <c r="N1782" s="74"/>
      <c r="O1782" s="74"/>
      <c r="P1782" s="74"/>
      <c r="Q1782" s="74"/>
      <c r="R1782" s="74"/>
      <c r="S1782" s="74"/>
      <c r="T1782" s="74"/>
      <c r="U1782" s="74"/>
      <c r="V1782" s="74"/>
      <c r="W1782" s="74"/>
      <c r="X1782" s="74"/>
      <c r="Y1782" s="74"/>
      <c r="Z1782" s="74"/>
      <c r="AA1782" s="74"/>
      <c r="AB1782" s="74"/>
    </row>
    <row r="1783" spans="1:28" ht="12" customHeight="1">
      <c r="A1783" s="330"/>
      <c r="B1783" s="314"/>
      <c r="C1783" s="285"/>
      <c r="D1783" s="108"/>
      <c r="E1783" s="285"/>
      <c r="F1783" s="285"/>
      <c r="G1783" s="35"/>
      <c r="H1783" s="104"/>
      <c r="I1783" s="35"/>
      <c r="J1783" s="74"/>
      <c r="K1783" s="74"/>
      <c r="L1783" s="74"/>
      <c r="M1783" s="74"/>
      <c r="N1783" s="74"/>
      <c r="O1783" s="74"/>
      <c r="P1783" s="74"/>
      <c r="Q1783" s="74"/>
      <c r="R1783" s="74"/>
      <c r="S1783" s="74"/>
      <c r="T1783" s="74"/>
      <c r="U1783" s="74"/>
      <c r="V1783" s="74"/>
      <c r="W1783" s="74"/>
      <c r="X1783" s="74"/>
      <c r="Y1783" s="74"/>
      <c r="Z1783" s="74"/>
      <c r="AA1783" s="74"/>
      <c r="AB1783" s="74"/>
    </row>
    <row r="1784" spans="1:28" ht="12" customHeight="1">
      <c r="A1784" s="330"/>
      <c r="B1784" s="314"/>
      <c r="C1784" s="285"/>
      <c r="D1784" s="108"/>
      <c r="E1784" s="285"/>
      <c r="F1784" s="285"/>
      <c r="G1784" s="35"/>
      <c r="H1784" s="104"/>
      <c r="I1784" s="35"/>
      <c r="J1784" s="74"/>
      <c r="K1784" s="74"/>
      <c r="L1784" s="74"/>
      <c r="M1784" s="74"/>
      <c r="N1784" s="74"/>
      <c r="O1784" s="74"/>
      <c r="P1784" s="74"/>
      <c r="Q1784" s="74"/>
      <c r="R1784" s="74"/>
      <c r="S1784" s="74"/>
      <c r="T1784" s="74"/>
      <c r="U1784" s="74"/>
      <c r="V1784" s="74"/>
      <c r="W1784" s="74"/>
      <c r="X1784" s="74"/>
      <c r="Y1784" s="74"/>
      <c r="Z1784" s="74"/>
      <c r="AA1784" s="74"/>
      <c r="AB1784" s="74"/>
    </row>
    <row r="1785" spans="1:28" ht="12" customHeight="1">
      <c r="A1785" s="330"/>
      <c r="B1785" s="314"/>
      <c r="C1785" s="285"/>
      <c r="D1785" s="108"/>
      <c r="E1785" s="285"/>
      <c r="F1785" s="285"/>
      <c r="G1785" s="35"/>
      <c r="H1785" s="104"/>
      <c r="I1785" s="35"/>
      <c r="J1785" s="74"/>
      <c r="K1785" s="74"/>
      <c r="L1785" s="74"/>
      <c r="M1785" s="74"/>
      <c r="N1785" s="74"/>
      <c r="O1785" s="74"/>
      <c r="P1785" s="74"/>
      <c r="Q1785" s="74"/>
      <c r="R1785" s="74"/>
      <c r="S1785" s="74"/>
      <c r="T1785" s="74"/>
      <c r="U1785" s="74"/>
      <c r="V1785" s="74"/>
      <c r="W1785" s="74"/>
      <c r="X1785" s="74"/>
      <c r="Y1785" s="74"/>
      <c r="Z1785" s="74"/>
      <c r="AA1785" s="74"/>
      <c r="AB1785" s="74"/>
    </row>
    <row r="1786" spans="1:28" ht="12" customHeight="1">
      <c r="A1786" s="330"/>
      <c r="B1786" s="314"/>
      <c r="C1786" s="285"/>
      <c r="D1786" s="108"/>
      <c r="E1786" s="285"/>
      <c r="F1786" s="285"/>
      <c r="G1786" s="35"/>
      <c r="H1786" s="104"/>
      <c r="I1786" s="35"/>
      <c r="J1786" s="74"/>
      <c r="K1786" s="74"/>
      <c r="L1786" s="74"/>
      <c r="M1786" s="74"/>
      <c r="N1786" s="74"/>
      <c r="O1786" s="74"/>
      <c r="P1786" s="74"/>
      <c r="Q1786" s="74"/>
      <c r="R1786" s="74"/>
      <c r="S1786" s="74"/>
      <c r="T1786" s="74"/>
      <c r="U1786" s="74"/>
      <c r="V1786" s="74"/>
      <c r="W1786" s="74"/>
      <c r="X1786" s="74"/>
      <c r="Y1786" s="74"/>
      <c r="Z1786" s="74"/>
      <c r="AA1786" s="74"/>
      <c r="AB1786" s="74"/>
    </row>
    <row r="1787" spans="1:28" ht="12" customHeight="1">
      <c r="A1787" s="330"/>
      <c r="B1787" s="314"/>
      <c r="C1787" s="285"/>
      <c r="D1787" s="108"/>
      <c r="E1787" s="285"/>
      <c r="F1787" s="285"/>
      <c r="G1787" s="35"/>
      <c r="H1787" s="104"/>
      <c r="I1787" s="35"/>
      <c r="J1787" s="74"/>
      <c r="K1787" s="74"/>
      <c r="L1787" s="74"/>
      <c r="M1787" s="74"/>
      <c r="N1787" s="74"/>
      <c r="O1787" s="74"/>
      <c r="P1787" s="74"/>
      <c r="Q1787" s="74"/>
      <c r="R1787" s="74"/>
      <c r="S1787" s="74"/>
      <c r="T1787" s="74"/>
      <c r="U1787" s="74"/>
      <c r="V1787" s="74"/>
      <c r="W1787" s="74"/>
      <c r="X1787" s="74"/>
      <c r="Y1787" s="74"/>
      <c r="Z1787" s="74"/>
      <c r="AA1787" s="74"/>
      <c r="AB1787" s="74"/>
    </row>
    <row r="1788" spans="1:28" ht="12" customHeight="1">
      <c r="A1788" s="330"/>
      <c r="B1788" s="314"/>
      <c r="C1788" s="285"/>
      <c r="D1788" s="108"/>
      <c r="E1788" s="285"/>
      <c r="F1788" s="285"/>
      <c r="G1788" s="35"/>
      <c r="H1788" s="104"/>
      <c r="I1788" s="35"/>
      <c r="J1788" s="74"/>
      <c r="K1788" s="74"/>
      <c r="L1788" s="74"/>
      <c r="M1788" s="74"/>
      <c r="N1788" s="74"/>
      <c r="O1788" s="74"/>
      <c r="P1788" s="74"/>
      <c r="Q1788" s="74"/>
      <c r="R1788" s="74"/>
      <c r="S1788" s="74"/>
      <c r="T1788" s="74"/>
      <c r="U1788" s="74"/>
      <c r="V1788" s="74"/>
      <c r="W1788" s="74"/>
      <c r="X1788" s="74"/>
      <c r="Y1788" s="74"/>
      <c r="Z1788" s="74"/>
      <c r="AA1788" s="74"/>
      <c r="AB1788" s="74"/>
    </row>
    <row r="1789" spans="1:28" ht="12" customHeight="1">
      <c r="A1789" s="330"/>
      <c r="B1789" s="314"/>
      <c r="C1789" s="285"/>
      <c r="D1789" s="108"/>
      <c r="E1789" s="285"/>
      <c r="F1789" s="285"/>
      <c r="G1789" s="35"/>
      <c r="H1789" s="104"/>
      <c r="I1789" s="35"/>
      <c r="J1789" s="74"/>
      <c r="K1789" s="74"/>
      <c r="L1789" s="74"/>
      <c r="M1789" s="74"/>
      <c r="N1789" s="74"/>
      <c r="O1789" s="74"/>
      <c r="P1789" s="74"/>
      <c r="Q1789" s="74"/>
      <c r="R1789" s="74"/>
      <c r="S1789" s="74"/>
      <c r="T1789" s="74"/>
      <c r="U1789" s="74"/>
      <c r="V1789" s="74"/>
      <c r="W1789" s="74"/>
      <c r="X1789" s="74"/>
      <c r="Y1789" s="74"/>
      <c r="Z1789" s="74"/>
      <c r="AA1789" s="74"/>
      <c r="AB1789" s="74"/>
    </row>
    <row r="1790" spans="1:28" ht="12" customHeight="1">
      <c r="A1790" s="330"/>
      <c r="B1790" s="314"/>
      <c r="C1790" s="285"/>
      <c r="D1790" s="108"/>
      <c r="E1790" s="285"/>
      <c r="F1790" s="285"/>
      <c r="G1790" s="35"/>
      <c r="H1790" s="104"/>
      <c r="I1790" s="35"/>
      <c r="J1790" s="74"/>
      <c r="K1790" s="74"/>
      <c r="L1790" s="74"/>
      <c r="M1790" s="74"/>
      <c r="N1790" s="74"/>
      <c r="O1790" s="74"/>
      <c r="P1790" s="74"/>
      <c r="Q1790" s="74"/>
      <c r="R1790" s="74"/>
      <c r="S1790" s="74"/>
      <c r="T1790" s="74"/>
      <c r="U1790" s="74"/>
      <c r="V1790" s="74"/>
      <c r="W1790" s="74"/>
      <c r="X1790" s="74"/>
      <c r="Y1790" s="74"/>
      <c r="Z1790" s="74"/>
      <c r="AA1790" s="74"/>
      <c r="AB1790" s="74"/>
    </row>
    <row r="1791" spans="1:28" ht="12" customHeight="1">
      <c r="A1791" s="330"/>
      <c r="B1791" s="314"/>
      <c r="C1791" s="285"/>
      <c r="D1791" s="108"/>
      <c r="E1791" s="285"/>
      <c r="F1791" s="285"/>
      <c r="G1791" s="35"/>
      <c r="H1791" s="104"/>
      <c r="I1791" s="35"/>
      <c r="J1791" s="74"/>
      <c r="K1791" s="74"/>
      <c r="L1791" s="74"/>
      <c r="M1791" s="74"/>
      <c r="N1791" s="74"/>
      <c r="O1791" s="74"/>
      <c r="P1791" s="74"/>
      <c r="Q1791" s="74"/>
      <c r="R1791" s="74"/>
      <c r="S1791" s="74"/>
      <c r="T1791" s="74"/>
      <c r="U1791" s="74"/>
      <c r="V1791" s="74"/>
      <c r="W1791" s="74"/>
      <c r="X1791" s="74"/>
      <c r="Y1791" s="74"/>
      <c r="Z1791" s="74"/>
      <c r="AA1791" s="74"/>
      <c r="AB1791" s="74"/>
    </row>
    <row r="1792" spans="1:28" ht="12" customHeight="1">
      <c r="A1792" s="330"/>
      <c r="B1792" s="314"/>
      <c r="C1792" s="285"/>
      <c r="D1792" s="108"/>
      <c r="E1792" s="285"/>
      <c r="F1792" s="285"/>
      <c r="G1792" s="35"/>
      <c r="H1792" s="104"/>
      <c r="I1792" s="35"/>
      <c r="J1792" s="74"/>
      <c r="K1792" s="74"/>
      <c r="L1792" s="74"/>
      <c r="M1792" s="74"/>
      <c r="N1792" s="74"/>
      <c r="O1792" s="74"/>
      <c r="P1792" s="74"/>
      <c r="Q1792" s="74"/>
      <c r="R1792" s="74"/>
      <c r="S1792" s="74"/>
      <c r="T1792" s="74"/>
      <c r="U1792" s="74"/>
      <c r="V1792" s="74"/>
      <c r="W1792" s="74"/>
      <c r="X1792" s="74"/>
      <c r="Y1792" s="74"/>
      <c r="Z1792" s="74"/>
      <c r="AA1792" s="74"/>
      <c r="AB1792" s="74"/>
    </row>
    <row r="1793" spans="1:28" ht="12" customHeight="1">
      <c r="A1793" s="330"/>
      <c r="B1793" s="314"/>
      <c r="C1793" s="285"/>
      <c r="D1793" s="108"/>
      <c r="E1793" s="285"/>
      <c r="F1793" s="285"/>
      <c r="G1793" s="35"/>
      <c r="H1793" s="104"/>
      <c r="I1793" s="35"/>
      <c r="J1793" s="74"/>
      <c r="K1793" s="74"/>
      <c r="L1793" s="74"/>
      <c r="M1793" s="74"/>
      <c r="N1793" s="74"/>
      <c r="O1793" s="74"/>
      <c r="P1793" s="74"/>
      <c r="Q1793" s="74"/>
      <c r="R1793" s="74"/>
      <c r="S1793" s="74"/>
      <c r="T1793" s="74"/>
      <c r="U1793" s="74"/>
      <c r="V1793" s="74"/>
      <c r="W1793" s="74"/>
      <c r="X1793" s="74"/>
      <c r="Y1793" s="74"/>
      <c r="Z1793" s="74"/>
      <c r="AA1793" s="74"/>
      <c r="AB1793" s="74"/>
    </row>
    <row r="1794" spans="1:28" ht="12" customHeight="1">
      <c r="A1794" s="330"/>
      <c r="B1794" s="314"/>
      <c r="C1794" s="285"/>
      <c r="D1794" s="108"/>
      <c r="E1794" s="285"/>
      <c r="F1794" s="285"/>
      <c r="G1794" s="35"/>
      <c r="H1794" s="104"/>
      <c r="I1794" s="35"/>
      <c r="J1794" s="74"/>
      <c r="K1794" s="74"/>
      <c r="L1794" s="74"/>
      <c r="M1794" s="74"/>
      <c r="N1794" s="74"/>
      <c r="O1794" s="74"/>
      <c r="P1794" s="74"/>
      <c r="Q1794" s="74"/>
      <c r="R1794" s="74"/>
      <c r="S1794" s="74"/>
      <c r="T1794" s="74"/>
      <c r="U1794" s="74"/>
      <c r="V1794" s="74"/>
      <c r="W1794" s="74"/>
      <c r="X1794" s="74"/>
      <c r="Y1794" s="74"/>
      <c r="Z1794" s="74"/>
      <c r="AA1794" s="74"/>
      <c r="AB1794" s="74"/>
    </row>
    <row r="1795" spans="1:28" ht="12" customHeight="1">
      <c r="A1795" s="330"/>
      <c r="B1795" s="314"/>
      <c r="C1795" s="285"/>
      <c r="D1795" s="108"/>
      <c r="E1795" s="285"/>
      <c r="F1795" s="285"/>
      <c r="G1795" s="35"/>
      <c r="H1795" s="104"/>
      <c r="I1795" s="35"/>
      <c r="J1795" s="74"/>
      <c r="K1795" s="74"/>
      <c r="L1795" s="74"/>
      <c r="M1795" s="74"/>
      <c r="N1795" s="74"/>
      <c r="O1795" s="74"/>
      <c r="P1795" s="74"/>
      <c r="Q1795" s="74"/>
      <c r="R1795" s="74"/>
      <c r="S1795" s="74"/>
      <c r="T1795" s="74"/>
      <c r="U1795" s="74"/>
      <c r="V1795" s="74"/>
      <c r="W1795" s="74"/>
      <c r="X1795" s="74"/>
      <c r="Y1795" s="74"/>
      <c r="Z1795" s="74"/>
      <c r="AA1795" s="74"/>
      <c r="AB1795" s="74"/>
    </row>
    <row r="1796" spans="1:28" ht="12" customHeight="1">
      <c r="A1796" s="330"/>
      <c r="B1796" s="314"/>
      <c r="C1796" s="285"/>
      <c r="D1796" s="108"/>
      <c r="E1796" s="285"/>
      <c r="F1796" s="285"/>
      <c r="G1796" s="35"/>
      <c r="H1796" s="104"/>
      <c r="I1796" s="35"/>
      <c r="J1796" s="74"/>
      <c r="K1796" s="74"/>
      <c r="L1796" s="74"/>
      <c r="M1796" s="74"/>
      <c r="N1796" s="74"/>
      <c r="O1796" s="74"/>
      <c r="P1796" s="74"/>
      <c r="Q1796" s="74"/>
      <c r="R1796" s="74"/>
      <c r="S1796" s="74"/>
      <c r="T1796" s="74"/>
      <c r="U1796" s="74"/>
      <c r="V1796" s="74"/>
      <c r="W1796" s="74"/>
      <c r="X1796" s="74"/>
      <c r="Y1796" s="74"/>
      <c r="Z1796" s="74"/>
      <c r="AA1796" s="74"/>
      <c r="AB1796" s="74"/>
    </row>
    <row r="1797" spans="1:28" ht="12" customHeight="1">
      <c r="A1797" s="330"/>
      <c r="B1797" s="314"/>
      <c r="C1797" s="285"/>
      <c r="D1797" s="108"/>
      <c r="E1797" s="285"/>
      <c r="F1797" s="285"/>
      <c r="G1797" s="35"/>
      <c r="H1797" s="104"/>
      <c r="I1797" s="35"/>
      <c r="J1797" s="74"/>
      <c r="K1797" s="74"/>
      <c r="L1797" s="74"/>
      <c r="M1797" s="74"/>
      <c r="N1797" s="74"/>
      <c r="O1797" s="74"/>
      <c r="P1797" s="74"/>
      <c r="Q1797" s="74"/>
      <c r="R1797" s="74"/>
      <c r="S1797" s="74"/>
      <c r="T1797" s="74"/>
      <c r="U1797" s="74"/>
      <c r="V1797" s="74"/>
      <c r="W1797" s="74"/>
      <c r="X1797" s="74"/>
      <c r="Y1797" s="74"/>
      <c r="Z1797" s="74"/>
      <c r="AA1797" s="74"/>
      <c r="AB1797" s="74"/>
    </row>
    <row r="1798" spans="1:28" ht="12" customHeight="1">
      <c r="A1798" s="330"/>
      <c r="B1798" s="314"/>
      <c r="C1798" s="285"/>
      <c r="D1798" s="108"/>
      <c r="E1798" s="285"/>
      <c r="F1798" s="285"/>
      <c r="G1798" s="35"/>
      <c r="H1798" s="104"/>
      <c r="I1798" s="35"/>
      <c r="J1798" s="74"/>
      <c r="K1798" s="74"/>
      <c r="L1798" s="74"/>
      <c r="M1798" s="74"/>
      <c r="N1798" s="74"/>
      <c r="O1798" s="74"/>
      <c r="P1798" s="74"/>
      <c r="Q1798" s="74"/>
      <c r="R1798" s="74"/>
      <c r="S1798" s="74"/>
      <c r="T1798" s="74"/>
      <c r="U1798" s="74"/>
      <c r="V1798" s="74"/>
      <c r="W1798" s="74"/>
      <c r="X1798" s="74"/>
      <c r="Y1798" s="74"/>
      <c r="Z1798" s="74"/>
      <c r="AA1798" s="74"/>
      <c r="AB1798" s="74"/>
    </row>
    <row r="1799" spans="1:28" ht="12" customHeight="1">
      <c r="A1799" s="330"/>
      <c r="B1799" s="314"/>
      <c r="C1799" s="285"/>
      <c r="D1799" s="108"/>
      <c r="E1799" s="285"/>
      <c r="F1799" s="285"/>
      <c r="G1799" s="35"/>
      <c r="H1799" s="104"/>
      <c r="I1799" s="35"/>
      <c r="J1799" s="74"/>
      <c r="K1799" s="74"/>
      <c r="L1799" s="74"/>
      <c r="M1799" s="74"/>
      <c r="N1799" s="74"/>
      <c r="O1799" s="74"/>
      <c r="P1799" s="74"/>
      <c r="Q1799" s="74"/>
      <c r="R1799" s="74"/>
      <c r="S1799" s="74"/>
      <c r="T1799" s="74"/>
      <c r="U1799" s="74"/>
      <c r="V1799" s="74"/>
      <c r="W1799" s="74"/>
      <c r="X1799" s="74"/>
      <c r="Y1799" s="74"/>
      <c r="Z1799" s="74"/>
      <c r="AA1799" s="74"/>
      <c r="AB1799" s="74"/>
    </row>
    <row r="1800" spans="1:28" ht="12" customHeight="1">
      <c r="A1800" s="330"/>
      <c r="B1800" s="314"/>
      <c r="C1800" s="285"/>
      <c r="D1800" s="108"/>
      <c r="E1800" s="285"/>
      <c r="F1800" s="285"/>
      <c r="G1800" s="35"/>
      <c r="H1800" s="104"/>
      <c r="I1800" s="35"/>
      <c r="J1800" s="74"/>
      <c r="K1800" s="74"/>
      <c r="L1800" s="74"/>
      <c r="M1800" s="74"/>
      <c r="N1800" s="74"/>
      <c r="O1800" s="74"/>
      <c r="P1800" s="74"/>
      <c r="Q1800" s="74"/>
      <c r="R1800" s="74"/>
      <c r="S1800" s="74"/>
      <c r="T1800" s="74"/>
      <c r="U1800" s="74"/>
      <c r="V1800" s="74"/>
      <c r="W1800" s="74"/>
      <c r="X1800" s="74"/>
      <c r="Y1800" s="74"/>
      <c r="Z1800" s="74"/>
      <c r="AA1800" s="74"/>
      <c r="AB1800" s="74"/>
    </row>
    <row r="1801" spans="1:28" ht="12" customHeight="1">
      <c r="A1801" s="330"/>
      <c r="B1801" s="314"/>
      <c r="C1801" s="285"/>
      <c r="D1801" s="108"/>
      <c r="E1801" s="285"/>
      <c r="F1801" s="285"/>
      <c r="G1801" s="35"/>
      <c r="H1801" s="104"/>
      <c r="I1801" s="35"/>
      <c r="J1801" s="74"/>
      <c r="K1801" s="74"/>
      <c r="L1801" s="74"/>
      <c r="M1801" s="74"/>
      <c r="N1801" s="74"/>
      <c r="O1801" s="74"/>
      <c r="P1801" s="74"/>
      <c r="Q1801" s="74"/>
      <c r="R1801" s="74"/>
      <c r="S1801" s="74"/>
      <c r="T1801" s="74"/>
      <c r="U1801" s="74"/>
      <c r="V1801" s="74"/>
      <c r="W1801" s="74"/>
      <c r="X1801" s="74"/>
      <c r="Y1801" s="74"/>
      <c r="Z1801" s="74"/>
      <c r="AA1801" s="74"/>
      <c r="AB1801" s="74"/>
    </row>
    <row r="1802" spans="1:28" ht="12" customHeight="1">
      <c r="A1802" s="330"/>
      <c r="B1802" s="314"/>
      <c r="C1802" s="285"/>
      <c r="D1802" s="108"/>
      <c r="E1802" s="285"/>
      <c r="F1802" s="285"/>
      <c r="G1802" s="35"/>
      <c r="H1802" s="104"/>
      <c r="I1802" s="35"/>
      <c r="J1802" s="74"/>
      <c r="K1802" s="74"/>
      <c r="L1802" s="74"/>
      <c r="M1802" s="74"/>
      <c r="N1802" s="74"/>
      <c r="O1802" s="74"/>
      <c r="P1802" s="74"/>
      <c r="Q1802" s="74"/>
      <c r="R1802" s="74"/>
      <c r="S1802" s="74"/>
      <c r="T1802" s="74"/>
      <c r="U1802" s="74"/>
      <c r="V1802" s="74"/>
      <c r="W1802" s="74"/>
      <c r="X1802" s="74"/>
      <c r="Y1802" s="74"/>
      <c r="Z1802" s="74"/>
      <c r="AA1802" s="74"/>
      <c r="AB1802" s="74"/>
    </row>
    <row r="1803" spans="1:28" ht="12" customHeight="1">
      <c r="A1803" s="330"/>
      <c r="B1803" s="314"/>
      <c r="C1803" s="285"/>
      <c r="D1803" s="108"/>
      <c r="E1803" s="285"/>
      <c r="F1803" s="285"/>
      <c r="G1803" s="35"/>
      <c r="H1803" s="104"/>
      <c r="I1803" s="35"/>
      <c r="J1803" s="74"/>
      <c r="K1803" s="74"/>
      <c r="L1803" s="74"/>
      <c r="M1803" s="74"/>
      <c r="N1803" s="74"/>
      <c r="O1803" s="74"/>
      <c r="P1803" s="74"/>
      <c r="Q1803" s="74"/>
      <c r="R1803" s="74"/>
      <c r="S1803" s="74"/>
      <c r="T1803" s="74"/>
      <c r="U1803" s="74"/>
      <c r="V1803" s="74"/>
      <c r="W1803" s="74"/>
      <c r="X1803" s="74"/>
      <c r="Y1803" s="74"/>
      <c r="Z1803" s="74"/>
      <c r="AA1803" s="74"/>
      <c r="AB1803" s="74"/>
    </row>
    <row r="1804" spans="1:28" ht="12" customHeight="1">
      <c r="A1804" s="330"/>
      <c r="B1804" s="314"/>
      <c r="C1804" s="285"/>
      <c r="D1804" s="108"/>
      <c r="E1804" s="285"/>
      <c r="F1804" s="285"/>
      <c r="G1804" s="35"/>
      <c r="H1804" s="104"/>
      <c r="I1804" s="35"/>
      <c r="J1804" s="74"/>
      <c r="K1804" s="74"/>
      <c r="L1804" s="74"/>
      <c r="M1804" s="74"/>
      <c r="N1804" s="74"/>
      <c r="O1804" s="74"/>
      <c r="P1804" s="74"/>
      <c r="Q1804" s="74"/>
      <c r="R1804" s="74"/>
      <c r="S1804" s="74"/>
      <c r="T1804" s="74"/>
      <c r="U1804" s="74"/>
      <c r="V1804" s="74"/>
      <c r="W1804" s="74"/>
      <c r="X1804" s="74"/>
      <c r="Y1804" s="74"/>
      <c r="Z1804" s="74"/>
      <c r="AA1804" s="74"/>
      <c r="AB1804" s="74"/>
    </row>
    <row r="1805" spans="1:28" ht="12" customHeight="1">
      <c r="A1805" s="330"/>
      <c r="B1805" s="314"/>
      <c r="C1805" s="285"/>
      <c r="D1805" s="108"/>
      <c r="E1805" s="285"/>
      <c r="F1805" s="285"/>
      <c r="G1805" s="35"/>
      <c r="H1805" s="104"/>
      <c r="I1805" s="35"/>
      <c r="J1805" s="74"/>
      <c r="K1805" s="74"/>
      <c r="L1805" s="74"/>
      <c r="M1805" s="74"/>
      <c r="N1805" s="74"/>
      <c r="O1805" s="74"/>
      <c r="P1805" s="74"/>
      <c r="Q1805" s="74"/>
      <c r="R1805" s="74"/>
      <c r="S1805" s="74"/>
      <c r="T1805" s="74"/>
      <c r="U1805" s="74"/>
      <c r="V1805" s="74"/>
      <c r="W1805" s="74"/>
      <c r="X1805" s="74"/>
      <c r="Y1805" s="74"/>
      <c r="Z1805" s="74"/>
      <c r="AA1805" s="74"/>
      <c r="AB1805" s="74"/>
    </row>
    <row r="1806" spans="1:28" ht="12" customHeight="1">
      <c r="A1806" s="330"/>
      <c r="B1806" s="314"/>
      <c r="C1806" s="285"/>
      <c r="D1806" s="108"/>
      <c r="E1806" s="285"/>
      <c r="F1806" s="285"/>
      <c r="G1806" s="35"/>
      <c r="H1806" s="104"/>
      <c r="I1806" s="35"/>
      <c r="J1806" s="74"/>
      <c r="K1806" s="74"/>
      <c r="L1806" s="74"/>
      <c r="M1806" s="74"/>
      <c r="N1806" s="74"/>
      <c r="O1806" s="74"/>
      <c r="P1806" s="74"/>
      <c r="Q1806" s="74"/>
      <c r="R1806" s="74"/>
      <c r="S1806" s="74"/>
      <c r="T1806" s="74"/>
      <c r="U1806" s="74"/>
      <c r="V1806" s="74"/>
      <c r="W1806" s="74"/>
      <c r="X1806" s="74"/>
      <c r="Y1806" s="74"/>
      <c r="Z1806" s="74"/>
      <c r="AA1806" s="74"/>
      <c r="AB1806" s="74"/>
    </row>
    <row r="1807" spans="1:28" ht="12" customHeight="1">
      <c r="A1807" s="330"/>
      <c r="B1807" s="314"/>
      <c r="C1807" s="285"/>
      <c r="D1807" s="108"/>
      <c r="E1807" s="285"/>
      <c r="F1807" s="285"/>
      <c r="G1807" s="35"/>
      <c r="H1807" s="104"/>
      <c r="I1807" s="35"/>
      <c r="J1807" s="74"/>
      <c r="K1807" s="74"/>
      <c r="L1807" s="74"/>
      <c r="M1807" s="74"/>
      <c r="N1807" s="74"/>
      <c r="O1807" s="74"/>
      <c r="P1807" s="74"/>
      <c r="Q1807" s="74"/>
      <c r="R1807" s="74"/>
      <c r="S1807" s="74"/>
      <c r="T1807" s="74"/>
      <c r="U1807" s="74"/>
      <c r="V1807" s="74"/>
      <c r="W1807" s="74"/>
      <c r="X1807" s="74"/>
      <c r="Y1807" s="74"/>
      <c r="Z1807" s="74"/>
      <c r="AA1807" s="74"/>
      <c r="AB1807" s="74"/>
    </row>
    <row r="1808" spans="1:28" ht="12" customHeight="1">
      <c r="A1808" s="330"/>
      <c r="B1808" s="314"/>
      <c r="C1808" s="285"/>
      <c r="D1808" s="108"/>
      <c r="E1808" s="285"/>
      <c r="F1808" s="285"/>
      <c r="G1808" s="35"/>
      <c r="H1808" s="104"/>
      <c r="I1808" s="35"/>
      <c r="J1808" s="74"/>
      <c r="K1808" s="74"/>
      <c r="L1808" s="74"/>
      <c r="M1808" s="74"/>
      <c r="N1808" s="74"/>
      <c r="O1808" s="74"/>
      <c r="P1808" s="74"/>
      <c r="Q1808" s="74"/>
      <c r="R1808" s="74"/>
      <c r="S1808" s="74"/>
      <c r="T1808" s="74"/>
      <c r="U1808" s="74"/>
      <c r="V1808" s="74"/>
      <c r="W1808" s="74"/>
      <c r="X1808" s="74"/>
      <c r="Y1808" s="74"/>
      <c r="Z1808" s="74"/>
      <c r="AA1808" s="74"/>
      <c r="AB1808" s="74"/>
    </row>
    <row r="1809" spans="1:28" ht="12" customHeight="1">
      <c r="A1809" s="330"/>
      <c r="B1809" s="314"/>
      <c r="C1809" s="285"/>
      <c r="D1809" s="108"/>
      <c r="E1809" s="285"/>
      <c r="F1809" s="285"/>
      <c r="G1809" s="35"/>
      <c r="H1809" s="104"/>
      <c r="I1809" s="35"/>
      <c r="J1809" s="74"/>
      <c r="K1809" s="74"/>
      <c r="L1809" s="74"/>
      <c r="M1809" s="74"/>
      <c r="N1809" s="74"/>
      <c r="O1809" s="74"/>
      <c r="P1809" s="74"/>
      <c r="Q1809" s="74"/>
      <c r="R1809" s="74"/>
      <c r="S1809" s="74"/>
      <c r="T1809" s="74"/>
      <c r="U1809" s="74"/>
      <c r="V1809" s="74"/>
      <c r="W1809" s="74"/>
      <c r="X1809" s="74"/>
      <c r="Y1809" s="74"/>
      <c r="Z1809" s="74"/>
      <c r="AA1809" s="74"/>
      <c r="AB1809" s="74"/>
    </row>
    <row r="1810" spans="1:28" ht="12" customHeight="1">
      <c r="A1810" s="330"/>
      <c r="B1810" s="314"/>
      <c r="C1810" s="285"/>
      <c r="D1810" s="108"/>
      <c r="E1810" s="285"/>
      <c r="F1810" s="285"/>
      <c r="G1810" s="35"/>
      <c r="H1810" s="104"/>
      <c r="I1810" s="35"/>
      <c r="J1810" s="74"/>
      <c r="K1810" s="74"/>
      <c r="L1810" s="74"/>
      <c r="M1810" s="74"/>
      <c r="N1810" s="74"/>
      <c r="O1810" s="74"/>
      <c r="P1810" s="74"/>
      <c r="Q1810" s="74"/>
      <c r="R1810" s="74"/>
      <c r="S1810" s="74"/>
      <c r="T1810" s="74"/>
      <c r="U1810" s="74"/>
      <c r="V1810" s="74"/>
      <c r="W1810" s="74"/>
      <c r="X1810" s="74"/>
      <c r="Y1810" s="74"/>
      <c r="Z1810" s="74"/>
      <c r="AA1810" s="74"/>
      <c r="AB1810" s="74"/>
    </row>
    <row r="1811" spans="1:28" ht="12" customHeight="1">
      <c r="A1811" s="330"/>
      <c r="B1811" s="314"/>
      <c r="C1811" s="285"/>
      <c r="D1811" s="108"/>
      <c r="E1811" s="285"/>
      <c r="F1811" s="285"/>
      <c r="G1811" s="35"/>
      <c r="H1811" s="104"/>
      <c r="I1811" s="35"/>
      <c r="J1811" s="74"/>
      <c r="K1811" s="74"/>
      <c r="L1811" s="74"/>
      <c r="M1811" s="74"/>
      <c r="N1811" s="74"/>
      <c r="O1811" s="74"/>
      <c r="P1811" s="74"/>
      <c r="Q1811" s="74"/>
      <c r="R1811" s="74"/>
      <c r="S1811" s="74"/>
      <c r="T1811" s="74"/>
      <c r="U1811" s="74"/>
      <c r="V1811" s="74"/>
      <c r="W1811" s="74"/>
      <c r="X1811" s="74"/>
      <c r="Y1811" s="74"/>
      <c r="Z1811" s="74"/>
      <c r="AA1811" s="74"/>
      <c r="AB1811" s="74"/>
    </row>
    <row r="1812" spans="1:28" ht="12" customHeight="1">
      <c r="A1812" s="330"/>
      <c r="B1812" s="314"/>
      <c r="C1812" s="285"/>
      <c r="D1812" s="108"/>
      <c r="E1812" s="285"/>
      <c r="F1812" s="285"/>
      <c r="G1812" s="35"/>
      <c r="H1812" s="104"/>
      <c r="I1812" s="35"/>
      <c r="J1812" s="74"/>
      <c r="K1812" s="74"/>
      <c r="L1812" s="74"/>
      <c r="M1812" s="74"/>
      <c r="N1812" s="74"/>
      <c r="O1812" s="74"/>
      <c r="P1812" s="74"/>
      <c r="Q1812" s="74"/>
      <c r="R1812" s="74"/>
      <c r="S1812" s="74"/>
      <c r="T1812" s="74"/>
      <c r="U1812" s="74"/>
      <c r="V1812" s="74"/>
      <c r="W1812" s="74"/>
      <c r="X1812" s="74"/>
      <c r="Y1812" s="74"/>
      <c r="Z1812" s="74"/>
      <c r="AA1812" s="74"/>
      <c r="AB1812" s="74"/>
    </row>
    <row r="1813" spans="1:28" ht="12" customHeight="1">
      <c r="A1813" s="330"/>
      <c r="B1813" s="314"/>
      <c r="C1813" s="285"/>
      <c r="D1813" s="108"/>
      <c r="E1813" s="285"/>
      <c r="F1813" s="285"/>
      <c r="G1813" s="35"/>
      <c r="H1813" s="104"/>
      <c r="I1813" s="35"/>
      <c r="J1813" s="74"/>
      <c r="K1813" s="74"/>
      <c r="L1813" s="74"/>
      <c r="M1813" s="74"/>
      <c r="N1813" s="74"/>
      <c r="O1813" s="74"/>
      <c r="P1813" s="74"/>
      <c r="Q1813" s="74"/>
      <c r="R1813" s="74"/>
      <c r="S1813" s="74"/>
      <c r="T1813" s="74"/>
      <c r="U1813" s="74"/>
      <c r="V1813" s="74"/>
      <c r="W1813" s="74"/>
      <c r="X1813" s="74"/>
      <c r="Y1813" s="74"/>
      <c r="Z1813" s="74"/>
      <c r="AA1813" s="74"/>
      <c r="AB1813" s="74"/>
    </row>
    <row r="1814" spans="1:28" ht="12" customHeight="1">
      <c r="A1814" s="330"/>
      <c r="B1814" s="314"/>
      <c r="C1814" s="285"/>
      <c r="D1814" s="108"/>
      <c r="E1814" s="285"/>
      <c r="F1814" s="285"/>
      <c r="G1814" s="35"/>
      <c r="H1814" s="104"/>
      <c r="I1814" s="35"/>
      <c r="J1814" s="74"/>
      <c r="K1814" s="74"/>
      <c r="L1814" s="74"/>
      <c r="M1814" s="74"/>
      <c r="N1814" s="74"/>
      <c r="O1814" s="74"/>
      <c r="P1814" s="74"/>
      <c r="Q1814" s="74"/>
      <c r="R1814" s="74"/>
      <c r="S1814" s="74"/>
      <c r="T1814" s="74"/>
      <c r="U1814" s="74"/>
      <c r="V1814" s="74"/>
      <c r="W1814" s="74"/>
      <c r="X1814" s="74"/>
      <c r="Y1814" s="74"/>
      <c r="Z1814" s="74"/>
      <c r="AA1814" s="74"/>
      <c r="AB1814" s="74"/>
    </row>
    <row r="1815" spans="1:28" ht="12" customHeight="1">
      <c r="A1815" s="330"/>
      <c r="B1815" s="314"/>
      <c r="C1815" s="285"/>
      <c r="D1815" s="108"/>
      <c r="E1815" s="285"/>
      <c r="F1815" s="285"/>
      <c r="G1815" s="35"/>
      <c r="H1815" s="104"/>
      <c r="I1815" s="35"/>
      <c r="J1815" s="74"/>
      <c r="K1815" s="74"/>
      <c r="L1815" s="74"/>
      <c r="M1815" s="74"/>
      <c r="N1815" s="74"/>
      <c r="O1815" s="74"/>
      <c r="P1815" s="74"/>
      <c r="Q1815" s="74"/>
      <c r="R1815" s="74"/>
      <c r="S1815" s="74"/>
      <c r="T1815" s="74"/>
      <c r="U1815" s="74"/>
      <c r="V1815" s="74"/>
      <c r="W1815" s="74"/>
      <c r="X1815" s="74"/>
      <c r="Y1815" s="74"/>
      <c r="Z1815" s="74"/>
      <c r="AA1815" s="74"/>
      <c r="AB1815" s="74"/>
    </row>
    <row r="1816" spans="1:28" ht="12" customHeight="1">
      <c r="A1816" s="330"/>
      <c r="B1816" s="314"/>
      <c r="C1816" s="285"/>
      <c r="D1816" s="108"/>
      <c r="E1816" s="285"/>
      <c r="F1816" s="285"/>
      <c r="G1816" s="35"/>
      <c r="H1816" s="104"/>
      <c r="I1816" s="35"/>
      <c r="J1816" s="74"/>
      <c r="K1816" s="74"/>
      <c r="L1816" s="74"/>
      <c r="M1816" s="74"/>
      <c r="N1816" s="74"/>
      <c r="O1816" s="74"/>
      <c r="P1816" s="74"/>
      <c r="Q1816" s="74"/>
      <c r="R1816" s="74"/>
      <c r="S1816" s="74"/>
      <c r="T1816" s="74"/>
      <c r="U1816" s="74"/>
      <c r="V1816" s="74"/>
      <c r="W1816" s="74"/>
      <c r="X1816" s="74"/>
      <c r="Y1816" s="74"/>
      <c r="Z1816" s="74"/>
      <c r="AA1816" s="74"/>
      <c r="AB1816" s="74"/>
    </row>
    <row r="1817" spans="1:28" ht="12" customHeight="1">
      <c r="A1817" s="330"/>
      <c r="B1817" s="314"/>
      <c r="C1817" s="285"/>
      <c r="D1817" s="108"/>
      <c r="E1817" s="285"/>
      <c r="F1817" s="285"/>
      <c r="G1817" s="35"/>
      <c r="H1817" s="104"/>
      <c r="I1817" s="35"/>
      <c r="J1817" s="74"/>
      <c r="K1817" s="74"/>
      <c r="L1817" s="74"/>
      <c r="M1817" s="74"/>
      <c r="N1817" s="74"/>
      <c r="O1817" s="74"/>
      <c r="P1817" s="74"/>
      <c r="Q1817" s="74"/>
      <c r="R1817" s="74"/>
      <c r="S1817" s="74"/>
      <c r="T1817" s="74"/>
      <c r="U1817" s="74"/>
      <c r="V1817" s="74"/>
      <c r="W1817" s="74"/>
      <c r="X1817" s="74"/>
      <c r="Y1817" s="74"/>
      <c r="Z1817" s="74"/>
      <c r="AA1817" s="74"/>
      <c r="AB1817" s="74"/>
    </row>
    <row r="1818" spans="1:28" ht="12" customHeight="1">
      <c r="A1818" s="330"/>
      <c r="B1818" s="314"/>
      <c r="C1818" s="285"/>
      <c r="D1818" s="108"/>
      <c r="E1818" s="285"/>
      <c r="F1818" s="285"/>
      <c r="G1818" s="35"/>
      <c r="H1818" s="104"/>
      <c r="I1818" s="35"/>
      <c r="J1818" s="74"/>
      <c r="K1818" s="74"/>
      <c r="L1818" s="74"/>
      <c r="M1818" s="74"/>
      <c r="N1818" s="74"/>
      <c r="O1818" s="74"/>
      <c r="P1818" s="74"/>
      <c r="Q1818" s="74"/>
      <c r="R1818" s="74"/>
      <c r="S1818" s="74"/>
      <c r="T1818" s="74"/>
      <c r="U1818" s="74"/>
      <c r="V1818" s="74"/>
      <c r="W1818" s="74"/>
      <c r="X1818" s="74"/>
      <c r="Y1818" s="74"/>
      <c r="Z1818" s="74"/>
      <c r="AA1818" s="74"/>
      <c r="AB1818" s="74"/>
    </row>
    <row r="1819" spans="1:28" ht="12" customHeight="1">
      <c r="A1819" s="330"/>
      <c r="B1819" s="314"/>
      <c r="C1819" s="285"/>
      <c r="D1819" s="108"/>
      <c r="E1819" s="285"/>
      <c r="F1819" s="285"/>
      <c r="G1819" s="35"/>
      <c r="H1819" s="104"/>
      <c r="I1819" s="35"/>
      <c r="J1819" s="74"/>
      <c r="K1819" s="74"/>
      <c r="L1819" s="74"/>
      <c r="M1819" s="74"/>
      <c r="N1819" s="74"/>
      <c r="O1819" s="74"/>
      <c r="P1819" s="74"/>
      <c r="Q1819" s="74"/>
      <c r="R1819" s="74"/>
      <c r="S1819" s="74"/>
      <c r="T1819" s="74"/>
      <c r="U1819" s="74"/>
      <c r="V1819" s="74"/>
      <c r="W1819" s="74"/>
      <c r="X1819" s="74"/>
      <c r="Y1819" s="74"/>
      <c r="Z1819" s="74"/>
      <c r="AA1819" s="74"/>
      <c r="AB1819" s="74"/>
    </row>
    <row r="1820" spans="1:28" ht="12" customHeight="1">
      <c r="A1820" s="330"/>
      <c r="B1820" s="314"/>
      <c r="C1820" s="285"/>
      <c r="D1820" s="108"/>
      <c r="E1820" s="285"/>
      <c r="F1820" s="285"/>
      <c r="G1820" s="35"/>
      <c r="H1820" s="104"/>
      <c r="I1820" s="35"/>
      <c r="J1820" s="74"/>
      <c r="K1820" s="74"/>
      <c r="L1820" s="74"/>
      <c r="M1820" s="74"/>
      <c r="N1820" s="74"/>
      <c r="O1820" s="74"/>
      <c r="P1820" s="74"/>
      <c r="Q1820" s="74"/>
      <c r="R1820" s="74"/>
      <c r="S1820" s="74"/>
      <c r="T1820" s="74"/>
      <c r="U1820" s="74"/>
      <c r="V1820" s="74"/>
      <c r="W1820" s="74"/>
      <c r="X1820" s="74"/>
      <c r="Y1820" s="74"/>
      <c r="Z1820" s="74"/>
      <c r="AA1820" s="74"/>
      <c r="AB1820" s="74"/>
    </row>
    <row r="1821" spans="1:28" ht="12" customHeight="1">
      <c r="A1821" s="330"/>
      <c r="B1821" s="314"/>
      <c r="C1821" s="285"/>
      <c r="D1821" s="108"/>
      <c r="E1821" s="285"/>
      <c r="F1821" s="285"/>
      <c r="G1821" s="35"/>
      <c r="H1821" s="104"/>
      <c r="I1821" s="35"/>
      <c r="J1821" s="74"/>
      <c r="K1821" s="74"/>
      <c r="L1821" s="74"/>
      <c r="M1821" s="74"/>
      <c r="N1821" s="74"/>
      <c r="O1821" s="74"/>
      <c r="P1821" s="74"/>
      <c r="Q1821" s="74"/>
      <c r="R1821" s="74"/>
      <c r="S1821" s="74"/>
      <c r="T1821" s="74"/>
      <c r="U1821" s="74"/>
      <c r="V1821" s="74"/>
      <c r="W1821" s="74"/>
      <c r="X1821" s="74"/>
      <c r="Y1821" s="74"/>
      <c r="Z1821" s="74"/>
      <c r="AA1821" s="74"/>
      <c r="AB1821" s="74"/>
    </row>
    <row r="1822" spans="1:28" ht="12" customHeight="1">
      <c r="A1822" s="330"/>
      <c r="B1822" s="314"/>
      <c r="C1822" s="285"/>
      <c r="D1822" s="108"/>
      <c r="E1822" s="285"/>
      <c r="F1822" s="285"/>
      <c r="G1822" s="35"/>
      <c r="H1822" s="104"/>
      <c r="I1822" s="35"/>
      <c r="J1822" s="74"/>
      <c r="K1822" s="74"/>
      <c r="L1822" s="74"/>
      <c r="M1822" s="74"/>
      <c r="N1822" s="74"/>
      <c r="O1822" s="74"/>
      <c r="P1822" s="74"/>
      <c r="Q1822" s="74"/>
      <c r="R1822" s="74"/>
      <c r="S1822" s="74"/>
      <c r="T1822" s="74"/>
      <c r="U1822" s="74"/>
      <c r="V1822" s="74"/>
      <c r="W1822" s="74"/>
      <c r="X1822" s="74"/>
      <c r="Y1822" s="74"/>
      <c r="Z1822" s="74"/>
      <c r="AA1822" s="74"/>
      <c r="AB1822" s="74"/>
    </row>
    <row r="1823" spans="1:28" ht="12" customHeight="1">
      <c r="A1823" s="330"/>
      <c r="B1823" s="314"/>
      <c r="C1823" s="285"/>
      <c r="D1823" s="108"/>
      <c r="E1823" s="285"/>
      <c r="F1823" s="285"/>
      <c r="G1823" s="35"/>
      <c r="H1823" s="104"/>
      <c r="I1823" s="35"/>
      <c r="J1823" s="74"/>
      <c r="K1823" s="74"/>
      <c r="L1823" s="74"/>
      <c r="M1823" s="74"/>
      <c r="N1823" s="74"/>
      <c r="O1823" s="74"/>
      <c r="P1823" s="74"/>
      <c r="Q1823" s="74"/>
      <c r="R1823" s="74"/>
      <c r="S1823" s="74"/>
      <c r="T1823" s="74"/>
      <c r="U1823" s="74"/>
      <c r="V1823" s="74"/>
      <c r="W1823" s="74"/>
      <c r="X1823" s="74"/>
      <c r="Y1823" s="74"/>
      <c r="Z1823" s="74"/>
      <c r="AA1823" s="74"/>
      <c r="AB1823" s="74"/>
    </row>
    <row r="1824" spans="1:28" ht="12" customHeight="1">
      <c r="A1824" s="330"/>
      <c r="B1824" s="314"/>
      <c r="C1824" s="285"/>
      <c r="D1824" s="108"/>
      <c r="E1824" s="285"/>
      <c r="F1824" s="285"/>
      <c r="G1824" s="35"/>
      <c r="H1824" s="104"/>
      <c r="I1824" s="35"/>
      <c r="J1824" s="74"/>
      <c r="K1824" s="74"/>
      <c r="L1824" s="74"/>
      <c r="M1824" s="74"/>
      <c r="N1824" s="74"/>
      <c r="O1824" s="74"/>
      <c r="P1824" s="74"/>
      <c r="Q1824" s="74"/>
      <c r="R1824" s="74"/>
      <c r="S1824" s="74"/>
      <c r="T1824" s="74"/>
      <c r="U1824" s="74"/>
      <c r="V1824" s="74"/>
      <c r="W1824" s="74"/>
      <c r="X1824" s="74"/>
      <c r="Y1824" s="74"/>
      <c r="Z1824" s="74"/>
      <c r="AA1824" s="74"/>
      <c r="AB1824" s="74"/>
    </row>
    <row r="1825" spans="1:28" ht="12" customHeight="1">
      <c r="A1825" s="330"/>
      <c r="B1825" s="314"/>
      <c r="C1825" s="285"/>
      <c r="D1825" s="108"/>
      <c r="E1825" s="285"/>
      <c r="F1825" s="285"/>
      <c r="G1825" s="35"/>
      <c r="H1825" s="104"/>
      <c r="I1825" s="35"/>
      <c r="J1825" s="74"/>
      <c r="K1825" s="74"/>
      <c r="L1825" s="74"/>
      <c r="M1825" s="74"/>
      <c r="N1825" s="74"/>
      <c r="O1825" s="74"/>
      <c r="P1825" s="74"/>
      <c r="Q1825" s="74"/>
      <c r="R1825" s="74"/>
      <c r="S1825" s="74"/>
      <c r="T1825" s="74"/>
      <c r="U1825" s="74"/>
      <c r="V1825" s="74"/>
      <c r="W1825" s="74"/>
      <c r="X1825" s="74"/>
      <c r="Y1825" s="74"/>
      <c r="Z1825" s="74"/>
      <c r="AA1825" s="74"/>
      <c r="AB1825" s="74"/>
    </row>
    <row r="1826" spans="1:28" ht="12" customHeight="1">
      <c r="A1826" s="330"/>
      <c r="B1826" s="314"/>
      <c r="C1826" s="285"/>
      <c r="D1826" s="108"/>
      <c r="E1826" s="285"/>
      <c r="F1826" s="285"/>
      <c r="G1826" s="35"/>
      <c r="H1826" s="104"/>
      <c r="I1826" s="35"/>
      <c r="J1826" s="74"/>
      <c r="K1826" s="74"/>
      <c r="L1826" s="74"/>
      <c r="M1826" s="74"/>
      <c r="N1826" s="74"/>
      <c r="O1826" s="74"/>
      <c r="P1826" s="74"/>
      <c r="Q1826" s="74"/>
      <c r="R1826" s="74"/>
      <c r="S1826" s="74"/>
      <c r="T1826" s="74"/>
      <c r="U1826" s="74"/>
      <c r="V1826" s="74"/>
      <c r="W1826" s="74"/>
      <c r="X1826" s="74"/>
      <c r="Y1826" s="74"/>
      <c r="Z1826" s="74"/>
      <c r="AA1826" s="74"/>
      <c r="AB1826" s="74"/>
    </row>
    <row r="1827" spans="1:28" ht="12" customHeight="1">
      <c r="A1827" s="330"/>
      <c r="B1827" s="314"/>
      <c r="C1827" s="285"/>
      <c r="D1827" s="108"/>
      <c r="E1827" s="285"/>
      <c r="F1827" s="285"/>
      <c r="G1827" s="35"/>
      <c r="H1827" s="104"/>
      <c r="I1827" s="35"/>
      <c r="J1827" s="74"/>
      <c r="K1827" s="74"/>
      <c r="L1827" s="74"/>
      <c r="M1827" s="74"/>
      <c r="N1827" s="74"/>
      <c r="O1827" s="74"/>
      <c r="P1827" s="74"/>
      <c r="Q1827" s="74"/>
      <c r="R1827" s="74"/>
      <c r="S1827" s="74"/>
      <c r="T1827" s="74"/>
      <c r="U1827" s="74"/>
      <c r="V1827" s="74"/>
      <c r="W1827" s="74"/>
      <c r="X1827" s="74"/>
      <c r="Y1827" s="74"/>
      <c r="Z1827" s="74"/>
      <c r="AA1827" s="74"/>
      <c r="AB1827" s="74"/>
    </row>
    <row r="1828" spans="1:28" ht="12" customHeight="1">
      <c r="A1828" s="330"/>
      <c r="B1828" s="314"/>
      <c r="C1828" s="285"/>
      <c r="D1828" s="108"/>
      <c r="E1828" s="285"/>
      <c r="F1828" s="285"/>
      <c r="G1828" s="35"/>
      <c r="H1828" s="104"/>
      <c r="I1828" s="35"/>
      <c r="J1828" s="74"/>
      <c r="K1828" s="74"/>
      <c r="L1828" s="74"/>
      <c r="M1828" s="74"/>
      <c r="N1828" s="74"/>
      <c r="O1828" s="74"/>
      <c r="P1828" s="74"/>
      <c r="Q1828" s="74"/>
      <c r="R1828" s="74"/>
      <c r="S1828" s="74"/>
      <c r="T1828" s="74"/>
      <c r="U1828" s="74"/>
      <c r="V1828" s="74"/>
      <c r="W1828" s="74"/>
      <c r="X1828" s="74"/>
      <c r="Y1828" s="74"/>
      <c r="Z1828" s="74"/>
      <c r="AA1828" s="74"/>
      <c r="AB1828" s="74"/>
    </row>
    <row r="1829" spans="1:28" ht="12" customHeight="1">
      <c r="A1829" s="330"/>
      <c r="B1829" s="314"/>
      <c r="C1829" s="285"/>
      <c r="D1829" s="108"/>
      <c r="E1829" s="285"/>
      <c r="F1829" s="285"/>
      <c r="G1829" s="35"/>
      <c r="H1829" s="104"/>
      <c r="I1829" s="35"/>
      <c r="J1829" s="74"/>
      <c r="K1829" s="74"/>
      <c r="L1829" s="74"/>
      <c r="M1829" s="74"/>
      <c r="N1829" s="74"/>
      <c r="O1829" s="74"/>
      <c r="P1829" s="74"/>
      <c r="Q1829" s="74"/>
      <c r="R1829" s="74"/>
      <c r="S1829" s="74"/>
      <c r="T1829" s="74"/>
      <c r="U1829" s="74"/>
      <c r="V1829" s="74"/>
      <c r="W1829" s="74"/>
      <c r="X1829" s="74"/>
      <c r="Y1829" s="74"/>
      <c r="Z1829" s="74"/>
      <c r="AA1829" s="74"/>
      <c r="AB1829" s="74"/>
    </row>
    <row r="1830" spans="1:28" ht="12" customHeight="1">
      <c r="A1830" s="330"/>
      <c r="B1830" s="314"/>
      <c r="C1830" s="285"/>
      <c r="D1830" s="108"/>
      <c r="E1830" s="285"/>
      <c r="F1830" s="285"/>
      <c r="G1830" s="35"/>
      <c r="H1830" s="104"/>
      <c r="I1830" s="35"/>
      <c r="J1830" s="74"/>
      <c r="K1830" s="74"/>
      <c r="L1830" s="74"/>
      <c r="M1830" s="74"/>
      <c r="N1830" s="74"/>
      <c r="O1830" s="74"/>
      <c r="P1830" s="74"/>
      <c r="Q1830" s="74"/>
      <c r="R1830" s="74"/>
      <c r="S1830" s="74"/>
      <c r="T1830" s="74"/>
      <c r="U1830" s="74"/>
      <c r="V1830" s="74"/>
      <c r="W1830" s="74"/>
      <c r="X1830" s="74"/>
      <c r="Y1830" s="74"/>
      <c r="Z1830" s="74"/>
      <c r="AA1830" s="74"/>
      <c r="AB1830" s="74"/>
    </row>
    <row r="1831" spans="1:28" ht="12" customHeight="1">
      <c r="A1831" s="330"/>
      <c r="B1831" s="314"/>
      <c r="C1831" s="285"/>
      <c r="D1831" s="108"/>
      <c r="E1831" s="285"/>
      <c r="F1831" s="285"/>
      <c r="G1831" s="35"/>
      <c r="H1831" s="104"/>
      <c r="I1831" s="35"/>
      <c r="J1831" s="74"/>
      <c r="K1831" s="74"/>
      <c r="L1831" s="74"/>
      <c r="M1831" s="74"/>
      <c r="N1831" s="74"/>
      <c r="O1831" s="74"/>
      <c r="P1831" s="74"/>
      <c r="Q1831" s="74"/>
      <c r="R1831" s="74"/>
      <c r="S1831" s="74"/>
      <c r="T1831" s="74"/>
      <c r="U1831" s="74"/>
      <c r="V1831" s="74"/>
      <c r="W1831" s="74"/>
      <c r="X1831" s="74"/>
      <c r="Y1831" s="74"/>
      <c r="Z1831" s="74"/>
      <c r="AA1831" s="74"/>
      <c r="AB1831" s="74"/>
    </row>
    <row r="1832" spans="1:28" ht="12" customHeight="1">
      <c r="A1832" s="330"/>
      <c r="B1832" s="314"/>
      <c r="C1832" s="285"/>
      <c r="D1832" s="108"/>
      <c r="E1832" s="285"/>
      <c r="F1832" s="285"/>
      <c r="G1832" s="35"/>
      <c r="H1832" s="104"/>
      <c r="I1832" s="35"/>
      <c r="J1832" s="74"/>
      <c r="K1832" s="74"/>
      <c r="L1832" s="74"/>
      <c r="M1832" s="74"/>
      <c r="N1832" s="74"/>
      <c r="O1832" s="74"/>
      <c r="P1832" s="74"/>
      <c r="Q1832" s="74"/>
      <c r="R1832" s="74"/>
      <c r="S1832" s="74"/>
      <c r="T1832" s="74"/>
      <c r="U1832" s="74"/>
      <c r="V1832" s="74"/>
      <c r="W1832" s="74"/>
      <c r="X1832" s="74"/>
      <c r="Y1832" s="74"/>
      <c r="Z1832" s="74"/>
      <c r="AA1832" s="74"/>
      <c r="AB1832" s="74"/>
    </row>
    <row r="1833" spans="1:28" ht="12" customHeight="1">
      <c r="A1833" s="330"/>
      <c r="B1833" s="314"/>
      <c r="C1833" s="285"/>
      <c r="D1833" s="108"/>
      <c r="E1833" s="285"/>
      <c r="F1833" s="285"/>
      <c r="G1833" s="35"/>
      <c r="H1833" s="104"/>
      <c r="I1833" s="35"/>
      <c r="J1833" s="74"/>
      <c r="K1833" s="74"/>
      <c r="L1833" s="74"/>
      <c r="M1833" s="74"/>
      <c r="N1833" s="74"/>
      <c r="O1833" s="74"/>
      <c r="P1833" s="74"/>
      <c r="Q1833" s="74"/>
      <c r="R1833" s="74"/>
      <c r="S1833" s="74"/>
      <c r="T1833" s="74"/>
      <c r="U1833" s="74"/>
      <c r="V1833" s="74"/>
      <c r="W1833" s="74"/>
      <c r="X1833" s="74"/>
      <c r="Y1833" s="74"/>
      <c r="Z1833" s="74"/>
      <c r="AA1833" s="74"/>
      <c r="AB1833" s="74"/>
    </row>
    <row r="1834" spans="1:28" ht="12" customHeight="1">
      <c r="A1834" s="330"/>
      <c r="B1834" s="314"/>
      <c r="C1834" s="285"/>
      <c r="D1834" s="108"/>
      <c r="E1834" s="285"/>
      <c r="F1834" s="285"/>
      <c r="G1834" s="35"/>
      <c r="H1834" s="104"/>
      <c r="I1834" s="35"/>
      <c r="J1834" s="74"/>
      <c r="K1834" s="74"/>
      <c r="L1834" s="74"/>
      <c r="M1834" s="74"/>
      <c r="N1834" s="74"/>
      <c r="O1834" s="74"/>
      <c r="P1834" s="74"/>
      <c r="Q1834" s="74"/>
      <c r="R1834" s="74"/>
      <c r="S1834" s="74"/>
      <c r="T1834" s="74"/>
      <c r="U1834" s="74"/>
      <c r="V1834" s="74"/>
      <c r="W1834" s="74"/>
      <c r="X1834" s="74"/>
      <c r="Y1834" s="74"/>
      <c r="Z1834" s="74"/>
      <c r="AA1834" s="74"/>
      <c r="AB1834" s="74"/>
    </row>
    <row r="1835" spans="1:28" ht="12" customHeight="1">
      <c r="A1835" s="330"/>
      <c r="B1835" s="314"/>
      <c r="C1835" s="285"/>
      <c r="D1835" s="108"/>
      <c r="E1835" s="285"/>
      <c r="F1835" s="285"/>
      <c r="G1835" s="35"/>
      <c r="H1835" s="104"/>
      <c r="I1835" s="35"/>
      <c r="J1835" s="74"/>
      <c r="K1835" s="74"/>
      <c r="L1835" s="74"/>
      <c r="M1835" s="74"/>
      <c r="N1835" s="74"/>
      <c r="O1835" s="74"/>
      <c r="P1835" s="74"/>
      <c r="Q1835" s="74"/>
      <c r="R1835" s="74"/>
      <c r="S1835" s="74"/>
      <c r="T1835" s="74"/>
      <c r="U1835" s="74"/>
      <c r="V1835" s="74"/>
      <c r="W1835" s="74"/>
      <c r="X1835" s="74"/>
      <c r="Y1835" s="74"/>
      <c r="Z1835" s="74"/>
      <c r="AA1835" s="74"/>
      <c r="AB1835" s="74"/>
    </row>
    <row r="1836" spans="1:28" ht="12" customHeight="1">
      <c r="A1836" s="330"/>
      <c r="B1836" s="314"/>
      <c r="C1836" s="285"/>
      <c r="D1836" s="108"/>
      <c r="E1836" s="285"/>
      <c r="F1836" s="285"/>
      <c r="G1836" s="35"/>
      <c r="H1836" s="104"/>
      <c r="I1836" s="35"/>
      <c r="J1836" s="74"/>
      <c r="K1836" s="74"/>
      <c r="L1836" s="74"/>
      <c r="M1836" s="74"/>
      <c r="N1836" s="74"/>
      <c r="O1836" s="74"/>
      <c r="P1836" s="74"/>
      <c r="Q1836" s="74"/>
      <c r="R1836" s="74"/>
      <c r="S1836" s="74"/>
      <c r="T1836" s="74"/>
      <c r="U1836" s="74"/>
      <c r="V1836" s="74"/>
      <c r="W1836" s="74"/>
      <c r="X1836" s="74"/>
      <c r="Y1836" s="74"/>
      <c r="Z1836" s="74"/>
      <c r="AA1836" s="74"/>
      <c r="AB1836" s="74"/>
    </row>
    <row r="1837" spans="1:28" ht="12" customHeight="1">
      <c r="A1837" s="330"/>
      <c r="B1837" s="314"/>
      <c r="C1837" s="285"/>
      <c r="D1837" s="108"/>
      <c r="E1837" s="285"/>
      <c r="F1837" s="285"/>
      <c r="G1837" s="35"/>
      <c r="H1837" s="104"/>
      <c r="I1837" s="35"/>
      <c r="J1837" s="74"/>
      <c r="K1837" s="74"/>
      <c r="L1837" s="74"/>
      <c r="M1837" s="74"/>
      <c r="N1837" s="74"/>
      <c r="O1837" s="74"/>
      <c r="P1837" s="74"/>
      <c r="Q1837" s="74"/>
      <c r="R1837" s="74"/>
      <c r="S1837" s="74"/>
      <c r="T1837" s="74"/>
      <c r="U1837" s="74"/>
      <c r="V1837" s="74"/>
      <c r="W1837" s="74"/>
      <c r="X1837" s="74"/>
      <c r="Y1837" s="74"/>
      <c r="Z1837" s="74"/>
      <c r="AA1837" s="74"/>
      <c r="AB1837" s="74"/>
    </row>
    <row r="1838" spans="1:28" ht="12" customHeight="1">
      <c r="A1838" s="330"/>
      <c r="B1838" s="314"/>
      <c r="C1838" s="285"/>
      <c r="D1838" s="108"/>
      <c r="E1838" s="285"/>
      <c r="F1838" s="285"/>
      <c r="G1838" s="35"/>
      <c r="H1838" s="104"/>
      <c r="I1838" s="35"/>
      <c r="J1838" s="74"/>
      <c r="K1838" s="74"/>
      <c r="L1838" s="74"/>
      <c r="M1838" s="74"/>
      <c r="N1838" s="74"/>
      <c r="O1838" s="74"/>
      <c r="P1838" s="74"/>
      <c r="Q1838" s="74"/>
      <c r="R1838" s="74"/>
      <c r="S1838" s="74"/>
      <c r="T1838" s="74"/>
      <c r="U1838" s="74"/>
      <c r="V1838" s="74"/>
      <c r="W1838" s="74"/>
      <c r="X1838" s="74"/>
      <c r="Y1838" s="74"/>
      <c r="Z1838" s="74"/>
      <c r="AA1838" s="74"/>
      <c r="AB1838" s="74"/>
    </row>
    <row r="1839" spans="1:28" ht="12" customHeight="1">
      <c r="A1839" s="330"/>
      <c r="B1839" s="314"/>
      <c r="C1839" s="285"/>
      <c r="D1839" s="108"/>
      <c r="E1839" s="285"/>
      <c r="F1839" s="285"/>
      <c r="G1839" s="35"/>
      <c r="H1839" s="104"/>
      <c r="I1839" s="35"/>
      <c r="J1839" s="74"/>
      <c r="K1839" s="74"/>
      <c r="L1839" s="74"/>
      <c r="M1839" s="74"/>
      <c r="N1839" s="74"/>
      <c r="O1839" s="74"/>
      <c r="P1839" s="74"/>
      <c r="Q1839" s="74"/>
      <c r="R1839" s="74"/>
      <c r="S1839" s="74"/>
      <c r="T1839" s="74"/>
      <c r="U1839" s="74"/>
      <c r="V1839" s="74"/>
      <c r="W1839" s="74"/>
      <c r="X1839" s="74"/>
      <c r="Y1839" s="74"/>
      <c r="Z1839" s="74"/>
      <c r="AA1839" s="74"/>
      <c r="AB1839" s="74"/>
    </row>
    <row r="1840" spans="1:28" ht="12" customHeight="1">
      <c r="A1840" s="330"/>
      <c r="B1840" s="314"/>
      <c r="C1840" s="285"/>
      <c r="D1840" s="108"/>
      <c r="E1840" s="285"/>
      <c r="F1840" s="285"/>
      <c r="G1840" s="35"/>
      <c r="H1840" s="104"/>
      <c r="I1840" s="35"/>
      <c r="J1840" s="74"/>
      <c r="K1840" s="74"/>
      <c r="L1840" s="74"/>
      <c r="M1840" s="74"/>
      <c r="N1840" s="74"/>
      <c r="O1840" s="74"/>
      <c r="P1840" s="74"/>
      <c r="Q1840" s="74"/>
      <c r="R1840" s="74"/>
      <c r="S1840" s="74"/>
      <c r="T1840" s="74"/>
      <c r="U1840" s="74"/>
      <c r="V1840" s="74"/>
      <c r="W1840" s="74"/>
      <c r="X1840" s="74"/>
      <c r="Y1840" s="74"/>
      <c r="Z1840" s="74"/>
      <c r="AA1840" s="74"/>
      <c r="AB1840" s="74"/>
    </row>
    <row r="1841" spans="1:28" ht="12" customHeight="1">
      <c r="A1841" s="330"/>
      <c r="B1841" s="314"/>
      <c r="C1841" s="285"/>
      <c r="D1841" s="108"/>
      <c r="E1841" s="285"/>
      <c r="F1841" s="285"/>
      <c r="G1841" s="35"/>
      <c r="H1841" s="104"/>
      <c r="I1841" s="35"/>
      <c r="J1841" s="74"/>
      <c r="K1841" s="74"/>
      <c r="L1841" s="74"/>
      <c r="M1841" s="74"/>
      <c r="N1841" s="74"/>
      <c r="O1841" s="74"/>
      <c r="P1841" s="74"/>
      <c r="Q1841" s="74"/>
      <c r="R1841" s="74"/>
      <c r="S1841" s="74"/>
      <c r="T1841" s="74"/>
      <c r="U1841" s="74"/>
      <c r="V1841" s="74"/>
      <c r="W1841" s="74"/>
      <c r="X1841" s="74"/>
      <c r="Y1841" s="74"/>
      <c r="Z1841" s="74"/>
      <c r="AA1841" s="74"/>
      <c r="AB1841" s="74"/>
    </row>
    <row r="1842" spans="1:28" ht="12" customHeight="1">
      <c r="A1842" s="330"/>
      <c r="B1842" s="314"/>
      <c r="C1842" s="285"/>
      <c r="D1842" s="108"/>
      <c r="E1842" s="285"/>
      <c r="F1842" s="285"/>
      <c r="G1842" s="35"/>
      <c r="H1842" s="104"/>
      <c r="I1842" s="35"/>
      <c r="J1842" s="74"/>
      <c r="K1842" s="74"/>
      <c r="L1842" s="74"/>
      <c r="M1842" s="74"/>
      <c r="N1842" s="74"/>
      <c r="O1842" s="74"/>
      <c r="P1842" s="74"/>
      <c r="Q1842" s="74"/>
      <c r="R1842" s="74"/>
      <c r="S1842" s="74"/>
      <c r="T1842" s="74"/>
      <c r="U1842" s="74"/>
      <c r="V1842" s="74"/>
      <c r="W1842" s="74"/>
      <c r="X1842" s="74"/>
      <c r="Y1842" s="74"/>
      <c r="Z1842" s="74"/>
      <c r="AA1842" s="74"/>
      <c r="AB1842" s="74"/>
    </row>
    <row r="1843" spans="1:28" ht="12" customHeight="1">
      <c r="A1843" s="330"/>
      <c r="B1843" s="314"/>
      <c r="C1843" s="285"/>
      <c r="D1843" s="108"/>
      <c r="E1843" s="285"/>
      <c r="F1843" s="285"/>
      <c r="G1843" s="35"/>
      <c r="H1843" s="104"/>
      <c r="I1843" s="35"/>
      <c r="J1843" s="74"/>
      <c r="K1843" s="74"/>
      <c r="L1843" s="74"/>
      <c r="M1843" s="74"/>
      <c r="N1843" s="74"/>
      <c r="O1843" s="74"/>
      <c r="P1843" s="74"/>
      <c r="Q1843" s="74"/>
      <c r="R1843" s="74"/>
      <c r="S1843" s="74"/>
      <c r="T1843" s="74"/>
      <c r="U1843" s="74"/>
      <c r="V1843" s="74"/>
      <c r="W1843" s="74"/>
      <c r="X1843" s="74"/>
      <c r="Y1843" s="74"/>
      <c r="Z1843" s="74"/>
      <c r="AA1843" s="74"/>
      <c r="AB1843" s="74"/>
    </row>
    <row r="1844" spans="1:28" ht="12" customHeight="1">
      <c r="A1844" s="330"/>
      <c r="B1844" s="314"/>
      <c r="C1844" s="285"/>
      <c r="D1844" s="108"/>
      <c r="E1844" s="285"/>
      <c r="F1844" s="285"/>
      <c r="G1844" s="35"/>
      <c r="H1844" s="104"/>
      <c r="I1844" s="35"/>
      <c r="J1844" s="74"/>
      <c r="K1844" s="74"/>
      <c r="L1844" s="74"/>
      <c r="M1844" s="74"/>
      <c r="N1844" s="74"/>
      <c r="O1844" s="74"/>
      <c r="P1844" s="74"/>
      <c r="Q1844" s="74"/>
      <c r="R1844" s="74"/>
      <c r="S1844" s="74"/>
      <c r="T1844" s="74"/>
      <c r="U1844" s="74"/>
      <c r="V1844" s="74"/>
      <c r="W1844" s="74"/>
      <c r="X1844" s="74"/>
      <c r="Y1844" s="74"/>
      <c r="Z1844" s="74"/>
      <c r="AA1844" s="74"/>
      <c r="AB1844" s="74"/>
    </row>
    <row r="1845" spans="1:28" ht="12" customHeight="1">
      <c r="A1845" s="330"/>
      <c r="B1845" s="314"/>
      <c r="C1845" s="285"/>
      <c r="D1845" s="108"/>
      <c r="E1845" s="285"/>
      <c r="F1845" s="285"/>
      <c r="G1845" s="35"/>
      <c r="H1845" s="104"/>
      <c r="I1845" s="35"/>
      <c r="J1845" s="74"/>
      <c r="K1845" s="74"/>
      <c r="L1845" s="74"/>
      <c r="M1845" s="74"/>
      <c r="N1845" s="74"/>
      <c r="O1845" s="74"/>
      <c r="P1845" s="74"/>
      <c r="Q1845" s="74"/>
      <c r="R1845" s="74"/>
      <c r="S1845" s="74"/>
      <c r="T1845" s="74"/>
      <c r="U1845" s="74"/>
      <c r="V1845" s="74"/>
      <c r="W1845" s="74"/>
      <c r="X1845" s="74"/>
      <c r="Y1845" s="74"/>
      <c r="Z1845" s="74"/>
      <c r="AA1845" s="74"/>
      <c r="AB1845" s="74"/>
    </row>
    <row r="1846" spans="1:28" ht="12" customHeight="1">
      <c r="A1846" s="330"/>
      <c r="B1846" s="314"/>
      <c r="C1846" s="285"/>
      <c r="D1846" s="108"/>
      <c r="E1846" s="285"/>
      <c r="F1846" s="285"/>
      <c r="G1846" s="35"/>
      <c r="H1846" s="104"/>
      <c r="I1846" s="35"/>
      <c r="J1846" s="74"/>
      <c r="K1846" s="74"/>
      <c r="L1846" s="74"/>
      <c r="M1846" s="74"/>
      <c r="N1846" s="74"/>
      <c r="O1846" s="74"/>
      <c r="P1846" s="74"/>
      <c r="Q1846" s="74"/>
      <c r="R1846" s="74"/>
      <c r="S1846" s="74"/>
      <c r="T1846" s="74"/>
      <c r="U1846" s="74"/>
      <c r="V1846" s="74"/>
      <c r="W1846" s="74"/>
      <c r="X1846" s="74"/>
      <c r="Y1846" s="74"/>
      <c r="Z1846" s="74"/>
      <c r="AA1846" s="74"/>
      <c r="AB1846" s="74"/>
    </row>
    <row r="1847" spans="1:28" ht="12" customHeight="1">
      <c r="A1847" s="330"/>
      <c r="B1847" s="314"/>
      <c r="C1847" s="285"/>
      <c r="D1847" s="108"/>
      <c r="E1847" s="285"/>
      <c r="F1847" s="285"/>
      <c r="G1847" s="35"/>
      <c r="H1847" s="104"/>
      <c r="I1847" s="35"/>
      <c r="J1847" s="74"/>
      <c r="K1847" s="74"/>
      <c r="L1847" s="74"/>
      <c r="M1847" s="74"/>
      <c r="N1847" s="74"/>
      <c r="O1847" s="74"/>
      <c r="P1847" s="74"/>
      <c r="Q1847" s="74"/>
      <c r="R1847" s="74"/>
      <c r="S1847" s="74"/>
      <c r="T1847" s="74"/>
      <c r="U1847" s="74"/>
      <c r="V1847" s="74"/>
      <c r="W1847" s="74"/>
      <c r="X1847" s="74"/>
      <c r="Y1847" s="74"/>
      <c r="Z1847" s="74"/>
      <c r="AA1847" s="74"/>
      <c r="AB1847" s="74"/>
    </row>
    <row r="1848" spans="1:28" ht="12" customHeight="1">
      <c r="A1848" s="330"/>
      <c r="B1848" s="314"/>
      <c r="C1848" s="285"/>
      <c r="D1848" s="108"/>
      <c r="E1848" s="285"/>
      <c r="F1848" s="285"/>
      <c r="G1848" s="35"/>
      <c r="H1848" s="104"/>
      <c r="I1848" s="35"/>
      <c r="J1848" s="74"/>
      <c r="K1848" s="74"/>
      <c r="L1848" s="74"/>
      <c r="M1848" s="74"/>
      <c r="N1848" s="74"/>
      <c r="O1848" s="74"/>
      <c r="P1848" s="74"/>
      <c r="Q1848" s="74"/>
      <c r="R1848" s="74"/>
      <c r="S1848" s="74"/>
      <c r="T1848" s="74"/>
      <c r="U1848" s="74"/>
      <c r="V1848" s="74"/>
      <c r="W1848" s="74"/>
      <c r="X1848" s="74"/>
      <c r="Y1848" s="74"/>
      <c r="Z1848" s="74"/>
      <c r="AA1848" s="74"/>
      <c r="AB1848" s="74"/>
    </row>
    <row r="1849" spans="1:28" ht="12" customHeight="1">
      <c r="A1849" s="330"/>
      <c r="B1849" s="314"/>
      <c r="C1849" s="285"/>
      <c r="D1849" s="108"/>
      <c r="E1849" s="285"/>
      <c r="F1849" s="285"/>
      <c r="G1849" s="35"/>
      <c r="H1849" s="104"/>
      <c r="I1849" s="35"/>
      <c r="J1849" s="74"/>
      <c r="K1849" s="74"/>
      <c r="L1849" s="74"/>
      <c r="M1849" s="74"/>
      <c r="N1849" s="74"/>
      <c r="O1849" s="74"/>
      <c r="P1849" s="74"/>
      <c r="Q1849" s="74"/>
      <c r="R1849" s="74"/>
      <c r="S1849" s="74"/>
      <c r="T1849" s="74"/>
      <c r="U1849" s="74"/>
      <c r="V1849" s="74"/>
      <c r="W1849" s="74"/>
      <c r="X1849" s="74"/>
      <c r="Y1849" s="74"/>
      <c r="Z1849" s="74"/>
      <c r="AA1849" s="74"/>
      <c r="AB1849" s="74"/>
    </row>
    <row r="1850" spans="1:28" ht="12" customHeight="1">
      <c r="A1850" s="330"/>
      <c r="B1850" s="314"/>
      <c r="C1850" s="285"/>
      <c r="D1850" s="108"/>
      <c r="E1850" s="285"/>
      <c r="F1850" s="285"/>
      <c r="G1850" s="35"/>
      <c r="H1850" s="104"/>
      <c r="I1850" s="35"/>
      <c r="J1850" s="74"/>
      <c r="K1850" s="74"/>
      <c r="L1850" s="74"/>
      <c r="M1850" s="74"/>
      <c r="N1850" s="74"/>
      <c r="O1850" s="74"/>
      <c r="P1850" s="74"/>
      <c r="Q1850" s="74"/>
      <c r="R1850" s="74"/>
      <c r="S1850" s="74"/>
      <c r="T1850" s="74"/>
      <c r="U1850" s="74"/>
      <c r="V1850" s="74"/>
      <c r="W1850" s="74"/>
      <c r="X1850" s="74"/>
      <c r="Y1850" s="74"/>
      <c r="Z1850" s="74"/>
      <c r="AA1850" s="74"/>
      <c r="AB1850" s="74"/>
    </row>
    <row r="1851" spans="1:28" ht="12" customHeight="1">
      <c r="A1851" s="330"/>
      <c r="B1851" s="314"/>
      <c r="C1851" s="285"/>
      <c r="D1851" s="108"/>
      <c r="E1851" s="285"/>
      <c r="F1851" s="285"/>
      <c r="G1851" s="35"/>
      <c r="H1851" s="104"/>
      <c r="I1851" s="35"/>
      <c r="J1851" s="74"/>
      <c r="K1851" s="74"/>
      <c r="L1851" s="74"/>
      <c r="M1851" s="74"/>
      <c r="N1851" s="74"/>
      <c r="O1851" s="74"/>
      <c r="P1851" s="74"/>
      <c r="Q1851" s="74"/>
      <c r="R1851" s="74"/>
      <c r="S1851" s="74"/>
      <c r="T1851" s="74"/>
      <c r="U1851" s="74"/>
      <c r="V1851" s="74"/>
      <c r="W1851" s="74"/>
      <c r="X1851" s="74"/>
      <c r="Y1851" s="74"/>
      <c r="Z1851" s="74"/>
      <c r="AA1851" s="74"/>
      <c r="AB1851" s="74"/>
    </row>
    <row r="1852" spans="1:28" ht="12" customHeight="1">
      <c r="A1852" s="330"/>
      <c r="B1852" s="314"/>
      <c r="C1852" s="285"/>
      <c r="D1852" s="108"/>
      <c r="E1852" s="285"/>
      <c r="F1852" s="285"/>
      <c r="G1852" s="35"/>
      <c r="H1852" s="104"/>
      <c r="I1852" s="35"/>
      <c r="J1852" s="74"/>
      <c r="K1852" s="74"/>
      <c r="L1852" s="74"/>
      <c r="M1852" s="74"/>
      <c r="N1852" s="74"/>
      <c r="O1852" s="74"/>
      <c r="P1852" s="74"/>
      <c r="Q1852" s="74"/>
      <c r="R1852" s="74"/>
      <c r="S1852" s="74"/>
      <c r="T1852" s="74"/>
      <c r="U1852" s="74"/>
      <c r="V1852" s="74"/>
      <c r="W1852" s="74"/>
      <c r="X1852" s="74"/>
      <c r="Y1852" s="74"/>
      <c r="Z1852" s="74"/>
      <c r="AA1852" s="74"/>
      <c r="AB1852" s="74"/>
    </row>
    <row r="1853" spans="1:28" ht="12" customHeight="1">
      <c r="A1853" s="330"/>
      <c r="B1853" s="314"/>
      <c r="C1853" s="285"/>
      <c r="D1853" s="108"/>
      <c r="E1853" s="285"/>
      <c r="F1853" s="285"/>
      <c r="G1853" s="35"/>
      <c r="H1853" s="104"/>
      <c r="I1853" s="35"/>
      <c r="J1853" s="74"/>
      <c r="K1853" s="74"/>
      <c r="L1853" s="74"/>
      <c r="M1853" s="74"/>
      <c r="N1853" s="74"/>
      <c r="O1853" s="74"/>
      <c r="P1853" s="74"/>
      <c r="Q1853" s="74"/>
      <c r="R1853" s="74"/>
      <c r="S1853" s="74"/>
      <c r="T1853" s="74"/>
      <c r="U1853" s="74"/>
      <c r="V1853" s="74"/>
      <c r="W1853" s="74"/>
      <c r="X1853" s="74"/>
      <c r="Y1853" s="74"/>
      <c r="Z1853" s="74"/>
      <c r="AA1853" s="74"/>
      <c r="AB1853" s="74"/>
    </row>
    <row r="1854" spans="1:28" ht="12" customHeight="1">
      <c r="A1854" s="330"/>
      <c r="B1854" s="314"/>
      <c r="C1854" s="285"/>
      <c r="D1854" s="108"/>
      <c r="E1854" s="285"/>
      <c r="F1854" s="285"/>
      <c r="G1854" s="35"/>
      <c r="H1854" s="104"/>
      <c r="I1854" s="35"/>
      <c r="J1854" s="74"/>
      <c r="K1854" s="74"/>
      <c r="L1854" s="74"/>
      <c r="M1854" s="74"/>
      <c r="N1854" s="74"/>
      <c r="O1854" s="74"/>
      <c r="P1854" s="74"/>
      <c r="Q1854" s="74"/>
      <c r="R1854" s="74"/>
      <c r="S1854" s="74"/>
      <c r="T1854" s="74"/>
      <c r="U1854" s="74"/>
      <c r="V1854" s="74"/>
      <c r="W1854" s="74"/>
      <c r="X1854" s="74"/>
      <c r="Y1854" s="74"/>
      <c r="Z1854" s="74"/>
      <c r="AA1854" s="74"/>
      <c r="AB1854" s="74"/>
    </row>
    <row r="1855" spans="1:28" ht="12" customHeight="1">
      <c r="A1855" s="330"/>
      <c r="B1855" s="314"/>
      <c r="C1855" s="285"/>
      <c r="D1855" s="108"/>
      <c r="E1855" s="285"/>
      <c r="F1855" s="285"/>
      <c r="G1855" s="35"/>
      <c r="H1855" s="104"/>
      <c r="I1855" s="35"/>
      <c r="J1855" s="74"/>
      <c r="K1855" s="74"/>
      <c r="L1855" s="74"/>
      <c r="M1855" s="74"/>
      <c r="N1855" s="74"/>
      <c r="O1855" s="74"/>
      <c r="P1855" s="74"/>
      <c r="Q1855" s="74"/>
      <c r="R1855" s="74"/>
      <c r="S1855" s="74"/>
      <c r="T1855" s="74"/>
      <c r="U1855" s="74"/>
      <c r="V1855" s="74"/>
      <c r="W1855" s="74"/>
      <c r="X1855" s="74"/>
      <c r="Y1855" s="74"/>
      <c r="Z1855" s="74"/>
      <c r="AA1855" s="74"/>
      <c r="AB1855" s="74"/>
    </row>
    <row r="1856" spans="1:28" ht="12" customHeight="1">
      <c r="A1856" s="330"/>
      <c r="B1856" s="314"/>
      <c r="C1856" s="285"/>
      <c r="D1856" s="108"/>
      <c r="E1856" s="285"/>
      <c r="F1856" s="285"/>
      <c r="G1856" s="35"/>
      <c r="H1856" s="104"/>
      <c r="I1856" s="35"/>
      <c r="J1856" s="74"/>
      <c r="K1856" s="74"/>
      <c r="L1856" s="74"/>
      <c r="M1856" s="74"/>
      <c r="N1856" s="74"/>
      <c r="O1856" s="74"/>
      <c r="P1856" s="74"/>
      <c r="Q1856" s="74"/>
      <c r="R1856" s="74"/>
      <c r="S1856" s="74"/>
      <c r="T1856" s="74"/>
      <c r="U1856" s="74"/>
      <c r="V1856" s="74"/>
      <c r="W1856" s="74"/>
      <c r="X1856" s="74"/>
      <c r="Y1856" s="74"/>
      <c r="Z1856" s="74"/>
      <c r="AA1856" s="74"/>
      <c r="AB1856" s="74"/>
    </row>
    <row r="1857" spans="1:28" ht="12" customHeight="1">
      <c r="A1857" s="330"/>
      <c r="B1857" s="314"/>
      <c r="C1857" s="285"/>
      <c r="D1857" s="108"/>
      <c r="E1857" s="285"/>
      <c r="F1857" s="285"/>
      <c r="G1857" s="35"/>
      <c r="H1857" s="104"/>
      <c r="I1857" s="35"/>
      <c r="J1857" s="74"/>
      <c r="K1857" s="74"/>
      <c r="L1857" s="74"/>
      <c r="M1857" s="74"/>
      <c r="N1857" s="74"/>
      <c r="O1857" s="74"/>
      <c r="P1857" s="74"/>
      <c r="Q1857" s="74"/>
      <c r="R1857" s="74"/>
      <c r="S1857" s="74"/>
      <c r="T1857" s="74"/>
      <c r="U1857" s="74"/>
      <c r="V1857" s="74"/>
      <c r="W1857" s="74"/>
      <c r="X1857" s="74"/>
      <c r="Y1857" s="74"/>
      <c r="Z1857" s="74"/>
      <c r="AA1857" s="74"/>
      <c r="AB1857" s="74"/>
    </row>
    <row r="1858" spans="1:28" ht="12" customHeight="1">
      <c r="A1858" s="330"/>
      <c r="B1858" s="314"/>
      <c r="C1858" s="285"/>
      <c r="D1858" s="108"/>
      <c r="E1858" s="285"/>
      <c r="F1858" s="285"/>
      <c r="G1858" s="35"/>
      <c r="H1858" s="104"/>
      <c r="I1858" s="35"/>
      <c r="J1858" s="74"/>
      <c r="K1858" s="74"/>
      <c r="L1858" s="74"/>
      <c r="M1858" s="74"/>
      <c r="N1858" s="74"/>
      <c r="O1858" s="74"/>
      <c r="P1858" s="74"/>
      <c r="Q1858" s="74"/>
      <c r="R1858" s="74"/>
      <c r="S1858" s="74"/>
      <c r="T1858" s="74"/>
      <c r="U1858" s="74"/>
      <c r="V1858" s="74"/>
      <c r="W1858" s="74"/>
      <c r="X1858" s="74"/>
      <c r="Y1858" s="74"/>
      <c r="Z1858" s="74"/>
      <c r="AA1858" s="74"/>
      <c r="AB1858" s="74"/>
    </row>
    <row r="1859" spans="1:28" ht="12" customHeight="1">
      <c r="A1859" s="330"/>
      <c r="B1859" s="314"/>
      <c r="C1859" s="285"/>
      <c r="D1859" s="108"/>
      <c r="E1859" s="285"/>
      <c r="F1859" s="285"/>
      <c r="G1859" s="35"/>
      <c r="H1859" s="104"/>
      <c r="I1859" s="35"/>
      <c r="J1859" s="74"/>
      <c r="K1859" s="74"/>
      <c r="L1859" s="74"/>
      <c r="M1859" s="74"/>
      <c r="N1859" s="74"/>
      <c r="O1859" s="74"/>
      <c r="P1859" s="74"/>
      <c r="Q1859" s="74"/>
      <c r="R1859" s="74"/>
      <c r="S1859" s="74"/>
      <c r="T1859" s="74"/>
      <c r="U1859" s="74"/>
      <c r="V1859" s="74"/>
      <c r="W1859" s="74"/>
      <c r="X1859" s="74"/>
      <c r="Y1859" s="74"/>
      <c r="Z1859" s="74"/>
      <c r="AA1859" s="74"/>
      <c r="AB1859" s="74"/>
    </row>
    <row r="1860" spans="1:28" ht="12" customHeight="1">
      <c r="A1860" s="330"/>
      <c r="B1860" s="314"/>
      <c r="C1860" s="285"/>
      <c r="D1860" s="108"/>
      <c r="E1860" s="285"/>
      <c r="F1860" s="285"/>
      <c r="G1860" s="35"/>
      <c r="H1860" s="104"/>
      <c r="I1860" s="35"/>
      <c r="J1860" s="74"/>
      <c r="K1860" s="74"/>
      <c r="L1860" s="74"/>
      <c r="M1860" s="74"/>
      <c r="N1860" s="74"/>
      <c r="O1860" s="74"/>
      <c r="P1860" s="74"/>
      <c r="Q1860" s="74"/>
      <c r="R1860" s="74"/>
      <c r="S1860" s="74"/>
      <c r="T1860" s="74"/>
      <c r="U1860" s="74"/>
      <c r="V1860" s="74"/>
      <c r="W1860" s="74"/>
      <c r="X1860" s="74"/>
      <c r="Y1860" s="74"/>
      <c r="Z1860" s="74"/>
      <c r="AA1860" s="74"/>
      <c r="AB1860" s="74"/>
    </row>
    <row r="1861" spans="1:28" ht="12" customHeight="1">
      <c r="A1861" s="330"/>
      <c r="B1861" s="314"/>
      <c r="C1861" s="285"/>
      <c r="D1861" s="108"/>
      <c r="E1861" s="285"/>
      <c r="F1861" s="285"/>
      <c r="G1861" s="35"/>
      <c r="H1861" s="104"/>
      <c r="I1861" s="35"/>
      <c r="J1861" s="74"/>
      <c r="K1861" s="74"/>
      <c r="L1861" s="74"/>
      <c r="M1861" s="74"/>
      <c r="N1861" s="74"/>
      <c r="O1861" s="74"/>
      <c r="P1861" s="74"/>
      <c r="Q1861" s="74"/>
      <c r="R1861" s="74"/>
      <c r="S1861" s="74"/>
      <c r="T1861" s="74"/>
      <c r="U1861" s="74"/>
      <c r="V1861" s="74"/>
      <c r="W1861" s="74"/>
      <c r="X1861" s="74"/>
      <c r="Y1861" s="74"/>
      <c r="Z1861" s="74"/>
      <c r="AA1861" s="74"/>
      <c r="AB1861" s="74"/>
    </row>
    <row r="1862" spans="1:28" ht="12" customHeight="1">
      <c r="A1862" s="330"/>
      <c r="B1862" s="314"/>
      <c r="C1862" s="285"/>
      <c r="D1862" s="108"/>
      <c r="E1862" s="285"/>
      <c r="F1862" s="285"/>
      <c r="G1862" s="35"/>
      <c r="H1862" s="104"/>
      <c r="I1862" s="35"/>
      <c r="J1862" s="74"/>
      <c r="K1862" s="74"/>
      <c r="L1862" s="74"/>
      <c r="M1862" s="74"/>
      <c r="N1862" s="74"/>
      <c r="O1862" s="74"/>
      <c r="P1862" s="74"/>
      <c r="Q1862" s="74"/>
      <c r="R1862" s="74"/>
      <c r="S1862" s="74"/>
      <c r="T1862" s="74"/>
      <c r="U1862" s="74"/>
      <c r="V1862" s="74"/>
      <c r="W1862" s="74"/>
      <c r="X1862" s="74"/>
      <c r="Y1862" s="74"/>
      <c r="Z1862" s="74"/>
      <c r="AA1862" s="74"/>
      <c r="AB1862" s="74"/>
    </row>
    <row r="1863" spans="1:28" ht="12" customHeight="1">
      <c r="A1863" s="330"/>
      <c r="B1863" s="314"/>
      <c r="C1863" s="285"/>
      <c r="D1863" s="108"/>
      <c r="E1863" s="285"/>
      <c r="F1863" s="285"/>
      <c r="G1863" s="35"/>
      <c r="H1863" s="104"/>
      <c r="I1863" s="35"/>
      <c r="J1863" s="74"/>
      <c r="K1863" s="74"/>
      <c r="L1863" s="74"/>
      <c r="M1863" s="74"/>
      <c r="N1863" s="74"/>
      <c r="O1863" s="74"/>
      <c r="P1863" s="74"/>
      <c r="Q1863" s="74"/>
      <c r="R1863" s="74"/>
      <c r="S1863" s="74"/>
      <c r="T1863" s="74"/>
      <c r="U1863" s="74"/>
      <c r="V1863" s="74"/>
      <c r="W1863" s="74"/>
      <c r="X1863" s="74"/>
      <c r="Y1863" s="74"/>
      <c r="Z1863" s="74"/>
      <c r="AA1863" s="74"/>
      <c r="AB1863" s="74"/>
    </row>
    <row r="1864" spans="1:28" ht="12" customHeight="1">
      <c r="A1864" s="330"/>
      <c r="B1864" s="314"/>
      <c r="C1864" s="285"/>
      <c r="D1864" s="108"/>
      <c r="E1864" s="285"/>
      <c r="F1864" s="285"/>
      <c r="G1864" s="35"/>
      <c r="H1864" s="104"/>
      <c r="I1864" s="35"/>
      <c r="J1864" s="74"/>
      <c r="K1864" s="74"/>
      <c r="L1864" s="74"/>
      <c r="M1864" s="74"/>
      <c r="N1864" s="74"/>
      <c r="O1864" s="74"/>
      <c r="P1864" s="74"/>
      <c r="Q1864" s="74"/>
      <c r="R1864" s="74"/>
      <c r="S1864" s="74"/>
      <c r="T1864" s="74"/>
      <c r="U1864" s="74"/>
      <c r="V1864" s="74"/>
      <c r="W1864" s="74"/>
      <c r="X1864" s="74"/>
      <c r="Y1864" s="74"/>
      <c r="Z1864" s="74"/>
      <c r="AA1864" s="74"/>
      <c r="AB1864" s="74"/>
    </row>
    <row r="1865" spans="1:28" ht="12" customHeight="1">
      <c r="A1865" s="330"/>
      <c r="B1865" s="314"/>
      <c r="C1865" s="285"/>
      <c r="D1865" s="108"/>
      <c r="E1865" s="285"/>
      <c r="F1865" s="285"/>
      <c r="G1865" s="35"/>
      <c r="H1865" s="104"/>
      <c r="I1865" s="35"/>
      <c r="J1865" s="74"/>
      <c r="K1865" s="74"/>
      <c r="L1865" s="74"/>
      <c r="M1865" s="74"/>
      <c r="N1865" s="74"/>
      <c r="O1865" s="74"/>
      <c r="P1865" s="74"/>
      <c r="Q1865" s="74"/>
      <c r="R1865" s="74"/>
      <c r="S1865" s="74"/>
      <c r="T1865" s="74"/>
      <c r="U1865" s="74"/>
      <c r="V1865" s="74"/>
      <c r="W1865" s="74"/>
      <c r="X1865" s="74"/>
      <c r="Y1865" s="74"/>
      <c r="Z1865" s="74"/>
      <c r="AA1865" s="74"/>
      <c r="AB1865" s="74"/>
    </row>
    <row r="1866" spans="1:28" ht="12" customHeight="1">
      <c r="A1866" s="330"/>
      <c r="B1866" s="314"/>
      <c r="C1866" s="285"/>
      <c r="D1866" s="108"/>
      <c r="E1866" s="285"/>
      <c r="F1866" s="285"/>
      <c r="G1866" s="35"/>
      <c r="H1866" s="104"/>
      <c r="I1866" s="35"/>
      <c r="J1866" s="74"/>
      <c r="K1866" s="74"/>
      <c r="L1866" s="74"/>
      <c r="M1866" s="74"/>
      <c r="N1866" s="74"/>
      <c r="O1866" s="74"/>
      <c r="P1866" s="74"/>
      <c r="Q1866" s="74"/>
      <c r="R1866" s="74"/>
      <c r="S1866" s="74"/>
      <c r="T1866" s="74"/>
      <c r="U1866" s="74"/>
      <c r="V1866" s="74"/>
      <c r="W1866" s="74"/>
      <c r="X1866" s="74"/>
      <c r="Y1866" s="74"/>
      <c r="Z1866" s="74"/>
      <c r="AA1866" s="74"/>
      <c r="AB1866" s="74"/>
    </row>
    <row r="1867" spans="1:28" ht="12" customHeight="1">
      <c r="A1867" s="330"/>
      <c r="B1867" s="314"/>
      <c r="C1867" s="285"/>
      <c r="D1867" s="108"/>
      <c r="E1867" s="285"/>
      <c r="F1867" s="285"/>
      <c r="G1867" s="35"/>
      <c r="H1867" s="104"/>
      <c r="I1867" s="35"/>
      <c r="J1867" s="74"/>
      <c r="K1867" s="74"/>
      <c r="L1867" s="74"/>
      <c r="M1867" s="74"/>
      <c r="N1867" s="74"/>
      <c r="O1867" s="74"/>
      <c r="P1867" s="74"/>
      <c r="Q1867" s="74"/>
      <c r="R1867" s="74"/>
      <c r="S1867" s="74"/>
      <c r="T1867" s="74"/>
      <c r="U1867" s="74"/>
      <c r="V1867" s="74"/>
      <c r="W1867" s="74"/>
      <c r="X1867" s="74"/>
      <c r="Y1867" s="74"/>
      <c r="Z1867" s="74"/>
      <c r="AA1867" s="74"/>
      <c r="AB1867" s="74"/>
    </row>
    <row r="1868" spans="1:28" ht="12" customHeight="1">
      <c r="A1868" s="330"/>
      <c r="B1868" s="314"/>
      <c r="C1868" s="285"/>
      <c r="D1868" s="108"/>
      <c r="E1868" s="285"/>
      <c r="F1868" s="285"/>
      <c r="G1868" s="35"/>
      <c r="H1868" s="104"/>
      <c r="I1868" s="35"/>
      <c r="J1868" s="74"/>
      <c r="K1868" s="74"/>
      <c r="L1868" s="74"/>
      <c r="M1868" s="74"/>
      <c r="N1868" s="74"/>
      <c r="O1868" s="74"/>
      <c r="P1868" s="74"/>
      <c r="Q1868" s="74"/>
      <c r="R1868" s="74"/>
      <c r="S1868" s="74"/>
      <c r="T1868" s="74"/>
      <c r="U1868" s="74"/>
      <c r="V1868" s="74"/>
      <c r="W1868" s="74"/>
      <c r="X1868" s="74"/>
      <c r="Y1868" s="74"/>
      <c r="Z1868" s="74"/>
      <c r="AA1868" s="74"/>
      <c r="AB1868" s="74"/>
    </row>
    <row r="1869" spans="1:28" ht="12" customHeight="1">
      <c r="A1869" s="330"/>
      <c r="B1869" s="314"/>
      <c r="C1869" s="285"/>
      <c r="D1869" s="108"/>
      <c r="E1869" s="285"/>
      <c r="F1869" s="285"/>
      <c r="G1869" s="35"/>
      <c r="H1869" s="104"/>
      <c r="I1869" s="35"/>
      <c r="J1869" s="74"/>
      <c r="K1869" s="74"/>
      <c r="L1869" s="74"/>
      <c r="M1869" s="74"/>
      <c r="N1869" s="74"/>
      <c r="O1869" s="74"/>
      <c r="P1869" s="74"/>
      <c r="Q1869" s="74"/>
      <c r="R1869" s="74"/>
      <c r="S1869" s="74"/>
      <c r="T1869" s="74"/>
      <c r="U1869" s="74"/>
      <c r="V1869" s="74"/>
      <c r="W1869" s="74"/>
      <c r="X1869" s="74"/>
      <c r="Y1869" s="74"/>
      <c r="Z1869" s="74"/>
      <c r="AA1869" s="74"/>
      <c r="AB1869" s="74"/>
    </row>
    <row r="1870" spans="1:28" ht="12" customHeight="1">
      <c r="A1870" s="330"/>
      <c r="B1870" s="314"/>
      <c r="C1870" s="285"/>
      <c r="D1870" s="108"/>
      <c r="E1870" s="285"/>
      <c r="F1870" s="285"/>
      <c r="G1870" s="35"/>
      <c r="H1870" s="104"/>
      <c r="I1870" s="35"/>
      <c r="J1870" s="74"/>
      <c r="K1870" s="74"/>
      <c r="L1870" s="74"/>
      <c r="M1870" s="74"/>
      <c r="N1870" s="74"/>
      <c r="O1870" s="74"/>
      <c r="P1870" s="74"/>
      <c r="Q1870" s="74"/>
      <c r="R1870" s="74"/>
      <c r="S1870" s="74"/>
      <c r="T1870" s="74"/>
      <c r="U1870" s="74"/>
      <c r="V1870" s="74"/>
      <c r="W1870" s="74"/>
      <c r="X1870" s="74"/>
      <c r="Y1870" s="74"/>
      <c r="Z1870" s="74"/>
      <c r="AA1870" s="74"/>
      <c r="AB1870" s="74"/>
    </row>
    <row r="1871" spans="1:28" ht="12" customHeight="1">
      <c r="A1871" s="330"/>
      <c r="B1871" s="314"/>
      <c r="C1871" s="285"/>
      <c r="D1871" s="108"/>
      <c r="E1871" s="285"/>
      <c r="F1871" s="285"/>
      <c r="G1871" s="35"/>
      <c r="H1871" s="104"/>
      <c r="I1871" s="35"/>
      <c r="J1871" s="74"/>
      <c r="K1871" s="74"/>
      <c r="L1871" s="74"/>
      <c r="M1871" s="74"/>
      <c r="N1871" s="74"/>
      <c r="O1871" s="74"/>
      <c r="P1871" s="74"/>
      <c r="Q1871" s="74"/>
      <c r="R1871" s="74"/>
      <c r="S1871" s="74"/>
      <c r="T1871" s="74"/>
      <c r="U1871" s="74"/>
      <c r="V1871" s="74"/>
      <c r="W1871" s="74"/>
      <c r="X1871" s="74"/>
      <c r="Y1871" s="74"/>
      <c r="Z1871" s="74"/>
      <c r="AA1871" s="74"/>
      <c r="AB1871" s="74"/>
    </row>
    <row r="1872" spans="1:28" ht="12" customHeight="1">
      <c r="A1872" s="330"/>
      <c r="B1872" s="314"/>
      <c r="C1872" s="285"/>
      <c r="D1872" s="108"/>
      <c r="E1872" s="285"/>
      <c r="F1872" s="285"/>
      <c r="G1872" s="35"/>
      <c r="H1872" s="104"/>
      <c r="I1872" s="35"/>
      <c r="J1872" s="74"/>
      <c r="K1872" s="74"/>
      <c r="L1872" s="74"/>
      <c r="M1872" s="74"/>
      <c r="N1872" s="74"/>
      <c r="O1872" s="74"/>
      <c r="P1872" s="74"/>
      <c r="Q1872" s="74"/>
      <c r="R1872" s="74"/>
      <c r="S1872" s="74"/>
      <c r="T1872" s="74"/>
      <c r="U1872" s="74"/>
      <c r="V1872" s="74"/>
      <c r="W1872" s="74"/>
      <c r="X1872" s="74"/>
      <c r="Y1872" s="74"/>
      <c r="Z1872" s="74"/>
      <c r="AA1872" s="74"/>
      <c r="AB1872" s="74"/>
    </row>
    <row r="1873" spans="1:28" ht="12" customHeight="1">
      <c r="A1873" s="330"/>
      <c r="B1873" s="314"/>
      <c r="C1873" s="285"/>
      <c r="D1873" s="108"/>
      <c r="E1873" s="285"/>
      <c r="F1873" s="285"/>
      <c r="G1873" s="35"/>
      <c r="H1873" s="104"/>
      <c r="I1873" s="35"/>
      <c r="J1873" s="74"/>
      <c r="K1873" s="74"/>
      <c r="L1873" s="74"/>
      <c r="M1873" s="74"/>
      <c r="N1873" s="74"/>
      <c r="O1873" s="74"/>
      <c r="P1873" s="74"/>
      <c r="Q1873" s="74"/>
      <c r="R1873" s="74"/>
      <c r="S1873" s="74"/>
      <c r="T1873" s="74"/>
      <c r="U1873" s="74"/>
      <c r="V1873" s="74"/>
      <c r="W1873" s="74"/>
      <c r="X1873" s="74"/>
      <c r="Y1873" s="74"/>
      <c r="Z1873" s="74"/>
      <c r="AA1873" s="74"/>
      <c r="AB1873" s="74"/>
    </row>
    <row r="1874" spans="1:28" ht="12" customHeight="1">
      <c r="A1874" s="330"/>
      <c r="B1874" s="314"/>
      <c r="C1874" s="285"/>
      <c r="D1874" s="108"/>
      <c r="E1874" s="285"/>
      <c r="F1874" s="285"/>
      <c r="G1874" s="35"/>
      <c r="H1874" s="104"/>
      <c r="I1874" s="35"/>
      <c r="J1874" s="74"/>
      <c r="K1874" s="74"/>
      <c r="L1874" s="74"/>
      <c r="M1874" s="74"/>
      <c r="N1874" s="74"/>
      <c r="O1874" s="74"/>
      <c r="P1874" s="74"/>
      <c r="Q1874" s="74"/>
      <c r="R1874" s="74"/>
      <c r="S1874" s="74"/>
      <c r="T1874" s="74"/>
      <c r="U1874" s="74"/>
      <c r="V1874" s="74"/>
      <c r="W1874" s="74"/>
      <c r="X1874" s="74"/>
      <c r="Y1874" s="74"/>
      <c r="Z1874" s="74"/>
      <c r="AA1874" s="74"/>
      <c r="AB1874" s="74"/>
    </row>
    <row r="1875" spans="1:28" ht="12" customHeight="1">
      <c r="A1875" s="330"/>
      <c r="B1875" s="314"/>
      <c r="C1875" s="285"/>
      <c r="D1875" s="108"/>
      <c r="E1875" s="285"/>
      <c r="F1875" s="285"/>
      <c r="G1875" s="35"/>
      <c r="H1875" s="104"/>
      <c r="I1875" s="35"/>
      <c r="J1875" s="74"/>
      <c r="K1875" s="74"/>
      <c r="L1875" s="74"/>
      <c r="M1875" s="74"/>
      <c r="N1875" s="74"/>
      <c r="O1875" s="74"/>
      <c r="P1875" s="74"/>
      <c r="Q1875" s="74"/>
      <c r="R1875" s="74"/>
      <c r="S1875" s="74"/>
      <c r="T1875" s="74"/>
      <c r="U1875" s="74"/>
      <c r="V1875" s="74"/>
      <c r="W1875" s="74"/>
      <c r="X1875" s="74"/>
      <c r="Y1875" s="74"/>
      <c r="Z1875" s="74"/>
      <c r="AA1875" s="74"/>
      <c r="AB1875" s="74"/>
    </row>
    <row r="1876" spans="1:28" ht="12" customHeight="1">
      <c r="A1876" s="330"/>
      <c r="B1876" s="314"/>
      <c r="C1876" s="285"/>
      <c r="D1876" s="108"/>
      <c r="E1876" s="285"/>
      <c r="F1876" s="285"/>
      <c r="G1876" s="35"/>
      <c r="H1876" s="104"/>
      <c r="I1876" s="35"/>
      <c r="J1876" s="74"/>
      <c r="K1876" s="74"/>
      <c r="L1876" s="74"/>
      <c r="M1876" s="74"/>
      <c r="N1876" s="74"/>
      <c r="O1876" s="74"/>
      <c r="P1876" s="74"/>
      <c r="Q1876" s="74"/>
      <c r="R1876" s="74"/>
      <c r="S1876" s="74"/>
      <c r="T1876" s="74"/>
      <c r="U1876" s="74"/>
      <c r="V1876" s="74"/>
      <c r="W1876" s="74"/>
      <c r="X1876" s="74"/>
      <c r="Y1876" s="74"/>
      <c r="Z1876" s="74"/>
      <c r="AA1876" s="74"/>
      <c r="AB1876" s="74"/>
    </row>
    <row r="1877" spans="1:28" ht="12" customHeight="1">
      <c r="A1877" s="330"/>
      <c r="B1877" s="314"/>
      <c r="C1877" s="285"/>
      <c r="D1877" s="108"/>
      <c r="E1877" s="285"/>
      <c r="F1877" s="285"/>
      <c r="G1877" s="35"/>
      <c r="H1877" s="104"/>
      <c r="I1877" s="35"/>
      <c r="J1877" s="74"/>
      <c r="K1877" s="74"/>
      <c r="L1877" s="74"/>
      <c r="M1877" s="74"/>
      <c r="N1877" s="74"/>
      <c r="O1877" s="74"/>
      <c r="P1877" s="74"/>
      <c r="Q1877" s="74"/>
      <c r="R1877" s="74"/>
      <c r="S1877" s="74"/>
      <c r="T1877" s="74"/>
      <c r="U1877" s="74"/>
      <c r="V1877" s="74"/>
      <c r="W1877" s="74"/>
      <c r="X1877" s="74"/>
      <c r="Y1877" s="74"/>
      <c r="Z1877" s="74"/>
      <c r="AA1877" s="74"/>
      <c r="AB1877" s="74"/>
    </row>
    <row r="1878" spans="1:28" ht="12" customHeight="1">
      <c r="A1878" s="330"/>
      <c r="B1878" s="314"/>
      <c r="C1878" s="285"/>
      <c r="D1878" s="108"/>
      <c r="E1878" s="285"/>
      <c r="F1878" s="285"/>
      <c r="G1878" s="35"/>
      <c r="H1878" s="104"/>
      <c r="I1878" s="35"/>
      <c r="J1878" s="74"/>
      <c r="K1878" s="74"/>
      <c r="L1878" s="74"/>
      <c r="M1878" s="74"/>
      <c r="N1878" s="74"/>
      <c r="O1878" s="74"/>
      <c r="P1878" s="74"/>
      <c r="Q1878" s="74"/>
      <c r="R1878" s="74"/>
      <c r="S1878" s="74"/>
      <c r="T1878" s="74"/>
      <c r="U1878" s="74"/>
      <c r="V1878" s="74"/>
      <c r="W1878" s="74"/>
      <c r="X1878" s="74"/>
      <c r="Y1878" s="74"/>
      <c r="Z1878" s="74"/>
      <c r="AA1878" s="74"/>
      <c r="AB1878" s="74"/>
    </row>
    <row r="1879" spans="1:28" ht="12" customHeight="1">
      <c r="A1879" s="330"/>
      <c r="B1879" s="314"/>
      <c r="C1879" s="285"/>
      <c r="D1879" s="108"/>
      <c r="E1879" s="285"/>
      <c r="F1879" s="285"/>
      <c r="G1879" s="35"/>
      <c r="H1879" s="104"/>
      <c r="I1879" s="35"/>
      <c r="J1879" s="74"/>
      <c r="K1879" s="74"/>
      <c r="L1879" s="74"/>
      <c r="M1879" s="74"/>
      <c r="N1879" s="74"/>
      <c r="O1879" s="74"/>
      <c r="P1879" s="74"/>
      <c r="Q1879" s="74"/>
      <c r="R1879" s="74"/>
      <c r="S1879" s="74"/>
      <c r="T1879" s="74"/>
      <c r="U1879" s="74"/>
      <c r="V1879" s="74"/>
      <c r="W1879" s="74"/>
      <c r="X1879" s="74"/>
      <c r="Y1879" s="74"/>
      <c r="Z1879" s="74"/>
      <c r="AA1879" s="74"/>
      <c r="AB1879" s="74"/>
    </row>
    <row r="1880" spans="1:28" ht="12" customHeight="1">
      <c r="A1880" s="330"/>
      <c r="B1880" s="314"/>
      <c r="C1880" s="285"/>
      <c r="D1880" s="108"/>
      <c r="E1880" s="285"/>
      <c r="F1880" s="285"/>
      <c r="G1880" s="35"/>
      <c r="H1880" s="104"/>
      <c r="I1880" s="35"/>
      <c r="J1880" s="74"/>
      <c r="K1880" s="74"/>
      <c r="L1880" s="74"/>
      <c r="M1880" s="74"/>
      <c r="N1880" s="74"/>
      <c r="O1880" s="74"/>
      <c r="P1880" s="74"/>
      <c r="Q1880" s="74"/>
      <c r="R1880" s="74"/>
      <c r="S1880" s="74"/>
      <c r="T1880" s="74"/>
      <c r="U1880" s="74"/>
      <c r="V1880" s="74"/>
      <c r="W1880" s="74"/>
      <c r="X1880" s="74"/>
      <c r="Y1880" s="74"/>
      <c r="Z1880" s="74"/>
      <c r="AA1880" s="74"/>
      <c r="AB1880" s="74"/>
    </row>
    <row r="1881" spans="1:28" ht="12" customHeight="1">
      <c r="A1881" s="330"/>
      <c r="B1881" s="314"/>
      <c r="C1881" s="285"/>
      <c r="D1881" s="108"/>
      <c r="E1881" s="285"/>
      <c r="F1881" s="285"/>
      <c r="G1881" s="35"/>
      <c r="H1881" s="104"/>
      <c r="I1881" s="35"/>
      <c r="J1881" s="74"/>
      <c r="K1881" s="74"/>
      <c r="L1881" s="74"/>
      <c r="M1881" s="74"/>
      <c r="N1881" s="74"/>
      <c r="O1881" s="74"/>
      <c r="P1881" s="74"/>
      <c r="Q1881" s="74"/>
      <c r="R1881" s="74"/>
      <c r="S1881" s="74"/>
      <c r="T1881" s="74"/>
      <c r="U1881" s="74"/>
      <c r="V1881" s="74"/>
      <c r="W1881" s="74"/>
      <c r="X1881" s="74"/>
      <c r="Y1881" s="74"/>
      <c r="Z1881" s="74"/>
      <c r="AA1881" s="74"/>
      <c r="AB1881" s="74"/>
    </row>
    <row r="1882" spans="1:28" ht="12" customHeight="1">
      <c r="A1882" s="330"/>
      <c r="B1882" s="314"/>
      <c r="C1882" s="285"/>
      <c r="D1882" s="108"/>
      <c r="E1882" s="285"/>
      <c r="F1882" s="285"/>
      <c r="G1882" s="35"/>
      <c r="H1882" s="104"/>
      <c r="I1882" s="35"/>
      <c r="J1882" s="74"/>
      <c r="K1882" s="74"/>
      <c r="L1882" s="74"/>
      <c r="M1882" s="74"/>
      <c r="N1882" s="74"/>
      <c r="O1882" s="74"/>
      <c r="P1882" s="74"/>
      <c r="Q1882" s="74"/>
      <c r="R1882" s="74"/>
      <c r="S1882" s="74"/>
      <c r="T1882" s="74"/>
      <c r="U1882" s="74"/>
      <c r="V1882" s="74"/>
      <c r="W1882" s="74"/>
      <c r="X1882" s="74"/>
      <c r="Y1882" s="74"/>
      <c r="Z1882" s="74"/>
      <c r="AA1882" s="74"/>
      <c r="AB1882" s="74"/>
    </row>
    <row r="1883" spans="1:28" ht="12" customHeight="1">
      <c r="A1883" s="330"/>
      <c r="B1883" s="314"/>
      <c r="C1883" s="285"/>
      <c r="D1883" s="108"/>
      <c r="E1883" s="285"/>
      <c r="F1883" s="285"/>
      <c r="G1883" s="35"/>
      <c r="H1883" s="104"/>
      <c r="I1883" s="35"/>
      <c r="J1883" s="74"/>
      <c r="K1883" s="74"/>
      <c r="L1883" s="74"/>
      <c r="M1883" s="74"/>
      <c r="N1883" s="74"/>
      <c r="O1883" s="74"/>
      <c r="P1883" s="74"/>
      <c r="Q1883" s="74"/>
      <c r="R1883" s="74"/>
      <c r="S1883" s="74"/>
      <c r="T1883" s="74"/>
      <c r="U1883" s="74"/>
      <c r="V1883" s="74"/>
      <c r="W1883" s="74"/>
      <c r="X1883" s="74"/>
      <c r="Y1883" s="74"/>
      <c r="Z1883" s="74"/>
      <c r="AA1883" s="74"/>
      <c r="AB1883" s="74"/>
    </row>
    <row r="1884" spans="1:28" ht="12" customHeight="1">
      <c r="A1884" s="330"/>
      <c r="B1884" s="314"/>
      <c r="C1884" s="285"/>
      <c r="D1884" s="108"/>
      <c r="E1884" s="285"/>
      <c r="F1884" s="285"/>
      <c r="G1884" s="35"/>
      <c r="H1884" s="104"/>
      <c r="I1884" s="35"/>
      <c r="J1884" s="74"/>
      <c r="K1884" s="74"/>
      <c r="L1884" s="74"/>
      <c r="M1884" s="74"/>
      <c r="N1884" s="74"/>
      <c r="O1884" s="74"/>
      <c r="P1884" s="74"/>
      <c r="Q1884" s="74"/>
      <c r="R1884" s="74"/>
      <c r="S1884" s="74"/>
      <c r="T1884" s="74"/>
      <c r="U1884" s="74"/>
      <c r="V1884" s="74"/>
      <c r="W1884" s="74"/>
      <c r="X1884" s="74"/>
      <c r="Y1884" s="74"/>
      <c r="Z1884" s="74"/>
      <c r="AA1884" s="74"/>
      <c r="AB1884" s="74"/>
    </row>
    <row r="1885" spans="1:28" ht="12" customHeight="1">
      <c r="A1885" s="330"/>
      <c r="B1885" s="314"/>
      <c r="C1885" s="285"/>
      <c r="D1885" s="108"/>
      <c r="E1885" s="285"/>
      <c r="F1885" s="285"/>
      <c r="G1885" s="35"/>
      <c r="H1885" s="104"/>
      <c r="I1885" s="35"/>
      <c r="J1885" s="74"/>
      <c r="K1885" s="74"/>
      <c r="L1885" s="74"/>
      <c r="M1885" s="74"/>
      <c r="N1885" s="74"/>
      <c r="O1885" s="74"/>
      <c r="P1885" s="74"/>
      <c r="Q1885" s="74"/>
      <c r="R1885" s="74"/>
      <c r="S1885" s="74"/>
      <c r="T1885" s="74"/>
      <c r="U1885" s="74"/>
      <c r="V1885" s="74"/>
      <c r="W1885" s="74"/>
      <c r="X1885" s="74"/>
      <c r="Y1885" s="74"/>
      <c r="Z1885" s="74"/>
      <c r="AA1885" s="74"/>
      <c r="AB1885" s="74"/>
    </row>
    <row r="1886" spans="1:28" ht="12" customHeight="1">
      <c r="A1886" s="330"/>
      <c r="B1886" s="314"/>
      <c r="C1886" s="285"/>
      <c r="D1886" s="108"/>
      <c r="E1886" s="285"/>
      <c r="F1886" s="285"/>
      <c r="G1886" s="35"/>
      <c r="H1886" s="104"/>
      <c r="I1886" s="35"/>
      <c r="J1886" s="74"/>
      <c r="K1886" s="74"/>
      <c r="L1886" s="74"/>
      <c r="M1886" s="74"/>
      <c r="N1886" s="74"/>
      <c r="O1886" s="74"/>
      <c r="P1886" s="74"/>
      <c r="Q1886" s="74"/>
      <c r="R1886" s="74"/>
      <c r="S1886" s="74"/>
      <c r="T1886" s="74"/>
      <c r="U1886" s="74"/>
      <c r="V1886" s="74"/>
      <c r="W1886" s="74"/>
      <c r="X1886" s="74"/>
      <c r="Y1886" s="74"/>
      <c r="Z1886" s="74"/>
      <c r="AA1886" s="74"/>
      <c r="AB1886" s="74"/>
    </row>
    <row r="1887" spans="1:28" ht="12" customHeight="1">
      <c r="A1887" s="330"/>
      <c r="B1887" s="314"/>
      <c r="C1887" s="285"/>
      <c r="D1887" s="108"/>
      <c r="E1887" s="285"/>
      <c r="F1887" s="285"/>
      <c r="G1887" s="35"/>
      <c r="H1887" s="104"/>
      <c r="I1887" s="35"/>
      <c r="J1887" s="74"/>
      <c r="K1887" s="74"/>
      <c r="L1887" s="74"/>
      <c r="M1887" s="74"/>
      <c r="N1887" s="74"/>
      <c r="O1887" s="74"/>
      <c r="P1887" s="74"/>
      <c r="Q1887" s="74"/>
      <c r="R1887" s="74"/>
      <c r="S1887" s="74"/>
      <c r="T1887" s="74"/>
      <c r="U1887" s="74"/>
      <c r="V1887" s="74"/>
      <c r="W1887" s="74"/>
      <c r="X1887" s="74"/>
      <c r="Y1887" s="74"/>
      <c r="Z1887" s="74"/>
      <c r="AA1887" s="74"/>
      <c r="AB1887" s="74"/>
    </row>
    <row r="1888" spans="1:28" ht="12" customHeight="1">
      <c r="A1888" s="330"/>
      <c r="B1888" s="314"/>
      <c r="C1888" s="285"/>
      <c r="D1888" s="108"/>
      <c r="E1888" s="285"/>
      <c r="F1888" s="285"/>
      <c r="G1888" s="35"/>
      <c r="H1888" s="104"/>
      <c r="I1888" s="35"/>
      <c r="J1888" s="74"/>
      <c r="K1888" s="74"/>
      <c r="L1888" s="74"/>
      <c r="M1888" s="74"/>
      <c r="N1888" s="74"/>
      <c r="O1888" s="74"/>
      <c r="P1888" s="74"/>
      <c r="Q1888" s="74"/>
      <c r="R1888" s="74"/>
      <c r="S1888" s="74"/>
      <c r="T1888" s="74"/>
      <c r="U1888" s="74"/>
      <c r="V1888" s="74"/>
      <c r="W1888" s="74"/>
      <c r="X1888" s="74"/>
      <c r="Y1888" s="74"/>
      <c r="Z1888" s="74"/>
      <c r="AA1888" s="74"/>
      <c r="AB1888" s="74"/>
    </row>
    <row r="1889" spans="1:28" ht="12" customHeight="1">
      <c r="A1889" s="330"/>
      <c r="B1889" s="314"/>
      <c r="C1889" s="285"/>
      <c r="D1889" s="108"/>
      <c r="E1889" s="285"/>
      <c r="F1889" s="285"/>
      <c r="G1889" s="35"/>
      <c r="H1889" s="104"/>
      <c r="I1889" s="35"/>
      <c r="J1889" s="74"/>
      <c r="K1889" s="74"/>
      <c r="L1889" s="74"/>
      <c r="M1889" s="74"/>
      <c r="N1889" s="74"/>
      <c r="O1889" s="74"/>
      <c r="P1889" s="74"/>
      <c r="Q1889" s="74"/>
      <c r="R1889" s="74"/>
      <c r="S1889" s="74"/>
      <c r="T1889" s="74"/>
      <c r="U1889" s="74"/>
      <c r="V1889" s="74"/>
      <c r="W1889" s="74"/>
      <c r="X1889" s="74"/>
      <c r="Y1889" s="74"/>
      <c r="Z1889" s="74"/>
      <c r="AA1889" s="74"/>
      <c r="AB1889" s="74"/>
    </row>
    <row r="1890" spans="1:28" ht="12" customHeight="1">
      <c r="A1890" s="330"/>
      <c r="B1890" s="314"/>
      <c r="C1890" s="285"/>
      <c r="D1890" s="108"/>
      <c r="E1890" s="285"/>
      <c r="F1890" s="285"/>
      <c r="G1890" s="35"/>
      <c r="H1890" s="104"/>
      <c r="I1890" s="35"/>
      <c r="J1890" s="74"/>
      <c r="K1890" s="74"/>
      <c r="L1890" s="74"/>
      <c r="M1890" s="74"/>
      <c r="N1890" s="74"/>
      <c r="O1890" s="74"/>
      <c r="P1890" s="74"/>
      <c r="Q1890" s="74"/>
      <c r="R1890" s="74"/>
      <c r="S1890" s="74"/>
      <c r="T1890" s="74"/>
      <c r="U1890" s="74"/>
      <c r="V1890" s="74"/>
      <c r="W1890" s="74"/>
      <c r="X1890" s="74"/>
      <c r="Y1890" s="74"/>
      <c r="Z1890" s="74"/>
      <c r="AA1890" s="74"/>
      <c r="AB1890" s="74"/>
    </row>
    <row r="1891" spans="1:28" ht="12" customHeight="1">
      <c r="A1891" s="330"/>
      <c r="B1891" s="314"/>
      <c r="C1891" s="285"/>
      <c r="D1891" s="108"/>
      <c r="E1891" s="285"/>
      <c r="F1891" s="285"/>
      <c r="G1891" s="35"/>
      <c r="H1891" s="104"/>
      <c r="I1891" s="35"/>
      <c r="J1891" s="74"/>
      <c r="K1891" s="74"/>
      <c r="L1891" s="74"/>
      <c r="M1891" s="74"/>
      <c r="N1891" s="74"/>
      <c r="O1891" s="74"/>
      <c r="P1891" s="74"/>
      <c r="Q1891" s="74"/>
      <c r="R1891" s="74"/>
      <c r="S1891" s="74"/>
      <c r="T1891" s="74"/>
      <c r="U1891" s="74"/>
      <c r="V1891" s="74"/>
      <c r="W1891" s="74"/>
      <c r="X1891" s="74"/>
      <c r="Y1891" s="74"/>
      <c r="Z1891" s="74"/>
      <c r="AA1891" s="74"/>
      <c r="AB1891" s="74"/>
    </row>
    <row r="1892" spans="1:28" ht="12" customHeight="1">
      <c r="A1892" s="330"/>
      <c r="B1892" s="314"/>
      <c r="C1892" s="285"/>
      <c r="D1892" s="108"/>
      <c r="E1892" s="285"/>
      <c r="F1892" s="285"/>
      <c r="G1892" s="35"/>
      <c r="H1892" s="104"/>
      <c r="I1892" s="35"/>
      <c r="J1892" s="74"/>
      <c r="K1892" s="74"/>
      <c r="L1892" s="74"/>
      <c r="M1892" s="74"/>
      <c r="N1892" s="74"/>
      <c r="O1892" s="74"/>
      <c r="P1892" s="74"/>
      <c r="Q1892" s="74"/>
      <c r="R1892" s="74"/>
      <c r="S1892" s="74"/>
      <c r="T1892" s="74"/>
      <c r="U1892" s="74"/>
      <c r="V1892" s="74"/>
      <c r="W1892" s="74"/>
      <c r="X1892" s="74"/>
      <c r="Y1892" s="74"/>
      <c r="Z1892" s="74"/>
      <c r="AA1892" s="74"/>
      <c r="AB1892" s="74"/>
    </row>
    <row r="1893" spans="1:28" ht="12" customHeight="1">
      <c r="A1893" s="330"/>
      <c r="B1893" s="314"/>
      <c r="C1893" s="285"/>
      <c r="D1893" s="108"/>
      <c r="E1893" s="285"/>
      <c r="F1893" s="285"/>
      <c r="G1893" s="35"/>
      <c r="H1893" s="104"/>
      <c r="I1893" s="35"/>
      <c r="J1893" s="74"/>
      <c r="K1893" s="74"/>
      <c r="L1893" s="74"/>
      <c r="M1893" s="74"/>
      <c r="N1893" s="74"/>
      <c r="O1893" s="74"/>
      <c r="P1893" s="74"/>
      <c r="Q1893" s="74"/>
      <c r="R1893" s="74"/>
      <c r="S1893" s="74"/>
      <c r="T1893" s="74"/>
      <c r="U1893" s="74"/>
      <c r="V1893" s="74"/>
      <c r="W1893" s="74"/>
      <c r="X1893" s="74"/>
      <c r="Y1893" s="74"/>
      <c r="Z1893" s="74"/>
      <c r="AA1893" s="74"/>
      <c r="AB1893" s="74"/>
    </row>
    <row r="1894" spans="1:28" ht="12" customHeight="1">
      <c r="A1894" s="330"/>
      <c r="B1894" s="314"/>
      <c r="C1894" s="285"/>
      <c r="D1894" s="108"/>
      <c r="E1894" s="285"/>
      <c r="F1894" s="285"/>
      <c r="G1894" s="35"/>
      <c r="H1894" s="104"/>
      <c r="I1894" s="35"/>
      <c r="J1894" s="74"/>
      <c r="K1894" s="74"/>
      <c r="L1894" s="74"/>
      <c r="M1894" s="74"/>
      <c r="N1894" s="74"/>
      <c r="O1894" s="74"/>
      <c r="P1894" s="74"/>
      <c r="Q1894" s="74"/>
      <c r="R1894" s="74"/>
      <c r="S1894" s="74"/>
      <c r="T1894" s="74"/>
      <c r="U1894" s="74"/>
      <c r="V1894" s="74"/>
      <c r="W1894" s="74"/>
      <c r="X1894" s="74"/>
      <c r="Y1894" s="74"/>
      <c r="Z1894" s="74"/>
      <c r="AA1894" s="74"/>
      <c r="AB1894" s="74"/>
    </row>
    <row r="1895" spans="1:28" ht="12" customHeight="1">
      <c r="A1895" s="330"/>
      <c r="B1895" s="314"/>
      <c r="C1895" s="285"/>
      <c r="D1895" s="108"/>
      <c r="E1895" s="285"/>
      <c r="F1895" s="285"/>
      <c r="G1895" s="35"/>
      <c r="H1895" s="104"/>
      <c r="I1895" s="35"/>
      <c r="J1895" s="74"/>
      <c r="K1895" s="74"/>
      <c r="L1895" s="74"/>
      <c r="M1895" s="74"/>
      <c r="N1895" s="74"/>
      <c r="O1895" s="74"/>
      <c r="P1895" s="74"/>
      <c r="Q1895" s="74"/>
      <c r="R1895" s="74"/>
      <c r="S1895" s="74"/>
      <c r="T1895" s="74"/>
      <c r="U1895" s="74"/>
      <c r="V1895" s="74"/>
      <c r="W1895" s="74"/>
      <c r="X1895" s="74"/>
      <c r="Y1895" s="74"/>
      <c r="Z1895" s="74"/>
      <c r="AA1895" s="74"/>
      <c r="AB1895" s="74"/>
    </row>
    <row r="1896" spans="1:28" ht="12" customHeight="1">
      <c r="A1896" s="330"/>
      <c r="B1896" s="314"/>
      <c r="C1896" s="285"/>
      <c r="D1896" s="108"/>
      <c r="E1896" s="285"/>
      <c r="F1896" s="285"/>
      <c r="G1896" s="35"/>
      <c r="H1896" s="104"/>
      <c r="I1896" s="35"/>
      <c r="J1896" s="74"/>
      <c r="K1896" s="74"/>
      <c r="L1896" s="74"/>
      <c r="M1896" s="74"/>
      <c r="N1896" s="74"/>
      <c r="O1896" s="74"/>
      <c r="P1896" s="74"/>
      <c r="Q1896" s="74"/>
      <c r="R1896" s="74"/>
      <c r="S1896" s="74"/>
      <c r="T1896" s="74"/>
      <c r="U1896" s="74"/>
      <c r="V1896" s="74"/>
      <c r="W1896" s="74"/>
      <c r="X1896" s="74"/>
      <c r="Y1896" s="74"/>
      <c r="Z1896" s="74"/>
      <c r="AA1896" s="74"/>
      <c r="AB1896" s="74"/>
    </row>
    <row r="1897" spans="1:28" ht="12" customHeight="1">
      <c r="A1897" s="330"/>
      <c r="B1897" s="314"/>
      <c r="C1897" s="285"/>
      <c r="D1897" s="108"/>
      <c r="E1897" s="285"/>
      <c r="F1897" s="285"/>
      <c r="G1897" s="35"/>
      <c r="H1897" s="104"/>
      <c r="I1897" s="35"/>
      <c r="J1897" s="74"/>
      <c r="K1897" s="74"/>
      <c r="L1897" s="74"/>
      <c r="M1897" s="74"/>
      <c r="N1897" s="74"/>
      <c r="O1897" s="74"/>
      <c r="P1897" s="74"/>
      <c r="Q1897" s="74"/>
      <c r="R1897" s="74"/>
      <c r="S1897" s="74"/>
      <c r="T1897" s="74"/>
      <c r="U1897" s="74"/>
      <c r="V1897" s="74"/>
      <c r="W1897" s="74"/>
      <c r="X1897" s="74"/>
      <c r="Y1897" s="74"/>
      <c r="Z1897" s="74"/>
      <c r="AA1897" s="74"/>
      <c r="AB1897" s="74"/>
    </row>
    <row r="1898" spans="1:28" ht="12" customHeight="1">
      <c r="A1898" s="330"/>
      <c r="B1898" s="314"/>
      <c r="C1898" s="285"/>
      <c r="D1898" s="108"/>
      <c r="E1898" s="285"/>
      <c r="F1898" s="285"/>
      <c r="G1898" s="35"/>
      <c r="H1898" s="104"/>
      <c r="I1898" s="35"/>
      <c r="J1898" s="74"/>
      <c r="K1898" s="74"/>
      <c r="L1898" s="74"/>
      <c r="M1898" s="74"/>
      <c r="N1898" s="74"/>
      <c r="O1898" s="74"/>
      <c r="P1898" s="74"/>
      <c r="Q1898" s="74"/>
      <c r="R1898" s="74"/>
      <c r="S1898" s="74"/>
      <c r="T1898" s="74"/>
      <c r="U1898" s="74"/>
      <c r="V1898" s="74"/>
      <c r="W1898" s="74"/>
      <c r="X1898" s="74"/>
      <c r="Y1898" s="74"/>
      <c r="Z1898" s="74"/>
      <c r="AA1898" s="74"/>
      <c r="AB1898" s="74"/>
    </row>
    <row r="1899" spans="1:28" ht="12" customHeight="1">
      <c r="A1899" s="330"/>
      <c r="B1899" s="314"/>
      <c r="C1899" s="285"/>
      <c r="D1899" s="108"/>
      <c r="E1899" s="285"/>
      <c r="F1899" s="285"/>
      <c r="G1899" s="35"/>
      <c r="H1899" s="104"/>
      <c r="I1899" s="35"/>
      <c r="J1899" s="74"/>
      <c r="K1899" s="74"/>
      <c r="L1899" s="74"/>
      <c r="M1899" s="74"/>
      <c r="N1899" s="74"/>
      <c r="O1899" s="74"/>
      <c r="P1899" s="74"/>
      <c r="Q1899" s="74"/>
      <c r="R1899" s="74"/>
      <c r="S1899" s="74"/>
      <c r="T1899" s="74"/>
      <c r="U1899" s="74"/>
      <c r="V1899" s="74"/>
      <c r="W1899" s="74"/>
      <c r="X1899" s="74"/>
      <c r="Y1899" s="74"/>
      <c r="Z1899" s="74"/>
      <c r="AA1899" s="74"/>
      <c r="AB1899" s="74"/>
    </row>
    <row r="1900" spans="1:28" ht="12" customHeight="1">
      <c r="A1900" s="330"/>
      <c r="B1900" s="314"/>
      <c r="C1900" s="285"/>
      <c r="D1900" s="108"/>
      <c r="E1900" s="285"/>
      <c r="F1900" s="285"/>
      <c r="G1900" s="35"/>
      <c r="H1900" s="104"/>
      <c r="I1900" s="35"/>
      <c r="J1900" s="74"/>
      <c r="K1900" s="74"/>
      <c r="L1900" s="74"/>
      <c r="M1900" s="74"/>
      <c r="N1900" s="74"/>
      <c r="O1900" s="74"/>
      <c r="P1900" s="74"/>
      <c r="Q1900" s="74"/>
      <c r="R1900" s="74"/>
      <c r="S1900" s="74"/>
      <c r="T1900" s="74"/>
      <c r="U1900" s="74"/>
      <c r="V1900" s="74"/>
      <c r="W1900" s="74"/>
      <c r="X1900" s="74"/>
      <c r="Y1900" s="74"/>
      <c r="Z1900" s="74"/>
      <c r="AA1900" s="74"/>
      <c r="AB1900" s="74"/>
    </row>
    <row r="1901" spans="1:28" ht="12" customHeight="1">
      <c r="A1901" s="330"/>
      <c r="B1901" s="314"/>
      <c r="C1901" s="285"/>
      <c r="D1901" s="108"/>
      <c r="E1901" s="285"/>
      <c r="F1901" s="285"/>
      <c r="G1901" s="35"/>
      <c r="H1901" s="104"/>
      <c r="I1901" s="35"/>
      <c r="J1901" s="74"/>
      <c r="K1901" s="74"/>
      <c r="L1901" s="74"/>
      <c r="M1901" s="74"/>
      <c r="N1901" s="74"/>
      <c r="O1901" s="74"/>
      <c r="P1901" s="74"/>
      <c r="Q1901" s="74"/>
      <c r="R1901" s="74"/>
      <c r="S1901" s="74"/>
      <c r="T1901" s="74"/>
      <c r="U1901" s="74"/>
      <c r="V1901" s="74"/>
      <c r="W1901" s="74"/>
      <c r="X1901" s="74"/>
      <c r="Y1901" s="74"/>
      <c r="Z1901" s="74"/>
      <c r="AA1901" s="74"/>
      <c r="AB1901" s="74"/>
    </row>
    <row r="1902" spans="1:28" ht="12" customHeight="1">
      <c r="A1902" s="330"/>
      <c r="B1902" s="314"/>
      <c r="C1902" s="285"/>
      <c r="D1902" s="108"/>
      <c r="E1902" s="285"/>
      <c r="F1902" s="285"/>
      <c r="G1902" s="35"/>
      <c r="H1902" s="104"/>
      <c r="I1902" s="35"/>
      <c r="J1902" s="74"/>
      <c r="K1902" s="74"/>
      <c r="L1902" s="74"/>
      <c r="M1902" s="74"/>
      <c r="N1902" s="74"/>
      <c r="O1902" s="74"/>
      <c r="P1902" s="74"/>
      <c r="Q1902" s="74"/>
      <c r="R1902" s="74"/>
      <c r="S1902" s="74"/>
      <c r="T1902" s="74"/>
      <c r="U1902" s="74"/>
      <c r="V1902" s="74"/>
      <c r="W1902" s="74"/>
      <c r="X1902" s="74"/>
      <c r="Y1902" s="74"/>
      <c r="Z1902" s="74"/>
      <c r="AA1902" s="74"/>
      <c r="AB1902" s="74"/>
    </row>
    <row r="1903" spans="1:28" ht="12" customHeight="1">
      <c r="A1903" s="330"/>
      <c r="B1903" s="314"/>
      <c r="C1903" s="285"/>
      <c r="D1903" s="108"/>
      <c r="E1903" s="285"/>
      <c r="F1903" s="285"/>
      <c r="G1903" s="35"/>
      <c r="H1903" s="104"/>
      <c r="I1903" s="35"/>
      <c r="J1903" s="74"/>
      <c r="K1903" s="74"/>
      <c r="L1903" s="74"/>
      <c r="M1903" s="74"/>
      <c r="N1903" s="74"/>
      <c r="O1903" s="74"/>
      <c r="P1903" s="74"/>
      <c r="Q1903" s="74"/>
      <c r="R1903" s="74"/>
      <c r="S1903" s="74"/>
      <c r="T1903" s="74"/>
      <c r="U1903" s="74"/>
      <c r="V1903" s="74"/>
      <c r="W1903" s="74"/>
      <c r="X1903" s="74"/>
      <c r="Y1903" s="74"/>
      <c r="Z1903" s="74"/>
      <c r="AA1903" s="74"/>
      <c r="AB1903" s="74"/>
    </row>
    <row r="1904" spans="1:28" ht="12" customHeight="1">
      <c r="A1904" s="330"/>
      <c r="B1904" s="314"/>
      <c r="C1904" s="285"/>
      <c r="D1904" s="108"/>
      <c r="E1904" s="285"/>
      <c r="F1904" s="285"/>
      <c r="G1904" s="35"/>
      <c r="H1904" s="104"/>
      <c r="I1904" s="35"/>
      <c r="J1904" s="74"/>
      <c r="K1904" s="74"/>
      <c r="L1904" s="74"/>
      <c r="M1904" s="74"/>
      <c r="N1904" s="74"/>
      <c r="O1904" s="74"/>
      <c r="P1904" s="74"/>
      <c r="Q1904" s="74"/>
      <c r="R1904" s="74"/>
      <c r="S1904" s="74"/>
      <c r="T1904" s="74"/>
      <c r="U1904" s="74"/>
      <c r="V1904" s="74"/>
      <c r="W1904" s="74"/>
      <c r="X1904" s="74"/>
      <c r="Y1904" s="74"/>
      <c r="Z1904" s="74"/>
      <c r="AA1904" s="74"/>
      <c r="AB1904" s="74"/>
    </row>
    <row r="1905" spans="1:28" ht="12" customHeight="1">
      <c r="A1905" s="330"/>
      <c r="B1905" s="314"/>
      <c r="C1905" s="285"/>
      <c r="D1905" s="108"/>
      <c r="E1905" s="285"/>
      <c r="F1905" s="285"/>
      <c r="G1905" s="35"/>
      <c r="H1905" s="104"/>
      <c r="I1905" s="35"/>
      <c r="J1905" s="74"/>
      <c r="K1905" s="74"/>
      <c r="L1905" s="74"/>
      <c r="M1905" s="74"/>
      <c r="N1905" s="74"/>
      <c r="O1905" s="74"/>
      <c r="P1905" s="74"/>
      <c r="Q1905" s="74"/>
      <c r="R1905" s="74"/>
      <c r="S1905" s="74"/>
      <c r="T1905" s="74"/>
      <c r="U1905" s="74"/>
      <c r="V1905" s="74"/>
      <c r="W1905" s="74"/>
      <c r="X1905" s="74"/>
      <c r="Y1905" s="74"/>
      <c r="Z1905" s="74"/>
      <c r="AA1905" s="74"/>
      <c r="AB1905" s="74"/>
    </row>
    <row r="1906" spans="1:28" ht="12" customHeight="1">
      <c r="A1906" s="330"/>
      <c r="B1906" s="314"/>
      <c r="C1906" s="285"/>
      <c r="D1906" s="108"/>
      <c r="E1906" s="285"/>
      <c r="F1906" s="285"/>
      <c r="G1906" s="35"/>
      <c r="H1906" s="104"/>
      <c r="I1906" s="35"/>
      <c r="J1906" s="74"/>
      <c r="K1906" s="74"/>
      <c r="L1906" s="74"/>
      <c r="M1906" s="74"/>
      <c r="N1906" s="74"/>
      <c r="O1906" s="74"/>
      <c r="P1906" s="74"/>
      <c r="Q1906" s="74"/>
      <c r="R1906" s="74"/>
      <c r="S1906" s="74"/>
      <c r="T1906" s="74"/>
      <c r="U1906" s="74"/>
      <c r="V1906" s="74"/>
      <c r="W1906" s="74"/>
      <c r="X1906" s="74"/>
      <c r="Y1906" s="74"/>
      <c r="Z1906" s="74"/>
      <c r="AA1906" s="74"/>
      <c r="AB1906" s="74"/>
    </row>
    <row r="1907" spans="1:28" ht="12" customHeight="1">
      <c r="A1907" s="330"/>
      <c r="B1907" s="314"/>
      <c r="C1907" s="285"/>
      <c r="D1907" s="108"/>
      <c r="E1907" s="285"/>
      <c r="F1907" s="285"/>
      <c r="G1907" s="35"/>
      <c r="H1907" s="104"/>
      <c r="I1907" s="35"/>
      <c r="J1907" s="74"/>
      <c r="K1907" s="74"/>
      <c r="L1907" s="74"/>
      <c r="M1907" s="74"/>
      <c r="N1907" s="74"/>
      <c r="O1907" s="74"/>
      <c r="P1907" s="74"/>
      <c r="Q1907" s="74"/>
      <c r="R1907" s="74"/>
      <c r="S1907" s="74"/>
      <c r="T1907" s="74"/>
      <c r="U1907" s="74"/>
      <c r="V1907" s="74"/>
      <c r="W1907" s="74"/>
      <c r="X1907" s="74"/>
      <c r="Y1907" s="74"/>
      <c r="Z1907" s="74"/>
      <c r="AA1907" s="74"/>
      <c r="AB1907" s="74"/>
    </row>
    <row r="1908" spans="1:28" ht="12" customHeight="1">
      <c r="A1908" s="330"/>
      <c r="B1908" s="314"/>
      <c r="C1908" s="285"/>
      <c r="D1908" s="108"/>
      <c r="E1908" s="285"/>
      <c r="F1908" s="285"/>
      <c r="G1908" s="35"/>
      <c r="H1908" s="104"/>
      <c r="I1908" s="35"/>
      <c r="J1908" s="74"/>
      <c r="K1908" s="74"/>
      <c r="L1908" s="74"/>
      <c r="M1908" s="74"/>
      <c r="N1908" s="74"/>
      <c r="O1908" s="74"/>
      <c r="P1908" s="74"/>
      <c r="Q1908" s="74"/>
      <c r="R1908" s="74"/>
      <c r="S1908" s="74"/>
      <c r="T1908" s="74"/>
      <c r="U1908" s="74"/>
      <c r="V1908" s="74"/>
      <c r="W1908" s="74"/>
      <c r="X1908" s="74"/>
      <c r="Y1908" s="74"/>
      <c r="Z1908" s="74"/>
      <c r="AA1908" s="74"/>
      <c r="AB1908" s="74"/>
    </row>
    <row r="1909" spans="1:28" ht="12" customHeight="1">
      <c r="A1909" s="330"/>
      <c r="B1909" s="314"/>
      <c r="C1909" s="285"/>
      <c r="D1909" s="108"/>
      <c r="E1909" s="285"/>
      <c r="F1909" s="285"/>
      <c r="G1909" s="35"/>
      <c r="H1909" s="104"/>
      <c r="I1909" s="35"/>
      <c r="J1909" s="74"/>
      <c r="K1909" s="74"/>
      <c r="L1909" s="74"/>
      <c r="M1909" s="74"/>
      <c r="N1909" s="74"/>
      <c r="O1909" s="74"/>
      <c r="P1909" s="74"/>
      <c r="Q1909" s="74"/>
      <c r="R1909" s="74"/>
      <c r="S1909" s="74"/>
      <c r="T1909" s="74"/>
      <c r="U1909" s="74"/>
      <c r="V1909" s="74"/>
      <c r="W1909" s="74"/>
      <c r="X1909" s="74"/>
      <c r="Y1909" s="74"/>
      <c r="Z1909" s="74"/>
      <c r="AA1909" s="74"/>
      <c r="AB1909" s="74"/>
    </row>
    <row r="1910" spans="1:28" ht="12" customHeight="1">
      <c r="A1910" s="330"/>
      <c r="B1910" s="314"/>
      <c r="C1910" s="285"/>
      <c r="D1910" s="108"/>
      <c r="E1910" s="285"/>
      <c r="F1910" s="285"/>
      <c r="G1910" s="35"/>
      <c r="H1910" s="104"/>
      <c r="I1910" s="35"/>
      <c r="J1910" s="74"/>
      <c r="K1910" s="74"/>
      <c r="L1910" s="74"/>
      <c r="M1910" s="74"/>
      <c r="N1910" s="74"/>
      <c r="O1910" s="74"/>
      <c r="P1910" s="74"/>
      <c r="Q1910" s="74"/>
      <c r="R1910" s="74"/>
      <c r="S1910" s="74"/>
      <c r="T1910" s="74"/>
      <c r="U1910" s="74"/>
      <c r="V1910" s="74"/>
      <c r="W1910" s="74"/>
      <c r="X1910" s="74"/>
      <c r="Y1910" s="74"/>
      <c r="Z1910" s="74"/>
      <c r="AA1910" s="74"/>
      <c r="AB1910" s="74"/>
    </row>
    <row r="1911" spans="1:28" ht="12" customHeight="1">
      <c r="A1911" s="330"/>
      <c r="B1911" s="314"/>
      <c r="C1911" s="285"/>
      <c r="D1911" s="108"/>
      <c r="E1911" s="285"/>
      <c r="F1911" s="285"/>
      <c r="G1911" s="35"/>
      <c r="H1911" s="104"/>
      <c r="I1911" s="35"/>
      <c r="J1911" s="74"/>
      <c r="K1911" s="74"/>
      <c r="L1911" s="74"/>
      <c r="M1911" s="74"/>
      <c r="N1911" s="74"/>
      <c r="O1911" s="74"/>
      <c r="P1911" s="74"/>
      <c r="Q1911" s="74"/>
      <c r="R1911" s="74"/>
      <c r="S1911" s="74"/>
      <c r="T1911" s="74"/>
      <c r="U1911" s="74"/>
      <c r="V1911" s="74"/>
      <c r="W1911" s="74"/>
      <c r="X1911" s="74"/>
      <c r="Y1911" s="74"/>
      <c r="Z1911" s="74"/>
      <c r="AA1911" s="74"/>
      <c r="AB1911" s="74"/>
    </row>
    <row r="1912" spans="1:28" ht="12" customHeight="1">
      <c r="A1912" s="330"/>
      <c r="B1912" s="314"/>
      <c r="C1912" s="285"/>
      <c r="D1912" s="108"/>
      <c r="E1912" s="285"/>
      <c r="F1912" s="285"/>
      <c r="G1912" s="35"/>
      <c r="H1912" s="104"/>
      <c r="I1912" s="35"/>
      <c r="J1912" s="74"/>
      <c r="K1912" s="74"/>
      <c r="L1912" s="74"/>
      <c r="M1912" s="74"/>
      <c r="N1912" s="74"/>
      <c r="O1912" s="74"/>
      <c r="P1912" s="74"/>
      <c r="Q1912" s="74"/>
      <c r="R1912" s="74"/>
      <c r="S1912" s="74"/>
      <c r="T1912" s="74"/>
      <c r="U1912" s="74"/>
      <c r="V1912" s="74"/>
      <c r="W1912" s="74"/>
      <c r="X1912" s="74"/>
      <c r="Y1912" s="74"/>
      <c r="Z1912" s="74"/>
      <c r="AA1912" s="74"/>
      <c r="AB1912" s="74"/>
    </row>
    <row r="1913" spans="1:28" ht="12" customHeight="1">
      <c r="A1913" s="330"/>
      <c r="B1913" s="314"/>
      <c r="C1913" s="285"/>
      <c r="D1913" s="108"/>
      <c r="E1913" s="285"/>
      <c r="F1913" s="285"/>
      <c r="G1913" s="35"/>
      <c r="H1913" s="104"/>
      <c r="I1913" s="35"/>
      <c r="J1913" s="74"/>
      <c r="K1913" s="74"/>
      <c r="L1913" s="74"/>
      <c r="M1913" s="74"/>
      <c r="N1913" s="74"/>
      <c r="O1913" s="74"/>
      <c r="P1913" s="74"/>
      <c r="Q1913" s="74"/>
      <c r="R1913" s="74"/>
      <c r="S1913" s="74"/>
      <c r="T1913" s="74"/>
      <c r="U1913" s="74"/>
      <c r="V1913" s="74"/>
      <c r="W1913" s="74"/>
      <c r="X1913" s="74"/>
      <c r="Y1913" s="74"/>
      <c r="Z1913" s="74"/>
      <c r="AA1913" s="74"/>
      <c r="AB1913" s="74"/>
    </row>
    <row r="1914" spans="1:28" ht="12" customHeight="1">
      <c r="A1914" s="330"/>
      <c r="B1914" s="314"/>
      <c r="C1914" s="285"/>
      <c r="D1914" s="108"/>
      <c r="E1914" s="285"/>
      <c r="F1914" s="285"/>
      <c r="G1914" s="35"/>
      <c r="H1914" s="104"/>
      <c r="I1914" s="35"/>
      <c r="J1914" s="74"/>
      <c r="K1914" s="74"/>
      <c r="L1914" s="74"/>
      <c r="M1914" s="74"/>
      <c r="N1914" s="74"/>
      <c r="O1914" s="74"/>
      <c r="P1914" s="74"/>
      <c r="Q1914" s="74"/>
      <c r="R1914" s="74"/>
      <c r="S1914" s="74"/>
      <c r="T1914" s="74"/>
      <c r="U1914" s="74"/>
      <c r="V1914" s="74"/>
      <c r="W1914" s="74"/>
      <c r="X1914" s="74"/>
      <c r="Y1914" s="74"/>
      <c r="Z1914" s="74"/>
      <c r="AA1914" s="74"/>
      <c r="AB1914" s="74"/>
    </row>
    <row r="1915" spans="1:28" ht="12" customHeight="1">
      <c r="A1915" s="330"/>
      <c r="B1915" s="314"/>
      <c r="C1915" s="285"/>
      <c r="D1915" s="108"/>
      <c r="E1915" s="285"/>
      <c r="F1915" s="285"/>
      <c r="G1915" s="35"/>
      <c r="H1915" s="104"/>
      <c r="I1915" s="35"/>
      <c r="J1915" s="74"/>
      <c r="K1915" s="74"/>
      <c r="L1915" s="74"/>
      <c r="M1915" s="74"/>
      <c r="N1915" s="74"/>
      <c r="O1915" s="74"/>
      <c r="P1915" s="74"/>
      <c r="Q1915" s="74"/>
      <c r="R1915" s="74"/>
      <c r="S1915" s="74"/>
      <c r="T1915" s="74"/>
      <c r="U1915" s="74"/>
      <c r="V1915" s="74"/>
      <c r="W1915" s="74"/>
      <c r="X1915" s="74"/>
      <c r="Y1915" s="74"/>
      <c r="Z1915" s="74"/>
      <c r="AA1915" s="74"/>
      <c r="AB1915" s="74"/>
    </row>
    <row r="1916" spans="1:28" ht="12" customHeight="1">
      <c r="A1916" s="330"/>
      <c r="B1916" s="314"/>
      <c r="C1916" s="285"/>
      <c r="D1916" s="108"/>
      <c r="E1916" s="285"/>
      <c r="F1916" s="285"/>
      <c r="G1916" s="35"/>
      <c r="H1916" s="104"/>
      <c r="I1916" s="35"/>
      <c r="J1916" s="74"/>
      <c r="K1916" s="74"/>
      <c r="L1916" s="74"/>
      <c r="M1916" s="74"/>
      <c r="N1916" s="74"/>
      <c r="O1916" s="74"/>
      <c r="P1916" s="74"/>
      <c r="Q1916" s="74"/>
      <c r="R1916" s="74"/>
      <c r="S1916" s="74"/>
      <c r="T1916" s="74"/>
      <c r="U1916" s="74"/>
      <c r="V1916" s="74"/>
      <c r="W1916" s="74"/>
      <c r="X1916" s="74"/>
      <c r="Y1916" s="74"/>
      <c r="Z1916" s="74"/>
      <c r="AA1916" s="74"/>
      <c r="AB1916" s="74"/>
    </row>
    <row r="1917" spans="1:28" ht="12" customHeight="1">
      <c r="A1917" s="330"/>
      <c r="B1917" s="314"/>
      <c r="C1917" s="285"/>
      <c r="D1917" s="108"/>
      <c r="E1917" s="285"/>
      <c r="F1917" s="285"/>
      <c r="G1917" s="35"/>
      <c r="H1917" s="104"/>
      <c r="I1917" s="35"/>
      <c r="J1917" s="74"/>
      <c r="K1917" s="74"/>
      <c r="L1917" s="74"/>
      <c r="M1917" s="74"/>
      <c r="N1917" s="74"/>
      <c r="O1917" s="74"/>
      <c r="P1917" s="74"/>
      <c r="Q1917" s="74"/>
      <c r="R1917" s="74"/>
      <c r="S1917" s="74"/>
      <c r="T1917" s="74"/>
      <c r="U1917" s="74"/>
      <c r="V1917" s="74"/>
      <c r="W1917" s="74"/>
      <c r="X1917" s="74"/>
      <c r="Y1917" s="74"/>
      <c r="Z1917" s="74"/>
      <c r="AA1917" s="74"/>
      <c r="AB1917" s="74"/>
    </row>
    <row r="1918" spans="1:28" ht="12" customHeight="1">
      <c r="A1918" s="330"/>
      <c r="B1918" s="314"/>
      <c r="C1918" s="285"/>
      <c r="D1918" s="108"/>
      <c r="E1918" s="285"/>
      <c r="F1918" s="285"/>
      <c r="G1918" s="35"/>
      <c r="H1918" s="104"/>
      <c r="I1918" s="35"/>
      <c r="J1918" s="74"/>
      <c r="K1918" s="74"/>
      <c r="L1918" s="74"/>
      <c r="M1918" s="74"/>
      <c r="N1918" s="74"/>
      <c r="O1918" s="74"/>
      <c r="P1918" s="74"/>
      <c r="Q1918" s="74"/>
      <c r="R1918" s="74"/>
      <c r="S1918" s="74"/>
      <c r="T1918" s="74"/>
      <c r="U1918" s="74"/>
      <c r="V1918" s="74"/>
      <c r="W1918" s="74"/>
      <c r="X1918" s="74"/>
      <c r="Y1918" s="74"/>
      <c r="Z1918" s="74"/>
      <c r="AA1918" s="74"/>
      <c r="AB1918" s="74"/>
    </row>
    <row r="1919" spans="1:28" ht="12" customHeight="1">
      <c r="A1919" s="330"/>
      <c r="B1919" s="314"/>
      <c r="C1919" s="285"/>
      <c r="D1919" s="108"/>
      <c r="E1919" s="285"/>
      <c r="F1919" s="285"/>
      <c r="G1919" s="35"/>
      <c r="H1919" s="104"/>
      <c r="I1919" s="35"/>
      <c r="J1919" s="74"/>
      <c r="K1919" s="74"/>
      <c r="L1919" s="74"/>
      <c r="M1919" s="74"/>
      <c r="N1919" s="74"/>
      <c r="O1919" s="74"/>
      <c r="P1919" s="74"/>
      <c r="Q1919" s="74"/>
      <c r="R1919" s="74"/>
      <c r="S1919" s="74"/>
      <c r="T1919" s="74"/>
      <c r="U1919" s="74"/>
      <c r="V1919" s="74"/>
      <c r="W1919" s="74"/>
      <c r="X1919" s="74"/>
      <c r="Y1919" s="74"/>
      <c r="Z1919" s="74"/>
      <c r="AA1919" s="74"/>
      <c r="AB1919" s="74"/>
    </row>
    <row r="1920" spans="1:28" ht="12" customHeight="1">
      <c r="A1920" s="330"/>
      <c r="B1920" s="314"/>
      <c r="C1920" s="285"/>
      <c r="D1920" s="108"/>
      <c r="E1920" s="285"/>
      <c r="F1920" s="285"/>
      <c r="G1920" s="35"/>
      <c r="H1920" s="104"/>
      <c r="I1920" s="35"/>
      <c r="J1920" s="74"/>
      <c r="K1920" s="74"/>
      <c r="L1920" s="74"/>
      <c r="M1920" s="74"/>
      <c r="N1920" s="74"/>
      <c r="O1920" s="74"/>
      <c r="P1920" s="74"/>
      <c r="Q1920" s="74"/>
      <c r="R1920" s="74"/>
      <c r="S1920" s="74"/>
      <c r="T1920" s="74"/>
      <c r="U1920" s="74"/>
      <c r="V1920" s="74"/>
      <c r="W1920" s="74"/>
      <c r="X1920" s="74"/>
      <c r="Y1920" s="74"/>
      <c r="Z1920" s="74"/>
      <c r="AA1920" s="74"/>
      <c r="AB1920" s="74"/>
    </row>
    <row r="1921" spans="1:28" ht="12" customHeight="1">
      <c r="A1921" s="330"/>
      <c r="B1921" s="314"/>
      <c r="C1921" s="285"/>
      <c r="D1921" s="108"/>
      <c r="E1921" s="285"/>
      <c r="F1921" s="285"/>
      <c r="G1921" s="35"/>
      <c r="H1921" s="104"/>
      <c r="I1921" s="35"/>
      <c r="J1921" s="74"/>
      <c r="K1921" s="74"/>
      <c r="L1921" s="74"/>
      <c r="M1921" s="74"/>
      <c r="N1921" s="74"/>
      <c r="O1921" s="74"/>
      <c r="P1921" s="74"/>
      <c r="Q1921" s="74"/>
      <c r="R1921" s="74"/>
      <c r="S1921" s="74"/>
      <c r="T1921" s="74"/>
      <c r="U1921" s="74"/>
      <c r="V1921" s="74"/>
      <c r="W1921" s="74"/>
      <c r="X1921" s="74"/>
      <c r="Y1921" s="74"/>
      <c r="Z1921" s="74"/>
      <c r="AA1921" s="74"/>
      <c r="AB1921" s="74"/>
    </row>
    <row r="1922" spans="1:28" ht="12" customHeight="1">
      <c r="A1922" s="330"/>
      <c r="B1922" s="314"/>
      <c r="C1922" s="285"/>
      <c r="D1922" s="108"/>
      <c r="E1922" s="285"/>
      <c r="F1922" s="285"/>
      <c r="G1922" s="35"/>
      <c r="H1922" s="104"/>
      <c r="I1922" s="35"/>
      <c r="J1922" s="74"/>
      <c r="K1922" s="74"/>
      <c r="L1922" s="74"/>
      <c r="M1922" s="74"/>
      <c r="N1922" s="74"/>
      <c r="O1922" s="74"/>
      <c r="P1922" s="74"/>
      <c r="Q1922" s="74"/>
      <c r="R1922" s="74"/>
      <c r="S1922" s="74"/>
      <c r="T1922" s="74"/>
      <c r="U1922" s="74"/>
      <c r="V1922" s="74"/>
      <c r="W1922" s="74"/>
      <c r="X1922" s="74"/>
      <c r="Y1922" s="74"/>
      <c r="Z1922" s="74"/>
      <c r="AA1922" s="74"/>
      <c r="AB1922" s="74"/>
    </row>
    <row r="1923" spans="1:28" ht="12" customHeight="1">
      <c r="A1923" s="330"/>
      <c r="B1923" s="314"/>
      <c r="C1923" s="285"/>
      <c r="D1923" s="108"/>
      <c r="E1923" s="285"/>
      <c r="F1923" s="285"/>
      <c r="G1923" s="35"/>
      <c r="H1923" s="104"/>
      <c r="I1923" s="35"/>
      <c r="J1923" s="74"/>
      <c r="K1923" s="74"/>
      <c r="L1923" s="74"/>
      <c r="M1923" s="74"/>
      <c r="N1923" s="74"/>
      <c r="O1923" s="74"/>
      <c r="P1923" s="74"/>
      <c r="Q1923" s="74"/>
      <c r="R1923" s="74"/>
      <c r="S1923" s="74"/>
      <c r="T1923" s="74"/>
      <c r="U1923" s="74"/>
      <c r="V1923" s="74"/>
      <c r="W1923" s="74"/>
      <c r="X1923" s="74"/>
      <c r="Y1923" s="74"/>
      <c r="Z1923" s="74"/>
      <c r="AA1923" s="74"/>
      <c r="AB1923" s="74"/>
    </row>
    <row r="1924" spans="1:28" ht="12" customHeight="1">
      <c r="A1924" s="330"/>
      <c r="B1924" s="314"/>
      <c r="C1924" s="285"/>
      <c r="D1924" s="108"/>
      <c r="E1924" s="285"/>
      <c r="F1924" s="285"/>
      <c r="G1924" s="35"/>
      <c r="H1924" s="104"/>
      <c r="I1924" s="35"/>
      <c r="J1924" s="74"/>
      <c r="K1924" s="74"/>
      <c r="L1924" s="74"/>
      <c r="M1924" s="74"/>
      <c r="N1924" s="74"/>
      <c r="O1924" s="74"/>
      <c r="P1924" s="74"/>
      <c r="Q1924" s="74"/>
      <c r="R1924" s="74"/>
      <c r="S1924" s="74"/>
      <c r="T1924" s="74"/>
      <c r="U1924" s="74"/>
      <c r="V1924" s="74"/>
      <c r="W1924" s="74"/>
      <c r="X1924" s="74"/>
      <c r="Y1924" s="74"/>
      <c r="Z1924" s="74"/>
      <c r="AA1924" s="74"/>
      <c r="AB1924" s="74"/>
    </row>
    <row r="1925" spans="1:28" ht="12" customHeight="1">
      <c r="A1925" s="330"/>
      <c r="B1925" s="314"/>
      <c r="C1925" s="285"/>
      <c r="D1925" s="108"/>
      <c r="E1925" s="285"/>
      <c r="F1925" s="285"/>
      <c r="G1925" s="35"/>
      <c r="H1925" s="104"/>
      <c r="I1925" s="35"/>
      <c r="J1925" s="74"/>
      <c r="K1925" s="74"/>
      <c r="L1925" s="74"/>
      <c r="M1925" s="74"/>
      <c r="N1925" s="74"/>
      <c r="O1925" s="74"/>
      <c r="P1925" s="74"/>
      <c r="Q1925" s="74"/>
      <c r="R1925" s="74"/>
      <c r="S1925" s="74"/>
      <c r="T1925" s="74"/>
      <c r="U1925" s="74"/>
      <c r="V1925" s="74"/>
      <c r="W1925" s="74"/>
      <c r="X1925" s="74"/>
      <c r="Y1925" s="74"/>
      <c r="Z1925" s="74"/>
      <c r="AA1925" s="74"/>
      <c r="AB1925" s="74"/>
    </row>
    <row r="1926" spans="1:28" ht="12" customHeight="1">
      <c r="A1926" s="330"/>
      <c r="B1926" s="314"/>
      <c r="C1926" s="285"/>
      <c r="D1926" s="108"/>
      <c r="E1926" s="285"/>
      <c r="F1926" s="285"/>
      <c r="G1926" s="35"/>
      <c r="H1926" s="104"/>
      <c r="I1926" s="35"/>
      <c r="J1926" s="74"/>
      <c r="K1926" s="74"/>
      <c r="L1926" s="74"/>
      <c r="M1926" s="74"/>
      <c r="N1926" s="74"/>
      <c r="O1926" s="74"/>
      <c r="P1926" s="74"/>
      <c r="Q1926" s="74"/>
      <c r="R1926" s="74"/>
      <c r="S1926" s="74"/>
      <c r="T1926" s="74"/>
      <c r="U1926" s="74"/>
      <c r="V1926" s="74"/>
      <c r="W1926" s="74"/>
      <c r="X1926" s="74"/>
      <c r="Y1926" s="74"/>
      <c r="Z1926" s="74"/>
      <c r="AA1926" s="74"/>
      <c r="AB1926" s="74"/>
    </row>
    <row r="1927" spans="1:28" ht="12" customHeight="1">
      <c r="A1927" s="330"/>
      <c r="B1927" s="314"/>
      <c r="C1927" s="285"/>
      <c r="D1927" s="108"/>
      <c r="E1927" s="285"/>
      <c r="F1927" s="285"/>
      <c r="G1927" s="35"/>
      <c r="H1927" s="104"/>
      <c r="I1927" s="35"/>
      <c r="J1927" s="74"/>
      <c r="K1927" s="74"/>
      <c r="L1927" s="74"/>
      <c r="M1927" s="74"/>
      <c r="N1927" s="74"/>
      <c r="O1927" s="74"/>
      <c r="P1927" s="74"/>
      <c r="Q1927" s="74"/>
      <c r="R1927" s="74"/>
      <c r="S1927" s="74"/>
      <c r="T1927" s="74"/>
      <c r="U1927" s="74"/>
      <c r="V1927" s="74"/>
      <c r="W1927" s="74"/>
      <c r="X1927" s="74"/>
      <c r="Y1927" s="74"/>
      <c r="Z1927" s="74"/>
      <c r="AA1927" s="74"/>
      <c r="AB1927" s="74"/>
    </row>
    <row r="1928" spans="1:28" ht="12" customHeight="1">
      <c r="A1928" s="330"/>
      <c r="B1928" s="314"/>
      <c r="C1928" s="285"/>
      <c r="D1928" s="108"/>
      <c r="E1928" s="285"/>
      <c r="F1928" s="285"/>
      <c r="G1928" s="35"/>
      <c r="H1928" s="104"/>
      <c r="I1928" s="35"/>
      <c r="J1928" s="74"/>
      <c r="K1928" s="74"/>
      <c r="L1928" s="74"/>
      <c r="M1928" s="74"/>
      <c r="N1928" s="74"/>
      <c r="O1928" s="74"/>
      <c r="P1928" s="74"/>
      <c r="Q1928" s="74"/>
      <c r="R1928" s="74"/>
      <c r="S1928" s="74"/>
      <c r="T1928" s="74"/>
      <c r="U1928" s="74"/>
      <c r="V1928" s="74"/>
      <c r="W1928" s="74"/>
      <c r="X1928" s="74"/>
      <c r="Y1928" s="74"/>
      <c r="Z1928" s="74"/>
      <c r="AA1928" s="74"/>
      <c r="AB1928" s="74"/>
    </row>
    <row r="1929" spans="1:28" ht="12" customHeight="1">
      <c r="A1929" s="330"/>
      <c r="B1929" s="314"/>
      <c r="C1929" s="285"/>
      <c r="D1929" s="108"/>
      <c r="E1929" s="285"/>
      <c r="F1929" s="285"/>
      <c r="G1929" s="35"/>
      <c r="H1929" s="104"/>
      <c r="I1929" s="35"/>
      <c r="J1929" s="74"/>
      <c r="K1929" s="74"/>
      <c r="L1929" s="74"/>
      <c r="M1929" s="74"/>
      <c r="N1929" s="74"/>
      <c r="O1929" s="74"/>
      <c r="P1929" s="74"/>
      <c r="Q1929" s="74"/>
      <c r="R1929" s="74"/>
      <c r="S1929" s="74"/>
      <c r="T1929" s="74"/>
      <c r="U1929" s="74"/>
      <c r="V1929" s="74"/>
      <c r="W1929" s="74"/>
      <c r="X1929" s="74"/>
      <c r="Y1929" s="74"/>
      <c r="Z1929" s="74"/>
      <c r="AA1929" s="74"/>
      <c r="AB1929" s="74"/>
    </row>
    <row r="1930" spans="1:28" ht="12" customHeight="1">
      <c r="A1930" s="330"/>
      <c r="B1930" s="314"/>
      <c r="C1930" s="285"/>
      <c r="D1930" s="108"/>
      <c r="E1930" s="285"/>
      <c r="F1930" s="285"/>
      <c r="G1930" s="35"/>
      <c r="H1930" s="104"/>
      <c r="I1930" s="35"/>
      <c r="J1930" s="74"/>
      <c r="K1930" s="74"/>
      <c r="L1930" s="74"/>
      <c r="M1930" s="74"/>
      <c r="N1930" s="74"/>
      <c r="O1930" s="74"/>
      <c r="P1930" s="74"/>
      <c r="Q1930" s="74"/>
      <c r="R1930" s="74"/>
      <c r="S1930" s="74"/>
      <c r="T1930" s="74"/>
      <c r="U1930" s="74"/>
      <c r="V1930" s="74"/>
      <c r="W1930" s="74"/>
      <c r="X1930" s="74"/>
      <c r="Y1930" s="74"/>
      <c r="Z1930" s="74"/>
      <c r="AA1930" s="74"/>
      <c r="AB1930" s="74"/>
    </row>
    <row r="1931" spans="1:28" ht="12" customHeight="1">
      <c r="A1931" s="330"/>
      <c r="B1931" s="314"/>
      <c r="C1931" s="285"/>
      <c r="D1931" s="108"/>
      <c r="E1931" s="285"/>
      <c r="F1931" s="285"/>
      <c r="G1931" s="35"/>
      <c r="H1931" s="104"/>
      <c r="I1931" s="35"/>
      <c r="J1931" s="74"/>
      <c r="K1931" s="74"/>
      <c r="L1931" s="74"/>
      <c r="M1931" s="74"/>
      <c r="N1931" s="74"/>
      <c r="O1931" s="74"/>
      <c r="P1931" s="74"/>
      <c r="Q1931" s="74"/>
      <c r="R1931" s="74"/>
      <c r="S1931" s="74"/>
      <c r="T1931" s="74"/>
      <c r="U1931" s="74"/>
      <c r="V1931" s="74"/>
      <c r="W1931" s="74"/>
      <c r="X1931" s="74"/>
      <c r="Y1931" s="74"/>
      <c r="Z1931" s="74"/>
      <c r="AA1931" s="74"/>
      <c r="AB1931" s="74"/>
    </row>
    <row r="1932" spans="1:28" ht="12" customHeight="1">
      <c r="A1932" s="330"/>
      <c r="B1932" s="314"/>
      <c r="C1932" s="285"/>
      <c r="D1932" s="108"/>
      <c r="E1932" s="285"/>
      <c r="F1932" s="285"/>
      <c r="G1932" s="35"/>
      <c r="H1932" s="104"/>
      <c r="I1932" s="35"/>
      <c r="J1932" s="74"/>
      <c r="K1932" s="74"/>
      <c r="L1932" s="74"/>
      <c r="M1932" s="74"/>
      <c r="N1932" s="74"/>
      <c r="O1932" s="74"/>
      <c r="P1932" s="74"/>
      <c r="Q1932" s="74"/>
      <c r="R1932" s="74"/>
      <c r="S1932" s="74"/>
      <c r="T1932" s="74"/>
      <c r="U1932" s="74"/>
      <c r="V1932" s="74"/>
      <c r="W1932" s="74"/>
      <c r="X1932" s="74"/>
      <c r="Y1932" s="74"/>
      <c r="Z1932" s="74"/>
      <c r="AA1932" s="74"/>
      <c r="AB1932" s="74"/>
    </row>
    <row r="1933" spans="1:28" ht="12" customHeight="1">
      <c r="A1933" s="330"/>
      <c r="B1933" s="314"/>
      <c r="C1933" s="285"/>
      <c r="D1933" s="108"/>
      <c r="E1933" s="285"/>
      <c r="F1933" s="285"/>
      <c r="G1933" s="35"/>
      <c r="H1933" s="104"/>
      <c r="I1933" s="35"/>
      <c r="J1933" s="74"/>
      <c r="K1933" s="74"/>
      <c r="L1933" s="74"/>
      <c r="M1933" s="74"/>
      <c r="N1933" s="74"/>
      <c r="O1933" s="74"/>
      <c r="P1933" s="74"/>
      <c r="Q1933" s="74"/>
      <c r="R1933" s="74"/>
      <c r="S1933" s="74"/>
      <c r="T1933" s="74"/>
      <c r="U1933" s="74"/>
      <c r="V1933" s="74"/>
      <c r="W1933" s="74"/>
      <c r="X1933" s="74"/>
      <c r="Y1933" s="74"/>
      <c r="Z1933" s="74"/>
      <c r="AA1933" s="74"/>
      <c r="AB1933" s="74"/>
    </row>
    <row r="1934" spans="1:28" ht="12" customHeight="1">
      <c r="A1934" s="330"/>
      <c r="B1934" s="314"/>
      <c r="C1934" s="285"/>
      <c r="D1934" s="108"/>
      <c r="E1934" s="285"/>
      <c r="F1934" s="285"/>
      <c r="G1934" s="35"/>
      <c r="H1934" s="104"/>
      <c r="I1934" s="35"/>
      <c r="J1934" s="74"/>
      <c r="K1934" s="74"/>
      <c r="L1934" s="74"/>
      <c r="M1934" s="74"/>
      <c r="N1934" s="74"/>
      <c r="O1934" s="74"/>
      <c r="P1934" s="74"/>
      <c r="Q1934" s="74"/>
      <c r="R1934" s="74"/>
      <c r="S1934" s="74"/>
      <c r="T1934" s="74"/>
      <c r="U1934" s="74"/>
      <c r="V1934" s="74"/>
      <c r="W1934" s="74"/>
      <c r="X1934" s="74"/>
      <c r="Y1934" s="74"/>
      <c r="Z1934" s="74"/>
      <c r="AA1934" s="74"/>
      <c r="AB1934" s="74"/>
    </row>
    <row r="1935" spans="1:28" ht="12" customHeight="1">
      <c r="A1935" s="330"/>
      <c r="B1935" s="314"/>
      <c r="C1935" s="285"/>
      <c r="D1935" s="108"/>
      <c r="E1935" s="285"/>
      <c r="F1935" s="285"/>
      <c r="G1935" s="35"/>
      <c r="H1935" s="104"/>
      <c r="I1935" s="35"/>
      <c r="J1935" s="74"/>
      <c r="K1935" s="74"/>
      <c r="L1935" s="74"/>
      <c r="M1935" s="74"/>
      <c r="N1935" s="74"/>
      <c r="O1935" s="74"/>
      <c r="P1935" s="74"/>
      <c r="Q1935" s="74"/>
      <c r="R1935" s="74"/>
      <c r="S1935" s="74"/>
      <c r="T1935" s="74"/>
      <c r="U1935" s="74"/>
      <c r="V1935" s="74"/>
      <c r="W1935" s="74"/>
      <c r="X1935" s="74"/>
      <c r="Y1935" s="74"/>
      <c r="Z1935" s="74"/>
      <c r="AA1935" s="74"/>
      <c r="AB1935" s="74"/>
    </row>
    <row r="1936" spans="1:28" ht="12" customHeight="1">
      <c r="A1936" s="330"/>
      <c r="B1936" s="314"/>
      <c r="C1936" s="285"/>
      <c r="D1936" s="108"/>
      <c r="E1936" s="285"/>
      <c r="F1936" s="285"/>
      <c r="G1936" s="35"/>
      <c r="H1936" s="104"/>
      <c r="I1936" s="35"/>
      <c r="J1936" s="74"/>
      <c r="K1936" s="74"/>
      <c r="L1936" s="74"/>
      <c r="M1936" s="74"/>
      <c r="N1936" s="74"/>
      <c r="O1936" s="74"/>
      <c r="P1936" s="74"/>
      <c r="Q1936" s="74"/>
      <c r="R1936" s="74"/>
      <c r="S1936" s="74"/>
      <c r="T1936" s="74"/>
      <c r="U1936" s="74"/>
      <c r="V1936" s="74"/>
      <c r="W1936" s="74"/>
      <c r="X1936" s="74"/>
      <c r="Y1936" s="74"/>
      <c r="Z1936" s="74"/>
      <c r="AA1936" s="74"/>
      <c r="AB1936" s="74"/>
    </row>
    <row r="1937" spans="1:28" ht="12" customHeight="1">
      <c r="A1937" s="330"/>
      <c r="B1937" s="314"/>
      <c r="C1937" s="285"/>
      <c r="D1937" s="108"/>
      <c r="E1937" s="285"/>
      <c r="F1937" s="285"/>
      <c r="G1937" s="35"/>
      <c r="H1937" s="104"/>
      <c r="I1937" s="35"/>
      <c r="J1937" s="74"/>
      <c r="K1937" s="74"/>
      <c r="L1937" s="74"/>
      <c r="M1937" s="74"/>
      <c r="N1937" s="74"/>
      <c r="O1937" s="74"/>
      <c r="P1937" s="74"/>
      <c r="Q1937" s="74"/>
      <c r="R1937" s="74"/>
      <c r="S1937" s="74"/>
      <c r="T1937" s="74"/>
      <c r="U1937" s="74"/>
      <c r="V1937" s="74"/>
      <c r="W1937" s="74"/>
      <c r="X1937" s="74"/>
      <c r="Y1937" s="74"/>
      <c r="Z1937" s="74"/>
      <c r="AA1937" s="74"/>
      <c r="AB1937" s="74"/>
    </row>
    <row r="1938" spans="1:28" ht="12" customHeight="1">
      <c r="A1938" s="330"/>
      <c r="B1938" s="314"/>
      <c r="C1938" s="285"/>
      <c r="D1938" s="108"/>
      <c r="E1938" s="285"/>
      <c r="F1938" s="285"/>
      <c r="G1938" s="35"/>
      <c r="H1938" s="104"/>
      <c r="I1938" s="35"/>
      <c r="J1938" s="74"/>
      <c r="K1938" s="74"/>
      <c r="L1938" s="74"/>
      <c r="M1938" s="74"/>
      <c r="N1938" s="74"/>
      <c r="O1938" s="74"/>
      <c r="P1938" s="74"/>
      <c r="Q1938" s="74"/>
      <c r="R1938" s="74"/>
      <c r="S1938" s="74"/>
      <c r="T1938" s="74"/>
      <c r="U1938" s="74"/>
      <c r="V1938" s="74"/>
      <c r="W1938" s="74"/>
      <c r="X1938" s="74"/>
      <c r="Y1938" s="74"/>
      <c r="Z1938" s="74"/>
      <c r="AA1938" s="74"/>
      <c r="AB1938" s="74"/>
    </row>
    <row r="1939" spans="1:28" ht="12" customHeight="1">
      <c r="A1939" s="330"/>
      <c r="B1939" s="314"/>
      <c r="C1939" s="285"/>
      <c r="D1939" s="108"/>
      <c r="E1939" s="285"/>
      <c r="F1939" s="285"/>
      <c r="G1939" s="35"/>
      <c r="H1939" s="104"/>
      <c r="I1939" s="35"/>
      <c r="J1939" s="74"/>
      <c r="K1939" s="74"/>
      <c r="L1939" s="74"/>
      <c r="M1939" s="74"/>
      <c r="N1939" s="74"/>
      <c r="O1939" s="74"/>
      <c r="P1939" s="74"/>
      <c r="Q1939" s="74"/>
      <c r="R1939" s="74"/>
      <c r="S1939" s="74"/>
      <c r="T1939" s="74"/>
      <c r="U1939" s="74"/>
      <c r="V1939" s="74"/>
      <c r="W1939" s="74"/>
      <c r="X1939" s="74"/>
      <c r="Y1939" s="74"/>
      <c r="Z1939" s="74"/>
      <c r="AA1939" s="74"/>
      <c r="AB1939" s="74"/>
    </row>
    <row r="1940" spans="1:28" ht="12" customHeight="1">
      <c r="A1940" s="330"/>
      <c r="B1940" s="314"/>
      <c r="C1940" s="285"/>
      <c r="D1940" s="108"/>
      <c r="E1940" s="285"/>
      <c r="F1940" s="285"/>
      <c r="G1940" s="35"/>
      <c r="H1940" s="104"/>
      <c r="I1940" s="35"/>
      <c r="J1940" s="74"/>
      <c r="K1940" s="74"/>
      <c r="L1940" s="74"/>
      <c r="M1940" s="74"/>
      <c r="N1940" s="74"/>
      <c r="O1940" s="74"/>
      <c r="P1940" s="74"/>
      <c r="Q1940" s="74"/>
      <c r="R1940" s="74"/>
      <c r="S1940" s="74"/>
      <c r="T1940" s="74"/>
      <c r="U1940" s="74"/>
      <c r="V1940" s="74"/>
      <c r="W1940" s="74"/>
      <c r="X1940" s="74"/>
      <c r="Y1940" s="74"/>
      <c r="Z1940" s="74"/>
      <c r="AA1940" s="74"/>
      <c r="AB1940" s="74"/>
    </row>
    <row r="1941" spans="1:28" ht="12" customHeight="1">
      <c r="A1941" s="330"/>
      <c r="B1941" s="314"/>
      <c r="C1941" s="285"/>
      <c r="D1941" s="108"/>
      <c r="E1941" s="285"/>
      <c r="F1941" s="285"/>
      <c r="G1941" s="35"/>
      <c r="H1941" s="104"/>
      <c r="I1941" s="35"/>
      <c r="J1941" s="74"/>
      <c r="K1941" s="74"/>
      <c r="L1941" s="74"/>
      <c r="M1941" s="74"/>
      <c r="N1941" s="74"/>
      <c r="O1941" s="74"/>
      <c r="P1941" s="74"/>
      <c r="Q1941" s="74"/>
      <c r="R1941" s="74"/>
      <c r="S1941" s="74"/>
      <c r="T1941" s="74"/>
      <c r="U1941" s="74"/>
      <c r="V1941" s="74"/>
      <c r="W1941" s="74"/>
      <c r="X1941" s="74"/>
      <c r="Y1941" s="74"/>
      <c r="Z1941" s="74"/>
      <c r="AA1941" s="74"/>
      <c r="AB1941" s="74"/>
    </row>
    <row r="1942" spans="1:28" ht="12" customHeight="1">
      <c r="A1942" s="330"/>
      <c r="B1942" s="314"/>
      <c r="C1942" s="285"/>
      <c r="D1942" s="108"/>
      <c r="E1942" s="285"/>
      <c r="F1942" s="285"/>
      <c r="G1942" s="35"/>
      <c r="H1942" s="104"/>
      <c r="I1942" s="35"/>
      <c r="J1942" s="74"/>
      <c r="K1942" s="74"/>
      <c r="L1942" s="74"/>
      <c r="M1942" s="74"/>
      <c r="N1942" s="74"/>
      <c r="O1942" s="74"/>
      <c r="P1942" s="74"/>
      <c r="Q1942" s="74"/>
      <c r="R1942" s="74"/>
      <c r="S1942" s="74"/>
      <c r="T1942" s="74"/>
      <c r="U1942" s="74"/>
      <c r="V1942" s="74"/>
      <c r="W1942" s="74"/>
      <c r="X1942" s="74"/>
      <c r="Y1942" s="74"/>
      <c r="Z1942" s="74"/>
      <c r="AA1942" s="74"/>
      <c r="AB1942" s="74"/>
    </row>
    <row r="1943" spans="1:28" ht="12" customHeight="1">
      <c r="A1943" s="330"/>
      <c r="B1943" s="314"/>
      <c r="C1943" s="285"/>
      <c r="D1943" s="108"/>
      <c r="E1943" s="285"/>
      <c r="F1943" s="285"/>
      <c r="G1943" s="35"/>
      <c r="H1943" s="104"/>
      <c r="I1943" s="35"/>
      <c r="J1943" s="74"/>
      <c r="K1943" s="74"/>
      <c r="L1943" s="74"/>
      <c r="M1943" s="74"/>
      <c r="N1943" s="74"/>
      <c r="O1943" s="74"/>
      <c r="P1943" s="74"/>
      <c r="Q1943" s="74"/>
      <c r="R1943" s="74"/>
      <c r="S1943" s="74"/>
      <c r="T1943" s="74"/>
      <c r="U1943" s="74"/>
      <c r="V1943" s="74"/>
      <c r="W1943" s="74"/>
      <c r="X1943" s="74"/>
      <c r="Y1943" s="74"/>
      <c r="Z1943" s="74"/>
      <c r="AA1943" s="74"/>
      <c r="AB1943" s="74"/>
    </row>
    <row r="1944" spans="1:28" ht="12" customHeight="1">
      <c r="A1944" s="330"/>
      <c r="B1944" s="314"/>
      <c r="C1944" s="285"/>
      <c r="D1944" s="108"/>
      <c r="E1944" s="285"/>
      <c r="F1944" s="285"/>
      <c r="G1944" s="35"/>
      <c r="H1944" s="104"/>
      <c r="I1944" s="35"/>
      <c r="J1944" s="74"/>
      <c r="K1944" s="74"/>
      <c r="L1944" s="74"/>
      <c r="M1944" s="74"/>
      <c r="N1944" s="74"/>
      <c r="O1944" s="74"/>
      <c r="P1944" s="74"/>
      <c r="Q1944" s="74"/>
      <c r="R1944" s="74"/>
      <c r="S1944" s="74"/>
      <c r="T1944" s="74"/>
      <c r="U1944" s="74"/>
      <c r="V1944" s="74"/>
      <c r="W1944" s="74"/>
      <c r="X1944" s="74"/>
      <c r="Y1944" s="74"/>
      <c r="Z1944" s="74"/>
      <c r="AA1944" s="74"/>
      <c r="AB1944" s="74"/>
    </row>
    <row r="1945" spans="1:28" ht="12" customHeight="1">
      <c r="A1945" s="330"/>
      <c r="B1945" s="314"/>
      <c r="C1945" s="285"/>
      <c r="D1945" s="108"/>
      <c r="E1945" s="285"/>
      <c r="F1945" s="285"/>
      <c r="G1945" s="35"/>
      <c r="H1945" s="104"/>
      <c r="I1945" s="35"/>
      <c r="J1945" s="74"/>
      <c r="K1945" s="74"/>
      <c r="L1945" s="74"/>
      <c r="M1945" s="74"/>
      <c r="N1945" s="74"/>
      <c r="O1945" s="74"/>
      <c r="P1945" s="74"/>
      <c r="Q1945" s="74"/>
      <c r="R1945" s="74"/>
      <c r="S1945" s="74"/>
      <c r="T1945" s="74"/>
      <c r="U1945" s="74"/>
      <c r="V1945" s="74"/>
      <c r="W1945" s="74"/>
      <c r="X1945" s="74"/>
      <c r="Y1945" s="74"/>
      <c r="Z1945" s="74"/>
      <c r="AA1945" s="74"/>
      <c r="AB1945" s="74"/>
    </row>
    <row r="1946" spans="1:28" ht="12" customHeight="1">
      <c r="A1946" s="330"/>
      <c r="B1946" s="314"/>
      <c r="C1946" s="285"/>
      <c r="D1946" s="108"/>
      <c r="E1946" s="285"/>
      <c r="F1946" s="285"/>
      <c r="G1946" s="35"/>
      <c r="H1946" s="104"/>
      <c r="I1946" s="35"/>
      <c r="J1946" s="74"/>
      <c r="K1946" s="74"/>
      <c r="L1946" s="74"/>
      <c r="M1946" s="74"/>
      <c r="N1946" s="74"/>
      <c r="O1946" s="74"/>
      <c r="P1946" s="74"/>
      <c r="Q1946" s="74"/>
      <c r="R1946" s="74"/>
      <c r="S1946" s="74"/>
      <c r="T1946" s="74"/>
      <c r="U1946" s="74"/>
      <c r="V1946" s="74"/>
      <c r="W1946" s="74"/>
      <c r="X1946" s="74"/>
      <c r="Y1946" s="74"/>
      <c r="Z1946" s="74"/>
      <c r="AA1946" s="74"/>
      <c r="AB1946" s="74"/>
    </row>
    <row r="1947" spans="1:28" ht="12" customHeight="1">
      <c r="A1947" s="330"/>
      <c r="B1947" s="314"/>
      <c r="C1947" s="285"/>
      <c r="D1947" s="108"/>
      <c r="E1947" s="285"/>
      <c r="F1947" s="285"/>
      <c r="G1947" s="35"/>
      <c r="H1947" s="104"/>
      <c r="I1947" s="35"/>
      <c r="J1947" s="74"/>
      <c r="K1947" s="74"/>
      <c r="L1947" s="74"/>
      <c r="M1947" s="74"/>
      <c r="N1947" s="74"/>
      <c r="O1947" s="74"/>
      <c r="P1947" s="74"/>
      <c r="Q1947" s="74"/>
      <c r="R1947" s="74"/>
      <c r="S1947" s="74"/>
      <c r="T1947" s="74"/>
      <c r="U1947" s="74"/>
      <c r="V1947" s="74"/>
      <c r="W1947" s="74"/>
      <c r="X1947" s="74"/>
      <c r="Y1947" s="74"/>
      <c r="Z1947" s="74"/>
      <c r="AA1947" s="74"/>
      <c r="AB1947" s="74"/>
    </row>
    <row r="1948" spans="1:28" ht="12" customHeight="1">
      <c r="A1948" s="330"/>
      <c r="B1948" s="314"/>
      <c r="C1948" s="285"/>
      <c r="D1948" s="108"/>
      <c r="E1948" s="285"/>
      <c r="F1948" s="285"/>
      <c r="G1948" s="35"/>
      <c r="H1948" s="104"/>
      <c r="I1948" s="35"/>
      <c r="J1948" s="74"/>
      <c r="K1948" s="74"/>
      <c r="L1948" s="74"/>
      <c r="M1948" s="74"/>
      <c r="N1948" s="74"/>
      <c r="O1948" s="74"/>
      <c r="P1948" s="74"/>
      <c r="Q1948" s="74"/>
      <c r="R1948" s="74"/>
      <c r="S1948" s="74"/>
      <c r="T1948" s="74"/>
      <c r="U1948" s="74"/>
      <c r="V1948" s="74"/>
      <c r="W1948" s="74"/>
      <c r="X1948" s="74"/>
      <c r="Y1948" s="74"/>
      <c r="Z1948" s="74"/>
      <c r="AA1948" s="74"/>
      <c r="AB1948" s="74"/>
    </row>
    <row r="1949" spans="1:28" ht="12" customHeight="1">
      <c r="A1949" s="330"/>
      <c r="B1949" s="314"/>
      <c r="C1949" s="285"/>
      <c r="D1949" s="108"/>
      <c r="E1949" s="285"/>
      <c r="F1949" s="285"/>
      <c r="G1949" s="35"/>
      <c r="H1949" s="104"/>
      <c r="I1949" s="35"/>
      <c r="J1949" s="74"/>
      <c r="K1949" s="74"/>
      <c r="L1949" s="74"/>
      <c r="M1949" s="74"/>
      <c r="N1949" s="74"/>
      <c r="O1949" s="74"/>
      <c r="P1949" s="74"/>
      <c r="Q1949" s="74"/>
      <c r="R1949" s="74"/>
      <c r="S1949" s="74"/>
      <c r="T1949" s="74"/>
      <c r="U1949" s="74"/>
      <c r="V1949" s="74"/>
      <c r="W1949" s="74"/>
      <c r="X1949" s="74"/>
      <c r="Y1949" s="74"/>
      <c r="Z1949" s="74"/>
      <c r="AA1949" s="74"/>
      <c r="AB1949" s="74"/>
    </row>
    <row r="1950" spans="1:28" ht="12" customHeight="1">
      <c r="A1950" s="330"/>
      <c r="B1950" s="314"/>
      <c r="C1950" s="285"/>
      <c r="D1950" s="108"/>
      <c r="E1950" s="285"/>
      <c r="F1950" s="285"/>
      <c r="G1950" s="35"/>
      <c r="H1950" s="104"/>
      <c r="I1950" s="35"/>
      <c r="J1950" s="74"/>
      <c r="K1950" s="74"/>
      <c r="L1950" s="74"/>
      <c r="M1950" s="74"/>
      <c r="N1950" s="74"/>
      <c r="O1950" s="74"/>
      <c r="P1950" s="74"/>
      <c r="Q1950" s="74"/>
      <c r="R1950" s="74"/>
      <c r="S1950" s="74"/>
      <c r="T1950" s="74"/>
      <c r="U1950" s="74"/>
      <c r="V1950" s="74"/>
      <c r="W1950" s="74"/>
      <c r="X1950" s="74"/>
      <c r="Y1950" s="74"/>
      <c r="Z1950" s="74"/>
      <c r="AA1950" s="74"/>
      <c r="AB1950" s="74"/>
    </row>
    <row r="1951" spans="1:28" ht="12" customHeight="1">
      <c r="A1951" s="330"/>
      <c r="B1951" s="314"/>
      <c r="C1951" s="285"/>
      <c r="D1951" s="108"/>
      <c r="E1951" s="285"/>
      <c r="F1951" s="285"/>
      <c r="G1951" s="35"/>
      <c r="H1951" s="104"/>
      <c r="I1951" s="35"/>
      <c r="J1951" s="74"/>
      <c r="K1951" s="74"/>
      <c r="L1951" s="74"/>
      <c r="M1951" s="74"/>
      <c r="N1951" s="74"/>
      <c r="O1951" s="74"/>
      <c r="P1951" s="74"/>
      <c r="Q1951" s="74"/>
      <c r="R1951" s="74"/>
      <c r="S1951" s="74"/>
      <c r="T1951" s="74"/>
      <c r="U1951" s="74"/>
      <c r="V1951" s="74"/>
      <c r="W1951" s="74"/>
      <c r="X1951" s="74"/>
      <c r="Y1951" s="74"/>
      <c r="Z1951" s="74"/>
      <c r="AA1951" s="74"/>
      <c r="AB1951" s="74"/>
    </row>
    <row r="1952" spans="1:28" ht="12" customHeight="1">
      <c r="A1952" s="330"/>
      <c r="B1952" s="314"/>
      <c r="C1952" s="285"/>
      <c r="D1952" s="108"/>
      <c r="E1952" s="285"/>
      <c r="F1952" s="285"/>
      <c r="G1952" s="35"/>
      <c r="H1952" s="104"/>
      <c r="I1952" s="35"/>
      <c r="J1952" s="74"/>
      <c r="K1952" s="74"/>
      <c r="L1952" s="74"/>
      <c r="M1952" s="74"/>
      <c r="N1952" s="74"/>
      <c r="O1952" s="74"/>
      <c r="P1952" s="74"/>
      <c r="Q1952" s="74"/>
      <c r="R1952" s="74"/>
      <c r="S1952" s="74"/>
      <c r="T1952" s="74"/>
      <c r="U1952" s="74"/>
      <c r="V1952" s="74"/>
      <c r="W1952" s="74"/>
      <c r="X1952" s="74"/>
      <c r="Y1952" s="74"/>
      <c r="Z1952" s="74"/>
      <c r="AA1952" s="74"/>
      <c r="AB1952" s="74"/>
    </row>
    <row r="1953" spans="1:28" ht="12" customHeight="1">
      <c r="A1953" s="330"/>
      <c r="B1953" s="314"/>
      <c r="C1953" s="285"/>
      <c r="D1953" s="108"/>
      <c r="E1953" s="285"/>
      <c r="F1953" s="285"/>
      <c r="G1953" s="35"/>
      <c r="H1953" s="104"/>
      <c r="I1953" s="35"/>
      <c r="J1953" s="74"/>
      <c r="K1953" s="74"/>
      <c r="L1953" s="74"/>
      <c r="M1953" s="74"/>
      <c r="N1953" s="74"/>
      <c r="O1953" s="74"/>
      <c r="P1953" s="74"/>
      <c r="Q1953" s="74"/>
      <c r="R1953" s="74"/>
      <c r="S1953" s="74"/>
      <c r="T1953" s="74"/>
      <c r="U1953" s="74"/>
      <c r="V1953" s="74"/>
      <c r="W1953" s="74"/>
      <c r="X1953" s="74"/>
      <c r="Y1953" s="74"/>
      <c r="Z1953" s="74"/>
      <c r="AA1953" s="74"/>
      <c r="AB1953" s="74"/>
    </row>
    <row r="1954" spans="1:28" ht="12" customHeight="1">
      <c r="A1954" s="330"/>
      <c r="B1954" s="314"/>
      <c r="C1954" s="285"/>
      <c r="D1954" s="108"/>
      <c r="E1954" s="285"/>
      <c r="F1954" s="285"/>
      <c r="G1954" s="35"/>
      <c r="H1954" s="104"/>
      <c r="I1954" s="35"/>
      <c r="J1954" s="74"/>
      <c r="K1954" s="74"/>
      <c r="L1954" s="74"/>
      <c r="M1954" s="74"/>
      <c r="N1954" s="74"/>
      <c r="O1954" s="74"/>
      <c r="P1954" s="74"/>
      <c r="Q1954" s="74"/>
      <c r="R1954" s="74"/>
      <c r="S1954" s="74"/>
      <c r="T1954" s="74"/>
      <c r="U1954" s="74"/>
      <c r="V1954" s="74"/>
      <c r="W1954" s="74"/>
      <c r="X1954" s="74"/>
      <c r="Y1954" s="74"/>
      <c r="Z1954" s="74"/>
      <c r="AA1954" s="74"/>
      <c r="AB1954" s="74"/>
    </row>
    <row r="1955" spans="1:28" ht="12" customHeight="1">
      <c r="A1955" s="330"/>
      <c r="B1955" s="314"/>
      <c r="C1955" s="285"/>
      <c r="D1955" s="108"/>
      <c r="E1955" s="285"/>
      <c r="F1955" s="285"/>
      <c r="G1955" s="35"/>
      <c r="H1955" s="104"/>
      <c r="I1955" s="35"/>
      <c r="J1955" s="74"/>
      <c r="K1955" s="74"/>
      <c r="L1955" s="74"/>
      <c r="M1955" s="74"/>
      <c r="N1955" s="74"/>
      <c r="O1955" s="74"/>
      <c r="P1955" s="74"/>
      <c r="Q1955" s="74"/>
      <c r="R1955" s="74"/>
      <c r="S1955" s="74"/>
      <c r="T1955" s="74"/>
      <c r="U1955" s="74"/>
      <c r="V1955" s="74"/>
      <c r="W1955" s="74"/>
      <c r="X1955" s="74"/>
      <c r="Y1955" s="74"/>
      <c r="Z1955" s="74"/>
      <c r="AA1955" s="74"/>
      <c r="AB1955" s="74"/>
    </row>
    <row r="1956" spans="1:28" ht="12" customHeight="1">
      <c r="A1956" s="330"/>
      <c r="B1956" s="314"/>
      <c r="C1956" s="285"/>
      <c r="D1956" s="108"/>
      <c r="E1956" s="285"/>
      <c r="F1956" s="285"/>
      <c r="G1956" s="35"/>
      <c r="H1956" s="104"/>
      <c r="I1956" s="35"/>
      <c r="J1956" s="74"/>
      <c r="K1956" s="74"/>
      <c r="L1956" s="74"/>
      <c r="M1956" s="74"/>
      <c r="N1956" s="74"/>
      <c r="O1956" s="74"/>
      <c r="P1956" s="74"/>
      <c r="Q1956" s="74"/>
      <c r="R1956" s="74"/>
      <c r="S1956" s="74"/>
      <c r="T1956" s="74"/>
      <c r="U1956" s="74"/>
      <c r="V1956" s="74"/>
      <c r="W1956" s="74"/>
      <c r="X1956" s="74"/>
      <c r="Y1956" s="74"/>
      <c r="Z1956" s="74"/>
      <c r="AA1956" s="74"/>
      <c r="AB1956" s="74"/>
    </row>
    <row r="1957" spans="1:28" ht="12" customHeight="1">
      <c r="A1957" s="330"/>
      <c r="B1957" s="314"/>
      <c r="C1957" s="285"/>
      <c r="D1957" s="108"/>
      <c r="E1957" s="285"/>
      <c r="F1957" s="285"/>
      <c r="G1957" s="35"/>
      <c r="H1957" s="104"/>
      <c r="I1957" s="35"/>
      <c r="J1957" s="74"/>
      <c r="K1957" s="74"/>
      <c r="L1957" s="74"/>
      <c r="M1957" s="74"/>
      <c r="N1957" s="74"/>
      <c r="O1957" s="74"/>
      <c r="P1957" s="74"/>
      <c r="Q1957" s="74"/>
      <c r="R1957" s="74"/>
      <c r="S1957" s="74"/>
      <c r="T1957" s="74"/>
      <c r="U1957" s="74"/>
      <c r="V1957" s="74"/>
      <c r="W1957" s="74"/>
      <c r="X1957" s="74"/>
      <c r="Y1957" s="74"/>
      <c r="Z1957" s="74"/>
      <c r="AA1957" s="74"/>
      <c r="AB1957" s="74"/>
    </row>
    <row r="1958" spans="1:28" ht="12" customHeight="1">
      <c r="A1958" s="330"/>
      <c r="B1958" s="314"/>
      <c r="C1958" s="285"/>
      <c r="D1958" s="108"/>
      <c r="E1958" s="285"/>
      <c r="F1958" s="285"/>
      <c r="G1958" s="35"/>
      <c r="H1958" s="104"/>
      <c r="I1958" s="35"/>
      <c r="J1958" s="74"/>
      <c r="K1958" s="74"/>
      <c r="L1958" s="74"/>
      <c r="M1958" s="74"/>
      <c r="N1958" s="74"/>
      <c r="O1958" s="74"/>
      <c r="P1958" s="74"/>
      <c r="Q1958" s="74"/>
      <c r="R1958" s="74"/>
      <c r="S1958" s="74"/>
      <c r="T1958" s="74"/>
      <c r="U1958" s="74"/>
      <c r="V1958" s="74"/>
      <c r="W1958" s="74"/>
      <c r="X1958" s="74"/>
      <c r="Y1958" s="74"/>
      <c r="Z1958" s="74"/>
      <c r="AA1958" s="74"/>
      <c r="AB1958" s="74"/>
    </row>
    <row r="1959" spans="1:28" ht="12" customHeight="1">
      <c r="A1959" s="330"/>
      <c r="B1959" s="314"/>
      <c r="C1959" s="285"/>
      <c r="D1959" s="108"/>
      <c r="E1959" s="285"/>
      <c r="F1959" s="285"/>
      <c r="G1959" s="35"/>
      <c r="H1959" s="104"/>
      <c r="I1959" s="35"/>
      <c r="J1959" s="74"/>
      <c r="K1959" s="74"/>
      <c r="L1959" s="74"/>
      <c r="M1959" s="74"/>
      <c r="N1959" s="74"/>
      <c r="O1959" s="74"/>
      <c r="P1959" s="74"/>
      <c r="Q1959" s="74"/>
      <c r="R1959" s="74"/>
      <c r="S1959" s="74"/>
      <c r="T1959" s="74"/>
      <c r="U1959" s="74"/>
      <c r="V1959" s="74"/>
      <c r="W1959" s="74"/>
      <c r="X1959" s="74"/>
      <c r="Y1959" s="74"/>
      <c r="Z1959" s="74"/>
      <c r="AA1959" s="74"/>
      <c r="AB1959" s="74"/>
    </row>
    <row r="1960" spans="1:28" ht="12" customHeight="1">
      <c r="A1960" s="330"/>
      <c r="B1960" s="314"/>
      <c r="C1960" s="285"/>
      <c r="D1960" s="108"/>
      <c r="E1960" s="285"/>
      <c r="F1960" s="285"/>
      <c r="G1960" s="35"/>
      <c r="H1960" s="104"/>
      <c r="I1960" s="35"/>
      <c r="J1960" s="74"/>
      <c r="K1960" s="74"/>
      <c r="L1960" s="74"/>
      <c r="M1960" s="74"/>
      <c r="N1960" s="74"/>
      <c r="O1960" s="74"/>
      <c r="P1960" s="74"/>
      <c r="Q1960" s="74"/>
      <c r="R1960" s="74"/>
      <c r="S1960" s="74"/>
      <c r="T1960" s="74"/>
      <c r="U1960" s="74"/>
      <c r="V1960" s="74"/>
      <c r="W1960" s="74"/>
      <c r="X1960" s="74"/>
      <c r="Y1960" s="74"/>
      <c r="Z1960" s="74"/>
      <c r="AA1960" s="74"/>
      <c r="AB1960" s="74"/>
    </row>
    <row r="1961" spans="1:28" ht="12" customHeight="1">
      <c r="A1961" s="330"/>
      <c r="B1961" s="314"/>
      <c r="C1961" s="285"/>
      <c r="D1961" s="108"/>
      <c r="E1961" s="285"/>
      <c r="F1961" s="285"/>
      <c r="G1961" s="35"/>
      <c r="H1961" s="104"/>
      <c r="I1961" s="35"/>
      <c r="J1961" s="74"/>
      <c r="K1961" s="74"/>
      <c r="L1961" s="74"/>
      <c r="M1961" s="74"/>
      <c r="N1961" s="74"/>
      <c r="O1961" s="74"/>
      <c r="P1961" s="74"/>
      <c r="Q1961" s="74"/>
      <c r="R1961" s="74"/>
      <c r="S1961" s="74"/>
      <c r="T1961" s="74"/>
      <c r="U1961" s="74"/>
      <c r="V1961" s="74"/>
      <c r="W1961" s="74"/>
      <c r="X1961" s="74"/>
      <c r="Y1961" s="74"/>
      <c r="Z1961" s="74"/>
      <c r="AA1961" s="74"/>
      <c r="AB1961" s="74"/>
    </row>
    <row r="1962" spans="1:28" ht="12" customHeight="1">
      <c r="A1962" s="330"/>
      <c r="B1962" s="314"/>
      <c r="C1962" s="285"/>
      <c r="D1962" s="108"/>
      <c r="E1962" s="285"/>
      <c r="F1962" s="285"/>
      <c r="G1962" s="35"/>
      <c r="H1962" s="104"/>
      <c r="I1962" s="35"/>
      <c r="J1962" s="74"/>
      <c r="K1962" s="74"/>
      <c r="L1962" s="74"/>
      <c r="M1962" s="74"/>
      <c r="N1962" s="74"/>
      <c r="O1962" s="74"/>
      <c r="P1962" s="74"/>
      <c r="Q1962" s="74"/>
      <c r="R1962" s="74"/>
      <c r="S1962" s="74"/>
      <c r="T1962" s="74"/>
      <c r="U1962" s="74"/>
      <c r="V1962" s="74"/>
      <c r="W1962" s="74"/>
      <c r="X1962" s="74"/>
      <c r="Y1962" s="74"/>
      <c r="Z1962" s="74"/>
      <c r="AA1962" s="74"/>
      <c r="AB1962" s="74"/>
    </row>
    <row r="1963" spans="1:28" ht="12" customHeight="1">
      <c r="A1963" s="330"/>
      <c r="B1963" s="314"/>
      <c r="C1963" s="285"/>
      <c r="D1963" s="108"/>
      <c r="E1963" s="285"/>
      <c r="F1963" s="285"/>
      <c r="G1963" s="35"/>
      <c r="H1963" s="104"/>
      <c r="I1963" s="35"/>
      <c r="J1963" s="74"/>
      <c r="K1963" s="74"/>
      <c r="L1963" s="74"/>
      <c r="M1963" s="74"/>
      <c r="N1963" s="74"/>
      <c r="O1963" s="74"/>
      <c r="P1963" s="74"/>
      <c r="Q1963" s="74"/>
      <c r="R1963" s="74"/>
      <c r="S1963" s="74"/>
      <c r="T1963" s="74"/>
      <c r="U1963" s="74"/>
      <c r="V1963" s="74"/>
      <c r="W1963" s="74"/>
      <c r="X1963" s="74"/>
      <c r="Y1963" s="74"/>
      <c r="Z1963" s="74"/>
      <c r="AA1963" s="74"/>
      <c r="AB1963" s="74"/>
    </row>
    <row r="1964" spans="1:28" ht="12" customHeight="1">
      <c r="A1964" s="330"/>
      <c r="B1964" s="314"/>
      <c r="C1964" s="285"/>
      <c r="D1964" s="108"/>
      <c r="E1964" s="285"/>
      <c r="F1964" s="285"/>
      <c r="G1964" s="35"/>
      <c r="H1964" s="104"/>
      <c r="I1964" s="35"/>
      <c r="J1964" s="74"/>
      <c r="K1964" s="74"/>
      <c r="L1964" s="74"/>
      <c r="M1964" s="74"/>
      <c r="N1964" s="74"/>
      <c r="O1964" s="74"/>
      <c r="P1964" s="74"/>
      <c r="Q1964" s="74"/>
      <c r="R1964" s="74"/>
      <c r="S1964" s="74"/>
      <c r="T1964" s="74"/>
      <c r="U1964" s="74"/>
      <c r="V1964" s="74"/>
      <c r="W1964" s="74"/>
      <c r="X1964" s="74"/>
      <c r="Y1964" s="74"/>
      <c r="Z1964" s="74"/>
      <c r="AA1964" s="74"/>
      <c r="AB1964" s="74"/>
    </row>
    <row r="1965" spans="1:28" ht="12" customHeight="1">
      <c r="A1965" s="330"/>
      <c r="B1965" s="314"/>
      <c r="C1965" s="285"/>
      <c r="D1965" s="108"/>
      <c r="E1965" s="285"/>
      <c r="F1965" s="285"/>
      <c r="G1965" s="35"/>
      <c r="H1965" s="104"/>
      <c r="I1965" s="35"/>
      <c r="J1965" s="74"/>
      <c r="K1965" s="74"/>
      <c r="L1965" s="74"/>
      <c r="M1965" s="74"/>
      <c r="N1965" s="74"/>
      <c r="O1965" s="74"/>
      <c r="P1965" s="74"/>
      <c r="Q1965" s="74"/>
      <c r="R1965" s="74"/>
      <c r="S1965" s="74"/>
      <c r="T1965" s="74"/>
      <c r="U1965" s="74"/>
      <c r="V1965" s="74"/>
      <c r="W1965" s="74"/>
      <c r="X1965" s="74"/>
      <c r="Y1965" s="74"/>
      <c r="Z1965" s="74"/>
      <c r="AA1965" s="74"/>
      <c r="AB1965" s="74"/>
    </row>
    <row r="1966" spans="1:28" ht="12" customHeight="1">
      <c r="A1966" s="330"/>
      <c r="B1966" s="314"/>
      <c r="C1966" s="285"/>
      <c r="D1966" s="108"/>
      <c r="E1966" s="285"/>
      <c r="F1966" s="285"/>
      <c r="G1966" s="35"/>
      <c r="H1966" s="104"/>
      <c r="I1966" s="35"/>
      <c r="J1966" s="74"/>
      <c r="K1966" s="74"/>
      <c r="L1966" s="74"/>
      <c r="M1966" s="74"/>
      <c r="N1966" s="74"/>
      <c r="O1966" s="74"/>
      <c r="P1966" s="74"/>
      <c r="Q1966" s="74"/>
      <c r="R1966" s="74"/>
      <c r="S1966" s="74"/>
      <c r="T1966" s="74"/>
      <c r="U1966" s="74"/>
      <c r="V1966" s="74"/>
      <c r="W1966" s="74"/>
      <c r="X1966" s="74"/>
      <c r="Y1966" s="74"/>
      <c r="Z1966" s="74"/>
      <c r="AA1966" s="74"/>
      <c r="AB1966" s="74"/>
    </row>
    <row r="1967" spans="1:28" ht="12" customHeight="1">
      <c r="A1967" s="330"/>
      <c r="B1967" s="314"/>
      <c r="C1967" s="285"/>
      <c r="D1967" s="108"/>
      <c r="E1967" s="285"/>
      <c r="F1967" s="285"/>
      <c r="G1967" s="35"/>
      <c r="H1967" s="104"/>
      <c r="I1967" s="35"/>
      <c r="J1967" s="74"/>
      <c r="K1967" s="74"/>
      <c r="L1967" s="74"/>
      <c r="M1967" s="74"/>
      <c r="N1967" s="74"/>
      <c r="O1967" s="74"/>
      <c r="P1967" s="74"/>
      <c r="Q1967" s="74"/>
      <c r="R1967" s="74"/>
      <c r="S1967" s="74"/>
      <c r="T1967" s="74"/>
      <c r="U1967" s="74"/>
      <c r="V1967" s="74"/>
      <c r="W1967" s="74"/>
      <c r="X1967" s="74"/>
      <c r="Y1967" s="74"/>
      <c r="Z1967" s="74"/>
      <c r="AA1967" s="74"/>
      <c r="AB1967" s="74"/>
    </row>
    <row r="1968" spans="1:28" ht="12" customHeight="1">
      <c r="A1968" s="330"/>
      <c r="B1968" s="314"/>
      <c r="C1968" s="285"/>
      <c r="D1968" s="108"/>
      <c r="E1968" s="285"/>
      <c r="F1968" s="285"/>
      <c r="G1968" s="35"/>
      <c r="H1968" s="104"/>
      <c r="I1968" s="35"/>
      <c r="J1968" s="74"/>
      <c r="K1968" s="74"/>
      <c r="L1968" s="74"/>
      <c r="M1968" s="74"/>
      <c r="N1968" s="74"/>
      <c r="O1968" s="74"/>
      <c r="P1968" s="74"/>
      <c r="Q1968" s="74"/>
      <c r="R1968" s="74"/>
      <c r="S1968" s="74"/>
      <c r="T1968" s="74"/>
      <c r="U1968" s="74"/>
      <c r="V1968" s="74"/>
      <c r="W1968" s="74"/>
      <c r="X1968" s="74"/>
      <c r="Y1968" s="74"/>
      <c r="Z1968" s="74"/>
      <c r="AA1968" s="74"/>
      <c r="AB1968" s="74"/>
    </row>
    <row r="1969" spans="1:28" ht="12" customHeight="1">
      <c r="A1969" s="330"/>
      <c r="B1969" s="314"/>
      <c r="C1969" s="285"/>
      <c r="D1969" s="108"/>
      <c r="E1969" s="285"/>
      <c r="F1969" s="285"/>
      <c r="G1969" s="35"/>
      <c r="H1969" s="104"/>
      <c r="I1969" s="35"/>
      <c r="J1969" s="74"/>
      <c r="K1969" s="74"/>
      <c r="L1969" s="74"/>
      <c r="M1969" s="74"/>
      <c r="N1969" s="74"/>
      <c r="O1969" s="74"/>
      <c r="P1969" s="74"/>
      <c r="Q1969" s="74"/>
      <c r="R1969" s="74"/>
      <c r="S1969" s="74"/>
      <c r="T1969" s="74"/>
      <c r="U1969" s="74"/>
      <c r="V1969" s="74"/>
      <c r="W1969" s="74"/>
      <c r="X1969" s="74"/>
      <c r="Y1969" s="74"/>
      <c r="Z1969" s="74"/>
      <c r="AA1969" s="74"/>
      <c r="AB1969" s="74"/>
    </row>
    <row r="1970" spans="1:28" ht="12" customHeight="1">
      <c r="A1970" s="330"/>
      <c r="B1970" s="314"/>
      <c r="C1970" s="285"/>
      <c r="D1970" s="108"/>
      <c r="E1970" s="285"/>
      <c r="F1970" s="285"/>
      <c r="G1970" s="35"/>
      <c r="H1970" s="104"/>
      <c r="I1970" s="35"/>
      <c r="J1970" s="74"/>
      <c r="K1970" s="74"/>
      <c r="L1970" s="74"/>
      <c r="M1970" s="74"/>
      <c r="N1970" s="74"/>
      <c r="O1970" s="74"/>
      <c r="P1970" s="74"/>
      <c r="Q1970" s="74"/>
      <c r="R1970" s="74"/>
      <c r="S1970" s="74"/>
      <c r="T1970" s="74"/>
      <c r="U1970" s="74"/>
      <c r="V1970" s="74"/>
      <c r="W1970" s="74"/>
      <c r="X1970" s="74"/>
      <c r="Y1970" s="74"/>
      <c r="Z1970" s="74"/>
      <c r="AA1970" s="74"/>
      <c r="AB1970" s="74"/>
    </row>
    <row r="1971" spans="1:28" ht="12" customHeight="1">
      <c r="A1971" s="330"/>
      <c r="B1971" s="314"/>
      <c r="C1971" s="285"/>
      <c r="D1971" s="108"/>
      <c r="E1971" s="285"/>
      <c r="F1971" s="285"/>
      <c r="G1971" s="35"/>
      <c r="H1971" s="104"/>
      <c r="I1971" s="35"/>
      <c r="J1971" s="74"/>
      <c r="K1971" s="74"/>
      <c r="L1971" s="74"/>
      <c r="M1971" s="74"/>
      <c r="N1971" s="74"/>
      <c r="O1971" s="74"/>
      <c r="P1971" s="74"/>
      <c r="Q1971" s="74"/>
      <c r="R1971" s="74"/>
      <c r="S1971" s="74"/>
      <c r="T1971" s="74"/>
      <c r="U1971" s="74"/>
      <c r="V1971" s="74"/>
      <c r="W1971" s="74"/>
      <c r="X1971" s="74"/>
      <c r="Y1971" s="74"/>
      <c r="Z1971" s="74"/>
      <c r="AA1971" s="74"/>
      <c r="AB1971" s="74"/>
    </row>
    <row r="1972" spans="1:28" ht="12" customHeight="1">
      <c r="A1972" s="330"/>
      <c r="B1972" s="314"/>
      <c r="C1972" s="285"/>
      <c r="D1972" s="108"/>
      <c r="E1972" s="285"/>
      <c r="F1972" s="285"/>
      <c r="G1972" s="35"/>
      <c r="H1972" s="104"/>
      <c r="I1972" s="35"/>
      <c r="J1972" s="74"/>
      <c r="K1972" s="74"/>
      <c r="L1972" s="74"/>
      <c r="M1972" s="74"/>
      <c r="N1972" s="74"/>
      <c r="O1972" s="74"/>
      <c r="P1972" s="74"/>
      <c r="Q1972" s="74"/>
      <c r="R1972" s="74"/>
      <c r="S1972" s="74"/>
      <c r="T1972" s="74"/>
      <c r="U1972" s="74"/>
      <c r="V1972" s="74"/>
      <c r="W1972" s="74"/>
      <c r="X1972" s="74"/>
      <c r="Y1972" s="74"/>
      <c r="Z1972" s="74"/>
      <c r="AA1972" s="74"/>
      <c r="AB1972" s="74"/>
    </row>
    <row r="1973" spans="1:28" ht="12" customHeight="1">
      <c r="A1973" s="330"/>
      <c r="B1973" s="314"/>
      <c r="C1973" s="285"/>
      <c r="D1973" s="108"/>
      <c r="E1973" s="285"/>
      <c r="F1973" s="285"/>
      <c r="G1973" s="35"/>
      <c r="H1973" s="104"/>
      <c r="I1973" s="35"/>
      <c r="J1973" s="74"/>
      <c r="K1973" s="74"/>
      <c r="L1973" s="74"/>
      <c r="M1973" s="74"/>
      <c r="N1973" s="74"/>
      <c r="O1973" s="74"/>
      <c r="P1973" s="74"/>
      <c r="Q1973" s="74"/>
      <c r="R1973" s="74"/>
      <c r="S1973" s="74"/>
      <c r="T1973" s="74"/>
      <c r="U1973" s="74"/>
      <c r="V1973" s="74"/>
      <c r="W1973" s="74"/>
      <c r="X1973" s="74"/>
      <c r="Y1973" s="74"/>
      <c r="Z1973" s="74"/>
      <c r="AA1973" s="74"/>
      <c r="AB1973" s="74"/>
    </row>
    <row r="1974" spans="1:28" ht="12" customHeight="1">
      <c r="A1974" s="330"/>
      <c r="B1974" s="314"/>
      <c r="C1974" s="285"/>
      <c r="D1974" s="108"/>
      <c r="E1974" s="285"/>
      <c r="F1974" s="285"/>
      <c r="G1974" s="35"/>
      <c r="H1974" s="104"/>
      <c r="I1974" s="35"/>
      <c r="J1974" s="74"/>
      <c r="K1974" s="74"/>
      <c r="L1974" s="74"/>
      <c r="M1974" s="74"/>
      <c r="N1974" s="74"/>
      <c r="O1974" s="74"/>
      <c r="P1974" s="74"/>
      <c r="Q1974" s="74"/>
      <c r="R1974" s="74"/>
      <c r="S1974" s="74"/>
      <c r="T1974" s="74"/>
      <c r="U1974" s="74"/>
      <c r="V1974" s="74"/>
      <c r="W1974" s="74"/>
      <c r="X1974" s="74"/>
      <c r="Y1974" s="74"/>
      <c r="Z1974" s="74"/>
      <c r="AA1974" s="74"/>
      <c r="AB1974" s="74"/>
    </row>
    <row r="1975" spans="1:28" ht="12" customHeight="1">
      <c r="A1975" s="330"/>
      <c r="B1975" s="314"/>
      <c r="C1975" s="285"/>
      <c r="D1975" s="108"/>
      <c r="E1975" s="285"/>
      <c r="F1975" s="285"/>
      <c r="G1975" s="35"/>
      <c r="H1975" s="104"/>
      <c r="I1975" s="35"/>
      <c r="J1975" s="74"/>
      <c r="K1975" s="74"/>
      <c r="L1975" s="74"/>
      <c r="M1975" s="74"/>
      <c r="N1975" s="74"/>
      <c r="O1975" s="74"/>
      <c r="P1975" s="74"/>
      <c r="Q1975" s="74"/>
      <c r="R1975" s="74"/>
      <c r="S1975" s="74"/>
      <c r="T1975" s="74"/>
      <c r="U1975" s="74"/>
      <c r="V1975" s="74"/>
      <c r="W1975" s="74"/>
      <c r="X1975" s="74"/>
      <c r="Y1975" s="74"/>
      <c r="Z1975" s="74"/>
      <c r="AA1975" s="74"/>
      <c r="AB1975" s="74"/>
    </row>
    <row r="1976" spans="1:28" ht="12" customHeight="1">
      <c r="A1976" s="330"/>
      <c r="B1976" s="314"/>
      <c r="C1976" s="285"/>
      <c r="D1976" s="108"/>
      <c r="E1976" s="285"/>
      <c r="F1976" s="285"/>
      <c r="G1976" s="35"/>
      <c r="H1976" s="104"/>
      <c r="I1976" s="35"/>
      <c r="J1976" s="74"/>
      <c r="K1976" s="74"/>
      <c r="L1976" s="74"/>
      <c r="M1976" s="74"/>
      <c r="N1976" s="74"/>
      <c r="O1976" s="74"/>
      <c r="P1976" s="74"/>
      <c r="Q1976" s="74"/>
      <c r="R1976" s="74"/>
      <c r="S1976" s="74"/>
      <c r="T1976" s="74"/>
      <c r="U1976" s="74"/>
      <c r="V1976" s="74"/>
      <c r="W1976" s="74"/>
      <c r="X1976" s="74"/>
      <c r="Y1976" s="74"/>
      <c r="Z1976" s="74"/>
      <c r="AA1976" s="74"/>
      <c r="AB1976" s="74"/>
    </row>
    <row r="1977" spans="1:28" ht="12" customHeight="1">
      <c r="A1977" s="330"/>
      <c r="B1977" s="314"/>
      <c r="C1977" s="285"/>
      <c r="D1977" s="108"/>
      <c r="E1977" s="285"/>
      <c r="F1977" s="285"/>
      <c r="G1977" s="35"/>
      <c r="H1977" s="104"/>
      <c r="I1977" s="35"/>
      <c r="J1977" s="74"/>
      <c r="K1977" s="74"/>
      <c r="L1977" s="74"/>
      <c r="M1977" s="74"/>
      <c r="N1977" s="74"/>
      <c r="O1977" s="74"/>
      <c r="P1977" s="74"/>
      <c r="Q1977" s="74"/>
      <c r="R1977" s="74"/>
      <c r="S1977" s="74"/>
      <c r="T1977" s="74"/>
      <c r="U1977" s="74"/>
      <c r="V1977" s="74"/>
      <c r="W1977" s="74"/>
      <c r="X1977" s="74"/>
      <c r="Y1977" s="74"/>
      <c r="Z1977" s="74"/>
      <c r="AA1977" s="74"/>
      <c r="AB1977" s="74"/>
    </row>
    <row r="1978" spans="1:28" ht="12" customHeight="1">
      <c r="A1978" s="330"/>
      <c r="B1978" s="314"/>
      <c r="C1978" s="285"/>
      <c r="D1978" s="108"/>
      <c r="E1978" s="285"/>
      <c r="F1978" s="285"/>
      <c r="G1978" s="35"/>
      <c r="H1978" s="104"/>
      <c r="I1978" s="35"/>
      <c r="J1978" s="74"/>
      <c r="K1978" s="74"/>
      <c r="L1978" s="74"/>
      <c r="M1978" s="74"/>
      <c r="N1978" s="74"/>
      <c r="O1978" s="74"/>
      <c r="P1978" s="74"/>
      <c r="Q1978" s="74"/>
      <c r="R1978" s="74"/>
      <c r="S1978" s="74"/>
      <c r="T1978" s="74"/>
      <c r="U1978" s="74"/>
      <c r="V1978" s="74"/>
      <c r="W1978" s="74"/>
      <c r="X1978" s="74"/>
      <c r="Y1978" s="74"/>
      <c r="Z1978" s="74"/>
      <c r="AA1978" s="74"/>
      <c r="AB1978" s="74"/>
    </row>
    <row r="1979" spans="1:28" ht="12" customHeight="1">
      <c r="A1979" s="330"/>
      <c r="B1979" s="314"/>
      <c r="C1979" s="285"/>
      <c r="D1979" s="108"/>
      <c r="E1979" s="285"/>
      <c r="F1979" s="285"/>
      <c r="G1979" s="35"/>
      <c r="H1979" s="104"/>
      <c r="I1979" s="35"/>
      <c r="J1979" s="74"/>
      <c r="K1979" s="74"/>
      <c r="L1979" s="74"/>
      <c r="M1979" s="74"/>
      <c r="N1979" s="74"/>
      <c r="O1979" s="74"/>
      <c r="P1979" s="74"/>
      <c r="Q1979" s="74"/>
      <c r="R1979" s="74"/>
      <c r="S1979" s="74"/>
      <c r="T1979" s="74"/>
      <c r="U1979" s="74"/>
      <c r="V1979" s="74"/>
      <c r="W1979" s="74"/>
      <c r="X1979" s="74"/>
      <c r="Y1979" s="74"/>
      <c r="Z1979" s="74"/>
      <c r="AA1979" s="74"/>
      <c r="AB1979" s="74"/>
    </row>
    <row r="1980" spans="1:28" ht="12" customHeight="1">
      <c r="A1980" s="330"/>
      <c r="B1980" s="314"/>
      <c r="C1980" s="285"/>
      <c r="D1980" s="108"/>
      <c r="E1980" s="285"/>
      <c r="F1980" s="285"/>
      <c r="G1980" s="35"/>
      <c r="H1980" s="104"/>
      <c r="I1980" s="35"/>
      <c r="J1980" s="74"/>
      <c r="K1980" s="74"/>
      <c r="L1980" s="74"/>
      <c r="M1980" s="74"/>
      <c r="N1980" s="74"/>
      <c r="O1980" s="74"/>
      <c r="P1980" s="74"/>
      <c r="Q1980" s="74"/>
      <c r="R1980" s="74"/>
      <c r="S1980" s="74"/>
      <c r="T1980" s="74"/>
      <c r="U1980" s="74"/>
      <c r="V1980" s="74"/>
      <c r="W1980" s="74"/>
      <c r="X1980" s="74"/>
      <c r="Y1980" s="74"/>
      <c r="Z1980" s="74"/>
      <c r="AA1980" s="74"/>
      <c r="AB1980" s="74"/>
    </row>
    <row r="1981" spans="1:28" ht="12" customHeight="1">
      <c r="A1981" s="330"/>
      <c r="B1981" s="314"/>
      <c r="C1981" s="285"/>
      <c r="D1981" s="108"/>
      <c r="E1981" s="285"/>
      <c r="F1981" s="285"/>
      <c r="G1981" s="35"/>
      <c r="H1981" s="104"/>
      <c r="I1981" s="35"/>
      <c r="J1981" s="74"/>
      <c r="K1981" s="74"/>
      <c r="L1981" s="74"/>
      <c r="M1981" s="74"/>
      <c r="N1981" s="74"/>
      <c r="O1981" s="74"/>
      <c r="P1981" s="74"/>
      <c r="Q1981" s="74"/>
      <c r="R1981" s="74"/>
      <c r="S1981" s="74"/>
      <c r="T1981" s="74"/>
      <c r="U1981" s="74"/>
      <c r="V1981" s="74"/>
      <c r="W1981" s="74"/>
      <c r="X1981" s="74"/>
      <c r="Y1981" s="74"/>
      <c r="Z1981" s="74"/>
      <c r="AA1981" s="74"/>
      <c r="AB1981" s="74"/>
    </row>
    <row r="1982" spans="1:28" ht="12" customHeight="1">
      <c r="A1982" s="330"/>
      <c r="B1982" s="314"/>
      <c r="C1982" s="285"/>
      <c r="D1982" s="108"/>
      <c r="E1982" s="285"/>
      <c r="F1982" s="285"/>
      <c r="G1982" s="35"/>
      <c r="H1982" s="104"/>
      <c r="I1982" s="35"/>
      <c r="J1982" s="74"/>
      <c r="K1982" s="74"/>
      <c r="L1982" s="74"/>
      <c r="M1982" s="74"/>
      <c r="N1982" s="74"/>
      <c r="O1982" s="74"/>
      <c r="P1982" s="74"/>
      <c r="Q1982" s="74"/>
      <c r="R1982" s="74"/>
      <c r="S1982" s="74"/>
      <c r="T1982" s="74"/>
      <c r="U1982" s="74"/>
      <c r="V1982" s="74"/>
      <c r="W1982" s="74"/>
      <c r="X1982" s="74"/>
      <c r="Y1982" s="74"/>
      <c r="Z1982" s="74"/>
      <c r="AA1982" s="74"/>
      <c r="AB1982" s="74"/>
    </row>
    <row r="1983" spans="1:28" ht="12" customHeight="1">
      <c r="A1983" s="330"/>
      <c r="B1983" s="314"/>
      <c r="C1983" s="285"/>
      <c r="D1983" s="108"/>
      <c r="E1983" s="285"/>
      <c r="F1983" s="285"/>
      <c r="G1983" s="35"/>
      <c r="H1983" s="104"/>
      <c r="I1983" s="35"/>
      <c r="J1983" s="74"/>
      <c r="K1983" s="74"/>
      <c r="L1983" s="74"/>
      <c r="M1983" s="74"/>
      <c r="N1983" s="74"/>
      <c r="O1983" s="74"/>
      <c r="P1983" s="74"/>
      <c r="Q1983" s="74"/>
      <c r="R1983" s="74"/>
      <c r="S1983" s="74"/>
      <c r="T1983" s="74"/>
      <c r="U1983" s="74"/>
      <c r="V1983" s="74"/>
      <c r="W1983" s="74"/>
      <c r="X1983" s="74"/>
      <c r="Y1983" s="74"/>
      <c r="Z1983" s="74"/>
      <c r="AA1983" s="74"/>
      <c r="AB1983" s="74"/>
    </row>
    <row r="1984" spans="1:28" ht="12" customHeight="1">
      <c r="A1984" s="330"/>
      <c r="B1984" s="314"/>
      <c r="C1984" s="285"/>
      <c r="D1984" s="108"/>
      <c r="E1984" s="285"/>
      <c r="F1984" s="285"/>
      <c r="G1984" s="35"/>
      <c r="H1984" s="104"/>
      <c r="I1984" s="35"/>
      <c r="J1984" s="74"/>
      <c r="K1984" s="74"/>
      <c r="L1984" s="74"/>
      <c r="M1984" s="74"/>
      <c r="N1984" s="74"/>
      <c r="O1984" s="74"/>
      <c r="P1984" s="74"/>
      <c r="Q1984" s="74"/>
      <c r="R1984" s="74"/>
      <c r="S1984" s="74"/>
      <c r="T1984" s="74"/>
      <c r="U1984" s="74"/>
      <c r="V1984" s="74"/>
      <c r="W1984" s="74"/>
      <c r="X1984" s="74"/>
      <c r="Y1984" s="74"/>
      <c r="Z1984" s="74"/>
      <c r="AA1984" s="74"/>
      <c r="AB1984" s="74"/>
    </row>
    <row r="1985" spans="1:28" ht="12" customHeight="1">
      <c r="A1985" s="330"/>
      <c r="B1985" s="314"/>
      <c r="C1985" s="285"/>
      <c r="D1985" s="108"/>
      <c r="E1985" s="285"/>
      <c r="F1985" s="285"/>
      <c r="G1985" s="35"/>
      <c r="H1985" s="104"/>
      <c r="I1985" s="35"/>
      <c r="J1985" s="74"/>
      <c r="K1985" s="74"/>
      <c r="L1985" s="74"/>
      <c r="M1985" s="74"/>
      <c r="N1985" s="74"/>
      <c r="O1985" s="74"/>
      <c r="P1985" s="74"/>
      <c r="Q1985" s="74"/>
      <c r="R1985" s="74"/>
      <c r="S1985" s="74"/>
      <c r="T1985" s="74"/>
      <c r="U1985" s="74"/>
      <c r="V1985" s="74"/>
      <c r="W1985" s="74"/>
      <c r="X1985" s="74"/>
      <c r="Y1985" s="74"/>
      <c r="Z1985" s="74"/>
      <c r="AA1985" s="74"/>
      <c r="AB1985" s="74"/>
    </row>
    <row r="1986" spans="1:28" ht="12" customHeight="1">
      <c r="A1986" s="330"/>
      <c r="B1986" s="314"/>
      <c r="C1986" s="285"/>
      <c r="D1986" s="108"/>
      <c r="E1986" s="285"/>
      <c r="F1986" s="285"/>
      <c r="G1986" s="35"/>
      <c r="H1986" s="104"/>
      <c r="I1986" s="35"/>
      <c r="J1986" s="74"/>
      <c r="K1986" s="74"/>
      <c r="L1986" s="74"/>
      <c r="M1986" s="74"/>
      <c r="N1986" s="74"/>
      <c r="O1986" s="74"/>
      <c r="P1986" s="74"/>
      <c r="Q1986" s="74"/>
      <c r="R1986" s="74"/>
      <c r="S1986" s="74"/>
      <c r="T1986" s="74"/>
      <c r="U1986" s="74"/>
      <c r="V1986" s="74"/>
      <c r="W1986" s="74"/>
      <c r="X1986" s="74"/>
      <c r="Y1986" s="74"/>
      <c r="Z1986" s="74"/>
      <c r="AA1986" s="74"/>
      <c r="AB1986" s="74"/>
    </row>
    <row r="1987" spans="1:28" ht="12" customHeight="1">
      <c r="A1987" s="330"/>
      <c r="B1987" s="314"/>
      <c r="C1987" s="285"/>
      <c r="D1987" s="108"/>
      <c r="E1987" s="285"/>
      <c r="F1987" s="285"/>
      <c r="G1987" s="35"/>
      <c r="H1987" s="104"/>
      <c r="I1987" s="35"/>
      <c r="J1987" s="74"/>
      <c r="K1987" s="74"/>
      <c r="L1987" s="74"/>
      <c r="M1987" s="74"/>
      <c r="N1987" s="74"/>
      <c r="O1987" s="74"/>
      <c r="P1987" s="74"/>
      <c r="Q1987" s="74"/>
      <c r="R1987" s="74"/>
      <c r="S1987" s="74"/>
      <c r="T1987" s="74"/>
      <c r="U1987" s="74"/>
      <c r="V1987" s="74"/>
      <c r="W1987" s="74"/>
      <c r="X1987" s="74"/>
      <c r="Y1987" s="74"/>
      <c r="Z1987" s="74"/>
      <c r="AA1987" s="74"/>
      <c r="AB1987" s="74"/>
    </row>
    <row r="1988" spans="1:28" ht="12" customHeight="1">
      <c r="A1988" s="330"/>
      <c r="B1988" s="314"/>
      <c r="C1988" s="285"/>
      <c r="D1988" s="108"/>
      <c r="E1988" s="285"/>
      <c r="F1988" s="285"/>
      <c r="G1988" s="35"/>
      <c r="H1988" s="104"/>
      <c r="I1988" s="35"/>
      <c r="J1988" s="74"/>
      <c r="K1988" s="74"/>
      <c r="L1988" s="74"/>
      <c r="M1988" s="74"/>
      <c r="N1988" s="74"/>
      <c r="O1988" s="74"/>
      <c r="P1988" s="74"/>
      <c r="Q1988" s="74"/>
      <c r="R1988" s="74"/>
      <c r="S1988" s="74"/>
      <c r="T1988" s="74"/>
      <c r="U1988" s="74"/>
      <c r="V1988" s="74"/>
      <c r="W1988" s="74"/>
      <c r="X1988" s="74"/>
      <c r="Y1988" s="74"/>
      <c r="Z1988" s="74"/>
      <c r="AA1988" s="74"/>
      <c r="AB1988" s="74"/>
    </row>
    <row r="1989" spans="1:28" ht="12" customHeight="1">
      <c r="A1989" s="330"/>
      <c r="B1989" s="314"/>
      <c r="C1989" s="285"/>
      <c r="D1989" s="108"/>
      <c r="E1989" s="285"/>
      <c r="F1989" s="285"/>
      <c r="G1989" s="35"/>
      <c r="H1989" s="104"/>
      <c r="I1989" s="35"/>
      <c r="J1989" s="74"/>
      <c r="K1989" s="74"/>
      <c r="L1989" s="74"/>
      <c r="M1989" s="74"/>
      <c r="N1989" s="74"/>
      <c r="O1989" s="74"/>
      <c r="P1989" s="74"/>
      <c r="Q1989" s="74"/>
      <c r="R1989" s="74"/>
      <c r="S1989" s="74"/>
      <c r="T1989" s="74"/>
      <c r="U1989" s="74"/>
      <c r="V1989" s="74"/>
      <c r="W1989" s="74"/>
      <c r="X1989" s="74"/>
      <c r="Y1989" s="74"/>
      <c r="Z1989" s="74"/>
      <c r="AA1989" s="74"/>
      <c r="AB1989" s="74"/>
    </row>
    <row r="1990" spans="1:28" ht="12" customHeight="1">
      <c r="A1990" s="330"/>
      <c r="B1990" s="314"/>
      <c r="C1990" s="285"/>
      <c r="D1990" s="108"/>
      <c r="E1990" s="285"/>
      <c r="F1990" s="285"/>
      <c r="G1990" s="35"/>
      <c r="H1990" s="104"/>
      <c r="I1990" s="35"/>
      <c r="J1990" s="74"/>
      <c r="K1990" s="74"/>
      <c r="L1990" s="74"/>
      <c r="M1990" s="74"/>
      <c r="N1990" s="74"/>
      <c r="O1990" s="74"/>
      <c r="P1990" s="74"/>
      <c r="Q1990" s="74"/>
      <c r="R1990" s="74"/>
      <c r="S1990" s="74"/>
      <c r="T1990" s="74"/>
      <c r="U1990" s="74"/>
      <c r="V1990" s="74"/>
      <c r="W1990" s="74"/>
      <c r="X1990" s="74"/>
      <c r="Y1990" s="74"/>
      <c r="Z1990" s="74"/>
      <c r="AA1990" s="74"/>
      <c r="AB1990" s="74"/>
    </row>
    <row r="1991" spans="1:28" ht="12" customHeight="1">
      <c r="A1991" s="330"/>
      <c r="B1991" s="314"/>
      <c r="C1991" s="285"/>
      <c r="D1991" s="108"/>
      <c r="E1991" s="285"/>
      <c r="F1991" s="285"/>
      <c r="G1991" s="35"/>
      <c r="H1991" s="104"/>
      <c r="I1991" s="35"/>
      <c r="J1991" s="74"/>
      <c r="K1991" s="74"/>
      <c r="L1991" s="74"/>
      <c r="M1991" s="74"/>
      <c r="N1991" s="74"/>
      <c r="O1991" s="74"/>
      <c r="P1991" s="74"/>
      <c r="Q1991" s="74"/>
      <c r="R1991" s="74"/>
      <c r="S1991" s="74"/>
      <c r="T1991" s="74"/>
      <c r="U1991" s="74"/>
      <c r="V1991" s="74"/>
      <c r="W1991" s="74"/>
      <c r="X1991" s="74"/>
      <c r="Y1991" s="74"/>
      <c r="Z1991" s="74"/>
      <c r="AA1991" s="74"/>
      <c r="AB1991" s="74"/>
    </row>
    <row r="1992" spans="1:28" ht="12" customHeight="1">
      <c r="A1992" s="330"/>
      <c r="B1992" s="314"/>
      <c r="C1992" s="285"/>
      <c r="D1992" s="108"/>
      <c r="E1992" s="285"/>
      <c r="F1992" s="285"/>
      <c r="G1992" s="35"/>
      <c r="H1992" s="104"/>
      <c r="I1992" s="35"/>
      <c r="J1992" s="74"/>
      <c r="K1992" s="74"/>
      <c r="L1992" s="74"/>
      <c r="M1992" s="74"/>
      <c r="N1992" s="74"/>
      <c r="O1992" s="74"/>
      <c r="P1992" s="74"/>
      <c r="Q1992" s="74"/>
      <c r="R1992" s="74"/>
      <c r="S1992" s="74"/>
      <c r="T1992" s="74"/>
      <c r="U1992" s="74"/>
      <c r="V1992" s="74"/>
      <c r="W1992" s="74"/>
      <c r="X1992" s="74"/>
      <c r="Y1992" s="74"/>
      <c r="Z1992" s="74"/>
      <c r="AA1992" s="74"/>
      <c r="AB1992" s="74"/>
    </row>
    <row r="1993" spans="1:28" ht="12" customHeight="1">
      <c r="A1993" s="330"/>
      <c r="B1993" s="314"/>
      <c r="C1993" s="285"/>
      <c r="D1993" s="108"/>
      <c r="E1993" s="285"/>
      <c r="F1993" s="285"/>
      <c r="G1993" s="35"/>
      <c r="H1993" s="104"/>
      <c r="I1993" s="35"/>
      <c r="J1993" s="74"/>
      <c r="K1993" s="74"/>
      <c r="L1993" s="74"/>
      <c r="M1993" s="74"/>
      <c r="N1993" s="74"/>
      <c r="O1993" s="74"/>
      <c r="P1993" s="74"/>
      <c r="Q1993" s="74"/>
      <c r="R1993" s="74"/>
      <c r="S1993" s="74"/>
      <c r="T1993" s="74"/>
      <c r="U1993" s="74"/>
      <c r="V1993" s="74"/>
      <c r="W1993" s="74"/>
      <c r="X1993" s="74"/>
      <c r="Y1993" s="74"/>
      <c r="Z1993" s="74"/>
      <c r="AA1993" s="74"/>
      <c r="AB1993" s="74"/>
    </row>
    <row r="1994" spans="1:28" ht="12" customHeight="1">
      <c r="A1994" s="330"/>
      <c r="B1994" s="314"/>
      <c r="C1994" s="285"/>
      <c r="D1994" s="108"/>
      <c r="E1994" s="285"/>
      <c r="F1994" s="285"/>
      <c r="G1994" s="35"/>
      <c r="H1994" s="104"/>
      <c r="I1994" s="35"/>
      <c r="J1994" s="74"/>
      <c r="K1994" s="74"/>
      <c r="L1994" s="74"/>
      <c r="M1994" s="74"/>
      <c r="N1994" s="74"/>
      <c r="O1994" s="74"/>
      <c r="P1994" s="74"/>
      <c r="Q1994" s="74"/>
      <c r="R1994" s="74"/>
      <c r="S1994" s="74"/>
      <c r="T1994" s="74"/>
      <c r="U1994" s="74"/>
      <c r="V1994" s="74"/>
      <c r="W1994" s="74"/>
      <c r="X1994" s="74"/>
      <c r="Y1994" s="74"/>
      <c r="Z1994" s="74"/>
      <c r="AA1994" s="74"/>
      <c r="AB1994" s="74"/>
    </row>
    <row r="1995" spans="1:28" ht="12" customHeight="1">
      <c r="A1995" s="330"/>
      <c r="B1995" s="314"/>
      <c r="C1995" s="285"/>
      <c r="D1995" s="108"/>
      <c r="E1995" s="285"/>
      <c r="F1995" s="285"/>
      <c r="G1995" s="35"/>
      <c r="H1995" s="104"/>
      <c r="I1995" s="35"/>
      <c r="J1995" s="74"/>
      <c r="K1995" s="74"/>
      <c r="L1995" s="74"/>
      <c r="M1995" s="74"/>
      <c r="N1995" s="74"/>
      <c r="O1995" s="74"/>
      <c r="P1995" s="74"/>
      <c r="Q1995" s="74"/>
      <c r="R1995" s="74"/>
      <c r="S1995" s="74"/>
      <c r="T1995" s="74"/>
      <c r="U1995" s="74"/>
      <c r="V1995" s="74"/>
      <c r="W1995" s="74"/>
      <c r="X1995" s="74"/>
      <c r="Y1995" s="74"/>
      <c r="Z1995" s="74"/>
      <c r="AA1995" s="74"/>
      <c r="AB1995" s="74"/>
    </row>
    <row r="1996" spans="1:28" ht="12" customHeight="1">
      <c r="A1996" s="330"/>
      <c r="B1996" s="314"/>
      <c r="C1996" s="285"/>
      <c r="D1996" s="108"/>
      <c r="E1996" s="285"/>
      <c r="F1996" s="285"/>
      <c r="G1996" s="35"/>
      <c r="H1996" s="104"/>
      <c r="I1996" s="35"/>
      <c r="J1996" s="74"/>
      <c r="K1996" s="74"/>
      <c r="L1996" s="74"/>
      <c r="M1996" s="74"/>
      <c r="N1996" s="74"/>
      <c r="O1996" s="74"/>
      <c r="P1996" s="74"/>
      <c r="Q1996" s="74"/>
      <c r="R1996" s="74"/>
      <c r="S1996" s="74"/>
      <c r="T1996" s="74"/>
      <c r="U1996" s="74"/>
      <c r="V1996" s="74"/>
      <c r="W1996" s="74"/>
      <c r="X1996" s="74"/>
      <c r="Y1996" s="74"/>
      <c r="Z1996" s="74"/>
      <c r="AA1996" s="74"/>
      <c r="AB1996" s="74"/>
    </row>
    <row r="1997" spans="1:28" ht="12" customHeight="1">
      <c r="A1997" s="330"/>
      <c r="B1997" s="314"/>
      <c r="C1997" s="285"/>
      <c r="D1997" s="108"/>
      <c r="E1997" s="285"/>
      <c r="F1997" s="285"/>
      <c r="G1997" s="35"/>
      <c r="H1997" s="104"/>
      <c r="I1997" s="35"/>
      <c r="J1997" s="74"/>
      <c r="K1997" s="74"/>
      <c r="L1997" s="74"/>
      <c r="M1997" s="74"/>
      <c r="N1997" s="74"/>
      <c r="O1997" s="74"/>
      <c r="P1997" s="74"/>
      <c r="Q1997" s="74"/>
      <c r="R1997" s="74"/>
      <c r="S1997" s="74"/>
      <c r="T1997" s="74"/>
      <c r="U1997" s="74"/>
      <c r="V1997" s="74"/>
      <c r="W1997" s="74"/>
      <c r="X1997" s="74"/>
      <c r="Y1997" s="74"/>
      <c r="Z1997" s="74"/>
      <c r="AA1997" s="74"/>
      <c r="AB1997" s="74"/>
    </row>
    <row r="1998" spans="1:28" ht="12" customHeight="1">
      <c r="A1998" s="330"/>
      <c r="B1998" s="314"/>
      <c r="C1998" s="285"/>
      <c r="D1998" s="108"/>
      <c r="E1998" s="285"/>
      <c r="F1998" s="285"/>
      <c r="G1998" s="35"/>
      <c r="H1998" s="104"/>
      <c r="I1998" s="35"/>
      <c r="J1998" s="74"/>
      <c r="K1998" s="74"/>
      <c r="L1998" s="74"/>
      <c r="M1998" s="74"/>
      <c r="N1998" s="74"/>
      <c r="O1998" s="74"/>
      <c r="P1998" s="74"/>
      <c r="Q1998" s="74"/>
      <c r="R1998" s="74"/>
      <c r="S1998" s="74"/>
      <c r="T1998" s="74"/>
      <c r="U1998" s="74"/>
      <c r="V1998" s="74"/>
      <c r="W1998" s="74"/>
      <c r="X1998" s="74"/>
      <c r="Y1998" s="74"/>
      <c r="Z1998" s="74"/>
      <c r="AA1998" s="74"/>
      <c r="AB1998" s="74"/>
    </row>
    <row r="1999" spans="1:28" ht="12" customHeight="1">
      <c r="A1999" s="330"/>
      <c r="B1999" s="314"/>
      <c r="C1999" s="285"/>
      <c r="D1999" s="108"/>
      <c r="E1999" s="285"/>
      <c r="F1999" s="285"/>
      <c r="G1999" s="35"/>
      <c r="H1999" s="104"/>
      <c r="I1999" s="35"/>
      <c r="J1999" s="74"/>
      <c r="K1999" s="74"/>
      <c r="L1999" s="74"/>
      <c r="M1999" s="74"/>
      <c r="N1999" s="74"/>
      <c r="O1999" s="74"/>
      <c r="P1999" s="74"/>
      <c r="Q1999" s="74"/>
      <c r="R1999" s="74"/>
      <c r="S1999" s="74"/>
      <c r="T1999" s="74"/>
      <c r="U1999" s="74"/>
      <c r="V1999" s="74"/>
      <c r="W1999" s="74"/>
      <c r="X1999" s="74"/>
      <c r="Y1999" s="74"/>
      <c r="Z1999" s="74"/>
      <c r="AA1999" s="74"/>
      <c r="AB1999" s="74"/>
    </row>
    <row r="2000" spans="1:28" ht="12" customHeight="1">
      <c r="A2000" s="330"/>
      <c r="B2000" s="314"/>
      <c r="C2000" s="285"/>
      <c r="D2000" s="108"/>
      <c r="E2000" s="285"/>
      <c r="F2000" s="285"/>
      <c r="G2000" s="35"/>
      <c r="H2000" s="104"/>
      <c r="I2000" s="35"/>
      <c r="J2000" s="74"/>
      <c r="K2000" s="74"/>
      <c r="L2000" s="74"/>
      <c r="M2000" s="74"/>
      <c r="N2000" s="74"/>
      <c r="O2000" s="74"/>
      <c r="P2000" s="74"/>
      <c r="Q2000" s="74"/>
      <c r="R2000" s="74"/>
      <c r="S2000" s="74"/>
      <c r="T2000" s="74"/>
      <c r="U2000" s="74"/>
      <c r="V2000" s="74"/>
      <c r="W2000" s="74"/>
      <c r="X2000" s="74"/>
      <c r="Y2000" s="74"/>
      <c r="Z2000" s="74"/>
      <c r="AA2000" s="74"/>
      <c r="AB2000" s="74"/>
    </row>
    <row r="2001" spans="1:28" ht="12" customHeight="1">
      <c r="A2001" s="330"/>
      <c r="B2001" s="314"/>
      <c r="C2001" s="285"/>
      <c r="D2001" s="108"/>
      <c r="E2001" s="285"/>
      <c r="F2001" s="285"/>
      <c r="G2001" s="35"/>
      <c r="H2001" s="104"/>
      <c r="I2001" s="35"/>
      <c r="J2001" s="74"/>
      <c r="K2001" s="74"/>
      <c r="L2001" s="74"/>
      <c r="M2001" s="74"/>
      <c r="N2001" s="74"/>
      <c r="O2001" s="74"/>
      <c r="P2001" s="74"/>
      <c r="Q2001" s="74"/>
      <c r="R2001" s="74"/>
      <c r="S2001" s="74"/>
      <c r="T2001" s="74"/>
      <c r="U2001" s="74"/>
      <c r="V2001" s="74"/>
      <c r="W2001" s="74"/>
      <c r="X2001" s="74"/>
      <c r="Y2001" s="74"/>
      <c r="Z2001" s="74"/>
      <c r="AA2001" s="74"/>
      <c r="AB2001" s="74"/>
    </row>
    <row r="2002" spans="1:28" ht="12" customHeight="1">
      <c r="A2002" s="330"/>
      <c r="B2002" s="314"/>
      <c r="C2002" s="285"/>
      <c r="D2002" s="108"/>
      <c r="E2002" s="285"/>
      <c r="F2002" s="285"/>
      <c r="G2002" s="35"/>
      <c r="H2002" s="104"/>
      <c r="I2002" s="35"/>
      <c r="J2002" s="74"/>
      <c r="K2002" s="74"/>
      <c r="L2002" s="74"/>
      <c r="M2002" s="74"/>
      <c r="N2002" s="74"/>
      <c r="O2002" s="74"/>
      <c r="P2002" s="74"/>
      <c r="Q2002" s="74"/>
      <c r="R2002" s="74"/>
      <c r="S2002" s="74"/>
      <c r="T2002" s="74"/>
      <c r="U2002" s="74"/>
      <c r="V2002" s="74"/>
      <c r="W2002" s="74"/>
      <c r="X2002" s="74"/>
      <c r="Y2002" s="74"/>
      <c r="Z2002" s="74"/>
      <c r="AA2002" s="74"/>
      <c r="AB2002" s="74"/>
    </row>
    <row r="2003" spans="1:28" ht="12" customHeight="1">
      <c r="A2003" s="330"/>
      <c r="B2003" s="314"/>
      <c r="C2003" s="285"/>
      <c r="D2003" s="108"/>
      <c r="E2003" s="285"/>
      <c r="F2003" s="285"/>
      <c r="G2003" s="35"/>
      <c r="H2003" s="104"/>
      <c r="I2003" s="35"/>
      <c r="J2003" s="74"/>
      <c r="K2003" s="74"/>
      <c r="L2003" s="74"/>
      <c r="M2003" s="74"/>
      <c r="N2003" s="74"/>
      <c r="O2003" s="74"/>
      <c r="P2003" s="74"/>
      <c r="Q2003" s="74"/>
      <c r="R2003" s="74"/>
      <c r="S2003" s="74"/>
      <c r="T2003" s="74"/>
      <c r="U2003" s="74"/>
      <c r="V2003" s="74"/>
      <c r="W2003" s="74"/>
      <c r="X2003" s="74"/>
      <c r="Y2003" s="74"/>
      <c r="Z2003" s="74"/>
      <c r="AA2003" s="74"/>
      <c r="AB2003" s="74"/>
    </row>
    <row r="2004" spans="1:28" ht="12" customHeight="1">
      <c r="A2004" s="330"/>
      <c r="B2004" s="314"/>
      <c r="C2004" s="285"/>
      <c r="D2004" s="108"/>
      <c r="E2004" s="285"/>
      <c r="F2004" s="285"/>
      <c r="G2004" s="35"/>
      <c r="H2004" s="104"/>
      <c r="I2004" s="35"/>
      <c r="J2004" s="74"/>
      <c r="K2004" s="74"/>
      <c r="L2004" s="74"/>
      <c r="M2004" s="74"/>
      <c r="N2004" s="74"/>
      <c r="O2004" s="74"/>
      <c r="P2004" s="74"/>
      <c r="Q2004" s="74"/>
      <c r="R2004" s="74"/>
      <c r="S2004" s="74"/>
      <c r="T2004" s="74"/>
      <c r="U2004" s="74"/>
      <c r="V2004" s="74"/>
      <c r="W2004" s="74"/>
      <c r="X2004" s="74"/>
      <c r="Y2004" s="74"/>
      <c r="Z2004" s="74"/>
      <c r="AA2004" s="74"/>
      <c r="AB2004" s="74"/>
    </row>
    <row r="2005" spans="1:28" ht="12" customHeight="1">
      <c r="A2005" s="330"/>
      <c r="B2005" s="314"/>
      <c r="C2005" s="285"/>
      <c r="D2005" s="108"/>
      <c r="E2005" s="285"/>
      <c r="F2005" s="285"/>
      <c r="G2005" s="35"/>
      <c r="H2005" s="104"/>
      <c r="I2005" s="35"/>
      <c r="J2005" s="74"/>
      <c r="K2005" s="74"/>
      <c r="L2005" s="74"/>
      <c r="M2005" s="74"/>
      <c r="N2005" s="74"/>
      <c r="O2005" s="74"/>
      <c r="P2005" s="74"/>
      <c r="Q2005" s="74"/>
      <c r="R2005" s="74"/>
      <c r="S2005" s="74"/>
      <c r="T2005" s="74"/>
      <c r="U2005" s="74"/>
      <c r="V2005" s="74"/>
      <c r="W2005" s="74"/>
      <c r="X2005" s="74"/>
      <c r="Y2005" s="74"/>
      <c r="Z2005" s="74"/>
      <c r="AA2005" s="74"/>
      <c r="AB2005" s="74"/>
    </row>
    <row r="2006" spans="1:28" ht="12" customHeight="1">
      <c r="A2006" s="330"/>
      <c r="B2006" s="314"/>
      <c r="C2006" s="285"/>
      <c r="D2006" s="108"/>
      <c r="E2006" s="285"/>
      <c r="F2006" s="285"/>
      <c r="G2006" s="35"/>
      <c r="H2006" s="104"/>
      <c r="I2006" s="35"/>
      <c r="J2006" s="74"/>
      <c r="K2006" s="74"/>
      <c r="L2006" s="74"/>
      <c r="M2006" s="74"/>
      <c r="N2006" s="74"/>
      <c r="O2006" s="74"/>
      <c r="P2006" s="74"/>
      <c r="Q2006" s="74"/>
      <c r="R2006" s="74"/>
      <c r="S2006" s="74"/>
      <c r="T2006" s="74"/>
      <c r="U2006" s="74"/>
      <c r="V2006" s="74"/>
      <c r="W2006" s="74"/>
      <c r="X2006" s="74"/>
      <c r="Y2006" s="74"/>
      <c r="Z2006" s="74"/>
      <c r="AA2006" s="74"/>
      <c r="AB2006" s="74"/>
    </row>
    <row r="2007" spans="1:28" ht="12" customHeight="1">
      <c r="A2007" s="330"/>
      <c r="B2007" s="314"/>
      <c r="C2007" s="285"/>
      <c r="D2007" s="108"/>
      <c r="E2007" s="285"/>
      <c r="F2007" s="285"/>
      <c r="G2007" s="35"/>
      <c r="H2007" s="104"/>
      <c r="I2007" s="35"/>
      <c r="J2007" s="74"/>
      <c r="K2007" s="74"/>
      <c r="L2007" s="74"/>
      <c r="M2007" s="74"/>
      <c r="N2007" s="74"/>
      <c r="O2007" s="74"/>
      <c r="P2007" s="74"/>
      <c r="Q2007" s="74"/>
      <c r="R2007" s="74"/>
      <c r="S2007" s="74"/>
      <c r="T2007" s="74"/>
      <c r="U2007" s="74"/>
      <c r="V2007" s="74"/>
      <c r="W2007" s="74"/>
      <c r="X2007" s="74"/>
      <c r="Y2007" s="74"/>
      <c r="Z2007" s="74"/>
      <c r="AA2007" s="74"/>
      <c r="AB2007" s="74"/>
    </row>
    <row r="2008" spans="1:28" ht="12" customHeight="1">
      <c r="A2008" s="330"/>
      <c r="B2008" s="314"/>
      <c r="C2008" s="285"/>
      <c r="D2008" s="108"/>
      <c r="E2008" s="285"/>
      <c r="F2008" s="285"/>
      <c r="G2008" s="35"/>
      <c r="H2008" s="104"/>
      <c r="I2008" s="35"/>
      <c r="J2008" s="74"/>
      <c r="K2008" s="74"/>
      <c r="L2008" s="74"/>
      <c r="M2008" s="74"/>
      <c r="N2008" s="74"/>
      <c r="O2008" s="74"/>
      <c r="P2008" s="74"/>
      <c r="Q2008" s="74"/>
      <c r="R2008" s="74"/>
      <c r="S2008" s="74"/>
      <c r="T2008" s="74"/>
      <c r="U2008" s="74"/>
      <c r="V2008" s="74"/>
      <c r="W2008" s="74"/>
      <c r="X2008" s="74"/>
      <c r="Y2008" s="74"/>
      <c r="Z2008" s="74"/>
      <c r="AA2008" s="74"/>
      <c r="AB2008" s="74"/>
    </row>
    <row r="2009" spans="1:28" ht="12" customHeight="1">
      <c r="A2009" s="330"/>
      <c r="B2009" s="314"/>
      <c r="C2009" s="285"/>
      <c r="D2009" s="108"/>
      <c r="E2009" s="285"/>
      <c r="F2009" s="285"/>
      <c r="G2009" s="35"/>
      <c r="H2009" s="104"/>
      <c r="I2009" s="35"/>
      <c r="J2009" s="74"/>
      <c r="K2009" s="74"/>
      <c r="L2009" s="74"/>
      <c r="M2009" s="74"/>
      <c r="N2009" s="74"/>
      <c r="O2009" s="74"/>
      <c r="P2009" s="74"/>
      <c r="Q2009" s="74"/>
      <c r="R2009" s="74"/>
      <c r="S2009" s="74"/>
      <c r="T2009" s="74"/>
      <c r="U2009" s="74"/>
      <c r="V2009" s="74"/>
      <c r="W2009" s="74"/>
      <c r="X2009" s="74"/>
      <c r="Y2009" s="74"/>
      <c r="Z2009" s="74"/>
      <c r="AA2009" s="74"/>
      <c r="AB2009" s="74"/>
    </row>
    <row r="2010" spans="1:28" ht="12" customHeight="1">
      <c r="A2010" s="330"/>
      <c r="B2010" s="314"/>
      <c r="C2010" s="285"/>
      <c r="D2010" s="108"/>
      <c r="E2010" s="285"/>
      <c r="F2010" s="285"/>
      <c r="G2010" s="35"/>
      <c r="H2010" s="104"/>
      <c r="I2010" s="35"/>
      <c r="J2010" s="74"/>
      <c r="K2010" s="74"/>
      <c r="L2010" s="74"/>
      <c r="M2010" s="74"/>
      <c r="N2010" s="74"/>
      <c r="O2010" s="74"/>
      <c r="P2010" s="74"/>
      <c r="Q2010" s="74"/>
      <c r="R2010" s="74"/>
      <c r="S2010" s="74"/>
      <c r="T2010" s="74"/>
      <c r="U2010" s="74"/>
      <c r="V2010" s="74"/>
      <c r="W2010" s="74"/>
      <c r="X2010" s="74"/>
      <c r="Y2010" s="74"/>
      <c r="Z2010" s="74"/>
      <c r="AA2010" s="74"/>
      <c r="AB2010" s="74"/>
    </row>
    <row r="2011" spans="1:28" ht="12" customHeight="1">
      <c r="A2011" s="330"/>
      <c r="B2011" s="314"/>
      <c r="C2011" s="285"/>
      <c r="D2011" s="108"/>
      <c r="E2011" s="285"/>
      <c r="F2011" s="285"/>
      <c r="G2011" s="35"/>
      <c r="H2011" s="104"/>
      <c r="I2011" s="35"/>
      <c r="J2011" s="74"/>
      <c r="K2011" s="74"/>
      <c r="L2011" s="74"/>
      <c r="M2011" s="74"/>
      <c r="N2011" s="74"/>
      <c r="O2011" s="74"/>
      <c r="P2011" s="74"/>
      <c r="Q2011" s="74"/>
      <c r="R2011" s="74"/>
      <c r="S2011" s="74"/>
      <c r="T2011" s="74"/>
      <c r="U2011" s="74"/>
      <c r="V2011" s="74"/>
      <c r="W2011" s="74"/>
      <c r="X2011" s="74"/>
      <c r="Y2011" s="74"/>
      <c r="Z2011" s="74"/>
      <c r="AA2011" s="74"/>
      <c r="AB2011" s="74"/>
    </row>
    <row r="2012" spans="1:28" ht="12" customHeight="1">
      <c r="A2012" s="330"/>
      <c r="B2012" s="314"/>
      <c r="C2012" s="285"/>
      <c r="D2012" s="108"/>
      <c r="E2012" s="285"/>
      <c r="F2012" s="285"/>
      <c r="G2012" s="35"/>
      <c r="H2012" s="104"/>
      <c r="I2012" s="35"/>
      <c r="J2012" s="74"/>
      <c r="K2012" s="74"/>
      <c r="L2012" s="74"/>
      <c r="M2012" s="74"/>
      <c r="N2012" s="74"/>
      <c r="O2012" s="74"/>
      <c r="P2012" s="74"/>
      <c r="Q2012" s="74"/>
      <c r="R2012" s="74"/>
      <c r="S2012" s="74"/>
      <c r="T2012" s="74"/>
      <c r="U2012" s="74"/>
      <c r="V2012" s="74"/>
      <c r="W2012" s="74"/>
      <c r="X2012" s="74"/>
      <c r="Y2012" s="74"/>
      <c r="Z2012" s="74"/>
      <c r="AA2012" s="74"/>
      <c r="AB2012" s="74"/>
    </row>
    <row r="2013" spans="1:28" ht="12" customHeight="1">
      <c r="A2013" s="330"/>
      <c r="B2013" s="314"/>
      <c r="C2013" s="285"/>
      <c r="D2013" s="108"/>
      <c r="E2013" s="285"/>
      <c r="F2013" s="285"/>
      <c r="G2013" s="35"/>
      <c r="H2013" s="104"/>
      <c r="I2013" s="35"/>
      <c r="J2013" s="74"/>
      <c r="K2013" s="74"/>
      <c r="L2013" s="74"/>
      <c r="M2013" s="74"/>
      <c r="N2013" s="74"/>
      <c r="O2013" s="74"/>
      <c r="P2013" s="74"/>
      <c r="Q2013" s="74"/>
      <c r="R2013" s="74"/>
      <c r="S2013" s="74"/>
      <c r="T2013" s="74"/>
      <c r="U2013" s="74"/>
      <c r="V2013" s="74"/>
      <c r="W2013" s="74"/>
      <c r="X2013" s="74"/>
      <c r="Y2013" s="74"/>
      <c r="Z2013" s="74"/>
      <c r="AA2013" s="74"/>
      <c r="AB2013" s="74"/>
    </row>
    <row r="2014" spans="1:28" ht="12" customHeight="1">
      <c r="A2014" s="330"/>
      <c r="B2014" s="314"/>
      <c r="C2014" s="285"/>
      <c r="D2014" s="108"/>
      <c r="E2014" s="285"/>
      <c r="F2014" s="285"/>
      <c r="G2014" s="35"/>
      <c r="H2014" s="104"/>
      <c r="I2014" s="35"/>
      <c r="J2014" s="74"/>
      <c r="K2014" s="74"/>
      <c r="L2014" s="74"/>
      <c r="M2014" s="74"/>
      <c r="N2014" s="74"/>
      <c r="O2014" s="74"/>
      <c r="P2014" s="74"/>
      <c r="Q2014" s="74"/>
      <c r="R2014" s="74"/>
      <c r="S2014" s="74"/>
      <c r="T2014" s="74"/>
      <c r="U2014" s="74"/>
      <c r="V2014" s="74"/>
      <c r="W2014" s="74"/>
      <c r="X2014" s="74"/>
      <c r="Y2014" s="74"/>
      <c r="Z2014" s="74"/>
      <c r="AA2014" s="74"/>
      <c r="AB2014" s="74"/>
    </row>
    <row r="2015" spans="1:28" ht="12" customHeight="1">
      <c r="A2015" s="330"/>
      <c r="B2015" s="314"/>
      <c r="C2015" s="285"/>
      <c r="D2015" s="108"/>
      <c r="E2015" s="285"/>
      <c r="F2015" s="285"/>
      <c r="G2015" s="35"/>
      <c r="H2015" s="104"/>
      <c r="I2015" s="35"/>
      <c r="J2015" s="74"/>
      <c r="K2015" s="74"/>
      <c r="L2015" s="74"/>
      <c r="M2015" s="74"/>
      <c r="N2015" s="74"/>
      <c r="O2015" s="74"/>
      <c r="P2015" s="74"/>
      <c r="Q2015" s="74"/>
      <c r="R2015" s="74"/>
      <c r="S2015" s="74"/>
      <c r="T2015" s="74"/>
      <c r="U2015" s="74"/>
      <c r="V2015" s="74"/>
      <c r="W2015" s="74"/>
      <c r="X2015" s="74"/>
      <c r="Y2015" s="74"/>
      <c r="Z2015" s="74"/>
      <c r="AA2015" s="74"/>
      <c r="AB2015" s="74"/>
    </row>
    <row r="2016" spans="1:28" ht="12" customHeight="1">
      <c r="A2016" s="330"/>
      <c r="B2016" s="314"/>
      <c r="C2016" s="285"/>
      <c r="D2016" s="108"/>
      <c r="E2016" s="285"/>
      <c r="F2016" s="285"/>
      <c r="G2016" s="35"/>
      <c r="H2016" s="104"/>
      <c r="I2016" s="35"/>
      <c r="J2016" s="74"/>
      <c r="K2016" s="74"/>
      <c r="L2016" s="74"/>
      <c r="M2016" s="74"/>
      <c r="N2016" s="74"/>
      <c r="O2016" s="74"/>
      <c r="P2016" s="74"/>
      <c r="Q2016" s="74"/>
      <c r="R2016" s="74"/>
      <c r="S2016" s="74"/>
      <c r="T2016" s="74"/>
      <c r="U2016" s="74"/>
      <c r="V2016" s="74"/>
      <c r="W2016" s="74"/>
      <c r="X2016" s="74"/>
      <c r="Y2016" s="74"/>
      <c r="Z2016" s="74"/>
      <c r="AA2016" s="74"/>
      <c r="AB2016" s="74"/>
    </row>
    <row r="2017" spans="1:28" ht="12" customHeight="1">
      <c r="A2017" s="330"/>
      <c r="B2017" s="314"/>
      <c r="C2017" s="285"/>
      <c r="D2017" s="108"/>
      <c r="E2017" s="285"/>
      <c r="F2017" s="285"/>
      <c r="G2017" s="35"/>
      <c r="H2017" s="104"/>
      <c r="I2017" s="35"/>
      <c r="J2017" s="74"/>
      <c r="K2017" s="74"/>
      <c r="L2017" s="74"/>
      <c r="M2017" s="74"/>
      <c r="N2017" s="74"/>
      <c r="O2017" s="74"/>
      <c r="P2017" s="74"/>
      <c r="Q2017" s="74"/>
      <c r="R2017" s="74"/>
      <c r="S2017" s="74"/>
      <c r="T2017" s="74"/>
      <c r="U2017" s="74"/>
      <c r="V2017" s="74"/>
      <c r="W2017" s="74"/>
      <c r="X2017" s="74"/>
      <c r="Y2017" s="74"/>
      <c r="Z2017" s="74"/>
      <c r="AA2017" s="74"/>
      <c r="AB2017" s="74"/>
    </row>
    <row r="2018" spans="1:28" ht="12" customHeight="1">
      <c r="A2018" s="330"/>
      <c r="B2018" s="314"/>
      <c r="C2018" s="285"/>
      <c r="D2018" s="108"/>
      <c r="E2018" s="285"/>
      <c r="F2018" s="285"/>
      <c r="G2018" s="35"/>
      <c r="H2018" s="104"/>
      <c r="I2018" s="35"/>
      <c r="J2018" s="74"/>
      <c r="K2018" s="74"/>
      <c r="L2018" s="74"/>
      <c r="M2018" s="74"/>
      <c r="N2018" s="74"/>
      <c r="O2018" s="74"/>
      <c r="P2018" s="74"/>
      <c r="Q2018" s="74"/>
      <c r="R2018" s="74"/>
      <c r="S2018" s="74"/>
      <c r="T2018" s="74"/>
      <c r="U2018" s="74"/>
      <c r="V2018" s="74"/>
      <c r="W2018" s="74"/>
      <c r="X2018" s="74"/>
      <c r="Y2018" s="74"/>
      <c r="Z2018" s="74"/>
      <c r="AA2018" s="74"/>
      <c r="AB2018" s="74"/>
    </row>
    <row r="2019" spans="1:28" ht="12" customHeight="1">
      <c r="A2019" s="330"/>
      <c r="B2019" s="314"/>
      <c r="C2019" s="285"/>
      <c r="D2019" s="108"/>
      <c r="E2019" s="285"/>
      <c r="F2019" s="285"/>
      <c r="G2019" s="35"/>
      <c r="H2019" s="104"/>
      <c r="I2019" s="35"/>
      <c r="J2019" s="74"/>
      <c r="K2019" s="74"/>
      <c r="L2019" s="74"/>
      <c r="M2019" s="74"/>
      <c r="N2019" s="74"/>
      <c r="O2019" s="74"/>
      <c r="P2019" s="74"/>
      <c r="Q2019" s="74"/>
      <c r="R2019" s="74"/>
      <c r="S2019" s="74"/>
      <c r="T2019" s="74"/>
      <c r="U2019" s="74"/>
      <c r="V2019" s="74"/>
      <c r="W2019" s="74"/>
      <c r="X2019" s="74"/>
      <c r="Y2019" s="74"/>
      <c r="Z2019" s="74"/>
      <c r="AA2019" s="74"/>
      <c r="AB2019" s="74"/>
    </row>
    <row r="2020" spans="1:28" ht="12" customHeight="1">
      <c r="A2020" s="330"/>
      <c r="B2020" s="314"/>
      <c r="C2020" s="285"/>
      <c r="D2020" s="108"/>
      <c r="E2020" s="285"/>
      <c r="F2020" s="285"/>
      <c r="G2020" s="35"/>
      <c r="H2020" s="104"/>
      <c r="I2020" s="35"/>
      <c r="J2020" s="74"/>
      <c r="K2020" s="74"/>
      <c r="L2020" s="74"/>
      <c r="M2020" s="74"/>
      <c r="N2020" s="74"/>
      <c r="O2020" s="74"/>
      <c r="P2020" s="74"/>
      <c r="Q2020" s="74"/>
      <c r="R2020" s="74"/>
      <c r="S2020" s="74"/>
      <c r="T2020" s="74"/>
      <c r="U2020" s="74"/>
      <c r="V2020" s="74"/>
      <c r="W2020" s="74"/>
      <c r="X2020" s="74"/>
      <c r="Y2020" s="74"/>
      <c r="Z2020" s="74"/>
      <c r="AA2020" s="74"/>
      <c r="AB2020" s="74"/>
    </row>
    <row r="2021" spans="1:28" ht="12" customHeight="1">
      <c r="A2021" s="330"/>
      <c r="B2021" s="314"/>
      <c r="C2021" s="285"/>
      <c r="D2021" s="108"/>
      <c r="E2021" s="285"/>
      <c r="F2021" s="285"/>
      <c r="G2021" s="35"/>
      <c r="H2021" s="104"/>
      <c r="I2021" s="35"/>
      <c r="J2021" s="74"/>
      <c r="K2021" s="74"/>
      <c r="L2021" s="74"/>
      <c r="M2021" s="74"/>
      <c r="N2021" s="74"/>
      <c r="O2021" s="74"/>
      <c r="P2021" s="74"/>
      <c r="Q2021" s="74"/>
      <c r="R2021" s="74"/>
      <c r="S2021" s="74"/>
      <c r="T2021" s="74"/>
      <c r="U2021" s="74"/>
      <c r="V2021" s="74"/>
      <c r="W2021" s="74"/>
      <c r="X2021" s="74"/>
      <c r="Y2021" s="74"/>
      <c r="Z2021" s="74"/>
      <c r="AA2021" s="74"/>
      <c r="AB2021" s="74"/>
    </row>
    <row r="2022" spans="1:28" ht="12" customHeight="1">
      <c r="A2022" s="330"/>
      <c r="B2022" s="314"/>
      <c r="C2022" s="285"/>
      <c r="D2022" s="108"/>
      <c r="E2022" s="285"/>
      <c r="F2022" s="285"/>
      <c r="G2022" s="35"/>
      <c r="H2022" s="104"/>
      <c r="I2022" s="35"/>
      <c r="J2022" s="74"/>
      <c r="K2022" s="74"/>
      <c r="L2022" s="74"/>
      <c r="M2022" s="74"/>
      <c r="N2022" s="74"/>
      <c r="O2022" s="74"/>
      <c r="P2022" s="74"/>
      <c r="Q2022" s="74"/>
      <c r="R2022" s="74"/>
      <c r="S2022" s="74"/>
      <c r="T2022" s="74"/>
      <c r="U2022" s="74"/>
      <c r="V2022" s="74"/>
      <c r="W2022" s="74"/>
      <c r="X2022" s="74"/>
      <c r="Y2022" s="74"/>
      <c r="Z2022" s="74"/>
      <c r="AA2022" s="74"/>
      <c r="AB2022" s="74"/>
    </row>
    <row r="2023" spans="1:28" ht="12" customHeight="1">
      <c r="A2023" s="330"/>
      <c r="B2023" s="314"/>
      <c r="C2023" s="285"/>
      <c r="D2023" s="108"/>
      <c r="E2023" s="285"/>
      <c r="F2023" s="285"/>
      <c r="G2023" s="35"/>
      <c r="H2023" s="104"/>
      <c r="I2023" s="35"/>
      <c r="J2023" s="74"/>
      <c r="K2023" s="74"/>
      <c r="L2023" s="74"/>
      <c r="M2023" s="74"/>
      <c r="N2023" s="74"/>
      <c r="O2023" s="74"/>
      <c r="P2023" s="74"/>
      <c r="Q2023" s="74"/>
      <c r="R2023" s="74"/>
      <c r="S2023" s="74"/>
      <c r="T2023" s="74"/>
      <c r="U2023" s="74"/>
      <c r="V2023" s="74"/>
      <c r="W2023" s="74"/>
      <c r="X2023" s="74"/>
      <c r="Y2023" s="74"/>
      <c r="Z2023" s="74"/>
      <c r="AA2023" s="74"/>
      <c r="AB2023" s="74"/>
    </row>
    <row r="2024" spans="1:28" ht="12" customHeight="1">
      <c r="A2024" s="330"/>
      <c r="B2024" s="314"/>
      <c r="C2024" s="285"/>
      <c r="D2024" s="108"/>
      <c r="E2024" s="285"/>
      <c r="F2024" s="285"/>
      <c r="G2024" s="35"/>
      <c r="H2024" s="104"/>
      <c r="I2024" s="35"/>
      <c r="J2024" s="74"/>
      <c r="K2024" s="74"/>
      <c r="L2024" s="74"/>
      <c r="M2024" s="74"/>
      <c r="N2024" s="74"/>
      <c r="O2024" s="74"/>
      <c r="P2024" s="74"/>
      <c r="Q2024" s="74"/>
      <c r="R2024" s="74"/>
      <c r="S2024" s="74"/>
      <c r="T2024" s="74"/>
      <c r="U2024" s="74"/>
      <c r="V2024" s="74"/>
      <c r="W2024" s="74"/>
      <c r="X2024" s="74"/>
      <c r="Y2024" s="74"/>
      <c r="Z2024" s="74"/>
      <c r="AA2024" s="74"/>
      <c r="AB2024" s="74"/>
    </row>
    <row r="2025" spans="1:28" ht="12" customHeight="1">
      <c r="A2025" s="330"/>
      <c r="B2025" s="314"/>
      <c r="C2025" s="285"/>
      <c r="D2025" s="108"/>
      <c r="E2025" s="285"/>
      <c r="F2025" s="285"/>
      <c r="G2025" s="35"/>
      <c r="H2025" s="104"/>
      <c r="I2025" s="35"/>
      <c r="J2025" s="74"/>
      <c r="K2025" s="74"/>
      <c r="L2025" s="74"/>
      <c r="M2025" s="74"/>
      <c r="N2025" s="74"/>
      <c r="O2025" s="74"/>
      <c r="P2025" s="74"/>
      <c r="Q2025" s="74"/>
      <c r="R2025" s="74"/>
      <c r="S2025" s="74"/>
      <c r="T2025" s="74"/>
      <c r="U2025" s="74"/>
      <c r="V2025" s="74"/>
      <c r="W2025" s="74"/>
      <c r="X2025" s="74"/>
      <c r="Y2025" s="74"/>
      <c r="Z2025" s="74"/>
      <c r="AA2025" s="74"/>
      <c r="AB2025" s="74"/>
    </row>
    <row r="2026" spans="1:28" ht="12" customHeight="1">
      <c r="A2026" s="330"/>
      <c r="B2026" s="314"/>
      <c r="C2026" s="285"/>
      <c r="D2026" s="108"/>
      <c r="E2026" s="285"/>
      <c r="F2026" s="285"/>
      <c r="G2026" s="35"/>
      <c r="H2026" s="104"/>
      <c r="I2026" s="35"/>
      <c r="J2026" s="74"/>
      <c r="K2026" s="74"/>
      <c r="L2026" s="74"/>
      <c r="M2026" s="74"/>
      <c r="N2026" s="74"/>
      <c r="O2026" s="74"/>
      <c r="P2026" s="74"/>
      <c r="Q2026" s="74"/>
      <c r="R2026" s="74"/>
      <c r="S2026" s="74"/>
      <c r="T2026" s="74"/>
      <c r="U2026" s="74"/>
      <c r="V2026" s="74"/>
      <c r="W2026" s="74"/>
      <c r="X2026" s="74"/>
      <c r="Y2026" s="74"/>
      <c r="Z2026" s="74"/>
      <c r="AA2026" s="74"/>
      <c r="AB2026" s="74"/>
    </row>
    <row r="2027" spans="1:28" ht="12" customHeight="1">
      <c r="A2027" s="330"/>
      <c r="B2027" s="314"/>
      <c r="C2027" s="285"/>
      <c r="D2027" s="108"/>
      <c r="E2027" s="285"/>
      <c r="F2027" s="285"/>
      <c r="G2027" s="35"/>
      <c r="H2027" s="104"/>
      <c r="I2027" s="35"/>
      <c r="J2027" s="74"/>
      <c r="K2027" s="74"/>
      <c r="L2027" s="74"/>
      <c r="M2027" s="74"/>
      <c r="N2027" s="74"/>
      <c r="O2027" s="74"/>
      <c r="P2027" s="74"/>
      <c r="Q2027" s="74"/>
      <c r="R2027" s="74"/>
      <c r="S2027" s="74"/>
      <c r="T2027" s="74"/>
      <c r="U2027" s="74"/>
      <c r="V2027" s="74"/>
      <c r="W2027" s="74"/>
      <c r="X2027" s="74"/>
      <c r="Y2027" s="74"/>
      <c r="Z2027" s="74"/>
      <c r="AA2027" s="74"/>
      <c r="AB2027" s="74"/>
    </row>
    <row r="2028" spans="1:28" ht="12" customHeight="1">
      <c r="A2028" s="330"/>
      <c r="B2028" s="314"/>
      <c r="C2028" s="285"/>
      <c r="D2028" s="108"/>
      <c r="E2028" s="285"/>
      <c r="F2028" s="285"/>
      <c r="G2028" s="35"/>
      <c r="H2028" s="104"/>
      <c r="I2028" s="35"/>
      <c r="J2028" s="74"/>
      <c r="K2028" s="74"/>
      <c r="L2028" s="74"/>
      <c r="M2028" s="74"/>
      <c r="N2028" s="74"/>
      <c r="O2028" s="74"/>
      <c r="P2028" s="74"/>
      <c r="Q2028" s="74"/>
      <c r="R2028" s="74"/>
      <c r="S2028" s="74"/>
      <c r="T2028" s="74"/>
      <c r="U2028" s="74"/>
      <c r="V2028" s="74"/>
      <c r="W2028" s="74"/>
      <c r="X2028" s="74"/>
      <c r="Y2028" s="74"/>
      <c r="Z2028" s="74"/>
      <c r="AA2028" s="74"/>
      <c r="AB2028" s="74"/>
    </row>
    <row r="2029" spans="1:28" ht="12" customHeight="1">
      <c r="A2029" s="330"/>
      <c r="B2029" s="314"/>
      <c r="C2029" s="285"/>
      <c r="D2029" s="108"/>
      <c r="E2029" s="285"/>
      <c r="F2029" s="285"/>
      <c r="G2029" s="35"/>
      <c r="H2029" s="104"/>
      <c r="I2029" s="35"/>
      <c r="J2029" s="74"/>
      <c r="K2029" s="74"/>
      <c r="L2029" s="74"/>
      <c r="M2029" s="74"/>
      <c r="N2029" s="74"/>
      <c r="O2029" s="74"/>
      <c r="P2029" s="74"/>
      <c r="Q2029" s="74"/>
      <c r="R2029" s="74"/>
      <c r="S2029" s="74"/>
      <c r="T2029" s="74"/>
      <c r="U2029" s="74"/>
      <c r="V2029" s="74"/>
      <c r="W2029" s="74"/>
      <c r="X2029" s="74"/>
      <c r="Y2029" s="74"/>
      <c r="Z2029" s="74"/>
      <c r="AA2029" s="74"/>
      <c r="AB2029" s="74"/>
    </row>
    <row r="2030" spans="1:28" ht="12" customHeight="1">
      <c r="A2030" s="330"/>
      <c r="B2030" s="314"/>
      <c r="C2030" s="285"/>
      <c r="D2030" s="108"/>
      <c r="E2030" s="285"/>
      <c r="F2030" s="285"/>
      <c r="G2030" s="35"/>
      <c r="H2030" s="104"/>
      <c r="I2030" s="35"/>
      <c r="J2030" s="74"/>
      <c r="K2030" s="74"/>
      <c r="L2030" s="74"/>
      <c r="M2030" s="74"/>
      <c r="N2030" s="74"/>
      <c r="O2030" s="74"/>
      <c r="P2030" s="74"/>
      <c r="Q2030" s="74"/>
      <c r="R2030" s="74"/>
      <c r="S2030" s="74"/>
      <c r="T2030" s="74"/>
      <c r="U2030" s="74"/>
      <c r="V2030" s="74"/>
      <c r="W2030" s="74"/>
      <c r="X2030" s="74"/>
      <c r="Y2030" s="74"/>
      <c r="Z2030" s="74"/>
      <c r="AA2030" s="74"/>
      <c r="AB2030" s="74"/>
    </row>
    <row r="2031" spans="1:28" ht="12" customHeight="1">
      <c r="A2031" s="330"/>
      <c r="B2031" s="314"/>
      <c r="C2031" s="285"/>
      <c r="D2031" s="108"/>
      <c r="E2031" s="285"/>
      <c r="F2031" s="285"/>
      <c r="G2031" s="35"/>
      <c r="H2031" s="104"/>
      <c r="I2031" s="35"/>
      <c r="J2031" s="74"/>
      <c r="K2031" s="74"/>
      <c r="L2031" s="74"/>
      <c r="M2031" s="74"/>
      <c r="N2031" s="74"/>
      <c r="O2031" s="74"/>
      <c r="P2031" s="74"/>
      <c r="Q2031" s="74"/>
      <c r="R2031" s="74"/>
      <c r="S2031" s="74"/>
      <c r="T2031" s="74"/>
      <c r="U2031" s="74"/>
      <c r="V2031" s="74"/>
      <c r="W2031" s="74"/>
      <c r="X2031" s="74"/>
      <c r="Y2031" s="74"/>
      <c r="Z2031" s="74"/>
      <c r="AA2031" s="74"/>
      <c r="AB2031" s="74"/>
    </row>
    <row r="2032" spans="1:28" ht="12" customHeight="1">
      <c r="A2032" s="330"/>
      <c r="B2032" s="314"/>
      <c r="C2032" s="285"/>
      <c r="D2032" s="108"/>
      <c r="E2032" s="285"/>
      <c r="F2032" s="285"/>
      <c r="G2032" s="35"/>
      <c r="H2032" s="104"/>
      <c r="I2032" s="35"/>
      <c r="J2032" s="74"/>
      <c r="K2032" s="74"/>
      <c r="L2032" s="74"/>
      <c r="M2032" s="74"/>
      <c r="N2032" s="74"/>
      <c r="O2032" s="74"/>
      <c r="P2032" s="74"/>
      <c r="Q2032" s="74"/>
      <c r="R2032" s="74"/>
      <c r="S2032" s="74"/>
      <c r="T2032" s="74"/>
      <c r="U2032" s="74"/>
      <c r="V2032" s="74"/>
      <c r="W2032" s="74"/>
      <c r="X2032" s="74"/>
      <c r="Y2032" s="74"/>
      <c r="Z2032" s="74"/>
      <c r="AA2032" s="74"/>
      <c r="AB2032" s="74"/>
    </row>
    <row r="2033" spans="1:28" ht="12" customHeight="1">
      <c r="A2033" s="330"/>
      <c r="B2033" s="314"/>
      <c r="C2033" s="285"/>
      <c r="D2033" s="108"/>
      <c r="E2033" s="285"/>
      <c r="F2033" s="285"/>
      <c r="G2033" s="35"/>
      <c r="H2033" s="104"/>
      <c r="I2033" s="35"/>
      <c r="J2033" s="74"/>
      <c r="K2033" s="74"/>
      <c r="L2033" s="74"/>
      <c r="M2033" s="74"/>
      <c r="N2033" s="74"/>
      <c r="O2033" s="74"/>
      <c r="P2033" s="74"/>
      <c r="Q2033" s="74"/>
      <c r="R2033" s="74"/>
      <c r="S2033" s="74"/>
      <c r="T2033" s="74"/>
      <c r="U2033" s="74"/>
      <c r="V2033" s="74"/>
      <c r="W2033" s="74"/>
      <c r="X2033" s="74"/>
      <c r="Y2033" s="74"/>
      <c r="Z2033" s="74"/>
      <c r="AA2033" s="74"/>
      <c r="AB2033" s="74"/>
    </row>
  </sheetData>
  <autoFilter ref="A5:AB36" xr:uid="{00000000-0009-0000-0000-00000F000000}"/>
  <mergeCells count="3">
    <mergeCell ref="A1:H1"/>
    <mergeCell ref="A2:F2"/>
    <mergeCell ref="A4:F4"/>
  </mergeCells>
  <hyperlinks>
    <hyperlink ref="F3" location="Menu por Procesos!A1" display="MENU" xr:uid="{00000000-0004-0000-0F00-000000000000}"/>
    <hyperlink ref="A32" r:id="rId1" xr:uid="{00000000-0004-0000-0F00-000001000000}"/>
  </hyperlinks>
  <pageMargins left="0.7" right="0.7" top="0.75" bottom="0.75" header="0" footer="0"/>
  <pageSetup orientation="landscape"/>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9D18E"/>
  </sheetPr>
  <dimension ref="A1:AB1015"/>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773"/>
      <c r="B1" s="769"/>
      <c r="C1" s="769"/>
      <c r="D1" s="769"/>
      <c r="E1" s="769"/>
      <c r="F1" s="769"/>
      <c r="G1" s="769"/>
      <c r="H1" s="769"/>
      <c r="I1" s="17"/>
      <c r="J1" s="18"/>
      <c r="K1" s="18"/>
      <c r="L1" s="18"/>
      <c r="M1" s="18"/>
      <c r="N1" s="18"/>
      <c r="O1" s="18"/>
      <c r="P1" s="18"/>
      <c r="Q1" s="18"/>
      <c r="R1" s="18"/>
      <c r="S1" s="18"/>
      <c r="T1" s="18"/>
      <c r="U1" s="18"/>
      <c r="V1" s="18"/>
      <c r="W1" s="18"/>
      <c r="X1" s="18"/>
      <c r="Y1" s="18"/>
      <c r="Z1" s="18"/>
      <c r="AA1" s="18"/>
      <c r="AB1" s="18"/>
    </row>
    <row r="2" spans="1:28" ht="25.5" customHeight="1">
      <c r="A2" s="779" t="s">
        <v>28</v>
      </c>
      <c r="B2" s="765"/>
      <c r="C2" s="765"/>
      <c r="D2" s="765"/>
      <c r="E2" s="765"/>
      <c r="F2" s="766"/>
      <c r="G2" s="15"/>
      <c r="H2" s="16"/>
      <c r="I2" s="17"/>
      <c r="J2" s="18"/>
      <c r="K2" s="18"/>
      <c r="L2" s="18"/>
      <c r="M2" s="18"/>
      <c r="N2" s="18"/>
      <c r="O2" s="18"/>
      <c r="P2" s="18"/>
      <c r="Q2" s="18"/>
      <c r="R2" s="18"/>
      <c r="S2" s="18"/>
      <c r="T2" s="18"/>
      <c r="U2" s="18"/>
      <c r="V2" s="18"/>
      <c r="W2" s="18"/>
      <c r="X2" s="18"/>
      <c r="Y2" s="18"/>
      <c r="Z2" s="18"/>
      <c r="AA2" s="18"/>
      <c r="AB2" s="18"/>
    </row>
    <row r="3" spans="1:28" ht="29.25" customHeight="1">
      <c r="A3" s="75" t="s">
        <v>3081</v>
      </c>
      <c r="B3" s="289"/>
      <c r="C3" s="331"/>
      <c r="D3" s="289"/>
      <c r="E3" s="289"/>
      <c r="F3" s="332" t="s">
        <v>30</v>
      </c>
      <c r="G3" s="19"/>
      <c r="H3" s="21"/>
      <c r="I3" s="17"/>
      <c r="J3" s="18"/>
      <c r="K3" s="18"/>
      <c r="L3" s="18"/>
      <c r="M3" s="18"/>
      <c r="N3" s="18"/>
      <c r="O3" s="18"/>
      <c r="P3" s="18"/>
      <c r="Q3" s="18"/>
      <c r="R3" s="18"/>
      <c r="S3" s="18"/>
      <c r="T3" s="18"/>
      <c r="U3" s="18"/>
      <c r="V3" s="18"/>
      <c r="W3" s="18"/>
      <c r="X3" s="18"/>
      <c r="Y3" s="18"/>
      <c r="Z3" s="18"/>
      <c r="AA3" s="18"/>
      <c r="AB3" s="18"/>
    </row>
    <row r="4" spans="1:28" ht="33" customHeight="1">
      <c r="A4" s="781" t="s">
        <v>2999</v>
      </c>
      <c r="B4" s="765"/>
      <c r="C4" s="765"/>
      <c r="D4" s="765"/>
      <c r="E4" s="765"/>
      <c r="F4" s="766"/>
      <c r="G4" s="16"/>
      <c r="H4" s="22"/>
      <c r="I4" s="17"/>
      <c r="J4" s="18"/>
      <c r="K4" s="18"/>
      <c r="L4" s="18"/>
      <c r="M4" s="18"/>
      <c r="N4" s="18"/>
      <c r="O4" s="18"/>
      <c r="P4" s="18"/>
      <c r="Q4" s="18"/>
      <c r="R4" s="18"/>
      <c r="S4" s="18"/>
      <c r="T4" s="18"/>
      <c r="U4" s="18"/>
      <c r="V4" s="18"/>
      <c r="W4" s="18"/>
      <c r="X4" s="18"/>
      <c r="Y4" s="18"/>
      <c r="Z4" s="18"/>
      <c r="AA4" s="18"/>
      <c r="AB4" s="18"/>
    </row>
    <row r="5" spans="1:28" ht="34.5" customHeight="1">
      <c r="A5" s="76" t="s">
        <v>235</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ht="84.75">
      <c r="A6" s="333" t="s">
        <v>3082</v>
      </c>
      <c r="B6" s="334">
        <v>33439</v>
      </c>
      <c r="C6" s="335" t="s">
        <v>405</v>
      </c>
      <c r="D6" s="335" t="s">
        <v>406</v>
      </c>
      <c r="E6" s="335" t="s">
        <v>1908</v>
      </c>
      <c r="F6" s="336" t="s">
        <v>3083</v>
      </c>
      <c r="G6" s="147" t="s">
        <v>43</v>
      </c>
      <c r="H6" s="117" t="s">
        <v>750</v>
      </c>
      <c r="I6" s="74"/>
      <c r="J6" s="36"/>
      <c r="K6" s="36"/>
      <c r="L6" s="36"/>
      <c r="M6" s="36"/>
      <c r="N6" s="36"/>
      <c r="O6" s="36"/>
      <c r="P6" s="36"/>
      <c r="Q6" s="36"/>
      <c r="R6" s="36"/>
      <c r="S6" s="36"/>
      <c r="T6" s="36"/>
      <c r="U6" s="36"/>
      <c r="V6" s="36"/>
      <c r="W6" s="36"/>
      <c r="X6" s="36"/>
      <c r="Y6" s="36"/>
      <c r="Z6" s="36"/>
      <c r="AA6" s="36"/>
      <c r="AB6" s="36"/>
    </row>
    <row r="7" spans="1:28" ht="96.75">
      <c r="A7" s="337" t="s">
        <v>1113</v>
      </c>
      <c r="B7" s="338">
        <v>26688</v>
      </c>
      <c r="C7" s="335" t="s">
        <v>39</v>
      </c>
      <c r="D7" s="335" t="s">
        <v>465</v>
      </c>
      <c r="E7" s="335" t="s">
        <v>1913</v>
      </c>
      <c r="F7" s="336" t="s">
        <v>3084</v>
      </c>
      <c r="G7" s="147" t="s">
        <v>43</v>
      </c>
      <c r="H7" s="117" t="s">
        <v>750</v>
      </c>
      <c r="I7" s="74"/>
      <c r="J7" s="36"/>
      <c r="K7" s="36"/>
      <c r="L7" s="36"/>
      <c r="M7" s="36"/>
      <c r="N7" s="36"/>
      <c r="O7" s="36"/>
      <c r="P7" s="36"/>
      <c r="Q7" s="36"/>
      <c r="R7" s="36"/>
      <c r="S7" s="36"/>
      <c r="T7" s="36"/>
      <c r="U7" s="36"/>
      <c r="V7" s="36"/>
      <c r="W7" s="36"/>
      <c r="X7" s="36"/>
      <c r="Y7" s="36"/>
      <c r="Z7" s="36"/>
      <c r="AA7" s="36"/>
      <c r="AB7" s="36"/>
    </row>
    <row r="8" spans="1:28" ht="132.75">
      <c r="A8" s="337" t="s">
        <v>1918</v>
      </c>
      <c r="B8" s="334">
        <v>34508</v>
      </c>
      <c r="C8" s="335" t="s">
        <v>507</v>
      </c>
      <c r="D8" s="335" t="s">
        <v>1919</v>
      </c>
      <c r="E8" s="335">
        <v>1</v>
      </c>
      <c r="F8" s="336" t="s">
        <v>3085</v>
      </c>
      <c r="G8" s="339" t="s">
        <v>43</v>
      </c>
      <c r="H8" s="262" t="s">
        <v>750</v>
      </c>
      <c r="I8" s="74"/>
      <c r="J8" s="36"/>
      <c r="K8" s="36"/>
      <c r="L8" s="36"/>
      <c r="M8" s="36"/>
      <c r="N8" s="36"/>
      <c r="O8" s="36"/>
      <c r="P8" s="36"/>
      <c r="Q8" s="36"/>
      <c r="R8" s="36"/>
      <c r="S8" s="36"/>
      <c r="T8" s="36"/>
      <c r="U8" s="36"/>
      <c r="V8" s="36"/>
      <c r="W8" s="36"/>
      <c r="X8" s="36"/>
      <c r="Y8" s="36"/>
      <c r="Z8" s="36"/>
      <c r="AA8" s="36"/>
      <c r="AB8" s="36"/>
    </row>
    <row r="9" spans="1:28" ht="108.75">
      <c r="A9" s="337" t="s">
        <v>1921</v>
      </c>
      <c r="B9" s="338">
        <v>36731</v>
      </c>
      <c r="C9" s="335" t="s">
        <v>507</v>
      </c>
      <c r="D9" s="335" t="s">
        <v>2244</v>
      </c>
      <c r="E9" s="335" t="s">
        <v>1923</v>
      </c>
      <c r="F9" s="336" t="s">
        <v>3086</v>
      </c>
      <c r="G9" s="147" t="s">
        <v>43</v>
      </c>
      <c r="H9" s="117" t="s">
        <v>750</v>
      </c>
      <c r="I9" s="74"/>
      <c r="J9" s="36"/>
      <c r="K9" s="36"/>
      <c r="L9" s="36"/>
      <c r="M9" s="36"/>
      <c r="N9" s="36"/>
      <c r="O9" s="36"/>
      <c r="P9" s="36"/>
      <c r="Q9" s="36"/>
      <c r="R9" s="36"/>
      <c r="S9" s="36"/>
      <c r="T9" s="36"/>
      <c r="U9" s="36"/>
      <c r="V9" s="36"/>
      <c r="W9" s="36"/>
      <c r="X9" s="36"/>
      <c r="Y9" s="36"/>
      <c r="Z9" s="36"/>
      <c r="AA9" s="36"/>
      <c r="AB9" s="36"/>
    </row>
    <row r="10" spans="1:28" ht="60.75">
      <c r="A10" s="337" t="s">
        <v>1653</v>
      </c>
      <c r="B10" s="334">
        <v>37443</v>
      </c>
      <c r="C10" s="335" t="s">
        <v>1800</v>
      </c>
      <c r="D10" s="335" t="s">
        <v>1928</v>
      </c>
      <c r="E10" s="335" t="s">
        <v>1929</v>
      </c>
      <c r="F10" s="336" t="s">
        <v>1930</v>
      </c>
      <c r="G10" s="147" t="s">
        <v>43</v>
      </c>
      <c r="H10" s="117" t="s">
        <v>750</v>
      </c>
      <c r="I10" s="74"/>
      <c r="J10" s="36"/>
      <c r="K10" s="36"/>
      <c r="L10" s="36"/>
      <c r="M10" s="36"/>
      <c r="N10" s="36"/>
      <c r="O10" s="36"/>
      <c r="P10" s="36"/>
      <c r="Q10" s="36"/>
      <c r="R10" s="36"/>
      <c r="S10" s="36"/>
      <c r="T10" s="36"/>
      <c r="U10" s="36"/>
      <c r="V10" s="36"/>
      <c r="W10" s="36"/>
      <c r="X10" s="36"/>
      <c r="Y10" s="36"/>
      <c r="Z10" s="36"/>
      <c r="AA10" s="36"/>
      <c r="AB10" s="36"/>
    </row>
    <row r="11" spans="1:28" ht="108.75">
      <c r="A11" s="337" t="s">
        <v>1669</v>
      </c>
      <c r="B11" s="334">
        <v>40253</v>
      </c>
      <c r="C11" s="335" t="s">
        <v>507</v>
      </c>
      <c r="D11" s="335" t="s">
        <v>1942</v>
      </c>
      <c r="E11" s="335" t="s">
        <v>1943</v>
      </c>
      <c r="F11" s="336" t="s">
        <v>3087</v>
      </c>
      <c r="G11" s="147" t="s">
        <v>43</v>
      </c>
      <c r="H11" s="117" t="s">
        <v>750</v>
      </c>
      <c r="I11" s="74"/>
      <c r="J11" s="36"/>
      <c r="K11" s="36"/>
      <c r="L11" s="36"/>
      <c r="M11" s="36"/>
      <c r="N11" s="36"/>
      <c r="O11" s="36"/>
      <c r="P11" s="36"/>
      <c r="Q11" s="36"/>
      <c r="R11" s="36"/>
      <c r="S11" s="36"/>
      <c r="T11" s="36"/>
      <c r="U11" s="36"/>
      <c r="V11" s="36"/>
      <c r="W11" s="36"/>
      <c r="X11" s="36"/>
      <c r="Y11" s="36"/>
      <c r="Z11" s="36"/>
      <c r="AA11" s="36"/>
      <c r="AB11" s="36"/>
    </row>
    <row r="12" spans="1:28" ht="84.75">
      <c r="A12" s="337" t="s">
        <v>1949</v>
      </c>
      <c r="B12" s="334">
        <v>41474</v>
      </c>
      <c r="C12" s="335" t="s">
        <v>507</v>
      </c>
      <c r="D12" s="335" t="s">
        <v>1950</v>
      </c>
      <c r="E12" s="335" t="s">
        <v>1951</v>
      </c>
      <c r="F12" s="336" t="s">
        <v>1952</v>
      </c>
      <c r="G12" s="147" t="s">
        <v>43</v>
      </c>
      <c r="H12" s="117" t="s">
        <v>750</v>
      </c>
      <c r="I12" s="74"/>
      <c r="J12" s="36"/>
      <c r="K12" s="36"/>
      <c r="L12" s="36"/>
      <c r="M12" s="36"/>
      <c r="N12" s="36"/>
      <c r="O12" s="36"/>
      <c r="P12" s="36"/>
      <c r="Q12" s="36"/>
      <c r="R12" s="36"/>
      <c r="S12" s="36"/>
      <c r="T12" s="36"/>
      <c r="U12" s="36"/>
      <c r="V12" s="36"/>
      <c r="W12" s="36"/>
      <c r="X12" s="36"/>
      <c r="Y12" s="36"/>
      <c r="Z12" s="36"/>
      <c r="AA12" s="36"/>
      <c r="AB12" s="36"/>
    </row>
    <row r="13" spans="1:28" ht="60.75">
      <c r="A13" s="337" t="s">
        <v>1674</v>
      </c>
      <c r="B13" s="338">
        <v>42580</v>
      </c>
      <c r="C13" s="335" t="s">
        <v>507</v>
      </c>
      <c r="D13" s="335" t="s">
        <v>3088</v>
      </c>
      <c r="E13" s="335" t="s">
        <v>1954</v>
      </c>
      <c r="F13" s="336" t="s">
        <v>1955</v>
      </c>
      <c r="G13" s="339" t="s">
        <v>43</v>
      </c>
      <c r="H13" s="262" t="s">
        <v>750</v>
      </c>
      <c r="I13" s="74"/>
      <c r="J13" s="36"/>
      <c r="K13" s="36"/>
      <c r="L13" s="36"/>
      <c r="M13" s="36"/>
      <c r="N13" s="36"/>
      <c r="O13" s="305"/>
      <c r="P13" s="305"/>
      <c r="Q13" s="305"/>
      <c r="R13" s="305"/>
      <c r="S13" s="305"/>
      <c r="T13" s="305"/>
      <c r="U13" s="305"/>
      <c r="V13" s="305"/>
      <c r="W13" s="305"/>
      <c r="X13" s="305"/>
      <c r="Y13" s="305"/>
      <c r="Z13" s="305"/>
      <c r="AA13" s="305"/>
      <c r="AB13" s="305"/>
    </row>
    <row r="14" spans="1:28" ht="120.75">
      <c r="A14" s="337" t="s">
        <v>1960</v>
      </c>
      <c r="B14" s="338">
        <v>34855</v>
      </c>
      <c r="C14" s="335" t="s">
        <v>516</v>
      </c>
      <c r="D14" s="335" t="s">
        <v>517</v>
      </c>
      <c r="E14" s="335" t="s">
        <v>1961</v>
      </c>
      <c r="F14" s="336" t="s">
        <v>3089</v>
      </c>
      <c r="G14" s="147" t="s">
        <v>43</v>
      </c>
      <c r="H14" s="117" t="s">
        <v>750</v>
      </c>
      <c r="I14" s="74"/>
      <c r="J14" s="36"/>
      <c r="K14" s="36"/>
      <c r="L14" s="36"/>
      <c r="M14" s="36"/>
      <c r="N14" s="36"/>
      <c r="O14" s="36"/>
      <c r="P14" s="36"/>
      <c r="Q14" s="36"/>
      <c r="R14" s="36"/>
      <c r="S14" s="36"/>
      <c r="T14" s="36"/>
      <c r="U14" s="36"/>
      <c r="V14" s="36"/>
      <c r="W14" s="36"/>
      <c r="X14" s="36"/>
      <c r="Y14" s="36"/>
      <c r="Z14" s="36"/>
      <c r="AA14" s="36"/>
      <c r="AB14" s="36"/>
    </row>
    <row r="15" spans="1:28" ht="60">
      <c r="A15" s="337" t="s">
        <v>1963</v>
      </c>
      <c r="B15" s="334">
        <v>35033</v>
      </c>
      <c r="C15" s="335" t="s">
        <v>516</v>
      </c>
      <c r="D15" s="335" t="s">
        <v>519</v>
      </c>
      <c r="E15" s="335" t="s">
        <v>1964</v>
      </c>
      <c r="F15" s="336" t="s">
        <v>1965</v>
      </c>
      <c r="G15" s="147" t="s">
        <v>43</v>
      </c>
      <c r="H15" s="117" t="s">
        <v>750</v>
      </c>
      <c r="I15" s="74"/>
      <c r="J15" s="36"/>
      <c r="K15" s="36"/>
      <c r="L15" s="36"/>
      <c r="M15" s="36"/>
      <c r="N15" s="36"/>
      <c r="O15" s="36"/>
      <c r="P15" s="36"/>
      <c r="Q15" s="36"/>
      <c r="R15" s="36"/>
      <c r="S15" s="36"/>
      <c r="T15" s="36"/>
      <c r="U15" s="36"/>
      <c r="V15" s="36"/>
      <c r="W15" s="36"/>
      <c r="X15" s="36"/>
      <c r="Y15" s="36"/>
      <c r="Z15" s="36"/>
      <c r="AA15" s="36"/>
      <c r="AB15" s="36"/>
    </row>
    <row r="16" spans="1:28" ht="108.75">
      <c r="A16" s="337" t="s">
        <v>1966</v>
      </c>
      <c r="B16" s="334">
        <v>35794</v>
      </c>
      <c r="C16" s="335" t="s">
        <v>57</v>
      </c>
      <c r="D16" s="335" t="s">
        <v>1967</v>
      </c>
      <c r="E16" s="335" t="s">
        <v>1968</v>
      </c>
      <c r="F16" s="336" t="s">
        <v>3090</v>
      </c>
      <c r="G16" s="147" t="s">
        <v>43</v>
      </c>
      <c r="H16" s="117" t="s">
        <v>750</v>
      </c>
      <c r="I16" s="74"/>
      <c r="J16" s="36"/>
      <c r="K16" s="36"/>
      <c r="L16" s="36"/>
      <c r="M16" s="36"/>
      <c r="N16" s="36"/>
      <c r="O16" s="36"/>
      <c r="P16" s="36"/>
      <c r="Q16" s="36"/>
      <c r="R16" s="36"/>
      <c r="S16" s="36"/>
      <c r="T16" s="36"/>
      <c r="U16" s="36"/>
      <c r="V16" s="36"/>
      <c r="W16" s="36"/>
      <c r="X16" s="36"/>
      <c r="Y16" s="36"/>
      <c r="Z16" s="36"/>
      <c r="AA16" s="36"/>
      <c r="AB16" s="36"/>
    </row>
    <row r="17" spans="1:28" ht="60">
      <c r="A17" s="337" t="s">
        <v>1970</v>
      </c>
      <c r="B17" s="334">
        <v>35571</v>
      </c>
      <c r="C17" s="335" t="s">
        <v>61</v>
      </c>
      <c r="D17" s="335" t="s">
        <v>524</v>
      </c>
      <c r="E17" s="335" t="s">
        <v>1971</v>
      </c>
      <c r="F17" s="336" t="s">
        <v>1972</v>
      </c>
      <c r="G17" s="147" t="s">
        <v>43</v>
      </c>
      <c r="H17" s="117" t="s">
        <v>750</v>
      </c>
      <c r="I17" s="74"/>
      <c r="J17" s="36"/>
      <c r="K17" s="36"/>
      <c r="L17" s="36"/>
      <c r="M17" s="36"/>
      <c r="N17" s="36"/>
      <c r="O17" s="36"/>
      <c r="P17" s="36"/>
      <c r="Q17" s="36"/>
      <c r="R17" s="36"/>
      <c r="S17" s="36"/>
      <c r="T17" s="36"/>
      <c r="U17" s="36"/>
      <c r="V17" s="36"/>
      <c r="W17" s="36"/>
      <c r="X17" s="36"/>
      <c r="Y17" s="36"/>
      <c r="Z17" s="36"/>
      <c r="AA17" s="36"/>
      <c r="AB17" s="36"/>
    </row>
    <row r="18" spans="1:28" ht="144.75">
      <c r="A18" s="337" t="s">
        <v>1973</v>
      </c>
      <c r="B18" s="334">
        <v>36831</v>
      </c>
      <c r="C18" s="335" t="s">
        <v>61</v>
      </c>
      <c r="D18" s="335" t="s">
        <v>3091</v>
      </c>
      <c r="E18" s="335">
        <v>2.15</v>
      </c>
      <c r="F18" s="336" t="s">
        <v>1975</v>
      </c>
      <c r="G18" s="147" t="s">
        <v>43</v>
      </c>
      <c r="H18" s="117" t="s">
        <v>750</v>
      </c>
      <c r="I18" s="74"/>
      <c r="J18" s="36"/>
      <c r="K18" s="36"/>
      <c r="L18" s="36"/>
      <c r="M18" s="36"/>
      <c r="N18" s="36"/>
      <c r="O18" s="36"/>
      <c r="P18" s="36"/>
      <c r="Q18" s="36"/>
      <c r="R18" s="36"/>
      <c r="S18" s="36"/>
      <c r="T18" s="36"/>
      <c r="U18" s="36"/>
      <c r="V18" s="36"/>
      <c r="W18" s="36"/>
      <c r="X18" s="36"/>
      <c r="Y18" s="36"/>
      <c r="Z18" s="36"/>
      <c r="AA18" s="36"/>
      <c r="AB18" s="36"/>
    </row>
    <row r="19" spans="1:28" ht="60">
      <c r="A19" s="337" t="s">
        <v>1976</v>
      </c>
      <c r="B19" s="334">
        <v>36753</v>
      </c>
      <c r="C19" s="335" t="s">
        <v>57</v>
      </c>
      <c r="D19" s="335" t="s">
        <v>1977</v>
      </c>
      <c r="E19" s="335">
        <v>1</v>
      </c>
      <c r="F19" s="336" t="s">
        <v>1978</v>
      </c>
      <c r="G19" s="147" t="s">
        <v>43</v>
      </c>
      <c r="H19" s="117" t="s">
        <v>750</v>
      </c>
      <c r="I19" s="74"/>
      <c r="J19" s="36"/>
      <c r="K19" s="36"/>
      <c r="L19" s="36"/>
      <c r="M19" s="36"/>
      <c r="N19" s="36"/>
      <c r="O19" s="36"/>
      <c r="P19" s="36"/>
      <c r="Q19" s="36"/>
      <c r="R19" s="36"/>
      <c r="S19" s="36"/>
      <c r="T19" s="36"/>
      <c r="U19" s="36"/>
      <c r="V19" s="36"/>
      <c r="W19" s="36"/>
      <c r="X19" s="36"/>
      <c r="Y19" s="36"/>
      <c r="Z19" s="36"/>
      <c r="AA19" s="36"/>
      <c r="AB19" s="36"/>
    </row>
    <row r="20" spans="1:28" ht="96.75">
      <c r="A20" s="337" t="s">
        <v>3092</v>
      </c>
      <c r="B20" s="338">
        <v>37468</v>
      </c>
      <c r="C20" s="335" t="s">
        <v>1800</v>
      </c>
      <c r="D20" s="335" t="s">
        <v>1980</v>
      </c>
      <c r="E20" s="335" t="s">
        <v>1981</v>
      </c>
      <c r="F20" s="336" t="s">
        <v>1982</v>
      </c>
      <c r="G20" s="339" t="s">
        <v>43</v>
      </c>
      <c r="H20" s="262" t="s">
        <v>750</v>
      </c>
      <c r="I20" s="74"/>
      <c r="J20" s="36"/>
      <c r="K20" s="36"/>
      <c r="L20" s="36"/>
      <c r="M20" s="36"/>
      <c r="N20" s="36"/>
      <c r="O20" s="305"/>
      <c r="P20" s="305"/>
      <c r="Q20" s="305"/>
      <c r="R20" s="305"/>
      <c r="S20" s="305"/>
      <c r="T20" s="305"/>
      <c r="U20" s="305"/>
      <c r="V20" s="305"/>
      <c r="W20" s="305"/>
      <c r="X20" s="305"/>
      <c r="Y20" s="305"/>
      <c r="Z20" s="305"/>
      <c r="AA20" s="305"/>
      <c r="AB20" s="305"/>
    </row>
    <row r="21" spans="1:28" ht="72.75">
      <c r="A21" s="337" t="s">
        <v>1739</v>
      </c>
      <c r="B21" s="334">
        <v>37985</v>
      </c>
      <c r="C21" s="335" t="s">
        <v>61</v>
      </c>
      <c r="D21" s="335" t="s">
        <v>1983</v>
      </c>
      <c r="E21" s="335">
        <v>3</v>
      </c>
      <c r="F21" s="336" t="s">
        <v>1984</v>
      </c>
      <c r="G21" s="147" t="s">
        <v>43</v>
      </c>
      <c r="H21" s="117" t="s">
        <v>750</v>
      </c>
      <c r="I21" s="74"/>
      <c r="J21" s="36"/>
      <c r="K21" s="36"/>
      <c r="L21" s="36"/>
      <c r="M21" s="36"/>
      <c r="N21" s="36"/>
      <c r="O21" s="36"/>
      <c r="P21" s="36"/>
      <c r="Q21" s="36"/>
      <c r="R21" s="36"/>
      <c r="S21" s="36"/>
      <c r="T21" s="36"/>
      <c r="U21" s="36"/>
      <c r="V21" s="36"/>
      <c r="W21" s="36"/>
      <c r="X21" s="36"/>
      <c r="Y21" s="36"/>
      <c r="Z21" s="36"/>
      <c r="AA21" s="36"/>
      <c r="AB21" s="36"/>
    </row>
    <row r="22" spans="1:28" ht="60.75">
      <c r="A22" s="337" t="s">
        <v>1985</v>
      </c>
      <c r="B22" s="338">
        <v>38336</v>
      </c>
      <c r="C22" s="335" t="s">
        <v>61</v>
      </c>
      <c r="D22" s="335" t="s">
        <v>1986</v>
      </c>
      <c r="E22" s="335" t="s">
        <v>1987</v>
      </c>
      <c r="F22" s="336" t="s">
        <v>3093</v>
      </c>
      <c r="G22" s="147" t="s">
        <v>43</v>
      </c>
      <c r="H22" s="117" t="s">
        <v>750</v>
      </c>
      <c r="I22" s="74"/>
      <c r="J22" s="36"/>
      <c r="K22" s="36"/>
      <c r="L22" s="36"/>
      <c r="M22" s="36"/>
      <c r="N22" s="36"/>
      <c r="O22" s="36"/>
      <c r="P22" s="36"/>
      <c r="Q22" s="36"/>
      <c r="R22" s="36"/>
      <c r="S22" s="36"/>
      <c r="T22" s="36"/>
      <c r="U22" s="36"/>
      <c r="V22" s="36"/>
      <c r="W22" s="36"/>
      <c r="X22" s="36"/>
      <c r="Y22" s="36"/>
      <c r="Z22" s="36"/>
      <c r="AA22" s="36"/>
      <c r="AB22" s="36"/>
    </row>
    <row r="23" spans="1:28" ht="12" customHeight="1">
      <c r="A23" s="337" t="s">
        <v>1989</v>
      </c>
      <c r="B23" s="338">
        <v>38716</v>
      </c>
      <c r="C23" s="335" t="s">
        <v>550</v>
      </c>
      <c r="D23" s="335" t="s">
        <v>1990</v>
      </c>
      <c r="E23" s="335" t="s">
        <v>1991</v>
      </c>
      <c r="F23" s="336" t="s">
        <v>3094</v>
      </c>
      <c r="G23" s="35"/>
      <c r="H23" s="104"/>
      <c r="I23" s="74"/>
      <c r="J23" s="74"/>
      <c r="K23" s="74"/>
      <c r="L23" s="74"/>
      <c r="M23" s="74"/>
      <c r="N23" s="74"/>
      <c r="O23" s="74"/>
      <c r="P23" s="74"/>
      <c r="Q23" s="74"/>
      <c r="R23" s="74"/>
      <c r="S23" s="74"/>
      <c r="T23" s="74"/>
      <c r="U23" s="74"/>
      <c r="V23" s="74"/>
      <c r="W23" s="74"/>
      <c r="X23" s="74"/>
      <c r="Y23" s="74"/>
      <c r="Z23" s="74"/>
      <c r="AA23" s="74"/>
      <c r="AB23" s="74"/>
    </row>
    <row r="24" spans="1:28" ht="12" customHeight="1">
      <c r="A24" s="337" t="s">
        <v>1993</v>
      </c>
      <c r="B24" s="334">
        <v>39255</v>
      </c>
      <c r="C24" s="335" t="s">
        <v>1294</v>
      </c>
      <c r="D24" s="335" t="s">
        <v>1994</v>
      </c>
      <c r="E24" s="335" t="s">
        <v>1947</v>
      </c>
      <c r="F24" s="336" t="s">
        <v>1995</v>
      </c>
      <c r="G24" s="35"/>
      <c r="H24" s="104"/>
      <c r="I24" s="74"/>
      <c r="J24" s="74"/>
      <c r="K24" s="74"/>
      <c r="L24" s="74"/>
      <c r="M24" s="74"/>
      <c r="N24" s="74"/>
      <c r="O24" s="74"/>
      <c r="P24" s="74"/>
      <c r="Q24" s="74"/>
      <c r="R24" s="74"/>
      <c r="S24" s="74"/>
      <c r="T24" s="74"/>
      <c r="U24" s="74"/>
      <c r="V24" s="74"/>
      <c r="W24" s="74"/>
      <c r="X24" s="74"/>
      <c r="Y24" s="74"/>
      <c r="Z24" s="74"/>
      <c r="AA24" s="74"/>
      <c r="AB24" s="74"/>
    </row>
    <row r="25" spans="1:28" ht="12" customHeight="1">
      <c r="A25" s="337" t="s">
        <v>1996</v>
      </c>
      <c r="B25" s="334">
        <v>39211</v>
      </c>
      <c r="C25" s="335" t="s">
        <v>57</v>
      </c>
      <c r="D25" s="335" t="s">
        <v>1997</v>
      </c>
      <c r="E25" s="335" t="s">
        <v>1998</v>
      </c>
      <c r="F25" s="336" t="s">
        <v>1999</v>
      </c>
      <c r="G25" s="35"/>
      <c r="H25" s="104"/>
      <c r="I25" s="74"/>
      <c r="J25" s="74"/>
      <c r="K25" s="74"/>
      <c r="L25" s="74"/>
      <c r="M25" s="74"/>
      <c r="N25" s="74"/>
      <c r="O25" s="74"/>
      <c r="P25" s="74"/>
      <c r="Q25" s="74"/>
      <c r="R25" s="74"/>
      <c r="S25" s="74"/>
      <c r="T25" s="74"/>
      <c r="U25" s="74"/>
      <c r="V25" s="74"/>
      <c r="W25" s="74"/>
      <c r="X25" s="74"/>
      <c r="Y25" s="74"/>
      <c r="Z25" s="74"/>
      <c r="AA25" s="74"/>
      <c r="AB25" s="74"/>
    </row>
    <row r="26" spans="1:28" ht="12" customHeight="1">
      <c r="A26" s="337" t="s">
        <v>2000</v>
      </c>
      <c r="B26" s="334">
        <v>39535</v>
      </c>
      <c r="C26" s="335" t="s">
        <v>57</v>
      </c>
      <c r="D26" s="335" t="s">
        <v>2001</v>
      </c>
      <c r="E26" s="335" t="s">
        <v>2002</v>
      </c>
      <c r="F26" s="336" t="s">
        <v>2003</v>
      </c>
      <c r="G26" s="35"/>
      <c r="H26" s="104"/>
      <c r="I26" s="74"/>
      <c r="J26" s="74"/>
      <c r="K26" s="74"/>
      <c r="L26" s="74"/>
      <c r="M26" s="74"/>
      <c r="N26" s="74"/>
      <c r="O26" s="74"/>
      <c r="P26" s="74"/>
      <c r="Q26" s="74"/>
      <c r="R26" s="74"/>
      <c r="S26" s="74"/>
      <c r="T26" s="74"/>
      <c r="U26" s="74"/>
      <c r="V26" s="74"/>
      <c r="W26" s="74"/>
      <c r="X26" s="74"/>
      <c r="Y26" s="74"/>
      <c r="Z26" s="74"/>
      <c r="AA26" s="74"/>
      <c r="AB26" s="74"/>
    </row>
    <row r="27" spans="1:28" ht="12" customHeight="1">
      <c r="A27" s="337" t="s">
        <v>2004</v>
      </c>
      <c r="B27" s="334">
        <v>39703</v>
      </c>
      <c r="C27" s="335" t="s">
        <v>57</v>
      </c>
      <c r="D27" s="335" t="s">
        <v>2005</v>
      </c>
      <c r="E27" s="335" t="s">
        <v>2002</v>
      </c>
      <c r="F27" s="336" t="s">
        <v>2006</v>
      </c>
      <c r="G27" s="35"/>
      <c r="H27" s="104"/>
      <c r="I27" s="74"/>
      <c r="J27" s="74"/>
      <c r="K27" s="74"/>
      <c r="L27" s="74"/>
      <c r="M27" s="74"/>
      <c r="N27" s="74"/>
      <c r="O27" s="74"/>
      <c r="P27" s="74"/>
      <c r="Q27" s="74"/>
      <c r="R27" s="74"/>
      <c r="S27" s="74"/>
      <c r="T27" s="74"/>
      <c r="U27" s="74"/>
      <c r="V27" s="74"/>
      <c r="W27" s="74"/>
      <c r="X27" s="74"/>
      <c r="Y27" s="74"/>
      <c r="Z27" s="74"/>
      <c r="AA27" s="74"/>
      <c r="AB27" s="74"/>
    </row>
    <row r="28" spans="1:28" ht="12" customHeight="1">
      <c r="A28" s="337" t="s">
        <v>2010</v>
      </c>
      <c r="B28" s="334">
        <v>40081</v>
      </c>
      <c r="C28" s="335" t="s">
        <v>128</v>
      </c>
      <c r="D28" s="335" t="s">
        <v>2011</v>
      </c>
      <c r="E28" s="335" t="s">
        <v>2012</v>
      </c>
      <c r="F28" s="336" t="s">
        <v>2013</v>
      </c>
      <c r="G28" s="35"/>
      <c r="H28" s="104"/>
      <c r="I28" s="74"/>
      <c r="J28" s="74"/>
      <c r="K28" s="74"/>
      <c r="L28" s="74"/>
      <c r="M28" s="74"/>
      <c r="N28" s="74"/>
      <c r="O28" s="74"/>
      <c r="P28" s="74"/>
      <c r="Q28" s="74"/>
      <c r="R28" s="74"/>
      <c r="S28" s="74"/>
      <c r="T28" s="74"/>
      <c r="U28" s="74"/>
      <c r="V28" s="74"/>
      <c r="W28" s="74"/>
      <c r="X28" s="74"/>
      <c r="Y28" s="74"/>
      <c r="Z28" s="74"/>
      <c r="AA28" s="74"/>
      <c r="AB28" s="74"/>
    </row>
    <row r="29" spans="1:28" ht="12" customHeight="1">
      <c r="A29" s="337" t="s">
        <v>2014</v>
      </c>
      <c r="B29" s="338">
        <v>40476</v>
      </c>
      <c r="C29" s="335" t="s">
        <v>128</v>
      </c>
      <c r="D29" s="335" t="s">
        <v>2015</v>
      </c>
      <c r="E29" s="335" t="s">
        <v>2016</v>
      </c>
      <c r="F29" s="336" t="s">
        <v>2017</v>
      </c>
      <c r="G29" s="35"/>
      <c r="H29" s="104"/>
      <c r="I29" s="74"/>
      <c r="J29" s="74"/>
      <c r="K29" s="74"/>
      <c r="L29" s="74"/>
      <c r="M29" s="74"/>
      <c r="N29" s="74"/>
      <c r="O29" s="74"/>
      <c r="P29" s="74"/>
      <c r="Q29" s="74"/>
      <c r="R29" s="74"/>
      <c r="S29" s="74"/>
      <c r="T29" s="74"/>
      <c r="U29" s="74"/>
      <c r="V29" s="74"/>
      <c r="W29" s="74"/>
      <c r="X29" s="74"/>
      <c r="Y29" s="74"/>
      <c r="Z29" s="74"/>
      <c r="AA29" s="74"/>
      <c r="AB29" s="74"/>
    </row>
    <row r="30" spans="1:28" ht="12" customHeight="1">
      <c r="A30" s="337" t="s">
        <v>2018</v>
      </c>
      <c r="B30" s="334">
        <v>40455</v>
      </c>
      <c r="C30" s="335" t="s">
        <v>128</v>
      </c>
      <c r="D30" s="335" t="s">
        <v>2019</v>
      </c>
      <c r="E30" s="335" t="s">
        <v>2020</v>
      </c>
      <c r="F30" s="336" t="s">
        <v>3095</v>
      </c>
      <c r="G30" s="35"/>
      <c r="H30" s="104"/>
      <c r="I30" s="74"/>
      <c r="J30" s="74"/>
      <c r="K30" s="74"/>
      <c r="L30" s="74"/>
      <c r="M30" s="74"/>
      <c r="N30" s="74"/>
      <c r="O30" s="74"/>
      <c r="P30" s="74"/>
      <c r="Q30" s="74"/>
      <c r="R30" s="74"/>
      <c r="S30" s="74"/>
      <c r="T30" s="74"/>
      <c r="U30" s="74"/>
      <c r="V30" s="74"/>
      <c r="W30" s="74"/>
      <c r="X30" s="74"/>
      <c r="Y30" s="74"/>
      <c r="Z30" s="74"/>
      <c r="AA30" s="74"/>
      <c r="AB30" s="74"/>
    </row>
    <row r="31" spans="1:28" ht="12" customHeight="1">
      <c r="A31" s="337" t="s">
        <v>831</v>
      </c>
      <c r="B31" s="334">
        <v>41183</v>
      </c>
      <c r="C31" s="335" t="s">
        <v>57</v>
      </c>
      <c r="D31" s="335" t="s">
        <v>546</v>
      </c>
      <c r="E31" s="335" t="s">
        <v>2025</v>
      </c>
      <c r="F31" s="336" t="s">
        <v>2026</v>
      </c>
      <c r="G31" s="35"/>
      <c r="H31" s="104"/>
      <c r="I31" s="74"/>
      <c r="J31" s="74"/>
      <c r="K31" s="74"/>
      <c r="L31" s="74"/>
      <c r="M31" s="74"/>
      <c r="N31" s="74"/>
      <c r="O31" s="74"/>
      <c r="P31" s="74"/>
      <c r="Q31" s="74"/>
      <c r="R31" s="74"/>
      <c r="S31" s="74"/>
      <c r="T31" s="74"/>
      <c r="U31" s="74"/>
      <c r="V31" s="74"/>
      <c r="W31" s="74"/>
      <c r="X31" s="74"/>
      <c r="Y31" s="74"/>
      <c r="Z31" s="74"/>
      <c r="AA31" s="74"/>
      <c r="AB31" s="74"/>
    </row>
    <row r="32" spans="1:28" ht="12" customHeight="1">
      <c r="A32" s="337" t="s">
        <v>3096</v>
      </c>
      <c r="B32" s="338">
        <v>41628</v>
      </c>
      <c r="C32" s="335" t="s">
        <v>57</v>
      </c>
      <c r="D32" s="335" t="s">
        <v>2030</v>
      </c>
      <c r="E32" s="335" t="s">
        <v>2031</v>
      </c>
      <c r="F32" s="336" t="s">
        <v>3097</v>
      </c>
      <c r="G32" s="35"/>
      <c r="H32" s="104"/>
      <c r="I32" s="74"/>
      <c r="J32" s="74"/>
      <c r="K32" s="74"/>
      <c r="L32" s="74"/>
      <c r="M32" s="74"/>
      <c r="N32" s="74"/>
      <c r="O32" s="74"/>
      <c r="P32" s="74"/>
      <c r="Q32" s="74"/>
      <c r="R32" s="74"/>
      <c r="S32" s="74"/>
      <c r="T32" s="74"/>
      <c r="U32" s="74"/>
      <c r="V32" s="74"/>
      <c r="W32" s="74"/>
      <c r="X32" s="74"/>
      <c r="Y32" s="74"/>
      <c r="Z32" s="74"/>
      <c r="AA32" s="74"/>
      <c r="AB32" s="74"/>
    </row>
    <row r="33" spans="1:28" ht="12" customHeight="1">
      <c r="A33" s="337" t="s">
        <v>2042</v>
      </c>
      <c r="B33" s="334">
        <v>41689</v>
      </c>
      <c r="C33" s="335" t="s">
        <v>57</v>
      </c>
      <c r="D33" s="335" t="s">
        <v>2043</v>
      </c>
      <c r="E33" s="335" t="s">
        <v>2044</v>
      </c>
      <c r="F33" s="336" t="s">
        <v>2045</v>
      </c>
      <c r="G33" s="35"/>
      <c r="H33" s="104"/>
      <c r="I33" s="74"/>
      <c r="J33" s="74"/>
      <c r="K33" s="74"/>
      <c r="L33" s="74"/>
      <c r="M33" s="74"/>
      <c r="N33" s="74"/>
      <c r="O33" s="74"/>
      <c r="P33" s="74"/>
      <c r="Q33" s="74"/>
      <c r="R33" s="74"/>
      <c r="S33" s="74"/>
      <c r="T33" s="74"/>
      <c r="U33" s="74"/>
      <c r="V33" s="74"/>
      <c r="W33" s="74"/>
      <c r="X33" s="74"/>
      <c r="Y33" s="74"/>
      <c r="Z33" s="74"/>
      <c r="AA33" s="74"/>
      <c r="AB33" s="74"/>
    </row>
    <row r="34" spans="1:28" ht="12" customHeight="1">
      <c r="A34" s="337" t="s">
        <v>2050</v>
      </c>
      <c r="B34" s="334">
        <v>42060</v>
      </c>
      <c r="C34" s="335" t="s">
        <v>57</v>
      </c>
      <c r="D34" s="335" t="s">
        <v>2051</v>
      </c>
      <c r="E34" s="335">
        <v>29</v>
      </c>
      <c r="F34" s="336" t="s">
        <v>3098</v>
      </c>
      <c r="G34" s="35"/>
      <c r="H34" s="104"/>
      <c r="I34" s="74"/>
      <c r="J34" s="74"/>
      <c r="K34" s="74"/>
      <c r="L34" s="74"/>
      <c r="M34" s="74"/>
      <c r="N34" s="74"/>
      <c r="O34" s="74"/>
      <c r="P34" s="74"/>
      <c r="Q34" s="74"/>
      <c r="R34" s="74"/>
      <c r="S34" s="74"/>
      <c r="T34" s="74"/>
      <c r="U34" s="74"/>
      <c r="V34" s="74"/>
      <c r="W34" s="74"/>
      <c r="X34" s="74"/>
      <c r="Y34" s="74"/>
      <c r="Z34" s="74"/>
      <c r="AA34" s="74"/>
      <c r="AB34" s="74"/>
    </row>
    <row r="35" spans="1:28" ht="12" customHeight="1">
      <c r="A35" s="337" t="s">
        <v>2053</v>
      </c>
      <c r="B35" s="334">
        <v>42317</v>
      </c>
      <c r="C35" s="335" t="s">
        <v>61</v>
      </c>
      <c r="D35" s="335" t="s">
        <v>1247</v>
      </c>
      <c r="E35" s="335" t="s">
        <v>2054</v>
      </c>
      <c r="F35" s="336" t="s">
        <v>3099</v>
      </c>
      <c r="G35" s="35"/>
      <c r="H35" s="104"/>
      <c r="I35" s="74"/>
      <c r="J35" s="74"/>
      <c r="K35" s="74"/>
      <c r="L35" s="74"/>
      <c r="M35" s="74"/>
      <c r="N35" s="74"/>
      <c r="O35" s="74"/>
      <c r="P35" s="74"/>
      <c r="Q35" s="74"/>
      <c r="R35" s="74"/>
      <c r="S35" s="74"/>
      <c r="T35" s="74"/>
      <c r="U35" s="74"/>
      <c r="V35" s="74"/>
      <c r="W35" s="74"/>
      <c r="X35" s="74"/>
      <c r="Y35" s="74"/>
      <c r="Z35" s="74"/>
      <c r="AA35" s="74"/>
      <c r="AB35" s="74"/>
    </row>
    <row r="36" spans="1:28" ht="12" customHeight="1">
      <c r="A36" s="337" t="s">
        <v>3100</v>
      </c>
      <c r="B36" s="334">
        <v>42550</v>
      </c>
      <c r="C36" s="335" t="s">
        <v>3101</v>
      </c>
      <c r="D36" s="335" t="s">
        <v>3102</v>
      </c>
      <c r="E36" s="335">
        <v>2</v>
      </c>
      <c r="F36" s="336" t="s">
        <v>3103</v>
      </c>
      <c r="G36" s="35"/>
      <c r="H36" s="104"/>
      <c r="I36" s="74"/>
      <c r="J36" s="74"/>
      <c r="K36" s="74"/>
      <c r="L36" s="74"/>
      <c r="M36" s="74"/>
      <c r="N36" s="74"/>
      <c r="O36" s="74"/>
      <c r="P36" s="74"/>
      <c r="Q36" s="74"/>
      <c r="R36" s="74"/>
      <c r="S36" s="74"/>
      <c r="T36" s="74"/>
      <c r="U36" s="74"/>
      <c r="V36" s="74"/>
      <c r="W36" s="74"/>
      <c r="X36" s="74"/>
      <c r="Y36" s="74"/>
      <c r="Z36" s="74"/>
      <c r="AA36" s="74"/>
      <c r="AB36" s="74"/>
    </row>
    <row r="37" spans="1:28" ht="12" customHeight="1">
      <c r="A37" s="337" t="s">
        <v>1732</v>
      </c>
      <c r="B37" s="334">
        <v>42471</v>
      </c>
      <c r="C37" s="335" t="s">
        <v>1232</v>
      </c>
      <c r="D37" s="335" t="s">
        <v>2056</v>
      </c>
      <c r="E37" s="335" t="s">
        <v>3104</v>
      </c>
      <c r="F37" s="336" t="s">
        <v>3105</v>
      </c>
      <c r="G37" s="35"/>
      <c r="H37" s="104"/>
      <c r="I37" s="74"/>
      <c r="J37" s="74"/>
      <c r="K37" s="74"/>
      <c r="L37" s="74"/>
      <c r="M37" s="74"/>
      <c r="N37" s="74"/>
      <c r="O37" s="74"/>
      <c r="P37" s="74"/>
      <c r="Q37" s="74"/>
      <c r="R37" s="74"/>
      <c r="S37" s="74"/>
      <c r="T37" s="74"/>
      <c r="U37" s="74"/>
      <c r="V37" s="74"/>
      <c r="W37" s="74"/>
      <c r="X37" s="74"/>
      <c r="Y37" s="74"/>
      <c r="Z37" s="74"/>
      <c r="AA37" s="74"/>
      <c r="AB37" s="74"/>
    </row>
    <row r="38" spans="1:28" ht="12" customHeight="1">
      <c r="A38" s="337" t="s">
        <v>2068</v>
      </c>
      <c r="B38" s="334">
        <v>39022</v>
      </c>
      <c r="C38" s="335" t="s">
        <v>61</v>
      </c>
      <c r="D38" s="335" t="s">
        <v>2069</v>
      </c>
      <c r="E38" s="335" t="s">
        <v>2070</v>
      </c>
      <c r="F38" s="336" t="s">
        <v>2071</v>
      </c>
      <c r="G38" s="35"/>
      <c r="H38" s="104"/>
      <c r="I38" s="74"/>
      <c r="J38" s="74"/>
      <c r="K38" s="74"/>
      <c r="L38" s="74"/>
      <c r="M38" s="74"/>
      <c r="N38" s="74"/>
      <c r="O38" s="74"/>
      <c r="P38" s="74"/>
      <c r="Q38" s="74"/>
      <c r="R38" s="74"/>
      <c r="S38" s="74"/>
      <c r="T38" s="74"/>
      <c r="U38" s="74"/>
      <c r="V38" s="74"/>
      <c r="W38" s="74"/>
      <c r="X38" s="74"/>
      <c r="Y38" s="74"/>
      <c r="Z38" s="74"/>
      <c r="AA38" s="74"/>
      <c r="AB38" s="74"/>
    </row>
    <row r="39" spans="1:28" ht="12" customHeight="1">
      <c r="A39" s="337" t="s">
        <v>2072</v>
      </c>
      <c r="B39" s="338">
        <v>40101</v>
      </c>
      <c r="C39" s="335" t="s">
        <v>57</v>
      </c>
      <c r="D39" s="335" t="s">
        <v>2073</v>
      </c>
      <c r="E39" s="335" t="s">
        <v>2074</v>
      </c>
      <c r="F39" s="336" t="s">
        <v>3106</v>
      </c>
      <c r="G39" s="35"/>
      <c r="H39" s="104"/>
      <c r="I39" s="74"/>
      <c r="J39" s="74"/>
      <c r="K39" s="74"/>
      <c r="L39" s="74"/>
      <c r="M39" s="74"/>
      <c r="N39" s="74"/>
      <c r="O39" s="74"/>
      <c r="P39" s="74"/>
      <c r="Q39" s="74"/>
      <c r="R39" s="74"/>
      <c r="S39" s="74"/>
      <c r="T39" s="74"/>
      <c r="U39" s="74"/>
      <c r="V39" s="74"/>
      <c r="W39" s="74"/>
      <c r="X39" s="74"/>
      <c r="Y39" s="74"/>
      <c r="Z39" s="74"/>
      <c r="AA39" s="74"/>
      <c r="AB39" s="74"/>
    </row>
    <row r="40" spans="1:28" ht="12" customHeight="1">
      <c r="A40" s="337" t="s">
        <v>2080</v>
      </c>
      <c r="B40" s="338">
        <v>42358</v>
      </c>
      <c r="C40" s="335" t="s">
        <v>57</v>
      </c>
      <c r="D40" s="335" t="s">
        <v>2081</v>
      </c>
      <c r="E40" s="335" t="s">
        <v>41</v>
      </c>
      <c r="F40" s="336" t="s">
        <v>97</v>
      </c>
      <c r="G40" s="35"/>
      <c r="H40" s="104"/>
      <c r="I40" s="74"/>
      <c r="J40" s="74"/>
      <c r="K40" s="74"/>
      <c r="L40" s="74"/>
      <c r="M40" s="74"/>
      <c r="N40" s="74"/>
      <c r="O40" s="74"/>
      <c r="P40" s="74"/>
      <c r="Q40" s="74"/>
      <c r="R40" s="74"/>
      <c r="S40" s="74"/>
      <c r="T40" s="74"/>
      <c r="U40" s="74"/>
      <c r="V40" s="74"/>
      <c r="W40" s="74"/>
      <c r="X40" s="74"/>
      <c r="Y40" s="74"/>
      <c r="Z40" s="74"/>
      <c r="AA40" s="74"/>
      <c r="AB40" s="74"/>
    </row>
    <row r="41" spans="1:28" ht="12" customHeight="1">
      <c r="A41" s="333" t="s">
        <v>2082</v>
      </c>
      <c r="B41" s="338">
        <v>37984</v>
      </c>
      <c r="C41" s="335" t="s">
        <v>195</v>
      </c>
      <c r="D41" s="335" t="s">
        <v>2083</v>
      </c>
      <c r="E41" s="335" t="s">
        <v>2002</v>
      </c>
      <c r="F41" s="336" t="s">
        <v>2084</v>
      </c>
      <c r="G41" s="35"/>
      <c r="H41" s="104"/>
      <c r="I41" s="74"/>
      <c r="J41" s="74"/>
      <c r="K41" s="74"/>
      <c r="L41" s="74"/>
      <c r="M41" s="74"/>
      <c r="N41" s="74"/>
      <c r="O41" s="74"/>
      <c r="P41" s="74"/>
      <c r="Q41" s="74"/>
      <c r="R41" s="74"/>
      <c r="S41" s="74"/>
      <c r="T41" s="74"/>
      <c r="U41" s="74"/>
      <c r="V41" s="74"/>
      <c r="W41" s="74"/>
      <c r="X41" s="74"/>
      <c r="Y41" s="74"/>
      <c r="Z41" s="74"/>
      <c r="AA41" s="74"/>
      <c r="AB41" s="74"/>
    </row>
    <row r="42" spans="1:28" ht="12" customHeight="1">
      <c r="A42" s="333" t="s">
        <v>2089</v>
      </c>
      <c r="B42" s="334">
        <v>39261</v>
      </c>
      <c r="C42" s="335" t="s">
        <v>195</v>
      </c>
      <c r="D42" s="335" t="s">
        <v>2090</v>
      </c>
      <c r="E42" s="335" t="s">
        <v>2048</v>
      </c>
      <c r="F42" s="336" t="s">
        <v>2091</v>
      </c>
      <c r="G42" s="35"/>
      <c r="H42" s="104"/>
      <c r="I42" s="74"/>
      <c r="J42" s="74"/>
      <c r="K42" s="74"/>
      <c r="L42" s="74"/>
      <c r="M42" s="74"/>
      <c r="N42" s="74"/>
      <c r="O42" s="74"/>
      <c r="P42" s="74"/>
      <c r="Q42" s="74"/>
      <c r="R42" s="74"/>
      <c r="S42" s="74"/>
      <c r="T42" s="74"/>
      <c r="U42" s="74"/>
      <c r="V42" s="74"/>
      <c r="W42" s="74"/>
      <c r="X42" s="74"/>
      <c r="Y42" s="74"/>
      <c r="Z42" s="74"/>
      <c r="AA42" s="74"/>
      <c r="AB42" s="74"/>
    </row>
    <row r="43" spans="1:28" ht="12" customHeight="1">
      <c r="A43" s="333" t="s">
        <v>2095</v>
      </c>
      <c r="B43" s="338">
        <v>40143</v>
      </c>
      <c r="C43" s="335" t="s">
        <v>195</v>
      </c>
      <c r="D43" s="335" t="s">
        <v>2096</v>
      </c>
      <c r="E43" s="335" t="s">
        <v>2087</v>
      </c>
      <c r="F43" s="336" t="s">
        <v>3107</v>
      </c>
      <c r="G43" s="35"/>
      <c r="H43" s="104"/>
      <c r="I43" s="74"/>
      <c r="J43" s="74"/>
      <c r="K43" s="74"/>
      <c r="L43" s="74"/>
      <c r="M43" s="74"/>
      <c r="N43" s="74"/>
      <c r="O43" s="74"/>
      <c r="P43" s="74"/>
      <c r="Q43" s="74"/>
      <c r="R43" s="74"/>
      <c r="S43" s="74"/>
      <c r="T43" s="74"/>
      <c r="U43" s="74"/>
      <c r="V43" s="74"/>
      <c r="W43" s="74"/>
      <c r="X43" s="74"/>
      <c r="Y43" s="74"/>
      <c r="Z43" s="74"/>
      <c r="AA43" s="74"/>
      <c r="AB43" s="74"/>
    </row>
    <row r="44" spans="1:28" ht="12" customHeight="1">
      <c r="A44" s="333" t="s">
        <v>2101</v>
      </c>
      <c r="B44" s="334">
        <v>41248</v>
      </c>
      <c r="C44" s="335" t="s">
        <v>195</v>
      </c>
      <c r="D44" s="335" t="s">
        <v>2102</v>
      </c>
      <c r="E44" s="335">
        <v>2</v>
      </c>
      <c r="F44" s="336" t="s">
        <v>2103</v>
      </c>
      <c r="G44" s="35"/>
      <c r="H44" s="104"/>
      <c r="I44" s="74"/>
      <c r="J44" s="74"/>
      <c r="K44" s="74"/>
      <c r="L44" s="74"/>
      <c r="M44" s="74"/>
      <c r="N44" s="74"/>
      <c r="O44" s="74"/>
      <c r="P44" s="74"/>
      <c r="Q44" s="74"/>
      <c r="R44" s="74"/>
      <c r="S44" s="74"/>
      <c r="T44" s="74"/>
      <c r="U44" s="74"/>
      <c r="V44" s="74"/>
      <c r="W44" s="74"/>
      <c r="X44" s="74"/>
      <c r="Y44" s="74"/>
      <c r="Z44" s="74"/>
      <c r="AA44" s="74"/>
      <c r="AB44" s="74"/>
    </row>
    <row r="45" spans="1:28" ht="12" customHeight="1">
      <c r="A45" s="333" t="s">
        <v>2107</v>
      </c>
      <c r="B45" s="338">
        <v>41634</v>
      </c>
      <c r="C45" s="335" t="s">
        <v>195</v>
      </c>
      <c r="D45" s="335" t="s">
        <v>1279</v>
      </c>
      <c r="E45" s="335" t="s">
        <v>2048</v>
      </c>
      <c r="F45" s="336" t="s">
        <v>2108</v>
      </c>
      <c r="G45" s="35"/>
      <c r="H45" s="104"/>
      <c r="I45" s="74"/>
      <c r="J45" s="74"/>
      <c r="K45" s="74"/>
      <c r="L45" s="74"/>
      <c r="M45" s="74"/>
      <c r="N45" s="74"/>
      <c r="O45" s="74"/>
      <c r="P45" s="74"/>
      <c r="Q45" s="74"/>
      <c r="R45" s="74"/>
      <c r="S45" s="74"/>
      <c r="T45" s="74"/>
      <c r="U45" s="74"/>
      <c r="V45" s="74"/>
      <c r="W45" s="74"/>
      <c r="X45" s="74"/>
      <c r="Y45" s="74"/>
      <c r="Z45" s="74"/>
      <c r="AA45" s="74"/>
      <c r="AB45" s="74"/>
    </row>
    <row r="46" spans="1:28" ht="12" customHeight="1">
      <c r="A46" s="333" t="s">
        <v>2109</v>
      </c>
      <c r="B46" s="334">
        <v>42240</v>
      </c>
      <c r="C46" s="335" t="s">
        <v>195</v>
      </c>
      <c r="D46" s="335" t="s">
        <v>2110</v>
      </c>
      <c r="E46" s="335">
        <v>6</v>
      </c>
      <c r="F46" s="336" t="s">
        <v>3108</v>
      </c>
      <c r="G46" s="35"/>
      <c r="H46" s="104"/>
      <c r="I46" s="74"/>
      <c r="J46" s="74"/>
      <c r="K46" s="74"/>
      <c r="L46" s="74"/>
      <c r="M46" s="74"/>
      <c r="N46" s="74"/>
      <c r="O46" s="74"/>
      <c r="P46" s="74"/>
      <c r="Q46" s="74"/>
      <c r="R46" s="74"/>
      <c r="S46" s="74"/>
      <c r="T46" s="74"/>
      <c r="U46" s="74"/>
      <c r="V46" s="74"/>
      <c r="W46" s="74"/>
      <c r="X46" s="74"/>
      <c r="Y46" s="74"/>
      <c r="Z46" s="74"/>
      <c r="AA46" s="74"/>
      <c r="AB46" s="74"/>
    </row>
    <row r="47" spans="1:28" ht="12" customHeight="1">
      <c r="A47" s="333" t="s">
        <v>2112</v>
      </c>
      <c r="B47" s="338">
        <v>42368</v>
      </c>
      <c r="C47" s="335" t="s">
        <v>195</v>
      </c>
      <c r="D47" s="335" t="s">
        <v>2113</v>
      </c>
      <c r="E47" s="335" t="s">
        <v>2114</v>
      </c>
      <c r="F47" s="336" t="s">
        <v>3109</v>
      </c>
      <c r="G47" s="35"/>
      <c r="H47" s="104"/>
      <c r="I47" s="74"/>
      <c r="J47" s="74"/>
      <c r="K47" s="74"/>
      <c r="L47" s="74"/>
      <c r="M47" s="74"/>
      <c r="N47" s="74"/>
      <c r="O47" s="74"/>
      <c r="P47" s="74"/>
      <c r="Q47" s="74"/>
      <c r="R47" s="74"/>
      <c r="S47" s="74"/>
      <c r="T47" s="74"/>
      <c r="U47" s="74"/>
      <c r="V47" s="74"/>
      <c r="W47" s="74"/>
      <c r="X47" s="74"/>
      <c r="Y47" s="74"/>
      <c r="Z47" s="74"/>
      <c r="AA47" s="74"/>
      <c r="AB47" s="74"/>
    </row>
    <row r="48" spans="1:28" ht="12" customHeight="1">
      <c r="A48" s="337" t="s">
        <v>2116</v>
      </c>
      <c r="B48" s="334">
        <v>33515</v>
      </c>
      <c r="C48" s="335" t="s">
        <v>2117</v>
      </c>
      <c r="D48" s="335" t="s">
        <v>2118</v>
      </c>
      <c r="E48" s="335">
        <v>2</v>
      </c>
      <c r="F48" s="336" t="s">
        <v>2119</v>
      </c>
      <c r="G48" s="35"/>
      <c r="H48" s="104"/>
      <c r="I48" s="74"/>
      <c r="J48" s="74"/>
      <c r="K48" s="74"/>
      <c r="L48" s="74"/>
      <c r="M48" s="74"/>
      <c r="N48" s="74"/>
      <c r="O48" s="74"/>
      <c r="P48" s="74"/>
      <c r="Q48" s="74"/>
      <c r="R48" s="74"/>
      <c r="S48" s="74"/>
      <c r="T48" s="74"/>
      <c r="U48" s="74"/>
      <c r="V48" s="74"/>
      <c r="W48" s="74"/>
      <c r="X48" s="74"/>
      <c r="Y48" s="74"/>
      <c r="Z48" s="74"/>
      <c r="AA48" s="74"/>
      <c r="AB48" s="74"/>
    </row>
    <row r="49" spans="1:28" ht="12" customHeight="1">
      <c r="A49" s="337" t="s">
        <v>1847</v>
      </c>
      <c r="B49" s="334">
        <v>35230</v>
      </c>
      <c r="C49" s="335" t="s">
        <v>2120</v>
      </c>
      <c r="D49" s="335" t="s">
        <v>3110</v>
      </c>
      <c r="E49" s="335" t="s">
        <v>2122</v>
      </c>
      <c r="F49" s="336" t="s">
        <v>2123</v>
      </c>
      <c r="G49" s="35"/>
      <c r="H49" s="104"/>
      <c r="I49" s="74"/>
      <c r="J49" s="74"/>
      <c r="K49" s="74"/>
      <c r="L49" s="74"/>
      <c r="M49" s="74"/>
      <c r="N49" s="74"/>
      <c r="O49" s="74"/>
      <c r="P49" s="74"/>
      <c r="Q49" s="74"/>
      <c r="R49" s="74"/>
      <c r="S49" s="74"/>
      <c r="T49" s="74"/>
      <c r="U49" s="74"/>
      <c r="V49" s="74"/>
      <c r="W49" s="74"/>
      <c r="X49" s="74"/>
      <c r="Y49" s="74"/>
      <c r="Z49" s="74"/>
      <c r="AA49" s="74"/>
      <c r="AB49" s="74"/>
    </row>
    <row r="50" spans="1:28" ht="12" customHeight="1">
      <c r="A50" s="340" t="s">
        <v>2033</v>
      </c>
      <c r="B50" s="334">
        <v>37657</v>
      </c>
      <c r="C50" s="335" t="s">
        <v>1098</v>
      </c>
      <c r="D50" s="335" t="s">
        <v>2034</v>
      </c>
      <c r="E50" s="335" t="s">
        <v>41</v>
      </c>
      <c r="F50" s="336" t="s">
        <v>97</v>
      </c>
      <c r="G50" s="74"/>
      <c r="H50" s="285"/>
      <c r="I50" s="74"/>
      <c r="J50" s="74"/>
      <c r="K50" s="74"/>
      <c r="L50" s="74"/>
      <c r="M50" s="74"/>
      <c r="N50" s="74"/>
      <c r="O50" s="74"/>
      <c r="P50" s="74"/>
      <c r="Q50" s="74"/>
      <c r="R50" s="74"/>
      <c r="S50" s="74"/>
      <c r="T50" s="74"/>
      <c r="U50" s="74"/>
      <c r="V50" s="74"/>
      <c r="W50" s="74"/>
      <c r="X50" s="74"/>
      <c r="Y50" s="74"/>
      <c r="Z50" s="74"/>
      <c r="AA50" s="74"/>
      <c r="AB50" s="74"/>
    </row>
    <row r="51" spans="1:28" ht="12" customHeight="1">
      <c r="A51" s="337" t="s">
        <v>2124</v>
      </c>
      <c r="B51" s="334">
        <v>37865</v>
      </c>
      <c r="C51" s="335" t="s">
        <v>2120</v>
      </c>
      <c r="D51" s="335" t="s">
        <v>2125</v>
      </c>
      <c r="E51" s="335" t="s">
        <v>2126</v>
      </c>
      <c r="F51" s="336" t="s">
        <v>2127</v>
      </c>
      <c r="G51" s="35"/>
      <c r="H51" s="104"/>
      <c r="I51" s="74"/>
      <c r="J51" s="74"/>
      <c r="K51" s="74"/>
      <c r="L51" s="74"/>
      <c r="M51" s="74"/>
      <c r="N51" s="74"/>
      <c r="O51" s="74"/>
      <c r="P51" s="74"/>
      <c r="Q51" s="74"/>
      <c r="R51" s="74"/>
      <c r="S51" s="74"/>
      <c r="T51" s="74"/>
      <c r="U51" s="74"/>
      <c r="V51" s="74"/>
      <c r="W51" s="74"/>
      <c r="X51" s="74"/>
      <c r="Y51" s="74"/>
      <c r="Z51" s="74"/>
      <c r="AA51" s="74"/>
      <c r="AB51" s="74"/>
    </row>
    <row r="52" spans="1:28" ht="12" customHeight="1">
      <c r="A52" s="337" t="s">
        <v>2128</v>
      </c>
      <c r="B52" s="334">
        <v>39566</v>
      </c>
      <c r="C52" s="335" t="s">
        <v>1294</v>
      </c>
      <c r="D52" s="335" t="s">
        <v>2129</v>
      </c>
      <c r="E52" s="335" t="s">
        <v>1951</v>
      </c>
      <c r="F52" s="336" t="s">
        <v>2130</v>
      </c>
      <c r="G52" s="35"/>
      <c r="H52" s="104"/>
      <c r="I52" s="74"/>
      <c r="J52" s="74"/>
      <c r="K52" s="74"/>
      <c r="L52" s="74"/>
      <c r="M52" s="74"/>
      <c r="N52" s="74"/>
      <c r="O52" s="74"/>
      <c r="P52" s="74"/>
      <c r="Q52" s="74"/>
      <c r="R52" s="74"/>
      <c r="S52" s="74"/>
      <c r="T52" s="74"/>
      <c r="U52" s="74"/>
      <c r="V52" s="74"/>
      <c r="W52" s="74"/>
      <c r="X52" s="74"/>
      <c r="Y52" s="74"/>
      <c r="Z52" s="74"/>
      <c r="AA52" s="74"/>
      <c r="AB52" s="74"/>
    </row>
    <row r="53" spans="1:28" ht="12" customHeight="1">
      <c r="A53" s="337" t="s">
        <v>2131</v>
      </c>
      <c r="B53" s="334">
        <v>38915</v>
      </c>
      <c r="C53" s="335" t="s">
        <v>2064</v>
      </c>
      <c r="D53" s="335" t="s">
        <v>2132</v>
      </c>
      <c r="E53" s="335">
        <v>4</v>
      </c>
      <c r="F53" s="336" t="s">
        <v>3111</v>
      </c>
      <c r="G53" s="35"/>
      <c r="H53" s="104"/>
      <c r="I53" s="74"/>
      <c r="J53" s="74"/>
      <c r="K53" s="74"/>
      <c r="L53" s="74"/>
      <c r="M53" s="74"/>
      <c r="N53" s="74"/>
      <c r="O53" s="74"/>
      <c r="P53" s="74"/>
      <c r="Q53" s="74"/>
      <c r="R53" s="74"/>
      <c r="S53" s="74"/>
      <c r="T53" s="74"/>
      <c r="U53" s="74"/>
      <c r="V53" s="74"/>
      <c r="W53" s="74"/>
      <c r="X53" s="74"/>
      <c r="Y53" s="74"/>
      <c r="Z53" s="74"/>
      <c r="AA53" s="74"/>
      <c r="AB53" s="74"/>
    </row>
    <row r="54" spans="1:28" ht="12" customHeight="1">
      <c r="A54" s="337" t="s">
        <v>2134</v>
      </c>
      <c r="B54" s="334">
        <v>39296</v>
      </c>
      <c r="C54" s="335" t="s">
        <v>2064</v>
      </c>
      <c r="D54" s="335" t="s">
        <v>2135</v>
      </c>
      <c r="E54" s="335" t="s">
        <v>2136</v>
      </c>
      <c r="F54" s="336" t="s">
        <v>2137</v>
      </c>
      <c r="G54" s="35"/>
      <c r="H54" s="104"/>
      <c r="I54" s="74"/>
      <c r="J54" s="74"/>
      <c r="K54" s="74"/>
      <c r="L54" s="74"/>
      <c r="M54" s="74"/>
      <c r="N54" s="74"/>
      <c r="O54" s="74"/>
      <c r="P54" s="74"/>
      <c r="Q54" s="74"/>
      <c r="R54" s="74"/>
      <c r="S54" s="74"/>
      <c r="T54" s="74"/>
      <c r="U54" s="74"/>
      <c r="V54" s="74"/>
      <c r="W54" s="74"/>
      <c r="X54" s="74"/>
      <c r="Y54" s="74"/>
      <c r="Z54" s="74"/>
      <c r="AA54" s="74"/>
      <c r="AB54" s="74"/>
    </row>
    <row r="55" spans="1:28" ht="12" customHeight="1">
      <c r="A55" s="337" t="s">
        <v>2138</v>
      </c>
      <c r="B55" s="334">
        <v>39604</v>
      </c>
      <c r="C55" s="335" t="s">
        <v>2064</v>
      </c>
      <c r="D55" s="335" t="s">
        <v>2139</v>
      </c>
      <c r="E55" s="335" t="s">
        <v>2140</v>
      </c>
      <c r="F55" s="336" t="s">
        <v>2141</v>
      </c>
      <c r="G55" s="35"/>
      <c r="H55" s="104"/>
      <c r="I55" s="74"/>
      <c r="J55" s="74"/>
      <c r="K55" s="74"/>
      <c r="L55" s="74"/>
      <c r="M55" s="74"/>
      <c r="N55" s="74"/>
      <c r="O55" s="74"/>
      <c r="P55" s="74"/>
      <c r="Q55" s="74"/>
      <c r="R55" s="74"/>
      <c r="S55" s="74"/>
      <c r="T55" s="74"/>
      <c r="U55" s="74"/>
      <c r="V55" s="74"/>
      <c r="W55" s="74"/>
      <c r="X55" s="74"/>
      <c r="Y55" s="74"/>
      <c r="Z55" s="74"/>
      <c r="AA55" s="74"/>
      <c r="AB55" s="74"/>
    </row>
    <row r="56" spans="1:28" ht="12" customHeight="1">
      <c r="A56" s="337" t="s">
        <v>2142</v>
      </c>
      <c r="B56" s="334">
        <v>39574</v>
      </c>
      <c r="C56" s="335" t="s">
        <v>540</v>
      </c>
      <c r="D56" s="335" t="s">
        <v>575</v>
      </c>
      <c r="E56" s="335" t="s">
        <v>2143</v>
      </c>
      <c r="F56" s="336" t="s">
        <v>2144</v>
      </c>
      <c r="G56" s="35"/>
      <c r="H56" s="104"/>
      <c r="I56" s="74"/>
      <c r="J56" s="74"/>
      <c r="K56" s="74"/>
      <c r="L56" s="74"/>
      <c r="M56" s="74"/>
      <c r="N56" s="74"/>
      <c r="O56" s="74"/>
      <c r="P56" s="74"/>
      <c r="Q56" s="74"/>
      <c r="R56" s="74"/>
      <c r="S56" s="74"/>
      <c r="T56" s="74"/>
      <c r="U56" s="74"/>
      <c r="V56" s="74"/>
      <c r="W56" s="74"/>
      <c r="X56" s="74"/>
      <c r="Y56" s="74"/>
      <c r="Z56" s="74"/>
      <c r="AA56" s="74"/>
      <c r="AB56" s="74"/>
    </row>
    <row r="57" spans="1:28" ht="12" customHeight="1">
      <c r="A57" s="337" t="s">
        <v>2148</v>
      </c>
      <c r="B57" s="334">
        <v>39983</v>
      </c>
      <c r="C57" s="335" t="s">
        <v>540</v>
      </c>
      <c r="D57" s="335" t="s">
        <v>2149</v>
      </c>
      <c r="E57" s="335" t="s">
        <v>2150</v>
      </c>
      <c r="F57" s="336" t="s">
        <v>2151</v>
      </c>
      <c r="G57" s="35"/>
      <c r="H57" s="104"/>
      <c r="I57" s="74"/>
      <c r="J57" s="74"/>
      <c r="K57" s="74"/>
      <c r="L57" s="74"/>
      <c r="M57" s="74"/>
      <c r="N57" s="74"/>
      <c r="O57" s="74"/>
      <c r="P57" s="74"/>
      <c r="Q57" s="74"/>
      <c r="R57" s="74"/>
      <c r="S57" s="74"/>
      <c r="T57" s="74"/>
      <c r="U57" s="74"/>
      <c r="V57" s="74"/>
      <c r="W57" s="74"/>
      <c r="X57" s="74"/>
      <c r="Y57" s="74"/>
      <c r="Z57" s="74"/>
      <c r="AA57" s="74"/>
      <c r="AB57" s="74"/>
    </row>
    <row r="58" spans="1:28" ht="12" customHeight="1">
      <c r="A58" s="337" t="s">
        <v>2152</v>
      </c>
      <c r="B58" s="334">
        <v>40049</v>
      </c>
      <c r="C58" s="335" t="s">
        <v>540</v>
      </c>
      <c r="D58" s="335" t="s">
        <v>2153</v>
      </c>
      <c r="E58" s="335" t="s">
        <v>1968</v>
      </c>
      <c r="F58" s="336" t="s">
        <v>3112</v>
      </c>
      <c r="G58" s="35"/>
      <c r="H58" s="104"/>
      <c r="I58" s="74"/>
      <c r="J58" s="74"/>
      <c r="K58" s="74"/>
      <c r="L58" s="74"/>
      <c r="M58" s="74"/>
      <c r="N58" s="74"/>
      <c r="O58" s="74"/>
      <c r="P58" s="74"/>
      <c r="Q58" s="74"/>
      <c r="R58" s="74"/>
      <c r="S58" s="74"/>
      <c r="T58" s="74"/>
      <c r="U58" s="74"/>
      <c r="V58" s="74"/>
      <c r="W58" s="74"/>
      <c r="X58" s="74"/>
      <c r="Y58" s="74"/>
      <c r="Z58" s="74"/>
      <c r="AA58" s="74"/>
      <c r="AB58" s="74"/>
    </row>
    <row r="59" spans="1:28" ht="12" customHeight="1">
      <c r="A59" s="341" t="s">
        <v>3113</v>
      </c>
      <c r="B59" s="334">
        <v>40241</v>
      </c>
      <c r="C59" s="335" t="s">
        <v>1098</v>
      </c>
      <c r="D59" s="335" t="s">
        <v>3114</v>
      </c>
      <c r="E59" s="335">
        <v>3</v>
      </c>
      <c r="F59" s="336" t="s">
        <v>3115</v>
      </c>
      <c r="G59" s="35"/>
      <c r="H59" s="104"/>
      <c r="I59" s="74"/>
      <c r="J59" s="74"/>
      <c r="K59" s="74"/>
      <c r="L59" s="74"/>
      <c r="M59" s="74"/>
      <c r="N59" s="74"/>
      <c r="O59" s="74"/>
      <c r="P59" s="74"/>
      <c r="Q59" s="74"/>
      <c r="R59" s="74"/>
      <c r="S59" s="74"/>
      <c r="T59" s="74"/>
      <c r="U59" s="74"/>
      <c r="V59" s="74"/>
      <c r="W59" s="74"/>
      <c r="X59" s="74"/>
      <c r="Y59" s="74"/>
      <c r="Z59" s="74"/>
      <c r="AA59" s="74"/>
      <c r="AB59" s="74"/>
    </row>
    <row r="60" spans="1:28" ht="12" customHeight="1">
      <c r="A60" s="337" t="s">
        <v>2177</v>
      </c>
      <c r="B60" s="338">
        <v>41274</v>
      </c>
      <c r="C60" s="335" t="s">
        <v>2178</v>
      </c>
      <c r="D60" s="335" t="s">
        <v>2179</v>
      </c>
      <c r="E60" s="335" t="s">
        <v>1947</v>
      </c>
      <c r="F60" s="336" t="s">
        <v>2180</v>
      </c>
      <c r="G60" s="35"/>
      <c r="H60" s="104"/>
      <c r="I60" s="74"/>
      <c r="J60" s="74"/>
      <c r="K60" s="74"/>
      <c r="L60" s="74"/>
      <c r="M60" s="74"/>
      <c r="N60" s="74"/>
      <c r="O60" s="74"/>
      <c r="P60" s="74"/>
      <c r="Q60" s="74"/>
      <c r="R60" s="74"/>
      <c r="S60" s="74"/>
      <c r="T60" s="74"/>
      <c r="U60" s="74"/>
      <c r="V60" s="74"/>
      <c r="W60" s="74"/>
      <c r="X60" s="74"/>
      <c r="Y60" s="74"/>
      <c r="Z60" s="74"/>
      <c r="AA60" s="74"/>
      <c r="AB60" s="74"/>
    </row>
    <row r="61" spans="1:28" ht="12" customHeight="1">
      <c r="A61" s="337" t="s">
        <v>3116</v>
      </c>
      <c r="B61" s="334">
        <v>41381</v>
      </c>
      <c r="C61" s="335" t="s">
        <v>130</v>
      </c>
      <c r="D61" s="335" t="s">
        <v>2185</v>
      </c>
      <c r="E61" s="335" t="s">
        <v>1947</v>
      </c>
      <c r="F61" s="336" t="s">
        <v>2186</v>
      </c>
      <c r="G61" s="35"/>
      <c r="H61" s="104"/>
      <c r="I61" s="74"/>
      <c r="J61" s="74"/>
      <c r="K61" s="74"/>
      <c r="L61" s="74"/>
      <c r="M61" s="74"/>
      <c r="N61" s="74"/>
      <c r="O61" s="74"/>
      <c r="P61" s="74"/>
      <c r="Q61" s="74"/>
      <c r="R61" s="74"/>
      <c r="S61" s="74"/>
      <c r="T61" s="74"/>
      <c r="U61" s="74"/>
      <c r="V61" s="74"/>
      <c r="W61" s="74"/>
      <c r="X61" s="74"/>
      <c r="Y61" s="74"/>
      <c r="Z61" s="74"/>
      <c r="AA61" s="74"/>
      <c r="AB61" s="74"/>
    </row>
    <row r="62" spans="1:28" ht="12" customHeight="1">
      <c r="A62" s="337" t="s">
        <v>2187</v>
      </c>
      <c r="B62" s="334">
        <v>41424</v>
      </c>
      <c r="C62" s="335" t="s">
        <v>540</v>
      </c>
      <c r="D62" s="335" t="s">
        <v>2188</v>
      </c>
      <c r="E62" s="335">
        <v>1</v>
      </c>
      <c r="F62" s="336" t="s">
        <v>3117</v>
      </c>
      <c r="G62" s="35"/>
      <c r="H62" s="104"/>
      <c r="I62" s="74"/>
      <c r="J62" s="74"/>
      <c r="K62" s="74"/>
      <c r="L62" s="74"/>
      <c r="M62" s="74"/>
      <c r="N62" s="74"/>
      <c r="O62" s="74"/>
      <c r="P62" s="74"/>
      <c r="Q62" s="74"/>
      <c r="R62" s="74"/>
      <c r="S62" s="74"/>
      <c r="T62" s="74"/>
      <c r="U62" s="74"/>
      <c r="V62" s="74"/>
      <c r="W62" s="74"/>
      <c r="X62" s="74"/>
      <c r="Y62" s="74"/>
      <c r="Z62" s="74"/>
      <c r="AA62" s="74"/>
      <c r="AB62" s="74"/>
    </row>
    <row r="63" spans="1:28" ht="12" customHeight="1">
      <c r="A63" s="337" t="s">
        <v>3118</v>
      </c>
      <c r="B63" s="334">
        <v>41666</v>
      </c>
      <c r="C63" s="335" t="s">
        <v>2196</v>
      </c>
      <c r="D63" s="335" t="s">
        <v>2197</v>
      </c>
      <c r="E63" s="335" t="s">
        <v>1947</v>
      </c>
      <c r="F63" s="336" t="s">
        <v>2198</v>
      </c>
      <c r="G63" s="35"/>
      <c r="H63" s="104"/>
      <c r="I63" s="74"/>
      <c r="J63" s="74"/>
      <c r="K63" s="74"/>
      <c r="L63" s="74"/>
      <c r="M63" s="74"/>
      <c r="N63" s="74"/>
      <c r="O63" s="74"/>
      <c r="P63" s="74"/>
      <c r="Q63" s="74"/>
      <c r="R63" s="74"/>
      <c r="S63" s="74"/>
      <c r="T63" s="74"/>
      <c r="U63" s="74"/>
      <c r="V63" s="74"/>
      <c r="W63" s="74"/>
      <c r="X63" s="74"/>
      <c r="Y63" s="74"/>
      <c r="Z63" s="74"/>
      <c r="AA63" s="74"/>
      <c r="AB63" s="74"/>
    </row>
    <row r="64" spans="1:28" ht="12" customHeight="1">
      <c r="A64" s="337" t="s">
        <v>2202</v>
      </c>
      <c r="B64" s="334">
        <v>42080</v>
      </c>
      <c r="C64" s="335" t="s">
        <v>2064</v>
      </c>
      <c r="D64" s="335" t="s">
        <v>2203</v>
      </c>
      <c r="E64" s="335" t="s">
        <v>2204</v>
      </c>
      <c r="F64" s="336" t="s">
        <v>3119</v>
      </c>
      <c r="G64" s="35"/>
      <c r="H64" s="104"/>
      <c r="I64" s="74"/>
      <c r="J64" s="74"/>
      <c r="K64" s="74"/>
      <c r="L64" s="74"/>
      <c r="M64" s="74"/>
      <c r="N64" s="74"/>
      <c r="O64" s="74"/>
      <c r="P64" s="74"/>
      <c r="Q64" s="74"/>
      <c r="R64" s="74"/>
      <c r="S64" s="74"/>
      <c r="T64" s="74"/>
      <c r="U64" s="74"/>
      <c r="V64" s="74"/>
      <c r="W64" s="74"/>
      <c r="X64" s="74"/>
      <c r="Y64" s="74"/>
      <c r="Z64" s="74"/>
      <c r="AA64" s="74"/>
      <c r="AB64" s="74"/>
    </row>
    <row r="65" spans="1:28" ht="12" customHeight="1">
      <c r="A65" s="337" t="s">
        <v>2206</v>
      </c>
      <c r="B65" s="334">
        <v>42194</v>
      </c>
      <c r="C65" s="335" t="s">
        <v>1337</v>
      </c>
      <c r="D65" s="335" t="s">
        <v>2207</v>
      </c>
      <c r="E65" s="335" t="s">
        <v>3120</v>
      </c>
      <c r="F65" s="336" t="s">
        <v>3121</v>
      </c>
      <c r="G65" s="35"/>
      <c r="H65" s="104"/>
      <c r="I65" s="74"/>
      <c r="J65" s="74"/>
      <c r="K65" s="74"/>
      <c r="L65" s="74"/>
      <c r="M65" s="74"/>
      <c r="N65" s="74"/>
      <c r="O65" s="74"/>
      <c r="P65" s="74"/>
      <c r="Q65" s="74"/>
      <c r="R65" s="74"/>
      <c r="S65" s="74"/>
      <c r="T65" s="74"/>
      <c r="U65" s="74"/>
      <c r="V65" s="74"/>
      <c r="W65" s="74"/>
      <c r="X65" s="74"/>
      <c r="Y65" s="74"/>
      <c r="Z65" s="74"/>
      <c r="AA65" s="74"/>
      <c r="AB65" s="74"/>
    </row>
    <row r="66" spans="1:28" ht="12" customHeight="1">
      <c r="A66" s="340" t="s">
        <v>1827</v>
      </c>
      <c r="B66" s="334">
        <v>43160</v>
      </c>
      <c r="C66" s="335" t="s">
        <v>2064</v>
      </c>
      <c r="D66" s="335" t="s">
        <v>2221</v>
      </c>
      <c r="E66" s="335" t="s">
        <v>3122</v>
      </c>
      <c r="F66" s="336" t="s">
        <v>2223</v>
      </c>
      <c r="G66" s="35"/>
      <c r="H66" s="104"/>
      <c r="I66" s="74"/>
      <c r="J66" s="74"/>
      <c r="K66" s="74"/>
      <c r="L66" s="74"/>
      <c r="M66" s="74"/>
      <c r="N66" s="74"/>
      <c r="O66" s="74"/>
      <c r="P66" s="74"/>
      <c r="Q66" s="74"/>
      <c r="R66" s="74"/>
      <c r="S66" s="74"/>
      <c r="T66" s="74"/>
      <c r="U66" s="74"/>
      <c r="V66" s="74"/>
      <c r="W66" s="74"/>
      <c r="X66" s="74"/>
      <c r="Y66" s="74"/>
      <c r="Z66" s="74"/>
      <c r="AA66" s="74"/>
      <c r="AB66" s="74"/>
    </row>
    <row r="67" spans="1:28" ht="12" customHeight="1">
      <c r="A67" s="342" t="s">
        <v>3123</v>
      </c>
      <c r="B67" s="343">
        <v>43738</v>
      </c>
      <c r="C67" s="344" t="s">
        <v>681</v>
      </c>
      <c r="D67" s="345" t="s">
        <v>3124</v>
      </c>
      <c r="E67" s="344" t="s">
        <v>41</v>
      </c>
      <c r="F67" s="346" t="s">
        <v>97</v>
      </c>
      <c r="G67" s="35"/>
      <c r="H67" s="104"/>
      <c r="I67" s="74"/>
      <c r="J67" s="74"/>
      <c r="K67" s="74"/>
      <c r="L67" s="74"/>
      <c r="M67" s="74"/>
      <c r="N67" s="74"/>
      <c r="O67" s="74"/>
      <c r="P67" s="74"/>
      <c r="Q67" s="74"/>
      <c r="R67" s="74"/>
      <c r="S67" s="74"/>
      <c r="T67" s="74"/>
      <c r="U67" s="74"/>
      <c r="V67" s="74"/>
      <c r="W67" s="74"/>
      <c r="X67" s="74"/>
      <c r="Y67" s="74"/>
      <c r="Z67" s="74"/>
      <c r="AA67" s="74"/>
      <c r="AB67" s="74"/>
    </row>
    <row r="68" spans="1:28" ht="12" customHeight="1">
      <c r="A68" s="347" t="s">
        <v>3125</v>
      </c>
      <c r="B68" s="348">
        <v>34270</v>
      </c>
      <c r="C68" s="344" t="s">
        <v>507</v>
      </c>
      <c r="D68" s="345" t="s">
        <v>246</v>
      </c>
      <c r="E68" s="344" t="s">
        <v>41</v>
      </c>
      <c r="F68" s="349" t="s">
        <v>3126</v>
      </c>
      <c r="G68" s="35"/>
      <c r="H68" s="104"/>
      <c r="I68" s="74"/>
      <c r="J68" s="74"/>
      <c r="K68" s="74"/>
      <c r="L68" s="74"/>
      <c r="M68" s="74"/>
      <c r="N68" s="74"/>
      <c r="O68" s="74"/>
      <c r="P68" s="74"/>
      <c r="Q68" s="74"/>
      <c r="R68" s="74"/>
      <c r="S68" s="74"/>
      <c r="T68" s="74"/>
      <c r="U68" s="74"/>
      <c r="V68" s="74"/>
      <c r="W68" s="74"/>
      <c r="X68" s="74"/>
      <c r="Y68" s="74"/>
      <c r="Z68" s="74"/>
      <c r="AA68" s="74"/>
      <c r="AB68" s="74"/>
    </row>
    <row r="69" spans="1:28" ht="12" customHeight="1">
      <c r="A69" s="347" t="s">
        <v>3127</v>
      </c>
      <c r="B69" s="343">
        <v>39279</v>
      </c>
      <c r="C69" s="344" t="s">
        <v>507</v>
      </c>
      <c r="D69" s="345" t="s">
        <v>276</v>
      </c>
      <c r="E69" s="344" t="s">
        <v>41</v>
      </c>
      <c r="F69" s="349" t="s">
        <v>3128</v>
      </c>
      <c r="G69" s="35"/>
      <c r="H69" s="104"/>
      <c r="I69" s="74"/>
      <c r="J69" s="74"/>
      <c r="K69" s="74"/>
      <c r="L69" s="74"/>
      <c r="M69" s="74"/>
      <c r="N69" s="74"/>
      <c r="O69" s="74"/>
      <c r="P69" s="74"/>
      <c r="Q69" s="74"/>
      <c r="R69" s="74"/>
      <c r="S69" s="74"/>
      <c r="T69" s="74"/>
      <c r="U69" s="74"/>
      <c r="V69" s="74"/>
      <c r="W69" s="74"/>
      <c r="X69" s="74"/>
      <c r="Y69" s="74"/>
      <c r="Z69" s="74"/>
      <c r="AA69" s="74"/>
      <c r="AB69" s="74"/>
    </row>
    <row r="70" spans="1:28" ht="12" customHeight="1">
      <c r="A70" s="350" t="s">
        <v>3129</v>
      </c>
      <c r="B70" s="351">
        <v>40736</v>
      </c>
      <c r="C70" s="344" t="s">
        <v>507</v>
      </c>
      <c r="D70" s="352" t="s">
        <v>1150</v>
      </c>
      <c r="E70" s="344" t="s">
        <v>41</v>
      </c>
      <c r="F70" s="349" t="s">
        <v>3130</v>
      </c>
      <c r="G70" s="35"/>
      <c r="H70" s="104"/>
      <c r="I70" s="74"/>
      <c r="J70" s="74"/>
      <c r="K70" s="74"/>
      <c r="L70" s="74"/>
      <c r="M70" s="74"/>
      <c r="N70" s="74"/>
      <c r="O70" s="74"/>
      <c r="P70" s="74"/>
      <c r="Q70" s="74"/>
      <c r="R70" s="74"/>
      <c r="S70" s="74"/>
      <c r="T70" s="74"/>
      <c r="U70" s="74"/>
      <c r="V70" s="74"/>
      <c r="W70" s="74"/>
      <c r="X70" s="74"/>
      <c r="Y70" s="74"/>
      <c r="Z70" s="74"/>
      <c r="AA70" s="74"/>
      <c r="AB70" s="74"/>
    </row>
    <row r="71" spans="1:28" ht="12" customHeight="1">
      <c r="A71" s="353" t="s">
        <v>3131</v>
      </c>
      <c r="B71" s="354">
        <v>44377</v>
      </c>
      <c r="C71" s="344" t="s">
        <v>507</v>
      </c>
      <c r="D71" s="345" t="s">
        <v>3132</v>
      </c>
      <c r="E71" s="344" t="s">
        <v>41</v>
      </c>
      <c r="F71" s="346" t="s">
        <v>42</v>
      </c>
      <c r="G71" s="35"/>
      <c r="H71" s="104"/>
      <c r="I71" s="74"/>
      <c r="J71" s="74"/>
      <c r="K71" s="74"/>
      <c r="L71" s="74"/>
      <c r="M71" s="74"/>
      <c r="N71" s="74"/>
      <c r="O71" s="74"/>
      <c r="P71" s="74"/>
      <c r="Q71" s="74"/>
      <c r="R71" s="74"/>
      <c r="S71" s="74"/>
      <c r="T71" s="74"/>
      <c r="U71" s="74"/>
      <c r="V71" s="74"/>
      <c r="W71" s="74"/>
      <c r="X71" s="74"/>
      <c r="Y71" s="74"/>
      <c r="Z71" s="74"/>
      <c r="AA71" s="74"/>
      <c r="AB71" s="74"/>
    </row>
    <row r="72" spans="1:28" ht="12" customHeight="1">
      <c r="A72" s="260"/>
      <c r="B72" s="104"/>
      <c r="C72" s="104"/>
      <c r="D72" s="260"/>
      <c r="E72" s="104"/>
      <c r="F72" s="104"/>
      <c r="G72" s="35"/>
      <c r="H72" s="104"/>
      <c r="I72" s="74"/>
      <c r="J72" s="74"/>
      <c r="K72" s="74"/>
      <c r="L72" s="74"/>
      <c r="M72" s="74"/>
      <c r="N72" s="74"/>
      <c r="O72" s="74"/>
      <c r="P72" s="74"/>
      <c r="Q72" s="74"/>
      <c r="R72" s="74"/>
      <c r="S72" s="74"/>
      <c r="T72" s="74"/>
      <c r="U72" s="74"/>
      <c r="V72" s="74"/>
      <c r="W72" s="74"/>
      <c r="X72" s="74"/>
      <c r="Y72" s="74"/>
      <c r="Z72" s="74"/>
      <c r="AA72" s="74"/>
      <c r="AB72" s="74"/>
    </row>
    <row r="73" spans="1:28" ht="12" customHeight="1">
      <c r="A73" s="260"/>
      <c r="B73" s="104"/>
      <c r="C73" s="104"/>
      <c r="D73" s="260"/>
      <c r="E73" s="104"/>
      <c r="F73" s="104"/>
      <c r="G73" s="35"/>
      <c r="H73" s="104"/>
      <c r="I73" s="74"/>
      <c r="J73" s="74"/>
      <c r="K73" s="74"/>
      <c r="L73" s="74"/>
      <c r="M73" s="74"/>
      <c r="N73" s="74"/>
      <c r="O73" s="74"/>
      <c r="P73" s="74"/>
      <c r="Q73" s="74"/>
      <c r="R73" s="74"/>
      <c r="S73" s="74"/>
      <c r="T73" s="74"/>
      <c r="U73" s="74"/>
      <c r="V73" s="74"/>
      <c r="W73" s="74"/>
      <c r="X73" s="74"/>
      <c r="Y73" s="74"/>
      <c r="Z73" s="74"/>
      <c r="AA73" s="74"/>
      <c r="AB73" s="74"/>
    </row>
    <row r="74" spans="1:28" ht="12" customHeight="1">
      <c r="A74" s="260"/>
      <c r="B74" s="104"/>
      <c r="C74" s="104"/>
      <c r="D74" s="260"/>
      <c r="E74" s="104"/>
      <c r="F74" s="104"/>
      <c r="G74" s="35"/>
      <c r="H74" s="104"/>
      <c r="I74" s="74"/>
      <c r="J74" s="74"/>
      <c r="K74" s="74"/>
      <c r="L74" s="74"/>
      <c r="M74" s="74"/>
      <c r="N74" s="74"/>
      <c r="O74" s="74"/>
      <c r="P74" s="74"/>
      <c r="Q74" s="74"/>
      <c r="R74" s="74"/>
      <c r="S74" s="74"/>
      <c r="T74" s="74"/>
      <c r="U74" s="74"/>
      <c r="V74" s="74"/>
      <c r="W74" s="74"/>
      <c r="X74" s="74"/>
      <c r="Y74" s="74"/>
      <c r="Z74" s="74"/>
      <c r="AA74" s="74"/>
      <c r="AB74" s="74"/>
    </row>
    <row r="75" spans="1:28" ht="12" customHeight="1">
      <c r="A75" s="260"/>
      <c r="B75" s="104"/>
      <c r="C75" s="104"/>
      <c r="D75" s="260"/>
      <c r="E75" s="104"/>
      <c r="F75" s="104"/>
      <c r="G75" s="35"/>
      <c r="H75" s="104"/>
      <c r="I75" s="74"/>
      <c r="J75" s="74"/>
      <c r="K75" s="74"/>
      <c r="L75" s="74"/>
      <c r="M75" s="74"/>
      <c r="N75" s="74"/>
      <c r="O75" s="74"/>
      <c r="P75" s="74"/>
      <c r="Q75" s="74"/>
      <c r="R75" s="74"/>
      <c r="S75" s="74"/>
      <c r="T75" s="74"/>
      <c r="U75" s="74"/>
      <c r="V75" s="74"/>
      <c r="W75" s="74"/>
      <c r="X75" s="74"/>
      <c r="Y75" s="74"/>
      <c r="Z75" s="74"/>
      <c r="AA75" s="74"/>
      <c r="AB75" s="74"/>
    </row>
    <row r="76" spans="1:28" ht="12" customHeight="1">
      <c r="A76" s="260"/>
      <c r="B76" s="104"/>
      <c r="C76" s="104"/>
      <c r="D76" s="260"/>
      <c r="E76" s="104"/>
      <c r="F76" s="104"/>
      <c r="G76" s="35"/>
      <c r="H76" s="104"/>
      <c r="I76" s="74"/>
      <c r="J76" s="74"/>
      <c r="K76" s="74"/>
      <c r="L76" s="74"/>
      <c r="M76" s="74"/>
      <c r="N76" s="74"/>
      <c r="O76" s="74"/>
      <c r="P76" s="74"/>
      <c r="Q76" s="74"/>
      <c r="R76" s="74"/>
      <c r="S76" s="74"/>
      <c r="T76" s="74"/>
      <c r="U76" s="74"/>
      <c r="V76" s="74"/>
      <c r="W76" s="74"/>
      <c r="X76" s="74"/>
      <c r="Y76" s="74"/>
      <c r="Z76" s="74"/>
      <c r="AA76" s="74"/>
      <c r="AB76" s="74"/>
    </row>
    <row r="77" spans="1:28" ht="12" customHeight="1">
      <c r="A77" s="260"/>
      <c r="B77" s="104"/>
      <c r="C77" s="104"/>
      <c r="D77" s="260"/>
      <c r="E77" s="104"/>
      <c r="F77" s="104"/>
      <c r="G77" s="35"/>
      <c r="H77" s="104"/>
      <c r="I77" s="74"/>
      <c r="J77" s="74"/>
      <c r="K77" s="74"/>
      <c r="L77" s="74"/>
      <c r="M77" s="74"/>
      <c r="N77" s="74"/>
      <c r="O77" s="74"/>
      <c r="P77" s="74"/>
      <c r="Q77" s="74"/>
      <c r="R77" s="74"/>
      <c r="S77" s="74"/>
      <c r="T77" s="74"/>
      <c r="U77" s="74"/>
      <c r="V77" s="74"/>
      <c r="W77" s="74"/>
      <c r="X77" s="74"/>
      <c r="Y77" s="74"/>
      <c r="Z77" s="74"/>
      <c r="AA77" s="74"/>
      <c r="AB77" s="74"/>
    </row>
    <row r="78" spans="1:28" ht="12" customHeight="1">
      <c r="A78" s="260"/>
      <c r="B78" s="104"/>
      <c r="C78" s="104"/>
      <c r="D78" s="260"/>
      <c r="E78" s="104"/>
      <c r="F78" s="104"/>
      <c r="G78" s="35"/>
      <c r="H78" s="104"/>
      <c r="I78" s="74"/>
      <c r="J78" s="74"/>
      <c r="K78" s="74"/>
      <c r="L78" s="74"/>
      <c r="M78" s="74"/>
      <c r="N78" s="74"/>
      <c r="O78" s="74"/>
      <c r="P78" s="74"/>
      <c r="Q78" s="74"/>
      <c r="R78" s="74"/>
      <c r="S78" s="74"/>
      <c r="T78" s="74"/>
      <c r="U78" s="74"/>
      <c r="V78" s="74"/>
      <c r="W78" s="74"/>
      <c r="X78" s="74"/>
      <c r="Y78" s="74"/>
      <c r="Z78" s="74"/>
      <c r="AA78" s="74"/>
      <c r="AB78" s="74"/>
    </row>
    <row r="79" spans="1:28" ht="12" customHeight="1">
      <c r="A79" s="260"/>
      <c r="B79" s="104"/>
      <c r="C79" s="104"/>
      <c r="D79" s="260"/>
      <c r="E79" s="104"/>
      <c r="F79" s="104"/>
      <c r="G79" s="35"/>
      <c r="H79" s="104"/>
      <c r="I79" s="74"/>
      <c r="J79" s="74"/>
      <c r="K79" s="74"/>
      <c r="L79" s="74"/>
      <c r="M79" s="74"/>
      <c r="N79" s="74"/>
      <c r="O79" s="74"/>
      <c r="P79" s="74"/>
      <c r="Q79" s="74"/>
      <c r="R79" s="74"/>
      <c r="S79" s="74"/>
      <c r="T79" s="74"/>
      <c r="U79" s="74"/>
      <c r="V79" s="74"/>
      <c r="W79" s="74"/>
      <c r="X79" s="74"/>
      <c r="Y79" s="74"/>
      <c r="Z79" s="74"/>
      <c r="AA79" s="74"/>
      <c r="AB79" s="74"/>
    </row>
    <row r="80" spans="1:28" ht="12" customHeight="1">
      <c r="A80" s="260"/>
      <c r="B80" s="104"/>
      <c r="C80" s="104"/>
      <c r="D80" s="260"/>
      <c r="E80" s="104"/>
      <c r="F80" s="104"/>
      <c r="G80" s="35"/>
      <c r="H80" s="104"/>
      <c r="I80" s="74"/>
      <c r="J80" s="74"/>
      <c r="K80" s="74"/>
      <c r="L80" s="74"/>
      <c r="M80" s="74"/>
      <c r="N80" s="74"/>
      <c r="O80" s="74"/>
      <c r="P80" s="74"/>
      <c r="Q80" s="74"/>
      <c r="R80" s="74"/>
      <c r="S80" s="74"/>
      <c r="T80" s="74"/>
      <c r="U80" s="74"/>
      <c r="V80" s="74"/>
      <c r="W80" s="74"/>
      <c r="X80" s="74"/>
      <c r="Y80" s="74"/>
      <c r="Z80" s="74"/>
      <c r="AA80" s="74"/>
      <c r="AB80" s="74"/>
    </row>
    <row r="81" spans="1:28" ht="12" customHeight="1">
      <c r="A81" s="260"/>
      <c r="B81" s="104"/>
      <c r="C81" s="104"/>
      <c r="D81" s="260"/>
      <c r="E81" s="104"/>
      <c r="F81" s="104"/>
      <c r="G81" s="35"/>
      <c r="H81" s="104"/>
      <c r="I81" s="74"/>
      <c r="J81" s="74"/>
      <c r="K81" s="74"/>
      <c r="L81" s="74"/>
      <c r="M81" s="74"/>
      <c r="N81" s="74"/>
      <c r="O81" s="74"/>
      <c r="P81" s="74"/>
      <c r="Q81" s="74"/>
      <c r="R81" s="74"/>
      <c r="S81" s="74"/>
      <c r="T81" s="74"/>
      <c r="U81" s="74"/>
      <c r="V81" s="74"/>
      <c r="W81" s="74"/>
      <c r="X81" s="74"/>
      <c r="Y81" s="74"/>
      <c r="Z81" s="74"/>
      <c r="AA81" s="74"/>
      <c r="AB81" s="74"/>
    </row>
    <row r="82" spans="1:28" ht="12" customHeight="1">
      <c r="A82" s="260"/>
      <c r="B82" s="104"/>
      <c r="C82" s="104"/>
      <c r="D82" s="260"/>
      <c r="E82" s="104"/>
      <c r="F82" s="104"/>
      <c r="G82" s="35"/>
      <c r="H82" s="104"/>
      <c r="I82" s="74"/>
      <c r="J82" s="74"/>
      <c r="K82" s="74"/>
      <c r="L82" s="74"/>
      <c r="M82" s="74"/>
      <c r="N82" s="74"/>
      <c r="O82" s="74"/>
      <c r="P82" s="74"/>
      <c r="Q82" s="74"/>
      <c r="R82" s="74"/>
      <c r="S82" s="74"/>
      <c r="T82" s="74"/>
      <c r="U82" s="74"/>
      <c r="V82" s="74"/>
      <c r="W82" s="74"/>
      <c r="X82" s="74"/>
      <c r="Y82" s="74"/>
      <c r="Z82" s="74"/>
      <c r="AA82" s="74"/>
      <c r="AB82" s="74"/>
    </row>
    <row r="83" spans="1:28" ht="12" customHeight="1">
      <c r="A83" s="260"/>
      <c r="B83" s="104"/>
      <c r="C83" s="104"/>
      <c r="D83" s="260"/>
      <c r="E83" s="104"/>
      <c r="F83" s="104"/>
      <c r="G83" s="35"/>
      <c r="H83" s="104"/>
      <c r="I83" s="74"/>
      <c r="J83" s="74"/>
      <c r="K83" s="74"/>
      <c r="L83" s="74"/>
      <c r="M83" s="74"/>
      <c r="N83" s="74"/>
      <c r="O83" s="74"/>
      <c r="P83" s="74"/>
      <c r="Q83" s="74"/>
      <c r="R83" s="74"/>
      <c r="S83" s="74"/>
      <c r="T83" s="74"/>
      <c r="U83" s="74"/>
      <c r="V83" s="74"/>
      <c r="W83" s="74"/>
      <c r="X83" s="74"/>
      <c r="Y83" s="74"/>
      <c r="Z83" s="74"/>
      <c r="AA83" s="74"/>
      <c r="AB83" s="74"/>
    </row>
    <row r="84" spans="1:28" ht="12" customHeight="1">
      <c r="A84" s="260"/>
      <c r="B84" s="104"/>
      <c r="C84" s="104"/>
      <c r="D84" s="260"/>
      <c r="E84" s="104"/>
      <c r="F84" s="104"/>
      <c r="G84" s="35"/>
      <c r="H84" s="104"/>
      <c r="I84" s="74"/>
      <c r="J84" s="74"/>
      <c r="K84" s="74"/>
      <c r="L84" s="74"/>
      <c r="M84" s="74"/>
      <c r="N84" s="74"/>
      <c r="O84" s="74"/>
      <c r="P84" s="74"/>
      <c r="Q84" s="74"/>
      <c r="R84" s="74"/>
      <c r="S84" s="74"/>
      <c r="T84" s="74"/>
      <c r="U84" s="74"/>
      <c r="V84" s="74"/>
      <c r="W84" s="74"/>
      <c r="X84" s="74"/>
      <c r="Y84" s="74"/>
      <c r="Z84" s="74"/>
      <c r="AA84" s="74"/>
      <c r="AB84" s="74"/>
    </row>
    <row r="85" spans="1:28" ht="12" customHeight="1">
      <c r="A85" s="260"/>
      <c r="B85" s="104"/>
      <c r="C85" s="104"/>
      <c r="D85" s="260"/>
      <c r="E85" s="104"/>
      <c r="F85" s="104"/>
      <c r="G85" s="35"/>
      <c r="H85" s="104"/>
      <c r="I85" s="35"/>
      <c r="J85" s="74"/>
      <c r="K85" s="74"/>
      <c r="L85" s="74"/>
      <c r="M85" s="74"/>
      <c r="N85" s="74"/>
      <c r="O85" s="74"/>
      <c r="P85" s="74"/>
      <c r="Q85" s="74"/>
      <c r="R85" s="74"/>
      <c r="S85" s="74"/>
      <c r="T85" s="74"/>
      <c r="U85" s="74"/>
      <c r="V85" s="74"/>
      <c r="W85" s="74"/>
      <c r="X85" s="74"/>
      <c r="Y85" s="74"/>
      <c r="Z85" s="74"/>
      <c r="AA85" s="74"/>
      <c r="AB85" s="74"/>
    </row>
    <row r="86" spans="1:28" ht="12" customHeight="1">
      <c r="A86" s="260"/>
      <c r="B86" s="104"/>
      <c r="C86" s="104"/>
      <c r="D86" s="260"/>
      <c r="E86" s="104"/>
      <c r="F86" s="104"/>
      <c r="G86" s="35"/>
      <c r="H86" s="104"/>
      <c r="I86" s="35"/>
      <c r="J86" s="74"/>
      <c r="K86" s="74"/>
      <c r="L86" s="74"/>
      <c r="M86" s="74"/>
      <c r="N86" s="74"/>
      <c r="O86" s="74"/>
      <c r="P86" s="74"/>
      <c r="Q86" s="74"/>
      <c r="R86" s="74"/>
      <c r="S86" s="74"/>
      <c r="T86" s="74"/>
      <c r="U86" s="74"/>
      <c r="V86" s="74"/>
      <c r="W86" s="74"/>
      <c r="X86" s="74"/>
      <c r="Y86" s="74"/>
      <c r="Z86" s="74"/>
      <c r="AA86" s="74"/>
      <c r="AB86" s="74"/>
    </row>
    <row r="87" spans="1:28" ht="12" customHeight="1">
      <c r="A87" s="260"/>
      <c r="B87" s="104"/>
      <c r="C87" s="104"/>
      <c r="D87" s="260"/>
      <c r="E87" s="104"/>
      <c r="F87" s="104"/>
      <c r="G87" s="35"/>
      <c r="H87" s="104"/>
      <c r="I87" s="35"/>
      <c r="J87" s="74"/>
      <c r="K87" s="74"/>
      <c r="L87" s="74"/>
      <c r="M87" s="74"/>
      <c r="N87" s="74"/>
      <c r="O87" s="74"/>
      <c r="P87" s="74"/>
      <c r="Q87" s="74"/>
      <c r="R87" s="74"/>
      <c r="S87" s="74"/>
      <c r="T87" s="74"/>
      <c r="U87" s="74"/>
      <c r="V87" s="74"/>
      <c r="W87" s="74"/>
      <c r="X87" s="74"/>
      <c r="Y87" s="74"/>
      <c r="Z87" s="74"/>
      <c r="AA87" s="74"/>
      <c r="AB87" s="74"/>
    </row>
    <row r="88" spans="1:28" ht="12" customHeight="1">
      <c r="A88" s="260"/>
      <c r="B88" s="104"/>
      <c r="C88" s="104"/>
      <c r="D88" s="260"/>
      <c r="E88" s="104"/>
      <c r="F88" s="104"/>
      <c r="G88" s="35"/>
      <c r="H88" s="104"/>
      <c r="I88" s="35"/>
      <c r="J88" s="74"/>
      <c r="K88" s="74"/>
      <c r="L88" s="74"/>
      <c r="M88" s="74"/>
      <c r="N88" s="74"/>
      <c r="O88" s="74"/>
      <c r="P88" s="74"/>
      <c r="Q88" s="74"/>
      <c r="R88" s="74"/>
      <c r="S88" s="74"/>
      <c r="T88" s="74"/>
      <c r="U88" s="74"/>
      <c r="V88" s="74"/>
      <c r="W88" s="74"/>
      <c r="X88" s="74"/>
      <c r="Y88" s="74"/>
      <c r="Z88" s="74"/>
      <c r="AA88" s="74"/>
      <c r="AB88" s="74"/>
    </row>
    <row r="89" spans="1:28" ht="12" customHeight="1">
      <c r="A89" s="260"/>
      <c r="B89" s="104"/>
      <c r="C89" s="104"/>
      <c r="D89" s="260"/>
      <c r="E89" s="104"/>
      <c r="F89" s="104"/>
      <c r="G89" s="35"/>
      <c r="H89" s="104"/>
      <c r="I89" s="35"/>
      <c r="J89" s="74"/>
      <c r="K89" s="74"/>
      <c r="L89" s="74"/>
      <c r="M89" s="74"/>
      <c r="N89" s="74"/>
      <c r="O89" s="74"/>
      <c r="P89" s="74"/>
      <c r="Q89" s="74"/>
      <c r="R89" s="74"/>
      <c r="S89" s="74"/>
      <c r="T89" s="74"/>
      <c r="U89" s="74"/>
      <c r="V89" s="74"/>
      <c r="W89" s="74"/>
      <c r="X89" s="74"/>
      <c r="Y89" s="74"/>
      <c r="Z89" s="74"/>
      <c r="AA89" s="74"/>
      <c r="AB89" s="74"/>
    </row>
    <row r="90" spans="1:28" ht="12" customHeight="1">
      <c r="A90" s="260"/>
      <c r="B90" s="104"/>
      <c r="C90" s="104"/>
      <c r="D90" s="260"/>
      <c r="E90" s="104"/>
      <c r="F90" s="104"/>
      <c r="G90" s="35"/>
      <c r="H90" s="104"/>
      <c r="I90" s="35"/>
      <c r="J90" s="74"/>
      <c r="K90" s="74"/>
      <c r="L90" s="74"/>
      <c r="M90" s="74"/>
      <c r="N90" s="74"/>
      <c r="O90" s="74"/>
      <c r="P90" s="74"/>
      <c r="Q90" s="74"/>
      <c r="R90" s="74"/>
      <c r="S90" s="74"/>
      <c r="T90" s="74"/>
      <c r="U90" s="74"/>
      <c r="V90" s="74"/>
      <c r="W90" s="74"/>
      <c r="X90" s="74"/>
      <c r="Y90" s="74"/>
      <c r="Z90" s="74"/>
      <c r="AA90" s="74"/>
      <c r="AB90" s="74"/>
    </row>
    <row r="91" spans="1:28" ht="12" customHeight="1">
      <c r="A91" s="260"/>
      <c r="B91" s="104"/>
      <c r="C91" s="104"/>
      <c r="D91" s="260"/>
      <c r="E91" s="104"/>
      <c r="F91" s="104"/>
      <c r="G91" s="35"/>
      <c r="H91" s="104"/>
      <c r="I91" s="35"/>
      <c r="J91" s="74"/>
      <c r="K91" s="74"/>
      <c r="L91" s="74"/>
      <c r="M91" s="74"/>
      <c r="N91" s="74"/>
      <c r="O91" s="74"/>
      <c r="P91" s="74"/>
      <c r="Q91" s="74"/>
      <c r="R91" s="74"/>
      <c r="S91" s="74"/>
      <c r="T91" s="74"/>
      <c r="U91" s="74"/>
      <c r="V91" s="74"/>
      <c r="W91" s="74"/>
      <c r="X91" s="74"/>
      <c r="Y91" s="74"/>
      <c r="Z91" s="74"/>
      <c r="AA91" s="74"/>
      <c r="AB91" s="74"/>
    </row>
    <row r="92" spans="1:28" ht="12" customHeight="1">
      <c r="A92" s="260"/>
      <c r="B92" s="104"/>
      <c r="C92" s="104"/>
      <c r="D92" s="260"/>
      <c r="E92" s="104"/>
      <c r="F92" s="104"/>
      <c r="G92" s="35"/>
      <c r="H92" s="104"/>
      <c r="I92" s="35"/>
      <c r="J92" s="74"/>
      <c r="K92" s="74"/>
      <c r="L92" s="74"/>
      <c r="M92" s="74"/>
      <c r="N92" s="74"/>
      <c r="O92" s="74"/>
      <c r="P92" s="74"/>
      <c r="Q92" s="74"/>
      <c r="R92" s="74"/>
      <c r="S92" s="74"/>
      <c r="T92" s="74"/>
      <c r="U92" s="74"/>
      <c r="V92" s="74"/>
      <c r="W92" s="74"/>
      <c r="X92" s="74"/>
      <c r="Y92" s="74"/>
      <c r="Z92" s="74"/>
      <c r="AA92" s="74"/>
      <c r="AB92" s="74"/>
    </row>
    <row r="93" spans="1:28" ht="12" customHeight="1">
      <c r="A93" s="260"/>
      <c r="B93" s="104"/>
      <c r="C93" s="104"/>
      <c r="D93" s="260"/>
      <c r="E93" s="104"/>
      <c r="F93" s="104"/>
      <c r="G93" s="35"/>
      <c r="H93" s="104"/>
      <c r="I93" s="35"/>
      <c r="J93" s="74"/>
      <c r="K93" s="74"/>
      <c r="L93" s="74"/>
      <c r="M93" s="74"/>
      <c r="N93" s="74"/>
      <c r="O93" s="74"/>
      <c r="P93" s="74"/>
      <c r="Q93" s="74"/>
      <c r="R93" s="74"/>
      <c r="S93" s="74"/>
      <c r="T93" s="74"/>
      <c r="U93" s="74"/>
      <c r="V93" s="74"/>
      <c r="W93" s="74"/>
      <c r="X93" s="74"/>
      <c r="Y93" s="74"/>
      <c r="Z93" s="74"/>
      <c r="AA93" s="74"/>
      <c r="AB93" s="74"/>
    </row>
    <row r="94" spans="1:28" ht="12" customHeight="1">
      <c r="A94" s="260"/>
      <c r="B94" s="104"/>
      <c r="C94" s="104"/>
      <c r="D94" s="260"/>
      <c r="E94" s="104"/>
      <c r="F94" s="104"/>
      <c r="G94" s="35"/>
      <c r="H94" s="104"/>
      <c r="I94" s="35"/>
      <c r="J94" s="74"/>
      <c r="K94" s="74"/>
      <c r="L94" s="74"/>
      <c r="M94" s="74"/>
      <c r="N94" s="74"/>
      <c r="O94" s="74"/>
      <c r="P94" s="74"/>
      <c r="Q94" s="74"/>
      <c r="R94" s="74"/>
      <c r="S94" s="74"/>
      <c r="T94" s="74"/>
      <c r="U94" s="74"/>
      <c r="V94" s="74"/>
      <c r="W94" s="74"/>
      <c r="X94" s="74"/>
      <c r="Y94" s="74"/>
      <c r="Z94" s="74"/>
      <c r="AA94" s="74"/>
      <c r="AB94" s="74"/>
    </row>
    <row r="95" spans="1:28" ht="12" customHeight="1">
      <c r="A95" s="260"/>
      <c r="B95" s="104"/>
      <c r="C95" s="104"/>
      <c r="D95" s="260"/>
      <c r="E95" s="104"/>
      <c r="F95" s="104"/>
      <c r="G95" s="35"/>
      <c r="H95" s="104"/>
      <c r="I95" s="35"/>
      <c r="J95" s="74"/>
      <c r="K95" s="74"/>
      <c r="L95" s="74"/>
      <c r="M95" s="74"/>
      <c r="N95" s="74"/>
      <c r="O95" s="74"/>
      <c r="P95" s="74"/>
      <c r="Q95" s="74"/>
      <c r="R95" s="74"/>
      <c r="S95" s="74"/>
      <c r="T95" s="74"/>
      <c r="U95" s="74"/>
      <c r="V95" s="74"/>
      <c r="W95" s="74"/>
      <c r="X95" s="74"/>
      <c r="Y95" s="74"/>
      <c r="Z95" s="74"/>
      <c r="AA95" s="74"/>
      <c r="AB95" s="74"/>
    </row>
    <row r="96" spans="1:28" ht="12" customHeight="1">
      <c r="A96" s="260"/>
      <c r="B96" s="104"/>
      <c r="C96" s="104"/>
      <c r="D96" s="260"/>
      <c r="E96" s="104"/>
      <c r="F96" s="104"/>
      <c r="G96" s="35"/>
      <c r="H96" s="104"/>
      <c r="I96" s="35"/>
      <c r="J96" s="74"/>
      <c r="K96" s="74"/>
      <c r="L96" s="74"/>
      <c r="M96" s="74"/>
      <c r="N96" s="74"/>
      <c r="O96" s="74"/>
      <c r="P96" s="74"/>
      <c r="Q96" s="74"/>
      <c r="R96" s="74"/>
      <c r="S96" s="74"/>
      <c r="T96" s="74"/>
      <c r="U96" s="74"/>
      <c r="V96" s="74"/>
      <c r="W96" s="74"/>
      <c r="X96" s="74"/>
      <c r="Y96" s="74"/>
      <c r="Z96" s="74"/>
      <c r="AA96" s="74"/>
      <c r="AB96" s="74"/>
    </row>
    <row r="97" spans="1:28" ht="12" customHeight="1">
      <c r="A97" s="260"/>
      <c r="B97" s="104"/>
      <c r="C97" s="104"/>
      <c r="D97" s="260"/>
      <c r="E97" s="104"/>
      <c r="F97" s="104"/>
      <c r="G97" s="35"/>
      <c r="H97" s="104"/>
      <c r="I97" s="35"/>
      <c r="J97" s="74"/>
      <c r="K97" s="74"/>
      <c r="L97" s="74"/>
      <c r="M97" s="74"/>
      <c r="N97" s="74"/>
      <c r="O97" s="74"/>
      <c r="P97" s="74"/>
      <c r="Q97" s="74"/>
      <c r="R97" s="74"/>
      <c r="S97" s="74"/>
      <c r="T97" s="74"/>
      <c r="U97" s="74"/>
      <c r="V97" s="74"/>
      <c r="W97" s="74"/>
      <c r="X97" s="74"/>
      <c r="Y97" s="74"/>
      <c r="Z97" s="74"/>
      <c r="AA97" s="74"/>
      <c r="AB97" s="74"/>
    </row>
    <row r="98" spans="1:28" ht="12" customHeight="1">
      <c r="A98" s="260"/>
      <c r="B98" s="104"/>
      <c r="C98" s="104"/>
      <c r="D98" s="260"/>
      <c r="E98" s="104"/>
      <c r="F98" s="104"/>
      <c r="G98" s="35"/>
      <c r="H98" s="104"/>
      <c r="I98" s="35"/>
      <c r="J98" s="74"/>
      <c r="K98" s="74"/>
      <c r="L98" s="74"/>
      <c r="M98" s="74"/>
      <c r="N98" s="74"/>
      <c r="O98" s="74"/>
      <c r="P98" s="74"/>
      <c r="Q98" s="74"/>
      <c r="R98" s="74"/>
      <c r="S98" s="74"/>
      <c r="T98" s="74"/>
      <c r="U98" s="74"/>
      <c r="V98" s="74"/>
      <c r="W98" s="74"/>
      <c r="X98" s="74"/>
      <c r="Y98" s="74"/>
      <c r="Z98" s="74"/>
      <c r="AA98" s="74"/>
      <c r="AB98" s="74"/>
    </row>
    <row r="99" spans="1:28" ht="12" customHeight="1">
      <c r="A99" s="260"/>
      <c r="B99" s="104"/>
      <c r="C99" s="104"/>
      <c r="D99" s="260"/>
      <c r="E99" s="104"/>
      <c r="F99" s="104"/>
      <c r="G99" s="35"/>
      <c r="H99" s="104"/>
      <c r="I99" s="35"/>
      <c r="J99" s="74"/>
      <c r="K99" s="74"/>
      <c r="L99" s="74"/>
      <c r="M99" s="74"/>
      <c r="N99" s="74"/>
      <c r="O99" s="74"/>
      <c r="P99" s="74"/>
      <c r="Q99" s="74"/>
      <c r="R99" s="74"/>
      <c r="S99" s="74"/>
      <c r="T99" s="74"/>
      <c r="U99" s="74"/>
      <c r="V99" s="74"/>
      <c r="W99" s="74"/>
      <c r="X99" s="74"/>
      <c r="Y99" s="74"/>
      <c r="Z99" s="74"/>
      <c r="AA99" s="74"/>
      <c r="AB99" s="74"/>
    </row>
    <row r="100" spans="1:28" ht="12" customHeight="1">
      <c r="A100" s="260"/>
      <c r="B100" s="104"/>
      <c r="C100" s="104"/>
      <c r="D100" s="260"/>
      <c r="E100" s="104"/>
      <c r="F100" s="104"/>
      <c r="G100" s="35"/>
      <c r="H100" s="104"/>
      <c r="I100" s="35"/>
      <c r="J100" s="74"/>
      <c r="K100" s="74"/>
      <c r="L100" s="74"/>
      <c r="M100" s="74"/>
      <c r="N100" s="74"/>
      <c r="O100" s="74"/>
      <c r="P100" s="74"/>
      <c r="Q100" s="74"/>
      <c r="R100" s="74"/>
      <c r="S100" s="74"/>
      <c r="T100" s="74"/>
      <c r="U100" s="74"/>
      <c r="V100" s="74"/>
      <c r="W100" s="74"/>
      <c r="X100" s="74"/>
      <c r="Y100" s="74"/>
      <c r="Z100" s="74"/>
      <c r="AA100" s="74"/>
      <c r="AB100" s="74"/>
    </row>
    <row r="101" spans="1:28" ht="12" customHeight="1">
      <c r="A101" s="260"/>
      <c r="B101" s="104"/>
      <c r="C101" s="104"/>
      <c r="D101" s="260"/>
      <c r="E101" s="104"/>
      <c r="F101" s="104"/>
      <c r="G101" s="35"/>
      <c r="H101" s="104"/>
      <c r="I101" s="35"/>
      <c r="J101" s="74"/>
      <c r="K101" s="74"/>
      <c r="L101" s="74"/>
      <c r="M101" s="74"/>
      <c r="N101" s="74"/>
      <c r="O101" s="74"/>
      <c r="P101" s="74"/>
      <c r="Q101" s="74"/>
      <c r="R101" s="74"/>
      <c r="S101" s="74"/>
      <c r="T101" s="74"/>
      <c r="U101" s="74"/>
      <c r="V101" s="74"/>
      <c r="W101" s="74"/>
      <c r="X101" s="74"/>
      <c r="Y101" s="74"/>
      <c r="Z101" s="74"/>
      <c r="AA101" s="74"/>
      <c r="AB101" s="74"/>
    </row>
    <row r="102" spans="1:28" ht="12" customHeight="1">
      <c r="A102" s="260"/>
      <c r="B102" s="104"/>
      <c r="C102" s="104"/>
      <c r="D102" s="260"/>
      <c r="E102" s="104"/>
      <c r="F102" s="104"/>
      <c r="G102" s="35"/>
      <c r="H102" s="104"/>
      <c r="I102" s="35"/>
      <c r="J102" s="74"/>
      <c r="K102" s="74"/>
      <c r="L102" s="74"/>
      <c r="M102" s="74"/>
      <c r="N102" s="74"/>
      <c r="O102" s="74"/>
      <c r="P102" s="74"/>
      <c r="Q102" s="74"/>
      <c r="R102" s="74"/>
      <c r="S102" s="74"/>
      <c r="T102" s="74"/>
      <c r="U102" s="74"/>
      <c r="V102" s="74"/>
      <c r="W102" s="74"/>
      <c r="X102" s="74"/>
      <c r="Y102" s="74"/>
      <c r="Z102" s="74"/>
      <c r="AA102" s="74"/>
      <c r="AB102" s="74"/>
    </row>
    <row r="103" spans="1:28" ht="12" customHeight="1">
      <c r="A103" s="260"/>
      <c r="B103" s="104"/>
      <c r="C103" s="104"/>
      <c r="D103" s="260"/>
      <c r="E103" s="104"/>
      <c r="F103" s="104"/>
      <c r="G103" s="35"/>
      <c r="H103" s="104"/>
      <c r="I103" s="35"/>
      <c r="J103" s="74"/>
      <c r="K103" s="74"/>
      <c r="L103" s="74"/>
      <c r="M103" s="74"/>
      <c r="N103" s="74"/>
      <c r="O103" s="74"/>
      <c r="P103" s="74"/>
      <c r="Q103" s="74"/>
      <c r="R103" s="74"/>
      <c r="S103" s="74"/>
      <c r="T103" s="74"/>
      <c r="U103" s="74"/>
      <c r="V103" s="74"/>
      <c r="W103" s="74"/>
      <c r="X103" s="74"/>
      <c r="Y103" s="74"/>
      <c r="Z103" s="74"/>
      <c r="AA103" s="74"/>
      <c r="AB103" s="74"/>
    </row>
    <row r="104" spans="1:28" ht="12" customHeight="1">
      <c r="A104" s="260"/>
      <c r="B104" s="104"/>
      <c r="C104" s="104"/>
      <c r="D104" s="260"/>
      <c r="E104" s="104"/>
      <c r="F104" s="104"/>
      <c r="G104" s="35"/>
      <c r="H104" s="104"/>
      <c r="I104" s="35"/>
      <c r="J104" s="74"/>
      <c r="K104" s="74"/>
      <c r="L104" s="74"/>
      <c r="M104" s="74"/>
      <c r="N104" s="74"/>
      <c r="O104" s="74"/>
      <c r="P104" s="74"/>
      <c r="Q104" s="74"/>
      <c r="R104" s="74"/>
      <c r="S104" s="74"/>
      <c r="T104" s="74"/>
      <c r="U104" s="74"/>
      <c r="V104" s="74"/>
      <c r="W104" s="74"/>
      <c r="X104" s="74"/>
      <c r="Y104" s="74"/>
      <c r="Z104" s="74"/>
      <c r="AA104" s="74"/>
      <c r="AB104" s="74"/>
    </row>
    <row r="105" spans="1:28" ht="12" customHeight="1">
      <c r="A105" s="260"/>
      <c r="B105" s="104"/>
      <c r="C105" s="104"/>
      <c r="D105" s="260"/>
      <c r="E105" s="104"/>
      <c r="F105" s="104"/>
      <c r="G105" s="35"/>
      <c r="H105" s="104"/>
      <c r="I105" s="35"/>
      <c r="J105" s="74"/>
      <c r="K105" s="74"/>
      <c r="L105" s="74"/>
      <c r="M105" s="74"/>
      <c r="N105" s="74"/>
      <c r="O105" s="74"/>
      <c r="P105" s="74"/>
      <c r="Q105" s="74"/>
      <c r="R105" s="74"/>
      <c r="S105" s="74"/>
      <c r="T105" s="74"/>
      <c r="U105" s="74"/>
      <c r="V105" s="74"/>
      <c r="W105" s="74"/>
      <c r="X105" s="74"/>
      <c r="Y105" s="74"/>
      <c r="Z105" s="74"/>
      <c r="AA105" s="74"/>
      <c r="AB105" s="74"/>
    </row>
    <row r="106" spans="1:28" ht="12" customHeight="1">
      <c r="A106" s="260"/>
      <c r="B106" s="104"/>
      <c r="C106" s="104"/>
      <c r="D106" s="260"/>
      <c r="E106" s="104"/>
      <c r="F106" s="104"/>
      <c r="G106" s="35"/>
      <c r="H106" s="104"/>
      <c r="I106" s="35"/>
      <c r="J106" s="74"/>
      <c r="K106" s="74"/>
      <c r="L106" s="74"/>
      <c r="M106" s="74"/>
      <c r="N106" s="74"/>
      <c r="O106" s="74"/>
      <c r="P106" s="74"/>
      <c r="Q106" s="74"/>
      <c r="R106" s="74"/>
      <c r="S106" s="74"/>
      <c r="T106" s="74"/>
      <c r="U106" s="74"/>
      <c r="V106" s="74"/>
      <c r="W106" s="74"/>
      <c r="X106" s="74"/>
      <c r="Y106" s="74"/>
      <c r="Z106" s="74"/>
      <c r="AA106" s="74"/>
      <c r="AB106" s="74"/>
    </row>
    <row r="107" spans="1:28" ht="12" customHeight="1">
      <c r="A107" s="260"/>
      <c r="B107" s="104"/>
      <c r="C107" s="104"/>
      <c r="D107" s="260"/>
      <c r="E107" s="104"/>
      <c r="F107" s="104"/>
      <c r="G107" s="35"/>
      <c r="H107" s="104"/>
      <c r="I107" s="35"/>
      <c r="J107" s="74"/>
      <c r="K107" s="74"/>
      <c r="L107" s="74"/>
      <c r="M107" s="74"/>
      <c r="N107" s="74"/>
      <c r="O107" s="74"/>
      <c r="P107" s="74"/>
      <c r="Q107" s="74"/>
      <c r="R107" s="74"/>
      <c r="S107" s="74"/>
      <c r="T107" s="74"/>
      <c r="U107" s="74"/>
      <c r="V107" s="74"/>
      <c r="W107" s="74"/>
      <c r="X107" s="74"/>
      <c r="Y107" s="74"/>
      <c r="Z107" s="74"/>
      <c r="AA107" s="74"/>
      <c r="AB107" s="74"/>
    </row>
    <row r="108" spans="1:28" ht="12" customHeight="1">
      <c r="A108" s="260"/>
      <c r="B108" s="104"/>
      <c r="C108" s="104"/>
      <c r="D108" s="260"/>
      <c r="E108" s="104"/>
      <c r="F108" s="104"/>
      <c r="G108" s="35"/>
      <c r="H108" s="104"/>
      <c r="I108" s="35"/>
      <c r="J108" s="74"/>
      <c r="K108" s="74"/>
      <c r="L108" s="74"/>
      <c r="M108" s="74"/>
      <c r="N108" s="74"/>
      <c r="O108" s="74"/>
      <c r="P108" s="74"/>
      <c r="Q108" s="74"/>
      <c r="R108" s="74"/>
      <c r="S108" s="74"/>
      <c r="T108" s="74"/>
      <c r="U108" s="74"/>
      <c r="V108" s="74"/>
      <c r="W108" s="74"/>
      <c r="X108" s="74"/>
      <c r="Y108" s="74"/>
      <c r="Z108" s="74"/>
      <c r="AA108" s="74"/>
      <c r="AB108" s="74"/>
    </row>
    <row r="109" spans="1:28" ht="12" customHeight="1">
      <c r="A109" s="260"/>
      <c r="B109" s="104"/>
      <c r="C109" s="104"/>
      <c r="D109" s="260"/>
      <c r="E109" s="104"/>
      <c r="F109" s="104"/>
      <c r="G109" s="35"/>
      <c r="H109" s="104"/>
      <c r="I109" s="35"/>
      <c r="J109" s="74"/>
      <c r="K109" s="74"/>
      <c r="L109" s="74"/>
      <c r="M109" s="74"/>
      <c r="N109" s="74"/>
      <c r="O109" s="74"/>
      <c r="P109" s="74"/>
      <c r="Q109" s="74"/>
      <c r="R109" s="74"/>
      <c r="S109" s="74"/>
      <c r="T109" s="74"/>
      <c r="U109" s="74"/>
      <c r="V109" s="74"/>
      <c r="W109" s="74"/>
      <c r="X109" s="74"/>
      <c r="Y109" s="74"/>
      <c r="Z109" s="74"/>
      <c r="AA109" s="74"/>
      <c r="AB109" s="74"/>
    </row>
    <row r="110" spans="1:28" ht="12" customHeight="1">
      <c r="A110" s="260"/>
      <c r="B110" s="104"/>
      <c r="C110" s="104"/>
      <c r="D110" s="260"/>
      <c r="E110" s="104"/>
      <c r="F110" s="104"/>
      <c r="G110" s="35"/>
      <c r="H110" s="104"/>
      <c r="I110" s="35"/>
      <c r="J110" s="74"/>
      <c r="K110" s="74"/>
      <c r="L110" s="74"/>
      <c r="M110" s="74"/>
      <c r="N110" s="74"/>
      <c r="O110" s="74"/>
      <c r="P110" s="74"/>
      <c r="Q110" s="74"/>
      <c r="R110" s="74"/>
      <c r="S110" s="74"/>
      <c r="T110" s="74"/>
      <c r="U110" s="74"/>
      <c r="V110" s="74"/>
      <c r="W110" s="74"/>
      <c r="X110" s="74"/>
      <c r="Y110" s="74"/>
      <c r="Z110" s="74"/>
      <c r="AA110" s="74"/>
      <c r="AB110" s="74"/>
    </row>
    <row r="111" spans="1:28" ht="12" customHeight="1">
      <c r="A111" s="260"/>
      <c r="B111" s="104"/>
      <c r="C111" s="104"/>
      <c r="D111" s="260"/>
      <c r="E111" s="104"/>
      <c r="F111" s="104"/>
      <c r="G111" s="35"/>
      <c r="H111" s="104"/>
      <c r="I111" s="35"/>
      <c r="J111" s="74"/>
      <c r="K111" s="74"/>
      <c r="L111" s="74"/>
      <c r="M111" s="74"/>
      <c r="N111" s="74"/>
      <c r="O111" s="74"/>
      <c r="P111" s="74"/>
      <c r="Q111" s="74"/>
      <c r="R111" s="74"/>
      <c r="S111" s="74"/>
      <c r="T111" s="74"/>
      <c r="U111" s="74"/>
      <c r="V111" s="74"/>
      <c r="W111" s="74"/>
      <c r="X111" s="74"/>
      <c r="Y111" s="74"/>
      <c r="Z111" s="74"/>
      <c r="AA111" s="74"/>
      <c r="AB111" s="74"/>
    </row>
    <row r="112" spans="1:28" ht="12" customHeight="1">
      <c r="A112" s="260"/>
      <c r="B112" s="104"/>
      <c r="C112" s="104"/>
      <c r="D112" s="260"/>
      <c r="E112" s="104"/>
      <c r="F112" s="104"/>
      <c r="G112" s="35"/>
      <c r="H112" s="104"/>
      <c r="I112" s="35"/>
      <c r="J112" s="74"/>
      <c r="K112" s="74"/>
      <c r="L112" s="74"/>
      <c r="M112" s="74"/>
      <c r="N112" s="74"/>
      <c r="O112" s="74"/>
      <c r="P112" s="74"/>
      <c r="Q112" s="74"/>
      <c r="R112" s="74"/>
      <c r="S112" s="74"/>
      <c r="T112" s="74"/>
      <c r="U112" s="74"/>
      <c r="V112" s="74"/>
      <c r="W112" s="74"/>
      <c r="X112" s="74"/>
      <c r="Y112" s="74"/>
      <c r="Z112" s="74"/>
      <c r="AA112" s="74"/>
      <c r="AB112" s="74"/>
    </row>
    <row r="113" spans="1:28" ht="12" customHeight="1">
      <c r="A113" s="260"/>
      <c r="B113" s="104"/>
      <c r="C113" s="104"/>
      <c r="D113" s="260"/>
      <c r="E113" s="104"/>
      <c r="F113" s="104"/>
      <c r="G113" s="35"/>
      <c r="H113" s="104"/>
      <c r="I113" s="35"/>
      <c r="J113" s="74"/>
      <c r="K113" s="74"/>
      <c r="L113" s="74"/>
      <c r="M113" s="74"/>
      <c r="N113" s="74"/>
      <c r="O113" s="74"/>
      <c r="P113" s="74"/>
      <c r="Q113" s="74"/>
      <c r="R113" s="74"/>
      <c r="S113" s="74"/>
      <c r="T113" s="74"/>
      <c r="U113" s="74"/>
      <c r="V113" s="74"/>
      <c r="W113" s="74"/>
      <c r="X113" s="74"/>
      <c r="Y113" s="74"/>
      <c r="Z113" s="74"/>
      <c r="AA113" s="74"/>
      <c r="AB113" s="74"/>
    </row>
    <row r="114" spans="1:28" ht="12" customHeight="1">
      <c r="A114" s="260"/>
      <c r="B114" s="104"/>
      <c r="C114" s="104"/>
      <c r="D114" s="260"/>
      <c r="E114" s="104"/>
      <c r="F114" s="104"/>
      <c r="G114" s="35"/>
      <c r="H114" s="104"/>
      <c r="I114" s="35"/>
      <c r="J114" s="74"/>
      <c r="K114" s="74"/>
      <c r="L114" s="74"/>
      <c r="M114" s="74"/>
      <c r="N114" s="74"/>
      <c r="O114" s="74"/>
      <c r="P114" s="74"/>
      <c r="Q114" s="74"/>
      <c r="R114" s="74"/>
      <c r="S114" s="74"/>
      <c r="T114" s="74"/>
      <c r="U114" s="74"/>
      <c r="V114" s="74"/>
      <c r="W114" s="74"/>
      <c r="X114" s="74"/>
      <c r="Y114" s="74"/>
      <c r="Z114" s="74"/>
      <c r="AA114" s="74"/>
      <c r="AB114" s="74"/>
    </row>
    <row r="115" spans="1:28" ht="12" customHeight="1">
      <c r="A115" s="260"/>
      <c r="B115" s="104"/>
      <c r="C115" s="104"/>
      <c r="D115" s="260"/>
      <c r="E115" s="104"/>
      <c r="F115" s="104"/>
      <c r="G115" s="35"/>
      <c r="H115" s="104"/>
      <c r="I115" s="35"/>
      <c r="J115" s="74"/>
      <c r="K115" s="74"/>
      <c r="L115" s="74"/>
      <c r="M115" s="74"/>
      <c r="N115" s="74"/>
      <c r="O115" s="74"/>
      <c r="P115" s="74"/>
      <c r="Q115" s="74"/>
      <c r="R115" s="74"/>
      <c r="S115" s="74"/>
      <c r="T115" s="74"/>
      <c r="U115" s="74"/>
      <c r="V115" s="74"/>
      <c r="W115" s="74"/>
      <c r="X115" s="74"/>
      <c r="Y115" s="74"/>
      <c r="Z115" s="74"/>
      <c r="AA115" s="74"/>
      <c r="AB115" s="74"/>
    </row>
    <row r="116" spans="1:28" ht="12" customHeight="1">
      <c r="A116" s="260"/>
      <c r="B116" s="104"/>
      <c r="C116" s="104"/>
      <c r="D116" s="260"/>
      <c r="E116" s="104"/>
      <c r="F116" s="104"/>
      <c r="G116" s="35"/>
      <c r="H116" s="104"/>
      <c r="I116" s="35"/>
      <c r="J116" s="74"/>
      <c r="K116" s="74"/>
      <c r="L116" s="74"/>
      <c r="M116" s="74"/>
      <c r="N116" s="74"/>
      <c r="O116" s="74"/>
      <c r="P116" s="74"/>
      <c r="Q116" s="74"/>
      <c r="R116" s="74"/>
      <c r="S116" s="74"/>
      <c r="T116" s="74"/>
      <c r="U116" s="74"/>
      <c r="V116" s="74"/>
      <c r="W116" s="74"/>
      <c r="X116" s="74"/>
      <c r="Y116" s="74"/>
      <c r="Z116" s="74"/>
      <c r="AA116" s="74"/>
      <c r="AB116" s="74"/>
    </row>
    <row r="117" spans="1:28" ht="12" customHeight="1">
      <c r="A117" s="260"/>
      <c r="B117" s="104"/>
      <c r="C117" s="104"/>
      <c r="D117" s="260"/>
      <c r="E117" s="104"/>
      <c r="F117" s="104"/>
      <c r="G117" s="35"/>
      <c r="H117" s="104"/>
      <c r="I117" s="35"/>
      <c r="J117" s="74"/>
      <c r="K117" s="74"/>
      <c r="L117" s="74"/>
      <c r="M117" s="74"/>
      <c r="N117" s="74"/>
      <c r="O117" s="74"/>
      <c r="P117" s="74"/>
      <c r="Q117" s="74"/>
      <c r="R117" s="74"/>
      <c r="S117" s="74"/>
      <c r="T117" s="74"/>
      <c r="U117" s="74"/>
      <c r="V117" s="74"/>
      <c r="W117" s="74"/>
      <c r="X117" s="74"/>
      <c r="Y117" s="74"/>
      <c r="Z117" s="74"/>
      <c r="AA117" s="74"/>
      <c r="AB117" s="74"/>
    </row>
    <row r="118" spans="1:28" ht="12" customHeight="1">
      <c r="A118" s="260"/>
      <c r="B118" s="104"/>
      <c r="C118" s="104"/>
      <c r="D118" s="260"/>
      <c r="E118" s="104"/>
      <c r="F118" s="104"/>
      <c r="G118" s="35"/>
      <c r="H118" s="104"/>
      <c r="I118" s="35"/>
      <c r="J118" s="74"/>
      <c r="K118" s="74"/>
      <c r="L118" s="74"/>
      <c r="M118" s="74"/>
      <c r="N118" s="74"/>
      <c r="O118" s="74"/>
      <c r="P118" s="74"/>
      <c r="Q118" s="74"/>
      <c r="R118" s="74"/>
      <c r="S118" s="74"/>
      <c r="T118" s="74"/>
      <c r="U118" s="74"/>
      <c r="V118" s="74"/>
      <c r="W118" s="74"/>
      <c r="X118" s="74"/>
      <c r="Y118" s="74"/>
      <c r="Z118" s="74"/>
      <c r="AA118" s="74"/>
      <c r="AB118" s="74"/>
    </row>
    <row r="119" spans="1:28" ht="12" customHeight="1">
      <c r="A119" s="260"/>
      <c r="B119" s="104"/>
      <c r="C119" s="104"/>
      <c r="D119" s="260"/>
      <c r="E119" s="104"/>
      <c r="F119" s="104"/>
      <c r="G119" s="35"/>
      <c r="H119" s="104"/>
      <c r="I119" s="35"/>
      <c r="J119" s="74"/>
      <c r="K119" s="74"/>
      <c r="L119" s="74"/>
      <c r="M119" s="74"/>
      <c r="N119" s="74"/>
      <c r="O119" s="74"/>
      <c r="P119" s="74"/>
      <c r="Q119" s="74"/>
      <c r="R119" s="74"/>
      <c r="S119" s="74"/>
      <c r="T119" s="74"/>
      <c r="U119" s="74"/>
      <c r="V119" s="74"/>
      <c r="W119" s="74"/>
      <c r="X119" s="74"/>
      <c r="Y119" s="74"/>
      <c r="Z119" s="74"/>
      <c r="AA119" s="74"/>
      <c r="AB119" s="74"/>
    </row>
    <row r="120" spans="1:28" ht="12" customHeight="1">
      <c r="A120" s="260"/>
      <c r="B120" s="104"/>
      <c r="C120" s="104"/>
      <c r="D120" s="260"/>
      <c r="E120" s="104"/>
      <c r="F120" s="104"/>
      <c r="G120" s="35"/>
      <c r="H120" s="104"/>
      <c r="I120" s="35"/>
      <c r="J120" s="74"/>
      <c r="K120" s="74"/>
      <c r="L120" s="74"/>
      <c r="M120" s="74"/>
      <c r="N120" s="74"/>
      <c r="O120" s="74"/>
      <c r="P120" s="74"/>
      <c r="Q120" s="74"/>
      <c r="R120" s="74"/>
      <c r="S120" s="74"/>
      <c r="T120" s="74"/>
      <c r="U120" s="74"/>
      <c r="V120" s="74"/>
      <c r="W120" s="74"/>
      <c r="X120" s="74"/>
      <c r="Y120" s="74"/>
      <c r="Z120" s="74"/>
      <c r="AA120" s="74"/>
      <c r="AB120" s="74"/>
    </row>
    <row r="121" spans="1:28" ht="12" customHeight="1">
      <c r="A121" s="260"/>
      <c r="B121" s="104"/>
      <c r="C121" s="104"/>
      <c r="D121" s="260"/>
      <c r="E121" s="104"/>
      <c r="F121" s="104"/>
      <c r="G121" s="35"/>
      <c r="H121" s="104"/>
      <c r="I121" s="35"/>
      <c r="J121" s="74"/>
      <c r="K121" s="74"/>
      <c r="L121" s="74"/>
      <c r="M121" s="74"/>
      <c r="N121" s="74"/>
      <c r="O121" s="74"/>
      <c r="P121" s="74"/>
      <c r="Q121" s="74"/>
      <c r="R121" s="74"/>
      <c r="S121" s="74"/>
      <c r="T121" s="74"/>
      <c r="U121" s="74"/>
      <c r="V121" s="74"/>
      <c r="W121" s="74"/>
      <c r="X121" s="74"/>
      <c r="Y121" s="74"/>
      <c r="Z121" s="74"/>
      <c r="AA121" s="74"/>
      <c r="AB121" s="74"/>
    </row>
    <row r="122" spans="1:28" ht="12" customHeight="1">
      <c r="A122" s="260"/>
      <c r="B122" s="104"/>
      <c r="C122" s="104"/>
      <c r="D122" s="260"/>
      <c r="E122" s="104"/>
      <c r="F122" s="104"/>
      <c r="G122" s="35"/>
      <c r="H122" s="104"/>
      <c r="I122" s="35"/>
      <c r="J122" s="74"/>
      <c r="K122" s="74"/>
      <c r="L122" s="74"/>
      <c r="M122" s="74"/>
      <c r="N122" s="74"/>
      <c r="O122" s="74"/>
      <c r="P122" s="74"/>
      <c r="Q122" s="74"/>
      <c r="R122" s="74"/>
      <c r="S122" s="74"/>
      <c r="T122" s="74"/>
      <c r="U122" s="74"/>
      <c r="V122" s="74"/>
      <c r="W122" s="74"/>
      <c r="X122" s="74"/>
      <c r="Y122" s="74"/>
      <c r="Z122" s="74"/>
      <c r="AA122" s="74"/>
      <c r="AB122" s="74"/>
    </row>
    <row r="123" spans="1:28" ht="12" customHeight="1">
      <c r="A123" s="260"/>
      <c r="B123" s="104"/>
      <c r="C123" s="104"/>
      <c r="D123" s="260"/>
      <c r="E123" s="104"/>
      <c r="F123" s="104"/>
      <c r="G123" s="35"/>
      <c r="H123" s="104"/>
      <c r="I123" s="35"/>
      <c r="J123" s="74"/>
      <c r="K123" s="74"/>
      <c r="L123" s="74"/>
      <c r="M123" s="74"/>
      <c r="N123" s="74"/>
      <c r="O123" s="74"/>
      <c r="P123" s="74"/>
      <c r="Q123" s="74"/>
      <c r="R123" s="74"/>
      <c r="S123" s="74"/>
      <c r="T123" s="74"/>
      <c r="U123" s="74"/>
      <c r="V123" s="74"/>
      <c r="W123" s="74"/>
      <c r="X123" s="74"/>
      <c r="Y123" s="74"/>
      <c r="Z123" s="74"/>
      <c r="AA123" s="74"/>
      <c r="AB123" s="74"/>
    </row>
    <row r="124" spans="1:28" ht="12" customHeight="1">
      <c r="A124" s="260"/>
      <c r="B124" s="104"/>
      <c r="C124" s="104"/>
      <c r="D124" s="260"/>
      <c r="E124" s="104"/>
      <c r="F124" s="104"/>
      <c r="G124" s="35"/>
      <c r="H124" s="104"/>
      <c r="I124" s="35"/>
      <c r="J124" s="74"/>
      <c r="K124" s="74"/>
      <c r="L124" s="74"/>
      <c r="M124" s="74"/>
      <c r="N124" s="74"/>
      <c r="O124" s="74"/>
      <c r="P124" s="74"/>
      <c r="Q124" s="74"/>
      <c r="R124" s="74"/>
      <c r="S124" s="74"/>
      <c r="T124" s="74"/>
      <c r="U124" s="74"/>
      <c r="V124" s="74"/>
      <c r="W124" s="74"/>
      <c r="X124" s="74"/>
      <c r="Y124" s="74"/>
      <c r="Z124" s="74"/>
      <c r="AA124" s="74"/>
      <c r="AB124" s="74"/>
    </row>
    <row r="125" spans="1:28" ht="12" customHeight="1">
      <c r="A125" s="260"/>
      <c r="B125" s="104"/>
      <c r="C125" s="104"/>
      <c r="D125" s="260"/>
      <c r="E125" s="104"/>
      <c r="F125" s="104"/>
      <c r="G125" s="35"/>
      <c r="H125" s="104"/>
      <c r="I125" s="35"/>
      <c r="J125" s="74"/>
      <c r="K125" s="74"/>
      <c r="L125" s="74"/>
      <c r="M125" s="74"/>
      <c r="N125" s="74"/>
      <c r="O125" s="74"/>
      <c r="P125" s="74"/>
      <c r="Q125" s="74"/>
      <c r="R125" s="74"/>
      <c r="S125" s="74"/>
      <c r="T125" s="74"/>
      <c r="U125" s="74"/>
      <c r="V125" s="74"/>
      <c r="W125" s="74"/>
      <c r="X125" s="74"/>
      <c r="Y125" s="74"/>
      <c r="Z125" s="74"/>
      <c r="AA125" s="74"/>
      <c r="AB125" s="74"/>
    </row>
    <row r="126" spans="1:28" ht="12" customHeight="1">
      <c r="A126" s="260"/>
      <c r="B126" s="104"/>
      <c r="C126" s="104"/>
      <c r="D126" s="260"/>
      <c r="E126" s="104"/>
      <c r="F126" s="104"/>
      <c r="G126" s="35"/>
      <c r="H126" s="104"/>
      <c r="I126" s="35"/>
      <c r="J126" s="74"/>
      <c r="K126" s="74"/>
      <c r="L126" s="74"/>
      <c r="M126" s="74"/>
      <c r="N126" s="74"/>
      <c r="O126" s="74"/>
      <c r="P126" s="74"/>
      <c r="Q126" s="74"/>
      <c r="R126" s="74"/>
      <c r="S126" s="74"/>
      <c r="T126" s="74"/>
      <c r="U126" s="74"/>
      <c r="V126" s="74"/>
      <c r="W126" s="74"/>
      <c r="X126" s="74"/>
      <c r="Y126" s="74"/>
      <c r="Z126" s="74"/>
      <c r="AA126" s="74"/>
      <c r="AB126" s="74"/>
    </row>
    <row r="127" spans="1:28" ht="12" customHeight="1">
      <c r="A127" s="260"/>
      <c r="B127" s="104"/>
      <c r="C127" s="104"/>
      <c r="D127" s="260"/>
      <c r="E127" s="104"/>
      <c r="F127" s="104"/>
      <c r="G127" s="35"/>
      <c r="H127" s="104"/>
      <c r="I127" s="35"/>
      <c r="J127" s="74"/>
      <c r="K127" s="74"/>
      <c r="L127" s="74"/>
      <c r="M127" s="74"/>
      <c r="N127" s="74"/>
      <c r="O127" s="74"/>
      <c r="P127" s="74"/>
      <c r="Q127" s="74"/>
      <c r="R127" s="74"/>
      <c r="S127" s="74"/>
      <c r="T127" s="74"/>
      <c r="U127" s="74"/>
      <c r="V127" s="74"/>
      <c r="W127" s="74"/>
      <c r="X127" s="74"/>
      <c r="Y127" s="74"/>
      <c r="Z127" s="74"/>
      <c r="AA127" s="74"/>
      <c r="AB127" s="74"/>
    </row>
    <row r="128" spans="1:28" ht="12" customHeight="1">
      <c r="A128" s="260"/>
      <c r="B128" s="104"/>
      <c r="C128" s="104"/>
      <c r="D128" s="260"/>
      <c r="E128" s="104"/>
      <c r="F128" s="104"/>
      <c r="G128" s="35"/>
      <c r="H128" s="104"/>
      <c r="I128" s="35"/>
      <c r="J128" s="74"/>
      <c r="K128" s="74"/>
      <c r="L128" s="74"/>
      <c r="M128" s="74"/>
      <c r="N128" s="74"/>
      <c r="O128" s="74"/>
      <c r="P128" s="74"/>
      <c r="Q128" s="74"/>
      <c r="R128" s="74"/>
      <c r="S128" s="74"/>
      <c r="T128" s="74"/>
      <c r="U128" s="74"/>
      <c r="V128" s="74"/>
      <c r="W128" s="74"/>
      <c r="X128" s="74"/>
      <c r="Y128" s="74"/>
      <c r="Z128" s="74"/>
      <c r="AA128" s="74"/>
      <c r="AB128" s="74"/>
    </row>
    <row r="129" spans="1:28" ht="12" customHeight="1">
      <c r="A129" s="260"/>
      <c r="B129" s="104"/>
      <c r="C129" s="104"/>
      <c r="D129" s="260"/>
      <c r="E129" s="104"/>
      <c r="F129" s="104"/>
      <c r="G129" s="35"/>
      <c r="H129" s="104"/>
      <c r="I129" s="35"/>
      <c r="J129" s="74"/>
      <c r="K129" s="74"/>
      <c r="L129" s="74"/>
      <c r="M129" s="74"/>
      <c r="N129" s="74"/>
      <c r="O129" s="74"/>
      <c r="P129" s="74"/>
      <c r="Q129" s="74"/>
      <c r="R129" s="74"/>
      <c r="S129" s="74"/>
      <c r="T129" s="74"/>
      <c r="U129" s="74"/>
      <c r="V129" s="74"/>
      <c r="W129" s="74"/>
      <c r="X129" s="74"/>
      <c r="Y129" s="74"/>
      <c r="Z129" s="74"/>
      <c r="AA129" s="74"/>
      <c r="AB129" s="74"/>
    </row>
    <row r="130" spans="1:28" ht="12" customHeight="1">
      <c r="A130" s="260"/>
      <c r="B130" s="104"/>
      <c r="C130" s="104"/>
      <c r="D130" s="260"/>
      <c r="E130" s="104"/>
      <c r="F130" s="104"/>
      <c r="G130" s="35"/>
      <c r="H130" s="104"/>
      <c r="I130" s="35"/>
      <c r="J130" s="74"/>
      <c r="K130" s="74"/>
      <c r="L130" s="74"/>
      <c r="M130" s="74"/>
      <c r="N130" s="74"/>
      <c r="O130" s="74"/>
      <c r="P130" s="74"/>
      <c r="Q130" s="74"/>
      <c r="R130" s="74"/>
      <c r="S130" s="74"/>
      <c r="T130" s="74"/>
      <c r="U130" s="74"/>
      <c r="V130" s="74"/>
      <c r="W130" s="74"/>
      <c r="X130" s="74"/>
      <c r="Y130" s="74"/>
      <c r="Z130" s="74"/>
      <c r="AA130" s="74"/>
      <c r="AB130" s="74"/>
    </row>
    <row r="131" spans="1:28" ht="12" customHeight="1">
      <c r="A131" s="260"/>
      <c r="B131" s="104"/>
      <c r="C131" s="104"/>
      <c r="D131" s="260"/>
      <c r="E131" s="104"/>
      <c r="F131" s="104"/>
      <c r="G131" s="35"/>
      <c r="H131" s="104"/>
      <c r="I131" s="35"/>
      <c r="J131" s="74"/>
      <c r="K131" s="74"/>
      <c r="L131" s="74"/>
      <c r="M131" s="74"/>
      <c r="N131" s="74"/>
      <c r="O131" s="74"/>
      <c r="P131" s="74"/>
      <c r="Q131" s="74"/>
      <c r="R131" s="74"/>
      <c r="S131" s="74"/>
      <c r="T131" s="74"/>
      <c r="U131" s="74"/>
      <c r="V131" s="74"/>
      <c r="W131" s="74"/>
      <c r="X131" s="74"/>
      <c r="Y131" s="74"/>
      <c r="Z131" s="74"/>
      <c r="AA131" s="74"/>
      <c r="AB131" s="74"/>
    </row>
    <row r="132" spans="1:28" ht="12" customHeight="1">
      <c r="A132" s="260"/>
      <c r="B132" s="104"/>
      <c r="C132" s="104"/>
      <c r="D132" s="260"/>
      <c r="E132" s="104"/>
      <c r="F132" s="104"/>
      <c r="G132" s="35"/>
      <c r="H132" s="104"/>
      <c r="I132" s="35"/>
      <c r="J132" s="74"/>
      <c r="K132" s="74"/>
      <c r="L132" s="74"/>
      <c r="M132" s="74"/>
      <c r="N132" s="74"/>
      <c r="O132" s="74"/>
      <c r="P132" s="74"/>
      <c r="Q132" s="74"/>
      <c r="R132" s="74"/>
      <c r="S132" s="74"/>
      <c r="T132" s="74"/>
      <c r="U132" s="74"/>
      <c r="V132" s="74"/>
      <c r="W132" s="74"/>
      <c r="X132" s="74"/>
      <c r="Y132" s="74"/>
      <c r="Z132" s="74"/>
      <c r="AA132" s="74"/>
      <c r="AB132" s="74"/>
    </row>
    <row r="133" spans="1:28" ht="12" customHeight="1">
      <c r="A133" s="260"/>
      <c r="B133" s="104"/>
      <c r="C133" s="104"/>
      <c r="D133" s="260"/>
      <c r="E133" s="104"/>
      <c r="F133" s="104"/>
      <c r="G133" s="35"/>
      <c r="H133" s="104"/>
      <c r="I133" s="35"/>
      <c r="J133" s="74"/>
      <c r="K133" s="74"/>
      <c r="L133" s="74"/>
      <c r="M133" s="74"/>
      <c r="N133" s="74"/>
      <c r="O133" s="74"/>
      <c r="P133" s="74"/>
      <c r="Q133" s="74"/>
      <c r="R133" s="74"/>
      <c r="S133" s="74"/>
      <c r="T133" s="74"/>
      <c r="U133" s="74"/>
      <c r="V133" s="74"/>
      <c r="W133" s="74"/>
      <c r="X133" s="74"/>
      <c r="Y133" s="74"/>
      <c r="Z133" s="74"/>
      <c r="AA133" s="74"/>
      <c r="AB133" s="74"/>
    </row>
    <row r="134" spans="1:28" ht="12" customHeight="1">
      <c r="A134" s="260"/>
      <c r="B134" s="104"/>
      <c r="C134" s="104"/>
      <c r="D134" s="260"/>
      <c r="E134" s="104"/>
      <c r="F134" s="104"/>
      <c r="G134" s="35"/>
      <c r="H134" s="104"/>
      <c r="I134" s="35"/>
      <c r="J134" s="74"/>
      <c r="K134" s="74"/>
      <c r="L134" s="74"/>
      <c r="M134" s="74"/>
      <c r="N134" s="74"/>
      <c r="O134" s="74"/>
      <c r="P134" s="74"/>
      <c r="Q134" s="74"/>
      <c r="R134" s="74"/>
      <c r="S134" s="74"/>
      <c r="T134" s="74"/>
      <c r="U134" s="74"/>
      <c r="V134" s="74"/>
      <c r="W134" s="74"/>
      <c r="X134" s="74"/>
      <c r="Y134" s="74"/>
      <c r="Z134" s="74"/>
      <c r="AA134" s="74"/>
      <c r="AB134" s="74"/>
    </row>
    <row r="135" spans="1:28" ht="12" customHeight="1">
      <c r="A135" s="260"/>
      <c r="B135" s="104"/>
      <c r="C135" s="104"/>
      <c r="D135" s="260"/>
      <c r="E135" s="104"/>
      <c r="F135" s="104"/>
      <c r="G135" s="35"/>
      <c r="H135" s="104"/>
      <c r="I135" s="35"/>
      <c r="J135" s="74"/>
      <c r="K135" s="74"/>
      <c r="L135" s="74"/>
      <c r="M135" s="74"/>
      <c r="N135" s="74"/>
      <c r="O135" s="74"/>
      <c r="P135" s="74"/>
      <c r="Q135" s="74"/>
      <c r="R135" s="74"/>
      <c r="S135" s="74"/>
      <c r="T135" s="74"/>
      <c r="U135" s="74"/>
      <c r="V135" s="74"/>
      <c r="W135" s="74"/>
      <c r="X135" s="74"/>
      <c r="Y135" s="74"/>
      <c r="Z135" s="74"/>
      <c r="AA135" s="74"/>
      <c r="AB135" s="74"/>
    </row>
    <row r="136" spans="1:28" ht="12" customHeight="1">
      <c r="A136" s="260"/>
      <c r="B136" s="104"/>
      <c r="C136" s="104"/>
      <c r="D136" s="260"/>
      <c r="E136" s="104"/>
      <c r="F136" s="104"/>
      <c r="G136" s="35"/>
      <c r="H136" s="104"/>
      <c r="I136" s="35"/>
      <c r="J136" s="74"/>
      <c r="K136" s="74"/>
      <c r="L136" s="74"/>
      <c r="M136" s="74"/>
      <c r="N136" s="74"/>
      <c r="O136" s="74"/>
      <c r="P136" s="74"/>
      <c r="Q136" s="74"/>
      <c r="R136" s="74"/>
      <c r="S136" s="74"/>
      <c r="T136" s="74"/>
      <c r="U136" s="74"/>
      <c r="V136" s="74"/>
      <c r="W136" s="74"/>
      <c r="X136" s="74"/>
      <c r="Y136" s="74"/>
      <c r="Z136" s="74"/>
      <c r="AA136" s="74"/>
      <c r="AB136" s="74"/>
    </row>
    <row r="137" spans="1:28" ht="12" customHeight="1">
      <c r="A137" s="260"/>
      <c r="B137" s="104"/>
      <c r="C137" s="104"/>
      <c r="D137" s="260"/>
      <c r="E137" s="104"/>
      <c r="F137" s="104"/>
      <c r="G137" s="35"/>
      <c r="H137" s="104"/>
      <c r="I137" s="35"/>
      <c r="J137" s="74"/>
      <c r="K137" s="74"/>
      <c r="L137" s="74"/>
      <c r="M137" s="74"/>
      <c r="N137" s="74"/>
      <c r="O137" s="74"/>
      <c r="P137" s="74"/>
      <c r="Q137" s="74"/>
      <c r="R137" s="74"/>
      <c r="S137" s="74"/>
      <c r="T137" s="74"/>
      <c r="U137" s="74"/>
      <c r="V137" s="74"/>
      <c r="W137" s="74"/>
      <c r="X137" s="74"/>
      <c r="Y137" s="74"/>
      <c r="Z137" s="74"/>
      <c r="AA137" s="74"/>
      <c r="AB137" s="74"/>
    </row>
    <row r="138" spans="1:28" ht="12" customHeight="1">
      <c r="A138" s="260"/>
      <c r="B138" s="104"/>
      <c r="C138" s="104"/>
      <c r="D138" s="260"/>
      <c r="E138" s="104"/>
      <c r="F138" s="104"/>
      <c r="G138" s="35"/>
      <c r="H138" s="104"/>
      <c r="I138" s="35"/>
      <c r="J138" s="74"/>
      <c r="K138" s="74"/>
      <c r="L138" s="74"/>
      <c r="M138" s="74"/>
      <c r="N138" s="74"/>
      <c r="O138" s="74"/>
      <c r="P138" s="74"/>
      <c r="Q138" s="74"/>
      <c r="R138" s="74"/>
      <c r="S138" s="74"/>
      <c r="T138" s="74"/>
      <c r="U138" s="74"/>
      <c r="V138" s="74"/>
      <c r="W138" s="74"/>
      <c r="X138" s="74"/>
      <c r="Y138" s="74"/>
      <c r="Z138" s="74"/>
      <c r="AA138" s="74"/>
      <c r="AB138" s="74"/>
    </row>
    <row r="139" spans="1:28" ht="12" customHeight="1">
      <c r="A139" s="260"/>
      <c r="B139" s="104"/>
      <c r="C139" s="104"/>
      <c r="D139" s="260"/>
      <c r="E139" s="104"/>
      <c r="F139" s="104"/>
      <c r="G139" s="35"/>
      <c r="H139" s="104"/>
      <c r="I139" s="35"/>
      <c r="J139" s="74"/>
      <c r="K139" s="74"/>
      <c r="L139" s="74"/>
      <c r="M139" s="74"/>
      <c r="N139" s="74"/>
      <c r="O139" s="74"/>
      <c r="P139" s="74"/>
      <c r="Q139" s="74"/>
      <c r="R139" s="74"/>
      <c r="S139" s="74"/>
      <c r="T139" s="74"/>
      <c r="U139" s="74"/>
      <c r="V139" s="74"/>
      <c r="W139" s="74"/>
      <c r="X139" s="74"/>
      <c r="Y139" s="74"/>
      <c r="Z139" s="74"/>
      <c r="AA139" s="74"/>
      <c r="AB139" s="74"/>
    </row>
    <row r="140" spans="1:28" ht="12" customHeight="1">
      <c r="A140" s="260"/>
      <c r="B140" s="104"/>
      <c r="C140" s="104"/>
      <c r="D140" s="260"/>
      <c r="E140" s="104"/>
      <c r="F140" s="104"/>
      <c r="G140" s="35"/>
      <c r="H140" s="104"/>
      <c r="I140" s="35"/>
      <c r="J140" s="74"/>
      <c r="K140" s="74"/>
      <c r="L140" s="74"/>
      <c r="M140" s="74"/>
      <c r="N140" s="74"/>
      <c r="O140" s="74"/>
      <c r="P140" s="74"/>
      <c r="Q140" s="74"/>
      <c r="R140" s="74"/>
      <c r="S140" s="74"/>
      <c r="T140" s="74"/>
      <c r="U140" s="74"/>
      <c r="V140" s="74"/>
      <c r="W140" s="74"/>
      <c r="X140" s="74"/>
      <c r="Y140" s="74"/>
      <c r="Z140" s="74"/>
      <c r="AA140" s="74"/>
      <c r="AB140" s="74"/>
    </row>
    <row r="141" spans="1:28" ht="12" customHeight="1">
      <c r="A141" s="260"/>
      <c r="B141" s="104"/>
      <c r="C141" s="104"/>
      <c r="D141" s="260"/>
      <c r="E141" s="104"/>
      <c r="F141" s="104"/>
      <c r="G141" s="35"/>
      <c r="H141" s="104"/>
      <c r="I141" s="35"/>
      <c r="J141" s="74"/>
      <c r="K141" s="74"/>
      <c r="L141" s="74"/>
      <c r="M141" s="74"/>
      <c r="N141" s="74"/>
      <c r="O141" s="74"/>
      <c r="P141" s="74"/>
      <c r="Q141" s="74"/>
      <c r="R141" s="74"/>
      <c r="S141" s="74"/>
      <c r="T141" s="74"/>
      <c r="U141" s="74"/>
      <c r="V141" s="74"/>
      <c r="W141" s="74"/>
      <c r="X141" s="74"/>
      <c r="Y141" s="74"/>
      <c r="Z141" s="74"/>
      <c r="AA141" s="74"/>
      <c r="AB141" s="74"/>
    </row>
    <row r="142" spans="1:28" ht="12" customHeight="1">
      <c r="A142" s="260"/>
      <c r="B142" s="104"/>
      <c r="C142" s="104"/>
      <c r="D142" s="260"/>
      <c r="E142" s="104"/>
      <c r="F142" s="104"/>
      <c r="G142" s="35"/>
      <c r="H142" s="104"/>
      <c r="I142" s="35"/>
      <c r="J142" s="74"/>
      <c r="K142" s="74"/>
      <c r="L142" s="74"/>
      <c r="M142" s="74"/>
      <c r="N142" s="74"/>
      <c r="O142" s="74"/>
      <c r="P142" s="74"/>
      <c r="Q142" s="74"/>
      <c r="R142" s="74"/>
      <c r="S142" s="74"/>
      <c r="T142" s="74"/>
      <c r="U142" s="74"/>
      <c r="V142" s="74"/>
      <c r="W142" s="74"/>
      <c r="X142" s="74"/>
      <c r="Y142" s="74"/>
      <c r="Z142" s="74"/>
      <c r="AA142" s="74"/>
      <c r="AB142" s="74"/>
    </row>
    <row r="143" spans="1:28" ht="12" customHeight="1">
      <c r="A143" s="260"/>
      <c r="B143" s="104"/>
      <c r="C143" s="104"/>
      <c r="D143" s="260"/>
      <c r="E143" s="104"/>
      <c r="F143" s="104"/>
      <c r="G143" s="35"/>
      <c r="H143" s="104"/>
      <c r="I143" s="35"/>
      <c r="J143" s="74"/>
      <c r="K143" s="74"/>
      <c r="L143" s="74"/>
      <c r="M143" s="74"/>
      <c r="N143" s="74"/>
      <c r="O143" s="74"/>
      <c r="P143" s="74"/>
      <c r="Q143" s="74"/>
      <c r="R143" s="74"/>
      <c r="S143" s="74"/>
      <c r="T143" s="74"/>
      <c r="U143" s="74"/>
      <c r="V143" s="74"/>
      <c r="W143" s="74"/>
      <c r="X143" s="74"/>
      <c r="Y143" s="74"/>
      <c r="Z143" s="74"/>
      <c r="AA143" s="74"/>
      <c r="AB143" s="74"/>
    </row>
    <row r="144" spans="1:28" ht="12" customHeight="1">
      <c r="A144" s="260"/>
      <c r="B144" s="104"/>
      <c r="C144" s="104"/>
      <c r="D144" s="260"/>
      <c r="E144" s="104"/>
      <c r="F144" s="104"/>
      <c r="G144" s="35"/>
      <c r="H144" s="104"/>
      <c r="I144" s="35"/>
      <c r="J144" s="74"/>
      <c r="K144" s="74"/>
      <c r="L144" s="74"/>
      <c r="M144" s="74"/>
      <c r="N144" s="74"/>
      <c r="O144" s="74"/>
      <c r="P144" s="74"/>
      <c r="Q144" s="74"/>
      <c r="R144" s="74"/>
      <c r="S144" s="74"/>
      <c r="T144" s="74"/>
      <c r="U144" s="74"/>
      <c r="V144" s="74"/>
      <c r="W144" s="74"/>
      <c r="X144" s="74"/>
      <c r="Y144" s="74"/>
      <c r="Z144" s="74"/>
      <c r="AA144" s="74"/>
      <c r="AB144" s="74"/>
    </row>
    <row r="145" spans="1:28" ht="12" customHeight="1">
      <c r="A145" s="260"/>
      <c r="B145" s="104"/>
      <c r="C145" s="104"/>
      <c r="D145" s="260"/>
      <c r="E145" s="104"/>
      <c r="F145" s="104"/>
      <c r="G145" s="35"/>
      <c r="H145" s="104"/>
      <c r="I145" s="35"/>
      <c r="J145" s="74"/>
      <c r="K145" s="74"/>
      <c r="L145" s="74"/>
      <c r="M145" s="74"/>
      <c r="N145" s="74"/>
      <c r="O145" s="74"/>
      <c r="P145" s="74"/>
      <c r="Q145" s="74"/>
      <c r="R145" s="74"/>
      <c r="S145" s="74"/>
      <c r="T145" s="74"/>
      <c r="U145" s="74"/>
      <c r="V145" s="74"/>
      <c r="W145" s="74"/>
      <c r="X145" s="74"/>
      <c r="Y145" s="74"/>
      <c r="Z145" s="74"/>
      <c r="AA145" s="74"/>
      <c r="AB145" s="74"/>
    </row>
    <row r="146" spans="1:28" ht="12" customHeight="1">
      <c r="A146" s="260"/>
      <c r="B146" s="104"/>
      <c r="C146" s="104"/>
      <c r="D146" s="260"/>
      <c r="E146" s="104"/>
      <c r="F146" s="104"/>
      <c r="G146" s="35"/>
      <c r="H146" s="104"/>
      <c r="I146" s="35"/>
      <c r="J146" s="74"/>
      <c r="K146" s="74"/>
      <c r="L146" s="74"/>
      <c r="M146" s="74"/>
      <c r="N146" s="74"/>
      <c r="O146" s="74"/>
      <c r="P146" s="74"/>
      <c r="Q146" s="74"/>
      <c r="R146" s="74"/>
      <c r="S146" s="74"/>
      <c r="T146" s="74"/>
      <c r="U146" s="74"/>
      <c r="V146" s="74"/>
      <c r="W146" s="74"/>
      <c r="X146" s="74"/>
      <c r="Y146" s="74"/>
      <c r="Z146" s="74"/>
      <c r="AA146" s="74"/>
      <c r="AB146" s="74"/>
    </row>
    <row r="147" spans="1:28" ht="12" customHeight="1">
      <c r="A147" s="260"/>
      <c r="B147" s="104"/>
      <c r="C147" s="104"/>
      <c r="D147" s="260"/>
      <c r="E147" s="104"/>
      <c r="F147" s="104"/>
      <c r="G147" s="35"/>
      <c r="H147" s="104"/>
      <c r="I147" s="35"/>
      <c r="J147" s="74"/>
      <c r="K147" s="74"/>
      <c r="L147" s="74"/>
      <c r="M147" s="74"/>
      <c r="N147" s="74"/>
      <c r="O147" s="74"/>
      <c r="P147" s="74"/>
      <c r="Q147" s="74"/>
      <c r="R147" s="74"/>
      <c r="S147" s="74"/>
      <c r="T147" s="74"/>
      <c r="U147" s="74"/>
      <c r="V147" s="74"/>
      <c r="W147" s="74"/>
      <c r="X147" s="74"/>
      <c r="Y147" s="74"/>
      <c r="Z147" s="74"/>
      <c r="AA147" s="74"/>
      <c r="AB147" s="74"/>
    </row>
    <row r="148" spans="1:28" ht="12" customHeight="1">
      <c r="A148" s="260"/>
      <c r="B148" s="104"/>
      <c r="C148" s="104"/>
      <c r="D148" s="260"/>
      <c r="E148" s="104"/>
      <c r="F148" s="104"/>
      <c r="G148" s="35"/>
      <c r="H148" s="104"/>
      <c r="I148" s="35"/>
      <c r="J148" s="74"/>
      <c r="K148" s="74"/>
      <c r="L148" s="74"/>
      <c r="M148" s="74"/>
      <c r="N148" s="74"/>
      <c r="O148" s="74"/>
      <c r="P148" s="74"/>
      <c r="Q148" s="74"/>
      <c r="R148" s="74"/>
      <c r="S148" s="74"/>
      <c r="T148" s="74"/>
      <c r="U148" s="74"/>
      <c r="V148" s="74"/>
      <c r="W148" s="74"/>
      <c r="X148" s="74"/>
      <c r="Y148" s="74"/>
      <c r="Z148" s="74"/>
      <c r="AA148" s="74"/>
      <c r="AB148" s="74"/>
    </row>
    <row r="149" spans="1:28" ht="12" customHeight="1">
      <c r="A149" s="260"/>
      <c r="B149" s="104"/>
      <c r="C149" s="104"/>
      <c r="D149" s="260"/>
      <c r="E149" s="104"/>
      <c r="F149" s="104"/>
      <c r="G149" s="35"/>
      <c r="H149" s="104"/>
      <c r="I149" s="35"/>
      <c r="J149" s="74"/>
      <c r="K149" s="74"/>
      <c r="L149" s="74"/>
      <c r="M149" s="74"/>
      <c r="N149" s="74"/>
      <c r="O149" s="74"/>
      <c r="P149" s="74"/>
      <c r="Q149" s="74"/>
      <c r="R149" s="74"/>
      <c r="S149" s="74"/>
      <c r="T149" s="74"/>
      <c r="U149" s="74"/>
      <c r="V149" s="74"/>
      <c r="W149" s="74"/>
      <c r="X149" s="74"/>
      <c r="Y149" s="74"/>
      <c r="Z149" s="74"/>
      <c r="AA149" s="74"/>
      <c r="AB149" s="74"/>
    </row>
    <row r="150" spans="1:28" ht="12" customHeight="1">
      <c r="A150" s="260"/>
      <c r="B150" s="104"/>
      <c r="C150" s="104"/>
      <c r="D150" s="260"/>
      <c r="E150" s="104"/>
      <c r="F150" s="104"/>
      <c r="G150" s="35"/>
      <c r="H150" s="104"/>
      <c r="I150" s="35"/>
      <c r="J150" s="74"/>
      <c r="K150" s="74"/>
      <c r="L150" s="74"/>
      <c r="M150" s="74"/>
      <c r="N150" s="74"/>
      <c r="O150" s="74"/>
      <c r="P150" s="74"/>
      <c r="Q150" s="74"/>
      <c r="R150" s="74"/>
      <c r="S150" s="74"/>
      <c r="T150" s="74"/>
      <c r="U150" s="74"/>
      <c r="V150" s="74"/>
      <c r="W150" s="74"/>
      <c r="X150" s="74"/>
      <c r="Y150" s="74"/>
      <c r="Z150" s="74"/>
      <c r="AA150" s="74"/>
      <c r="AB150" s="74"/>
    </row>
    <row r="151" spans="1:28" ht="12" customHeight="1">
      <c r="A151" s="260"/>
      <c r="B151" s="104"/>
      <c r="C151" s="104"/>
      <c r="D151" s="260"/>
      <c r="E151" s="104"/>
      <c r="F151" s="104"/>
      <c r="G151" s="35"/>
      <c r="H151" s="104"/>
      <c r="I151" s="35"/>
      <c r="J151" s="74"/>
      <c r="K151" s="74"/>
      <c r="L151" s="74"/>
      <c r="M151" s="74"/>
      <c r="N151" s="74"/>
      <c r="O151" s="74"/>
      <c r="P151" s="74"/>
      <c r="Q151" s="74"/>
      <c r="R151" s="74"/>
      <c r="S151" s="74"/>
      <c r="T151" s="74"/>
      <c r="U151" s="74"/>
      <c r="V151" s="74"/>
      <c r="W151" s="74"/>
      <c r="X151" s="74"/>
      <c r="Y151" s="74"/>
      <c r="Z151" s="74"/>
      <c r="AA151" s="74"/>
      <c r="AB151" s="74"/>
    </row>
    <row r="152" spans="1:28" ht="12" customHeight="1">
      <c r="A152" s="260"/>
      <c r="B152" s="104"/>
      <c r="C152" s="104"/>
      <c r="D152" s="260"/>
      <c r="E152" s="104"/>
      <c r="F152" s="104"/>
      <c r="G152" s="35"/>
      <c r="H152" s="104"/>
      <c r="I152" s="35"/>
      <c r="J152" s="74"/>
      <c r="K152" s="74"/>
      <c r="L152" s="74"/>
      <c r="M152" s="74"/>
      <c r="N152" s="74"/>
      <c r="O152" s="74"/>
      <c r="P152" s="74"/>
      <c r="Q152" s="74"/>
      <c r="R152" s="74"/>
      <c r="S152" s="74"/>
      <c r="T152" s="74"/>
      <c r="U152" s="74"/>
      <c r="V152" s="74"/>
      <c r="W152" s="74"/>
      <c r="X152" s="74"/>
      <c r="Y152" s="74"/>
      <c r="Z152" s="74"/>
      <c r="AA152" s="74"/>
      <c r="AB152" s="74"/>
    </row>
    <row r="153" spans="1:28" ht="12" customHeight="1">
      <c r="A153" s="260"/>
      <c r="B153" s="104"/>
      <c r="C153" s="104"/>
      <c r="D153" s="260"/>
      <c r="E153" s="104"/>
      <c r="F153" s="104"/>
      <c r="G153" s="35"/>
      <c r="H153" s="104"/>
      <c r="I153" s="35"/>
      <c r="J153" s="74"/>
      <c r="K153" s="74"/>
      <c r="L153" s="74"/>
      <c r="M153" s="74"/>
      <c r="N153" s="74"/>
      <c r="O153" s="74"/>
      <c r="P153" s="74"/>
      <c r="Q153" s="74"/>
      <c r="R153" s="74"/>
      <c r="S153" s="74"/>
      <c r="T153" s="74"/>
      <c r="U153" s="74"/>
      <c r="V153" s="74"/>
      <c r="W153" s="74"/>
      <c r="X153" s="74"/>
      <c r="Y153" s="74"/>
      <c r="Z153" s="74"/>
      <c r="AA153" s="74"/>
      <c r="AB153" s="74"/>
    </row>
    <row r="154" spans="1:28" ht="12" customHeight="1">
      <c r="A154" s="260"/>
      <c r="B154" s="104"/>
      <c r="C154" s="104"/>
      <c r="D154" s="260"/>
      <c r="E154" s="104"/>
      <c r="F154" s="104"/>
      <c r="G154" s="35"/>
      <c r="H154" s="104"/>
      <c r="I154" s="35"/>
      <c r="J154" s="74"/>
      <c r="K154" s="74"/>
      <c r="L154" s="74"/>
      <c r="M154" s="74"/>
      <c r="N154" s="74"/>
      <c r="O154" s="74"/>
      <c r="P154" s="74"/>
      <c r="Q154" s="74"/>
      <c r="R154" s="74"/>
      <c r="S154" s="74"/>
      <c r="T154" s="74"/>
      <c r="U154" s="74"/>
      <c r="V154" s="74"/>
      <c r="W154" s="74"/>
      <c r="X154" s="74"/>
      <c r="Y154" s="74"/>
      <c r="Z154" s="74"/>
      <c r="AA154" s="74"/>
      <c r="AB154" s="74"/>
    </row>
    <row r="155" spans="1:28" ht="12" customHeight="1">
      <c r="A155" s="260"/>
      <c r="B155" s="104"/>
      <c r="C155" s="104"/>
      <c r="D155" s="260"/>
      <c r="E155" s="104"/>
      <c r="F155" s="104"/>
      <c r="G155" s="35"/>
      <c r="H155" s="104"/>
      <c r="I155" s="35"/>
      <c r="J155" s="74"/>
      <c r="K155" s="74"/>
      <c r="L155" s="74"/>
      <c r="M155" s="74"/>
      <c r="N155" s="74"/>
      <c r="O155" s="74"/>
      <c r="P155" s="74"/>
      <c r="Q155" s="74"/>
      <c r="R155" s="74"/>
      <c r="S155" s="74"/>
      <c r="T155" s="74"/>
      <c r="U155" s="74"/>
      <c r="V155" s="74"/>
      <c r="W155" s="74"/>
      <c r="X155" s="74"/>
      <c r="Y155" s="74"/>
      <c r="Z155" s="74"/>
      <c r="AA155" s="74"/>
      <c r="AB155" s="74"/>
    </row>
    <row r="156" spans="1:28" ht="12" customHeight="1">
      <c r="A156" s="260"/>
      <c r="B156" s="104"/>
      <c r="C156" s="104"/>
      <c r="D156" s="260"/>
      <c r="E156" s="104"/>
      <c r="F156" s="104"/>
      <c r="G156" s="35"/>
      <c r="H156" s="104"/>
      <c r="I156" s="35"/>
      <c r="J156" s="74"/>
      <c r="K156" s="74"/>
      <c r="L156" s="74"/>
      <c r="M156" s="74"/>
      <c r="N156" s="74"/>
      <c r="O156" s="74"/>
      <c r="P156" s="74"/>
      <c r="Q156" s="74"/>
      <c r="R156" s="74"/>
      <c r="S156" s="74"/>
      <c r="T156" s="74"/>
      <c r="U156" s="74"/>
      <c r="V156" s="74"/>
      <c r="W156" s="74"/>
      <c r="X156" s="74"/>
      <c r="Y156" s="74"/>
      <c r="Z156" s="74"/>
      <c r="AA156" s="74"/>
      <c r="AB156" s="74"/>
    </row>
    <row r="157" spans="1:28" ht="12" customHeight="1">
      <c r="A157" s="260"/>
      <c r="B157" s="104"/>
      <c r="C157" s="104"/>
      <c r="D157" s="260"/>
      <c r="E157" s="104"/>
      <c r="F157" s="104"/>
      <c r="G157" s="35"/>
      <c r="H157" s="104"/>
      <c r="I157" s="35"/>
      <c r="J157" s="74"/>
      <c r="K157" s="74"/>
      <c r="L157" s="74"/>
      <c r="M157" s="74"/>
      <c r="N157" s="74"/>
      <c r="O157" s="74"/>
      <c r="P157" s="74"/>
      <c r="Q157" s="74"/>
      <c r="R157" s="74"/>
      <c r="S157" s="74"/>
      <c r="T157" s="74"/>
      <c r="U157" s="74"/>
      <c r="V157" s="74"/>
      <c r="W157" s="74"/>
      <c r="X157" s="74"/>
      <c r="Y157" s="74"/>
      <c r="Z157" s="74"/>
      <c r="AA157" s="74"/>
      <c r="AB157" s="74"/>
    </row>
    <row r="158" spans="1:28" ht="12" customHeight="1">
      <c r="A158" s="260"/>
      <c r="B158" s="104"/>
      <c r="C158" s="104"/>
      <c r="D158" s="260"/>
      <c r="E158" s="104"/>
      <c r="F158" s="104"/>
      <c r="G158" s="35"/>
      <c r="H158" s="104"/>
      <c r="I158" s="35"/>
      <c r="J158" s="74"/>
      <c r="K158" s="74"/>
      <c r="L158" s="74"/>
      <c r="M158" s="74"/>
      <c r="N158" s="74"/>
      <c r="O158" s="74"/>
      <c r="P158" s="74"/>
      <c r="Q158" s="74"/>
      <c r="R158" s="74"/>
      <c r="S158" s="74"/>
      <c r="T158" s="74"/>
      <c r="U158" s="74"/>
      <c r="V158" s="74"/>
      <c r="W158" s="74"/>
      <c r="X158" s="74"/>
      <c r="Y158" s="74"/>
      <c r="Z158" s="74"/>
      <c r="AA158" s="74"/>
      <c r="AB158" s="74"/>
    </row>
    <row r="159" spans="1:28" ht="12" customHeight="1">
      <c r="A159" s="260"/>
      <c r="B159" s="104"/>
      <c r="C159" s="104"/>
      <c r="D159" s="260"/>
      <c r="E159" s="104"/>
      <c r="F159" s="104"/>
      <c r="G159" s="35"/>
      <c r="H159" s="104"/>
      <c r="I159" s="35"/>
      <c r="J159" s="74"/>
      <c r="K159" s="74"/>
      <c r="L159" s="74"/>
      <c r="M159" s="74"/>
      <c r="N159" s="74"/>
      <c r="O159" s="74"/>
      <c r="P159" s="74"/>
      <c r="Q159" s="74"/>
      <c r="R159" s="74"/>
      <c r="S159" s="74"/>
      <c r="T159" s="74"/>
      <c r="U159" s="74"/>
      <c r="V159" s="74"/>
      <c r="W159" s="74"/>
      <c r="X159" s="74"/>
      <c r="Y159" s="74"/>
      <c r="Z159" s="74"/>
      <c r="AA159" s="74"/>
      <c r="AB159" s="74"/>
    </row>
    <row r="160" spans="1:28" ht="12" customHeight="1">
      <c r="A160" s="260"/>
      <c r="B160" s="104"/>
      <c r="C160" s="104"/>
      <c r="D160" s="260"/>
      <c r="E160" s="104"/>
      <c r="F160" s="104"/>
      <c r="G160" s="35"/>
      <c r="H160" s="104"/>
      <c r="I160" s="35"/>
      <c r="J160" s="74"/>
      <c r="K160" s="74"/>
      <c r="L160" s="74"/>
      <c r="M160" s="74"/>
      <c r="N160" s="74"/>
      <c r="O160" s="74"/>
      <c r="P160" s="74"/>
      <c r="Q160" s="74"/>
      <c r="R160" s="74"/>
      <c r="S160" s="74"/>
      <c r="T160" s="74"/>
      <c r="U160" s="74"/>
      <c r="V160" s="74"/>
      <c r="W160" s="74"/>
      <c r="X160" s="74"/>
      <c r="Y160" s="74"/>
      <c r="Z160" s="74"/>
      <c r="AA160" s="74"/>
      <c r="AB160" s="74"/>
    </row>
    <row r="161" spans="1:28" ht="12" customHeight="1">
      <c r="A161" s="260"/>
      <c r="B161" s="104"/>
      <c r="C161" s="104"/>
      <c r="D161" s="260"/>
      <c r="E161" s="104"/>
      <c r="F161" s="104"/>
      <c r="G161" s="35"/>
      <c r="H161" s="104"/>
      <c r="I161" s="35"/>
      <c r="J161" s="74"/>
      <c r="K161" s="74"/>
      <c r="L161" s="74"/>
      <c r="M161" s="74"/>
      <c r="N161" s="74"/>
      <c r="O161" s="74"/>
      <c r="P161" s="74"/>
      <c r="Q161" s="74"/>
      <c r="R161" s="74"/>
      <c r="S161" s="74"/>
      <c r="T161" s="74"/>
      <c r="U161" s="74"/>
      <c r="V161" s="74"/>
      <c r="W161" s="74"/>
      <c r="X161" s="74"/>
      <c r="Y161" s="74"/>
      <c r="Z161" s="74"/>
      <c r="AA161" s="74"/>
      <c r="AB161" s="74"/>
    </row>
    <row r="162" spans="1:28" ht="12" customHeight="1">
      <c r="A162" s="260"/>
      <c r="B162" s="104"/>
      <c r="C162" s="104"/>
      <c r="D162" s="260"/>
      <c r="E162" s="104"/>
      <c r="F162" s="104"/>
      <c r="G162" s="35"/>
      <c r="H162" s="104"/>
      <c r="I162" s="35"/>
      <c r="J162" s="74"/>
      <c r="K162" s="74"/>
      <c r="L162" s="74"/>
      <c r="M162" s="74"/>
      <c r="N162" s="74"/>
      <c r="O162" s="74"/>
      <c r="P162" s="74"/>
      <c r="Q162" s="74"/>
      <c r="R162" s="74"/>
      <c r="S162" s="74"/>
      <c r="T162" s="74"/>
      <c r="U162" s="74"/>
      <c r="V162" s="74"/>
      <c r="W162" s="74"/>
      <c r="X162" s="74"/>
      <c r="Y162" s="74"/>
      <c r="Z162" s="74"/>
      <c r="AA162" s="74"/>
      <c r="AB162" s="74"/>
    </row>
    <row r="163" spans="1:28" ht="12" customHeight="1">
      <c r="A163" s="260"/>
      <c r="B163" s="104"/>
      <c r="C163" s="104"/>
      <c r="D163" s="260"/>
      <c r="E163" s="104"/>
      <c r="F163" s="104"/>
      <c r="G163" s="35"/>
      <c r="H163" s="104"/>
      <c r="I163" s="35"/>
      <c r="J163" s="74"/>
      <c r="K163" s="74"/>
      <c r="L163" s="74"/>
      <c r="M163" s="74"/>
      <c r="N163" s="74"/>
      <c r="O163" s="74"/>
      <c r="P163" s="74"/>
      <c r="Q163" s="74"/>
      <c r="R163" s="74"/>
      <c r="S163" s="74"/>
      <c r="T163" s="74"/>
      <c r="U163" s="74"/>
      <c r="V163" s="74"/>
      <c r="W163" s="74"/>
      <c r="X163" s="74"/>
      <c r="Y163" s="74"/>
      <c r="Z163" s="74"/>
      <c r="AA163" s="74"/>
      <c r="AB163" s="74"/>
    </row>
    <row r="164" spans="1:28" ht="12" customHeight="1">
      <c r="A164" s="260"/>
      <c r="B164" s="104"/>
      <c r="C164" s="104"/>
      <c r="D164" s="260"/>
      <c r="E164" s="104"/>
      <c r="F164" s="104"/>
      <c r="G164" s="35"/>
      <c r="H164" s="104"/>
      <c r="I164" s="35"/>
      <c r="J164" s="74"/>
      <c r="K164" s="74"/>
      <c r="L164" s="74"/>
      <c r="M164" s="74"/>
      <c r="N164" s="74"/>
      <c r="O164" s="74"/>
      <c r="P164" s="74"/>
      <c r="Q164" s="74"/>
      <c r="R164" s="74"/>
      <c r="S164" s="74"/>
      <c r="T164" s="74"/>
      <c r="U164" s="74"/>
      <c r="V164" s="74"/>
      <c r="W164" s="74"/>
      <c r="X164" s="74"/>
      <c r="Y164" s="74"/>
      <c r="Z164" s="74"/>
      <c r="AA164" s="74"/>
      <c r="AB164" s="74"/>
    </row>
    <row r="165" spans="1:28" ht="12" customHeight="1">
      <c r="A165" s="260"/>
      <c r="B165" s="104"/>
      <c r="C165" s="104"/>
      <c r="D165" s="260"/>
      <c r="E165" s="104"/>
      <c r="F165" s="104"/>
      <c r="G165" s="35"/>
      <c r="H165" s="104"/>
      <c r="I165" s="35"/>
      <c r="J165" s="74"/>
      <c r="K165" s="74"/>
      <c r="L165" s="74"/>
      <c r="M165" s="74"/>
      <c r="N165" s="74"/>
      <c r="O165" s="74"/>
      <c r="P165" s="74"/>
      <c r="Q165" s="74"/>
      <c r="R165" s="74"/>
      <c r="S165" s="74"/>
      <c r="T165" s="74"/>
      <c r="U165" s="74"/>
      <c r="V165" s="74"/>
      <c r="W165" s="74"/>
      <c r="X165" s="74"/>
      <c r="Y165" s="74"/>
      <c r="Z165" s="74"/>
      <c r="AA165" s="74"/>
      <c r="AB165" s="74"/>
    </row>
    <row r="166" spans="1:28" ht="12" customHeight="1">
      <c r="A166" s="260"/>
      <c r="B166" s="104"/>
      <c r="C166" s="104"/>
      <c r="D166" s="260"/>
      <c r="E166" s="104"/>
      <c r="F166" s="104"/>
      <c r="G166" s="35"/>
      <c r="H166" s="104"/>
      <c r="I166" s="35"/>
      <c r="J166" s="74"/>
      <c r="K166" s="74"/>
      <c r="L166" s="74"/>
      <c r="M166" s="74"/>
      <c r="N166" s="74"/>
      <c r="O166" s="74"/>
      <c r="P166" s="74"/>
      <c r="Q166" s="74"/>
      <c r="R166" s="74"/>
      <c r="S166" s="74"/>
      <c r="T166" s="74"/>
      <c r="U166" s="74"/>
      <c r="V166" s="74"/>
      <c r="W166" s="74"/>
      <c r="X166" s="74"/>
      <c r="Y166" s="74"/>
      <c r="Z166" s="74"/>
      <c r="AA166" s="74"/>
      <c r="AB166" s="74"/>
    </row>
    <row r="167" spans="1:28" ht="12" customHeight="1">
      <c r="A167" s="260"/>
      <c r="B167" s="104"/>
      <c r="C167" s="104"/>
      <c r="D167" s="260"/>
      <c r="E167" s="104"/>
      <c r="F167" s="104"/>
      <c r="G167" s="35"/>
      <c r="H167" s="104"/>
      <c r="I167" s="35"/>
      <c r="J167" s="74"/>
      <c r="K167" s="74"/>
      <c r="L167" s="74"/>
      <c r="M167" s="74"/>
      <c r="N167" s="74"/>
      <c r="O167" s="74"/>
      <c r="P167" s="74"/>
      <c r="Q167" s="74"/>
      <c r="R167" s="74"/>
      <c r="S167" s="74"/>
      <c r="T167" s="74"/>
      <c r="U167" s="74"/>
      <c r="V167" s="74"/>
      <c r="W167" s="74"/>
      <c r="X167" s="74"/>
      <c r="Y167" s="74"/>
      <c r="Z167" s="74"/>
      <c r="AA167" s="74"/>
      <c r="AB167" s="74"/>
    </row>
    <row r="168" spans="1:28" ht="12" customHeight="1">
      <c r="A168" s="260"/>
      <c r="B168" s="104"/>
      <c r="C168" s="104"/>
      <c r="D168" s="260"/>
      <c r="E168" s="104"/>
      <c r="F168" s="104"/>
      <c r="G168" s="35"/>
      <c r="H168" s="104"/>
      <c r="I168" s="35"/>
      <c r="J168" s="74"/>
      <c r="K168" s="74"/>
      <c r="L168" s="74"/>
      <c r="M168" s="74"/>
      <c r="N168" s="74"/>
      <c r="O168" s="74"/>
      <c r="P168" s="74"/>
      <c r="Q168" s="74"/>
      <c r="R168" s="74"/>
      <c r="S168" s="74"/>
      <c r="T168" s="74"/>
      <c r="U168" s="74"/>
      <c r="V168" s="74"/>
      <c r="W168" s="74"/>
      <c r="X168" s="74"/>
      <c r="Y168" s="74"/>
      <c r="Z168" s="74"/>
      <c r="AA168" s="74"/>
      <c r="AB168" s="74"/>
    </row>
    <row r="169" spans="1:28" ht="12" customHeight="1">
      <c r="A169" s="260"/>
      <c r="B169" s="104"/>
      <c r="C169" s="104"/>
      <c r="D169" s="260"/>
      <c r="E169" s="104"/>
      <c r="F169" s="104"/>
      <c r="G169" s="35"/>
      <c r="H169" s="104"/>
      <c r="I169" s="35"/>
      <c r="J169" s="74"/>
      <c r="K169" s="74"/>
      <c r="L169" s="74"/>
      <c r="M169" s="74"/>
      <c r="N169" s="74"/>
      <c r="O169" s="74"/>
      <c r="P169" s="74"/>
      <c r="Q169" s="74"/>
      <c r="R169" s="74"/>
      <c r="S169" s="74"/>
      <c r="T169" s="74"/>
      <c r="U169" s="74"/>
      <c r="V169" s="74"/>
      <c r="W169" s="74"/>
      <c r="X169" s="74"/>
      <c r="Y169" s="74"/>
      <c r="Z169" s="74"/>
      <c r="AA169" s="74"/>
      <c r="AB169" s="74"/>
    </row>
    <row r="170" spans="1:28" ht="12" customHeight="1">
      <c r="A170" s="260"/>
      <c r="B170" s="104"/>
      <c r="C170" s="104"/>
      <c r="D170" s="260"/>
      <c r="E170" s="104"/>
      <c r="F170" s="104"/>
      <c r="G170" s="35"/>
      <c r="H170" s="104"/>
      <c r="I170" s="35"/>
      <c r="J170" s="74"/>
      <c r="K170" s="74"/>
      <c r="L170" s="74"/>
      <c r="M170" s="74"/>
      <c r="N170" s="74"/>
      <c r="O170" s="74"/>
      <c r="P170" s="74"/>
      <c r="Q170" s="74"/>
      <c r="R170" s="74"/>
      <c r="S170" s="74"/>
      <c r="T170" s="74"/>
      <c r="U170" s="74"/>
      <c r="V170" s="74"/>
      <c r="W170" s="74"/>
      <c r="X170" s="74"/>
      <c r="Y170" s="74"/>
      <c r="Z170" s="74"/>
      <c r="AA170" s="74"/>
      <c r="AB170" s="74"/>
    </row>
    <row r="171" spans="1:28" ht="12" customHeight="1">
      <c r="A171" s="260"/>
      <c r="B171" s="104"/>
      <c r="C171" s="104"/>
      <c r="D171" s="260"/>
      <c r="E171" s="104"/>
      <c r="F171" s="104"/>
      <c r="G171" s="35"/>
      <c r="H171" s="104"/>
      <c r="I171" s="35"/>
      <c r="J171" s="74"/>
      <c r="K171" s="74"/>
      <c r="L171" s="74"/>
      <c r="M171" s="74"/>
      <c r="N171" s="74"/>
      <c r="O171" s="74"/>
      <c r="P171" s="74"/>
      <c r="Q171" s="74"/>
      <c r="R171" s="74"/>
      <c r="S171" s="74"/>
      <c r="T171" s="74"/>
      <c r="U171" s="74"/>
      <c r="V171" s="74"/>
      <c r="W171" s="74"/>
      <c r="X171" s="74"/>
      <c r="Y171" s="74"/>
      <c r="Z171" s="74"/>
      <c r="AA171" s="74"/>
      <c r="AB171" s="74"/>
    </row>
    <row r="172" spans="1:28" ht="12" customHeight="1">
      <c r="A172" s="260"/>
      <c r="B172" s="104"/>
      <c r="C172" s="104"/>
      <c r="D172" s="260"/>
      <c r="E172" s="104"/>
      <c r="F172" s="104"/>
      <c r="G172" s="35"/>
      <c r="H172" s="104"/>
      <c r="I172" s="35"/>
      <c r="J172" s="74"/>
      <c r="K172" s="74"/>
      <c r="L172" s="74"/>
      <c r="M172" s="74"/>
      <c r="N172" s="74"/>
      <c r="O172" s="74"/>
      <c r="P172" s="74"/>
      <c r="Q172" s="74"/>
      <c r="R172" s="74"/>
      <c r="S172" s="74"/>
      <c r="T172" s="74"/>
      <c r="U172" s="74"/>
      <c r="V172" s="74"/>
      <c r="W172" s="74"/>
      <c r="X172" s="74"/>
      <c r="Y172" s="74"/>
      <c r="Z172" s="74"/>
      <c r="AA172" s="74"/>
      <c r="AB172" s="74"/>
    </row>
    <row r="173" spans="1:28" ht="12" customHeight="1">
      <c r="A173" s="260"/>
      <c r="B173" s="104"/>
      <c r="C173" s="104"/>
      <c r="D173" s="260"/>
      <c r="E173" s="104"/>
      <c r="F173" s="104"/>
      <c r="G173" s="35"/>
      <c r="H173" s="104"/>
      <c r="I173" s="35"/>
      <c r="J173" s="74"/>
      <c r="K173" s="74"/>
      <c r="L173" s="74"/>
      <c r="M173" s="74"/>
      <c r="N173" s="74"/>
      <c r="O173" s="74"/>
      <c r="P173" s="74"/>
      <c r="Q173" s="74"/>
      <c r="R173" s="74"/>
      <c r="S173" s="74"/>
      <c r="T173" s="74"/>
      <c r="U173" s="74"/>
      <c r="V173" s="74"/>
      <c r="W173" s="74"/>
      <c r="X173" s="74"/>
      <c r="Y173" s="74"/>
      <c r="Z173" s="74"/>
      <c r="AA173" s="74"/>
      <c r="AB173" s="74"/>
    </row>
    <row r="174" spans="1:28" ht="12" customHeight="1">
      <c r="A174" s="260"/>
      <c r="B174" s="104"/>
      <c r="C174" s="104"/>
      <c r="D174" s="260"/>
      <c r="E174" s="104"/>
      <c r="F174" s="104"/>
      <c r="G174" s="35"/>
      <c r="H174" s="104"/>
      <c r="I174" s="35"/>
      <c r="J174" s="74"/>
      <c r="K174" s="74"/>
      <c r="L174" s="74"/>
      <c r="M174" s="74"/>
      <c r="N174" s="74"/>
      <c r="O174" s="74"/>
      <c r="P174" s="74"/>
      <c r="Q174" s="74"/>
      <c r="R174" s="74"/>
      <c r="S174" s="74"/>
      <c r="T174" s="74"/>
      <c r="U174" s="74"/>
      <c r="V174" s="74"/>
      <c r="W174" s="74"/>
      <c r="X174" s="74"/>
      <c r="Y174" s="74"/>
      <c r="Z174" s="74"/>
      <c r="AA174" s="74"/>
      <c r="AB174" s="74"/>
    </row>
    <row r="175" spans="1:28" ht="12" customHeight="1">
      <c r="A175" s="260"/>
      <c r="B175" s="104"/>
      <c r="C175" s="104"/>
      <c r="D175" s="260"/>
      <c r="E175" s="104"/>
      <c r="F175" s="104"/>
      <c r="G175" s="35"/>
      <c r="H175" s="104"/>
      <c r="I175" s="35"/>
      <c r="J175" s="74"/>
      <c r="K175" s="74"/>
      <c r="L175" s="74"/>
      <c r="M175" s="74"/>
      <c r="N175" s="74"/>
      <c r="O175" s="74"/>
      <c r="P175" s="74"/>
      <c r="Q175" s="74"/>
      <c r="R175" s="74"/>
      <c r="S175" s="74"/>
      <c r="T175" s="74"/>
      <c r="U175" s="74"/>
      <c r="V175" s="74"/>
      <c r="W175" s="74"/>
      <c r="X175" s="74"/>
      <c r="Y175" s="74"/>
      <c r="Z175" s="74"/>
      <c r="AA175" s="74"/>
      <c r="AB175" s="74"/>
    </row>
    <row r="176" spans="1:28" ht="12" customHeight="1">
      <c r="A176" s="260"/>
      <c r="B176" s="104"/>
      <c r="C176" s="104"/>
      <c r="D176" s="260"/>
      <c r="E176" s="104"/>
      <c r="F176" s="104"/>
      <c r="G176" s="35"/>
      <c r="H176" s="104"/>
      <c r="I176" s="35"/>
      <c r="J176" s="74"/>
      <c r="K176" s="74"/>
      <c r="L176" s="74"/>
      <c r="M176" s="74"/>
      <c r="N176" s="74"/>
      <c r="O176" s="74"/>
      <c r="P176" s="74"/>
      <c r="Q176" s="74"/>
      <c r="R176" s="74"/>
      <c r="S176" s="74"/>
      <c r="T176" s="74"/>
      <c r="U176" s="74"/>
      <c r="V176" s="74"/>
      <c r="W176" s="74"/>
      <c r="X176" s="74"/>
      <c r="Y176" s="74"/>
      <c r="Z176" s="74"/>
      <c r="AA176" s="74"/>
      <c r="AB176" s="74"/>
    </row>
    <row r="177" spans="1:28" ht="12" customHeight="1">
      <c r="A177" s="260"/>
      <c r="B177" s="104"/>
      <c r="C177" s="104"/>
      <c r="D177" s="260"/>
      <c r="E177" s="104"/>
      <c r="F177" s="104"/>
      <c r="G177" s="35"/>
      <c r="H177" s="104"/>
      <c r="I177" s="35"/>
      <c r="J177" s="74"/>
      <c r="K177" s="74"/>
      <c r="L177" s="74"/>
      <c r="M177" s="74"/>
      <c r="N177" s="74"/>
      <c r="O177" s="74"/>
      <c r="P177" s="74"/>
      <c r="Q177" s="74"/>
      <c r="R177" s="74"/>
      <c r="S177" s="74"/>
      <c r="T177" s="74"/>
      <c r="U177" s="74"/>
      <c r="V177" s="74"/>
      <c r="W177" s="74"/>
      <c r="X177" s="74"/>
      <c r="Y177" s="74"/>
      <c r="Z177" s="74"/>
      <c r="AA177" s="74"/>
      <c r="AB177" s="74"/>
    </row>
    <row r="178" spans="1:28" ht="12" customHeight="1">
      <c r="A178" s="260"/>
      <c r="B178" s="104"/>
      <c r="C178" s="104"/>
      <c r="D178" s="260"/>
      <c r="E178" s="104"/>
      <c r="F178" s="104"/>
      <c r="G178" s="35"/>
      <c r="H178" s="104"/>
      <c r="I178" s="35"/>
      <c r="J178" s="74"/>
      <c r="K178" s="74"/>
      <c r="L178" s="74"/>
      <c r="M178" s="74"/>
      <c r="N178" s="74"/>
      <c r="O178" s="74"/>
      <c r="P178" s="74"/>
      <c r="Q178" s="74"/>
      <c r="R178" s="74"/>
      <c r="S178" s="74"/>
      <c r="T178" s="74"/>
      <c r="U178" s="74"/>
      <c r="V178" s="74"/>
      <c r="W178" s="74"/>
      <c r="X178" s="74"/>
      <c r="Y178" s="74"/>
      <c r="Z178" s="74"/>
      <c r="AA178" s="74"/>
      <c r="AB178" s="74"/>
    </row>
    <row r="179" spans="1:28" ht="12" customHeight="1">
      <c r="A179" s="260"/>
      <c r="B179" s="104"/>
      <c r="C179" s="104"/>
      <c r="D179" s="260"/>
      <c r="E179" s="104"/>
      <c r="F179" s="104"/>
      <c r="G179" s="35"/>
      <c r="H179" s="104"/>
      <c r="I179" s="35"/>
      <c r="J179" s="74"/>
      <c r="K179" s="74"/>
      <c r="L179" s="74"/>
      <c r="M179" s="74"/>
      <c r="N179" s="74"/>
      <c r="O179" s="74"/>
      <c r="P179" s="74"/>
      <c r="Q179" s="74"/>
      <c r="R179" s="74"/>
      <c r="S179" s="74"/>
      <c r="T179" s="74"/>
      <c r="U179" s="74"/>
      <c r="V179" s="74"/>
      <c r="W179" s="74"/>
      <c r="X179" s="74"/>
      <c r="Y179" s="74"/>
      <c r="Z179" s="74"/>
      <c r="AA179" s="74"/>
      <c r="AB179" s="74"/>
    </row>
    <row r="180" spans="1:28" ht="12" customHeight="1">
      <c r="A180" s="260"/>
      <c r="B180" s="104"/>
      <c r="C180" s="104"/>
      <c r="D180" s="260"/>
      <c r="E180" s="104"/>
      <c r="F180" s="104"/>
      <c r="G180" s="35"/>
      <c r="H180" s="104"/>
      <c r="I180" s="35"/>
      <c r="J180" s="74"/>
      <c r="K180" s="74"/>
      <c r="L180" s="74"/>
      <c r="M180" s="74"/>
      <c r="N180" s="74"/>
      <c r="O180" s="74"/>
      <c r="P180" s="74"/>
      <c r="Q180" s="74"/>
      <c r="R180" s="74"/>
      <c r="S180" s="74"/>
      <c r="T180" s="74"/>
      <c r="U180" s="74"/>
      <c r="V180" s="74"/>
      <c r="W180" s="74"/>
      <c r="X180" s="74"/>
      <c r="Y180" s="74"/>
      <c r="Z180" s="74"/>
      <c r="AA180" s="74"/>
      <c r="AB180" s="74"/>
    </row>
    <row r="181" spans="1:28" ht="12" customHeight="1">
      <c r="A181" s="260"/>
      <c r="B181" s="104"/>
      <c r="C181" s="104"/>
      <c r="D181" s="260"/>
      <c r="E181" s="104"/>
      <c r="F181" s="104"/>
      <c r="G181" s="35"/>
      <c r="H181" s="104"/>
      <c r="I181" s="35"/>
      <c r="J181" s="74"/>
      <c r="K181" s="74"/>
      <c r="L181" s="74"/>
      <c r="M181" s="74"/>
      <c r="N181" s="74"/>
      <c r="O181" s="74"/>
      <c r="P181" s="74"/>
      <c r="Q181" s="74"/>
      <c r="R181" s="74"/>
      <c r="S181" s="74"/>
      <c r="T181" s="74"/>
      <c r="U181" s="74"/>
      <c r="V181" s="74"/>
      <c r="W181" s="74"/>
      <c r="X181" s="74"/>
      <c r="Y181" s="74"/>
      <c r="Z181" s="74"/>
      <c r="AA181" s="74"/>
      <c r="AB181" s="74"/>
    </row>
    <row r="182" spans="1:28" ht="12" customHeight="1">
      <c r="A182" s="260"/>
      <c r="B182" s="104"/>
      <c r="C182" s="104"/>
      <c r="D182" s="260"/>
      <c r="E182" s="104"/>
      <c r="F182" s="104"/>
      <c r="G182" s="35"/>
      <c r="H182" s="104"/>
      <c r="I182" s="35"/>
      <c r="J182" s="74"/>
      <c r="K182" s="74"/>
      <c r="L182" s="74"/>
      <c r="M182" s="74"/>
      <c r="N182" s="74"/>
      <c r="O182" s="74"/>
      <c r="P182" s="74"/>
      <c r="Q182" s="74"/>
      <c r="R182" s="74"/>
      <c r="S182" s="74"/>
      <c r="T182" s="74"/>
      <c r="U182" s="74"/>
      <c r="V182" s="74"/>
      <c r="W182" s="74"/>
      <c r="X182" s="74"/>
      <c r="Y182" s="74"/>
      <c r="Z182" s="74"/>
      <c r="AA182" s="74"/>
      <c r="AB182" s="74"/>
    </row>
    <row r="183" spans="1:28" ht="12" customHeight="1">
      <c r="A183" s="260"/>
      <c r="B183" s="104"/>
      <c r="C183" s="104"/>
      <c r="D183" s="260"/>
      <c r="E183" s="104"/>
      <c r="F183" s="104"/>
      <c r="G183" s="35"/>
      <c r="H183" s="104"/>
      <c r="I183" s="35"/>
      <c r="J183" s="74"/>
      <c r="K183" s="74"/>
      <c r="L183" s="74"/>
      <c r="M183" s="74"/>
      <c r="N183" s="74"/>
      <c r="O183" s="74"/>
      <c r="P183" s="74"/>
      <c r="Q183" s="74"/>
      <c r="R183" s="74"/>
      <c r="S183" s="74"/>
      <c r="T183" s="74"/>
      <c r="U183" s="74"/>
      <c r="V183" s="74"/>
      <c r="W183" s="74"/>
      <c r="X183" s="74"/>
      <c r="Y183" s="74"/>
      <c r="Z183" s="74"/>
      <c r="AA183" s="74"/>
      <c r="AB183" s="74"/>
    </row>
    <row r="184" spans="1:28" ht="12" customHeight="1">
      <c r="A184" s="260"/>
      <c r="B184" s="104"/>
      <c r="C184" s="104"/>
      <c r="D184" s="260"/>
      <c r="E184" s="104"/>
      <c r="F184" s="104"/>
      <c r="G184" s="35"/>
      <c r="H184" s="104"/>
      <c r="I184" s="35"/>
      <c r="J184" s="74"/>
      <c r="K184" s="74"/>
      <c r="L184" s="74"/>
      <c r="M184" s="74"/>
      <c r="N184" s="74"/>
      <c r="O184" s="74"/>
      <c r="P184" s="74"/>
      <c r="Q184" s="74"/>
      <c r="R184" s="74"/>
      <c r="S184" s="74"/>
      <c r="T184" s="74"/>
      <c r="U184" s="74"/>
      <c r="V184" s="74"/>
      <c r="W184" s="74"/>
      <c r="X184" s="74"/>
      <c r="Y184" s="74"/>
      <c r="Z184" s="74"/>
      <c r="AA184" s="74"/>
      <c r="AB184" s="74"/>
    </row>
    <row r="185" spans="1:28" ht="12" customHeight="1">
      <c r="A185" s="260"/>
      <c r="B185" s="104"/>
      <c r="C185" s="104"/>
      <c r="D185" s="260"/>
      <c r="E185" s="104"/>
      <c r="F185" s="104"/>
      <c r="G185" s="35"/>
      <c r="H185" s="104"/>
      <c r="I185" s="35"/>
      <c r="J185" s="74"/>
      <c r="K185" s="74"/>
      <c r="L185" s="74"/>
      <c r="M185" s="74"/>
      <c r="N185" s="74"/>
      <c r="O185" s="74"/>
      <c r="P185" s="74"/>
      <c r="Q185" s="74"/>
      <c r="R185" s="74"/>
      <c r="S185" s="74"/>
      <c r="T185" s="74"/>
      <c r="U185" s="74"/>
      <c r="V185" s="74"/>
      <c r="W185" s="74"/>
      <c r="X185" s="74"/>
      <c r="Y185" s="74"/>
      <c r="Z185" s="74"/>
      <c r="AA185" s="74"/>
      <c r="AB185" s="74"/>
    </row>
    <row r="186" spans="1:28" ht="12" customHeight="1">
      <c r="A186" s="260"/>
      <c r="B186" s="104"/>
      <c r="C186" s="104"/>
      <c r="D186" s="260"/>
      <c r="E186" s="104"/>
      <c r="F186" s="104"/>
      <c r="G186" s="35"/>
      <c r="H186" s="104"/>
      <c r="I186" s="35"/>
      <c r="J186" s="74"/>
      <c r="K186" s="74"/>
      <c r="L186" s="74"/>
      <c r="M186" s="74"/>
      <c r="N186" s="74"/>
      <c r="O186" s="74"/>
      <c r="P186" s="74"/>
      <c r="Q186" s="74"/>
      <c r="R186" s="74"/>
      <c r="S186" s="74"/>
      <c r="T186" s="74"/>
      <c r="U186" s="74"/>
      <c r="V186" s="74"/>
      <c r="W186" s="74"/>
      <c r="X186" s="74"/>
      <c r="Y186" s="74"/>
      <c r="Z186" s="74"/>
      <c r="AA186" s="74"/>
      <c r="AB186" s="74"/>
    </row>
    <row r="187" spans="1:28" ht="12" customHeight="1">
      <c r="A187" s="260"/>
      <c r="B187" s="104"/>
      <c r="C187" s="104"/>
      <c r="D187" s="260"/>
      <c r="E187" s="104"/>
      <c r="F187" s="104"/>
      <c r="G187" s="35"/>
      <c r="H187" s="104"/>
      <c r="I187" s="35"/>
      <c r="J187" s="74"/>
      <c r="K187" s="74"/>
      <c r="L187" s="74"/>
      <c r="M187" s="74"/>
      <c r="N187" s="74"/>
      <c r="O187" s="74"/>
      <c r="P187" s="74"/>
      <c r="Q187" s="74"/>
      <c r="R187" s="74"/>
      <c r="S187" s="74"/>
      <c r="T187" s="74"/>
      <c r="U187" s="74"/>
      <c r="V187" s="74"/>
      <c r="W187" s="74"/>
      <c r="X187" s="74"/>
      <c r="Y187" s="74"/>
      <c r="Z187" s="74"/>
      <c r="AA187" s="74"/>
      <c r="AB187" s="74"/>
    </row>
    <row r="188" spans="1:28" ht="12" customHeight="1">
      <c r="A188" s="260"/>
      <c r="B188" s="104"/>
      <c r="C188" s="104"/>
      <c r="D188" s="260"/>
      <c r="E188" s="104"/>
      <c r="F188" s="104"/>
      <c r="G188" s="35"/>
      <c r="H188" s="104"/>
      <c r="I188" s="35"/>
      <c r="J188" s="74"/>
      <c r="K188" s="74"/>
      <c r="L188" s="74"/>
      <c r="M188" s="74"/>
      <c r="N188" s="74"/>
      <c r="O188" s="74"/>
      <c r="P188" s="74"/>
      <c r="Q188" s="74"/>
      <c r="R188" s="74"/>
      <c r="S188" s="74"/>
      <c r="T188" s="74"/>
      <c r="U188" s="74"/>
      <c r="V188" s="74"/>
      <c r="W188" s="74"/>
      <c r="X188" s="74"/>
      <c r="Y188" s="74"/>
      <c r="Z188" s="74"/>
      <c r="AA188" s="74"/>
      <c r="AB188" s="74"/>
    </row>
    <row r="189" spans="1:28" ht="12" customHeight="1">
      <c r="A189" s="260"/>
      <c r="B189" s="104"/>
      <c r="C189" s="104"/>
      <c r="D189" s="260"/>
      <c r="E189" s="104"/>
      <c r="F189" s="104"/>
      <c r="G189" s="35"/>
      <c r="H189" s="104"/>
      <c r="I189" s="35"/>
      <c r="J189" s="74"/>
      <c r="K189" s="74"/>
      <c r="L189" s="74"/>
      <c r="M189" s="74"/>
      <c r="N189" s="74"/>
      <c r="O189" s="74"/>
      <c r="P189" s="74"/>
      <c r="Q189" s="74"/>
      <c r="R189" s="74"/>
      <c r="S189" s="74"/>
      <c r="T189" s="74"/>
      <c r="U189" s="74"/>
      <c r="V189" s="74"/>
      <c r="W189" s="74"/>
      <c r="X189" s="74"/>
      <c r="Y189" s="74"/>
      <c r="Z189" s="74"/>
      <c r="AA189" s="74"/>
      <c r="AB189" s="74"/>
    </row>
    <row r="190" spans="1:28" ht="12" customHeight="1">
      <c r="A190" s="260"/>
      <c r="B190" s="104"/>
      <c r="C190" s="104"/>
      <c r="D190" s="260"/>
      <c r="E190" s="104"/>
      <c r="F190" s="104"/>
      <c r="G190" s="35"/>
      <c r="H190" s="104"/>
      <c r="I190" s="35"/>
      <c r="J190" s="74"/>
      <c r="K190" s="74"/>
      <c r="L190" s="74"/>
      <c r="M190" s="74"/>
      <c r="N190" s="74"/>
      <c r="O190" s="74"/>
      <c r="P190" s="74"/>
      <c r="Q190" s="74"/>
      <c r="R190" s="74"/>
      <c r="S190" s="74"/>
      <c r="T190" s="74"/>
      <c r="U190" s="74"/>
      <c r="V190" s="74"/>
      <c r="W190" s="74"/>
      <c r="X190" s="74"/>
      <c r="Y190" s="74"/>
      <c r="Z190" s="74"/>
      <c r="AA190" s="74"/>
      <c r="AB190" s="74"/>
    </row>
    <row r="191" spans="1:28" ht="12" customHeight="1">
      <c r="A191" s="260"/>
      <c r="B191" s="104"/>
      <c r="C191" s="104"/>
      <c r="D191" s="260"/>
      <c r="E191" s="104"/>
      <c r="F191" s="104"/>
      <c r="G191" s="35"/>
      <c r="H191" s="104"/>
      <c r="I191" s="35"/>
      <c r="J191" s="74"/>
      <c r="K191" s="74"/>
      <c r="L191" s="74"/>
      <c r="M191" s="74"/>
      <c r="N191" s="74"/>
      <c r="O191" s="74"/>
      <c r="P191" s="74"/>
      <c r="Q191" s="74"/>
      <c r="R191" s="74"/>
      <c r="S191" s="74"/>
      <c r="T191" s="74"/>
      <c r="U191" s="74"/>
      <c r="V191" s="74"/>
      <c r="W191" s="74"/>
      <c r="X191" s="74"/>
      <c r="Y191" s="74"/>
      <c r="Z191" s="74"/>
      <c r="AA191" s="74"/>
      <c r="AB191" s="74"/>
    </row>
    <row r="192" spans="1:28" ht="12" customHeight="1">
      <c r="A192" s="260"/>
      <c r="B192" s="104"/>
      <c r="C192" s="104"/>
      <c r="D192" s="260"/>
      <c r="E192" s="104"/>
      <c r="F192" s="104"/>
      <c r="G192" s="35"/>
      <c r="H192" s="104"/>
      <c r="I192" s="35"/>
      <c r="J192" s="74"/>
      <c r="K192" s="74"/>
      <c r="L192" s="74"/>
      <c r="M192" s="74"/>
      <c r="N192" s="74"/>
      <c r="O192" s="74"/>
      <c r="P192" s="74"/>
      <c r="Q192" s="74"/>
      <c r="R192" s="74"/>
      <c r="S192" s="74"/>
      <c r="T192" s="74"/>
      <c r="U192" s="74"/>
      <c r="V192" s="74"/>
      <c r="W192" s="74"/>
      <c r="X192" s="74"/>
      <c r="Y192" s="74"/>
      <c r="Z192" s="74"/>
      <c r="AA192" s="74"/>
      <c r="AB192" s="74"/>
    </row>
    <row r="193" spans="1:28" ht="12" customHeight="1">
      <c r="A193" s="260"/>
      <c r="B193" s="104"/>
      <c r="C193" s="104"/>
      <c r="D193" s="260"/>
      <c r="E193" s="104"/>
      <c r="F193" s="104"/>
      <c r="G193" s="35"/>
      <c r="H193" s="104"/>
      <c r="I193" s="35"/>
      <c r="J193" s="74"/>
      <c r="K193" s="74"/>
      <c r="L193" s="74"/>
      <c r="M193" s="74"/>
      <c r="N193" s="74"/>
      <c r="O193" s="74"/>
      <c r="P193" s="74"/>
      <c r="Q193" s="74"/>
      <c r="R193" s="74"/>
      <c r="S193" s="74"/>
      <c r="T193" s="74"/>
      <c r="U193" s="74"/>
      <c r="V193" s="74"/>
      <c r="W193" s="74"/>
      <c r="X193" s="74"/>
      <c r="Y193" s="74"/>
      <c r="Z193" s="74"/>
      <c r="AA193" s="74"/>
      <c r="AB193" s="74"/>
    </row>
    <row r="194" spans="1:28" ht="12" customHeight="1">
      <c r="A194" s="260"/>
      <c r="B194" s="104"/>
      <c r="C194" s="104"/>
      <c r="D194" s="260"/>
      <c r="E194" s="104"/>
      <c r="F194" s="104"/>
      <c r="G194" s="35"/>
      <c r="H194" s="104"/>
      <c r="I194" s="35"/>
      <c r="J194" s="74"/>
      <c r="K194" s="74"/>
      <c r="L194" s="74"/>
      <c r="M194" s="74"/>
      <c r="N194" s="74"/>
      <c r="O194" s="74"/>
      <c r="P194" s="74"/>
      <c r="Q194" s="74"/>
      <c r="R194" s="74"/>
      <c r="S194" s="74"/>
      <c r="T194" s="74"/>
      <c r="U194" s="74"/>
      <c r="V194" s="74"/>
      <c r="W194" s="74"/>
      <c r="X194" s="74"/>
      <c r="Y194" s="74"/>
      <c r="Z194" s="74"/>
      <c r="AA194" s="74"/>
      <c r="AB194" s="74"/>
    </row>
    <row r="195" spans="1:28" ht="12" customHeight="1">
      <c r="A195" s="260"/>
      <c r="B195" s="104"/>
      <c r="C195" s="104"/>
      <c r="D195" s="260"/>
      <c r="E195" s="104"/>
      <c r="F195" s="104"/>
      <c r="G195" s="35"/>
      <c r="H195" s="104"/>
      <c r="I195" s="35"/>
      <c r="J195" s="74"/>
      <c r="K195" s="74"/>
      <c r="L195" s="74"/>
      <c r="M195" s="74"/>
      <c r="N195" s="74"/>
      <c r="O195" s="74"/>
      <c r="P195" s="74"/>
      <c r="Q195" s="74"/>
      <c r="R195" s="74"/>
      <c r="S195" s="74"/>
      <c r="T195" s="74"/>
      <c r="U195" s="74"/>
      <c r="V195" s="74"/>
      <c r="W195" s="74"/>
      <c r="X195" s="74"/>
      <c r="Y195" s="74"/>
      <c r="Z195" s="74"/>
      <c r="AA195" s="74"/>
      <c r="AB195" s="74"/>
    </row>
    <row r="196" spans="1:28" ht="12" customHeight="1">
      <c r="A196" s="260"/>
      <c r="B196" s="104"/>
      <c r="C196" s="104"/>
      <c r="D196" s="260"/>
      <c r="E196" s="104"/>
      <c r="F196" s="104"/>
      <c r="G196" s="35"/>
      <c r="H196" s="104"/>
      <c r="I196" s="35"/>
      <c r="J196" s="74"/>
      <c r="K196" s="74"/>
      <c r="L196" s="74"/>
      <c r="M196" s="74"/>
      <c r="N196" s="74"/>
      <c r="O196" s="74"/>
      <c r="P196" s="74"/>
      <c r="Q196" s="74"/>
      <c r="R196" s="74"/>
      <c r="S196" s="74"/>
      <c r="T196" s="74"/>
      <c r="U196" s="74"/>
      <c r="V196" s="74"/>
      <c r="W196" s="74"/>
      <c r="X196" s="74"/>
      <c r="Y196" s="74"/>
      <c r="Z196" s="74"/>
      <c r="AA196" s="74"/>
      <c r="AB196" s="74"/>
    </row>
    <row r="197" spans="1:28" ht="12" customHeight="1">
      <c r="A197" s="260"/>
      <c r="B197" s="104"/>
      <c r="C197" s="104"/>
      <c r="D197" s="260"/>
      <c r="E197" s="104"/>
      <c r="F197" s="104"/>
      <c r="G197" s="35"/>
      <c r="H197" s="104"/>
      <c r="I197" s="35"/>
      <c r="J197" s="74"/>
      <c r="K197" s="74"/>
      <c r="L197" s="74"/>
      <c r="M197" s="74"/>
      <c r="N197" s="74"/>
      <c r="O197" s="74"/>
      <c r="P197" s="74"/>
      <c r="Q197" s="74"/>
      <c r="R197" s="74"/>
      <c r="S197" s="74"/>
      <c r="T197" s="74"/>
      <c r="U197" s="74"/>
      <c r="V197" s="74"/>
      <c r="W197" s="74"/>
      <c r="X197" s="74"/>
      <c r="Y197" s="74"/>
      <c r="Z197" s="74"/>
      <c r="AA197" s="74"/>
      <c r="AB197" s="74"/>
    </row>
    <row r="198" spans="1:28" ht="12" customHeight="1">
      <c r="A198" s="260"/>
      <c r="B198" s="104"/>
      <c r="C198" s="104"/>
      <c r="D198" s="260"/>
      <c r="E198" s="104"/>
      <c r="F198" s="104"/>
      <c r="G198" s="35"/>
      <c r="H198" s="104"/>
      <c r="I198" s="35"/>
      <c r="J198" s="74"/>
      <c r="K198" s="74"/>
      <c r="L198" s="74"/>
      <c r="M198" s="74"/>
      <c r="N198" s="74"/>
      <c r="O198" s="74"/>
      <c r="P198" s="74"/>
      <c r="Q198" s="74"/>
      <c r="R198" s="74"/>
      <c r="S198" s="74"/>
      <c r="T198" s="74"/>
      <c r="U198" s="74"/>
      <c r="V198" s="74"/>
      <c r="W198" s="74"/>
      <c r="X198" s="74"/>
      <c r="Y198" s="74"/>
      <c r="Z198" s="74"/>
      <c r="AA198" s="74"/>
      <c r="AB198" s="74"/>
    </row>
    <row r="199" spans="1:28" ht="12" customHeight="1">
      <c r="A199" s="260"/>
      <c r="B199" s="104"/>
      <c r="C199" s="104"/>
      <c r="D199" s="260"/>
      <c r="E199" s="104"/>
      <c r="F199" s="104"/>
      <c r="G199" s="35"/>
      <c r="H199" s="104"/>
      <c r="I199" s="35"/>
      <c r="J199" s="74"/>
      <c r="K199" s="74"/>
      <c r="L199" s="74"/>
      <c r="M199" s="74"/>
      <c r="N199" s="74"/>
      <c r="O199" s="74"/>
      <c r="P199" s="74"/>
      <c r="Q199" s="74"/>
      <c r="R199" s="74"/>
      <c r="S199" s="74"/>
      <c r="T199" s="74"/>
      <c r="U199" s="74"/>
      <c r="V199" s="74"/>
      <c r="W199" s="74"/>
      <c r="X199" s="74"/>
      <c r="Y199" s="74"/>
      <c r="Z199" s="74"/>
      <c r="AA199" s="74"/>
      <c r="AB199" s="74"/>
    </row>
    <row r="200" spans="1:28" ht="12" customHeight="1">
      <c r="A200" s="260"/>
      <c r="B200" s="104"/>
      <c r="C200" s="104"/>
      <c r="D200" s="260"/>
      <c r="E200" s="104"/>
      <c r="F200" s="104"/>
      <c r="G200" s="35"/>
      <c r="H200" s="104"/>
      <c r="I200" s="35"/>
      <c r="J200" s="74"/>
      <c r="K200" s="74"/>
      <c r="L200" s="74"/>
      <c r="M200" s="74"/>
      <c r="N200" s="74"/>
      <c r="O200" s="74"/>
      <c r="P200" s="74"/>
      <c r="Q200" s="74"/>
      <c r="R200" s="74"/>
      <c r="S200" s="74"/>
      <c r="T200" s="74"/>
      <c r="U200" s="74"/>
      <c r="V200" s="74"/>
      <c r="W200" s="74"/>
      <c r="X200" s="74"/>
      <c r="Y200" s="74"/>
      <c r="Z200" s="74"/>
      <c r="AA200" s="74"/>
      <c r="AB200" s="74"/>
    </row>
    <row r="201" spans="1:28" ht="12" customHeight="1">
      <c r="A201" s="260"/>
      <c r="B201" s="104"/>
      <c r="C201" s="104"/>
      <c r="D201" s="260"/>
      <c r="E201" s="104"/>
      <c r="F201" s="104"/>
      <c r="G201" s="35"/>
      <c r="H201" s="104"/>
      <c r="I201" s="35"/>
      <c r="J201" s="74"/>
      <c r="K201" s="74"/>
      <c r="L201" s="74"/>
      <c r="M201" s="74"/>
      <c r="N201" s="74"/>
      <c r="O201" s="74"/>
      <c r="P201" s="74"/>
      <c r="Q201" s="74"/>
      <c r="R201" s="74"/>
      <c r="S201" s="74"/>
      <c r="T201" s="74"/>
      <c r="U201" s="74"/>
      <c r="V201" s="74"/>
      <c r="W201" s="74"/>
      <c r="X201" s="74"/>
      <c r="Y201" s="74"/>
      <c r="Z201" s="74"/>
      <c r="AA201" s="74"/>
      <c r="AB201" s="74"/>
    </row>
    <row r="202" spans="1:28" ht="12" customHeight="1">
      <c r="A202" s="260"/>
      <c r="B202" s="104"/>
      <c r="C202" s="104"/>
      <c r="D202" s="260"/>
      <c r="E202" s="104"/>
      <c r="F202" s="104"/>
      <c r="G202" s="35"/>
      <c r="H202" s="104"/>
      <c r="I202" s="35"/>
      <c r="J202" s="74"/>
      <c r="K202" s="74"/>
      <c r="L202" s="74"/>
      <c r="M202" s="74"/>
      <c r="N202" s="74"/>
      <c r="O202" s="74"/>
      <c r="P202" s="74"/>
      <c r="Q202" s="74"/>
      <c r="R202" s="74"/>
      <c r="S202" s="74"/>
      <c r="T202" s="74"/>
      <c r="U202" s="74"/>
      <c r="V202" s="74"/>
      <c r="W202" s="74"/>
      <c r="X202" s="74"/>
      <c r="Y202" s="74"/>
      <c r="Z202" s="74"/>
      <c r="AA202" s="74"/>
      <c r="AB202" s="74"/>
    </row>
    <row r="203" spans="1:28" ht="12" customHeight="1">
      <c r="A203" s="260"/>
      <c r="B203" s="104"/>
      <c r="C203" s="104"/>
      <c r="D203" s="260"/>
      <c r="E203" s="104"/>
      <c r="F203" s="104"/>
      <c r="G203" s="35"/>
      <c r="H203" s="104"/>
      <c r="I203" s="35"/>
      <c r="J203" s="74"/>
      <c r="K203" s="74"/>
      <c r="L203" s="74"/>
      <c r="M203" s="74"/>
      <c r="N203" s="74"/>
      <c r="O203" s="74"/>
      <c r="P203" s="74"/>
      <c r="Q203" s="74"/>
      <c r="R203" s="74"/>
      <c r="S203" s="74"/>
      <c r="T203" s="74"/>
      <c r="U203" s="74"/>
      <c r="V203" s="74"/>
      <c r="W203" s="74"/>
      <c r="X203" s="74"/>
      <c r="Y203" s="74"/>
      <c r="Z203" s="74"/>
      <c r="AA203" s="74"/>
      <c r="AB203" s="74"/>
    </row>
    <row r="204" spans="1:28" ht="12" customHeight="1">
      <c r="A204" s="260"/>
      <c r="B204" s="104"/>
      <c r="C204" s="104"/>
      <c r="D204" s="260"/>
      <c r="E204" s="104"/>
      <c r="F204" s="104"/>
      <c r="G204" s="35"/>
      <c r="H204" s="104"/>
      <c r="I204" s="35"/>
      <c r="J204" s="74"/>
      <c r="K204" s="74"/>
      <c r="L204" s="74"/>
      <c r="M204" s="74"/>
      <c r="N204" s="74"/>
      <c r="O204" s="74"/>
      <c r="P204" s="74"/>
      <c r="Q204" s="74"/>
      <c r="R204" s="74"/>
      <c r="S204" s="74"/>
      <c r="T204" s="74"/>
      <c r="U204" s="74"/>
      <c r="V204" s="74"/>
      <c r="W204" s="74"/>
      <c r="X204" s="74"/>
      <c r="Y204" s="74"/>
      <c r="Z204" s="74"/>
      <c r="AA204" s="74"/>
      <c r="AB204" s="74"/>
    </row>
    <row r="205" spans="1:28" ht="12" customHeight="1">
      <c r="A205" s="260"/>
      <c r="B205" s="104"/>
      <c r="C205" s="104"/>
      <c r="D205" s="260"/>
      <c r="E205" s="104"/>
      <c r="F205" s="104"/>
      <c r="G205" s="35"/>
      <c r="H205" s="104"/>
      <c r="I205" s="35"/>
      <c r="J205" s="74"/>
      <c r="K205" s="74"/>
      <c r="L205" s="74"/>
      <c r="M205" s="74"/>
      <c r="N205" s="74"/>
      <c r="O205" s="74"/>
      <c r="P205" s="74"/>
      <c r="Q205" s="74"/>
      <c r="R205" s="74"/>
      <c r="S205" s="74"/>
      <c r="T205" s="74"/>
      <c r="U205" s="74"/>
      <c r="V205" s="74"/>
      <c r="W205" s="74"/>
      <c r="X205" s="74"/>
      <c r="Y205" s="74"/>
      <c r="Z205" s="74"/>
      <c r="AA205" s="74"/>
      <c r="AB205" s="74"/>
    </row>
    <row r="206" spans="1:28" ht="12" customHeight="1">
      <c r="A206" s="260"/>
      <c r="B206" s="104"/>
      <c r="C206" s="104"/>
      <c r="D206" s="260"/>
      <c r="E206" s="104"/>
      <c r="F206" s="104"/>
      <c r="G206" s="35"/>
      <c r="H206" s="104"/>
      <c r="I206" s="35"/>
      <c r="J206" s="74"/>
      <c r="K206" s="74"/>
      <c r="L206" s="74"/>
      <c r="M206" s="74"/>
      <c r="N206" s="74"/>
      <c r="O206" s="74"/>
      <c r="P206" s="74"/>
      <c r="Q206" s="74"/>
      <c r="R206" s="74"/>
      <c r="S206" s="74"/>
      <c r="T206" s="74"/>
      <c r="U206" s="74"/>
      <c r="V206" s="74"/>
      <c r="W206" s="74"/>
      <c r="X206" s="74"/>
      <c r="Y206" s="74"/>
      <c r="Z206" s="74"/>
      <c r="AA206" s="74"/>
      <c r="AB206" s="74"/>
    </row>
    <row r="207" spans="1:28" ht="12" customHeight="1">
      <c r="A207" s="260"/>
      <c r="B207" s="104"/>
      <c r="C207" s="104"/>
      <c r="D207" s="260"/>
      <c r="E207" s="104"/>
      <c r="F207" s="104"/>
      <c r="G207" s="35"/>
      <c r="H207" s="104"/>
      <c r="I207" s="35"/>
      <c r="J207" s="74"/>
      <c r="K207" s="74"/>
      <c r="L207" s="74"/>
      <c r="M207" s="74"/>
      <c r="N207" s="74"/>
      <c r="O207" s="74"/>
      <c r="P207" s="74"/>
      <c r="Q207" s="74"/>
      <c r="R207" s="74"/>
      <c r="S207" s="74"/>
      <c r="T207" s="74"/>
      <c r="U207" s="74"/>
      <c r="V207" s="74"/>
      <c r="W207" s="74"/>
      <c r="X207" s="74"/>
      <c r="Y207" s="74"/>
      <c r="Z207" s="74"/>
      <c r="AA207" s="74"/>
      <c r="AB207" s="74"/>
    </row>
    <row r="208" spans="1:28" ht="12" customHeight="1">
      <c r="A208" s="260"/>
      <c r="B208" s="104"/>
      <c r="C208" s="104"/>
      <c r="D208" s="260"/>
      <c r="E208" s="104"/>
      <c r="F208" s="104"/>
      <c r="G208" s="35"/>
      <c r="H208" s="104"/>
      <c r="I208" s="35"/>
      <c r="J208" s="74"/>
      <c r="K208" s="74"/>
      <c r="L208" s="74"/>
      <c r="M208" s="74"/>
      <c r="N208" s="74"/>
      <c r="O208" s="74"/>
      <c r="P208" s="74"/>
      <c r="Q208" s="74"/>
      <c r="R208" s="74"/>
      <c r="S208" s="74"/>
      <c r="T208" s="74"/>
      <c r="U208" s="74"/>
      <c r="V208" s="74"/>
      <c r="W208" s="74"/>
      <c r="X208" s="74"/>
      <c r="Y208" s="74"/>
      <c r="Z208" s="74"/>
      <c r="AA208" s="74"/>
      <c r="AB208" s="74"/>
    </row>
    <row r="209" spans="1:28" ht="12" customHeight="1">
      <c r="A209" s="260"/>
      <c r="B209" s="104"/>
      <c r="C209" s="104"/>
      <c r="D209" s="260"/>
      <c r="E209" s="104"/>
      <c r="F209" s="104"/>
      <c r="G209" s="35"/>
      <c r="H209" s="104"/>
      <c r="I209" s="35"/>
      <c r="J209" s="74"/>
      <c r="K209" s="74"/>
      <c r="L209" s="74"/>
      <c r="M209" s="74"/>
      <c r="N209" s="74"/>
      <c r="O209" s="74"/>
      <c r="P209" s="74"/>
      <c r="Q209" s="74"/>
      <c r="R209" s="74"/>
      <c r="S209" s="74"/>
      <c r="T209" s="74"/>
      <c r="U209" s="74"/>
      <c r="V209" s="74"/>
      <c r="W209" s="74"/>
      <c r="X209" s="74"/>
      <c r="Y209" s="74"/>
      <c r="Z209" s="74"/>
      <c r="AA209" s="74"/>
      <c r="AB209" s="74"/>
    </row>
    <row r="210" spans="1:28" ht="12" customHeight="1">
      <c r="A210" s="260"/>
      <c r="B210" s="104"/>
      <c r="C210" s="104"/>
      <c r="D210" s="260"/>
      <c r="E210" s="104"/>
      <c r="F210" s="104"/>
      <c r="G210" s="35"/>
      <c r="H210" s="104"/>
      <c r="I210" s="35"/>
      <c r="J210" s="74"/>
      <c r="K210" s="74"/>
      <c r="L210" s="74"/>
      <c r="M210" s="74"/>
      <c r="N210" s="74"/>
      <c r="O210" s="74"/>
      <c r="P210" s="74"/>
      <c r="Q210" s="74"/>
      <c r="R210" s="74"/>
      <c r="S210" s="74"/>
      <c r="T210" s="74"/>
      <c r="U210" s="74"/>
      <c r="V210" s="74"/>
      <c r="W210" s="74"/>
      <c r="X210" s="74"/>
      <c r="Y210" s="74"/>
      <c r="Z210" s="74"/>
      <c r="AA210" s="74"/>
      <c r="AB210" s="74"/>
    </row>
    <row r="211" spans="1:28" ht="12" customHeight="1">
      <c r="A211" s="260"/>
      <c r="B211" s="104"/>
      <c r="C211" s="104"/>
      <c r="D211" s="260"/>
      <c r="E211" s="104"/>
      <c r="F211" s="104"/>
      <c r="G211" s="35"/>
      <c r="H211" s="104"/>
      <c r="I211" s="35"/>
      <c r="J211" s="74"/>
      <c r="K211" s="74"/>
      <c r="L211" s="74"/>
      <c r="M211" s="74"/>
      <c r="N211" s="74"/>
      <c r="O211" s="74"/>
      <c r="P211" s="74"/>
      <c r="Q211" s="74"/>
      <c r="R211" s="74"/>
      <c r="S211" s="74"/>
      <c r="T211" s="74"/>
      <c r="U211" s="74"/>
      <c r="V211" s="74"/>
      <c r="W211" s="74"/>
      <c r="X211" s="74"/>
      <c r="Y211" s="74"/>
      <c r="Z211" s="74"/>
      <c r="AA211" s="74"/>
      <c r="AB211" s="74"/>
    </row>
    <row r="212" spans="1:28" ht="12" customHeight="1">
      <c r="A212" s="260"/>
      <c r="B212" s="104"/>
      <c r="C212" s="104"/>
      <c r="D212" s="260"/>
      <c r="E212" s="104"/>
      <c r="F212" s="104"/>
      <c r="G212" s="35"/>
      <c r="H212" s="104"/>
      <c r="I212" s="35"/>
      <c r="J212" s="74"/>
      <c r="K212" s="74"/>
      <c r="L212" s="74"/>
      <c r="M212" s="74"/>
      <c r="N212" s="74"/>
      <c r="O212" s="74"/>
      <c r="P212" s="74"/>
      <c r="Q212" s="74"/>
      <c r="R212" s="74"/>
      <c r="S212" s="74"/>
      <c r="T212" s="74"/>
      <c r="U212" s="74"/>
      <c r="V212" s="74"/>
      <c r="W212" s="74"/>
      <c r="X212" s="74"/>
      <c r="Y212" s="74"/>
      <c r="Z212" s="74"/>
      <c r="AA212" s="74"/>
      <c r="AB212" s="74"/>
    </row>
    <row r="213" spans="1:28" ht="12" customHeight="1">
      <c r="A213" s="260"/>
      <c r="B213" s="104"/>
      <c r="C213" s="104"/>
      <c r="D213" s="260"/>
      <c r="E213" s="104"/>
      <c r="F213" s="104"/>
      <c r="G213" s="35"/>
      <c r="H213" s="104"/>
      <c r="I213" s="35"/>
      <c r="J213" s="74"/>
      <c r="K213" s="74"/>
      <c r="L213" s="74"/>
      <c r="M213" s="74"/>
      <c r="N213" s="74"/>
      <c r="O213" s="74"/>
      <c r="P213" s="74"/>
      <c r="Q213" s="74"/>
      <c r="R213" s="74"/>
      <c r="S213" s="74"/>
      <c r="T213" s="74"/>
      <c r="U213" s="74"/>
      <c r="V213" s="74"/>
      <c r="W213" s="74"/>
      <c r="X213" s="74"/>
      <c r="Y213" s="74"/>
      <c r="Z213" s="74"/>
      <c r="AA213" s="74"/>
      <c r="AB213" s="74"/>
    </row>
    <row r="214" spans="1:28" ht="12" customHeight="1">
      <c r="A214" s="260"/>
      <c r="B214" s="104"/>
      <c r="C214" s="104"/>
      <c r="D214" s="260"/>
      <c r="E214" s="104"/>
      <c r="F214" s="104"/>
      <c r="G214" s="35"/>
      <c r="H214" s="104"/>
      <c r="I214" s="35"/>
      <c r="J214" s="74"/>
      <c r="K214" s="74"/>
      <c r="L214" s="74"/>
      <c r="M214" s="74"/>
      <c r="N214" s="74"/>
      <c r="O214" s="74"/>
      <c r="P214" s="74"/>
      <c r="Q214" s="74"/>
      <c r="R214" s="74"/>
      <c r="S214" s="74"/>
      <c r="T214" s="74"/>
      <c r="U214" s="74"/>
      <c r="V214" s="74"/>
      <c r="W214" s="74"/>
      <c r="X214" s="74"/>
      <c r="Y214" s="74"/>
      <c r="Z214" s="74"/>
      <c r="AA214" s="74"/>
      <c r="AB214" s="74"/>
    </row>
    <row r="215" spans="1:28" ht="12" customHeight="1">
      <c r="A215" s="260"/>
      <c r="B215" s="104"/>
      <c r="C215" s="104"/>
      <c r="D215" s="260"/>
      <c r="E215" s="104"/>
      <c r="F215" s="104"/>
      <c r="G215" s="35"/>
      <c r="H215" s="104"/>
      <c r="I215" s="35"/>
      <c r="J215" s="74"/>
      <c r="K215" s="74"/>
      <c r="L215" s="74"/>
      <c r="M215" s="74"/>
      <c r="N215" s="74"/>
      <c r="O215" s="74"/>
      <c r="P215" s="74"/>
      <c r="Q215" s="74"/>
      <c r="R215" s="74"/>
      <c r="S215" s="74"/>
      <c r="T215" s="74"/>
      <c r="U215" s="74"/>
      <c r="V215" s="74"/>
      <c r="W215" s="74"/>
      <c r="X215" s="74"/>
      <c r="Y215" s="74"/>
      <c r="Z215" s="74"/>
      <c r="AA215" s="74"/>
      <c r="AB215" s="74"/>
    </row>
    <row r="216" spans="1:28" ht="12" customHeight="1">
      <c r="A216" s="260"/>
      <c r="B216" s="104"/>
      <c r="C216" s="104"/>
      <c r="D216" s="260"/>
      <c r="E216" s="104"/>
      <c r="F216" s="104"/>
      <c r="G216" s="35"/>
      <c r="H216" s="104"/>
      <c r="I216" s="35"/>
      <c r="J216" s="74"/>
      <c r="K216" s="74"/>
      <c r="L216" s="74"/>
      <c r="M216" s="74"/>
      <c r="N216" s="74"/>
      <c r="O216" s="74"/>
      <c r="P216" s="74"/>
      <c r="Q216" s="74"/>
      <c r="R216" s="74"/>
      <c r="S216" s="74"/>
      <c r="T216" s="74"/>
      <c r="U216" s="74"/>
      <c r="V216" s="74"/>
      <c r="W216" s="74"/>
      <c r="X216" s="74"/>
      <c r="Y216" s="74"/>
      <c r="Z216" s="74"/>
      <c r="AA216" s="74"/>
      <c r="AB216" s="74"/>
    </row>
    <row r="217" spans="1:28" ht="12" customHeight="1">
      <c r="A217" s="260"/>
      <c r="B217" s="104"/>
      <c r="C217" s="104"/>
      <c r="D217" s="260"/>
      <c r="E217" s="104"/>
      <c r="F217" s="104"/>
      <c r="G217" s="35"/>
      <c r="H217" s="104"/>
      <c r="I217" s="35"/>
      <c r="J217" s="74"/>
      <c r="K217" s="74"/>
      <c r="L217" s="74"/>
      <c r="M217" s="74"/>
      <c r="N217" s="74"/>
      <c r="O217" s="74"/>
      <c r="P217" s="74"/>
      <c r="Q217" s="74"/>
      <c r="R217" s="74"/>
      <c r="S217" s="74"/>
      <c r="T217" s="74"/>
      <c r="U217" s="74"/>
      <c r="V217" s="74"/>
      <c r="W217" s="74"/>
      <c r="X217" s="74"/>
      <c r="Y217" s="74"/>
      <c r="Z217" s="74"/>
      <c r="AA217" s="74"/>
      <c r="AB217" s="74"/>
    </row>
    <row r="218" spans="1:28" ht="12" customHeight="1">
      <c r="A218" s="260"/>
      <c r="B218" s="104"/>
      <c r="C218" s="104"/>
      <c r="D218" s="260"/>
      <c r="E218" s="104"/>
      <c r="F218" s="104"/>
      <c r="G218" s="35"/>
      <c r="H218" s="104"/>
      <c r="I218" s="35"/>
      <c r="J218" s="74"/>
      <c r="K218" s="74"/>
      <c r="L218" s="74"/>
      <c r="M218" s="74"/>
      <c r="N218" s="74"/>
      <c r="O218" s="74"/>
      <c r="P218" s="74"/>
      <c r="Q218" s="74"/>
      <c r="R218" s="74"/>
      <c r="S218" s="74"/>
      <c r="T218" s="74"/>
      <c r="U218" s="74"/>
      <c r="V218" s="74"/>
      <c r="W218" s="74"/>
      <c r="X218" s="74"/>
      <c r="Y218" s="74"/>
      <c r="Z218" s="74"/>
      <c r="AA218" s="74"/>
      <c r="AB218" s="74"/>
    </row>
    <row r="219" spans="1:28" ht="12" customHeight="1">
      <c r="A219" s="260"/>
      <c r="B219" s="104"/>
      <c r="C219" s="104"/>
      <c r="D219" s="260"/>
      <c r="E219" s="104"/>
      <c r="F219" s="104"/>
      <c r="G219" s="35"/>
      <c r="H219" s="104"/>
      <c r="I219" s="35"/>
      <c r="J219" s="74"/>
      <c r="K219" s="74"/>
      <c r="L219" s="74"/>
      <c r="M219" s="74"/>
      <c r="N219" s="74"/>
      <c r="O219" s="74"/>
      <c r="P219" s="74"/>
      <c r="Q219" s="74"/>
      <c r="R219" s="74"/>
      <c r="S219" s="74"/>
      <c r="T219" s="74"/>
      <c r="U219" s="74"/>
      <c r="V219" s="74"/>
      <c r="W219" s="74"/>
      <c r="X219" s="74"/>
      <c r="Y219" s="74"/>
      <c r="Z219" s="74"/>
      <c r="AA219" s="74"/>
      <c r="AB219" s="74"/>
    </row>
    <row r="220" spans="1:28" ht="12" customHeight="1">
      <c r="A220" s="260"/>
      <c r="B220" s="104"/>
      <c r="C220" s="104"/>
      <c r="D220" s="260"/>
      <c r="E220" s="104"/>
      <c r="F220" s="104"/>
      <c r="G220" s="35"/>
      <c r="H220" s="104"/>
      <c r="I220" s="35"/>
      <c r="J220" s="74"/>
      <c r="K220" s="74"/>
      <c r="L220" s="74"/>
      <c r="M220" s="74"/>
      <c r="N220" s="74"/>
      <c r="O220" s="74"/>
      <c r="P220" s="74"/>
      <c r="Q220" s="74"/>
      <c r="R220" s="74"/>
      <c r="S220" s="74"/>
      <c r="T220" s="74"/>
      <c r="U220" s="74"/>
      <c r="V220" s="74"/>
      <c r="W220" s="74"/>
      <c r="X220" s="74"/>
      <c r="Y220" s="74"/>
      <c r="Z220" s="74"/>
      <c r="AA220" s="74"/>
      <c r="AB220" s="74"/>
    </row>
    <row r="221" spans="1:28" ht="12" customHeight="1">
      <c r="A221" s="260"/>
      <c r="B221" s="104"/>
      <c r="C221" s="104"/>
      <c r="D221" s="260"/>
      <c r="E221" s="104"/>
      <c r="F221" s="104"/>
      <c r="G221" s="35"/>
      <c r="H221" s="104"/>
      <c r="I221" s="35"/>
      <c r="J221" s="74"/>
      <c r="K221" s="74"/>
      <c r="L221" s="74"/>
      <c r="M221" s="74"/>
      <c r="N221" s="74"/>
      <c r="O221" s="74"/>
      <c r="P221" s="74"/>
      <c r="Q221" s="74"/>
      <c r="R221" s="74"/>
      <c r="S221" s="74"/>
      <c r="T221" s="74"/>
      <c r="U221" s="74"/>
      <c r="V221" s="74"/>
      <c r="W221" s="74"/>
      <c r="X221" s="74"/>
      <c r="Y221" s="74"/>
      <c r="Z221" s="74"/>
      <c r="AA221" s="74"/>
      <c r="AB221" s="74"/>
    </row>
    <row r="222" spans="1:28" ht="12" customHeight="1">
      <c r="A222" s="260"/>
      <c r="B222" s="104"/>
      <c r="C222" s="104"/>
      <c r="D222" s="260"/>
      <c r="E222" s="104"/>
      <c r="F222" s="104"/>
      <c r="G222" s="35"/>
      <c r="H222" s="104"/>
      <c r="I222" s="35"/>
      <c r="J222" s="74"/>
      <c r="K222" s="74"/>
      <c r="L222" s="74"/>
      <c r="M222" s="74"/>
      <c r="N222" s="74"/>
      <c r="O222" s="74"/>
      <c r="P222" s="74"/>
      <c r="Q222" s="74"/>
      <c r="R222" s="74"/>
      <c r="S222" s="74"/>
      <c r="T222" s="74"/>
      <c r="U222" s="74"/>
      <c r="V222" s="74"/>
      <c r="W222" s="74"/>
      <c r="X222" s="74"/>
      <c r="Y222" s="74"/>
      <c r="Z222" s="74"/>
      <c r="AA222" s="74"/>
      <c r="AB222" s="74"/>
    </row>
    <row r="223" spans="1:28" ht="12" customHeight="1">
      <c r="A223" s="260"/>
      <c r="B223" s="104"/>
      <c r="C223" s="104"/>
      <c r="D223" s="260"/>
      <c r="E223" s="104"/>
      <c r="F223" s="104"/>
      <c r="G223" s="35"/>
      <c r="H223" s="104"/>
      <c r="I223" s="35"/>
      <c r="J223" s="74"/>
      <c r="K223" s="74"/>
      <c r="L223" s="74"/>
      <c r="M223" s="74"/>
      <c r="N223" s="74"/>
      <c r="O223" s="74"/>
      <c r="P223" s="74"/>
      <c r="Q223" s="74"/>
      <c r="R223" s="74"/>
      <c r="S223" s="74"/>
      <c r="T223" s="74"/>
      <c r="U223" s="74"/>
      <c r="V223" s="74"/>
      <c r="W223" s="74"/>
      <c r="X223" s="74"/>
      <c r="Y223" s="74"/>
      <c r="Z223" s="74"/>
      <c r="AA223" s="74"/>
      <c r="AB223" s="74"/>
    </row>
    <row r="224" spans="1:28" ht="12" customHeight="1">
      <c r="A224" s="260"/>
      <c r="B224" s="104"/>
      <c r="C224" s="104"/>
      <c r="D224" s="260"/>
      <c r="E224" s="104"/>
      <c r="F224" s="104"/>
      <c r="G224" s="35"/>
      <c r="H224" s="104"/>
      <c r="I224" s="35"/>
      <c r="J224" s="74"/>
      <c r="K224" s="74"/>
      <c r="L224" s="74"/>
      <c r="M224" s="74"/>
      <c r="N224" s="74"/>
      <c r="O224" s="74"/>
      <c r="P224" s="74"/>
      <c r="Q224" s="74"/>
      <c r="R224" s="74"/>
      <c r="S224" s="74"/>
      <c r="T224" s="74"/>
      <c r="U224" s="74"/>
      <c r="V224" s="74"/>
      <c r="W224" s="74"/>
      <c r="X224" s="74"/>
      <c r="Y224" s="74"/>
      <c r="Z224" s="74"/>
      <c r="AA224" s="74"/>
      <c r="AB224" s="74"/>
    </row>
    <row r="225" spans="1:28" ht="12" customHeight="1">
      <c r="A225" s="260"/>
      <c r="B225" s="104"/>
      <c r="C225" s="104"/>
      <c r="D225" s="260"/>
      <c r="E225" s="104"/>
      <c r="F225" s="104"/>
      <c r="G225" s="35"/>
      <c r="H225" s="104"/>
      <c r="I225" s="35"/>
      <c r="J225" s="74"/>
      <c r="K225" s="74"/>
      <c r="L225" s="74"/>
      <c r="M225" s="74"/>
      <c r="N225" s="74"/>
      <c r="O225" s="74"/>
      <c r="P225" s="74"/>
      <c r="Q225" s="74"/>
      <c r="R225" s="74"/>
      <c r="S225" s="74"/>
      <c r="T225" s="74"/>
      <c r="U225" s="74"/>
      <c r="V225" s="74"/>
      <c r="W225" s="74"/>
      <c r="X225" s="74"/>
      <c r="Y225" s="74"/>
      <c r="Z225" s="74"/>
      <c r="AA225" s="74"/>
      <c r="AB225" s="74"/>
    </row>
    <row r="226" spans="1:28" ht="12" customHeight="1">
      <c r="A226" s="260"/>
      <c r="B226" s="104"/>
      <c r="C226" s="104"/>
      <c r="D226" s="260"/>
      <c r="E226" s="104"/>
      <c r="F226" s="104"/>
      <c r="G226" s="35"/>
      <c r="H226" s="104"/>
      <c r="I226" s="35"/>
      <c r="J226" s="74"/>
      <c r="K226" s="74"/>
      <c r="L226" s="74"/>
      <c r="M226" s="74"/>
      <c r="N226" s="74"/>
      <c r="O226" s="74"/>
      <c r="P226" s="74"/>
      <c r="Q226" s="74"/>
      <c r="R226" s="74"/>
      <c r="S226" s="74"/>
      <c r="T226" s="74"/>
      <c r="U226" s="74"/>
      <c r="V226" s="74"/>
      <c r="W226" s="74"/>
      <c r="X226" s="74"/>
      <c r="Y226" s="74"/>
      <c r="Z226" s="74"/>
      <c r="AA226" s="74"/>
      <c r="AB226" s="74"/>
    </row>
    <row r="227" spans="1:28" ht="12" customHeight="1">
      <c r="A227" s="260"/>
      <c r="B227" s="104"/>
      <c r="C227" s="104"/>
      <c r="D227" s="260"/>
      <c r="E227" s="104"/>
      <c r="F227" s="104"/>
      <c r="G227" s="35"/>
      <c r="H227" s="104"/>
      <c r="I227" s="35"/>
      <c r="J227" s="74"/>
      <c r="K227" s="74"/>
      <c r="L227" s="74"/>
      <c r="M227" s="74"/>
      <c r="N227" s="74"/>
      <c r="O227" s="74"/>
      <c r="P227" s="74"/>
      <c r="Q227" s="74"/>
      <c r="R227" s="74"/>
      <c r="S227" s="74"/>
      <c r="T227" s="74"/>
      <c r="U227" s="74"/>
      <c r="V227" s="74"/>
      <c r="W227" s="74"/>
      <c r="X227" s="74"/>
      <c r="Y227" s="74"/>
      <c r="Z227" s="74"/>
      <c r="AA227" s="74"/>
      <c r="AB227" s="74"/>
    </row>
    <row r="228" spans="1:28" ht="12" customHeight="1">
      <c r="A228" s="260"/>
      <c r="B228" s="104"/>
      <c r="C228" s="104"/>
      <c r="D228" s="260"/>
      <c r="E228" s="104"/>
      <c r="F228" s="104"/>
      <c r="G228" s="35"/>
      <c r="H228" s="104"/>
      <c r="I228" s="35"/>
      <c r="J228" s="74"/>
      <c r="K228" s="74"/>
      <c r="L228" s="74"/>
      <c r="M228" s="74"/>
      <c r="N228" s="74"/>
      <c r="O228" s="74"/>
      <c r="P228" s="74"/>
      <c r="Q228" s="74"/>
      <c r="R228" s="74"/>
      <c r="S228" s="74"/>
      <c r="T228" s="74"/>
      <c r="U228" s="74"/>
      <c r="V228" s="74"/>
      <c r="W228" s="74"/>
      <c r="X228" s="74"/>
      <c r="Y228" s="74"/>
      <c r="Z228" s="74"/>
      <c r="AA228" s="74"/>
      <c r="AB228" s="74"/>
    </row>
    <row r="229" spans="1:28" ht="12" customHeight="1">
      <c r="A229" s="260"/>
      <c r="B229" s="104"/>
      <c r="C229" s="104"/>
      <c r="D229" s="260"/>
      <c r="E229" s="104"/>
      <c r="F229" s="104"/>
      <c r="G229" s="35"/>
      <c r="H229" s="104"/>
      <c r="I229" s="35"/>
      <c r="J229" s="74"/>
      <c r="K229" s="74"/>
      <c r="L229" s="74"/>
      <c r="M229" s="74"/>
      <c r="N229" s="74"/>
      <c r="O229" s="74"/>
      <c r="P229" s="74"/>
      <c r="Q229" s="74"/>
      <c r="R229" s="74"/>
      <c r="S229" s="74"/>
      <c r="T229" s="74"/>
      <c r="U229" s="74"/>
      <c r="V229" s="74"/>
      <c r="W229" s="74"/>
      <c r="X229" s="74"/>
      <c r="Y229" s="74"/>
      <c r="Z229" s="74"/>
      <c r="AA229" s="74"/>
      <c r="AB229" s="74"/>
    </row>
    <row r="230" spans="1:28" ht="12" customHeight="1">
      <c r="A230" s="260"/>
      <c r="B230" s="104"/>
      <c r="C230" s="104"/>
      <c r="D230" s="260"/>
      <c r="E230" s="104"/>
      <c r="F230" s="104"/>
      <c r="G230" s="35"/>
      <c r="H230" s="104"/>
      <c r="I230" s="35"/>
      <c r="J230" s="74"/>
      <c r="K230" s="74"/>
      <c r="L230" s="74"/>
      <c r="M230" s="74"/>
      <c r="N230" s="74"/>
      <c r="O230" s="74"/>
      <c r="P230" s="74"/>
      <c r="Q230" s="74"/>
      <c r="R230" s="74"/>
      <c r="S230" s="74"/>
      <c r="T230" s="74"/>
      <c r="U230" s="74"/>
      <c r="V230" s="74"/>
      <c r="W230" s="74"/>
      <c r="X230" s="74"/>
      <c r="Y230" s="74"/>
      <c r="Z230" s="74"/>
      <c r="AA230" s="74"/>
      <c r="AB230" s="74"/>
    </row>
    <row r="231" spans="1:28" ht="12" customHeight="1">
      <c r="A231" s="260"/>
      <c r="B231" s="104"/>
      <c r="C231" s="104"/>
      <c r="D231" s="260"/>
      <c r="E231" s="104"/>
      <c r="F231" s="104"/>
      <c r="G231" s="35"/>
      <c r="H231" s="104"/>
      <c r="I231" s="35"/>
      <c r="J231" s="74"/>
      <c r="K231" s="74"/>
      <c r="L231" s="74"/>
      <c r="M231" s="74"/>
      <c r="N231" s="74"/>
      <c r="O231" s="74"/>
      <c r="P231" s="74"/>
      <c r="Q231" s="74"/>
      <c r="R231" s="74"/>
      <c r="S231" s="74"/>
      <c r="T231" s="74"/>
      <c r="U231" s="74"/>
      <c r="V231" s="74"/>
      <c r="W231" s="74"/>
      <c r="X231" s="74"/>
      <c r="Y231" s="74"/>
      <c r="Z231" s="74"/>
      <c r="AA231" s="74"/>
      <c r="AB231" s="74"/>
    </row>
    <row r="232" spans="1:28" ht="12" customHeight="1">
      <c r="A232" s="260"/>
      <c r="B232" s="104"/>
      <c r="C232" s="104"/>
      <c r="D232" s="260"/>
      <c r="E232" s="104"/>
      <c r="F232" s="104"/>
      <c r="G232" s="35"/>
      <c r="H232" s="104"/>
      <c r="I232" s="35"/>
      <c r="J232" s="74"/>
      <c r="K232" s="74"/>
      <c r="L232" s="74"/>
      <c r="M232" s="74"/>
      <c r="N232" s="74"/>
      <c r="O232" s="74"/>
      <c r="P232" s="74"/>
      <c r="Q232" s="74"/>
      <c r="R232" s="74"/>
      <c r="S232" s="74"/>
      <c r="T232" s="74"/>
      <c r="U232" s="74"/>
      <c r="V232" s="74"/>
      <c r="W232" s="74"/>
      <c r="X232" s="74"/>
      <c r="Y232" s="74"/>
      <c r="Z232" s="74"/>
      <c r="AA232" s="74"/>
      <c r="AB232" s="74"/>
    </row>
    <row r="233" spans="1:28" ht="12" customHeight="1">
      <c r="A233" s="260"/>
      <c r="B233" s="104"/>
      <c r="C233" s="104"/>
      <c r="D233" s="260"/>
      <c r="E233" s="104"/>
      <c r="F233" s="104"/>
      <c r="G233" s="35"/>
      <c r="H233" s="104"/>
      <c r="I233" s="35"/>
      <c r="J233" s="74"/>
      <c r="K233" s="74"/>
      <c r="L233" s="74"/>
      <c r="M233" s="74"/>
      <c r="N233" s="74"/>
      <c r="O233" s="74"/>
      <c r="P233" s="74"/>
      <c r="Q233" s="74"/>
      <c r="R233" s="74"/>
      <c r="S233" s="74"/>
      <c r="T233" s="74"/>
      <c r="U233" s="74"/>
      <c r="V233" s="74"/>
      <c r="W233" s="74"/>
      <c r="X233" s="74"/>
      <c r="Y233" s="74"/>
      <c r="Z233" s="74"/>
      <c r="AA233" s="74"/>
      <c r="AB233" s="74"/>
    </row>
    <row r="234" spans="1:28" ht="12" customHeight="1">
      <c r="A234" s="260"/>
      <c r="B234" s="104"/>
      <c r="C234" s="104"/>
      <c r="D234" s="260"/>
      <c r="E234" s="104"/>
      <c r="F234" s="104"/>
      <c r="G234" s="35"/>
      <c r="H234" s="104"/>
      <c r="I234" s="35"/>
      <c r="J234" s="74"/>
      <c r="K234" s="74"/>
      <c r="L234" s="74"/>
      <c r="M234" s="74"/>
      <c r="N234" s="74"/>
      <c r="O234" s="74"/>
      <c r="P234" s="74"/>
      <c r="Q234" s="74"/>
      <c r="R234" s="74"/>
      <c r="S234" s="74"/>
      <c r="T234" s="74"/>
      <c r="U234" s="74"/>
      <c r="V234" s="74"/>
      <c r="W234" s="74"/>
      <c r="X234" s="74"/>
      <c r="Y234" s="74"/>
      <c r="Z234" s="74"/>
      <c r="AA234" s="74"/>
      <c r="AB234" s="74"/>
    </row>
    <row r="235" spans="1:28" ht="12" customHeight="1">
      <c r="A235" s="260"/>
      <c r="B235" s="104"/>
      <c r="C235" s="104"/>
      <c r="D235" s="260"/>
      <c r="E235" s="104"/>
      <c r="F235" s="104"/>
      <c r="G235" s="35"/>
      <c r="H235" s="104"/>
      <c r="I235" s="35"/>
      <c r="J235" s="74"/>
      <c r="K235" s="74"/>
      <c r="L235" s="74"/>
      <c r="M235" s="74"/>
      <c r="N235" s="74"/>
      <c r="O235" s="74"/>
      <c r="P235" s="74"/>
      <c r="Q235" s="74"/>
      <c r="R235" s="74"/>
      <c r="S235" s="74"/>
      <c r="T235" s="74"/>
      <c r="U235" s="74"/>
      <c r="V235" s="74"/>
      <c r="W235" s="74"/>
      <c r="X235" s="74"/>
      <c r="Y235" s="74"/>
      <c r="Z235" s="74"/>
      <c r="AA235" s="74"/>
      <c r="AB235" s="74"/>
    </row>
    <row r="236" spans="1:28" ht="12" customHeight="1">
      <c r="A236" s="260"/>
      <c r="B236" s="104"/>
      <c r="C236" s="104"/>
      <c r="D236" s="260"/>
      <c r="E236" s="104"/>
      <c r="F236" s="104"/>
      <c r="G236" s="35"/>
      <c r="H236" s="104"/>
      <c r="I236" s="35"/>
      <c r="J236" s="74"/>
      <c r="K236" s="74"/>
      <c r="L236" s="74"/>
      <c r="M236" s="74"/>
      <c r="N236" s="74"/>
      <c r="O236" s="74"/>
      <c r="P236" s="74"/>
      <c r="Q236" s="74"/>
      <c r="R236" s="74"/>
      <c r="S236" s="74"/>
      <c r="T236" s="74"/>
      <c r="U236" s="74"/>
      <c r="V236" s="74"/>
      <c r="W236" s="74"/>
      <c r="X236" s="74"/>
      <c r="Y236" s="74"/>
      <c r="Z236" s="74"/>
      <c r="AA236" s="74"/>
      <c r="AB236" s="74"/>
    </row>
    <row r="237" spans="1:28" ht="12" customHeight="1">
      <c r="A237" s="260"/>
      <c r="B237" s="104"/>
      <c r="C237" s="104"/>
      <c r="D237" s="260"/>
      <c r="E237" s="104"/>
      <c r="F237" s="104"/>
      <c r="G237" s="35"/>
      <c r="H237" s="104"/>
      <c r="I237" s="35"/>
      <c r="J237" s="74"/>
      <c r="K237" s="74"/>
      <c r="L237" s="74"/>
      <c r="M237" s="74"/>
      <c r="N237" s="74"/>
      <c r="O237" s="74"/>
      <c r="P237" s="74"/>
      <c r="Q237" s="74"/>
      <c r="R237" s="74"/>
      <c r="S237" s="74"/>
      <c r="T237" s="74"/>
      <c r="U237" s="74"/>
      <c r="V237" s="74"/>
      <c r="W237" s="74"/>
      <c r="X237" s="74"/>
      <c r="Y237" s="74"/>
      <c r="Z237" s="74"/>
      <c r="AA237" s="74"/>
      <c r="AB237" s="74"/>
    </row>
    <row r="238" spans="1:28" ht="12" customHeight="1">
      <c r="A238" s="260"/>
      <c r="B238" s="104"/>
      <c r="C238" s="104"/>
      <c r="D238" s="260"/>
      <c r="E238" s="104"/>
      <c r="F238" s="104"/>
      <c r="G238" s="35"/>
      <c r="H238" s="104"/>
      <c r="I238" s="35"/>
      <c r="J238" s="74"/>
      <c r="K238" s="74"/>
      <c r="L238" s="74"/>
      <c r="M238" s="74"/>
      <c r="N238" s="74"/>
      <c r="O238" s="74"/>
      <c r="P238" s="74"/>
      <c r="Q238" s="74"/>
      <c r="R238" s="74"/>
      <c r="S238" s="74"/>
      <c r="T238" s="74"/>
      <c r="U238" s="74"/>
      <c r="V238" s="74"/>
      <c r="W238" s="74"/>
      <c r="X238" s="74"/>
      <c r="Y238" s="74"/>
      <c r="Z238" s="74"/>
      <c r="AA238" s="74"/>
      <c r="AB238" s="74"/>
    </row>
    <row r="239" spans="1:28" ht="12" customHeight="1">
      <c r="A239" s="260"/>
      <c r="B239" s="104"/>
      <c r="C239" s="104"/>
      <c r="D239" s="260"/>
      <c r="E239" s="104"/>
      <c r="F239" s="104"/>
      <c r="G239" s="35"/>
      <c r="H239" s="104"/>
      <c r="I239" s="35"/>
      <c r="J239" s="74"/>
      <c r="K239" s="74"/>
      <c r="L239" s="74"/>
      <c r="M239" s="74"/>
      <c r="N239" s="74"/>
      <c r="O239" s="74"/>
      <c r="P239" s="74"/>
      <c r="Q239" s="74"/>
      <c r="R239" s="74"/>
      <c r="S239" s="74"/>
      <c r="T239" s="74"/>
      <c r="U239" s="74"/>
      <c r="V239" s="74"/>
      <c r="W239" s="74"/>
      <c r="X239" s="74"/>
      <c r="Y239" s="74"/>
      <c r="Z239" s="74"/>
      <c r="AA239" s="74"/>
      <c r="AB239" s="74"/>
    </row>
    <row r="240" spans="1:28" ht="12" customHeight="1">
      <c r="A240" s="260"/>
      <c r="B240" s="104"/>
      <c r="C240" s="104"/>
      <c r="D240" s="260"/>
      <c r="E240" s="104"/>
      <c r="F240" s="104"/>
      <c r="G240" s="35"/>
      <c r="H240" s="104"/>
      <c r="I240" s="35"/>
      <c r="J240" s="74"/>
      <c r="K240" s="74"/>
      <c r="L240" s="74"/>
      <c r="M240" s="74"/>
      <c r="N240" s="74"/>
      <c r="O240" s="74"/>
      <c r="P240" s="74"/>
      <c r="Q240" s="74"/>
      <c r="R240" s="74"/>
      <c r="S240" s="74"/>
      <c r="T240" s="74"/>
      <c r="U240" s="74"/>
      <c r="V240" s="74"/>
      <c r="W240" s="74"/>
      <c r="X240" s="74"/>
      <c r="Y240" s="74"/>
      <c r="Z240" s="74"/>
      <c r="AA240" s="74"/>
      <c r="AB240" s="74"/>
    </row>
    <row r="241" spans="1:28" ht="12" customHeight="1">
      <c r="A241" s="260"/>
      <c r="B241" s="104"/>
      <c r="C241" s="104"/>
      <c r="D241" s="260"/>
      <c r="E241" s="104"/>
      <c r="F241" s="104"/>
      <c r="G241" s="35"/>
      <c r="H241" s="104"/>
      <c r="I241" s="35"/>
      <c r="J241" s="74"/>
      <c r="K241" s="74"/>
      <c r="L241" s="74"/>
      <c r="M241" s="74"/>
      <c r="N241" s="74"/>
      <c r="O241" s="74"/>
      <c r="P241" s="74"/>
      <c r="Q241" s="74"/>
      <c r="R241" s="74"/>
      <c r="S241" s="74"/>
      <c r="T241" s="74"/>
      <c r="U241" s="74"/>
      <c r="V241" s="74"/>
      <c r="W241" s="74"/>
      <c r="X241" s="74"/>
      <c r="Y241" s="74"/>
      <c r="Z241" s="74"/>
      <c r="AA241" s="74"/>
      <c r="AB241" s="74"/>
    </row>
    <row r="242" spans="1:28" ht="12" customHeight="1">
      <c r="A242" s="260"/>
      <c r="B242" s="104"/>
      <c r="C242" s="104"/>
      <c r="D242" s="260"/>
      <c r="E242" s="104"/>
      <c r="F242" s="104"/>
      <c r="G242" s="35"/>
      <c r="H242" s="104"/>
      <c r="I242" s="35"/>
      <c r="J242" s="74"/>
      <c r="K242" s="74"/>
      <c r="L242" s="74"/>
      <c r="M242" s="74"/>
      <c r="N242" s="74"/>
      <c r="O242" s="74"/>
      <c r="P242" s="74"/>
      <c r="Q242" s="74"/>
      <c r="R242" s="74"/>
      <c r="S242" s="74"/>
      <c r="T242" s="74"/>
      <c r="U242" s="74"/>
      <c r="V242" s="74"/>
      <c r="W242" s="74"/>
      <c r="X242" s="74"/>
      <c r="Y242" s="74"/>
      <c r="Z242" s="74"/>
      <c r="AA242" s="74"/>
      <c r="AB242" s="74"/>
    </row>
    <row r="243" spans="1:28" ht="12" customHeight="1">
      <c r="A243" s="260"/>
      <c r="B243" s="104"/>
      <c r="C243" s="104"/>
      <c r="D243" s="260"/>
      <c r="E243" s="104"/>
      <c r="F243" s="104"/>
      <c r="G243" s="35"/>
      <c r="H243" s="104"/>
      <c r="I243" s="35"/>
      <c r="J243" s="74"/>
      <c r="K243" s="74"/>
      <c r="L243" s="74"/>
      <c r="M243" s="74"/>
      <c r="N243" s="74"/>
      <c r="O243" s="74"/>
      <c r="P243" s="74"/>
      <c r="Q243" s="74"/>
      <c r="R243" s="74"/>
      <c r="S243" s="74"/>
      <c r="T243" s="74"/>
      <c r="U243" s="74"/>
      <c r="V243" s="74"/>
      <c r="W243" s="74"/>
      <c r="X243" s="74"/>
      <c r="Y243" s="74"/>
      <c r="Z243" s="74"/>
      <c r="AA243" s="74"/>
      <c r="AB243" s="74"/>
    </row>
    <row r="244" spans="1:28" ht="12" customHeight="1">
      <c r="A244" s="260"/>
      <c r="B244" s="104"/>
      <c r="C244" s="104"/>
      <c r="D244" s="260"/>
      <c r="E244" s="104"/>
      <c r="F244" s="104"/>
      <c r="G244" s="35"/>
      <c r="H244" s="104"/>
      <c r="I244" s="35"/>
      <c r="J244" s="74"/>
      <c r="K244" s="74"/>
      <c r="L244" s="74"/>
      <c r="M244" s="74"/>
      <c r="N244" s="74"/>
      <c r="O244" s="74"/>
      <c r="P244" s="74"/>
      <c r="Q244" s="74"/>
      <c r="R244" s="74"/>
      <c r="S244" s="74"/>
      <c r="T244" s="74"/>
      <c r="U244" s="74"/>
      <c r="V244" s="74"/>
      <c r="W244" s="74"/>
      <c r="X244" s="74"/>
      <c r="Y244" s="74"/>
      <c r="Z244" s="74"/>
      <c r="AA244" s="74"/>
      <c r="AB244" s="74"/>
    </row>
    <row r="245" spans="1:28" ht="12" customHeight="1">
      <c r="A245" s="260"/>
      <c r="B245" s="104"/>
      <c r="C245" s="104"/>
      <c r="D245" s="260"/>
      <c r="E245" s="104"/>
      <c r="F245" s="104"/>
      <c r="G245" s="35"/>
      <c r="H245" s="104"/>
      <c r="I245" s="35"/>
      <c r="J245" s="74"/>
      <c r="K245" s="74"/>
      <c r="L245" s="74"/>
      <c r="M245" s="74"/>
      <c r="N245" s="74"/>
      <c r="O245" s="74"/>
      <c r="P245" s="74"/>
      <c r="Q245" s="74"/>
      <c r="R245" s="74"/>
      <c r="S245" s="74"/>
      <c r="T245" s="74"/>
      <c r="U245" s="74"/>
      <c r="V245" s="74"/>
      <c r="W245" s="74"/>
      <c r="X245" s="74"/>
      <c r="Y245" s="74"/>
      <c r="Z245" s="74"/>
      <c r="AA245" s="74"/>
      <c r="AB245" s="74"/>
    </row>
    <row r="246" spans="1:28" ht="12" customHeight="1">
      <c r="A246" s="260"/>
      <c r="B246" s="104"/>
      <c r="C246" s="104"/>
      <c r="D246" s="260"/>
      <c r="E246" s="104"/>
      <c r="F246" s="104"/>
      <c r="G246" s="35"/>
      <c r="H246" s="104"/>
      <c r="I246" s="35"/>
      <c r="J246" s="74"/>
      <c r="K246" s="74"/>
      <c r="L246" s="74"/>
      <c r="M246" s="74"/>
      <c r="N246" s="74"/>
      <c r="O246" s="74"/>
      <c r="P246" s="74"/>
      <c r="Q246" s="74"/>
      <c r="R246" s="74"/>
      <c r="S246" s="74"/>
      <c r="T246" s="74"/>
      <c r="U246" s="74"/>
      <c r="V246" s="74"/>
      <c r="W246" s="74"/>
      <c r="X246" s="74"/>
      <c r="Y246" s="74"/>
      <c r="Z246" s="74"/>
      <c r="AA246" s="74"/>
      <c r="AB246" s="74"/>
    </row>
    <row r="247" spans="1:28" ht="12" customHeight="1">
      <c r="A247" s="260"/>
      <c r="B247" s="104"/>
      <c r="C247" s="104"/>
      <c r="D247" s="260"/>
      <c r="E247" s="104"/>
      <c r="F247" s="104"/>
      <c r="G247" s="35"/>
      <c r="H247" s="104"/>
      <c r="I247" s="35"/>
      <c r="J247" s="74"/>
      <c r="K247" s="74"/>
      <c r="L247" s="74"/>
      <c r="M247" s="74"/>
      <c r="N247" s="74"/>
      <c r="O247" s="74"/>
      <c r="P247" s="74"/>
      <c r="Q247" s="74"/>
      <c r="R247" s="74"/>
      <c r="S247" s="74"/>
      <c r="T247" s="74"/>
      <c r="U247" s="74"/>
      <c r="V247" s="74"/>
      <c r="W247" s="74"/>
      <c r="X247" s="74"/>
      <c r="Y247" s="74"/>
      <c r="Z247" s="74"/>
      <c r="AA247" s="74"/>
      <c r="AB247" s="74"/>
    </row>
    <row r="248" spans="1:28" ht="12" customHeight="1">
      <c r="A248" s="260"/>
      <c r="B248" s="104"/>
      <c r="C248" s="104"/>
      <c r="D248" s="260"/>
      <c r="E248" s="104"/>
      <c r="F248" s="104"/>
      <c r="G248" s="35"/>
      <c r="H248" s="104"/>
      <c r="I248" s="35"/>
      <c r="J248" s="74"/>
      <c r="K248" s="74"/>
      <c r="L248" s="74"/>
      <c r="M248" s="74"/>
      <c r="N248" s="74"/>
      <c r="O248" s="74"/>
      <c r="P248" s="74"/>
      <c r="Q248" s="74"/>
      <c r="R248" s="74"/>
      <c r="S248" s="74"/>
      <c r="T248" s="74"/>
      <c r="U248" s="74"/>
      <c r="V248" s="74"/>
      <c r="W248" s="74"/>
      <c r="X248" s="74"/>
      <c r="Y248" s="74"/>
      <c r="Z248" s="74"/>
      <c r="AA248" s="74"/>
      <c r="AB248" s="74"/>
    </row>
    <row r="249" spans="1:28" ht="12" customHeight="1">
      <c r="A249" s="260"/>
      <c r="B249" s="104"/>
      <c r="C249" s="104"/>
      <c r="D249" s="260"/>
      <c r="E249" s="104"/>
      <c r="F249" s="104"/>
      <c r="G249" s="35"/>
      <c r="H249" s="104"/>
      <c r="I249" s="35"/>
      <c r="J249" s="74"/>
      <c r="K249" s="74"/>
      <c r="L249" s="74"/>
      <c r="M249" s="74"/>
      <c r="N249" s="74"/>
      <c r="O249" s="74"/>
      <c r="P249" s="74"/>
      <c r="Q249" s="74"/>
      <c r="R249" s="74"/>
      <c r="S249" s="74"/>
      <c r="T249" s="74"/>
      <c r="U249" s="74"/>
      <c r="V249" s="74"/>
      <c r="W249" s="74"/>
      <c r="X249" s="74"/>
      <c r="Y249" s="74"/>
      <c r="Z249" s="74"/>
      <c r="AA249" s="74"/>
      <c r="AB249" s="74"/>
    </row>
    <row r="250" spans="1:28" ht="12" customHeight="1">
      <c r="A250" s="260"/>
      <c r="B250" s="104"/>
      <c r="C250" s="104"/>
      <c r="D250" s="260"/>
      <c r="E250" s="104"/>
      <c r="F250" s="104"/>
      <c r="G250" s="35"/>
      <c r="H250" s="104"/>
      <c r="I250" s="35"/>
      <c r="J250" s="74"/>
      <c r="K250" s="74"/>
      <c r="L250" s="74"/>
      <c r="M250" s="74"/>
      <c r="N250" s="74"/>
      <c r="O250" s="74"/>
      <c r="P250" s="74"/>
      <c r="Q250" s="74"/>
      <c r="R250" s="74"/>
      <c r="S250" s="74"/>
      <c r="T250" s="74"/>
      <c r="U250" s="74"/>
      <c r="V250" s="74"/>
      <c r="W250" s="74"/>
      <c r="X250" s="74"/>
      <c r="Y250" s="74"/>
      <c r="Z250" s="74"/>
      <c r="AA250" s="74"/>
      <c r="AB250" s="74"/>
    </row>
    <row r="251" spans="1:28" ht="12" customHeight="1">
      <c r="A251" s="260"/>
      <c r="B251" s="104"/>
      <c r="C251" s="104"/>
      <c r="D251" s="260"/>
      <c r="E251" s="104"/>
      <c r="F251" s="104"/>
      <c r="G251" s="35"/>
      <c r="H251" s="104"/>
      <c r="I251" s="35"/>
      <c r="J251" s="74"/>
      <c r="K251" s="74"/>
      <c r="L251" s="74"/>
      <c r="M251" s="74"/>
      <c r="N251" s="74"/>
      <c r="O251" s="74"/>
      <c r="P251" s="74"/>
      <c r="Q251" s="74"/>
      <c r="R251" s="74"/>
      <c r="S251" s="74"/>
      <c r="T251" s="74"/>
      <c r="U251" s="74"/>
      <c r="V251" s="74"/>
      <c r="W251" s="74"/>
      <c r="X251" s="74"/>
      <c r="Y251" s="74"/>
      <c r="Z251" s="74"/>
      <c r="AA251" s="74"/>
      <c r="AB251" s="74"/>
    </row>
    <row r="252" spans="1:28" ht="12" customHeight="1">
      <c r="A252" s="260"/>
      <c r="B252" s="104"/>
      <c r="C252" s="104"/>
      <c r="D252" s="260"/>
      <c r="E252" s="104"/>
      <c r="F252" s="104"/>
      <c r="G252" s="35"/>
      <c r="H252" s="104"/>
      <c r="I252" s="35"/>
      <c r="J252" s="74"/>
      <c r="K252" s="74"/>
      <c r="L252" s="74"/>
      <c r="M252" s="74"/>
      <c r="N252" s="74"/>
      <c r="O252" s="74"/>
      <c r="P252" s="74"/>
      <c r="Q252" s="74"/>
      <c r="R252" s="74"/>
      <c r="S252" s="74"/>
      <c r="T252" s="74"/>
      <c r="U252" s="74"/>
      <c r="V252" s="74"/>
      <c r="W252" s="74"/>
      <c r="X252" s="74"/>
      <c r="Y252" s="74"/>
      <c r="Z252" s="74"/>
      <c r="AA252" s="74"/>
      <c r="AB252" s="74"/>
    </row>
    <row r="253" spans="1:28" ht="12" customHeight="1">
      <c r="A253" s="260"/>
      <c r="B253" s="104"/>
      <c r="C253" s="104"/>
      <c r="D253" s="260"/>
      <c r="E253" s="104"/>
      <c r="F253" s="104"/>
      <c r="G253" s="35"/>
      <c r="H253" s="104"/>
      <c r="I253" s="35"/>
      <c r="J253" s="74"/>
      <c r="K253" s="74"/>
      <c r="L253" s="74"/>
      <c r="M253" s="74"/>
      <c r="N253" s="74"/>
      <c r="O253" s="74"/>
      <c r="P253" s="74"/>
      <c r="Q253" s="74"/>
      <c r="R253" s="74"/>
      <c r="S253" s="74"/>
      <c r="T253" s="74"/>
      <c r="U253" s="74"/>
      <c r="V253" s="74"/>
      <c r="W253" s="74"/>
      <c r="X253" s="74"/>
      <c r="Y253" s="74"/>
      <c r="Z253" s="74"/>
      <c r="AA253" s="74"/>
      <c r="AB253" s="74"/>
    </row>
    <row r="254" spans="1:28" ht="12" customHeight="1">
      <c r="A254" s="260"/>
      <c r="B254" s="104"/>
      <c r="C254" s="104"/>
      <c r="D254" s="260"/>
      <c r="E254" s="104"/>
      <c r="F254" s="104"/>
      <c r="G254" s="35"/>
      <c r="H254" s="104"/>
      <c r="I254" s="35"/>
      <c r="J254" s="74"/>
      <c r="K254" s="74"/>
      <c r="L254" s="74"/>
      <c r="M254" s="74"/>
      <c r="N254" s="74"/>
      <c r="O254" s="74"/>
      <c r="P254" s="74"/>
      <c r="Q254" s="74"/>
      <c r="R254" s="74"/>
      <c r="S254" s="74"/>
      <c r="T254" s="74"/>
      <c r="U254" s="74"/>
      <c r="V254" s="74"/>
      <c r="W254" s="74"/>
      <c r="X254" s="74"/>
      <c r="Y254" s="74"/>
      <c r="Z254" s="74"/>
      <c r="AA254" s="74"/>
      <c r="AB254" s="74"/>
    </row>
    <row r="255" spans="1:28" ht="12" customHeight="1">
      <c r="A255" s="260"/>
      <c r="B255" s="104"/>
      <c r="C255" s="104"/>
      <c r="D255" s="260"/>
      <c r="E255" s="104"/>
      <c r="F255" s="104"/>
      <c r="G255" s="35"/>
      <c r="H255" s="104"/>
      <c r="I255" s="35"/>
      <c r="J255" s="74"/>
      <c r="K255" s="74"/>
      <c r="L255" s="74"/>
      <c r="M255" s="74"/>
      <c r="N255" s="74"/>
      <c r="O255" s="74"/>
      <c r="P255" s="74"/>
      <c r="Q255" s="74"/>
      <c r="R255" s="74"/>
      <c r="S255" s="74"/>
      <c r="T255" s="74"/>
      <c r="U255" s="74"/>
      <c r="V255" s="74"/>
      <c r="W255" s="74"/>
      <c r="X255" s="74"/>
      <c r="Y255" s="74"/>
      <c r="Z255" s="74"/>
      <c r="AA255" s="74"/>
      <c r="AB255" s="74"/>
    </row>
    <row r="256" spans="1:28" ht="12" customHeight="1">
      <c r="A256" s="260"/>
      <c r="B256" s="104"/>
      <c r="C256" s="104"/>
      <c r="D256" s="260"/>
      <c r="E256" s="104"/>
      <c r="F256" s="104"/>
      <c r="G256" s="35"/>
      <c r="H256" s="104"/>
      <c r="I256" s="35"/>
      <c r="J256" s="74"/>
      <c r="K256" s="74"/>
      <c r="L256" s="74"/>
      <c r="M256" s="74"/>
      <c r="N256" s="74"/>
      <c r="O256" s="74"/>
      <c r="P256" s="74"/>
      <c r="Q256" s="74"/>
      <c r="R256" s="74"/>
      <c r="S256" s="74"/>
      <c r="T256" s="74"/>
      <c r="U256" s="74"/>
      <c r="V256" s="74"/>
      <c r="W256" s="74"/>
      <c r="X256" s="74"/>
      <c r="Y256" s="74"/>
      <c r="Z256" s="74"/>
      <c r="AA256" s="74"/>
      <c r="AB256" s="74"/>
    </row>
    <row r="257" spans="1:28" ht="12" customHeight="1">
      <c r="A257" s="260"/>
      <c r="B257" s="104"/>
      <c r="C257" s="104"/>
      <c r="D257" s="260"/>
      <c r="E257" s="104"/>
      <c r="F257" s="104"/>
      <c r="G257" s="35"/>
      <c r="H257" s="104"/>
      <c r="I257" s="35"/>
      <c r="J257" s="74"/>
      <c r="K257" s="74"/>
      <c r="L257" s="74"/>
      <c r="M257" s="74"/>
      <c r="N257" s="74"/>
      <c r="O257" s="74"/>
      <c r="P257" s="74"/>
      <c r="Q257" s="74"/>
      <c r="R257" s="74"/>
      <c r="S257" s="74"/>
      <c r="T257" s="74"/>
      <c r="U257" s="74"/>
      <c r="V257" s="74"/>
      <c r="W257" s="74"/>
      <c r="X257" s="74"/>
      <c r="Y257" s="74"/>
      <c r="Z257" s="74"/>
      <c r="AA257" s="74"/>
      <c r="AB257" s="74"/>
    </row>
    <row r="258" spans="1:28" ht="12" customHeight="1">
      <c r="A258" s="260"/>
      <c r="B258" s="104"/>
      <c r="C258" s="104"/>
      <c r="D258" s="260"/>
      <c r="E258" s="104"/>
      <c r="F258" s="104"/>
      <c r="G258" s="35"/>
      <c r="H258" s="104"/>
      <c r="I258" s="35"/>
      <c r="J258" s="74"/>
      <c r="K258" s="74"/>
      <c r="L258" s="74"/>
      <c r="M258" s="74"/>
      <c r="N258" s="74"/>
      <c r="O258" s="74"/>
      <c r="P258" s="74"/>
      <c r="Q258" s="74"/>
      <c r="R258" s="74"/>
      <c r="S258" s="74"/>
      <c r="T258" s="74"/>
      <c r="U258" s="74"/>
      <c r="V258" s="74"/>
      <c r="W258" s="74"/>
      <c r="X258" s="74"/>
      <c r="Y258" s="74"/>
      <c r="Z258" s="74"/>
      <c r="AA258" s="74"/>
      <c r="AB258" s="74"/>
    </row>
    <row r="259" spans="1:28" ht="12" customHeight="1">
      <c r="A259" s="260"/>
      <c r="B259" s="104"/>
      <c r="C259" s="104"/>
      <c r="D259" s="260"/>
      <c r="E259" s="104"/>
      <c r="F259" s="104"/>
      <c r="G259" s="35"/>
      <c r="H259" s="104"/>
      <c r="I259" s="35"/>
      <c r="J259" s="74"/>
      <c r="K259" s="74"/>
      <c r="L259" s="74"/>
      <c r="M259" s="74"/>
      <c r="N259" s="74"/>
      <c r="O259" s="74"/>
      <c r="P259" s="74"/>
      <c r="Q259" s="74"/>
      <c r="R259" s="74"/>
      <c r="S259" s="74"/>
      <c r="T259" s="74"/>
      <c r="U259" s="74"/>
      <c r="V259" s="74"/>
      <c r="W259" s="74"/>
      <c r="X259" s="74"/>
      <c r="Y259" s="74"/>
      <c r="Z259" s="74"/>
      <c r="AA259" s="74"/>
      <c r="AB259" s="74"/>
    </row>
    <row r="260" spans="1:28" ht="12" customHeight="1">
      <c r="A260" s="260"/>
      <c r="B260" s="104"/>
      <c r="C260" s="104"/>
      <c r="D260" s="260"/>
      <c r="E260" s="104"/>
      <c r="F260" s="104"/>
      <c r="G260" s="35"/>
      <c r="H260" s="104"/>
      <c r="I260" s="35"/>
      <c r="J260" s="74"/>
      <c r="K260" s="74"/>
      <c r="L260" s="74"/>
      <c r="M260" s="74"/>
      <c r="N260" s="74"/>
      <c r="O260" s="74"/>
      <c r="P260" s="74"/>
      <c r="Q260" s="74"/>
      <c r="R260" s="74"/>
      <c r="S260" s="74"/>
      <c r="T260" s="74"/>
      <c r="U260" s="74"/>
      <c r="V260" s="74"/>
      <c r="W260" s="74"/>
      <c r="X260" s="74"/>
      <c r="Y260" s="74"/>
      <c r="Z260" s="74"/>
      <c r="AA260" s="74"/>
      <c r="AB260" s="74"/>
    </row>
    <row r="261" spans="1:28" ht="12" customHeight="1">
      <c r="A261" s="260"/>
      <c r="B261" s="104"/>
      <c r="C261" s="104"/>
      <c r="D261" s="260"/>
      <c r="E261" s="104"/>
      <c r="F261" s="104"/>
      <c r="G261" s="35"/>
      <c r="H261" s="104"/>
      <c r="I261" s="35"/>
      <c r="J261" s="74"/>
      <c r="K261" s="74"/>
      <c r="L261" s="74"/>
      <c r="M261" s="74"/>
      <c r="N261" s="74"/>
      <c r="O261" s="74"/>
      <c r="P261" s="74"/>
      <c r="Q261" s="74"/>
      <c r="R261" s="74"/>
      <c r="S261" s="74"/>
      <c r="T261" s="74"/>
      <c r="U261" s="74"/>
      <c r="V261" s="74"/>
      <c r="W261" s="74"/>
      <c r="X261" s="74"/>
      <c r="Y261" s="74"/>
      <c r="Z261" s="74"/>
      <c r="AA261" s="74"/>
      <c r="AB261" s="74"/>
    </row>
    <row r="262" spans="1:28" ht="12" customHeight="1">
      <c r="A262" s="260"/>
      <c r="B262" s="104"/>
      <c r="C262" s="104"/>
      <c r="D262" s="260"/>
      <c r="E262" s="104"/>
      <c r="F262" s="104"/>
      <c r="G262" s="35"/>
      <c r="H262" s="104"/>
      <c r="I262" s="35"/>
      <c r="J262" s="74"/>
      <c r="K262" s="74"/>
      <c r="L262" s="74"/>
      <c r="M262" s="74"/>
      <c r="N262" s="74"/>
      <c r="O262" s="74"/>
      <c r="P262" s="74"/>
      <c r="Q262" s="74"/>
      <c r="R262" s="74"/>
      <c r="S262" s="74"/>
      <c r="T262" s="74"/>
      <c r="U262" s="74"/>
      <c r="V262" s="74"/>
      <c r="W262" s="74"/>
      <c r="X262" s="74"/>
      <c r="Y262" s="74"/>
      <c r="Z262" s="74"/>
      <c r="AA262" s="74"/>
      <c r="AB262" s="74"/>
    </row>
    <row r="263" spans="1:28" ht="12" customHeight="1">
      <c r="A263" s="260"/>
      <c r="B263" s="104"/>
      <c r="C263" s="104"/>
      <c r="D263" s="260"/>
      <c r="E263" s="104"/>
      <c r="F263" s="104"/>
      <c r="G263" s="35"/>
      <c r="H263" s="104"/>
      <c r="I263" s="35"/>
      <c r="J263" s="74"/>
      <c r="K263" s="74"/>
      <c r="L263" s="74"/>
      <c r="M263" s="74"/>
      <c r="N263" s="74"/>
      <c r="O263" s="74"/>
      <c r="P263" s="74"/>
      <c r="Q263" s="74"/>
      <c r="R263" s="74"/>
      <c r="S263" s="74"/>
      <c r="T263" s="74"/>
      <c r="U263" s="74"/>
      <c r="V263" s="74"/>
      <c r="W263" s="74"/>
      <c r="X263" s="74"/>
      <c r="Y263" s="74"/>
      <c r="Z263" s="74"/>
      <c r="AA263" s="74"/>
      <c r="AB263" s="74"/>
    </row>
    <row r="264" spans="1:28" ht="12" customHeight="1">
      <c r="A264" s="260"/>
      <c r="B264" s="104"/>
      <c r="C264" s="104"/>
      <c r="D264" s="260"/>
      <c r="E264" s="104"/>
      <c r="F264" s="104"/>
      <c r="G264" s="35"/>
      <c r="H264" s="104"/>
      <c r="I264" s="35"/>
      <c r="J264" s="74"/>
      <c r="K264" s="74"/>
      <c r="L264" s="74"/>
      <c r="M264" s="74"/>
      <c r="N264" s="74"/>
      <c r="O264" s="74"/>
      <c r="P264" s="74"/>
      <c r="Q264" s="74"/>
      <c r="R264" s="74"/>
      <c r="S264" s="74"/>
      <c r="T264" s="74"/>
      <c r="U264" s="74"/>
      <c r="V264" s="74"/>
      <c r="W264" s="74"/>
      <c r="X264" s="74"/>
      <c r="Y264" s="74"/>
      <c r="Z264" s="74"/>
      <c r="AA264" s="74"/>
      <c r="AB264" s="74"/>
    </row>
    <row r="265" spans="1:28" ht="12" customHeight="1">
      <c r="A265" s="260"/>
      <c r="B265" s="104"/>
      <c r="C265" s="104"/>
      <c r="D265" s="260"/>
      <c r="E265" s="104"/>
      <c r="F265" s="104"/>
      <c r="G265" s="35"/>
      <c r="H265" s="104"/>
      <c r="I265" s="35"/>
      <c r="J265" s="74"/>
      <c r="K265" s="74"/>
      <c r="L265" s="74"/>
      <c r="M265" s="74"/>
      <c r="N265" s="74"/>
      <c r="O265" s="74"/>
      <c r="P265" s="74"/>
      <c r="Q265" s="74"/>
      <c r="R265" s="74"/>
      <c r="S265" s="74"/>
      <c r="T265" s="74"/>
      <c r="U265" s="74"/>
      <c r="V265" s="74"/>
      <c r="W265" s="74"/>
      <c r="X265" s="74"/>
      <c r="Y265" s="74"/>
      <c r="Z265" s="74"/>
      <c r="AA265" s="74"/>
      <c r="AB265" s="74"/>
    </row>
    <row r="266" spans="1:28" ht="12" customHeight="1">
      <c r="A266" s="260"/>
      <c r="B266" s="104"/>
      <c r="C266" s="104"/>
      <c r="D266" s="260"/>
      <c r="E266" s="104"/>
      <c r="F266" s="104"/>
      <c r="G266" s="35"/>
      <c r="H266" s="104"/>
      <c r="I266" s="35"/>
      <c r="J266" s="74"/>
      <c r="K266" s="74"/>
      <c r="L266" s="74"/>
      <c r="M266" s="74"/>
      <c r="N266" s="74"/>
      <c r="O266" s="74"/>
      <c r="P266" s="74"/>
      <c r="Q266" s="74"/>
      <c r="R266" s="74"/>
      <c r="S266" s="74"/>
      <c r="T266" s="74"/>
      <c r="U266" s="74"/>
      <c r="V266" s="74"/>
      <c r="W266" s="74"/>
      <c r="X266" s="74"/>
      <c r="Y266" s="74"/>
      <c r="Z266" s="74"/>
      <c r="AA266" s="74"/>
      <c r="AB266" s="74"/>
    </row>
    <row r="267" spans="1:28" ht="12" customHeight="1">
      <c r="A267" s="260"/>
      <c r="B267" s="104"/>
      <c r="C267" s="104"/>
      <c r="D267" s="260"/>
      <c r="E267" s="104"/>
      <c r="F267" s="104"/>
      <c r="G267" s="35"/>
      <c r="H267" s="104"/>
      <c r="I267" s="35"/>
      <c r="J267" s="74"/>
      <c r="K267" s="74"/>
      <c r="L267" s="74"/>
      <c r="M267" s="74"/>
      <c r="N267" s="74"/>
      <c r="O267" s="74"/>
      <c r="P267" s="74"/>
      <c r="Q267" s="74"/>
      <c r="R267" s="74"/>
      <c r="S267" s="74"/>
      <c r="T267" s="74"/>
      <c r="U267" s="74"/>
      <c r="V267" s="74"/>
      <c r="W267" s="74"/>
      <c r="X267" s="74"/>
      <c r="Y267" s="74"/>
      <c r="Z267" s="74"/>
      <c r="AA267" s="74"/>
      <c r="AB267" s="74"/>
    </row>
    <row r="268" spans="1:28" ht="12" customHeight="1">
      <c r="A268" s="260"/>
      <c r="B268" s="104"/>
      <c r="C268" s="104"/>
      <c r="D268" s="260"/>
      <c r="E268" s="104"/>
      <c r="F268" s="104"/>
      <c r="G268" s="35"/>
      <c r="H268" s="104"/>
      <c r="I268" s="35"/>
      <c r="J268" s="74"/>
      <c r="K268" s="74"/>
      <c r="L268" s="74"/>
      <c r="M268" s="74"/>
      <c r="N268" s="74"/>
      <c r="O268" s="74"/>
      <c r="P268" s="74"/>
      <c r="Q268" s="74"/>
      <c r="R268" s="74"/>
      <c r="S268" s="74"/>
      <c r="T268" s="74"/>
      <c r="U268" s="74"/>
      <c r="V268" s="74"/>
      <c r="W268" s="74"/>
      <c r="X268" s="74"/>
      <c r="Y268" s="74"/>
      <c r="Z268" s="74"/>
      <c r="AA268" s="74"/>
      <c r="AB268" s="74"/>
    </row>
    <row r="269" spans="1:28" ht="12" customHeight="1">
      <c r="A269" s="260"/>
      <c r="B269" s="104"/>
      <c r="C269" s="104"/>
      <c r="D269" s="260"/>
      <c r="E269" s="104"/>
      <c r="F269" s="104"/>
      <c r="G269" s="35"/>
      <c r="H269" s="104"/>
      <c r="I269" s="35"/>
      <c r="J269" s="74"/>
      <c r="K269" s="74"/>
      <c r="L269" s="74"/>
      <c r="M269" s="74"/>
      <c r="N269" s="74"/>
      <c r="O269" s="74"/>
      <c r="P269" s="74"/>
      <c r="Q269" s="74"/>
      <c r="R269" s="74"/>
      <c r="S269" s="74"/>
      <c r="T269" s="74"/>
      <c r="U269" s="74"/>
      <c r="V269" s="74"/>
      <c r="W269" s="74"/>
      <c r="X269" s="74"/>
      <c r="Y269" s="74"/>
      <c r="Z269" s="74"/>
      <c r="AA269" s="74"/>
      <c r="AB269" s="74"/>
    </row>
    <row r="270" spans="1:28" ht="12" customHeight="1">
      <c r="A270" s="260"/>
      <c r="B270" s="104"/>
      <c r="C270" s="104"/>
      <c r="D270" s="260"/>
      <c r="E270" s="104"/>
      <c r="F270" s="104"/>
      <c r="G270" s="35"/>
      <c r="H270" s="104"/>
      <c r="I270" s="35"/>
      <c r="J270" s="74"/>
      <c r="K270" s="74"/>
      <c r="L270" s="74"/>
      <c r="M270" s="74"/>
      <c r="N270" s="74"/>
      <c r="O270" s="74"/>
      <c r="P270" s="74"/>
      <c r="Q270" s="74"/>
      <c r="R270" s="74"/>
      <c r="S270" s="74"/>
      <c r="T270" s="74"/>
      <c r="U270" s="74"/>
      <c r="V270" s="74"/>
      <c r="W270" s="74"/>
      <c r="X270" s="74"/>
      <c r="Y270" s="74"/>
      <c r="Z270" s="74"/>
      <c r="AA270" s="74"/>
      <c r="AB270" s="74"/>
    </row>
    <row r="271" spans="1:28" ht="12" customHeight="1">
      <c r="A271" s="260"/>
      <c r="B271" s="104"/>
      <c r="C271" s="104"/>
      <c r="D271" s="260"/>
      <c r="E271" s="104"/>
      <c r="F271" s="104"/>
      <c r="G271" s="35"/>
      <c r="H271" s="104"/>
      <c r="I271" s="35"/>
      <c r="J271" s="74"/>
      <c r="K271" s="74"/>
      <c r="L271" s="74"/>
      <c r="M271" s="74"/>
      <c r="N271" s="74"/>
      <c r="O271" s="74"/>
      <c r="P271" s="74"/>
      <c r="Q271" s="74"/>
      <c r="R271" s="74"/>
      <c r="S271" s="74"/>
      <c r="T271" s="74"/>
      <c r="U271" s="74"/>
      <c r="V271" s="74"/>
      <c r="W271" s="74"/>
      <c r="X271" s="74"/>
      <c r="Y271" s="74"/>
      <c r="Z271" s="74"/>
      <c r="AA271" s="74"/>
      <c r="AB271" s="74"/>
    </row>
    <row r="272" spans="1:28" ht="12" customHeight="1">
      <c r="A272" s="260"/>
      <c r="B272" s="104"/>
      <c r="C272" s="104"/>
      <c r="D272" s="260"/>
      <c r="E272" s="104"/>
      <c r="F272" s="104"/>
      <c r="G272" s="35"/>
      <c r="H272" s="104"/>
      <c r="I272" s="35"/>
      <c r="J272" s="74"/>
      <c r="K272" s="74"/>
      <c r="L272" s="74"/>
      <c r="M272" s="74"/>
      <c r="N272" s="74"/>
      <c r="O272" s="74"/>
      <c r="P272" s="74"/>
      <c r="Q272" s="74"/>
      <c r="R272" s="74"/>
      <c r="S272" s="74"/>
      <c r="T272" s="74"/>
      <c r="U272" s="74"/>
      <c r="V272" s="74"/>
      <c r="W272" s="74"/>
      <c r="X272" s="74"/>
      <c r="Y272" s="74"/>
      <c r="Z272" s="74"/>
      <c r="AA272" s="74"/>
      <c r="AB272" s="74"/>
    </row>
    <row r="273" spans="1:28" ht="12" customHeight="1">
      <c r="A273" s="260"/>
      <c r="B273" s="104"/>
      <c r="C273" s="104"/>
      <c r="D273" s="260"/>
      <c r="E273" s="104"/>
      <c r="F273" s="104"/>
      <c r="G273" s="35"/>
      <c r="H273" s="104"/>
      <c r="I273" s="35"/>
      <c r="J273" s="74"/>
      <c r="K273" s="74"/>
      <c r="L273" s="74"/>
      <c r="M273" s="74"/>
      <c r="N273" s="74"/>
      <c r="O273" s="74"/>
      <c r="P273" s="74"/>
      <c r="Q273" s="74"/>
      <c r="R273" s="74"/>
      <c r="S273" s="74"/>
      <c r="T273" s="74"/>
      <c r="U273" s="74"/>
      <c r="V273" s="74"/>
      <c r="W273" s="74"/>
      <c r="X273" s="74"/>
      <c r="Y273" s="74"/>
      <c r="Z273" s="74"/>
      <c r="AA273" s="74"/>
      <c r="AB273" s="74"/>
    </row>
    <row r="274" spans="1:28" ht="12" customHeight="1">
      <c r="A274" s="260"/>
      <c r="B274" s="104"/>
      <c r="C274" s="104"/>
      <c r="D274" s="260"/>
      <c r="E274" s="104"/>
      <c r="F274" s="104"/>
      <c r="G274" s="35"/>
      <c r="H274" s="104"/>
      <c r="I274" s="35"/>
      <c r="J274" s="74"/>
      <c r="K274" s="74"/>
      <c r="L274" s="74"/>
      <c r="M274" s="74"/>
      <c r="N274" s="74"/>
      <c r="O274" s="74"/>
      <c r="P274" s="74"/>
      <c r="Q274" s="74"/>
      <c r="R274" s="74"/>
      <c r="S274" s="74"/>
      <c r="T274" s="74"/>
      <c r="U274" s="74"/>
      <c r="V274" s="74"/>
      <c r="W274" s="74"/>
      <c r="X274" s="74"/>
      <c r="Y274" s="74"/>
      <c r="Z274" s="74"/>
      <c r="AA274" s="74"/>
      <c r="AB274" s="74"/>
    </row>
    <row r="275" spans="1:28" ht="12" customHeight="1">
      <c r="A275" s="260"/>
      <c r="B275" s="104"/>
      <c r="C275" s="104"/>
      <c r="D275" s="260"/>
      <c r="E275" s="104"/>
      <c r="F275" s="104"/>
      <c r="G275" s="35"/>
      <c r="H275" s="104"/>
      <c r="I275" s="35"/>
      <c r="J275" s="74"/>
      <c r="K275" s="74"/>
      <c r="L275" s="74"/>
      <c r="M275" s="74"/>
      <c r="N275" s="74"/>
      <c r="O275" s="74"/>
      <c r="P275" s="74"/>
      <c r="Q275" s="74"/>
      <c r="R275" s="74"/>
      <c r="S275" s="74"/>
      <c r="T275" s="74"/>
      <c r="U275" s="74"/>
      <c r="V275" s="74"/>
      <c r="W275" s="74"/>
      <c r="X275" s="74"/>
      <c r="Y275" s="74"/>
      <c r="Z275" s="74"/>
      <c r="AA275" s="74"/>
      <c r="AB275" s="74"/>
    </row>
    <row r="276" spans="1:28" ht="12" customHeight="1">
      <c r="A276" s="260"/>
      <c r="B276" s="104"/>
      <c r="C276" s="104"/>
      <c r="D276" s="260"/>
      <c r="E276" s="104"/>
      <c r="F276" s="104"/>
      <c r="G276" s="35"/>
      <c r="H276" s="104"/>
      <c r="I276" s="35"/>
      <c r="J276" s="74"/>
      <c r="K276" s="74"/>
      <c r="L276" s="74"/>
      <c r="M276" s="74"/>
      <c r="N276" s="74"/>
      <c r="O276" s="74"/>
      <c r="P276" s="74"/>
      <c r="Q276" s="74"/>
      <c r="R276" s="74"/>
      <c r="S276" s="74"/>
      <c r="T276" s="74"/>
      <c r="U276" s="74"/>
      <c r="V276" s="74"/>
      <c r="W276" s="74"/>
      <c r="X276" s="74"/>
      <c r="Y276" s="74"/>
      <c r="Z276" s="74"/>
      <c r="AA276" s="74"/>
      <c r="AB276" s="74"/>
    </row>
    <row r="277" spans="1:28" ht="12" customHeight="1">
      <c r="A277" s="260"/>
      <c r="B277" s="104"/>
      <c r="C277" s="104"/>
      <c r="D277" s="260"/>
      <c r="E277" s="104"/>
      <c r="F277" s="104"/>
      <c r="G277" s="35"/>
      <c r="H277" s="104"/>
      <c r="I277" s="35"/>
      <c r="J277" s="74"/>
      <c r="K277" s="74"/>
      <c r="L277" s="74"/>
      <c r="M277" s="74"/>
      <c r="N277" s="74"/>
      <c r="O277" s="74"/>
      <c r="P277" s="74"/>
      <c r="Q277" s="74"/>
      <c r="R277" s="74"/>
      <c r="S277" s="74"/>
      <c r="T277" s="74"/>
      <c r="U277" s="74"/>
      <c r="V277" s="74"/>
      <c r="W277" s="74"/>
      <c r="X277" s="74"/>
      <c r="Y277" s="74"/>
      <c r="Z277" s="74"/>
      <c r="AA277" s="74"/>
      <c r="AB277" s="74"/>
    </row>
    <row r="278" spans="1:28" ht="12" customHeight="1">
      <c r="A278" s="260"/>
      <c r="B278" s="104"/>
      <c r="C278" s="104"/>
      <c r="D278" s="260"/>
      <c r="E278" s="104"/>
      <c r="F278" s="104"/>
      <c r="G278" s="35"/>
      <c r="H278" s="104"/>
      <c r="I278" s="35"/>
      <c r="J278" s="74"/>
      <c r="K278" s="74"/>
      <c r="L278" s="74"/>
      <c r="M278" s="74"/>
      <c r="N278" s="74"/>
      <c r="O278" s="74"/>
      <c r="P278" s="74"/>
      <c r="Q278" s="74"/>
      <c r="R278" s="74"/>
      <c r="S278" s="74"/>
      <c r="T278" s="74"/>
      <c r="U278" s="74"/>
      <c r="V278" s="74"/>
      <c r="W278" s="74"/>
      <c r="X278" s="74"/>
      <c r="Y278" s="74"/>
      <c r="Z278" s="74"/>
      <c r="AA278" s="74"/>
      <c r="AB278" s="74"/>
    </row>
    <row r="279" spans="1:28" ht="12" customHeight="1">
      <c r="A279" s="260"/>
      <c r="B279" s="104"/>
      <c r="C279" s="104"/>
      <c r="D279" s="260"/>
      <c r="E279" s="104"/>
      <c r="F279" s="104"/>
      <c r="G279" s="35"/>
      <c r="H279" s="104"/>
      <c r="I279" s="35"/>
      <c r="J279" s="74"/>
      <c r="K279" s="74"/>
      <c r="L279" s="74"/>
      <c r="M279" s="74"/>
      <c r="N279" s="74"/>
      <c r="O279" s="74"/>
      <c r="P279" s="74"/>
      <c r="Q279" s="74"/>
      <c r="R279" s="74"/>
      <c r="S279" s="74"/>
      <c r="T279" s="74"/>
      <c r="U279" s="74"/>
      <c r="V279" s="74"/>
      <c r="W279" s="74"/>
      <c r="X279" s="74"/>
      <c r="Y279" s="74"/>
      <c r="Z279" s="74"/>
      <c r="AA279" s="74"/>
      <c r="AB279" s="74"/>
    </row>
    <row r="280" spans="1:28" ht="12" customHeight="1">
      <c r="A280" s="260"/>
      <c r="B280" s="104"/>
      <c r="C280" s="104"/>
      <c r="D280" s="260"/>
      <c r="E280" s="104"/>
      <c r="F280" s="104"/>
      <c r="G280" s="35"/>
      <c r="H280" s="104"/>
      <c r="I280" s="35"/>
      <c r="J280" s="74"/>
      <c r="K280" s="74"/>
      <c r="L280" s="74"/>
      <c r="M280" s="74"/>
      <c r="N280" s="74"/>
      <c r="O280" s="74"/>
      <c r="P280" s="74"/>
      <c r="Q280" s="74"/>
      <c r="R280" s="74"/>
      <c r="S280" s="74"/>
      <c r="T280" s="74"/>
      <c r="U280" s="74"/>
      <c r="V280" s="74"/>
      <c r="W280" s="74"/>
      <c r="X280" s="74"/>
      <c r="Y280" s="74"/>
      <c r="Z280" s="74"/>
      <c r="AA280" s="74"/>
      <c r="AB280" s="74"/>
    </row>
    <row r="281" spans="1:28" ht="12" customHeight="1">
      <c r="A281" s="260"/>
      <c r="B281" s="104"/>
      <c r="C281" s="104"/>
      <c r="D281" s="260"/>
      <c r="E281" s="104"/>
      <c r="F281" s="104"/>
      <c r="G281" s="35"/>
      <c r="H281" s="104"/>
      <c r="I281" s="35"/>
      <c r="J281" s="74"/>
      <c r="K281" s="74"/>
      <c r="L281" s="74"/>
      <c r="M281" s="74"/>
      <c r="N281" s="74"/>
      <c r="O281" s="74"/>
      <c r="P281" s="74"/>
      <c r="Q281" s="74"/>
      <c r="R281" s="74"/>
      <c r="S281" s="74"/>
      <c r="T281" s="74"/>
      <c r="U281" s="74"/>
      <c r="V281" s="74"/>
      <c r="W281" s="74"/>
      <c r="X281" s="74"/>
      <c r="Y281" s="74"/>
      <c r="Z281" s="74"/>
      <c r="AA281" s="74"/>
      <c r="AB281" s="74"/>
    </row>
    <row r="282" spans="1:28" ht="12" customHeight="1">
      <c r="A282" s="260"/>
      <c r="B282" s="104"/>
      <c r="C282" s="104"/>
      <c r="D282" s="260"/>
      <c r="E282" s="104"/>
      <c r="F282" s="104"/>
      <c r="G282" s="35"/>
      <c r="H282" s="104"/>
      <c r="I282" s="35"/>
      <c r="J282" s="74"/>
      <c r="K282" s="74"/>
      <c r="L282" s="74"/>
      <c r="M282" s="74"/>
      <c r="N282" s="74"/>
      <c r="O282" s="74"/>
      <c r="P282" s="74"/>
      <c r="Q282" s="74"/>
      <c r="R282" s="74"/>
      <c r="S282" s="74"/>
      <c r="T282" s="74"/>
      <c r="U282" s="74"/>
      <c r="V282" s="74"/>
      <c r="W282" s="74"/>
      <c r="X282" s="74"/>
      <c r="Y282" s="74"/>
      <c r="Z282" s="74"/>
      <c r="AA282" s="74"/>
      <c r="AB282" s="74"/>
    </row>
    <row r="283" spans="1:28" ht="12" customHeight="1">
      <c r="A283" s="260"/>
      <c r="B283" s="104"/>
      <c r="C283" s="104"/>
      <c r="D283" s="260"/>
      <c r="E283" s="104"/>
      <c r="F283" s="104"/>
      <c r="G283" s="35"/>
      <c r="H283" s="104"/>
      <c r="I283" s="35"/>
      <c r="J283" s="74"/>
      <c r="K283" s="74"/>
      <c r="L283" s="74"/>
      <c r="M283" s="74"/>
      <c r="N283" s="74"/>
      <c r="O283" s="74"/>
      <c r="P283" s="74"/>
      <c r="Q283" s="74"/>
      <c r="R283" s="74"/>
      <c r="S283" s="74"/>
      <c r="T283" s="74"/>
      <c r="U283" s="74"/>
      <c r="V283" s="74"/>
      <c r="W283" s="74"/>
      <c r="X283" s="74"/>
      <c r="Y283" s="74"/>
      <c r="Z283" s="74"/>
      <c r="AA283" s="74"/>
      <c r="AB283" s="74"/>
    </row>
    <row r="284" spans="1:28" ht="12" customHeight="1">
      <c r="A284" s="260"/>
      <c r="B284" s="104"/>
      <c r="C284" s="104"/>
      <c r="D284" s="260"/>
      <c r="E284" s="104"/>
      <c r="F284" s="104"/>
      <c r="G284" s="35"/>
      <c r="H284" s="104"/>
      <c r="I284" s="35"/>
      <c r="J284" s="74"/>
      <c r="K284" s="74"/>
      <c r="L284" s="74"/>
      <c r="M284" s="74"/>
      <c r="N284" s="74"/>
      <c r="O284" s="74"/>
      <c r="P284" s="74"/>
      <c r="Q284" s="74"/>
      <c r="R284" s="74"/>
      <c r="S284" s="74"/>
      <c r="T284" s="74"/>
      <c r="U284" s="74"/>
      <c r="V284" s="74"/>
      <c r="W284" s="74"/>
      <c r="X284" s="74"/>
      <c r="Y284" s="74"/>
      <c r="Z284" s="74"/>
      <c r="AA284" s="74"/>
      <c r="AB284" s="74"/>
    </row>
    <row r="285" spans="1:28" ht="12" customHeight="1">
      <c r="A285" s="260"/>
      <c r="B285" s="104"/>
      <c r="C285" s="104"/>
      <c r="D285" s="260"/>
      <c r="E285" s="104"/>
      <c r="F285" s="104"/>
      <c r="G285" s="35"/>
      <c r="H285" s="104"/>
      <c r="I285" s="35"/>
      <c r="J285" s="74"/>
      <c r="K285" s="74"/>
      <c r="L285" s="74"/>
      <c r="M285" s="74"/>
      <c r="N285" s="74"/>
      <c r="O285" s="74"/>
      <c r="P285" s="74"/>
      <c r="Q285" s="74"/>
      <c r="R285" s="74"/>
      <c r="S285" s="74"/>
      <c r="T285" s="74"/>
      <c r="U285" s="74"/>
      <c r="V285" s="74"/>
      <c r="W285" s="74"/>
      <c r="X285" s="74"/>
      <c r="Y285" s="74"/>
      <c r="Z285" s="74"/>
      <c r="AA285" s="74"/>
      <c r="AB285" s="74"/>
    </row>
    <row r="286" spans="1:28" ht="12" customHeight="1">
      <c r="A286" s="260"/>
      <c r="B286" s="104"/>
      <c r="C286" s="104"/>
      <c r="D286" s="260"/>
      <c r="E286" s="104"/>
      <c r="F286" s="104"/>
      <c r="G286" s="35"/>
      <c r="H286" s="104"/>
      <c r="I286" s="35"/>
      <c r="J286" s="74"/>
      <c r="K286" s="74"/>
      <c r="L286" s="74"/>
      <c r="M286" s="74"/>
      <c r="N286" s="74"/>
      <c r="O286" s="74"/>
      <c r="P286" s="74"/>
      <c r="Q286" s="74"/>
      <c r="R286" s="74"/>
      <c r="S286" s="74"/>
      <c r="T286" s="74"/>
      <c r="U286" s="74"/>
      <c r="V286" s="74"/>
      <c r="W286" s="74"/>
      <c r="X286" s="74"/>
      <c r="Y286" s="74"/>
      <c r="Z286" s="74"/>
      <c r="AA286" s="74"/>
      <c r="AB286" s="74"/>
    </row>
    <row r="287" spans="1:28" ht="12" customHeight="1">
      <c r="A287" s="260"/>
      <c r="B287" s="104"/>
      <c r="C287" s="104"/>
      <c r="D287" s="260"/>
      <c r="E287" s="104"/>
      <c r="F287" s="104"/>
      <c r="G287" s="35"/>
      <c r="H287" s="104"/>
      <c r="I287" s="35"/>
      <c r="J287" s="74"/>
      <c r="K287" s="74"/>
      <c r="L287" s="74"/>
      <c r="M287" s="74"/>
      <c r="N287" s="74"/>
      <c r="O287" s="74"/>
      <c r="P287" s="74"/>
      <c r="Q287" s="74"/>
      <c r="R287" s="74"/>
      <c r="S287" s="74"/>
      <c r="T287" s="74"/>
      <c r="U287" s="74"/>
      <c r="V287" s="74"/>
      <c r="W287" s="74"/>
      <c r="X287" s="74"/>
      <c r="Y287" s="74"/>
      <c r="Z287" s="74"/>
      <c r="AA287" s="74"/>
      <c r="AB287" s="74"/>
    </row>
    <row r="288" spans="1:28" ht="12" customHeight="1">
      <c r="A288" s="260"/>
      <c r="B288" s="104"/>
      <c r="C288" s="104"/>
      <c r="D288" s="260"/>
      <c r="E288" s="104"/>
      <c r="F288" s="104"/>
      <c r="G288" s="35"/>
      <c r="H288" s="104"/>
      <c r="I288" s="35"/>
      <c r="J288" s="74"/>
      <c r="K288" s="74"/>
      <c r="L288" s="74"/>
      <c r="M288" s="74"/>
      <c r="N288" s="74"/>
      <c r="O288" s="74"/>
      <c r="P288" s="74"/>
      <c r="Q288" s="74"/>
      <c r="R288" s="74"/>
      <c r="S288" s="74"/>
      <c r="T288" s="74"/>
      <c r="U288" s="74"/>
      <c r="V288" s="74"/>
      <c r="W288" s="74"/>
      <c r="X288" s="74"/>
      <c r="Y288" s="74"/>
      <c r="Z288" s="74"/>
      <c r="AA288" s="74"/>
      <c r="AB288" s="74"/>
    </row>
    <row r="289" spans="1:28" ht="12" customHeight="1">
      <c r="A289" s="260"/>
      <c r="B289" s="104"/>
      <c r="C289" s="104"/>
      <c r="D289" s="260"/>
      <c r="E289" s="104"/>
      <c r="F289" s="104"/>
      <c r="G289" s="35"/>
      <c r="H289" s="104"/>
      <c r="I289" s="35"/>
      <c r="J289" s="74"/>
      <c r="K289" s="74"/>
      <c r="L289" s="74"/>
      <c r="M289" s="74"/>
      <c r="N289" s="74"/>
      <c r="O289" s="74"/>
      <c r="P289" s="74"/>
      <c r="Q289" s="74"/>
      <c r="R289" s="74"/>
      <c r="S289" s="74"/>
      <c r="T289" s="74"/>
      <c r="U289" s="74"/>
      <c r="V289" s="74"/>
      <c r="W289" s="74"/>
      <c r="X289" s="74"/>
      <c r="Y289" s="74"/>
      <c r="Z289" s="74"/>
      <c r="AA289" s="74"/>
      <c r="AB289" s="74"/>
    </row>
    <row r="290" spans="1:28" ht="12" customHeight="1">
      <c r="A290" s="260"/>
      <c r="B290" s="104"/>
      <c r="C290" s="104"/>
      <c r="D290" s="260"/>
      <c r="E290" s="104"/>
      <c r="F290" s="104"/>
      <c r="G290" s="35"/>
      <c r="H290" s="104"/>
      <c r="I290" s="35"/>
      <c r="J290" s="74"/>
      <c r="K290" s="74"/>
      <c r="L290" s="74"/>
      <c r="M290" s="74"/>
      <c r="N290" s="74"/>
      <c r="O290" s="74"/>
      <c r="P290" s="74"/>
      <c r="Q290" s="74"/>
      <c r="R290" s="74"/>
      <c r="S290" s="74"/>
      <c r="T290" s="74"/>
      <c r="U290" s="74"/>
      <c r="V290" s="74"/>
      <c r="W290" s="74"/>
      <c r="X290" s="74"/>
      <c r="Y290" s="74"/>
      <c r="Z290" s="74"/>
      <c r="AA290" s="74"/>
      <c r="AB290" s="74"/>
    </row>
    <row r="291" spans="1:28" ht="12" customHeight="1">
      <c r="A291" s="260"/>
      <c r="B291" s="104"/>
      <c r="C291" s="104"/>
      <c r="D291" s="260"/>
      <c r="E291" s="104"/>
      <c r="F291" s="104"/>
      <c r="G291" s="35"/>
      <c r="H291" s="104"/>
      <c r="I291" s="35"/>
      <c r="J291" s="74"/>
      <c r="K291" s="74"/>
      <c r="L291" s="74"/>
      <c r="M291" s="74"/>
      <c r="N291" s="74"/>
      <c r="O291" s="74"/>
      <c r="P291" s="74"/>
      <c r="Q291" s="74"/>
      <c r="R291" s="74"/>
      <c r="S291" s="74"/>
      <c r="T291" s="74"/>
      <c r="U291" s="74"/>
      <c r="V291" s="74"/>
      <c r="W291" s="74"/>
      <c r="X291" s="74"/>
      <c r="Y291" s="74"/>
      <c r="Z291" s="74"/>
      <c r="AA291" s="74"/>
      <c r="AB291" s="74"/>
    </row>
    <row r="292" spans="1:28" ht="12" customHeight="1">
      <c r="A292" s="260"/>
      <c r="B292" s="104"/>
      <c r="C292" s="104"/>
      <c r="D292" s="260"/>
      <c r="E292" s="104"/>
      <c r="F292" s="104"/>
      <c r="G292" s="35"/>
      <c r="H292" s="104"/>
      <c r="I292" s="35"/>
      <c r="J292" s="74"/>
      <c r="K292" s="74"/>
      <c r="L292" s="74"/>
      <c r="M292" s="74"/>
      <c r="N292" s="74"/>
      <c r="O292" s="74"/>
      <c r="P292" s="74"/>
      <c r="Q292" s="74"/>
      <c r="R292" s="74"/>
      <c r="S292" s="74"/>
      <c r="T292" s="74"/>
      <c r="U292" s="74"/>
      <c r="V292" s="74"/>
      <c r="W292" s="74"/>
      <c r="X292" s="74"/>
      <c r="Y292" s="74"/>
      <c r="Z292" s="74"/>
      <c r="AA292" s="74"/>
      <c r="AB292" s="74"/>
    </row>
    <row r="293" spans="1:28" ht="12" customHeight="1">
      <c r="A293" s="260"/>
      <c r="B293" s="104"/>
      <c r="C293" s="104"/>
      <c r="D293" s="260"/>
      <c r="E293" s="104"/>
      <c r="F293" s="104"/>
      <c r="G293" s="35"/>
      <c r="H293" s="104"/>
      <c r="I293" s="35"/>
      <c r="J293" s="74"/>
      <c r="K293" s="74"/>
      <c r="L293" s="74"/>
      <c r="M293" s="74"/>
      <c r="N293" s="74"/>
      <c r="O293" s="74"/>
      <c r="P293" s="74"/>
      <c r="Q293" s="74"/>
      <c r="R293" s="74"/>
      <c r="S293" s="74"/>
      <c r="T293" s="74"/>
      <c r="U293" s="74"/>
      <c r="V293" s="74"/>
      <c r="W293" s="74"/>
      <c r="X293" s="74"/>
      <c r="Y293" s="74"/>
      <c r="Z293" s="74"/>
      <c r="AA293" s="74"/>
      <c r="AB293" s="74"/>
    </row>
    <row r="294" spans="1:28" ht="12" customHeight="1">
      <c r="A294" s="260"/>
      <c r="B294" s="104"/>
      <c r="C294" s="104"/>
      <c r="D294" s="260"/>
      <c r="E294" s="104"/>
      <c r="F294" s="104"/>
      <c r="G294" s="35"/>
      <c r="H294" s="104"/>
      <c r="I294" s="35"/>
      <c r="J294" s="74"/>
      <c r="K294" s="74"/>
      <c r="L294" s="74"/>
      <c r="M294" s="74"/>
      <c r="N294" s="74"/>
      <c r="O294" s="74"/>
      <c r="P294" s="74"/>
      <c r="Q294" s="74"/>
      <c r="R294" s="74"/>
      <c r="S294" s="74"/>
      <c r="T294" s="74"/>
      <c r="U294" s="74"/>
      <c r="V294" s="74"/>
      <c r="W294" s="74"/>
      <c r="X294" s="74"/>
      <c r="Y294" s="74"/>
      <c r="Z294" s="74"/>
      <c r="AA294" s="74"/>
      <c r="AB294" s="74"/>
    </row>
    <row r="295" spans="1:28" ht="12" customHeight="1">
      <c r="A295" s="260"/>
      <c r="B295" s="104"/>
      <c r="C295" s="104"/>
      <c r="D295" s="260"/>
      <c r="E295" s="104"/>
      <c r="F295" s="104"/>
      <c r="G295" s="35"/>
      <c r="H295" s="104"/>
      <c r="I295" s="35"/>
      <c r="J295" s="74"/>
      <c r="K295" s="74"/>
      <c r="L295" s="74"/>
      <c r="M295" s="74"/>
      <c r="N295" s="74"/>
      <c r="O295" s="74"/>
      <c r="P295" s="74"/>
      <c r="Q295" s="74"/>
      <c r="R295" s="74"/>
      <c r="S295" s="74"/>
      <c r="T295" s="74"/>
      <c r="U295" s="74"/>
      <c r="V295" s="74"/>
      <c r="W295" s="74"/>
      <c r="X295" s="74"/>
      <c r="Y295" s="74"/>
      <c r="Z295" s="74"/>
      <c r="AA295" s="74"/>
      <c r="AB295" s="74"/>
    </row>
    <row r="296" spans="1:28" ht="12" customHeight="1">
      <c r="A296" s="260"/>
      <c r="B296" s="104"/>
      <c r="C296" s="104"/>
      <c r="D296" s="260"/>
      <c r="E296" s="104"/>
      <c r="F296" s="104"/>
      <c r="G296" s="35"/>
      <c r="H296" s="104"/>
      <c r="I296" s="35"/>
      <c r="J296" s="74"/>
      <c r="K296" s="74"/>
      <c r="L296" s="74"/>
      <c r="M296" s="74"/>
      <c r="N296" s="74"/>
      <c r="O296" s="74"/>
      <c r="P296" s="74"/>
      <c r="Q296" s="74"/>
      <c r="R296" s="74"/>
      <c r="S296" s="74"/>
      <c r="T296" s="74"/>
      <c r="U296" s="74"/>
      <c r="V296" s="74"/>
      <c r="W296" s="74"/>
      <c r="X296" s="74"/>
      <c r="Y296" s="74"/>
      <c r="Z296" s="74"/>
      <c r="AA296" s="74"/>
      <c r="AB296" s="74"/>
    </row>
    <row r="297" spans="1:28" ht="12" customHeight="1">
      <c r="A297" s="260"/>
      <c r="B297" s="104"/>
      <c r="C297" s="104"/>
      <c r="D297" s="260"/>
      <c r="E297" s="104"/>
      <c r="F297" s="104"/>
      <c r="G297" s="35"/>
      <c r="H297" s="104"/>
      <c r="I297" s="35"/>
      <c r="J297" s="74"/>
      <c r="K297" s="74"/>
      <c r="L297" s="74"/>
      <c r="M297" s="74"/>
      <c r="N297" s="74"/>
      <c r="O297" s="74"/>
      <c r="P297" s="74"/>
      <c r="Q297" s="74"/>
      <c r="R297" s="74"/>
      <c r="S297" s="74"/>
      <c r="T297" s="74"/>
      <c r="U297" s="74"/>
      <c r="V297" s="74"/>
      <c r="W297" s="74"/>
      <c r="X297" s="74"/>
      <c r="Y297" s="74"/>
      <c r="Z297" s="74"/>
      <c r="AA297" s="74"/>
      <c r="AB297" s="74"/>
    </row>
    <row r="298" spans="1:28" ht="12" customHeight="1">
      <c r="A298" s="260"/>
      <c r="B298" s="104"/>
      <c r="C298" s="104"/>
      <c r="D298" s="260"/>
      <c r="E298" s="104"/>
      <c r="F298" s="104"/>
      <c r="G298" s="35"/>
      <c r="H298" s="104"/>
      <c r="I298" s="35"/>
      <c r="J298" s="74"/>
      <c r="K298" s="74"/>
      <c r="L298" s="74"/>
      <c r="M298" s="74"/>
      <c r="N298" s="74"/>
      <c r="O298" s="74"/>
      <c r="P298" s="74"/>
      <c r="Q298" s="74"/>
      <c r="R298" s="74"/>
      <c r="S298" s="74"/>
      <c r="T298" s="74"/>
      <c r="U298" s="74"/>
      <c r="V298" s="74"/>
      <c r="W298" s="74"/>
      <c r="X298" s="74"/>
      <c r="Y298" s="74"/>
      <c r="Z298" s="74"/>
      <c r="AA298" s="74"/>
      <c r="AB298" s="74"/>
    </row>
    <row r="299" spans="1:28" ht="12" customHeight="1">
      <c r="A299" s="260"/>
      <c r="B299" s="104"/>
      <c r="C299" s="104"/>
      <c r="D299" s="260"/>
      <c r="E299" s="104"/>
      <c r="F299" s="104"/>
      <c r="G299" s="35"/>
      <c r="H299" s="104"/>
      <c r="I299" s="35"/>
      <c r="J299" s="74"/>
      <c r="K299" s="74"/>
      <c r="L299" s="74"/>
      <c r="M299" s="74"/>
      <c r="N299" s="74"/>
      <c r="O299" s="74"/>
      <c r="P299" s="74"/>
      <c r="Q299" s="74"/>
      <c r="R299" s="74"/>
      <c r="S299" s="74"/>
      <c r="T299" s="74"/>
      <c r="U299" s="74"/>
      <c r="V299" s="74"/>
      <c r="W299" s="74"/>
      <c r="X299" s="74"/>
      <c r="Y299" s="74"/>
      <c r="Z299" s="74"/>
      <c r="AA299" s="74"/>
      <c r="AB299" s="74"/>
    </row>
    <row r="300" spans="1:28" ht="12" customHeight="1">
      <c r="A300" s="260"/>
      <c r="B300" s="104"/>
      <c r="C300" s="104"/>
      <c r="D300" s="260"/>
      <c r="E300" s="104"/>
      <c r="F300" s="104"/>
      <c r="G300" s="35"/>
      <c r="H300" s="104"/>
      <c r="I300" s="35"/>
      <c r="J300" s="74"/>
      <c r="K300" s="74"/>
      <c r="L300" s="74"/>
      <c r="M300" s="74"/>
      <c r="N300" s="74"/>
      <c r="O300" s="74"/>
      <c r="P300" s="74"/>
      <c r="Q300" s="74"/>
      <c r="R300" s="74"/>
      <c r="S300" s="74"/>
      <c r="T300" s="74"/>
      <c r="U300" s="74"/>
      <c r="V300" s="74"/>
      <c r="W300" s="74"/>
      <c r="X300" s="74"/>
      <c r="Y300" s="74"/>
      <c r="Z300" s="74"/>
      <c r="AA300" s="74"/>
      <c r="AB300" s="74"/>
    </row>
    <row r="301" spans="1:28" ht="12" customHeight="1">
      <c r="A301" s="260"/>
      <c r="B301" s="104"/>
      <c r="C301" s="104"/>
      <c r="D301" s="260"/>
      <c r="E301" s="104"/>
      <c r="F301" s="104"/>
      <c r="G301" s="35"/>
      <c r="H301" s="104"/>
      <c r="I301" s="35"/>
      <c r="J301" s="74"/>
      <c r="K301" s="74"/>
      <c r="L301" s="74"/>
      <c r="M301" s="74"/>
      <c r="N301" s="74"/>
      <c r="O301" s="74"/>
      <c r="P301" s="74"/>
      <c r="Q301" s="74"/>
      <c r="R301" s="74"/>
      <c r="S301" s="74"/>
      <c r="T301" s="74"/>
      <c r="U301" s="74"/>
      <c r="V301" s="74"/>
      <c r="W301" s="74"/>
      <c r="X301" s="74"/>
      <c r="Y301" s="74"/>
      <c r="Z301" s="74"/>
      <c r="AA301" s="74"/>
      <c r="AB301" s="74"/>
    </row>
    <row r="302" spans="1:28" ht="12" customHeight="1">
      <c r="A302" s="260"/>
      <c r="B302" s="104"/>
      <c r="C302" s="104"/>
      <c r="D302" s="260"/>
      <c r="E302" s="104"/>
      <c r="F302" s="104"/>
      <c r="G302" s="35"/>
      <c r="H302" s="104"/>
      <c r="I302" s="35"/>
      <c r="J302" s="74"/>
      <c r="K302" s="74"/>
      <c r="L302" s="74"/>
      <c r="M302" s="74"/>
      <c r="N302" s="74"/>
      <c r="O302" s="74"/>
      <c r="P302" s="74"/>
      <c r="Q302" s="74"/>
      <c r="R302" s="74"/>
      <c r="S302" s="74"/>
      <c r="T302" s="74"/>
      <c r="U302" s="74"/>
      <c r="V302" s="74"/>
      <c r="W302" s="74"/>
      <c r="X302" s="74"/>
      <c r="Y302" s="74"/>
      <c r="Z302" s="74"/>
      <c r="AA302" s="74"/>
      <c r="AB302" s="74"/>
    </row>
    <row r="303" spans="1:28" ht="12" customHeight="1">
      <c r="A303" s="260"/>
      <c r="B303" s="104"/>
      <c r="C303" s="104"/>
      <c r="D303" s="260"/>
      <c r="E303" s="104"/>
      <c r="F303" s="104"/>
      <c r="G303" s="35"/>
      <c r="H303" s="104"/>
      <c r="I303" s="35"/>
      <c r="J303" s="74"/>
      <c r="K303" s="74"/>
      <c r="L303" s="74"/>
      <c r="M303" s="74"/>
      <c r="N303" s="74"/>
      <c r="O303" s="74"/>
      <c r="P303" s="74"/>
      <c r="Q303" s="74"/>
      <c r="R303" s="74"/>
      <c r="S303" s="74"/>
      <c r="T303" s="74"/>
      <c r="U303" s="74"/>
      <c r="V303" s="74"/>
      <c r="W303" s="74"/>
      <c r="X303" s="74"/>
      <c r="Y303" s="74"/>
      <c r="Z303" s="74"/>
      <c r="AA303" s="74"/>
      <c r="AB303" s="74"/>
    </row>
    <row r="304" spans="1:28" ht="12" customHeight="1">
      <c r="A304" s="260"/>
      <c r="B304" s="104"/>
      <c r="C304" s="104"/>
      <c r="D304" s="260"/>
      <c r="E304" s="104"/>
      <c r="F304" s="104"/>
      <c r="G304" s="35"/>
      <c r="H304" s="104"/>
      <c r="I304" s="35"/>
      <c r="J304" s="74"/>
      <c r="K304" s="74"/>
      <c r="L304" s="74"/>
      <c r="M304" s="74"/>
      <c r="N304" s="74"/>
      <c r="O304" s="74"/>
      <c r="P304" s="74"/>
      <c r="Q304" s="74"/>
      <c r="R304" s="74"/>
      <c r="S304" s="74"/>
      <c r="T304" s="74"/>
      <c r="U304" s="74"/>
      <c r="V304" s="74"/>
      <c r="W304" s="74"/>
      <c r="X304" s="74"/>
      <c r="Y304" s="74"/>
      <c r="Z304" s="74"/>
      <c r="AA304" s="74"/>
      <c r="AB304" s="74"/>
    </row>
    <row r="305" spans="1:28" ht="12" customHeight="1">
      <c r="A305" s="260"/>
      <c r="B305" s="104"/>
      <c r="C305" s="104"/>
      <c r="D305" s="260"/>
      <c r="E305" s="104"/>
      <c r="F305" s="104"/>
      <c r="G305" s="35"/>
      <c r="H305" s="104"/>
      <c r="I305" s="35"/>
      <c r="J305" s="74"/>
      <c r="K305" s="74"/>
      <c r="L305" s="74"/>
      <c r="M305" s="74"/>
      <c r="N305" s="74"/>
      <c r="O305" s="74"/>
      <c r="P305" s="74"/>
      <c r="Q305" s="74"/>
      <c r="R305" s="74"/>
      <c r="S305" s="74"/>
      <c r="T305" s="74"/>
      <c r="U305" s="74"/>
      <c r="V305" s="74"/>
      <c r="W305" s="74"/>
      <c r="X305" s="74"/>
      <c r="Y305" s="74"/>
      <c r="Z305" s="74"/>
      <c r="AA305" s="74"/>
      <c r="AB305" s="74"/>
    </row>
    <row r="306" spans="1:28" ht="12" customHeight="1">
      <c r="A306" s="260"/>
      <c r="B306" s="104"/>
      <c r="C306" s="104"/>
      <c r="D306" s="260"/>
      <c r="E306" s="104"/>
      <c r="F306" s="104"/>
      <c r="G306" s="35"/>
      <c r="H306" s="104"/>
      <c r="I306" s="35"/>
      <c r="J306" s="74"/>
      <c r="K306" s="74"/>
      <c r="L306" s="74"/>
      <c r="M306" s="74"/>
      <c r="N306" s="74"/>
      <c r="O306" s="74"/>
      <c r="P306" s="74"/>
      <c r="Q306" s="74"/>
      <c r="R306" s="74"/>
      <c r="S306" s="74"/>
      <c r="T306" s="74"/>
      <c r="U306" s="74"/>
      <c r="V306" s="74"/>
      <c r="W306" s="74"/>
      <c r="X306" s="74"/>
      <c r="Y306" s="74"/>
      <c r="Z306" s="74"/>
      <c r="AA306" s="74"/>
      <c r="AB306" s="74"/>
    </row>
    <row r="307" spans="1:28" ht="12" customHeight="1">
      <c r="A307" s="260"/>
      <c r="B307" s="104"/>
      <c r="C307" s="104"/>
      <c r="D307" s="260"/>
      <c r="E307" s="104"/>
      <c r="F307" s="104"/>
      <c r="G307" s="35"/>
      <c r="H307" s="104"/>
      <c r="I307" s="35"/>
      <c r="J307" s="74"/>
      <c r="K307" s="74"/>
      <c r="L307" s="74"/>
      <c r="M307" s="74"/>
      <c r="N307" s="74"/>
      <c r="O307" s="74"/>
      <c r="P307" s="74"/>
      <c r="Q307" s="74"/>
      <c r="R307" s="74"/>
      <c r="S307" s="74"/>
      <c r="T307" s="74"/>
      <c r="U307" s="74"/>
      <c r="V307" s="74"/>
      <c r="W307" s="74"/>
      <c r="X307" s="74"/>
      <c r="Y307" s="74"/>
      <c r="Z307" s="74"/>
      <c r="AA307" s="74"/>
      <c r="AB307" s="74"/>
    </row>
    <row r="308" spans="1:28" ht="12" customHeight="1">
      <c r="A308" s="260"/>
      <c r="B308" s="104"/>
      <c r="C308" s="104"/>
      <c r="D308" s="260"/>
      <c r="E308" s="104"/>
      <c r="F308" s="104"/>
      <c r="G308" s="35"/>
      <c r="H308" s="104"/>
      <c r="I308" s="35"/>
      <c r="J308" s="74"/>
      <c r="K308" s="74"/>
      <c r="L308" s="74"/>
      <c r="M308" s="74"/>
      <c r="N308" s="74"/>
      <c r="O308" s="74"/>
      <c r="P308" s="74"/>
      <c r="Q308" s="74"/>
      <c r="R308" s="74"/>
      <c r="S308" s="74"/>
      <c r="T308" s="74"/>
      <c r="U308" s="74"/>
      <c r="V308" s="74"/>
      <c r="W308" s="74"/>
      <c r="X308" s="74"/>
      <c r="Y308" s="74"/>
      <c r="Z308" s="74"/>
      <c r="AA308" s="74"/>
      <c r="AB308" s="74"/>
    </row>
    <row r="309" spans="1:28" ht="12" customHeight="1">
      <c r="A309" s="260"/>
      <c r="B309" s="104"/>
      <c r="C309" s="104"/>
      <c r="D309" s="260"/>
      <c r="E309" s="104"/>
      <c r="F309" s="104"/>
      <c r="G309" s="35"/>
      <c r="H309" s="104"/>
      <c r="I309" s="35"/>
      <c r="J309" s="74"/>
      <c r="K309" s="74"/>
      <c r="L309" s="74"/>
      <c r="M309" s="74"/>
      <c r="N309" s="74"/>
      <c r="O309" s="74"/>
      <c r="P309" s="74"/>
      <c r="Q309" s="74"/>
      <c r="R309" s="74"/>
      <c r="S309" s="74"/>
      <c r="T309" s="74"/>
      <c r="U309" s="74"/>
      <c r="V309" s="74"/>
      <c r="W309" s="74"/>
      <c r="X309" s="74"/>
      <c r="Y309" s="74"/>
      <c r="Z309" s="74"/>
      <c r="AA309" s="74"/>
      <c r="AB309" s="74"/>
    </row>
    <row r="310" spans="1:28" ht="12" customHeight="1">
      <c r="A310" s="260"/>
      <c r="B310" s="104"/>
      <c r="C310" s="104"/>
      <c r="D310" s="260"/>
      <c r="E310" s="104"/>
      <c r="F310" s="104"/>
      <c r="G310" s="35"/>
      <c r="H310" s="104"/>
      <c r="I310" s="35"/>
      <c r="J310" s="74"/>
      <c r="K310" s="74"/>
      <c r="L310" s="74"/>
      <c r="M310" s="74"/>
      <c r="N310" s="74"/>
      <c r="O310" s="74"/>
      <c r="P310" s="74"/>
      <c r="Q310" s="74"/>
      <c r="R310" s="74"/>
      <c r="S310" s="74"/>
      <c r="T310" s="74"/>
      <c r="U310" s="74"/>
      <c r="V310" s="74"/>
      <c r="W310" s="74"/>
      <c r="X310" s="74"/>
      <c r="Y310" s="74"/>
      <c r="Z310" s="74"/>
      <c r="AA310" s="74"/>
      <c r="AB310" s="74"/>
    </row>
    <row r="311" spans="1:28" ht="12" customHeight="1">
      <c r="A311" s="260"/>
      <c r="B311" s="104"/>
      <c r="C311" s="104"/>
      <c r="D311" s="260"/>
      <c r="E311" s="104"/>
      <c r="F311" s="104"/>
      <c r="G311" s="35"/>
      <c r="H311" s="104"/>
      <c r="I311" s="35"/>
      <c r="J311" s="74"/>
      <c r="K311" s="74"/>
      <c r="L311" s="74"/>
      <c r="M311" s="74"/>
      <c r="N311" s="74"/>
      <c r="O311" s="74"/>
      <c r="P311" s="74"/>
      <c r="Q311" s="74"/>
      <c r="R311" s="74"/>
      <c r="S311" s="74"/>
      <c r="T311" s="74"/>
      <c r="U311" s="74"/>
      <c r="V311" s="74"/>
      <c r="W311" s="74"/>
      <c r="X311" s="74"/>
      <c r="Y311" s="74"/>
      <c r="Z311" s="74"/>
      <c r="AA311" s="74"/>
      <c r="AB311" s="74"/>
    </row>
    <row r="312" spans="1:28" ht="12" customHeight="1">
      <c r="A312" s="260"/>
      <c r="B312" s="104"/>
      <c r="C312" s="104"/>
      <c r="D312" s="260"/>
      <c r="E312" s="104"/>
      <c r="F312" s="104"/>
      <c r="G312" s="35"/>
      <c r="H312" s="104"/>
      <c r="I312" s="35"/>
      <c r="J312" s="74"/>
      <c r="K312" s="74"/>
      <c r="L312" s="74"/>
      <c r="M312" s="74"/>
      <c r="N312" s="74"/>
      <c r="O312" s="74"/>
      <c r="P312" s="74"/>
      <c r="Q312" s="74"/>
      <c r="R312" s="74"/>
      <c r="S312" s="74"/>
      <c r="T312" s="74"/>
      <c r="U312" s="74"/>
      <c r="V312" s="74"/>
      <c r="W312" s="74"/>
      <c r="X312" s="74"/>
      <c r="Y312" s="74"/>
      <c r="Z312" s="74"/>
      <c r="AA312" s="74"/>
      <c r="AB312" s="74"/>
    </row>
    <row r="313" spans="1:28" ht="12" customHeight="1">
      <c r="A313" s="260"/>
      <c r="B313" s="104"/>
      <c r="C313" s="104"/>
      <c r="D313" s="260"/>
      <c r="E313" s="104"/>
      <c r="F313" s="104"/>
      <c r="G313" s="35"/>
      <c r="H313" s="104"/>
      <c r="I313" s="35"/>
      <c r="J313" s="74"/>
      <c r="K313" s="74"/>
      <c r="L313" s="74"/>
      <c r="M313" s="74"/>
      <c r="N313" s="74"/>
      <c r="O313" s="74"/>
      <c r="P313" s="74"/>
      <c r="Q313" s="74"/>
      <c r="R313" s="74"/>
      <c r="S313" s="74"/>
      <c r="T313" s="74"/>
      <c r="U313" s="74"/>
      <c r="V313" s="74"/>
      <c r="W313" s="74"/>
      <c r="X313" s="74"/>
      <c r="Y313" s="74"/>
      <c r="Z313" s="74"/>
      <c r="AA313" s="74"/>
      <c r="AB313" s="74"/>
    </row>
    <row r="314" spans="1:28" ht="12" customHeight="1">
      <c r="A314" s="260"/>
      <c r="B314" s="104"/>
      <c r="C314" s="104"/>
      <c r="D314" s="260"/>
      <c r="E314" s="104"/>
      <c r="F314" s="104"/>
      <c r="G314" s="35"/>
      <c r="H314" s="104"/>
      <c r="I314" s="35"/>
      <c r="J314" s="74"/>
      <c r="K314" s="74"/>
      <c r="L314" s="74"/>
      <c r="M314" s="74"/>
      <c r="N314" s="74"/>
      <c r="O314" s="74"/>
      <c r="P314" s="74"/>
      <c r="Q314" s="74"/>
      <c r="R314" s="74"/>
      <c r="S314" s="74"/>
      <c r="T314" s="74"/>
      <c r="U314" s="74"/>
      <c r="V314" s="74"/>
      <c r="W314" s="74"/>
      <c r="X314" s="74"/>
      <c r="Y314" s="74"/>
      <c r="Z314" s="74"/>
      <c r="AA314" s="74"/>
      <c r="AB314" s="74"/>
    </row>
    <row r="315" spans="1:28" ht="12" customHeight="1">
      <c r="A315" s="260"/>
      <c r="B315" s="104"/>
      <c r="C315" s="104"/>
      <c r="D315" s="260"/>
      <c r="E315" s="104"/>
      <c r="F315" s="104"/>
      <c r="G315" s="35"/>
      <c r="H315" s="104"/>
      <c r="I315" s="35"/>
      <c r="J315" s="74"/>
      <c r="K315" s="74"/>
      <c r="L315" s="74"/>
      <c r="M315" s="74"/>
      <c r="N315" s="74"/>
      <c r="O315" s="74"/>
      <c r="P315" s="74"/>
      <c r="Q315" s="74"/>
      <c r="R315" s="74"/>
      <c r="S315" s="74"/>
      <c r="T315" s="74"/>
      <c r="U315" s="74"/>
      <c r="V315" s="74"/>
      <c r="W315" s="74"/>
      <c r="X315" s="74"/>
      <c r="Y315" s="74"/>
      <c r="Z315" s="74"/>
      <c r="AA315" s="74"/>
      <c r="AB315" s="74"/>
    </row>
    <row r="316" spans="1:28" ht="12" customHeight="1">
      <c r="A316" s="260"/>
      <c r="B316" s="104"/>
      <c r="C316" s="104"/>
      <c r="D316" s="260"/>
      <c r="E316" s="104"/>
      <c r="F316" s="104"/>
      <c r="G316" s="35"/>
      <c r="H316" s="104"/>
      <c r="I316" s="35"/>
      <c r="J316" s="74"/>
      <c r="K316" s="74"/>
      <c r="L316" s="74"/>
      <c r="M316" s="74"/>
      <c r="N316" s="74"/>
      <c r="O316" s="74"/>
      <c r="P316" s="74"/>
      <c r="Q316" s="74"/>
      <c r="R316" s="74"/>
      <c r="S316" s="74"/>
      <c r="T316" s="74"/>
      <c r="U316" s="74"/>
      <c r="V316" s="74"/>
      <c r="W316" s="74"/>
      <c r="X316" s="74"/>
      <c r="Y316" s="74"/>
      <c r="Z316" s="74"/>
      <c r="AA316" s="74"/>
      <c r="AB316" s="74"/>
    </row>
    <row r="317" spans="1:28" ht="12" customHeight="1">
      <c r="A317" s="260"/>
      <c r="B317" s="104"/>
      <c r="C317" s="104"/>
      <c r="D317" s="260"/>
      <c r="E317" s="104"/>
      <c r="F317" s="104"/>
      <c r="G317" s="35"/>
      <c r="H317" s="104"/>
      <c r="I317" s="35"/>
      <c r="J317" s="74"/>
      <c r="K317" s="74"/>
      <c r="L317" s="74"/>
      <c r="M317" s="74"/>
      <c r="N317" s="74"/>
      <c r="O317" s="74"/>
      <c r="P317" s="74"/>
      <c r="Q317" s="74"/>
      <c r="R317" s="74"/>
      <c r="S317" s="74"/>
      <c r="T317" s="74"/>
      <c r="U317" s="74"/>
      <c r="V317" s="74"/>
      <c r="W317" s="74"/>
      <c r="X317" s="74"/>
      <c r="Y317" s="74"/>
      <c r="Z317" s="74"/>
      <c r="AA317" s="74"/>
      <c r="AB317" s="74"/>
    </row>
    <row r="318" spans="1:28" ht="12" customHeight="1">
      <c r="A318" s="260"/>
      <c r="B318" s="104"/>
      <c r="C318" s="104"/>
      <c r="D318" s="260"/>
      <c r="E318" s="104"/>
      <c r="F318" s="104"/>
      <c r="G318" s="35"/>
      <c r="H318" s="104"/>
      <c r="I318" s="35"/>
      <c r="J318" s="74"/>
      <c r="K318" s="74"/>
      <c r="L318" s="74"/>
      <c r="M318" s="74"/>
      <c r="N318" s="74"/>
      <c r="O318" s="74"/>
      <c r="P318" s="74"/>
      <c r="Q318" s="74"/>
      <c r="R318" s="74"/>
      <c r="S318" s="74"/>
      <c r="T318" s="74"/>
      <c r="U318" s="74"/>
      <c r="V318" s="74"/>
      <c r="W318" s="74"/>
      <c r="X318" s="74"/>
      <c r="Y318" s="74"/>
      <c r="Z318" s="74"/>
      <c r="AA318" s="74"/>
      <c r="AB318" s="74"/>
    </row>
    <row r="319" spans="1:28" ht="12" customHeight="1">
      <c r="A319" s="260"/>
      <c r="B319" s="104"/>
      <c r="C319" s="104"/>
      <c r="D319" s="260"/>
      <c r="E319" s="104"/>
      <c r="F319" s="104"/>
      <c r="G319" s="35"/>
      <c r="H319" s="104"/>
      <c r="I319" s="35"/>
      <c r="J319" s="74"/>
      <c r="K319" s="74"/>
      <c r="L319" s="74"/>
      <c r="M319" s="74"/>
      <c r="N319" s="74"/>
      <c r="O319" s="74"/>
      <c r="P319" s="74"/>
      <c r="Q319" s="74"/>
      <c r="R319" s="74"/>
      <c r="S319" s="74"/>
      <c r="T319" s="74"/>
      <c r="U319" s="74"/>
      <c r="V319" s="74"/>
      <c r="W319" s="74"/>
      <c r="X319" s="74"/>
      <c r="Y319" s="74"/>
      <c r="Z319" s="74"/>
      <c r="AA319" s="74"/>
      <c r="AB319" s="74"/>
    </row>
    <row r="320" spans="1:28" ht="12" customHeight="1">
      <c r="A320" s="260"/>
      <c r="B320" s="104"/>
      <c r="C320" s="104"/>
      <c r="D320" s="260"/>
      <c r="E320" s="104"/>
      <c r="F320" s="104"/>
      <c r="G320" s="35"/>
      <c r="H320" s="104"/>
      <c r="I320" s="35"/>
      <c r="J320" s="74"/>
      <c r="K320" s="74"/>
      <c r="L320" s="74"/>
      <c r="M320" s="74"/>
      <c r="N320" s="74"/>
      <c r="O320" s="74"/>
      <c r="P320" s="74"/>
      <c r="Q320" s="74"/>
      <c r="R320" s="74"/>
      <c r="S320" s="74"/>
      <c r="T320" s="74"/>
      <c r="U320" s="74"/>
      <c r="V320" s="74"/>
      <c r="W320" s="74"/>
      <c r="X320" s="74"/>
      <c r="Y320" s="74"/>
      <c r="Z320" s="74"/>
      <c r="AA320" s="74"/>
      <c r="AB320" s="74"/>
    </row>
    <row r="321" spans="1:28" ht="12" customHeight="1">
      <c r="A321" s="260"/>
      <c r="B321" s="104"/>
      <c r="C321" s="104"/>
      <c r="D321" s="260"/>
      <c r="E321" s="104"/>
      <c r="F321" s="104"/>
      <c r="G321" s="35"/>
      <c r="H321" s="104"/>
      <c r="I321" s="35"/>
      <c r="J321" s="74"/>
      <c r="K321" s="74"/>
      <c r="L321" s="74"/>
      <c r="M321" s="74"/>
      <c r="N321" s="74"/>
      <c r="O321" s="74"/>
      <c r="P321" s="74"/>
      <c r="Q321" s="74"/>
      <c r="R321" s="74"/>
      <c r="S321" s="74"/>
      <c r="T321" s="74"/>
      <c r="U321" s="74"/>
      <c r="V321" s="74"/>
      <c r="W321" s="74"/>
      <c r="X321" s="74"/>
      <c r="Y321" s="74"/>
      <c r="Z321" s="74"/>
      <c r="AA321" s="74"/>
      <c r="AB321" s="74"/>
    </row>
    <row r="322" spans="1:28" ht="12" customHeight="1">
      <c r="A322" s="260"/>
      <c r="B322" s="104"/>
      <c r="C322" s="104"/>
      <c r="D322" s="260"/>
      <c r="E322" s="104"/>
      <c r="F322" s="104"/>
      <c r="G322" s="35"/>
      <c r="H322" s="104"/>
      <c r="I322" s="35"/>
      <c r="J322" s="74"/>
      <c r="K322" s="74"/>
      <c r="L322" s="74"/>
      <c r="M322" s="74"/>
      <c r="N322" s="74"/>
      <c r="O322" s="74"/>
      <c r="P322" s="74"/>
      <c r="Q322" s="74"/>
      <c r="R322" s="74"/>
      <c r="S322" s="74"/>
      <c r="T322" s="74"/>
      <c r="U322" s="74"/>
      <c r="V322" s="74"/>
      <c r="W322" s="74"/>
      <c r="X322" s="74"/>
      <c r="Y322" s="74"/>
      <c r="Z322" s="74"/>
      <c r="AA322" s="74"/>
      <c r="AB322" s="74"/>
    </row>
    <row r="323" spans="1:28" ht="12" customHeight="1">
      <c r="A323" s="260"/>
      <c r="B323" s="104"/>
      <c r="C323" s="104"/>
      <c r="D323" s="260"/>
      <c r="E323" s="104"/>
      <c r="F323" s="104"/>
      <c r="G323" s="35"/>
      <c r="H323" s="104"/>
      <c r="I323" s="35"/>
      <c r="J323" s="74"/>
      <c r="K323" s="74"/>
      <c r="L323" s="74"/>
      <c r="M323" s="74"/>
      <c r="N323" s="74"/>
      <c r="O323" s="74"/>
      <c r="P323" s="74"/>
      <c r="Q323" s="74"/>
      <c r="R323" s="74"/>
      <c r="S323" s="74"/>
      <c r="T323" s="74"/>
      <c r="U323" s="74"/>
      <c r="V323" s="74"/>
      <c r="W323" s="74"/>
      <c r="X323" s="74"/>
      <c r="Y323" s="74"/>
      <c r="Z323" s="74"/>
      <c r="AA323" s="74"/>
      <c r="AB323" s="74"/>
    </row>
    <row r="324" spans="1:28" ht="12" customHeight="1">
      <c r="A324" s="260"/>
      <c r="B324" s="104"/>
      <c r="C324" s="104"/>
      <c r="D324" s="260"/>
      <c r="E324" s="104"/>
      <c r="F324" s="104"/>
      <c r="G324" s="35"/>
      <c r="H324" s="104"/>
      <c r="I324" s="35"/>
      <c r="J324" s="74"/>
      <c r="K324" s="74"/>
      <c r="L324" s="74"/>
      <c r="M324" s="74"/>
      <c r="N324" s="74"/>
      <c r="O324" s="74"/>
      <c r="P324" s="74"/>
      <c r="Q324" s="74"/>
      <c r="R324" s="74"/>
      <c r="S324" s="74"/>
      <c r="T324" s="74"/>
      <c r="U324" s="74"/>
      <c r="V324" s="74"/>
      <c r="W324" s="74"/>
      <c r="X324" s="74"/>
      <c r="Y324" s="74"/>
      <c r="Z324" s="74"/>
      <c r="AA324" s="74"/>
      <c r="AB324" s="74"/>
    </row>
    <row r="325" spans="1:28" ht="12" customHeight="1">
      <c r="A325" s="260"/>
      <c r="B325" s="104"/>
      <c r="C325" s="104"/>
      <c r="D325" s="260"/>
      <c r="E325" s="104"/>
      <c r="F325" s="104"/>
      <c r="G325" s="35"/>
      <c r="H325" s="104"/>
      <c r="I325" s="35"/>
      <c r="J325" s="74"/>
      <c r="K325" s="74"/>
      <c r="L325" s="74"/>
      <c r="M325" s="74"/>
      <c r="N325" s="74"/>
      <c r="O325" s="74"/>
      <c r="P325" s="74"/>
      <c r="Q325" s="74"/>
      <c r="R325" s="74"/>
      <c r="S325" s="74"/>
      <c r="T325" s="74"/>
      <c r="U325" s="74"/>
      <c r="V325" s="74"/>
      <c r="W325" s="74"/>
      <c r="X325" s="74"/>
      <c r="Y325" s="74"/>
      <c r="Z325" s="74"/>
      <c r="AA325" s="74"/>
      <c r="AB325" s="74"/>
    </row>
    <row r="326" spans="1:28" ht="12" customHeight="1">
      <c r="A326" s="260"/>
      <c r="B326" s="104"/>
      <c r="C326" s="104"/>
      <c r="D326" s="260"/>
      <c r="E326" s="104"/>
      <c r="F326" s="104"/>
      <c r="G326" s="35"/>
      <c r="H326" s="104"/>
      <c r="I326" s="35"/>
      <c r="J326" s="74"/>
      <c r="K326" s="74"/>
      <c r="L326" s="74"/>
      <c r="M326" s="74"/>
      <c r="N326" s="74"/>
      <c r="O326" s="74"/>
      <c r="P326" s="74"/>
      <c r="Q326" s="74"/>
      <c r="R326" s="74"/>
      <c r="S326" s="74"/>
      <c r="T326" s="74"/>
      <c r="U326" s="74"/>
      <c r="V326" s="74"/>
      <c r="W326" s="74"/>
      <c r="X326" s="74"/>
      <c r="Y326" s="74"/>
      <c r="Z326" s="74"/>
      <c r="AA326" s="74"/>
      <c r="AB326" s="74"/>
    </row>
    <row r="327" spans="1:28" ht="12" customHeight="1">
      <c r="A327" s="260"/>
      <c r="B327" s="104"/>
      <c r="C327" s="104"/>
      <c r="D327" s="260"/>
      <c r="E327" s="104"/>
      <c r="F327" s="104"/>
      <c r="G327" s="35"/>
      <c r="H327" s="104"/>
      <c r="I327" s="35"/>
      <c r="J327" s="74"/>
      <c r="K327" s="74"/>
      <c r="L327" s="74"/>
      <c r="M327" s="74"/>
      <c r="N327" s="74"/>
      <c r="O327" s="74"/>
      <c r="P327" s="74"/>
      <c r="Q327" s="74"/>
      <c r="R327" s="74"/>
      <c r="S327" s="74"/>
      <c r="T327" s="74"/>
      <c r="U327" s="74"/>
      <c r="V327" s="74"/>
      <c r="W327" s="74"/>
      <c r="X327" s="74"/>
      <c r="Y327" s="74"/>
      <c r="Z327" s="74"/>
      <c r="AA327" s="74"/>
      <c r="AB327" s="74"/>
    </row>
    <row r="328" spans="1:28" ht="12" customHeight="1">
      <c r="A328" s="260"/>
      <c r="B328" s="104"/>
      <c r="C328" s="104"/>
      <c r="D328" s="260"/>
      <c r="E328" s="104"/>
      <c r="F328" s="104"/>
      <c r="G328" s="35"/>
      <c r="H328" s="104"/>
      <c r="I328" s="35"/>
      <c r="J328" s="74"/>
      <c r="K328" s="74"/>
      <c r="L328" s="74"/>
      <c r="M328" s="74"/>
      <c r="N328" s="74"/>
      <c r="O328" s="74"/>
      <c r="P328" s="74"/>
      <c r="Q328" s="74"/>
      <c r="R328" s="74"/>
      <c r="S328" s="74"/>
      <c r="T328" s="74"/>
      <c r="U328" s="74"/>
      <c r="V328" s="74"/>
      <c r="W328" s="74"/>
      <c r="X328" s="74"/>
      <c r="Y328" s="74"/>
      <c r="Z328" s="74"/>
      <c r="AA328" s="74"/>
      <c r="AB328" s="74"/>
    </row>
    <row r="329" spans="1:28" ht="12" customHeight="1">
      <c r="A329" s="260"/>
      <c r="B329" s="104"/>
      <c r="C329" s="104"/>
      <c r="D329" s="260"/>
      <c r="E329" s="104"/>
      <c r="F329" s="104"/>
      <c r="G329" s="35"/>
      <c r="H329" s="104"/>
      <c r="I329" s="35"/>
      <c r="J329" s="74"/>
      <c r="K329" s="74"/>
      <c r="L329" s="74"/>
      <c r="M329" s="74"/>
      <c r="N329" s="74"/>
      <c r="O329" s="74"/>
      <c r="P329" s="74"/>
      <c r="Q329" s="74"/>
      <c r="R329" s="74"/>
      <c r="S329" s="74"/>
      <c r="T329" s="74"/>
      <c r="U329" s="74"/>
      <c r="V329" s="74"/>
      <c r="W329" s="74"/>
      <c r="X329" s="74"/>
      <c r="Y329" s="74"/>
      <c r="Z329" s="74"/>
      <c r="AA329" s="74"/>
      <c r="AB329" s="74"/>
    </row>
    <row r="330" spans="1:28" ht="12" customHeight="1">
      <c r="A330" s="260"/>
      <c r="B330" s="104"/>
      <c r="C330" s="104"/>
      <c r="D330" s="260"/>
      <c r="E330" s="104"/>
      <c r="F330" s="104"/>
      <c r="G330" s="35"/>
      <c r="H330" s="104"/>
      <c r="I330" s="35"/>
      <c r="J330" s="74"/>
      <c r="K330" s="74"/>
      <c r="L330" s="74"/>
      <c r="M330" s="74"/>
      <c r="N330" s="74"/>
      <c r="O330" s="74"/>
      <c r="P330" s="74"/>
      <c r="Q330" s="74"/>
      <c r="R330" s="74"/>
      <c r="S330" s="74"/>
      <c r="T330" s="74"/>
      <c r="U330" s="74"/>
      <c r="V330" s="74"/>
      <c r="W330" s="74"/>
      <c r="X330" s="74"/>
      <c r="Y330" s="74"/>
      <c r="Z330" s="74"/>
      <c r="AA330" s="74"/>
      <c r="AB330" s="74"/>
    </row>
    <row r="331" spans="1:28" ht="12" customHeight="1">
      <c r="A331" s="260"/>
      <c r="B331" s="104"/>
      <c r="C331" s="104"/>
      <c r="D331" s="260"/>
      <c r="E331" s="104"/>
      <c r="F331" s="104"/>
      <c r="G331" s="35"/>
      <c r="H331" s="104"/>
      <c r="I331" s="35"/>
      <c r="J331" s="74"/>
      <c r="K331" s="74"/>
      <c r="L331" s="74"/>
      <c r="M331" s="74"/>
      <c r="N331" s="74"/>
      <c r="O331" s="74"/>
      <c r="P331" s="74"/>
      <c r="Q331" s="74"/>
      <c r="R331" s="74"/>
      <c r="S331" s="74"/>
      <c r="T331" s="74"/>
      <c r="U331" s="74"/>
      <c r="V331" s="74"/>
      <c r="W331" s="74"/>
      <c r="X331" s="74"/>
      <c r="Y331" s="74"/>
      <c r="Z331" s="74"/>
      <c r="AA331" s="74"/>
      <c r="AB331" s="74"/>
    </row>
    <row r="332" spans="1:28" ht="12" customHeight="1">
      <c r="A332" s="260"/>
      <c r="B332" s="104"/>
      <c r="C332" s="104"/>
      <c r="D332" s="260"/>
      <c r="E332" s="104"/>
      <c r="F332" s="104"/>
      <c r="G332" s="35"/>
      <c r="H332" s="104"/>
      <c r="I332" s="35"/>
      <c r="J332" s="74"/>
      <c r="K332" s="74"/>
      <c r="L332" s="74"/>
      <c r="M332" s="74"/>
      <c r="N332" s="74"/>
      <c r="O332" s="74"/>
      <c r="P332" s="74"/>
      <c r="Q332" s="74"/>
      <c r="R332" s="74"/>
      <c r="S332" s="74"/>
      <c r="T332" s="74"/>
      <c r="U332" s="74"/>
      <c r="V332" s="74"/>
      <c r="W332" s="74"/>
      <c r="X332" s="74"/>
      <c r="Y332" s="74"/>
      <c r="Z332" s="74"/>
      <c r="AA332" s="74"/>
      <c r="AB332" s="74"/>
    </row>
    <row r="333" spans="1:28" ht="12" customHeight="1">
      <c r="A333" s="260"/>
      <c r="B333" s="104"/>
      <c r="C333" s="104"/>
      <c r="D333" s="260"/>
      <c r="E333" s="104"/>
      <c r="F333" s="104"/>
      <c r="G333" s="35"/>
      <c r="H333" s="104"/>
      <c r="I333" s="35"/>
      <c r="J333" s="74"/>
      <c r="K333" s="74"/>
      <c r="L333" s="74"/>
      <c r="M333" s="74"/>
      <c r="N333" s="74"/>
      <c r="O333" s="74"/>
      <c r="P333" s="74"/>
      <c r="Q333" s="74"/>
      <c r="R333" s="74"/>
      <c r="S333" s="74"/>
      <c r="T333" s="74"/>
      <c r="U333" s="74"/>
      <c r="V333" s="74"/>
      <c r="W333" s="74"/>
      <c r="X333" s="74"/>
      <c r="Y333" s="74"/>
      <c r="Z333" s="74"/>
      <c r="AA333" s="74"/>
      <c r="AB333" s="74"/>
    </row>
    <row r="334" spans="1:28" ht="12" customHeight="1">
      <c r="A334" s="260"/>
      <c r="B334" s="104"/>
      <c r="C334" s="104"/>
      <c r="D334" s="260"/>
      <c r="E334" s="104"/>
      <c r="F334" s="104"/>
      <c r="G334" s="35"/>
      <c r="H334" s="104"/>
      <c r="I334" s="35"/>
      <c r="J334" s="74"/>
      <c r="K334" s="74"/>
      <c r="L334" s="74"/>
      <c r="M334" s="74"/>
      <c r="N334" s="74"/>
      <c r="O334" s="74"/>
      <c r="P334" s="74"/>
      <c r="Q334" s="74"/>
      <c r="R334" s="74"/>
      <c r="S334" s="74"/>
      <c r="T334" s="74"/>
      <c r="U334" s="74"/>
      <c r="V334" s="74"/>
      <c r="W334" s="74"/>
      <c r="X334" s="74"/>
      <c r="Y334" s="74"/>
      <c r="Z334" s="74"/>
      <c r="AA334" s="74"/>
      <c r="AB334" s="74"/>
    </row>
    <row r="335" spans="1:28" ht="12" customHeight="1">
      <c r="A335" s="260"/>
      <c r="B335" s="104"/>
      <c r="C335" s="104"/>
      <c r="D335" s="260"/>
      <c r="E335" s="104"/>
      <c r="F335" s="104"/>
      <c r="G335" s="35"/>
      <c r="H335" s="104"/>
      <c r="I335" s="35"/>
      <c r="J335" s="74"/>
      <c r="K335" s="74"/>
      <c r="L335" s="74"/>
      <c r="M335" s="74"/>
      <c r="N335" s="74"/>
      <c r="O335" s="74"/>
      <c r="P335" s="74"/>
      <c r="Q335" s="74"/>
      <c r="R335" s="74"/>
      <c r="S335" s="74"/>
      <c r="T335" s="74"/>
      <c r="U335" s="74"/>
      <c r="V335" s="74"/>
      <c r="W335" s="74"/>
      <c r="X335" s="74"/>
      <c r="Y335" s="74"/>
      <c r="Z335" s="74"/>
      <c r="AA335" s="74"/>
      <c r="AB335" s="74"/>
    </row>
    <row r="336" spans="1:28" ht="12" customHeight="1">
      <c r="A336" s="260"/>
      <c r="B336" s="104"/>
      <c r="C336" s="104"/>
      <c r="D336" s="260"/>
      <c r="E336" s="104"/>
      <c r="F336" s="104"/>
      <c r="G336" s="35"/>
      <c r="H336" s="104"/>
      <c r="I336" s="35"/>
      <c r="J336" s="74"/>
      <c r="K336" s="74"/>
      <c r="L336" s="74"/>
      <c r="M336" s="74"/>
      <c r="N336" s="74"/>
      <c r="O336" s="74"/>
      <c r="P336" s="74"/>
      <c r="Q336" s="74"/>
      <c r="R336" s="74"/>
      <c r="S336" s="74"/>
      <c r="T336" s="74"/>
      <c r="U336" s="74"/>
      <c r="V336" s="74"/>
      <c r="W336" s="74"/>
      <c r="X336" s="74"/>
      <c r="Y336" s="74"/>
      <c r="Z336" s="74"/>
      <c r="AA336" s="74"/>
      <c r="AB336" s="74"/>
    </row>
    <row r="337" spans="1:28" ht="12" customHeight="1">
      <c r="A337" s="260"/>
      <c r="B337" s="104"/>
      <c r="C337" s="104"/>
      <c r="D337" s="260"/>
      <c r="E337" s="104"/>
      <c r="F337" s="104"/>
      <c r="G337" s="35"/>
      <c r="H337" s="104"/>
      <c r="I337" s="35"/>
      <c r="J337" s="74"/>
      <c r="K337" s="74"/>
      <c r="L337" s="74"/>
      <c r="M337" s="74"/>
      <c r="N337" s="74"/>
      <c r="O337" s="74"/>
      <c r="P337" s="74"/>
      <c r="Q337" s="74"/>
      <c r="R337" s="74"/>
      <c r="S337" s="74"/>
      <c r="T337" s="74"/>
      <c r="U337" s="74"/>
      <c r="V337" s="74"/>
      <c r="W337" s="74"/>
      <c r="X337" s="74"/>
      <c r="Y337" s="74"/>
      <c r="Z337" s="74"/>
      <c r="AA337" s="74"/>
      <c r="AB337" s="74"/>
    </row>
    <row r="338" spans="1:28" ht="12" customHeight="1">
      <c r="A338" s="260"/>
      <c r="B338" s="104"/>
      <c r="C338" s="104"/>
      <c r="D338" s="260"/>
      <c r="E338" s="104"/>
      <c r="F338" s="104"/>
      <c r="G338" s="35"/>
      <c r="H338" s="104"/>
      <c r="I338" s="35"/>
      <c r="J338" s="74"/>
      <c r="K338" s="74"/>
      <c r="L338" s="74"/>
      <c r="M338" s="74"/>
      <c r="N338" s="74"/>
      <c r="O338" s="74"/>
      <c r="P338" s="74"/>
      <c r="Q338" s="74"/>
      <c r="R338" s="74"/>
      <c r="S338" s="74"/>
      <c r="T338" s="74"/>
      <c r="U338" s="74"/>
      <c r="V338" s="74"/>
      <c r="W338" s="74"/>
      <c r="X338" s="74"/>
      <c r="Y338" s="74"/>
      <c r="Z338" s="74"/>
      <c r="AA338" s="74"/>
      <c r="AB338" s="74"/>
    </row>
    <row r="339" spans="1:28" ht="12" customHeight="1">
      <c r="A339" s="260"/>
      <c r="B339" s="104"/>
      <c r="C339" s="104"/>
      <c r="D339" s="260"/>
      <c r="E339" s="104"/>
      <c r="F339" s="104"/>
      <c r="G339" s="35"/>
      <c r="H339" s="104"/>
      <c r="I339" s="35"/>
      <c r="J339" s="74"/>
      <c r="K339" s="74"/>
      <c r="L339" s="74"/>
      <c r="M339" s="74"/>
      <c r="N339" s="74"/>
      <c r="O339" s="74"/>
      <c r="P339" s="74"/>
      <c r="Q339" s="74"/>
      <c r="R339" s="74"/>
      <c r="S339" s="74"/>
      <c r="T339" s="74"/>
      <c r="U339" s="74"/>
      <c r="V339" s="74"/>
      <c r="W339" s="74"/>
      <c r="X339" s="74"/>
      <c r="Y339" s="74"/>
      <c r="Z339" s="74"/>
      <c r="AA339" s="74"/>
      <c r="AB339" s="74"/>
    </row>
    <row r="340" spans="1:28" ht="12" customHeight="1">
      <c r="A340" s="260"/>
      <c r="B340" s="104"/>
      <c r="C340" s="104"/>
      <c r="D340" s="260"/>
      <c r="E340" s="104"/>
      <c r="F340" s="104"/>
      <c r="G340" s="35"/>
      <c r="H340" s="104"/>
      <c r="I340" s="35"/>
      <c r="J340" s="74"/>
      <c r="K340" s="74"/>
      <c r="L340" s="74"/>
      <c r="M340" s="74"/>
      <c r="N340" s="74"/>
      <c r="O340" s="74"/>
      <c r="P340" s="74"/>
      <c r="Q340" s="74"/>
      <c r="R340" s="74"/>
      <c r="S340" s="74"/>
      <c r="T340" s="74"/>
      <c r="U340" s="74"/>
      <c r="V340" s="74"/>
      <c r="W340" s="74"/>
      <c r="X340" s="74"/>
      <c r="Y340" s="74"/>
      <c r="Z340" s="74"/>
      <c r="AA340" s="74"/>
      <c r="AB340" s="74"/>
    </row>
    <row r="341" spans="1:28" ht="12" customHeight="1">
      <c r="A341" s="260"/>
      <c r="B341" s="104"/>
      <c r="C341" s="104"/>
      <c r="D341" s="260"/>
      <c r="E341" s="104"/>
      <c r="F341" s="104"/>
      <c r="G341" s="35"/>
      <c r="H341" s="104"/>
      <c r="I341" s="35"/>
      <c r="J341" s="74"/>
      <c r="K341" s="74"/>
      <c r="L341" s="74"/>
      <c r="M341" s="74"/>
      <c r="N341" s="74"/>
      <c r="O341" s="74"/>
      <c r="P341" s="74"/>
      <c r="Q341" s="74"/>
      <c r="R341" s="74"/>
      <c r="S341" s="74"/>
      <c r="T341" s="74"/>
      <c r="U341" s="74"/>
      <c r="V341" s="74"/>
      <c r="W341" s="74"/>
      <c r="X341" s="74"/>
      <c r="Y341" s="74"/>
      <c r="Z341" s="74"/>
      <c r="AA341" s="74"/>
      <c r="AB341" s="74"/>
    </row>
    <row r="342" spans="1:28" ht="12" customHeight="1">
      <c r="A342" s="260"/>
      <c r="B342" s="104"/>
      <c r="C342" s="104"/>
      <c r="D342" s="260"/>
      <c r="E342" s="104"/>
      <c r="F342" s="104"/>
      <c r="G342" s="35"/>
      <c r="H342" s="104"/>
      <c r="I342" s="35"/>
      <c r="J342" s="74"/>
      <c r="K342" s="74"/>
      <c r="L342" s="74"/>
      <c r="M342" s="74"/>
      <c r="N342" s="74"/>
      <c r="O342" s="74"/>
      <c r="P342" s="74"/>
      <c r="Q342" s="74"/>
      <c r="R342" s="74"/>
      <c r="S342" s="74"/>
      <c r="T342" s="74"/>
      <c r="U342" s="74"/>
      <c r="V342" s="74"/>
      <c r="W342" s="74"/>
      <c r="X342" s="74"/>
      <c r="Y342" s="74"/>
      <c r="Z342" s="74"/>
      <c r="AA342" s="74"/>
      <c r="AB342" s="74"/>
    </row>
    <row r="343" spans="1:28" ht="12" customHeight="1">
      <c r="A343" s="260"/>
      <c r="B343" s="104"/>
      <c r="C343" s="104"/>
      <c r="D343" s="260"/>
      <c r="E343" s="104"/>
      <c r="F343" s="104"/>
      <c r="G343" s="35"/>
      <c r="H343" s="104"/>
      <c r="I343" s="35"/>
      <c r="J343" s="74"/>
      <c r="K343" s="74"/>
      <c r="L343" s="74"/>
      <c r="M343" s="74"/>
      <c r="N343" s="74"/>
      <c r="O343" s="74"/>
      <c r="P343" s="74"/>
      <c r="Q343" s="74"/>
      <c r="R343" s="74"/>
      <c r="S343" s="74"/>
      <c r="T343" s="74"/>
      <c r="U343" s="74"/>
      <c r="V343" s="74"/>
      <c r="W343" s="74"/>
      <c r="X343" s="74"/>
      <c r="Y343" s="74"/>
      <c r="Z343" s="74"/>
      <c r="AA343" s="74"/>
      <c r="AB343" s="74"/>
    </row>
    <row r="344" spans="1:28" ht="12" customHeight="1">
      <c r="A344" s="260"/>
      <c r="B344" s="104"/>
      <c r="C344" s="104"/>
      <c r="D344" s="260"/>
      <c r="E344" s="104"/>
      <c r="F344" s="104"/>
      <c r="G344" s="35"/>
      <c r="H344" s="104"/>
      <c r="I344" s="35"/>
      <c r="J344" s="74"/>
      <c r="K344" s="74"/>
      <c r="L344" s="74"/>
      <c r="M344" s="74"/>
      <c r="N344" s="74"/>
      <c r="O344" s="74"/>
      <c r="P344" s="74"/>
      <c r="Q344" s="74"/>
      <c r="R344" s="74"/>
      <c r="S344" s="74"/>
      <c r="T344" s="74"/>
      <c r="U344" s="74"/>
      <c r="V344" s="74"/>
      <c r="W344" s="74"/>
      <c r="X344" s="74"/>
      <c r="Y344" s="74"/>
      <c r="Z344" s="74"/>
      <c r="AA344" s="74"/>
      <c r="AB344" s="74"/>
    </row>
    <row r="345" spans="1:28" ht="12" customHeight="1">
      <c r="A345" s="260"/>
      <c r="B345" s="104"/>
      <c r="C345" s="104"/>
      <c r="D345" s="260"/>
      <c r="E345" s="104"/>
      <c r="F345" s="104"/>
      <c r="G345" s="35"/>
      <c r="H345" s="104"/>
      <c r="I345" s="35"/>
      <c r="J345" s="74"/>
      <c r="K345" s="74"/>
      <c r="L345" s="74"/>
      <c r="M345" s="74"/>
      <c r="N345" s="74"/>
      <c r="O345" s="74"/>
      <c r="P345" s="74"/>
      <c r="Q345" s="74"/>
      <c r="R345" s="74"/>
      <c r="S345" s="74"/>
      <c r="T345" s="74"/>
      <c r="U345" s="74"/>
      <c r="V345" s="74"/>
      <c r="W345" s="74"/>
      <c r="X345" s="74"/>
      <c r="Y345" s="74"/>
      <c r="Z345" s="74"/>
      <c r="AA345" s="74"/>
      <c r="AB345" s="74"/>
    </row>
    <row r="346" spans="1:28" ht="12" customHeight="1">
      <c r="A346" s="260"/>
      <c r="B346" s="104"/>
      <c r="C346" s="104"/>
      <c r="D346" s="260"/>
      <c r="E346" s="104"/>
      <c r="F346" s="104"/>
      <c r="G346" s="35"/>
      <c r="H346" s="104"/>
      <c r="I346" s="35"/>
      <c r="J346" s="74"/>
      <c r="K346" s="74"/>
      <c r="L346" s="74"/>
      <c r="M346" s="74"/>
      <c r="N346" s="74"/>
      <c r="O346" s="74"/>
      <c r="P346" s="74"/>
      <c r="Q346" s="74"/>
      <c r="R346" s="74"/>
      <c r="S346" s="74"/>
      <c r="T346" s="74"/>
      <c r="U346" s="74"/>
      <c r="V346" s="74"/>
      <c r="W346" s="74"/>
      <c r="X346" s="74"/>
      <c r="Y346" s="74"/>
      <c r="Z346" s="74"/>
      <c r="AA346" s="74"/>
      <c r="AB346" s="74"/>
    </row>
    <row r="347" spans="1:28" ht="12" customHeight="1">
      <c r="A347" s="260"/>
      <c r="B347" s="104"/>
      <c r="C347" s="104"/>
      <c r="D347" s="260"/>
      <c r="E347" s="104"/>
      <c r="F347" s="104"/>
      <c r="G347" s="35"/>
      <c r="H347" s="104"/>
      <c r="I347" s="35"/>
      <c r="J347" s="74"/>
      <c r="K347" s="74"/>
      <c r="L347" s="74"/>
      <c r="M347" s="74"/>
      <c r="N347" s="74"/>
      <c r="O347" s="74"/>
      <c r="P347" s="74"/>
      <c r="Q347" s="74"/>
      <c r="R347" s="74"/>
      <c r="S347" s="74"/>
      <c r="T347" s="74"/>
      <c r="U347" s="74"/>
      <c r="V347" s="74"/>
      <c r="W347" s="74"/>
      <c r="X347" s="74"/>
      <c r="Y347" s="74"/>
      <c r="Z347" s="74"/>
      <c r="AA347" s="74"/>
      <c r="AB347" s="74"/>
    </row>
    <row r="348" spans="1:28" ht="12" customHeight="1">
      <c r="A348" s="260"/>
      <c r="B348" s="104"/>
      <c r="C348" s="104"/>
      <c r="D348" s="260"/>
      <c r="E348" s="104"/>
      <c r="F348" s="104"/>
      <c r="G348" s="35"/>
      <c r="H348" s="104"/>
      <c r="I348" s="35"/>
      <c r="J348" s="74"/>
      <c r="K348" s="74"/>
      <c r="L348" s="74"/>
      <c r="M348" s="74"/>
      <c r="N348" s="74"/>
      <c r="O348" s="74"/>
      <c r="P348" s="74"/>
      <c r="Q348" s="74"/>
      <c r="R348" s="74"/>
      <c r="S348" s="74"/>
      <c r="T348" s="74"/>
      <c r="U348" s="74"/>
      <c r="V348" s="74"/>
      <c r="W348" s="74"/>
      <c r="X348" s="74"/>
      <c r="Y348" s="74"/>
      <c r="Z348" s="74"/>
      <c r="AA348" s="74"/>
      <c r="AB348" s="74"/>
    </row>
    <row r="349" spans="1:28" ht="12" customHeight="1">
      <c r="A349" s="260"/>
      <c r="B349" s="104"/>
      <c r="C349" s="104"/>
      <c r="D349" s="260"/>
      <c r="E349" s="104"/>
      <c r="F349" s="104"/>
      <c r="G349" s="35"/>
      <c r="H349" s="104"/>
      <c r="I349" s="35"/>
      <c r="J349" s="74"/>
      <c r="K349" s="74"/>
      <c r="L349" s="74"/>
      <c r="M349" s="74"/>
      <c r="N349" s="74"/>
      <c r="O349" s="74"/>
      <c r="P349" s="74"/>
      <c r="Q349" s="74"/>
      <c r="R349" s="74"/>
      <c r="S349" s="74"/>
      <c r="T349" s="74"/>
      <c r="U349" s="74"/>
      <c r="V349" s="74"/>
      <c r="W349" s="74"/>
      <c r="X349" s="74"/>
      <c r="Y349" s="74"/>
      <c r="Z349" s="74"/>
      <c r="AA349" s="74"/>
      <c r="AB349" s="74"/>
    </row>
    <row r="350" spans="1:28" ht="12" customHeight="1">
      <c r="A350" s="260"/>
      <c r="B350" s="104"/>
      <c r="C350" s="104"/>
      <c r="D350" s="260"/>
      <c r="E350" s="104"/>
      <c r="F350" s="104"/>
      <c r="G350" s="35"/>
      <c r="H350" s="104"/>
      <c r="I350" s="35"/>
      <c r="J350" s="74"/>
      <c r="K350" s="74"/>
      <c r="L350" s="74"/>
      <c r="M350" s="74"/>
      <c r="N350" s="74"/>
      <c r="O350" s="74"/>
      <c r="P350" s="74"/>
      <c r="Q350" s="74"/>
      <c r="R350" s="74"/>
      <c r="S350" s="74"/>
      <c r="T350" s="74"/>
      <c r="U350" s="74"/>
      <c r="V350" s="74"/>
      <c r="W350" s="74"/>
      <c r="X350" s="74"/>
      <c r="Y350" s="74"/>
      <c r="Z350" s="74"/>
      <c r="AA350" s="74"/>
      <c r="AB350" s="74"/>
    </row>
    <row r="351" spans="1:28" ht="12" customHeight="1">
      <c r="A351" s="260"/>
      <c r="B351" s="104"/>
      <c r="C351" s="104"/>
      <c r="D351" s="260"/>
      <c r="E351" s="104"/>
      <c r="F351" s="104"/>
      <c r="G351" s="35"/>
      <c r="H351" s="104"/>
      <c r="I351" s="35"/>
      <c r="J351" s="74"/>
      <c r="K351" s="74"/>
      <c r="L351" s="74"/>
      <c r="M351" s="74"/>
      <c r="N351" s="74"/>
      <c r="O351" s="74"/>
      <c r="P351" s="74"/>
      <c r="Q351" s="74"/>
      <c r="R351" s="74"/>
      <c r="S351" s="74"/>
      <c r="T351" s="74"/>
      <c r="U351" s="74"/>
      <c r="V351" s="74"/>
      <c r="W351" s="74"/>
      <c r="X351" s="74"/>
      <c r="Y351" s="74"/>
      <c r="Z351" s="74"/>
      <c r="AA351" s="74"/>
      <c r="AB351" s="74"/>
    </row>
    <row r="352" spans="1:28" ht="12" customHeight="1">
      <c r="A352" s="260"/>
      <c r="B352" s="104"/>
      <c r="C352" s="104"/>
      <c r="D352" s="260"/>
      <c r="E352" s="104"/>
      <c r="F352" s="104"/>
      <c r="G352" s="35"/>
      <c r="H352" s="104"/>
      <c r="I352" s="35"/>
      <c r="J352" s="74"/>
      <c r="K352" s="74"/>
      <c r="L352" s="74"/>
      <c r="M352" s="74"/>
      <c r="N352" s="74"/>
      <c r="O352" s="74"/>
      <c r="P352" s="74"/>
      <c r="Q352" s="74"/>
      <c r="R352" s="74"/>
      <c r="S352" s="74"/>
      <c r="T352" s="74"/>
      <c r="U352" s="74"/>
      <c r="V352" s="74"/>
      <c r="W352" s="74"/>
      <c r="X352" s="74"/>
      <c r="Y352" s="74"/>
      <c r="Z352" s="74"/>
      <c r="AA352" s="74"/>
      <c r="AB352" s="74"/>
    </row>
    <row r="353" spans="1:28" ht="12" customHeight="1">
      <c r="A353" s="260"/>
      <c r="B353" s="104"/>
      <c r="C353" s="104"/>
      <c r="D353" s="260"/>
      <c r="E353" s="104"/>
      <c r="F353" s="104"/>
      <c r="G353" s="35"/>
      <c r="H353" s="104"/>
      <c r="I353" s="35"/>
      <c r="J353" s="74"/>
      <c r="K353" s="74"/>
      <c r="L353" s="74"/>
      <c r="M353" s="74"/>
      <c r="N353" s="74"/>
      <c r="O353" s="74"/>
      <c r="P353" s="74"/>
      <c r="Q353" s="74"/>
      <c r="R353" s="74"/>
      <c r="S353" s="74"/>
      <c r="T353" s="74"/>
      <c r="U353" s="74"/>
      <c r="V353" s="74"/>
      <c r="W353" s="74"/>
      <c r="X353" s="74"/>
      <c r="Y353" s="74"/>
      <c r="Z353" s="74"/>
      <c r="AA353" s="74"/>
      <c r="AB353" s="74"/>
    </row>
    <row r="354" spans="1:28" ht="12" customHeight="1">
      <c r="A354" s="260"/>
      <c r="B354" s="104"/>
      <c r="C354" s="104"/>
      <c r="D354" s="260"/>
      <c r="E354" s="104"/>
      <c r="F354" s="104"/>
      <c r="G354" s="35"/>
      <c r="H354" s="104"/>
      <c r="I354" s="35"/>
      <c r="J354" s="74"/>
      <c r="K354" s="74"/>
      <c r="L354" s="74"/>
      <c r="M354" s="74"/>
      <c r="N354" s="74"/>
      <c r="O354" s="74"/>
      <c r="P354" s="74"/>
      <c r="Q354" s="74"/>
      <c r="R354" s="74"/>
      <c r="S354" s="74"/>
      <c r="T354" s="74"/>
      <c r="U354" s="74"/>
      <c r="V354" s="74"/>
      <c r="W354" s="74"/>
      <c r="X354" s="74"/>
      <c r="Y354" s="74"/>
      <c r="Z354" s="74"/>
      <c r="AA354" s="74"/>
      <c r="AB354" s="74"/>
    </row>
    <row r="355" spans="1:28" ht="12" customHeight="1">
      <c r="A355" s="260"/>
      <c r="B355" s="104"/>
      <c r="C355" s="104"/>
      <c r="D355" s="260"/>
      <c r="E355" s="104"/>
      <c r="F355" s="104"/>
      <c r="G355" s="35"/>
      <c r="H355" s="104"/>
      <c r="I355" s="35"/>
      <c r="J355" s="74"/>
      <c r="K355" s="74"/>
      <c r="L355" s="74"/>
      <c r="M355" s="74"/>
      <c r="N355" s="74"/>
      <c r="O355" s="74"/>
      <c r="P355" s="74"/>
      <c r="Q355" s="74"/>
      <c r="R355" s="74"/>
      <c r="S355" s="74"/>
      <c r="T355" s="74"/>
      <c r="U355" s="74"/>
      <c r="V355" s="74"/>
      <c r="W355" s="74"/>
      <c r="X355" s="74"/>
      <c r="Y355" s="74"/>
      <c r="Z355" s="74"/>
      <c r="AA355" s="74"/>
      <c r="AB355" s="74"/>
    </row>
    <row r="356" spans="1:28" ht="12" customHeight="1">
      <c r="A356" s="260"/>
      <c r="B356" s="104"/>
      <c r="C356" s="104"/>
      <c r="D356" s="260"/>
      <c r="E356" s="104"/>
      <c r="F356" s="104"/>
      <c r="G356" s="35"/>
      <c r="H356" s="104"/>
      <c r="I356" s="35"/>
      <c r="J356" s="74"/>
      <c r="K356" s="74"/>
      <c r="L356" s="74"/>
      <c r="M356" s="74"/>
      <c r="N356" s="74"/>
      <c r="O356" s="74"/>
      <c r="P356" s="74"/>
      <c r="Q356" s="74"/>
      <c r="R356" s="74"/>
      <c r="S356" s="74"/>
      <c r="T356" s="74"/>
      <c r="U356" s="74"/>
      <c r="V356" s="74"/>
      <c r="W356" s="74"/>
      <c r="X356" s="74"/>
      <c r="Y356" s="74"/>
      <c r="Z356" s="74"/>
      <c r="AA356" s="74"/>
      <c r="AB356" s="74"/>
    </row>
    <row r="357" spans="1:28" ht="12" customHeight="1">
      <c r="A357" s="260"/>
      <c r="B357" s="104"/>
      <c r="C357" s="104"/>
      <c r="D357" s="260"/>
      <c r="E357" s="104"/>
      <c r="F357" s="104"/>
      <c r="G357" s="35"/>
      <c r="H357" s="104"/>
      <c r="I357" s="35"/>
      <c r="J357" s="74"/>
      <c r="K357" s="74"/>
      <c r="L357" s="74"/>
      <c r="M357" s="74"/>
      <c r="N357" s="74"/>
      <c r="O357" s="74"/>
      <c r="P357" s="74"/>
      <c r="Q357" s="74"/>
      <c r="R357" s="74"/>
      <c r="S357" s="74"/>
      <c r="T357" s="74"/>
      <c r="U357" s="74"/>
      <c r="V357" s="74"/>
      <c r="W357" s="74"/>
      <c r="X357" s="74"/>
      <c r="Y357" s="74"/>
      <c r="Z357" s="74"/>
      <c r="AA357" s="74"/>
      <c r="AB357" s="74"/>
    </row>
    <row r="358" spans="1:28" ht="12" customHeight="1">
      <c r="A358" s="260"/>
      <c r="B358" s="104"/>
      <c r="C358" s="104"/>
      <c r="D358" s="260"/>
      <c r="E358" s="104"/>
      <c r="F358" s="104"/>
      <c r="G358" s="35"/>
      <c r="H358" s="104"/>
      <c r="I358" s="35"/>
      <c r="J358" s="74"/>
      <c r="K358" s="74"/>
      <c r="L358" s="74"/>
      <c r="M358" s="74"/>
      <c r="N358" s="74"/>
      <c r="O358" s="74"/>
      <c r="P358" s="74"/>
      <c r="Q358" s="74"/>
      <c r="R358" s="74"/>
      <c r="S358" s="74"/>
      <c r="T358" s="74"/>
      <c r="U358" s="74"/>
      <c r="V358" s="74"/>
      <c r="W358" s="74"/>
      <c r="X358" s="74"/>
      <c r="Y358" s="74"/>
      <c r="Z358" s="74"/>
      <c r="AA358" s="74"/>
      <c r="AB358" s="74"/>
    </row>
    <row r="359" spans="1:28" ht="12" customHeight="1">
      <c r="A359" s="260"/>
      <c r="B359" s="104"/>
      <c r="C359" s="104"/>
      <c r="D359" s="260"/>
      <c r="E359" s="104"/>
      <c r="F359" s="104"/>
      <c r="G359" s="35"/>
      <c r="H359" s="104"/>
      <c r="I359" s="35"/>
      <c r="J359" s="74"/>
      <c r="K359" s="74"/>
      <c r="L359" s="74"/>
      <c r="M359" s="74"/>
      <c r="N359" s="74"/>
      <c r="O359" s="74"/>
      <c r="P359" s="74"/>
      <c r="Q359" s="74"/>
      <c r="R359" s="74"/>
      <c r="S359" s="74"/>
      <c r="T359" s="74"/>
      <c r="U359" s="74"/>
      <c r="V359" s="74"/>
      <c r="W359" s="74"/>
      <c r="X359" s="74"/>
      <c r="Y359" s="74"/>
      <c r="Z359" s="74"/>
      <c r="AA359" s="74"/>
      <c r="AB359" s="74"/>
    </row>
    <row r="360" spans="1:28" ht="12" customHeight="1">
      <c r="A360" s="260"/>
      <c r="B360" s="104"/>
      <c r="C360" s="104"/>
      <c r="D360" s="260"/>
      <c r="E360" s="104"/>
      <c r="F360" s="104"/>
      <c r="G360" s="35"/>
      <c r="H360" s="104"/>
      <c r="I360" s="35"/>
      <c r="J360" s="74"/>
      <c r="K360" s="74"/>
      <c r="L360" s="74"/>
      <c r="M360" s="74"/>
      <c r="N360" s="74"/>
      <c r="O360" s="74"/>
      <c r="P360" s="74"/>
      <c r="Q360" s="74"/>
      <c r="R360" s="74"/>
      <c r="S360" s="74"/>
      <c r="T360" s="74"/>
      <c r="U360" s="74"/>
      <c r="V360" s="74"/>
      <c r="W360" s="74"/>
      <c r="X360" s="74"/>
      <c r="Y360" s="74"/>
      <c r="Z360" s="74"/>
      <c r="AA360" s="74"/>
      <c r="AB360" s="74"/>
    </row>
    <row r="361" spans="1:28" ht="12" customHeight="1">
      <c r="A361" s="260"/>
      <c r="B361" s="104"/>
      <c r="C361" s="104"/>
      <c r="D361" s="260"/>
      <c r="E361" s="104"/>
      <c r="F361" s="104"/>
      <c r="G361" s="35"/>
      <c r="H361" s="104"/>
      <c r="I361" s="35"/>
      <c r="J361" s="74"/>
      <c r="K361" s="74"/>
      <c r="L361" s="74"/>
      <c r="M361" s="74"/>
      <c r="N361" s="74"/>
      <c r="O361" s="74"/>
      <c r="P361" s="74"/>
      <c r="Q361" s="74"/>
      <c r="R361" s="74"/>
      <c r="S361" s="74"/>
      <c r="T361" s="74"/>
      <c r="U361" s="74"/>
      <c r="V361" s="74"/>
      <c r="W361" s="74"/>
      <c r="X361" s="74"/>
      <c r="Y361" s="74"/>
      <c r="Z361" s="74"/>
      <c r="AA361" s="74"/>
      <c r="AB361" s="74"/>
    </row>
    <row r="362" spans="1:28" ht="12" customHeight="1">
      <c r="A362" s="260"/>
      <c r="B362" s="104"/>
      <c r="C362" s="104"/>
      <c r="D362" s="260"/>
      <c r="E362" s="104"/>
      <c r="F362" s="104"/>
      <c r="G362" s="35"/>
      <c r="H362" s="104"/>
      <c r="I362" s="35"/>
      <c r="J362" s="74"/>
      <c r="K362" s="74"/>
      <c r="L362" s="74"/>
      <c r="M362" s="74"/>
      <c r="N362" s="74"/>
      <c r="O362" s="74"/>
      <c r="P362" s="74"/>
      <c r="Q362" s="74"/>
      <c r="R362" s="74"/>
      <c r="S362" s="74"/>
      <c r="T362" s="74"/>
      <c r="U362" s="74"/>
      <c r="V362" s="74"/>
      <c r="W362" s="74"/>
      <c r="X362" s="74"/>
      <c r="Y362" s="74"/>
      <c r="Z362" s="74"/>
      <c r="AA362" s="74"/>
      <c r="AB362" s="74"/>
    </row>
    <row r="363" spans="1:28" ht="12" customHeight="1">
      <c r="A363" s="260"/>
      <c r="B363" s="104"/>
      <c r="C363" s="104"/>
      <c r="D363" s="260"/>
      <c r="E363" s="104"/>
      <c r="F363" s="104"/>
      <c r="G363" s="35"/>
      <c r="H363" s="104"/>
      <c r="I363" s="35"/>
      <c r="J363" s="74"/>
      <c r="K363" s="74"/>
      <c r="L363" s="74"/>
      <c r="M363" s="74"/>
      <c r="N363" s="74"/>
      <c r="O363" s="74"/>
      <c r="P363" s="74"/>
      <c r="Q363" s="74"/>
      <c r="R363" s="74"/>
      <c r="S363" s="74"/>
      <c r="T363" s="74"/>
      <c r="U363" s="74"/>
      <c r="V363" s="74"/>
      <c r="W363" s="74"/>
      <c r="X363" s="74"/>
      <c r="Y363" s="74"/>
      <c r="Z363" s="74"/>
      <c r="AA363" s="74"/>
      <c r="AB363" s="74"/>
    </row>
    <row r="364" spans="1:28" ht="12" customHeight="1">
      <c r="A364" s="260"/>
      <c r="B364" s="104"/>
      <c r="C364" s="104"/>
      <c r="D364" s="260"/>
      <c r="E364" s="104"/>
      <c r="F364" s="104"/>
      <c r="G364" s="35"/>
      <c r="H364" s="104"/>
      <c r="I364" s="35"/>
      <c r="J364" s="74"/>
      <c r="K364" s="74"/>
      <c r="L364" s="74"/>
      <c r="M364" s="74"/>
      <c r="N364" s="74"/>
      <c r="O364" s="74"/>
      <c r="P364" s="74"/>
      <c r="Q364" s="74"/>
      <c r="R364" s="74"/>
      <c r="S364" s="74"/>
      <c r="T364" s="74"/>
      <c r="U364" s="74"/>
      <c r="V364" s="74"/>
      <c r="W364" s="74"/>
      <c r="X364" s="74"/>
      <c r="Y364" s="74"/>
      <c r="Z364" s="74"/>
      <c r="AA364" s="74"/>
      <c r="AB364" s="74"/>
    </row>
    <row r="365" spans="1:28" ht="12" customHeight="1">
      <c r="A365" s="260"/>
      <c r="B365" s="104"/>
      <c r="C365" s="104"/>
      <c r="D365" s="260"/>
      <c r="E365" s="104"/>
      <c r="F365" s="104"/>
      <c r="G365" s="35"/>
      <c r="H365" s="104"/>
      <c r="I365" s="35"/>
      <c r="J365" s="74"/>
      <c r="K365" s="74"/>
      <c r="L365" s="74"/>
      <c r="M365" s="74"/>
      <c r="N365" s="74"/>
      <c r="O365" s="74"/>
      <c r="P365" s="74"/>
      <c r="Q365" s="74"/>
      <c r="R365" s="74"/>
      <c r="S365" s="74"/>
      <c r="T365" s="74"/>
      <c r="U365" s="74"/>
      <c r="V365" s="74"/>
      <c r="W365" s="74"/>
      <c r="X365" s="74"/>
      <c r="Y365" s="74"/>
      <c r="Z365" s="74"/>
      <c r="AA365" s="74"/>
      <c r="AB365" s="74"/>
    </row>
    <row r="366" spans="1:28" ht="12" customHeight="1">
      <c r="A366" s="260"/>
      <c r="B366" s="104"/>
      <c r="C366" s="104"/>
      <c r="D366" s="260"/>
      <c r="E366" s="104"/>
      <c r="F366" s="104"/>
      <c r="G366" s="35"/>
      <c r="H366" s="104"/>
      <c r="I366" s="35"/>
      <c r="J366" s="74"/>
      <c r="K366" s="74"/>
      <c r="L366" s="74"/>
      <c r="M366" s="74"/>
      <c r="N366" s="74"/>
      <c r="O366" s="74"/>
      <c r="P366" s="74"/>
      <c r="Q366" s="74"/>
      <c r="R366" s="74"/>
      <c r="S366" s="74"/>
      <c r="T366" s="74"/>
      <c r="U366" s="74"/>
      <c r="V366" s="74"/>
      <c r="W366" s="74"/>
      <c r="X366" s="74"/>
      <c r="Y366" s="74"/>
      <c r="Z366" s="74"/>
      <c r="AA366" s="74"/>
      <c r="AB366" s="74"/>
    </row>
    <row r="367" spans="1:28" ht="12" customHeight="1">
      <c r="A367" s="260"/>
      <c r="B367" s="104"/>
      <c r="C367" s="104"/>
      <c r="D367" s="260"/>
      <c r="E367" s="104"/>
      <c r="F367" s="104"/>
      <c r="G367" s="35"/>
      <c r="H367" s="104"/>
      <c r="I367" s="35"/>
      <c r="J367" s="74"/>
      <c r="K367" s="74"/>
      <c r="L367" s="74"/>
      <c r="M367" s="74"/>
      <c r="N367" s="74"/>
      <c r="O367" s="74"/>
      <c r="P367" s="74"/>
      <c r="Q367" s="74"/>
      <c r="R367" s="74"/>
      <c r="S367" s="74"/>
      <c r="T367" s="74"/>
      <c r="U367" s="74"/>
      <c r="V367" s="74"/>
      <c r="W367" s="74"/>
      <c r="X367" s="74"/>
      <c r="Y367" s="74"/>
      <c r="Z367" s="74"/>
      <c r="AA367" s="74"/>
      <c r="AB367" s="74"/>
    </row>
    <row r="368" spans="1:28" ht="12" customHeight="1">
      <c r="A368" s="260"/>
      <c r="B368" s="104"/>
      <c r="C368" s="104"/>
      <c r="D368" s="260"/>
      <c r="E368" s="104"/>
      <c r="F368" s="104"/>
      <c r="G368" s="35"/>
      <c r="H368" s="104"/>
      <c r="I368" s="35"/>
      <c r="J368" s="74"/>
      <c r="K368" s="74"/>
      <c r="L368" s="74"/>
      <c r="M368" s="74"/>
      <c r="N368" s="74"/>
      <c r="O368" s="74"/>
      <c r="P368" s="74"/>
      <c r="Q368" s="74"/>
      <c r="R368" s="74"/>
      <c r="S368" s="74"/>
      <c r="T368" s="74"/>
      <c r="U368" s="74"/>
      <c r="V368" s="74"/>
      <c r="W368" s="74"/>
      <c r="X368" s="74"/>
      <c r="Y368" s="74"/>
      <c r="Z368" s="74"/>
      <c r="AA368" s="74"/>
      <c r="AB368" s="74"/>
    </row>
    <row r="369" spans="1:28" ht="12" customHeight="1">
      <c r="A369" s="260"/>
      <c r="B369" s="104"/>
      <c r="C369" s="104"/>
      <c r="D369" s="260"/>
      <c r="E369" s="104"/>
      <c r="F369" s="104"/>
      <c r="G369" s="35"/>
      <c r="H369" s="104"/>
      <c r="I369" s="35"/>
      <c r="J369" s="74"/>
      <c r="K369" s="74"/>
      <c r="L369" s="74"/>
      <c r="M369" s="74"/>
      <c r="N369" s="74"/>
      <c r="O369" s="74"/>
      <c r="P369" s="74"/>
      <c r="Q369" s="74"/>
      <c r="R369" s="74"/>
      <c r="S369" s="74"/>
      <c r="T369" s="74"/>
      <c r="U369" s="74"/>
      <c r="V369" s="74"/>
      <c r="W369" s="74"/>
      <c r="X369" s="74"/>
      <c r="Y369" s="74"/>
      <c r="Z369" s="74"/>
      <c r="AA369" s="74"/>
      <c r="AB369" s="74"/>
    </row>
    <row r="370" spans="1:28" ht="12" customHeight="1">
      <c r="A370" s="260"/>
      <c r="B370" s="104"/>
      <c r="C370" s="104"/>
      <c r="D370" s="260"/>
      <c r="E370" s="104"/>
      <c r="F370" s="104"/>
      <c r="G370" s="35"/>
      <c r="H370" s="104"/>
      <c r="I370" s="35"/>
      <c r="J370" s="74"/>
      <c r="K370" s="74"/>
      <c r="L370" s="74"/>
      <c r="M370" s="74"/>
      <c r="N370" s="74"/>
      <c r="O370" s="74"/>
      <c r="P370" s="74"/>
      <c r="Q370" s="74"/>
      <c r="R370" s="74"/>
      <c r="S370" s="74"/>
      <c r="T370" s="74"/>
      <c r="U370" s="74"/>
      <c r="V370" s="74"/>
      <c r="W370" s="74"/>
      <c r="X370" s="74"/>
      <c r="Y370" s="74"/>
      <c r="Z370" s="74"/>
      <c r="AA370" s="74"/>
      <c r="AB370" s="74"/>
    </row>
    <row r="371" spans="1:28" ht="12" customHeight="1">
      <c r="A371" s="260"/>
      <c r="B371" s="104"/>
      <c r="C371" s="104"/>
      <c r="D371" s="260"/>
      <c r="E371" s="104"/>
      <c r="F371" s="104"/>
      <c r="G371" s="35"/>
      <c r="H371" s="104"/>
      <c r="I371" s="35"/>
      <c r="J371" s="74"/>
      <c r="K371" s="74"/>
      <c r="L371" s="74"/>
      <c r="M371" s="74"/>
      <c r="N371" s="74"/>
      <c r="O371" s="74"/>
      <c r="P371" s="74"/>
      <c r="Q371" s="74"/>
      <c r="R371" s="74"/>
      <c r="S371" s="74"/>
      <c r="T371" s="74"/>
      <c r="U371" s="74"/>
      <c r="V371" s="74"/>
      <c r="W371" s="74"/>
      <c r="X371" s="74"/>
      <c r="Y371" s="74"/>
      <c r="Z371" s="74"/>
      <c r="AA371" s="74"/>
      <c r="AB371" s="74"/>
    </row>
    <row r="372" spans="1:28" ht="12" customHeight="1">
      <c r="A372" s="260"/>
      <c r="B372" s="104"/>
      <c r="C372" s="104"/>
      <c r="D372" s="260"/>
      <c r="E372" s="104"/>
      <c r="F372" s="104"/>
      <c r="G372" s="35"/>
      <c r="H372" s="104"/>
      <c r="I372" s="35"/>
      <c r="J372" s="74"/>
      <c r="K372" s="74"/>
      <c r="L372" s="74"/>
      <c r="M372" s="74"/>
      <c r="N372" s="74"/>
      <c r="O372" s="74"/>
      <c r="P372" s="74"/>
      <c r="Q372" s="74"/>
      <c r="R372" s="74"/>
      <c r="S372" s="74"/>
      <c r="T372" s="74"/>
      <c r="U372" s="74"/>
      <c r="V372" s="74"/>
      <c r="W372" s="74"/>
      <c r="X372" s="74"/>
      <c r="Y372" s="74"/>
      <c r="Z372" s="74"/>
      <c r="AA372" s="74"/>
      <c r="AB372" s="74"/>
    </row>
    <row r="373" spans="1:28" ht="12" customHeight="1">
      <c r="A373" s="260"/>
      <c r="B373" s="104"/>
      <c r="C373" s="104"/>
      <c r="D373" s="260"/>
      <c r="E373" s="104"/>
      <c r="F373" s="104"/>
      <c r="G373" s="35"/>
      <c r="H373" s="104"/>
      <c r="I373" s="35"/>
      <c r="J373" s="74"/>
      <c r="K373" s="74"/>
      <c r="L373" s="74"/>
      <c r="M373" s="74"/>
      <c r="N373" s="74"/>
      <c r="O373" s="74"/>
      <c r="P373" s="74"/>
      <c r="Q373" s="74"/>
      <c r="R373" s="74"/>
      <c r="S373" s="74"/>
      <c r="T373" s="74"/>
      <c r="U373" s="74"/>
      <c r="V373" s="74"/>
      <c r="W373" s="74"/>
      <c r="X373" s="74"/>
      <c r="Y373" s="74"/>
      <c r="Z373" s="74"/>
      <c r="AA373" s="74"/>
      <c r="AB373" s="74"/>
    </row>
    <row r="374" spans="1:28" ht="12" customHeight="1">
      <c r="A374" s="260"/>
      <c r="B374" s="104"/>
      <c r="C374" s="104"/>
      <c r="D374" s="260"/>
      <c r="E374" s="104"/>
      <c r="F374" s="104"/>
      <c r="G374" s="35"/>
      <c r="H374" s="104"/>
      <c r="I374" s="35"/>
      <c r="J374" s="74"/>
      <c r="K374" s="74"/>
      <c r="L374" s="74"/>
      <c r="M374" s="74"/>
      <c r="N374" s="74"/>
      <c r="O374" s="74"/>
      <c r="P374" s="74"/>
      <c r="Q374" s="74"/>
      <c r="R374" s="74"/>
      <c r="S374" s="74"/>
      <c r="T374" s="74"/>
      <c r="U374" s="74"/>
      <c r="V374" s="74"/>
      <c r="W374" s="74"/>
      <c r="X374" s="74"/>
      <c r="Y374" s="74"/>
      <c r="Z374" s="74"/>
      <c r="AA374" s="74"/>
      <c r="AB374" s="74"/>
    </row>
    <row r="375" spans="1:28" ht="12" customHeight="1">
      <c r="A375" s="260"/>
      <c r="B375" s="104"/>
      <c r="C375" s="104"/>
      <c r="D375" s="260"/>
      <c r="E375" s="104"/>
      <c r="F375" s="104"/>
      <c r="G375" s="35"/>
      <c r="H375" s="104"/>
      <c r="I375" s="35"/>
      <c r="J375" s="74"/>
      <c r="K375" s="74"/>
      <c r="L375" s="74"/>
      <c r="M375" s="74"/>
      <c r="N375" s="74"/>
      <c r="O375" s="74"/>
      <c r="P375" s="74"/>
      <c r="Q375" s="74"/>
      <c r="R375" s="74"/>
      <c r="S375" s="74"/>
      <c r="T375" s="74"/>
      <c r="U375" s="74"/>
      <c r="V375" s="74"/>
      <c r="W375" s="74"/>
      <c r="X375" s="74"/>
      <c r="Y375" s="74"/>
      <c r="Z375" s="74"/>
      <c r="AA375" s="74"/>
      <c r="AB375" s="74"/>
    </row>
    <row r="376" spans="1:28" ht="12" customHeight="1">
      <c r="A376" s="260"/>
      <c r="B376" s="104"/>
      <c r="C376" s="104"/>
      <c r="D376" s="260"/>
      <c r="E376" s="104"/>
      <c r="F376" s="104"/>
      <c r="G376" s="35"/>
      <c r="H376" s="104"/>
      <c r="I376" s="35"/>
      <c r="J376" s="74"/>
      <c r="K376" s="74"/>
      <c r="L376" s="74"/>
      <c r="M376" s="74"/>
      <c r="N376" s="74"/>
      <c r="O376" s="74"/>
      <c r="P376" s="74"/>
      <c r="Q376" s="74"/>
      <c r="R376" s="74"/>
      <c r="S376" s="74"/>
      <c r="T376" s="74"/>
      <c r="U376" s="74"/>
      <c r="V376" s="74"/>
      <c r="W376" s="74"/>
      <c r="X376" s="74"/>
      <c r="Y376" s="74"/>
      <c r="Z376" s="74"/>
      <c r="AA376" s="74"/>
      <c r="AB376" s="74"/>
    </row>
    <row r="377" spans="1:28" ht="12" customHeight="1">
      <c r="A377" s="260"/>
      <c r="B377" s="104"/>
      <c r="C377" s="104"/>
      <c r="D377" s="260"/>
      <c r="E377" s="104"/>
      <c r="F377" s="104"/>
      <c r="G377" s="35"/>
      <c r="H377" s="104"/>
      <c r="I377" s="35"/>
      <c r="J377" s="74"/>
      <c r="K377" s="74"/>
      <c r="L377" s="74"/>
      <c r="M377" s="74"/>
      <c r="N377" s="74"/>
      <c r="O377" s="74"/>
      <c r="P377" s="74"/>
      <c r="Q377" s="74"/>
      <c r="R377" s="74"/>
      <c r="S377" s="74"/>
      <c r="T377" s="74"/>
      <c r="U377" s="74"/>
      <c r="V377" s="74"/>
      <c r="W377" s="74"/>
      <c r="X377" s="74"/>
      <c r="Y377" s="74"/>
      <c r="Z377" s="74"/>
      <c r="AA377" s="74"/>
      <c r="AB377" s="74"/>
    </row>
    <row r="378" spans="1:28" ht="12" customHeight="1">
      <c r="A378" s="260"/>
      <c r="B378" s="104"/>
      <c r="C378" s="104"/>
      <c r="D378" s="260"/>
      <c r="E378" s="104"/>
      <c r="F378" s="104"/>
      <c r="G378" s="35"/>
      <c r="H378" s="104"/>
      <c r="I378" s="35"/>
      <c r="J378" s="74"/>
      <c r="K378" s="74"/>
      <c r="L378" s="74"/>
      <c r="M378" s="74"/>
      <c r="N378" s="74"/>
      <c r="O378" s="74"/>
      <c r="P378" s="74"/>
      <c r="Q378" s="74"/>
      <c r="R378" s="74"/>
      <c r="S378" s="74"/>
      <c r="T378" s="74"/>
      <c r="U378" s="74"/>
      <c r="V378" s="74"/>
      <c r="W378" s="74"/>
      <c r="X378" s="74"/>
      <c r="Y378" s="74"/>
      <c r="Z378" s="74"/>
      <c r="AA378" s="74"/>
      <c r="AB378" s="74"/>
    </row>
    <row r="379" spans="1:28" ht="12" customHeight="1">
      <c r="A379" s="260"/>
      <c r="B379" s="104"/>
      <c r="C379" s="104"/>
      <c r="D379" s="260"/>
      <c r="E379" s="104"/>
      <c r="F379" s="104"/>
      <c r="G379" s="35"/>
      <c r="H379" s="104"/>
      <c r="I379" s="35"/>
      <c r="J379" s="74"/>
      <c r="K379" s="74"/>
      <c r="L379" s="74"/>
      <c r="M379" s="74"/>
      <c r="N379" s="74"/>
      <c r="O379" s="74"/>
      <c r="P379" s="74"/>
      <c r="Q379" s="74"/>
      <c r="R379" s="74"/>
      <c r="S379" s="74"/>
      <c r="T379" s="74"/>
      <c r="U379" s="74"/>
      <c r="V379" s="74"/>
      <c r="W379" s="74"/>
      <c r="X379" s="74"/>
      <c r="Y379" s="74"/>
      <c r="Z379" s="74"/>
      <c r="AA379" s="74"/>
      <c r="AB379" s="74"/>
    </row>
    <row r="380" spans="1:28" ht="12" customHeight="1">
      <c r="A380" s="260"/>
      <c r="B380" s="104"/>
      <c r="C380" s="104"/>
      <c r="D380" s="260"/>
      <c r="E380" s="104"/>
      <c r="F380" s="104"/>
      <c r="G380" s="35"/>
      <c r="H380" s="104"/>
      <c r="I380" s="35"/>
      <c r="J380" s="74"/>
      <c r="K380" s="74"/>
      <c r="L380" s="74"/>
      <c r="M380" s="74"/>
      <c r="N380" s="74"/>
      <c r="O380" s="74"/>
      <c r="P380" s="74"/>
      <c r="Q380" s="74"/>
      <c r="R380" s="74"/>
      <c r="S380" s="74"/>
      <c r="T380" s="74"/>
      <c r="U380" s="74"/>
      <c r="V380" s="74"/>
      <c r="W380" s="74"/>
      <c r="X380" s="74"/>
      <c r="Y380" s="74"/>
      <c r="Z380" s="74"/>
      <c r="AA380" s="74"/>
      <c r="AB380" s="74"/>
    </row>
    <row r="381" spans="1:28" ht="12" customHeight="1">
      <c r="A381" s="260"/>
      <c r="B381" s="104"/>
      <c r="C381" s="104"/>
      <c r="D381" s="260"/>
      <c r="E381" s="104"/>
      <c r="F381" s="104"/>
      <c r="G381" s="35"/>
      <c r="H381" s="104"/>
      <c r="I381" s="35"/>
      <c r="J381" s="74"/>
      <c r="K381" s="74"/>
      <c r="L381" s="74"/>
      <c r="M381" s="74"/>
      <c r="N381" s="74"/>
      <c r="O381" s="74"/>
      <c r="P381" s="74"/>
      <c r="Q381" s="74"/>
      <c r="R381" s="74"/>
      <c r="S381" s="74"/>
      <c r="T381" s="74"/>
      <c r="U381" s="74"/>
      <c r="V381" s="74"/>
      <c r="W381" s="74"/>
      <c r="X381" s="74"/>
      <c r="Y381" s="74"/>
      <c r="Z381" s="74"/>
      <c r="AA381" s="74"/>
      <c r="AB381" s="74"/>
    </row>
    <row r="382" spans="1:28" ht="12" customHeight="1">
      <c r="A382" s="260"/>
      <c r="B382" s="104"/>
      <c r="C382" s="104"/>
      <c r="D382" s="260"/>
      <c r="E382" s="104"/>
      <c r="F382" s="104"/>
      <c r="G382" s="35"/>
      <c r="H382" s="104"/>
      <c r="I382" s="35"/>
      <c r="J382" s="74"/>
      <c r="K382" s="74"/>
      <c r="L382" s="74"/>
      <c r="M382" s="74"/>
      <c r="N382" s="74"/>
      <c r="O382" s="74"/>
      <c r="P382" s="74"/>
      <c r="Q382" s="74"/>
      <c r="R382" s="74"/>
      <c r="S382" s="74"/>
      <c r="T382" s="74"/>
      <c r="U382" s="74"/>
      <c r="V382" s="74"/>
      <c r="W382" s="74"/>
      <c r="X382" s="74"/>
      <c r="Y382" s="74"/>
      <c r="Z382" s="74"/>
      <c r="AA382" s="74"/>
      <c r="AB382" s="74"/>
    </row>
    <row r="383" spans="1:28" ht="12" customHeight="1">
      <c r="A383" s="260"/>
      <c r="B383" s="104"/>
      <c r="C383" s="104"/>
      <c r="D383" s="260"/>
      <c r="E383" s="104"/>
      <c r="F383" s="104"/>
      <c r="G383" s="35"/>
      <c r="H383" s="104"/>
      <c r="I383" s="35"/>
      <c r="J383" s="74"/>
      <c r="K383" s="74"/>
      <c r="L383" s="74"/>
      <c r="M383" s="74"/>
      <c r="N383" s="74"/>
      <c r="O383" s="74"/>
      <c r="P383" s="74"/>
      <c r="Q383" s="74"/>
      <c r="R383" s="74"/>
      <c r="S383" s="74"/>
      <c r="T383" s="74"/>
      <c r="U383" s="74"/>
      <c r="V383" s="74"/>
      <c r="W383" s="74"/>
      <c r="X383" s="74"/>
      <c r="Y383" s="74"/>
      <c r="Z383" s="74"/>
      <c r="AA383" s="74"/>
      <c r="AB383" s="74"/>
    </row>
    <row r="384" spans="1:28" ht="12" customHeight="1">
      <c r="A384" s="260"/>
      <c r="B384" s="104"/>
      <c r="C384" s="104"/>
      <c r="D384" s="260"/>
      <c r="E384" s="104"/>
      <c r="F384" s="104"/>
      <c r="G384" s="35"/>
      <c r="H384" s="104"/>
      <c r="I384" s="35"/>
      <c r="J384" s="74"/>
      <c r="K384" s="74"/>
      <c r="L384" s="74"/>
      <c r="M384" s="74"/>
      <c r="N384" s="74"/>
      <c r="O384" s="74"/>
      <c r="P384" s="74"/>
      <c r="Q384" s="74"/>
      <c r="R384" s="74"/>
      <c r="S384" s="74"/>
      <c r="T384" s="74"/>
      <c r="U384" s="74"/>
      <c r="V384" s="74"/>
      <c r="W384" s="74"/>
      <c r="X384" s="74"/>
      <c r="Y384" s="74"/>
      <c r="Z384" s="74"/>
      <c r="AA384" s="74"/>
      <c r="AB384" s="74"/>
    </row>
    <row r="385" spans="1:28" ht="12" customHeight="1">
      <c r="A385" s="260"/>
      <c r="B385" s="104"/>
      <c r="C385" s="104"/>
      <c r="D385" s="260"/>
      <c r="E385" s="104"/>
      <c r="F385" s="104"/>
      <c r="G385" s="35"/>
      <c r="H385" s="104"/>
      <c r="I385" s="35"/>
      <c r="J385" s="74"/>
      <c r="K385" s="74"/>
      <c r="L385" s="74"/>
      <c r="M385" s="74"/>
      <c r="N385" s="74"/>
      <c r="O385" s="74"/>
      <c r="P385" s="74"/>
      <c r="Q385" s="74"/>
      <c r="R385" s="74"/>
      <c r="S385" s="74"/>
      <c r="T385" s="74"/>
      <c r="U385" s="74"/>
      <c r="V385" s="74"/>
      <c r="W385" s="74"/>
      <c r="X385" s="74"/>
      <c r="Y385" s="74"/>
      <c r="Z385" s="74"/>
      <c r="AA385" s="74"/>
      <c r="AB385" s="74"/>
    </row>
    <row r="386" spans="1:28" ht="12" customHeight="1">
      <c r="A386" s="260"/>
      <c r="B386" s="104"/>
      <c r="C386" s="104"/>
      <c r="D386" s="260"/>
      <c r="E386" s="104"/>
      <c r="F386" s="104"/>
      <c r="G386" s="35"/>
      <c r="H386" s="104"/>
      <c r="I386" s="35"/>
      <c r="J386" s="74"/>
      <c r="K386" s="74"/>
      <c r="L386" s="74"/>
      <c r="M386" s="74"/>
      <c r="N386" s="74"/>
      <c r="O386" s="74"/>
      <c r="P386" s="74"/>
      <c r="Q386" s="74"/>
      <c r="R386" s="74"/>
      <c r="S386" s="74"/>
      <c r="T386" s="74"/>
      <c r="U386" s="74"/>
      <c r="V386" s="74"/>
      <c r="W386" s="74"/>
      <c r="X386" s="74"/>
      <c r="Y386" s="74"/>
      <c r="Z386" s="74"/>
      <c r="AA386" s="74"/>
      <c r="AB386" s="74"/>
    </row>
    <row r="387" spans="1:28" ht="12" customHeight="1">
      <c r="A387" s="260"/>
      <c r="B387" s="104"/>
      <c r="C387" s="104"/>
      <c r="D387" s="260"/>
      <c r="E387" s="104"/>
      <c r="F387" s="104"/>
      <c r="G387" s="35"/>
      <c r="H387" s="104"/>
      <c r="I387" s="35"/>
      <c r="J387" s="74"/>
      <c r="K387" s="74"/>
      <c r="L387" s="74"/>
      <c r="M387" s="74"/>
      <c r="N387" s="74"/>
      <c r="O387" s="74"/>
      <c r="P387" s="74"/>
      <c r="Q387" s="74"/>
      <c r="R387" s="74"/>
      <c r="S387" s="74"/>
      <c r="T387" s="74"/>
      <c r="U387" s="74"/>
      <c r="V387" s="74"/>
      <c r="W387" s="74"/>
      <c r="X387" s="74"/>
      <c r="Y387" s="74"/>
      <c r="Z387" s="74"/>
      <c r="AA387" s="74"/>
      <c r="AB387" s="74"/>
    </row>
    <row r="388" spans="1:28" ht="12" customHeight="1">
      <c r="A388" s="260"/>
      <c r="B388" s="104"/>
      <c r="C388" s="104"/>
      <c r="D388" s="260"/>
      <c r="E388" s="104"/>
      <c r="F388" s="104"/>
      <c r="G388" s="35"/>
      <c r="H388" s="104"/>
      <c r="I388" s="35"/>
      <c r="J388" s="74"/>
      <c r="K388" s="74"/>
      <c r="L388" s="74"/>
      <c r="M388" s="74"/>
      <c r="N388" s="74"/>
      <c r="O388" s="74"/>
      <c r="P388" s="74"/>
      <c r="Q388" s="74"/>
      <c r="R388" s="74"/>
      <c r="S388" s="74"/>
      <c r="T388" s="74"/>
      <c r="U388" s="74"/>
      <c r="V388" s="74"/>
      <c r="W388" s="74"/>
      <c r="X388" s="74"/>
      <c r="Y388" s="74"/>
      <c r="Z388" s="74"/>
      <c r="AA388" s="74"/>
      <c r="AB388" s="74"/>
    </row>
    <row r="389" spans="1:28" ht="12" customHeight="1">
      <c r="A389" s="260"/>
      <c r="B389" s="104"/>
      <c r="C389" s="104"/>
      <c r="D389" s="260"/>
      <c r="E389" s="104"/>
      <c r="F389" s="104"/>
      <c r="G389" s="35"/>
      <c r="H389" s="104"/>
      <c r="I389" s="35"/>
      <c r="J389" s="74"/>
      <c r="K389" s="74"/>
      <c r="L389" s="74"/>
      <c r="M389" s="74"/>
      <c r="N389" s="74"/>
      <c r="O389" s="74"/>
      <c r="P389" s="74"/>
      <c r="Q389" s="74"/>
      <c r="R389" s="74"/>
      <c r="S389" s="74"/>
      <c r="T389" s="74"/>
      <c r="U389" s="74"/>
      <c r="V389" s="74"/>
      <c r="W389" s="74"/>
      <c r="X389" s="74"/>
      <c r="Y389" s="74"/>
      <c r="Z389" s="74"/>
      <c r="AA389" s="74"/>
      <c r="AB389" s="74"/>
    </row>
    <row r="390" spans="1:28" ht="12" customHeight="1">
      <c r="A390" s="260"/>
      <c r="B390" s="104"/>
      <c r="C390" s="104"/>
      <c r="D390" s="260"/>
      <c r="E390" s="104"/>
      <c r="F390" s="104"/>
      <c r="G390" s="35"/>
      <c r="H390" s="104"/>
      <c r="I390" s="35"/>
      <c r="J390" s="74"/>
      <c r="K390" s="74"/>
      <c r="L390" s="74"/>
      <c r="M390" s="74"/>
      <c r="N390" s="74"/>
      <c r="O390" s="74"/>
      <c r="P390" s="74"/>
      <c r="Q390" s="74"/>
      <c r="R390" s="74"/>
      <c r="S390" s="74"/>
      <c r="T390" s="74"/>
      <c r="U390" s="74"/>
      <c r="V390" s="74"/>
      <c r="W390" s="74"/>
      <c r="X390" s="74"/>
      <c r="Y390" s="74"/>
      <c r="Z390" s="74"/>
      <c r="AA390" s="74"/>
      <c r="AB390" s="74"/>
    </row>
    <row r="391" spans="1:28" ht="12" customHeight="1">
      <c r="A391" s="260"/>
      <c r="B391" s="104"/>
      <c r="C391" s="104"/>
      <c r="D391" s="260"/>
      <c r="E391" s="104"/>
      <c r="F391" s="104"/>
      <c r="G391" s="35"/>
      <c r="H391" s="104"/>
      <c r="I391" s="35"/>
      <c r="J391" s="74"/>
      <c r="K391" s="74"/>
      <c r="L391" s="74"/>
      <c r="M391" s="74"/>
      <c r="N391" s="74"/>
      <c r="O391" s="74"/>
      <c r="P391" s="74"/>
      <c r="Q391" s="74"/>
      <c r="R391" s="74"/>
      <c r="S391" s="74"/>
      <c r="T391" s="74"/>
      <c r="U391" s="74"/>
      <c r="V391" s="74"/>
      <c r="W391" s="74"/>
      <c r="X391" s="74"/>
      <c r="Y391" s="74"/>
      <c r="Z391" s="74"/>
      <c r="AA391" s="74"/>
      <c r="AB391" s="74"/>
    </row>
    <row r="392" spans="1:28" ht="12" customHeight="1">
      <c r="A392" s="260"/>
      <c r="B392" s="104"/>
      <c r="C392" s="104"/>
      <c r="D392" s="260"/>
      <c r="E392" s="104"/>
      <c r="F392" s="104"/>
      <c r="G392" s="35"/>
      <c r="H392" s="104"/>
      <c r="I392" s="35"/>
      <c r="J392" s="74"/>
      <c r="K392" s="74"/>
      <c r="L392" s="74"/>
      <c r="M392" s="74"/>
      <c r="N392" s="74"/>
      <c r="O392" s="74"/>
      <c r="P392" s="74"/>
      <c r="Q392" s="74"/>
      <c r="R392" s="74"/>
      <c r="S392" s="74"/>
      <c r="T392" s="74"/>
      <c r="U392" s="74"/>
      <c r="V392" s="74"/>
      <c r="W392" s="74"/>
      <c r="X392" s="74"/>
      <c r="Y392" s="74"/>
      <c r="Z392" s="74"/>
      <c r="AA392" s="74"/>
      <c r="AB392" s="74"/>
    </row>
    <row r="393" spans="1:28" ht="12" customHeight="1">
      <c r="A393" s="260"/>
      <c r="B393" s="104"/>
      <c r="C393" s="104"/>
      <c r="D393" s="260"/>
      <c r="E393" s="104"/>
      <c r="F393" s="104"/>
      <c r="G393" s="35"/>
      <c r="H393" s="104"/>
      <c r="I393" s="35"/>
      <c r="J393" s="74"/>
      <c r="K393" s="74"/>
      <c r="L393" s="74"/>
      <c r="M393" s="74"/>
      <c r="N393" s="74"/>
      <c r="O393" s="74"/>
      <c r="P393" s="74"/>
      <c r="Q393" s="74"/>
      <c r="R393" s="74"/>
      <c r="S393" s="74"/>
      <c r="T393" s="74"/>
      <c r="U393" s="74"/>
      <c r="V393" s="74"/>
      <c r="W393" s="74"/>
      <c r="X393" s="74"/>
      <c r="Y393" s="74"/>
      <c r="Z393" s="74"/>
      <c r="AA393" s="74"/>
      <c r="AB393" s="74"/>
    </row>
    <row r="394" spans="1:28" ht="12" customHeight="1">
      <c r="A394" s="260"/>
      <c r="B394" s="104"/>
      <c r="C394" s="104"/>
      <c r="D394" s="260"/>
      <c r="E394" s="104"/>
      <c r="F394" s="104"/>
      <c r="G394" s="35"/>
      <c r="H394" s="104"/>
      <c r="I394" s="35"/>
      <c r="J394" s="74"/>
      <c r="K394" s="74"/>
      <c r="L394" s="74"/>
      <c r="M394" s="74"/>
      <c r="N394" s="74"/>
      <c r="O394" s="74"/>
      <c r="P394" s="74"/>
      <c r="Q394" s="74"/>
      <c r="R394" s="74"/>
      <c r="S394" s="74"/>
      <c r="T394" s="74"/>
      <c r="U394" s="74"/>
      <c r="V394" s="74"/>
      <c r="W394" s="74"/>
      <c r="X394" s="74"/>
      <c r="Y394" s="74"/>
      <c r="Z394" s="74"/>
      <c r="AA394" s="74"/>
      <c r="AB394" s="74"/>
    </row>
    <row r="395" spans="1:28" ht="12" customHeight="1">
      <c r="A395" s="260"/>
      <c r="B395" s="104"/>
      <c r="C395" s="104"/>
      <c r="D395" s="260"/>
      <c r="E395" s="104"/>
      <c r="F395" s="104"/>
      <c r="G395" s="35"/>
      <c r="H395" s="104"/>
      <c r="I395" s="35"/>
      <c r="J395" s="74"/>
      <c r="K395" s="74"/>
      <c r="L395" s="74"/>
      <c r="M395" s="74"/>
      <c r="N395" s="74"/>
      <c r="O395" s="74"/>
      <c r="P395" s="74"/>
      <c r="Q395" s="74"/>
      <c r="R395" s="74"/>
      <c r="S395" s="74"/>
      <c r="T395" s="74"/>
      <c r="U395" s="74"/>
      <c r="V395" s="74"/>
      <c r="W395" s="74"/>
      <c r="X395" s="74"/>
      <c r="Y395" s="74"/>
      <c r="Z395" s="74"/>
      <c r="AA395" s="74"/>
      <c r="AB395" s="74"/>
    </row>
    <row r="396" spans="1:28" ht="12" customHeight="1">
      <c r="A396" s="260"/>
      <c r="B396" s="104"/>
      <c r="C396" s="104"/>
      <c r="D396" s="260"/>
      <c r="E396" s="104"/>
      <c r="F396" s="104"/>
      <c r="G396" s="35"/>
      <c r="H396" s="104"/>
      <c r="I396" s="35"/>
      <c r="J396" s="74"/>
      <c r="K396" s="74"/>
      <c r="L396" s="74"/>
      <c r="M396" s="74"/>
      <c r="N396" s="74"/>
      <c r="O396" s="74"/>
      <c r="P396" s="74"/>
      <c r="Q396" s="74"/>
      <c r="R396" s="74"/>
      <c r="S396" s="74"/>
      <c r="T396" s="74"/>
      <c r="U396" s="74"/>
      <c r="V396" s="74"/>
      <c r="W396" s="74"/>
      <c r="X396" s="74"/>
      <c r="Y396" s="74"/>
      <c r="Z396" s="74"/>
      <c r="AA396" s="74"/>
      <c r="AB396" s="74"/>
    </row>
    <row r="397" spans="1:28" ht="12" customHeight="1">
      <c r="A397" s="260"/>
      <c r="B397" s="104"/>
      <c r="C397" s="104"/>
      <c r="D397" s="260"/>
      <c r="E397" s="104"/>
      <c r="F397" s="104"/>
      <c r="G397" s="35"/>
      <c r="H397" s="104"/>
      <c r="I397" s="35"/>
      <c r="J397" s="74"/>
      <c r="K397" s="74"/>
      <c r="L397" s="74"/>
      <c r="M397" s="74"/>
      <c r="N397" s="74"/>
      <c r="O397" s="74"/>
      <c r="P397" s="74"/>
      <c r="Q397" s="74"/>
      <c r="R397" s="74"/>
      <c r="S397" s="74"/>
      <c r="T397" s="74"/>
      <c r="U397" s="74"/>
      <c r="V397" s="74"/>
      <c r="W397" s="74"/>
      <c r="X397" s="74"/>
      <c r="Y397" s="74"/>
      <c r="Z397" s="74"/>
      <c r="AA397" s="74"/>
      <c r="AB397" s="74"/>
    </row>
    <row r="398" spans="1:28" ht="12" customHeight="1">
      <c r="A398" s="260"/>
      <c r="B398" s="104"/>
      <c r="C398" s="104"/>
      <c r="D398" s="260"/>
      <c r="E398" s="104"/>
      <c r="F398" s="104"/>
      <c r="G398" s="35"/>
      <c r="H398" s="104"/>
      <c r="I398" s="35"/>
      <c r="J398" s="74"/>
      <c r="K398" s="74"/>
      <c r="L398" s="74"/>
      <c r="M398" s="74"/>
      <c r="N398" s="74"/>
      <c r="O398" s="74"/>
      <c r="P398" s="74"/>
      <c r="Q398" s="74"/>
      <c r="R398" s="74"/>
      <c r="S398" s="74"/>
      <c r="T398" s="74"/>
      <c r="U398" s="74"/>
      <c r="V398" s="74"/>
      <c r="W398" s="74"/>
      <c r="X398" s="74"/>
      <c r="Y398" s="74"/>
      <c r="Z398" s="74"/>
      <c r="AA398" s="74"/>
      <c r="AB398" s="74"/>
    </row>
    <row r="399" spans="1:28" ht="12" customHeight="1">
      <c r="A399" s="260"/>
      <c r="B399" s="104"/>
      <c r="C399" s="104"/>
      <c r="D399" s="260"/>
      <c r="E399" s="104"/>
      <c r="F399" s="104"/>
      <c r="G399" s="35"/>
      <c r="H399" s="104"/>
      <c r="I399" s="35"/>
      <c r="J399" s="74"/>
      <c r="K399" s="74"/>
      <c r="L399" s="74"/>
      <c r="M399" s="74"/>
      <c r="N399" s="74"/>
      <c r="O399" s="74"/>
      <c r="P399" s="74"/>
      <c r="Q399" s="74"/>
      <c r="R399" s="74"/>
      <c r="S399" s="74"/>
      <c r="T399" s="74"/>
      <c r="U399" s="74"/>
      <c r="V399" s="74"/>
      <c r="W399" s="74"/>
      <c r="X399" s="74"/>
      <c r="Y399" s="74"/>
      <c r="Z399" s="74"/>
      <c r="AA399" s="74"/>
      <c r="AB399" s="74"/>
    </row>
    <row r="400" spans="1:28" ht="12" customHeight="1">
      <c r="A400" s="260"/>
      <c r="B400" s="104"/>
      <c r="C400" s="104"/>
      <c r="D400" s="260"/>
      <c r="E400" s="104"/>
      <c r="F400" s="104"/>
      <c r="G400" s="35"/>
      <c r="H400" s="104"/>
      <c r="I400" s="35"/>
      <c r="J400" s="74"/>
      <c r="K400" s="74"/>
      <c r="L400" s="74"/>
      <c r="M400" s="74"/>
      <c r="N400" s="74"/>
      <c r="O400" s="74"/>
      <c r="P400" s="74"/>
      <c r="Q400" s="74"/>
      <c r="R400" s="74"/>
      <c r="S400" s="74"/>
      <c r="T400" s="74"/>
      <c r="U400" s="74"/>
      <c r="V400" s="74"/>
      <c r="W400" s="74"/>
      <c r="X400" s="74"/>
      <c r="Y400" s="74"/>
      <c r="Z400" s="74"/>
      <c r="AA400" s="74"/>
      <c r="AB400" s="74"/>
    </row>
    <row r="401" spans="1:28" ht="12" customHeight="1">
      <c r="A401" s="260"/>
      <c r="B401" s="104"/>
      <c r="C401" s="104"/>
      <c r="D401" s="260"/>
      <c r="E401" s="104"/>
      <c r="F401" s="104"/>
      <c r="G401" s="35"/>
      <c r="H401" s="104"/>
      <c r="I401" s="35"/>
      <c r="J401" s="74"/>
      <c r="K401" s="74"/>
      <c r="L401" s="74"/>
      <c r="M401" s="74"/>
      <c r="N401" s="74"/>
      <c r="O401" s="74"/>
      <c r="P401" s="74"/>
      <c r="Q401" s="74"/>
      <c r="R401" s="74"/>
      <c r="S401" s="74"/>
      <c r="T401" s="74"/>
      <c r="U401" s="74"/>
      <c r="V401" s="74"/>
      <c r="W401" s="74"/>
      <c r="X401" s="74"/>
      <c r="Y401" s="74"/>
      <c r="Z401" s="74"/>
      <c r="AA401" s="74"/>
      <c r="AB401" s="74"/>
    </row>
    <row r="402" spans="1:28" ht="12" customHeight="1">
      <c r="A402" s="260"/>
      <c r="B402" s="104"/>
      <c r="C402" s="104"/>
      <c r="D402" s="260"/>
      <c r="E402" s="104"/>
      <c r="F402" s="104"/>
      <c r="G402" s="35"/>
      <c r="H402" s="104"/>
      <c r="I402" s="35"/>
      <c r="J402" s="74"/>
      <c r="K402" s="74"/>
      <c r="L402" s="74"/>
      <c r="M402" s="74"/>
      <c r="N402" s="74"/>
      <c r="O402" s="74"/>
      <c r="P402" s="74"/>
      <c r="Q402" s="74"/>
      <c r="R402" s="74"/>
      <c r="S402" s="74"/>
      <c r="T402" s="74"/>
      <c r="U402" s="74"/>
      <c r="V402" s="74"/>
      <c r="W402" s="74"/>
      <c r="X402" s="74"/>
      <c r="Y402" s="74"/>
      <c r="Z402" s="74"/>
      <c r="AA402" s="74"/>
      <c r="AB402" s="74"/>
    </row>
    <row r="403" spans="1:28" ht="12" customHeight="1">
      <c r="A403" s="260"/>
      <c r="B403" s="104"/>
      <c r="C403" s="104"/>
      <c r="D403" s="260"/>
      <c r="E403" s="104"/>
      <c r="F403" s="104"/>
      <c r="G403" s="35"/>
      <c r="H403" s="104"/>
      <c r="I403" s="35"/>
      <c r="J403" s="74"/>
      <c r="K403" s="74"/>
      <c r="L403" s="74"/>
      <c r="M403" s="74"/>
      <c r="N403" s="74"/>
      <c r="O403" s="74"/>
      <c r="P403" s="74"/>
      <c r="Q403" s="74"/>
      <c r="R403" s="74"/>
      <c r="S403" s="74"/>
      <c r="T403" s="74"/>
      <c r="U403" s="74"/>
      <c r="V403" s="74"/>
      <c r="W403" s="74"/>
      <c r="X403" s="74"/>
      <c r="Y403" s="74"/>
      <c r="Z403" s="74"/>
      <c r="AA403" s="74"/>
      <c r="AB403" s="74"/>
    </row>
    <row r="404" spans="1:28" ht="12" customHeight="1">
      <c r="A404" s="260"/>
      <c r="B404" s="104"/>
      <c r="C404" s="104"/>
      <c r="D404" s="260"/>
      <c r="E404" s="104"/>
      <c r="F404" s="104"/>
      <c r="G404" s="35"/>
      <c r="H404" s="104"/>
      <c r="I404" s="35"/>
      <c r="J404" s="74"/>
      <c r="K404" s="74"/>
      <c r="L404" s="74"/>
      <c r="M404" s="74"/>
      <c r="N404" s="74"/>
      <c r="O404" s="74"/>
      <c r="P404" s="74"/>
      <c r="Q404" s="74"/>
      <c r="R404" s="74"/>
      <c r="S404" s="74"/>
      <c r="T404" s="74"/>
      <c r="U404" s="74"/>
      <c r="V404" s="74"/>
      <c r="W404" s="74"/>
      <c r="X404" s="74"/>
      <c r="Y404" s="74"/>
      <c r="Z404" s="74"/>
      <c r="AA404" s="74"/>
      <c r="AB404" s="74"/>
    </row>
    <row r="405" spans="1:28" ht="12" customHeight="1">
      <c r="A405" s="260"/>
      <c r="B405" s="104"/>
      <c r="C405" s="104"/>
      <c r="D405" s="260"/>
      <c r="E405" s="104"/>
      <c r="F405" s="104"/>
      <c r="G405" s="35"/>
      <c r="H405" s="104"/>
      <c r="I405" s="35"/>
      <c r="J405" s="74"/>
      <c r="K405" s="74"/>
      <c r="L405" s="74"/>
      <c r="M405" s="74"/>
      <c r="N405" s="74"/>
      <c r="O405" s="74"/>
      <c r="P405" s="74"/>
      <c r="Q405" s="74"/>
      <c r="R405" s="74"/>
      <c r="S405" s="74"/>
      <c r="T405" s="74"/>
      <c r="U405" s="74"/>
      <c r="V405" s="74"/>
      <c r="W405" s="74"/>
      <c r="X405" s="74"/>
      <c r="Y405" s="74"/>
      <c r="Z405" s="74"/>
      <c r="AA405" s="74"/>
      <c r="AB405" s="74"/>
    </row>
    <row r="406" spans="1:28" ht="12" customHeight="1">
      <c r="A406" s="260"/>
      <c r="B406" s="104"/>
      <c r="C406" s="104"/>
      <c r="D406" s="260"/>
      <c r="E406" s="104"/>
      <c r="F406" s="104"/>
      <c r="G406" s="35"/>
      <c r="H406" s="104"/>
      <c r="I406" s="35"/>
      <c r="J406" s="74"/>
      <c r="K406" s="74"/>
      <c r="L406" s="74"/>
      <c r="M406" s="74"/>
      <c r="N406" s="74"/>
      <c r="O406" s="74"/>
      <c r="P406" s="74"/>
      <c r="Q406" s="74"/>
      <c r="R406" s="74"/>
      <c r="S406" s="74"/>
      <c r="T406" s="74"/>
      <c r="U406" s="74"/>
      <c r="V406" s="74"/>
      <c r="W406" s="74"/>
      <c r="X406" s="74"/>
      <c r="Y406" s="74"/>
      <c r="Z406" s="74"/>
      <c r="AA406" s="74"/>
      <c r="AB406" s="74"/>
    </row>
    <row r="407" spans="1:28" ht="12" customHeight="1">
      <c r="A407" s="260"/>
      <c r="B407" s="104"/>
      <c r="C407" s="104"/>
      <c r="D407" s="260"/>
      <c r="E407" s="104"/>
      <c r="F407" s="104"/>
      <c r="G407" s="35"/>
      <c r="H407" s="104"/>
      <c r="I407" s="35"/>
      <c r="J407" s="74"/>
      <c r="K407" s="74"/>
      <c r="L407" s="74"/>
      <c r="M407" s="74"/>
      <c r="N407" s="74"/>
      <c r="O407" s="74"/>
      <c r="P407" s="74"/>
      <c r="Q407" s="74"/>
      <c r="R407" s="74"/>
      <c r="S407" s="74"/>
      <c r="T407" s="74"/>
      <c r="U407" s="74"/>
      <c r="V407" s="74"/>
      <c r="W407" s="74"/>
      <c r="X407" s="74"/>
      <c r="Y407" s="74"/>
      <c r="Z407" s="74"/>
      <c r="AA407" s="74"/>
      <c r="AB407" s="74"/>
    </row>
    <row r="408" spans="1:28" ht="12" customHeight="1">
      <c r="A408" s="260"/>
      <c r="B408" s="104"/>
      <c r="C408" s="104"/>
      <c r="D408" s="260"/>
      <c r="E408" s="104"/>
      <c r="F408" s="104"/>
      <c r="G408" s="35"/>
      <c r="H408" s="104"/>
      <c r="I408" s="35"/>
      <c r="J408" s="74"/>
      <c r="K408" s="74"/>
      <c r="L408" s="74"/>
      <c r="M408" s="74"/>
      <c r="N408" s="74"/>
      <c r="O408" s="74"/>
      <c r="P408" s="74"/>
      <c r="Q408" s="74"/>
      <c r="R408" s="74"/>
      <c r="S408" s="74"/>
      <c r="T408" s="74"/>
      <c r="U408" s="74"/>
      <c r="V408" s="74"/>
      <c r="W408" s="74"/>
      <c r="X408" s="74"/>
      <c r="Y408" s="74"/>
      <c r="Z408" s="74"/>
      <c r="AA408" s="74"/>
      <c r="AB408" s="74"/>
    </row>
    <row r="409" spans="1:28" ht="12" customHeight="1">
      <c r="A409" s="260"/>
      <c r="B409" s="104"/>
      <c r="C409" s="104"/>
      <c r="D409" s="260"/>
      <c r="E409" s="104"/>
      <c r="F409" s="104"/>
      <c r="G409" s="35"/>
      <c r="H409" s="104"/>
      <c r="I409" s="35"/>
      <c r="J409" s="74"/>
      <c r="K409" s="74"/>
      <c r="L409" s="74"/>
      <c r="M409" s="74"/>
      <c r="N409" s="74"/>
      <c r="O409" s="74"/>
      <c r="P409" s="74"/>
      <c r="Q409" s="74"/>
      <c r="R409" s="74"/>
      <c r="S409" s="74"/>
      <c r="T409" s="74"/>
      <c r="U409" s="74"/>
      <c r="V409" s="74"/>
      <c r="W409" s="74"/>
      <c r="X409" s="74"/>
      <c r="Y409" s="74"/>
      <c r="Z409" s="74"/>
      <c r="AA409" s="74"/>
      <c r="AB409" s="74"/>
    </row>
    <row r="410" spans="1:28" ht="12" customHeight="1">
      <c r="A410" s="260"/>
      <c r="B410" s="104"/>
      <c r="C410" s="104"/>
      <c r="D410" s="260"/>
      <c r="E410" s="104"/>
      <c r="F410" s="104"/>
      <c r="G410" s="35"/>
      <c r="H410" s="104"/>
      <c r="I410" s="35"/>
      <c r="J410" s="74"/>
      <c r="K410" s="74"/>
      <c r="L410" s="74"/>
      <c r="M410" s="74"/>
      <c r="N410" s="74"/>
      <c r="O410" s="74"/>
      <c r="P410" s="74"/>
      <c r="Q410" s="74"/>
      <c r="R410" s="74"/>
      <c r="S410" s="74"/>
      <c r="T410" s="74"/>
      <c r="U410" s="74"/>
      <c r="V410" s="74"/>
      <c r="W410" s="74"/>
      <c r="X410" s="74"/>
      <c r="Y410" s="74"/>
      <c r="Z410" s="74"/>
      <c r="AA410" s="74"/>
      <c r="AB410" s="74"/>
    </row>
    <row r="411" spans="1:28" ht="12" customHeight="1">
      <c r="A411" s="260"/>
      <c r="B411" s="104"/>
      <c r="C411" s="104"/>
      <c r="D411" s="260"/>
      <c r="E411" s="104"/>
      <c r="F411" s="104"/>
      <c r="G411" s="35"/>
      <c r="H411" s="104"/>
      <c r="I411" s="35"/>
      <c r="J411" s="74"/>
      <c r="K411" s="74"/>
      <c r="L411" s="74"/>
      <c r="M411" s="74"/>
      <c r="N411" s="74"/>
      <c r="O411" s="74"/>
      <c r="P411" s="74"/>
      <c r="Q411" s="74"/>
      <c r="R411" s="74"/>
      <c r="S411" s="74"/>
      <c r="T411" s="74"/>
      <c r="U411" s="74"/>
      <c r="V411" s="74"/>
      <c r="W411" s="74"/>
      <c r="X411" s="74"/>
      <c r="Y411" s="74"/>
      <c r="Z411" s="74"/>
      <c r="AA411" s="74"/>
      <c r="AB411" s="74"/>
    </row>
    <row r="412" spans="1:28" ht="12" customHeight="1">
      <c r="A412" s="260"/>
      <c r="B412" s="104"/>
      <c r="C412" s="104"/>
      <c r="D412" s="260"/>
      <c r="E412" s="104"/>
      <c r="F412" s="104"/>
      <c r="G412" s="35"/>
      <c r="H412" s="104"/>
      <c r="I412" s="35"/>
      <c r="J412" s="74"/>
      <c r="K412" s="74"/>
      <c r="L412" s="74"/>
      <c r="M412" s="74"/>
      <c r="N412" s="74"/>
      <c r="O412" s="74"/>
      <c r="P412" s="74"/>
      <c r="Q412" s="74"/>
      <c r="R412" s="74"/>
      <c r="S412" s="74"/>
      <c r="T412" s="74"/>
      <c r="U412" s="74"/>
      <c r="V412" s="74"/>
      <c r="W412" s="74"/>
      <c r="X412" s="74"/>
      <c r="Y412" s="74"/>
      <c r="Z412" s="74"/>
      <c r="AA412" s="74"/>
      <c r="AB412" s="74"/>
    </row>
    <row r="413" spans="1:28" ht="12" customHeight="1">
      <c r="A413" s="260"/>
      <c r="B413" s="104"/>
      <c r="C413" s="104"/>
      <c r="D413" s="260"/>
      <c r="E413" s="104"/>
      <c r="F413" s="104"/>
      <c r="G413" s="35"/>
      <c r="H413" s="104"/>
      <c r="I413" s="35"/>
      <c r="J413" s="74"/>
      <c r="K413" s="74"/>
      <c r="L413" s="74"/>
      <c r="M413" s="74"/>
      <c r="N413" s="74"/>
      <c r="O413" s="74"/>
      <c r="P413" s="74"/>
      <c r="Q413" s="74"/>
      <c r="R413" s="74"/>
      <c r="S413" s="74"/>
      <c r="T413" s="74"/>
      <c r="U413" s="74"/>
      <c r="V413" s="74"/>
      <c r="W413" s="74"/>
      <c r="X413" s="74"/>
      <c r="Y413" s="74"/>
      <c r="Z413" s="74"/>
      <c r="AA413" s="74"/>
      <c r="AB413" s="74"/>
    </row>
    <row r="414" spans="1:28" ht="12" customHeight="1">
      <c r="A414" s="260"/>
      <c r="B414" s="104"/>
      <c r="C414" s="104"/>
      <c r="D414" s="260"/>
      <c r="E414" s="104"/>
      <c r="F414" s="104"/>
      <c r="G414" s="35"/>
      <c r="H414" s="104"/>
      <c r="I414" s="35"/>
      <c r="J414" s="74"/>
      <c r="K414" s="74"/>
      <c r="L414" s="74"/>
      <c r="M414" s="74"/>
      <c r="N414" s="74"/>
      <c r="O414" s="74"/>
      <c r="P414" s="74"/>
      <c r="Q414" s="74"/>
      <c r="R414" s="74"/>
      <c r="S414" s="74"/>
      <c r="T414" s="74"/>
      <c r="U414" s="74"/>
      <c r="V414" s="74"/>
      <c r="W414" s="74"/>
      <c r="X414" s="74"/>
      <c r="Y414" s="74"/>
      <c r="Z414" s="74"/>
      <c r="AA414" s="74"/>
      <c r="AB414" s="74"/>
    </row>
    <row r="415" spans="1:28" ht="12" customHeight="1">
      <c r="A415" s="260"/>
      <c r="B415" s="104"/>
      <c r="C415" s="104"/>
      <c r="D415" s="260"/>
      <c r="E415" s="104"/>
      <c r="F415" s="104"/>
      <c r="G415" s="35"/>
      <c r="H415" s="104"/>
      <c r="I415" s="35"/>
      <c r="J415" s="74"/>
      <c r="K415" s="74"/>
      <c r="L415" s="74"/>
      <c r="M415" s="74"/>
      <c r="N415" s="74"/>
      <c r="O415" s="74"/>
      <c r="P415" s="74"/>
      <c r="Q415" s="74"/>
      <c r="R415" s="74"/>
      <c r="S415" s="74"/>
      <c r="T415" s="74"/>
      <c r="U415" s="74"/>
      <c r="V415" s="74"/>
      <c r="W415" s="74"/>
      <c r="X415" s="74"/>
      <c r="Y415" s="74"/>
      <c r="Z415" s="74"/>
      <c r="AA415" s="74"/>
      <c r="AB415" s="74"/>
    </row>
    <row r="416" spans="1:28" ht="12" customHeight="1">
      <c r="A416" s="260"/>
      <c r="B416" s="104"/>
      <c r="C416" s="104"/>
      <c r="D416" s="260"/>
      <c r="E416" s="104"/>
      <c r="F416" s="104"/>
      <c r="G416" s="35"/>
      <c r="H416" s="104"/>
      <c r="I416" s="35"/>
      <c r="J416" s="74"/>
      <c r="K416" s="74"/>
      <c r="L416" s="74"/>
      <c r="M416" s="74"/>
      <c r="N416" s="74"/>
      <c r="O416" s="74"/>
      <c r="P416" s="74"/>
      <c r="Q416" s="74"/>
      <c r="R416" s="74"/>
      <c r="S416" s="74"/>
      <c r="T416" s="74"/>
      <c r="U416" s="74"/>
      <c r="V416" s="74"/>
      <c r="W416" s="74"/>
      <c r="X416" s="74"/>
      <c r="Y416" s="74"/>
      <c r="Z416" s="74"/>
      <c r="AA416" s="74"/>
      <c r="AB416" s="74"/>
    </row>
    <row r="417" spans="1:28" ht="12" customHeight="1">
      <c r="A417" s="260"/>
      <c r="B417" s="104"/>
      <c r="C417" s="104"/>
      <c r="D417" s="260"/>
      <c r="E417" s="104"/>
      <c r="F417" s="104"/>
      <c r="G417" s="35"/>
      <c r="H417" s="104"/>
      <c r="I417" s="35"/>
      <c r="J417" s="74"/>
      <c r="K417" s="74"/>
      <c r="L417" s="74"/>
      <c r="M417" s="74"/>
      <c r="N417" s="74"/>
      <c r="O417" s="74"/>
      <c r="P417" s="74"/>
      <c r="Q417" s="74"/>
      <c r="R417" s="74"/>
      <c r="S417" s="74"/>
      <c r="T417" s="74"/>
      <c r="U417" s="74"/>
      <c r="V417" s="74"/>
      <c r="W417" s="74"/>
      <c r="X417" s="74"/>
      <c r="Y417" s="74"/>
      <c r="Z417" s="74"/>
      <c r="AA417" s="74"/>
      <c r="AB417" s="74"/>
    </row>
    <row r="418" spans="1:28" ht="12" customHeight="1">
      <c r="A418" s="260"/>
      <c r="B418" s="104"/>
      <c r="C418" s="104"/>
      <c r="D418" s="260"/>
      <c r="E418" s="104"/>
      <c r="F418" s="104"/>
      <c r="G418" s="35"/>
      <c r="H418" s="104"/>
      <c r="I418" s="35"/>
      <c r="J418" s="74"/>
      <c r="K418" s="74"/>
      <c r="L418" s="74"/>
      <c r="M418" s="74"/>
      <c r="N418" s="74"/>
      <c r="O418" s="74"/>
      <c r="P418" s="74"/>
      <c r="Q418" s="74"/>
      <c r="R418" s="74"/>
      <c r="S418" s="74"/>
      <c r="T418" s="74"/>
      <c r="U418" s="74"/>
      <c r="V418" s="74"/>
      <c r="W418" s="74"/>
      <c r="X418" s="74"/>
      <c r="Y418" s="74"/>
      <c r="Z418" s="74"/>
      <c r="AA418" s="74"/>
      <c r="AB418" s="74"/>
    </row>
    <row r="419" spans="1:28" ht="12" customHeight="1">
      <c r="A419" s="260"/>
      <c r="B419" s="104"/>
      <c r="C419" s="104"/>
      <c r="D419" s="260"/>
      <c r="E419" s="104"/>
      <c r="F419" s="104"/>
      <c r="G419" s="35"/>
      <c r="H419" s="104"/>
      <c r="I419" s="35"/>
      <c r="J419" s="74"/>
      <c r="K419" s="74"/>
      <c r="L419" s="74"/>
      <c r="M419" s="74"/>
      <c r="N419" s="74"/>
      <c r="O419" s="74"/>
      <c r="P419" s="74"/>
      <c r="Q419" s="74"/>
      <c r="R419" s="74"/>
      <c r="S419" s="74"/>
      <c r="T419" s="74"/>
      <c r="U419" s="74"/>
      <c r="V419" s="74"/>
      <c r="W419" s="74"/>
      <c r="X419" s="74"/>
      <c r="Y419" s="74"/>
      <c r="Z419" s="74"/>
      <c r="AA419" s="74"/>
      <c r="AB419" s="74"/>
    </row>
    <row r="420" spans="1:28" ht="12" customHeight="1">
      <c r="A420" s="260"/>
      <c r="B420" s="104"/>
      <c r="C420" s="104"/>
      <c r="D420" s="260"/>
      <c r="E420" s="104"/>
      <c r="F420" s="104"/>
      <c r="G420" s="35"/>
      <c r="H420" s="104"/>
      <c r="I420" s="35"/>
      <c r="J420" s="74"/>
      <c r="K420" s="74"/>
      <c r="L420" s="74"/>
      <c r="M420" s="74"/>
      <c r="N420" s="74"/>
      <c r="O420" s="74"/>
      <c r="P420" s="74"/>
      <c r="Q420" s="74"/>
      <c r="R420" s="74"/>
      <c r="S420" s="74"/>
      <c r="T420" s="74"/>
      <c r="U420" s="74"/>
      <c r="V420" s="74"/>
      <c r="W420" s="74"/>
      <c r="X420" s="74"/>
      <c r="Y420" s="74"/>
      <c r="Z420" s="74"/>
      <c r="AA420" s="74"/>
      <c r="AB420" s="74"/>
    </row>
    <row r="421" spans="1:28" ht="12" customHeight="1">
      <c r="A421" s="260"/>
      <c r="B421" s="104"/>
      <c r="C421" s="104"/>
      <c r="D421" s="260"/>
      <c r="E421" s="104"/>
      <c r="F421" s="104"/>
      <c r="G421" s="35"/>
      <c r="H421" s="104"/>
      <c r="I421" s="35"/>
      <c r="J421" s="74"/>
      <c r="K421" s="74"/>
      <c r="L421" s="74"/>
      <c r="M421" s="74"/>
      <c r="N421" s="74"/>
      <c r="O421" s="74"/>
      <c r="P421" s="74"/>
      <c r="Q421" s="74"/>
      <c r="R421" s="74"/>
      <c r="S421" s="74"/>
      <c r="T421" s="74"/>
      <c r="U421" s="74"/>
      <c r="V421" s="74"/>
      <c r="W421" s="74"/>
      <c r="X421" s="74"/>
      <c r="Y421" s="74"/>
      <c r="Z421" s="74"/>
      <c r="AA421" s="74"/>
      <c r="AB421" s="74"/>
    </row>
    <row r="422" spans="1:28" ht="12" customHeight="1">
      <c r="A422" s="260"/>
      <c r="B422" s="104"/>
      <c r="C422" s="104"/>
      <c r="D422" s="260"/>
      <c r="E422" s="104"/>
      <c r="F422" s="104"/>
      <c r="G422" s="35"/>
      <c r="H422" s="104"/>
      <c r="I422" s="35"/>
      <c r="J422" s="74"/>
      <c r="K422" s="74"/>
      <c r="L422" s="74"/>
      <c r="M422" s="74"/>
      <c r="N422" s="74"/>
      <c r="O422" s="74"/>
      <c r="P422" s="74"/>
      <c r="Q422" s="74"/>
      <c r="R422" s="74"/>
      <c r="S422" s="74"/>
      <c r="T422" s="74"/>
      <c r="U422" s="74"/>
      <c r="V422" s="74"/>
      <c r="W422" s="74"/>
      <c r="X422" s="74"/>
      <c r="Y422" s="74"/>
      <c r="Z422" s="74"/>
      <c r="AA422" s="74"/>
      <c r="AB422" s="74"/>
    </row>
    <row r="423" spans="1:28" ht="12" customHeight="1">
      <c r="A423" s="260"/>
      <c r="B423" s="104"/>
      <c r="C423" s="104"/>
      <c r="D423" s="260"/>
      <c r="E423" s="104"/>
      <c r="F423" s="104"/>
      <c r="G423" s="35"/>
      <c r="H423" s="104"/>
      <c r="I423" s="35"/>
      <c r="J423" s="74"/>
      <c r="K423" s="74"/>
      <c r="L423" s="74"/>
      <c r="M423" s="74"/>
      <c r="N423" s="74"/>
      <c r="O423" s="74"/>
      <c r="P423" s="74"/>
      <c r="Q423" s="74"/>
      <c r="R423" s="74"/>
      <c r="S423" s="74"/>
      <c r="T423" s="74"/>
      <c r="U423" s="74"/>
      <c r="V423" s="74"/>
      <c r="W423" s="74"/>
      <c r="X423" s="74"/>
      <c r="Y423" s="74"/>
      <c r="Z423" s="74"/>
      <c r="AA423" s="74"/>
      <c r="AB423" s="74"/>
    </row>
    <row r="424" spans="1:28" ht="12" customHeight="1">
      <c r="A424" s="260"/>
      <c r="B424" s="104"/>
      <c r="C424" s="104"/>
      <c r="D424" s="260"/>
      <c r="E424" s="104"/>
      <c r="F424" s="104"/>
      <c r="G424" s="35"/>
      <c r="H424" s="104"/>
      <c r="I424" s="35"/>
      <c r="J424" s="74"/>
      <c r="K424" s="74"/>
      <c r="L424" s="74"/>
      <c r="M424" s="74"/>
      <c r="N424" s="74"/>
      <c r="O424" s="74"/>
      <c r="P424" s="74"/>
      <c r="Q424" s="74"/>
      <c r="R424" s="74"/>
      <c r="S424" s="74"/>
      <c r="T424" s="74"/>
      <c r="U424" s="74"/>
      <c r="V424" s="74"/>
      <c r="W424" s="74"/>
      <c r="X424" s="74"/>
      <c r="Y424" s="74"/>
      <c r="Z424" s="74"/>
      <c r="AA424" s="74"/>
      <c r="AB424" s="74"/>
    </row>
    <row r="425" spans="1:28" ht="12" customHeight="1">
      <c r="A425" s="260"/>
      <c r="B425" s="104"/>
      <c r="C425" s="104"/>
      <c r="D425" s="260"/>
      <c r="E425" s="104"/>
      <c r="F425" s="104"/>
      <c r="G425" s="35"/>
      <c r="H425" s="104"/>
      <c r="I425" s="35"/>
      <c r="J425" s="74"/>
      <c r="K425" s="74"/>
      <c r="L425" s="74"/>
      <c r="M425" s="74"/>
      <c r="N425" s="74"/>
      <c r="O425" s="74"/>
      <c r="P425" s="74"/>
      <c r="Q425" s="74"/>
      <c r="R425" s="74"/>
      <c r="S425" s="74"/>
      <c r="T425" s="74"/>
      <c r="U425" s="74"/>
      <c r="V425" s="74"/>
      <c r="W425" s="74"/>
      <c r="X425" s="74"/>
      <c r="Y425" s="74"/>
      <c r="Z425" s="74"/>
      <c r="AA425" s="74"/>
      <c r="AB425" s="74"/>
    </row>
    <row r="426" spans="1:28" ht="12" customHeight="1">
      <c r="A426" s="260"/>
      <c r="B426" s="104"/>
      <c r="C426" s="104"/>
      <c r="D426" s="260"/>
      <c r="E426" s="104"/>
      <c r="F426" s="104"/>
      <c r="G426" s="35"/>
      <c r="H426" s="104"/>
      <c r="I426" s="35"/>
      <c r="J426" s="74"/>
      <c r="K426" s="74"/>
      <c r="L426" s="74"/>
      <c r="M426" s="74"/>
      <c r="N426" s="74"/>
      <c r="O426" s="74"/>
      <c r="P426" s="74"/>
      <c r="Q426" s="74"/>
      <c r="R426" s="74"/>
      <c r="S426" s="74"/>
      <c r="T426" s="74"/>
      <c r="U426" s="74"/>
      <c r="V426" s="74"/>
      <c r="W426" s="74"/>
      <c r="X426" s="74"/>
      <c r="Y426" s="74"/>
      <c r="Z426" s="74"/>
      <c r="AA426" s="74"/>
      <c r="AB426" s="74"/>
    </row>
    <row r="427" spans="1:28" ht="12" customHeight="1">
      <c r="A427" s="260"/>
      <c r="B427" s="104"/>
      <c r="C427" s="104"/>
      <c r="D427" s="260"/>
      <c r="E427" s="104"/>
      <c r="F427" s="104"/>
      <c r="G427" s="35"/>
      <c r="H427" s="104"/>
      <c r="I427" s="35"/>
      <c r="J427" s="74"/>
      <c r="K427" s="74"/>
      <c r="L427" s="74"/>
      <c r="M427" s="74"/>
      <c r="N427" s="74"/>
      <c r="O427" s="74"/>
      <c r="P427" s="74"/>
      <c r="Q427" s="74"/>
      <c r="R427" s="74"/>
      <c r="S427" s="74"/>
      <c r="T427" s="74"/>
      <c r="U427" s="74"/>
      <c r="V427" s="74"/>
      <c r="W427" s="74"/>
      <c r="X427" s="74"/>
      <c r="Y427" s="74"/>
      <c r="Z427" s="74"/>
      <c r="AA427" s="74"/>
      <c r="AB427" s="74"/>
    </row>
    <row r="428" spans="1:28" ht="12" customHeight="1">
      <c r="A428" s="260"/>
      <c r="B428" s="104"/>
      <c r="C428" s="104"/>
      <c r="D428" s="260"/>
      <c r="E428" s="104"/>
      <c r="F428" s="104"/>
      <c r="G428" s="35"/>
      <c r="H428" s="104"/>
      <c r="I428" s="35"/>
      <c r="J428" s="74"/>
      <c r="K428" s="74"/>
      <c r="L428" s="74"/>
      <c r="M428" s="74"/>
      <c r="N428" s="74"/>
      <c r="O428" s="74"/>
      <c r="P428" s="74"/>
      <c r="Q428" s="74"/>
      <c r="R428" s="74"/>
      <c r="S428" s="74"/>
      <c r="T428" s="74"/>
      <c r="U428" s="74"/>
      <c r="V428" s="74"/>
      <c r="W428" s="74"/>
      <c r="X428" s="74"/>
      <c r="Y428" s="74"/>
      <c r="Z428" s="74"/>
      <c r="AA428" s="74"/>
      <c r="AB428" s="74"/>
    </row>
    <row r="429" spans="1:28" ht="12" customHeight="1">
      <c r="A429" s="260"/>
      <c r="B429" s="104"/>
      <c r="C429" s="104"/>
      <c r="D429" s="260"/>
      <c r="E429" s="104"/>
      <c r="F429" s="104"/>
      <c r="G429" s="35"/>
      <c r="H429" s="104"/>
      <c r="I429" s="35"/>
      <c r="J429" s="74"/>
      <c r="K429" s="74"/>
      <c r="L429" s="74"/>
      <c r="M429" s="74"/>
      <c r="N429" s="74"/>
      <c r="O429" s="74"/>
      <c r="P429" s="74"/>
      <c r="Q429" s="74"/>
      <c r="R429" s="74"/>
      <c r="S429" s="74"/>
      <c r="T429" s="74"/>
      <c r="U429" s="74"/>
      <c r="V429" s="74"/>
      <c r="W429" s="74"/>
      <c r="X429" s="74"/>
      <c r="Y429" s="74"/>
      <c r="Z429" s="74"/>
      <c r="AA429" s="74"/>
      <c r="AB429" s="74"/>
    </row>
    <row r="430" spans="1:28" ht="12" customHeight="1">
      <c r="A430" s="260"/>
      <c r="B430" s="104"/>
      <c r="C430" s="104"/>
      <c r="D430" s="260"/>
      <c r="E430" s="104"/>
      <c r="F430" s="104"/>
      <c r="G430" s="35"/>
      <c r="H430" s="104"/>
      <c r="I430" s="35"/>
      <c r="J430" s="74"/>
      <c r="K430" s="74"/>
      <c r="L430" s="74"/>
      <c r="M430" s="74"/>
      <c r="N430" s="74"/>
      <c r="O430" s="74"/>
      <c r="P430" s="74"/>
      <c r="Q430" s="74"/>
      <c r="R430" s="74"/>
      <c r="S430" s="74"/>
      <c r="T430" s="74"/>
      <c r="U430" s="74"/>
      <c r="V430" s="74"/>
      <c r="W430" s="74"/>
      <c r="X430" s="74"/>
      <c r="Y430" s="74"/>
      <c r="Z430" s="74"/>
      <c r="AA430" s="74"/>
      <c r="AB430" s="74"/>
    </row>
    <row r="431" spans="1:28" ht="12" customHeight="1">
      <c r="A431" s="260"/>
      <c r="B431" s="104"/>
      <c r="C431" s="104"/>
      <c r="D431" s="260"/>
      <c r="E431" s="104"/>
      <c r="F431" s="104"/>
      <c r="G431" s="35"/>
      <c r="H431" s="104"/>
      <c r="I431" s="35"/>
      <c r="J431" s="74"/>
      <c r="K431" s="74"/>
      <c r="L431" s="74"/>
      <c r="M431" s="74"/>
      <c r="N431" s="74"/>
      <c r="O431" s="74"/>
      <c r="P431" s="74"/>
      <c r="Q431" s="74"/>
      <c r="R431" s="74"/>
      <c r="S431" s="74"/>
      <c r="T431" s="74"/>
      <c r="U431" s="74"/>
      <c r="V431" s="74"/>
      <c r="W431" s="74"/>
      <c r="X431" s="74"/>
      <c r="Y431" s="74"/>
      <c r="Z431" s="74"/>
      <c r="AA431" s="74"/>
      <c r="AB431" s="74"/>
    </row>
    <row r="432" spans="1:28" ht="12" customHeight="1">
      <c r="A432" s="260"/>
      <c r="B432" s="104"/>
      <c r="C432" s="104"/>
      <c r="D432" s="260"/>
      <c r="E432" s="104"/>
      <c r="F432" s="104"/>
      <c r="G432" s="35"/>
      <c r="H432" s="104"/>
      <c r="I432" s="35"/>
      <c r="J432" s="74"/>
      <c r="K432" s="74"/>
      <c r="L432" s="74"/>
      <c r="M432" s="74"/>
      <c r="N432" s="74"/>
      <c r="O432" s="74"/>
      <c r="P432" s="74"/>
      <c r="Q432" s="74"/>
      <c r="R432" s="74"/>
      <c r="S432" s="74"/>
      <c r="T432" s="74"/>
      <c r="U432" s="74"/>
      <c r="V432" s="74"/>
      <c r="W432" s="74"/>
      <c r="X432" s="74"/>
      <c r="Y432" s="74"/>
      <c r="Z432" s="74"/>
      <c r="AA432" s="74"/>
      <c r="AB432" s="74"/>
    </row>
    <row r="433" spans="1:28" ht="12" customHeight="1">
      <c r="A433" s="260"/>
      <c r="B433" s="104"/>
      <c r="C433" s="104"/>
      <c r="D433" s="260"/>
      <c r="E433" s="104"/>
      <c r="F433" s="104"/>
      <c r="G433" s="35"/>
      <c r="H433" s="104"/>
      <c r="I433" s="35"/>
      <c r="J433" s="74"/>
      <c r="K433" s="74"/>
      <c r="L433" s="74"/>
      <c r="M433" s="74"/>
      <c r="N433" s="74"/>
      <c r="O433" s="74"/>
      <c r="P433" s="74"/>
      <c r="Q433" s="74"/>
      <c r="R433" s="74"/>
      <c r="S433" s="74"/>
      <c r="T433" s="74"/>
      <c r="U433" s="74"/>
      <c r="V433" s="74"/>
      <c r="W433" s="74"/>
      <c r="X433" s="74"/>
      <c r="Y433" s="74"/>
      <c r="Z433" s="74"/>
      <c r="AA433" s="74"/>
      <c r="AB433" s="74"/>
    </row>
    <row r="434" spans="1:28" ht="12" customHeight="1">
      <c r="A434" s="260"/>
      <c r="B434" s="104"/>
      <c r="C434" s="104"/>
      <c r="D434" s="260"/>
      <c r="E434" s="104"/>
      <c r="F434" s="104"/>
      <c r="G434" s="35"/>
      <c r="H434" s="104"/>
      <c r="I434" s="35"/>
      <c r="J434" s="74"/>
      <c r="K434" s="74"/>
      <c r="L434" s="74"/>
      <c r="M434" s="74"/>
      <c r="N434" s="74"/>
      <c r="O434" s="74"/>
      <c r="P434" s="74"/>
      <c r="Q434" s="74"/>
      <c r="R434" s="74"/>
      <c r="S434" s="74"/>
      <c r="T434" s="74"/>
      <c r="U434" s="74"/>
      <c r="V434" s="74"/>
      <c r="W434" s="74"/>
      <c r="X434" s="74"/>
      <c r="Y434" s="74"/>
      <c r="Z434" s="74"/>
      <c r="AA434" s="74"/>
      <c r="AB434" s="74"/>
    </row>
    <row r="435" spans="1:28" ht="12" customHeight="1">
      <c r="A435" s="260"/>
      <c r="B435" s="104"/>
      <c r="C435" s="104"/>
      <c r="D435" s="260"/>
      <c r="E435" s="104"/>
      <c r="F435" s="104"/>
      <c r="G435" s="35"/>
      <c r="H435" s="104"/>
      <c r="I435" s="35"/>
      <c r="J435" s="74"/>
      <c r="K435" s="74"/>
      <c r="L435" s="74"/>
      <c r="M435" s="74"/>
      <c r="N435" s="74"/>
      <c r="O435" s="74"/>
      <c r="P435" s="74"/>
      <c r="Q435" s="74"/>
      <c r="R435" s="74"/>
      <c r="S435" s="74"/>
      <c r="T435" s="74"/>
      <c r="U435" s="74"/>
      <c r="V435" s="74"/>
      <c r="W435" s="74"/>
      <c r="X435" s="74"/>
      <c r="Y435" s="74"/>
      <c r="Z435" s="74"/>
      <c r="AA435" s="74"/>
      <c r="AB435" s="74"/>
    </row>
    <row r="436" spans="1:28" ht="12" customHeight="1">
      <c r="A436" s="260"/>
      <c r="B436" s="104"/>
      <c r="C436" s="104"/>
      <c r="D436" s="260"/>
      <c r="E436" s="104"/>
      <c r="F436" s="104"/>
      <c r="G436" s="35"/>
      <c r="H436" s="104"/>
      <c r="I436" s="35"/>
      <c r="J436" s="74"/>
      <c r="K436" s="74"/>
      <c r="L436" s="74"/>
      <c r="M436" s="74"/>
      <c r="N436" s="74"/>
      <c r="O436" s="74"/>
      <c r="P436" s="74"/>
      <c r="Q436" s="74"/>
      <c r="R436" s="74"/>
      <c r="S436" s="74"/>
      <c r="T436" s="74"/>
      <c r="U436" s="74"/>
      <c r="V436" s="74"/>
      <c r="W436" s="74"/>
      <c r="X436" s="74"/>
      <c r="Y436" s="74"/>
      <c r="Z436" s="74"/>
      <c r="AA436" s="74"/>
      <c r="AB436" s="74"/>
    </row>
    <row r="437" spans="1:28" ht="12" customHeight="1">
      <c r="A437" s="260"/>
      <c r="B437" s="104"/>
      <c r="C437" s="104"/>
      <c r="D437" s="260"/>
      <c r="E437" s="104"/>
      <c r="F437" s="104"/>
      <c r="G437" s="35"/>
      <c r="H437" s="104"/>
      <c r="I437" s="35"/>
      <c r="J437" s="74"/>
      <c r="K437" s="74"/>
      <c r="L437" s="74"/>
      <c r="M437" s="74"/>
      <c r="N437" s="74"/>
      <c r="O437" s="74"/>
      <c r="P437" s="74"/>
      <c r="Q437" s="74"/>
      <c r="R437" s="74"/>
      <c r="S437" s="74"/>
      <c r="T437" s="74"/>
      <c r="U437" s="74"/>
      <c r="V437" s="74"/>
      <c r="W437" s="74"/>
      <c r="X437" s="74"/>
      <c r="Y437" s="74"/>
      <c r="Z437" s="74"/>
      <c r="AA437" s="74"/>
      <c r="AB437" s="74"/>
    </row>
    <row r="438" spans="1:28" ht="12" customHeight="1">
      <c r="A438" s="260"/>
      <c r="B438" s="104"/>
      <c r="C438" s="104"/>
      <c r="D438" s="260"/>
      <c r="E438" s="104"/>
      <c r="F438" s="104"/>
      <c r="G438" s="35"/>
      <c r="H438" s="104"/>
      <c r="I438" s="35"/>
      <c r="J438" s="74"/>
      <c r="K438" s="74"/>
      <c r="L438" s="74"/>
      <c r="M438" s="74"/>
      <c r="N438" s="74"/>
      <c r="O438" s="74"/>
      <c r="P438" s="74"/>
      <c r="Q438" s="74"/>
      <c r="R438" s="74"/>
      <c r="S438" s="74"/>
      <c r="T438" s="74"/>
      <c r="U438" s="74"/>
      <c r="V438" s="74"/>
      <c r="W438" s="74"/>
      <c r="X438" s="74"/>
      <c r="Y438" s="74"/>
      <c r="Z438" s="74"/>
      <c r="AA438" s="74"/>
      <c r="AB438" s="74"/>
    </row>
    <row r="439" spans="1:28" ht="12" customHeight="1">
      <c r="A439" s="260"/>
      <c r="B439" s="104"/>
      <c r="C439" s="104"/>
      <c r="D439" s="260"/>
      <c r="E439" s="104"/>
      <c r="F439" s="104"/>
      <c r="G439" s="35"/>
      <c r="H439" s="104"/>
      <c r="I439" s="35"/>
      <c r="J439" s="74"/>
      <c r="K439" s="74"/>
      <c r="L439" s="74"/>
      <c r="M439" s="74"/>
      <c r="N439" s="74"/>
      <c r="O439" s="74"/>
      <c r="P439" s="74"/>
      <c r="Q439" s="74"/>
      <c r="R439" s="74"/>
      <c r="S439" s="74"/>
      <c r="T439" s="74"/>
      <c r="U439" s="74"/>
      <c r="V439" s="74"/>
      <c r="W439" s="74"/>
      <c r="X439" s="74"/>
      <c r="Y439" s="74"/>
      <c r="Z439" s="74"/>
      <c r="AA439" s="74"/>
      <c r="AB439" s="74"/>
    </row>
    <row r="440" spans="1:28" ht="12" customHeight="1">
      <c r="A440" s="260"/>
      <c r="B440" s="104"/>
      <c r="C440" s="104"/>
      <c r="D440" s="260"/>
      <c r="E440" s="104"/>
      <c r="F440" s="104"/>
      <c r="G440" s="35"/>
      <c r="H440" s="104"/>
      <c r="I440" s="35"/>
      <c r="J440" s="74"/>
      <c r="K440" s="74"/>
      <c r="L440" s="74"/>
      <c r="M440" s="74"/>
      <c r="N440" s="74"/>
      <c r="O440" s="74"/>
      <c r="P440" s="74"/>
      <c r="Q440" s="74"/>
      <c r="R440" s="74"/>
      <c r="S440" s="74"/>
      <c r="T440" s="74"/>
      <c r="U440" s="74"/>
      <c r="V440" s="74"/>
      <c r="W440" s="74"/>
      <c r="X440" s="74"/>
      <c r="Y440" s="74"/>
      <c r="Z440" s="74"/>
      <c r="AA440" s="74"/>
      <c r="AB440" s="74"/>
    </row>
    <row r="441" spans="1:28" ht="12" customHeight="1">
      <c r="A441" s="260"/>
      <c r="B441" s="104"/>
      <c r="C441" s="104"/>
      <c r="D441" s="260"/>
      <c r="E441" s="104"/>
      <c r="F441" s="104"/>
      <c r="G441" s="35"/>
      <c r="H441" s="104"/>
      <c r="I441" s="35"/>
      <c r="J441" s="74"/>
      <c r="K441" s="74"/>
      <c r="L441" s="74"/>
      <c r="M441" s="74"/>
      <c r="N441" s="74"/>
      <c r="O441" s="74"/>
      <c r="P441" s="74"/>
      <c r="Q441" s="74"/>
      <c r="R441" s="74"/>
      <c r="S441" s="74"/>
      <c r="T441" s="74"/>
      <c r="U441" s="74"/>
      <c r="V441" s="74"/>
      <c r="W441" s="74"/>
      <c r="X441" s="74"/>
      <c r="Y441" s="74"/>
      <c r="Z441" s="74"/>
      <c r="AA441" s="74"/>
      <c r="AB441" s="74"/>
    </row>
    <row r="442" spans="1:28" ht="12" customHeight="1">
      <c r="A442" s="260"/>
      <c r="B442" s="104"/>
      <c r="C442" s="104"/>
      <c r="D442" s="260"/>
      <c r="E442" s="104"/>
      <c r="F442" s="104"/>
      <c r="G442" s="35"/>
      <c r="H442" s="104"/>
      <c r="I442" s="35"/>
      <c r="J442" s="74"/>
      <c r="K442" s="74"/>
      <c r="L442" s="74"/>
      <c r="M442" s="74"/>
      <c r="N442" s="74"/>
      <c r="O442" s="74"/>
      <c r="P442" s="74"/>
      <c r="Q442" s="74"/>
      <c r="R442" s="74"/>
      <c r="S442" s="74"/>
      <c r="T442" s="74"/>
      <c r="U442" s="74"/>
      <c r="V442" s="74"/>
      <c r="W442" s="74"/>
      <c r="X442" s="74"/>
      <c r="Y442" s="74"/>
      <c r="Z442" s="74"/>
      <c r="AA442" s="74"/>
      <c r="AB442" s="74"/>
    </row>
    <row r="443" spans="1:28" ht="12" customHeight="1">
      <c r="A443" s="260"/>
      <c r="B443" s="104"/>
      <c r="C443" s="104"/>
      <c r="D443" s="260"/>
      <c r="E443" s="104"/>
      <c r="F443" s="104"/>
      <c r="G443" s="35"/>
      <c r="H443" s="104"/>
      <c r="I443" s="35"/>
      <c r="J443" s="74"/>
      <c r="K443" s="74"/>
      <c r="L443" s="74"/>
      <c r="M443" s="74"/>
      <c r="N443" s="74"/>
      <c r="O443" s="74"/>
      <c r="P443" s="74"/>
      <c r="Q443" s="74"/>
      <c r="R443" s="74"/>
      <c r="S443" s="74"/>
      <c r="T443" s="74"/>
      <c r="U443" s="74"/>
      <c r="V443" s="74"/>
      <c r="W443" s="74"/>
      <c r="X443" s="74"/>
      <c r="Y443" s="74"/>
      <c r="Z443" s="74"/>
      <c r="AA443" s="74"/>
      <c r="AB443" s="74"/>
    </row>
    <row r="444" spans="1:28" ht="12" customHeight="1">
      <c r="A444" s="260"/>
      <c r="B444" s="104"/>
      <c r="C444" s="104"/>
      <c r="D444" s="260"/>
      <c r="E444" s="104"/>
      <c r="F444" s="104"/>
      <c r="G444" s="35"/>
      <c r="H444" s="104"/>
      <c r="I444" s="35"/>
      <c r="J444" s="74"/>
      <c r="K444" s="74"/>
      <c r="L444" s="74"/>
      <c r="M444" s="74"/>
      <c r="N444" s="74"/>
      <c r="O444" s="74"/>
      <c r="P444" s="74"/>
      <c r="Q444" s="74"/>
      <c r="R444" s="74"/>
      <c r="S444" s="74"/>
      <c r="T444" s="74"/>
      <c r="U444" s="74"/>
      <c r="V444" s="74"/>
      <c r="W444" s="74"/>
      <c r="X444" s="74"/>
      <c r="Y444" s="74"/>
      <c r="Z444" s="74"/>
      <c r="AA444" s="74"/>
      <c r="AB444" s="74"/>
    </row>
    <row r="445" spans="1:28" ht="12" customHeight="1">
      <c r="A445" s="260"/>
      <c r="B445" s="104"/>
      <c r="C445" s="104"/>
      <c r="D445" s="260"/>
      <c r="E445" s="104"/>
      <c r="F445" s="104"/>
      <c r="G445" s="35"/>
      <c r="H445" s="104"/>
      <c r="I445" s="35"/>
      <c r="J445" s="74"/>
      <c r="K445" s="74"/>
      <c r="L445" s="74"/>
      <c r="M445" s="74"/>
      <c r="N445" s="74"/>
      <c r="O445" s="74"/>
      <c r="P445" s="74"/>
      <c r="Q445" s="74"/>
      <c r="R445" s="74"/>
      <c r="S445" s="74"/>
      <c r="T445" s="74"/>
      <c r="U445" s="74"/>
      <c r="V445" s="74"/>
      <c r="W445" s="74"/>
      <c r="X445" s="74"/>
      <c r="Y445" s="74"/>
      <c r="Z445" s="74"/>
      <c r="AA445" s="74"/>
      <c r="AB445" s="74"/>
    </row>
    <row r="446" spans="1:28" ht="12" customHeight="1">
      <c r="A446" s="260"/>
      <c r="B446" s="104"/>
      <c r="C446" s="104"/>
      <c r="D446" s="260"/>
      <c r="E446" s="104"/>
      <c r="F446" s="104"/>
      <c r="G446" s="35"/>
      <c r="H446" s="104"/>
      <c r="I446" s="35"/>
      <c r="J446" s="74"/>
      <c r="K446" s="74"/>
      <c r="L446" s="74"/>
      <c r="M446" s="74"/>
      <c r="N446" s="74"/>
      <c r="O446" s="74"/>
      <c r="P446" s="74"/>
      <c r="Q446" s="74"/>
      <c r="R446" s="74"/>
      <c r="S446" s="74"/>
      <c r="T446" s="74"/>
      <c r="U446" s="74"/>
      <c r="V446" s="74"/>
      <c r="W446" s="74"/>
      <c r="X446" s="74"/>
      <c r="Y446" s="74"/>
      <c r="Z446" s="74"/>
      <c r="AA446" s="74"/>
      <c r="AB446" s="74"/>
    </row>
    <row r="447" spans="1:28" ht="12" customHeight="1">
      <c r="A447" s="260"/>
      <c r="B447" s="104"/>
      <c r="C447" s="104"/>
      <c r="D447" s="260"/>
      <c r="E447" s="104"/>
      <c r="F447" s="104"/>
      <c r="G447" s="35"/>
      <c r="H447" s="104"/>
      <c r="I447" s="35"/>
      <c r="J447" s="74"/>
      <c r="K447" s="74"/>
      <c r="L447" s="74"/>
      <c r="M447" s="74"/>
      <c r="N447" s="74"/>
      <c r="O447" s="74"/>
      <c r="P447" s="74"/>
      <c r="Q447" s="74"/>
      <c r="R447" s="74"/>
      <c r="S447" s="74"/>
      <c r="T447" s="74"/>
      <c r="U447" s="74"/>
      <c r="V447" s="74"/>
      <c r="W447" s="74"/>
      <c r="X447" s="74"/>
      <c r="Y447" s="74"/>
      <c r="Z447" s="74"/>
      <c r="AA447" s="74"/>
      <c r="AB447" s="74"/>
    </row>
    <row r="448" spans="1:28" ht="12" customHeight="1">
      <c r="A448" s="260"/>
      <c r="B448" s="104"/>
      <c r="C448" s="104"/>
      <c r="D448" s="260"/>
      <c r="E448" s="104"/>
      <c r="F448" s="104"/>
      <c r="G448" s="35"/>
      <c r="H448" s="104"/>
      <c r="I448" s="35"/>
      <c r="J448" s="74"/>
      <c r="K448" s="74"/>
      <c r="L448" s="74"/>
      <c r="M448" s="74"/>
      <c r="N448" s="74"/>
      <c r="O448" s="74"/>
      <c r="P448" s="74"/>
      <c r="Q448" s="74"/>
      <c r="R448" s="74"/>
      <c r="S448" s="74"/>
      <c r="T448" s="74"/>
      <c r="U448" s="74"/>
      <c r="V448" s="74"/>
      <c r="W448" s="74"/>
      <c r="X448" s="74"/>
      <c r="Y448" s="74"/>
      <c r="Z448" s="74"/>
      <c r="AA448" s="74"/>
      <c r="AB448" s="74"/>
    </row>
    <row r="449" spans="1:28" ht="12" customHeight="1">
      <c r="A449" s="260"/>
      <c r="B449" s="104"/>
      <c r="C449" s="104"/>
      <c r="D449" s="260"/>
      <c r="E449" s="104"/>
      <c r="F449" s="104"/>
      <c r="G449" s="35"/>
      <c r="H449" s="104"/>
      <c r="I449" s="35"/>
      <c r="J449" s="74"/>
      <c r="K449" s="74"/>
      <c r="L449" s="74"/>
      <c r="M449" s="74"/>
      <c r="N449" s="74"/>
      <c r="O449" s="74"/>
      <c r="P449" s="74"/>
      <c r="Q449" s="74"/>
      <c r="R449" s="74"/>
      <c r="S449" s="74"/>
      <c r="T449" s="74"/>
      <c r="U449" s="74"/>
      <c r="V449" s="74"/>
      <c r="W449" s="74"/>
      <c r="X449" s="74"/>
      <c r="Y449" s="74"/>
      <c r="Z449" s="74"/>
      <c r="AA449" s="74"/>
      <c r="AB449" s="74"/>
    </row>
    <row r="450" spans="1:28" ht="12" customHeight="1">
      <c r="A450" s="260"/>
      <c r="B450" s="104"/>
      <c r="C450" s="104"/>
      <c r="D450" s="260"/>
      <c r="E450" s="104"/>
      <c r="F450" s="104"/>
      <c r="G450" s="35"/>
      <c r="H450" s="104"/>
      <c r="I450" s="35"/>
      <c r="J450" s="74"/>
      <c r="K450" s="74"/>
      <c r="L450" s="74"/>
      <c r="M450" s="74"/>
      <c r="N450" s="74"/>
      <c r="O450" s="74"/>
      <c r="P450" s="74"/>
      <c r="Q450" s="74"/>
      <c r="R450" s="74"/>
      <c r="S450" s="74"/>
      <c r="T450" s="74"/>
      <c r="U450" s="74"/>
      <c r="V450" s="74"/>
      <c r="W450" s="74"/>
      <c r="X450" s="74"/>
      <c r="Y450" s="74"/>
      <c r="Z450" s="74"/>
      <c r="AA450" s="74"/>
      <c r="AB450" s="74"/>
    </row>
    <row r="451" spans="1:28" ht="12" customHeight="1">
      <c r="A451" s="260"/>
      <c r="B451" s="104"/>
      <c r="C451" s="104"/>
      <c r="D451" s="260"/>
      <c r="E451" s="104"/>
      <c r="F451" s="104"/>
      <c r="G451" s="35"/>
      <c r="H451" s="104"/>
      <c r="I451" s="35"/>
      <c r="J451" s="74"/>
      <c r="K451" s="74"/>
      <c r="L451" s="74"/>
      <c r="M451" s="74"/>
      <c r="N451" s="74"/>
      <c r="O451" s="74"/>
      <c r="P451" s="74"/>
      <c r="Q451" s="74"/>
      <c r="R451" s="74"/>
      <c r="S451" s="74"/>
      <c r="T451" s="74"/>
      <c r="U451" s="74"/>
      <c r="V451" s="74"/>
      <c r="W451" s="74"/>
      <c r="X451" s="74"/>
      <c r="Y451" s="74"/>
      <c r="Z451" s="74"/>
      <c r="AA451" s="74"/>
      <c r="AB451" s="74"/>
    </row>
    <row r="452" spans="1:28" ht="12" customHeight="1">
      <c r="A452" s="260"/>
      <c r="B452" s="104"/>
      <c r="C452" s="104"/>
      <c r="D452" s="260"/>
      <c r="E452" s="104"/>
      <c r="F452" s="104"/>
      <c r="G452" s="35"/>
      <c r="H452" s="104"/>
      <c r="I452" s="35"/>
      <c r="J452" s="74"/>
      <c r="K452" s="74"/>
      <c r="L452" s="74"/>
      <c r="M452" s="74"/>
      <c r="N452" s="74"/>
      <c r="O452" s="74"/>
      <c r="P452" s="74"/>
      <c r="Q452" s="74"/>
      <c r="R452" s="74"/>
      <c r="S452" s="74"/>
      <c r="T452" s="74"/>
      <c r="U452" s="74"/>
      <c r="V452" s="74"/>
      <c r="W452" s="74"/>
      <c r="X452" s="74"/>
      <c r="Y452" s="74"/>
      <c r="Z452" s="74"/>
      <c r="AA452" s="74"/>
      <c r="AB452" s="74"/>
    </row>
    <row r="453" spans="1:28" ht="12" customHeight="1">
      <c r="A453" s="260"/>
      <c r="B453" s="104"/>
      <c r="C453" s="104"/>
      <c r="D453" s="260"/>
      <c r="E453" s="104"/>
      <c r="F453" s="104"/>
      <c r="G453" s="35"/>
      <c r="H453" s="104"/>
      <c r="I453" s="35"/>
      <c r="J453" s="74"/>
      <c r="K453" s="74"/>
      <c r="L453" s="74"/>
      <c r="M453" s="74"/>
      <c r="N453" s="74"/>
      <c r="O453" s="74"/>
      <c r="P453" s="74"/>
      <c r="Q453" s="74"/>
      <c r="R453" s="74"/>
      <c r="S453" s="74"/>
      <c r="T453" s="74"/>
      <c r="U453" s="74"/>
      <c r="V453" s="74"/>
      <c r="W453" s="74"/>
      <c r="X453" s="74"/>
      <c r="Y453" s="74"/>
      <c r="Z453" s="74"/>
      <c r="AA453" s="74"/>
      <c r="AB453" s="74"/>
    </row>
    <row r="454" spans="1:28" ht="12" customHeight="1">
      <c r="A454" s="260"/>
      <c r="B454" s="104"/>
      <c r="C454" s="104"/>
      <c r="D454" s="260"/>
      <c r="E454" s="104"/>
      <c r="F454" s="104"/>
      <c r="G454" s="35"/>
      <c r="H454" s="104"/>
      <c r="I454" s="35"/>
      <c r="J454" s="74"/>
      <c r="K454" s="74"/>
      <c r="L454" s="74"/>
      <c r="M454" s="74"/>
      <c r="N454" s="74"/>
      <c r="O454" s="74"/>
      <c r="P454" s="74"/>
      <c r="Q454" s="74"/>
      <c r="R454" s="74"/>
      <c r="S454" s="74"/>
      <c r="T454" s="74"/>
      <c r="U454" s="74"/>
      <c r="V454" s="74"/>
      <c r="W454" s="74"/>
      <c r="X454" s="74"/>
      <c r="Y454" s="74"/>
      <c r="Z454" s="74"/>
      <c r="AA454" s="74"/>
      <c r="AB454" s="74"/>
    </row>
    <row r="455" spans="1:28" ht="12" customHeight="1">
      <c r="A455" s="260"/>
      <c r="B455" s="104"/>
      <c r="C455" s="104"/>
      <c r="D455" s="260"/>
      <c r="E455" s="104"/>
      <c r="F455" s="104"/>
      <c r="G455" s="35"/>
      <c r="H455" s="104"/>
      <c r="I455" s="35"/>
      <c r="J455" s="74"/>
      <c r="K455" s="74"/>
      <c r="L455" s="74"/>
      <c r="M455" s="74"/>
      <c r="N455" s="74"/>
      <c r="O455" s="74"/>
      <c r="P455" s="74"/>
      <c r="Q455" s="74"/>
      <c r="R455" s="74"/>
      <c r="S455" s="74"/>
      <c r="T455" s="74"/>
      <c r="U455" s="74"/>
      <c r="V455" s="74"/>
      <c r="W455" s="74"/>
      <c r="X455" s="74"/>
      <c r="Y455" s="74"/>
      <c r="Z455" s="74"/>
      <c r="AA455" s="74"/>
      <c r="AB455" s="74"/>
    </row>
    <row r="456" spans="1:28" ht="12" customHeight="1">
      <c r="A456" s="260"/>
      <c r="B456" s="104"/>
      <c r="C456" s="104"/>
      <c r="D456" s="260"/>
      <c r="E456" s="104"/>
      <c r="F456" s="104"/>
      <c r="G456" s="35"/>
      <c r="H456" s="104"/>
      <c r="I456" s="35"/>
      <c r="J456" s="74"/>
      <c r="K456" s="74"/>
      <c r="L456" s="74"/>
      <c r="M456" s="74"/>
      <c r="N456" s="74"/>
      <c r="O456" s="74"/>
      <c r="P456" s="74"/>
      <c r="Q456" s="74"/>
      <c r="R456" s="74"/>
      <c r="S456" s="74"/>
      <c r="T456" s="74"/>
      <c r="U456" s="74"/>
      <c r="V456" s="74"/>
      <c r="W456" s="74"/>
      <c r="X456" s="74"/>
      <c r="Y456" s="74"/>
      <c r="Z456" s="74"/>
      <c r="AA456" s="74"/>
      <c r="AB456" s="74"/>
    </row>
    <row r="457" spans="1:28" ht="12" customHeight="1">
      <c r="A457" s="260"/>
      <c r="B457" s="104"/>
      <c r="C457" s="104"/>
      <c r="D457" s="260"/>
      <c r="E457" s="104"/>
      <c r="F457" s="104"/>
      <c r="G457" s="35"/>
      <c r="H457" s="104"/>
      <c r="I457" s="35"/>
      <c r="J457" s="74"/>
      <c r="K457" s="74"/>
      <c r="L457" s="74"/>
      <c r="M457" s="74"/>
      <c r="N457" s="74"/>
      <c r="O457" s="74"/>
      <c r="P457" s="74"/>
      <c r="Q457" s="74"/>
      <c r="R457" s="74"/>
      <c r="S457" s="74"/>
      <c r="T457" s="74"/>
      <c r="U457" s="74"/>
      <c r="V457" s="74"/>
      <c r="W457" s="74"/>
      <c r="X457" s="74"/>
      <c r="Y457" s="74"/>
      <c r="Z457" s="74"/>
      <c r="AA457" s="74"/>
      <c r="AB457" s="74"/>
    </row>
    <row r="458" spans="1:28" ht="12" customHeight="1">
      <c r="A458" s="260"/>
      <c r="B458" s="104"/>
      <c r="C458" s="104"/>
      <c r="D458" s="260"/>
      <c r="E458" s="104"/>
      <c r="F458" s="104"/>
      <c r="G458" s="35"/>
      <c r="H458" s="104"/>
      <c r="I458" s="35"/>
      <c r="J458" s="74"/>
      <c r="K458" s="74"/>
      <c r="L458" s="74"/>
      <c r="M458" s="74"/>
      <c r="N458" s="74"/>
      <c r="O458" s="74"/>
      <c r="P458" s="74"/>
      <c r="Q458" s="74"/>
      <c r="R458" s="74"/>
      <c r="S458" s="74"/>
      <c r="T458" s="74"/>
      <c r="U458" s="74"/>
      <c r="V458" s="74"/>
      <c r="W458" s="74"/>
      <c r="X458" s="74"/>
      <c r="Y458" s="74"/>
      <c r="Z458" s="74"/>
      <c r="AA458" s="74"/>
      <c r="AB458" s="74"/>
    </row>
    <row r="459" spans="1:28" ht="12" customHeight="1">
      <c r="A459" s="260"/>
      <c r="B459" s="104"/>
      <c r="C459" s="104"/>
      <c r="D459" s="260"/>
      <c r="E459" s="104"/>
      <c r="F459" s="104"/>
      <c r="G459" s="35"/>
      <c r="H459" s="104"/>
      <c r="I459" s="35"/>
      <c r="J459" s="74"/>
      <c r="K459" s="74"/>
      <c r="L459" s="74"/>
      <c r="M459" s="74"/>
      <c r="N459" s="74"/>
      <c r="O459" s="74"/>
      <c r="P459" s="74"/>
      <c r="Q459" s="74"/>
      <c r="R459" s="74"/>
      <c r="S459" s="74"/>
      <c r="T459" s="74"/>
      <c r="U459" s="74"/>
      <c r="V459" s="74"/>
      <c r="W459" s="74"/>
      <c r="X459" s="74"/>
      <c r="Y459" s="74"/>
      <c r="Z459" s="74"/>
      <c r="AA459" s="74"/>
      <c r="AB459" s="74"/>
    </row>
    <row r="460" spans="1:28" ht="12" customHeight="1">
      <c r="A460" s="260"/>
      <c r="B460" s="104"/>
      <c r="C460" s="104"/>
      <c r="D460" s="260"/>
      <c r="E460" s="104"/>
      <c r="F460" s="104"/>
      <c r="G460" s="35"/>
      <c r="H460" s="104"/>
      <c r="I460" s="35"/>
      <c r="J460" s="74"/>
      <c r="K460" s="74"/>
      <c r="L460" s="74"/>
      <c r="M460" s="74"/>
      <c r="N460" s="74"/>
      <c r="O460" s="74"/>
      <c r="P460" s="74"/>
      <c r="Q460" s="74"/>
      <c r="R460" s="74"/>
      <c r="S460" s="74"/>
      <c r="T460" s="74"/>
      <c r="U460" s="74"/>
      <c r="V460" s="74"/>
      <c r="W460" s="74"/>
      <c r="X460" s="74"/>
      <c r="Y460" s="74"/>
      <c r="Z460" s="74"/>
      <c r="AA460" s="74"/>
      <c r="AB460" s="74"/>
    </row>
    <row r="461" spans="1:28" ht="12" customHeight="1">
      <c r="A461" s="260"/>
      <c r="B461" s="104"/>
      <c r="C461" s="104"/>
      <c r="D461" s="260"/>
      <c r="E461" s="104"/>
      <c r="F461" s="104"/>
      <c r="G461" s="35"/>
      <c r="H461" s="104"/>
      <c r="I461" s="35"/>
      <c r="J461" s="74"/>
      <c r="K461" s="74"/>
      <c r="L461" s="74"/>
      <c r="M461" s="74"/>
      <c r="N461" s="74"/>
      <c r="O461" s="74"/>
      <c r="P461" s="74"/>
      <c r="Q461" s="74"/>
      <c r="R461" s="74"/>
      <c r="S461" s="74"/>
      <c r="T461" s="74"/>
      <c r="U461" s="74"/>
      <c r="V461" s="74"/>
      <c r="W461" s="74"/>
      <c r="X461" s="74"/>
      <c r="Y461" s="74"/>
      <c r="Z461" s="74"/>
      <c r="AA461" s="74"/>
      <c r="AB461" s="74"/>
    </row>
    <row r="462" spans="1:28" ht="12" customHeight="1">
      <c r="A462" s="260"/>
      <c r="B462" s="104"/>
      <c r="C462" s="104"/>
      <c r="D462" s="260"/>
      <c r="E462" s="104"/>
      <c r="F462" s="104"/>
      <c r="G462" s="35"/>
      <c r="H462" s="104"/>
      <c r="I462" s="35"/>
      <c r="J462" s="74"/>
      <c r="K462" s="74"/>
      <c r="L462" s="74"/>
      <c r="M462" s="74"/>
      <c r="N462" s="74"/>
      <c r="O462" s="74"/>
      <c r="P462" s="74"/>
      <c r="Q462" s="74"/>
      <c r="R462" s="74"/>
      <c r="S462" s="74"/>
      <c r="T462" s="74"/>
      <c r="U462" s="74"/>
      <c r="V462" s="74"/>
      <c r="W462" s="74"/>
      <c r="X462" s="74"/>
      <c r="Y462" s="74"/>
      <c r="Z462" s="74"/>
      <c r="AA462" s="74"/>
      <c r="AB462" s="74"/>
    </row>
    <row r="463" spans="1:28" ht="12" customHeight="1">
      <c r="A463" s="260"/>
      <c r="B463" s="104"/>
      <c r="C463" s="104"/>
      <c r="D463" s="260"/>
      <c r="E463" s="104"/>
      <c r="F463" s="104"/>
      <c r="G463" s="35"/>
      <c r="H463" s="104"/>
      <c r="I463" s="35"/>
      <c r="J463" s="74"/>
      <c r="K463" s="74"/>
      <c r="L463" s="74"/>
      <c r="M463" s="74"/>
      <c r="N463" s="74"/>
      <c r="O463" s="74"/>
      <c r="P463" s="74"/>
      <c r="Q463" s="74"/>
      <c r="R463" s="74"/>
      <c r="S463" s="74"/>
      <c r="T463" s="74"/>
      <c r="U463" s="74"/>
      <c r="V463" s="74"/>
      <c r="W463" s="74"/>
      <c r="X463" s="74"/>
      <c r="Y463" s="74"/>
      <c r="Z463" s="74"/>
      <c r="AA463" s="74"/>
      <c r="AB463" s="74"/>
    </row>
    <row r="464" spans="1:28" ht="12" customHeight="1">
      <c r="A464" s="260"/>
      <c r="B464" s="104"/>
      <c r="C464" s="104"/>
      <c r="D464" s="260"/>
      <c r="E464" s="104"/>
      <c r="F464" s="104"/>
      <c r="G464" s="35"/>
      <c r="H464" s="104"/>
      <c r="I464" s="35"/>
      <c r="J464" s="74"/>
      <c r="K464" s="74"/>
      <c r="L464" s="74"/>
      <c r="M464" s="74"/>
      <c r="N464" s="74"/>
      <c r="O464" s="74"/>
      <c r="P464" s="74"/>
      <c r="Q464" s="74"/>
      <c r="R464" s="74"/>
      <c r="S464" s="74"/>
      <c r="T464" s="74"/>
      <c r="U464" s="74"/>
      <c r="V464" s="74"/>
      <c r="W464" s="74"/>
      <c r="X464" s="74"/>
      <c r="Y464" s="74"/>
      <c r="Z464" s="74"/>
      <c r="AA464" s="74"/>
      <c r="AB464" s="74"/>
    </row>
    <row r="465" spans="1:28" ht="12" customHeight="1">
      <c r="A465" s="260"/>
      <c r="B465" s="104"/>
      <c r="C465" s="104"/>
      <c r="D465" s="260"/>
      <c r="E465" s="104"/>
      <c r="F465" s="104"/>
      <c r="G465" s="35"/>
      <c r="H465" s="104"/>
      <c r="I465" s="35"/>
      <c r="J465" s="74"/>
      <c r="K465" s="74"/>
      <c r="L465" s="74"/>
      <c r="M465" s="74"/>
      <c r="N465" s="74"/>
      <c r="O465" s="74"/>
      <c r="P465" s="74"/>
      <c r="Q465" s="74"/>
      <c r="R465" s="74"/>
      <c r="S465" s="74"/>
      <c r="T465" s="74"/>
      <c r="U465" s="74"/>
      <c r="V465" s="74"/>
      <c r="W465" s="74"/>
      <c r="X465" s="74"/>
      <c r="Y465" s="74"/>
      <c r="Z465" s="74"/>
      <c r="AA465" s="74"/>
      <c r="AB465" s="74"/>
    </row>
    <row r="466" spans="1:28" ht="12" customHeight="1">
      <c r="A466" s="260"/>
      <c r="B466" s="104"/>
      <c r="C466" s="104"/>
      <c r="D466" s="260"/>
      <c r="E466" s="104"/>
      <c r="F466" s="104"/>
      <c r="G466" s="35"/>
      <c r="H466" s="104"/>
      <c r="I466" s="35"/>
      <c r="J466" s="74"/>
      <c r="K466" s="74"/>
      <c r="L466" s="74"/>
      <c r="M466" s="74"/>
      <c r="N466" s="74"/>
      <c r="O466" s="74"/>
      <c r="P466" s="74"/>
      <c r="Q466" s="74"/>
      <c r="R466" s="74"/>
      <c r="S466" s="74"/>
      <c r="T466" s="74"/>
      <c r="U466" s="74"/>
      <c r="V466" s="74"/>
      <c r="W466" s="74"/>
      <c r="X466" s="74"/>
      <c r="Y466" s="74"/>
      <c r="Z466" s="74"/>
      <c r="AA466" s="74"/>
      <c r="AB466" s="74"/>
    </row>
    <row r="467" spans="1:28" ht="12" customHeight="1">
      <c r="A467" s="260"/>
      <c r="B467" s="104"/>
      <c r="C467" s="104"/>
      <c r="D467" s="260"/>
      <c r="E467" s="104"/>
      <c r="F467" s="104"/>
      <c r="G467" s="35"/>
      <c r="H467" s="104"/>
      <c r="I467" s="35"/>
      <c r="J467" s="74"/>
      <c r="K467" s="74"/>
      <c r="L467" s="74"/>
      <c r="M467" s="74"/>
      <c r="N467" s="74"/>
      <c r="O467" s="74"/>
      <c r="P467" s="74"/>
      <c r="Q467" s="74"/>
      <c r="R467" s="74"/>
      <c r="S467" s="74"/>
      <c r="T467" s="74"/>
      <c r="U467" s="74"/>
      <c r="V467" s="74"/>
      <c r="W467" s="74"/>
      <c r="X467" s="74"/>
      <c r="Y467" s="74"/>
      <c r="Z467" s="74"/>
      <c r="AA467" s="74"/>
      <c r="AB467" s="74"/>
    </row>
    <row r="468" spans="1:28" ht="12" customHeight="1">
      <c r="A468" s="260"/>
      <c r="B468" s="104"/>
      <c r="C468" s="104"/>
      <c r="D468" s="260"/>
      <c r="E468" s="104"/>
      <c r="F468" s="104"/>
      <c r="G468" s="35"/>
      <c r="H468" s="104"/>
      <c r="I468" s="35"/>
      <c r="J468" s="74"/>
      <c r="K468" s="74"/>
      <c r="L468" s="74"/>
      <c r="M468" s="74"/>
      <c r="N468" s="74"/>
      <c r="O468" s="74"/>
      <c r="P468" s="74"/>
      <c r="Q468" s="74"/>
      <c r="R468" s="74"/>
      <c r="S468" s="74"/>
      <c r="T468" s="74"/>
      <c r="U468" s="74"/>
      <c r="V468" s="74"/>
      <c r="W468" s="74"/>
      <c r="X468" s="74"/>
      <c r="Y468" s="74"/>
      <c r="Z468" s="74"/>
      <c r="AA468" s="74"/>
      <c r="AB468" s="74"/>
    </row>
    <row r="469" spans="1:28" ht="12" customHeight="1">
      <c r="A469" s="260"/>
      <c r="B469" s="104"/>
      <c r="C469" s="104"/>
      <c r="D469" s="260"/>
      <c r="E469" s="104"/>
      <c r="F469" s="104"/>
      <c r="G469" s="35"/>
      <c r="H469" s="104"/>
      <c r="I469" s="35"/>
      <c r="J469" s="74"/>
      <c r="K469" s="74"/>
      <c r="L469" s="74"/>
      <c r="M469" s="74"/>
      <c r="N469" s="74"/>
      <c r="O469" s="74"/>
      <c r="P469" s="74"/>
      <c r="Q469" s="74"/>
      <c r="R469" s="74"/>
      <c r="S469" s="74"/>
      <c r="T469" s="74"/>
      <c r="U469" s="74"/>
      <c r="V469" s="74"/>
      <c r="W469" s="74"/>
      <c r="X469" s="74"/>
      <c r="Y469" s="74"/>
      <c r="Z469" s="74"/>
      <c r="AA469" s="74"/>
      <c r="AB469" s="74"/>
    </row>
    <row r="470" spans="1:28" ht="12" customHeight="1">
      <c r="A470" s="260"/>
      <c r="B470" s="104"/>
      <c r="C470" s="104"/>
      <c r="D470" s="260"/>
      <c r="E470" s="104"/>
      <c r="F470" s="104"/>
      <c r="G470" s="35"/>
      <c r="H470" s="104"/>
      <c r="I470" s="35"/>
      <c r="J470" s="74"/>
      <c r="K470" s="74"/>
      <c r="L470" s="74"/>
      <c r="M470" s="74"/>
      <c r="N470" s="74"/>
      <c r="O470" s="74"/>
      <c r="P470" s="74"/>
      <c r="Q470" s="74"/>
      <c r="R470" s="74"/>
      <c r="S470" s="74"/>
      <c r="T470" s="74"/>
      <c r="U470" s="74"/>
      <c r="V470" s="74"/>
      <c r="W470" s="74"/>
      <c r="X470" s="74"/>
      <c r="Y470" s="74"/>
      <c r="Z470" s="74"/>
      <c r="AA470" s="74"/>
      <c r="AB470" s="74"/>
    </row>
    <row r="471" spans="1:28" ht="12" customHeight="1">
      <c r="A471" s="260"/>
      <c r="B471" s="104"/>
      <c r="C471" s="104"/>
      <c r="D471" s="260"/>
      <c r="E471" s="104"/>
      <c r="F471" s="104"/>
      <c r="G471" s="35"/>
      <c r="H471" s="104"/>
      <c r="I471" s="35"/>
      <c r="J471" s="74"/>
      <c r="K471" s="74"/>
      <c r="L471" s="74"/>
      <c r="M471" s="74"/>
      <c r="N471" s="74"/>
      <c r="O471" s="74"/>
      <c r="P471" s="74"/>
      <c r="Q471" s="74"/>
      <c r="R471" s="74"/>
      <c r="S471" s="74"/>
      <c r="T471" s="74"/>
      <c r="U471" s="74"/>
      <c r="V471" s="74"/>
      <c r="W471" s="74"/>
      <c r="X471" s="74"/>
      <c r="Y471" s="74"/>
      <c r="Z471" s="74"/>
      <c r="AA471" s="74"/>
      <c r="AB471" s="74"/>
    </row>
    <row r="472" spans="1:28" ht="12" customHeight="1">
      <c r="A472" s="260"/>
      <c r="B472" s="104"/>
      <c r="C472" s="104"/>
      <c r="D472" s="260"/>
      <c r="E472" s="104"/>
      <c r="F472" s="104"/>
      <c r="G472" s="35"/>
      <c r="H472" s="104"/>
      <c r="I472" s="35"/>
      <c r="J472" s="74"/>
      <c r="K472" s="74"/>
      <c r="L472" s="74"/>
      <c r="M472" s="74"/>
      <c r="N472" s="74"/>
      <c r="O472" s="74"/>
      <c r="P472" s="74"/>
      <c r="Q472" s="74"/>
      <c r="R472" s="74"/>
      <c r="S472" s="74"/>
      <c r="T472" s="74"/>
      <c r="U472" s="74"/>
      <c r="V472" s="74"/>
      <c r="W472" s="74"/>
      <c r="X472" s="74"/>
      <c r="Y472" s="74"/>
      <c r="Z472" s="74"/>
      <c r="AA472" s="74"/>
      <c r="AB472" s="74"/>
    </row>
    <row r="473" spans="1:28" ht="12" customHeight="1">
      <c r="A473" s="260"/>
      <c r="B473" s="104"/>
      <c r="C473" s="104"/>
      <c r="D473" s="260"/>
      <c r="E473" s="104"/>
      <c r="F473" s="104"/>
      <c r="G473" s="35"/>
      <c r="H473" s="104"/>
      <c r="I473" s="35"/>
      <c r="J473" s="74"/>
      <c r="K473" s="74"/>
      <c r="L473" s="74"/>
      <c r="M473" s="74"/>
      <c r="N473" s="74"/>
      <c r="O473" s="74"/>
      <c r="P473" s="74"/>
      <c r="Q473" s="74"/>
      <c r="R473" s="74"/>
      <c r="S473" s="74"/>
      <c r="T473" s="74"/>
      <c r="U473" s="74"/>
      <c r="V473" s="74"/>
      <c r="W473" s="74"/>
      <c r="X473" s="74"/>
      <c r="Y473" s="74"/>
      <c r="Z473" s="74"/>
      <c r="AA473" s="74"/>
      <c r="AB473" s="74"/>
    </row>
    <row r="474" spans="1:28" ht="12" customHeight="1">
      <c r="A474" s="260"/>
      <c r="B474" s="104"/>
      <c r="C474" s="104"/>
      <c r="D474" s="260"/>
      <c r="E474" s="104"/>
      <c r="F474" s="104"/>
      <c r="G474" s="35"/>
      <c r="H474" s="104"/>
      <c r="I474" s="35"/>
      <c r="J474" s="74"/>
      <c r="K474" s="74"/>
      <c r="L474" s="74"/>
      <c r="M474" s="74"/>
      <c r="N474" s="74"/>
      <c r="O474" s="74"/>
      <c r="P474" s="74"/>
      <c r="Q474" s="74"/>
      <c r="R474" s="74"/>
      <c r="S474" s="74"/>
      <c r="T474" s="74"/>
      <c r="U474" s="74"/>
      <c r="V474" s="74"/>
      <c r="W474" s="74"/>
      <c r="X474" s="74"/>
      <c r="Y474" s="74"/>
      <c r="Z474" s="74"/>
      <c r="AA474" s="74"/>
      <c r="AB474" s="74"/>
    </row>
    <row r="475" spans="1:28" ht="12" customHeight="1">
      <c r="A475" s="260"/>
      <c r="B475" s="104"/>
      <c r="C475" s="104"/>
      <c r="D475" s="260"/>
      <c r="E475" s="104"/>
      <c r="F475" s="104"/>
      <c r="G475" s="35"/>
      <c r="H475" s="104"/>
      <c r="I475" s="35"/>
      <c r="J475" s="74"/>
      <c r="K475" s="74"/>
      <c r="L475" s="74"/>
      <c r="M475" s="74"/>
      <c r="N475" s="74"/>
      <c r="O475" s="74"/>
      <c r="P475" s="74"/>
      <c r="Q475" s="74"/>
      <c r="R475" s="74"/>
      <c r="S475" s="74"/>
      <c r="T475" s="74"/>
      <c r="U475" s="74"/>
      <c r="V475" s="74"/>
      <c r="W475" s="74"/>
      <c r="X475" s="74"/>
      <c r="Y475" s="74"/>
      <c r="Z475" s="74"/>
      <c r="AA475" s="74"/>
      <c r="AB475" s="74"/>
    </row>
    <row r="476" spans="1:28" ht="12" customHeight="1">
      <c r="A476" s="260"/>
      <c r="B476" s="104"/>
      <c r="C476" s="104"/>
      <c r="D476" s="260"/>
      <c r="E476" s="104"/>
      <c r="F476" s="104"/>
      <c r="G476" s="35"/>
      <c r="H476" s="104"/>
      <c r="I476" s="35"/>
      <c r="J476" s="74"/>
      <c r="K476" s="74"/>
      <c r="L476" s="74"/>
      <c r="M476" s="74"/>
      <c r="N476" s="74"/>
      <c r="O476" s="74"/>
      <c r="P476" s="74"/>
      <c r="Q476" s="74"/>
      <c r="R476" s="74"/>
      <c r="S476" s="74"/>
      <c r="T476" s="74"/>
      <c r="U476" s="74"/>
      <c r="V476" s="74"/>
      <c r="W476" s="74"/>
      <c r="X476" s="74"/>
      <c r="Y476" s="74"/>
      <c r="Z476" s="74"/>
      <c r="AA476" s="74"/>
      <c r="AB476" s="74"/>
    </row>
    <row r="477" spans="1:28" ht="12" customHeight="1">
      <c r="A477" s="260"/>
      <c r="B477" s="104"/>
      <c r="C477" s="104"/>
      <c r="D477" s="260"/>
      <c r="E477" s="104"/>
      <c r="F477" s="104"/>
      <c r="G477" s="35"/>
      <c r="H477" s="104"/>
      <c r="I477" s="35"/>
      <c r="J477" s="74"/>
      <c r="K477" s="74"/>
      <c r="L477" s="74"/>
      <c r="M477" s="74"/>
      <c r="N477" s="74"/>
      <c r="O477" s="74"/>
      <c r="P477" s="74"/>
      <c r="Q477" s="74"/>
      <c r="R477" s="74"/>
      <c r="S477" s="74"/>
      <c r="T477" s="74"/>
      <c r="U477" s="74"/>
      <c r="V477" s="74"/>
      <c r="W477" s="74"/>
      <c r="X477" s="74"/>
      <c r="Y477" s="74"/>
      <c r="Z477" s="74"/>
      <c r="AA477" s="74"/>
      <c r="AB477" s="74"/>
    </row>
    <row r="478" spans="1:28" ht="12" customHeight="1">
      <c r="A478" s="260"/>
      <c r="B478" s="104"/>
      <c r="C478" s="104"/>
      <c r="D478" s="260"/>
      <c r="E478" s="104"/>
      <c r="F478" s="104"/>
      <c r="G478" s="35"/>
      <c r="H478" s="104"/>
      <c r="I478" s="35"/>
      <c r="J478" s="74"/>
      <c r="K478" s="74"/>
      <c r="L478" s="74"/>
      <c r="M478" s="74"/>
      <c r="N478" s="74"/>
      <c r="O478" s="74"/>
      <c r="P478" s="74"/>
      <c r="Q478" s="74"/>
      <c r="R478" s="74"/>
      <c r="S478" s="74"/>
      <c r="T478" s="74"/>
      <c r="U478" s="74"/>
      <c r="V478" s="74"/>
      <c r="W478" s="74"/>
      <c r="X478" s="74"/>
      <c r="Y478" s="74"/>
      <c r="Z478" s="74"/>
      <c r="AA478" s="74"/>
      <c r="AB478" s="74"/>
    </row>
    <row r="479" spans="1:28" ht="12" customHeight="1">
      <c r="A479" s="260"/>
      <c r="B479" s="104"/>
      <c r="C479" s="104"/>
      <c r="D479" s="260"/>
      <c r="E479" s="104"/>
      <c r="F479" s="104"/>
      <c r="G479" s="35"/>
      <c r="H479" s="104"/>
      <c r="I479" s="35"/>
      <c r="J479" s="74"/>
      <c r="K479" s="74"/>
      <c r="L479" s="74"/>
      <c r="M479" s="74"/>
      <c r="N479" s="74"/>
      <c r="O479" s="74"/>
      <c r="P479" s="74"/>
      <c r="Q479" s="74"/>
      <c r="R479" s="74"/>
      <c r="S479" s="74"/>
      <c r="T479" s="74"/>
      <c r="U479" s="74"/>
      <c r="V479" s="74"/>
      <c r="W479" s="74"/>
      <c r="X479" s="74"/>
      <c r="Y479" s="74"/>
      <c r="Z479" s="74"/>
      <c r="AA479" s="74"/>
      <c r="AB479" s="74"/>
    </row>
    <row r="480" spans="1:28" ht="12" customHeight="1">
      <c r="A480" s="260"/>
      <c r="B480" s="104"/>
      <c r="C480" s="104"/>
      <c r="D480" s="260"/>
      <c r="E480" s="104"/>
      <c r="F480" s="104"/>
      <c r="G480" s="35"/>
      <c r="H480" s="104"/>
      <c r="I480" s="35"/>
      <c r="J480" s="74"/>
      <c r="K480" s="74"/>
      <c r="L480" s="74"/>
      <c r="M480" s="74"/>
      <c r="N480" s="74"/>
      <c r="O480" s="74"/>
      <c r="P480" s="74"/>
      <c r="Q480" s="74"/>
      <c r="R480" s="74"/>
      <c r="S480" s="74"/>
      <c r="T480" s="74"/>
      <c r="U480" s="74"/>
      <c r="V480" s="74"/>
      <c r="W480" s="74"/>
      <c r="X480" s="74"/>
      <c r="Y480" s="74"/>
      <c r="Z480" s="74"/>
      <c r="AA480" s="74"/>
      <c r="AB480" s="74"/>
    </row>
    <row r="481" spans="1:28" ht="12" customHeight="1">
      <c r="A481" s="260"/>
      <c r="B481" s="104"/>
      <c r="C481" s="104"/>
      <c r="D481" s="260"/>
      <c r="E481" s="104"/>
      <c r="F481" s="104"/>
      <c r="G481" s="35"/>
      <c r="H481" s="104"/>
      <c r="I481" s="35"/>
      <c r="J481" s="74"/>
      <c r="K481" s="74"/>
      <c r="L481" s="74"/>
      <c r="M481" s="74"/>
      <c r="N481" s="74"/>
      <c r="O481" s="74"/>
      <c r="P481" s="74"/>
      <c r="Q481" s="74"/>
      <c r="R481" s="74"/>
      <c r="S481" s="74"/>
      <c r="T481" s="74"/>
      <c r="U481" s="74"/>
      <c r="V481" s="74"/>
      <c r="W481" s="74"/>
      <c r="X481" s="74"/>
      <c r="Y481" s="74"/>
      <c r="Z481" s="74"/>
      <c r="AA481" s="74"/>
      <c r="AB481" s="74"/>
    </row>
    <row r="482" spans="1:28" ht="12" customHeight="1">
      <c r="A482" s="260"/>
      <c r="B482" s="104"/>
      <c r="C482" s="104"/>
      <c r="D482" s="260"/>
      <c r="E482" s="104"/>
      <c r="F482" s="104"/>
      <c r="G482" s="35"/>
      <c r="H482" s="104"/>
      <c r="I482" s="35"/>
      <c r="J482" s="74"/>
      <c r="K482" s="74"/>
      <c r="L482" s="74"/>
      <c r="M482" s="74"/>
      <c r="N482" s="74"/>
      <c r="O482" s="74"/>
      <c r="P482" s="74"/>
      <c r="Q482" s="74"/>
      <c r="R482" s="74"/>
      <c r="S482" s="74"/>
      <c r="T482" s="74"/>
      <c r="U482" s="74"/>
      <c r="V482" s="74"/>
      <c r="W482" s="74"/>
      <c r="X482" s="74"/>
      <c r="Y482" s="74"/>
      <c r="Z482" s="74"/>
      <c r="AA482" s="74"/>
      <c r="AB482" s="74"/>
    </row>
    <row r="483" spans="1:28" ht="12" customHeight="1">
      <c r="A483" s="260"/>
      <c r="B483" s="104"/>
      <c r="C483" s="104"/>
      <c r="D483" s="260"/>
      <c r="E483" s="104"/>
      <c r="F483" s="104"/>
      <c r="G483" s="35"/>
      <c r="H483" s="104"/>
      <c r="I483" s="35"/>
      <c r="J483" s="74"/>
      <c r="K483" s="74"/>
      <c r="L483" s="74"/>
      <c r="M483" s="74"/>
      <c r="N483" s="74"/>
      <c r="O483" s="74"/>
      <c r="P483" s="74"/>
      <c r="Q483" s="74"/>
      <c r="R483" s="74"/>
      <c r="S483" s="74"/>
      <c r="T483" s="74"/>
      <c r="U483" s="74"/>
      <c r="V483" s="74"/>
      <c r="W483" s="74"/>
      <c r="X483" s="74"/>
      <c r="Y483" s="74"/>
      <c r="Z483" s="74"/>
      <c r="AA483" s="74"/>
      <c r="AB483" s="74"/>
    </row>
    <row r="484" spans="1:28" ht="12" customHeight="1">
      <c r="A484" s="260"/>
      <c r="B484" s="104"/>
      <c r="C484" s="104"/>
      <c r="D484" s="260"/>
      <c r="E484" s="104"/>
      <c r="F484" s="104"/>
      <c r="G484" s="35"/>
      <c r="H484" s="104"/>
      <c r="I484" s="35"/>
      <c r="J484" s="74"/>
      <c r="K484" s="74"/>
      <c r="L484" s="74"/>
      <c r="M484" s="74"/>
      <c r="N484" s="74"/>
      <c r="O484" s="74"/>
      <c r="P484" s="74"/>
      <c r="Q484" s="74"/>
      <c r="R484" s="74"/>
      <c r="S484" s="74"/>
      <c r="T484" s="74"/>
      <c r="U484" s="74"/>
      <c r="V484" s="74"/>
      <c r="W484" s="74"/>
      <c r="X484" s="74"/>
      <c r="Y484" s="74"/>
      <c r="Z484" s="74"/>
      <c r="AA484" s="74"/>
      <c r="AB484" s="74"/>
    </row>
    <row r="485" spans="1:28" ht="12" customHeight="1">
      <c r="A485" s="260"/>
      <c r="B485" s="104"/>
      <c r="C485" s="104"/>
      <c r="D485" s="260"/>
      <c r="E485" s="104"/>
      <c r="F485" s="104"/>
      <c r="G485" s="35"/>
      <c r="H485" s="104"/>
      <c r="I485" s="35"/>
      <c r="J485" s="74"/>
      <c r="K485" s="74"/>
      <c r="L485" s="74"/>
      <c r="M485" s="74"/>
      <c r="N485" s="74"/>
      <c r="O485" s="74"/>
      <c r="P485" s="74"/>
      <c r="Q485" s="74"/>
      <c r="R485" s="74"/>
      <c r="S485" s="74"/>
      <c r="T485" s="74"/>
      <c r="U485" s="74"/>
      <c r="V485" s="74"/>
      <c r="W485" s="74"/>
      <c r="X485" s="74"/>
      <c r="Y485" s="74"/>
      <c r="Z485" s="74"/>
      <c r="AA485" s="74"/>
      <c r="AB485" s="74"/>
    </row>
    <row r="486" spans="1:28" ht="12" customHeight="1">
      <c r="A486" s="260"/>
      <c r="B486" s="104"/>
      <c r="C486" s="104"/>
      <c r="D486" s="260"/>
      <c r="E486" s="104"/>
      <c r="F486" s="104"/>
      <c r="G486" s="35"/>
      <c r="H486" s="104"/>
      <c r="I486" s="35"/>
      <c r="J486" s="74"/>
      <c r="K486" s="74"/>
      <c r="L486" s="74"/>
      <c r="M486" s="74"/>
      <c r="N486" s="74"/>
      <c r="O486" s="74"/>
      <c r="P486" s="74"/>
      <c r="Q486" s="74"/>
      <c r="R486" s="74"/>
      <c r="S486" s="74"/>
      <c r="T486" s="74"/>
      <c r="U486" s="74"/>
      <c r="V486" s="74"/>
      <c r="W486" s="74"/>
      <c r="X486" s="74"/>
      <c r="Y486" s="74"/>
      <c r="Z486" s="74"/>
      <c r="AA486" s="74"/>
      <c r="AB486" s="74"/>
    </row>
    <row r="487" spans="1:28" ht="12" customHeight="1">
      <c r="A487" s="260"/>
      <c r="B487" s="104"/>
      <c r="C487" s="104"/>
      <c r="D487" s="260"/>
      <c r="E487" s="104"/>
      <c r="F487" s="104"/>
      <c r="G487" s="35"/>
      <c r="H487" s="104"/>
      <c r="I487" s="35"/>
      <c r="J487" s="74"/>
      <c r="K487" s="74"/>
      <c r="L487" s="74"/>
      <c r="M487" s="74"/>
      <c r="N487" s="74"/>
      <c r="O487" s="74"/>
      <c r="P487" s="74"/>
      <c r="Q487" s="74"/>
      <c r="R487" s="74"/>
      <c r="S487" s="74"/>
      <c r="T487" s="74"/>
      <c r="U487" s="74"/>
      <c r="V487" s="74"/>
      <c r="W487" s="74"/>
      <c r="X487" s="74"/>
      <c r="Y487" s="74"/>
      <c r="Z487" s="74"/>
      <c r="AA487" s="74"/>
      <c r="AB487" s="74"/>
    </row>
    <row r="488" spans="1:28" ht="12" customHeight="1">
      <c r="A488" s="260"/>
      <c r="B488" s="104"/>
      <c r="C488" s="104"/>
      <c r="D488" s="260"/>
      <c r="E488" s="104"/>
      <c r="F488" s="104"/>
      <c r="G488" s="35"/>
      <c r="H488" s="104"/>
      <c r="I488" s="35"/>
      <c r="J488" s="74"/>
      <c r="K488" s="74"/>
      <c r="L488" s="74"/>
      <c r="M488" s="74"/>
      <c r="N488" s="74"/>
      <c r="O488" s="74"/>
      <c r="P488" s="74"/>
      <c r="Q488" s="74"/>
      <c r="R488" s="74"/>
      <c r="S488" s="74"/>
      <c r="T488" s="74"/>
      <c r="U488" s="74"/>
      <c r="V488" s="74"/>
      <c r="W488" s="74"/>
      <c r="X488" s="74"/>
      <c r="Y488" s="74"/>
      <c r="Z488" s="74"/>
      <c r="AA488" s="74"/>
      <c r="AB488" s="74"/>
    </row>
    <row r="489" spans="1:28" ht="12" customHeight="1">
      <c r="A489" s="260"/>
      <c r="B489" s="104"/>
      <c r="C489" s="104"/>
      <c r="D489" s="260"/>
      <c r="E489" s="104"/>
      <c r="F489" s="104"/>
      <c r="G489" s="35"/>
      <c r="H489" s="104"/>
      <c r="I489" s="35"/>
      <c r="J489" s="74"/>
      <c r="K489" s="74"/>
      <c r="L489" s="74"/>
      <c r="M489" s="74"/>
      <c r="N489" s="74"/>
      <c r="O489" s="74"/>
      <c r="P489" s="74"/>
      <c r="Q489" s="74"/>
      <c r="R489" s="74"/>
      <c r="S489" s="74"/>
      <c r="T489" s="74"/>
      <c r="U489" s="74"/>
      <c r="V489" s="74"/>
      <c r="W489" s="74"/>
      <c r="X489" s="74"/>
      <c r="Y489" s="74"/>
      <c r="Z489" s="74"/>
      <c r="AA489" s="74"/>
      <c r="AB489" s="74"/>
    </row>
    <row r="490" spans="1:28" ht="12" customHeight="1">
      <c r="A490" s="260"/>
      <c r="B490" s="104"/>
      <c r="C490" s="104"/>
      <c r="D490" s="260"/>
      <c r="E490" s="104"/>
      <c r="F490" s="104"/>
      <c r="G490" s="35"/>
      <c r="H490" s="104"/>
      <c r="I490" s="35"/>
      <c r="J490" s="74"/>
      <c r="K490" s="74"/>
      <c r="L490" s="74"/>
      <c r="M490" s="74"/>
      <c r="N490" s="74"/>
      <c r="O490" s="74"/>
      <c r="P490" s="74"/>
      <c r="Q490" s="74"/>
      <c r="R490" s="74"/>
      <c r="S490" s="74"/>
      <c r="T490" s="74"/>
      <c r="U490" s="74"/>
      <c r="V490" s="74"/>
      <c r="W490" s="74"/>
      <c r="X490" s="74"/>
      <c r="Y490" s="74"/>
      <c r="Z490" s="74"/>
      <c r="AA490" s="74"/>
      <c r="AB490" s="74"/>
    </row>
    <row r="491" spans="1:28" ht="12" customHeight="1">
      <c r="A491" s="260"/>
      <c r="B491" s="104"/>
      <c r="C491" s="104"/>
      <c r="D491" s="260"/>
      <c r="E491" s="104"/>
      <c r="F491" s="104"/>
      <c r="G491" s="35"/>
      <c r="H491" s="104"/>
      <c r="I491" s="35"/>
      <c r="J491" s="74"/>
      <c r="K491" s="74"/>
      <c r="L491" s="74"/>
      <c r="M491" s="74"/>
      <c r="N491" s="74"/>
      <c r="O491" s="74"/>
      <c r="P491" s="74"/>
      <c r="Q491" s="74"/>
      <c r="R491" s="74"/>
      <c r="S491" s="74"/>
      <c r="T491" s="74"/>
      <c r="U491" s="74"/>
      <c r="V491" s="74"/>
      <c r="W491" s="74"/>
      <c r="X491" s="74"/>
      <c r="Y491" s="74"/>
      <c r="Z491" s="74"/>
      <c r="AA491" s="74"/>
      <c r="AB491" s="74"/>
    </row>
    <row r="492" spans="1:28" ht="12" customHeight="1">
      <c r="A492" s="260"/>
      <c r="B492" s="104"/>
      <c r="C492" s="104"/>
      <c r="D492" s="260"/>
      <c r="E492" s="104"/>
      <c r="F492" s="104"/>
      <c r="G492" s="35"/>
      <c r="H492" s="104"/>
      <c r="I492" s="35"/>
      <c r="J492" s="74"/>
      <c r="K492" s="74"/>
      <c r="L492" s="74"/>
      <c r="M492" s="74"/>
      <c r="N492" s="74"/>
      <c r="O492" s="74"/>
      <c r="P492" s="74"/>
      <c r="Q492" s="74"/>
      <c r="R492" s="74"/>
      <c r="S492" s="74"/>
      <c r="T492" s="74"/>
      <c r="U492" s="74"/>
      <c r="V492" s="74"/>
      <c r="W492" s="74"/>
      <c r="X492" s="74"/>
      <c r="Y492" s="74"/>
      <c r="Z492" s="74"/>
      <c r="AA492" s="74"/>
      <c r="AB492" s="74"/>
    </row>
    <row r="493" spans="1:28" ht="12" customHeight="1">
      <c r="A493" s="260"/>
      <c r="B493" s="104"/>
      <c r="C493" s="104"/>
      <c r="D493" s="260"/>
      <c r="E493" s="104"/>
      <c r="F493" s="104"/>
      <c r="G493" s="35"/>
      <c r="H493" s="104"/>
      <c r="I493" s="35"/>
      <c r="J493" s="74"/>
      <c r="K493" s="74"/>
      <c r="L493" s="74"/>
      <c r="M493" s="74"/>
      <c r="N493" s="74"/>
      <c r="O493" s="74"/>
      <c r="P493" s="74"/>
      <c r="Q493" s="74"/>
      <c r="R493" s="74"/>
      <c r="S493" s="74"/>
      <c r="T493" s="74"/>
      <c r="U493" s="74"/>
      <c r="V493" s="74"/>
      <c r="W493" s="74"/>
      <c r="X493" s="74"/>
      <c r="Y493" s="74"/>
      <c r="Z493" s="74"/>
      <c r="AA493" s="74"/>
      <c r="AB493" s="74"/>
    </row>
    <row r="494" spans="1:28" ht="12" customHeight="1">
      <c r="A494" s="260"/>
      <c r="B494" s="104"/>
      <c r="C494" s="104"/>
      <c r="D494" s="260"/>
      <c r="E494" s="104"/>
      <c r="F494" s="104"/>
      <c r="G494" s="35"/>
      <c r="H494" s="104"/>
      <c r="I494" s="35"/>
      <c r="J494" s="74"/>
      <c r="K494" s="74"/>
      <c r="L494" s="74"/>
      <c r="M494" s="74"/>
      <c r="N494" s="74"/>
      <c r="O494" s="74"/>
      <c r="P494" s="74"/>
      <c r="Q494" s="74"/>
      <c r="R494" s="74"/>
      <c r="S494" s="74"/>
      <c r="T494" s="74"/>
      <c r="U494" s="74"/>
      <c r="V494" s="74"/>
      <c r="W494" s="74"/>
      <c r="X494" s="74"/>
      <c r="Y494" s="74"/>
      <c r="Z494" s="74"/>
      <c r="AA494" s="74"/>
      <c r="AB494" s="74"/>
    </row>
    <row r="495" spans="1:28" ht="12" customHeight="1">
      <c r="A495" s="260"/>
      <c r="B495" s="104"/>
      <c r="C495" s="104"/>
      <c r="D495" s="260"/>
      <c r="E495" s="104"/>
      <c r="F495" s="104"/>
      <c r="G495" s="35"/>
      <c r="H495" s="104"/>
      <c r="I495" s="35"/>
      <c r="J495" s="74"/>
      <c r="K495" s="74"/>
      <c r="L495" s="74"/>
      <c r="M495" s="74"/>
      <c r="N495" s="74"/>
      <c r="O495" s="74"/>
      <c r="P495" s="74"/>
      <c r="Q495" s="74"/>
      <c r="R495" s="74"/>
      <c r="S495" s="74"/>
      <c r="T495" s="74"/>
      <c r="U495" s="74"/>
      <c r="V495" s="74"/>
      <c r="W495" s="74"/>
      <c r="X495" s="74"/>
      <c r="Y495" s="74"/>
      <c r="Z495" s="74"/>
      <c r="AA495" s="74"/>
      <c r="AB495" s="74"/>
    </row>
    <row r="496" spans="1:28" ht="12" customHeight="1">
      <c r="A496" s="260"/>
      <c r="B496" s="104"/>
      <c r="C496" s="104"/>
      <c r="D496" s="260"/>
      <c r="E496" s="104"/>
      <c r="F496" s="104"/>
      <c r="G496" s="35"/>
      <c r="H496" s="104"/>
      <c r="I496" s="35"/>
      <c r="J496" s="74"/>
      <c r="K496" s="74"/>
      <c r="L496" s="74"/>
      <c r="M496" s="74"/>
      <c r="N496" s="74"/>
      <c r="O496" s="74"/>
      <c r="P496" s="74"/>
      <c r="Q496" s="74"/>
      <c r="R496" s="74"/>
      <c r="S496" s="74"/>
      <c r="T496" s="74"/>
      <c r="U496" s="74"/>
      <c r="V496" s="74"/>
      <c r="W496" s="74"/>
      <c r="X496" s="74"/>
      <c r="Y496" s="74"/>
      <c r="Z496" s="74"/>
      <c r="AA496" s="74"/>
      <c r="AB496" s="74"/>
    </row>
    <row r="497" spans="1:28" ht="12" customHeight="1">
      <c r="A497" s="260"/>
      <c r="B497" s="104"/>
      <c r="C497" s="104"/>
      <c r="D497" s="260"/>
      <c r="E497" s="104"/>
      <c r="F497" s="104"/>
      <c r="G497" s="35"/>
      <c r="H497" s="104"/>
      <c r="I497" s="35"/>
      <c r="J497" s="74"/>
      <c r="K497" s="74"/>
      <c r="L497" s="74"/>
      <c r="M497" s="74"/>
      <c r="N497" s="74"/>
      <c r="O497" s="74"/>
      <c r="P497" s="74"/>
      <c r="Q497" s="74"/>
      <c r="R497" s="74"/>
      <c r="S497" s="74"/>
      <c r="T497" s="74"/>
      <c r="U497" s="74"/>
      <c r="V497" s="74"/>
      <c r="W497" s="74"/>
      <c r="X497" s="74"/>
      <c r="Y497" s="74"/>
      <c r="Z497" s="74"/>
      <c r="AA497" s="74"/>
      <c r="AB497" s="74"/>
    </row>
    <row r="498" spans="1:28" ht="12" customHeight="1">
      <c r="A498" s="260"/>
      <c r="B498" s="104"/>
      <c r="C498" s="104"/>
      <c r="D498" s="260"/>
      <c r="E498" s="104"/>
      <c r="F498" s="104"/>
      <c r="G498" s="35"/>
      <c r="H498" s="104"/>
      <c r="I498" s="35"/>
      <c r="J498" s="74"/>
      <c r="K498" s="74"/>
      <c r="L498" s="74"/>
      <c r="M498" s="74"/>
      <c r="N498" s="74"/>
      <c r="O498" s="74"/>
      <c r="P498" s="74"/>
      <c r="Q498" s="74"/>
      <c r="R498" s="74"/>
      <c r="S498" s="74"/>
      <c r="T498" s="74"/>
      <c r="U498" s="74"/>
      <c r="V498" s="74"/>
      <c r="W498" s="74"/>
      <c r="X498" s="74"/>
      <c r="Y498" s="74"/>
      <c r="Z498" s="74"/>
      <c r="AA498" s="74"/>
      <c r="AB498" s="74"/>
    </row>
    <row r="499" spans="1:28" ht="12" customHeight="1">
      <c r="A499" s="260"/>
      <c r="B499" s="104"/>
      <c r="C499" s="104"/>
      <c r="D499" s="260"/>
      <c r="E499" s="104"/>
      <c r="F499" s="104"/>
      <c r="G499" s="35"/>
      <c r="H499" s="104"/>
      <c r="I499" s="35"/>
      <c r="J499" s="74"/>
      <c r="K499" s="74"/>
      <c r="L499" s="74"/>
      <c r="M499" s="74"/>
      <c r="N499" s="74"/>
      <c r="O499" s="74"/>
      <c r="P499" s="74"/>
      <c r="Q499" s="74"/>
      <c r="R499" s="74"/>
      <c r="S499" s="74"/>
      <c r="T499" s="74"/>
      <c r="U499" s="74"/>
      <c r="V499" s="74"/>
      <c r="W499" s="74"/>
      <c r="X499" s="74"/>
      <c r="Y499" s="74"/>
      <c r="Z499" s="74"/>
      <c r="AA499" s="74"/>
      <c r="AB499" s="74"/>
    </row>
    <row r="500" spans="1:28" ht="12" customHeight="1">
      <c r="A500" s="260"/>
      <c r="B500" s="104"/>
      <c r="C500" s="104"/>
      <c r="D500" s="260"/>
      <c r="E500" s="104"/>
      <c r="F500" s="104"/>
      <c r="G500" s="35"/>
      <c r="H500" s="104"/>
      <c r="I500" s="35"/>
      <c r="J500" s="74"/>
      <c r="K500" s="74"/>
      <c r="L500" s="74"/>
      <c r="M500" s="74"/>
      <c r="N500" s="74"/>
      <c r="O500" s="74"/>
      <c r="P500" s="74"/>
      <c r="Q500" s="74"/>
      <c r="R500" s="74"/>
      <c r="S500" s="74"/>
      <c r="T500" s="74"/>
      <c r="U500" s="74"/>
      <c r="V500" s="74"/>
      <c r="W500" s="74"/>
      <c r="X500" s="74"/>
      <c r="Y500" s="74"/>
      <c r="Z500" s="74"/>
      <c r="AA500" s="74"/>
      <c r="AB500" s="74"/>
    </row>
    <row r="501" spans="1:28" ht="12" customHeight="1">
      <c r="A501" s="260"/>
      <c r="B501" s="104"/>
      <c r="C501" s="104"/>
      <c r="D501" s="260"/>
      <c r="E501" s="104"/>
      <c r="F501" s="104"/>
      <c r="G501" s="35"/>
      <c r="H501" s="104"/>
      <c r="I501" s="35"/>
      <c r="J501" s="74"/>
      <c r="K501" s="74"/>
      <c r="L501" s="74"/>
      <c r="M501" s="74"/>
      <c r="N501" s="74"/>
      <c r="O501" s="74"/>
      <c r="P501" s="74"/>
      <c r="Q501" s="74"/>
      <c r="R501" s="74"/>
      <c r="S501" s="74"/>
      <c r="T501" s="74"/>
      <c r="U501" s="74"/>
      <c r="V501" s="74"/>
      <c r="W501" s="74"/>
      <c r="X501" s="74"/>
      <c r="Y501" s="74"/>
      <c r="Z501" s="74"/>
      <c r="AA501" s="74"/>
      <c r="AB501" s="74"/>
    </row>
    <row r="502" spans="1:28" ht="12" customHeight="1">
      <c r="A502" s="260"/>
      <c r="B502" s="104"/>
      <c r="C502" s="104"/>
      <c r="D502" s="260"/>
      <c r="E502" s="104"/>
      <c r="F502" s="104"/>
      <c r="G502" s="35"/>
      <c r="H502" s="104"/>
      <c r="I502" s="35"/>
      <c r="J502" s="74"/>
      <c r="K502" s="74"/>
      <c r="L502" s="74"/>
      <c r="M502" s="74"/>
      <c r="N502" s="74"/>
      <c r="O502" s="74"/>
      <c r="P502" s="74"/>
      <c r="Q502" s="74"/>
      <c r="R502" s="74"/>
      <c r="S502" s="74"/>
      <c r="T502" s="74"/>
      <c r="U502" s="74"/>
      <c r="V502" s="74"/>
      <c r="W502" s="74"/>
      <c r="X502" s="74"/>
      <c r="Y502" s="74"/>
      <c r="Z502" s="74"/>
      <c r="AA502" s="74"/>
      <c r="AB502" s="74"/>
    </row>
    <row r="503" spans="1:28" ht="12" customHeight="1">
      <c r="A503" s="260"/>
      <c r="B503" s="104"/>
      <c r="C503" s="104"/>
      <c r="D503" s="260"/>
      <c r="E503" s="104"/>
      <c r="F503" s="104"/>
      <c r="G503" s="35"/>
      <c r="H503" s="104"/>
      <c r="I503" s="35"/>
      <c r="J503" s="74"/>
      <c r="K503" s="74"/>
      <c r="L503" s="74"/>
      <c r="M503" s="74"/>
      <c r="N503" s="74"/>
      <c r="O503" s="74"/>
      <c r="P503" s="74"/>
      <c r="Q503" s="74"/>
      <c r="R503" s="74"/>
      <c r="S503" s="74"/>
      <c r="T503" s="74"/>
      <c r="U503" s="74"/>
      <c r="V503" s="74"/>
      <c r="W503" s="74"/>
      <c r="X503" s="74"/>
      <c r="Y503" s="74"/>
      <c r="Z503" s="74"/>
      <c r="AA503" s="74"/>
      <c r="AB503" s="74"/>
    </row>
    <row r="504" spans="1:28" ht="12" customHeight="1">
      <c r="A504" s="260"/>
      <c r="B504" s="104"/>
      <c r="C504" s="104"/>
      <c r="D504" s="260"/>
      <c r="E504" s="104"/>
      <c r="F504" s="104"/>
      <c r="G504" s="35"/>
      <c r="H504" s="104"/>
      <c r="I504" s="35"/>
      <c r="J504" s="74"/>
      <c r="K504" s="74"/>
      <c r="L504" s="74"/>
      <c r="M504" s="74"/>
      <c r="N504" s="74"/>
      <c r="O504" s="74"/>
      <c r="P504" s="74"/>
      <c r="Q504" s="74"/>
      <c r="R504" s="74"/>
      <c r="S504" s="74"/>
      <c r="T504" s="74"/>
      <c r="U504" s="74"/>
      <c r="V504" s="74"/>
      <c r="W504" s="74"/>
      <c r="X504" s="74"/>
      <c r="Y504" s="74"/>
      <c r="Z504" s="74"/>
      <c r="AA504" s="74"/>
      <c r="AB504" s="74"/>
    </row>
    <row r="505" spans="1:28" ht="12" customHeight="1">
      <c r="A505" s="260"/>
      <c r="B505" s="104"/>
      <c r="C505" s="104"/>
      <c r="D505" s="260"/>
      <c r="E505" s="104"/>
      <c r="F505" s="104"/>
      <c r="G505" s="35"/>
      <c r="H505" s="104"/>
      <c r="I505" s="35"/>
      <c r="J505" s="74"/>
      <c r="K505" s="74"/>
      <c r="L505" s="74"/>
      <c r="M505" s="74"/>
      <c r="N505" s="74"/>
      <c r="O505" s="74"/>
      <c r="P505" s="74"/>
      <c r="Q505" s="74"/>
      <c r="R505" s="74"/>
      <c r="S505" s="74"/>
      <c r="T505" s="74"/>
      <c r="U505" s="74"/>
      <c r="V505" s="74"/>
      <c r="W505" s="74"/>
      <c r="X505" s="74"/>
      <c r="Y505" s="74"/>
      <c r="Z505" s="74"/>
      <c r="AA505" s="74"/>
      <c r="AB505" s="74"/>
    </row>
    <row r="506" spans="1:28" ht="12" customHeight="1">
      <c r="A506" s="260"/>
      <c r="B506" s="104"/>
      <c r="C506" s="104"/>
      <c r="D506" s="260"/>
      <c r="E506" s="104"/>
      <c r="F506" s="104"/>
      <c r="G506" s="35"/>
      <c r="H506" s="104"/>
      <c r="I506" s="35"/>
      <c r="J506" s="74"/>
      <c r="K506" s="74"/>
      <c r="L506" s="74"/>
      <c r="M506" s="74"/>
      <c r="N506" s="74"/>
      <c r="O506" s="74"/>
      <c r="P506" s="74"/>
      <c r="Q506" s="74"/>
      <c r="R506" s="74"/>
      <c r="S506" s="74"/>
      <c r="T506" s="74"/>
      <c r="U506" s="74"/>
      <c r="V506" s="74"/>
      <c r="W506" s="74"/>
      <c r="X506" s="74"/>
      <c r="Y506" s="74"/>
      <c r="Z506" s="74"/>
      <c r="AA506" s="74"/>
      <c r="AB506" s="74"/>
    </row>
    <row r="507" spans="1:28" ht="12" customHeight="1">
      <c r="A507" s="260"/>
      <c r="B507" s="104"/>
      <c r="C507" s="104"/>
      <c r="D507" s="260"/>
      <c r="E507" s="104"/>
      <c r="F507" s="104"/>
      <c r="G507" s="35"/>
      <c r="H507" s="104"/>
      <c r="I507" s="35"/>
      <c r="J507" s="74"/>
      <c r="K507" s="74"/>
      <c r="L507" s="74"/>
      <c r="M507" s="74"/>
      <c r="N507" s="74"/>
      <c r="O507" s="74"/>
      <c r="P507" s="74"/>
      <c r="Q507" s="74"/>
      <c r="R507" s="74"/>
      <c r="S507" s="74"/>
      <c r="T507" s="74"/>
      <c r="U507" s="74"/>
      <c r="V507" s="74"/>
      <c r="W507" s="74"/>
      <c r="X507" s="74"/>
      <c r="Y507" s="74"/>
      <c r="Z507" s="74"/>
      <c r="AA507" s="74"/>
      <c r="AB507" s="74"/>
    </row>
    <row r="508" spans="1:28" ht="12" customHeight="1">
      <c r="A508" s="260"/>
      <c r="B508" s="104"/>
      <c r="C508" s="104"/>
      <c r="D508" s="260"/>
      <c r="E508" s="104"/>
      <c r="F508" s="104"/>
      <c r="G508" s="35"/>
      <c r="H508" s="104"/>
      <c r="I508" s="35"/>
      <c r="J508" s="74"/>
      <c r="K508" s="74"/>
      <c r="L508" s="74"/>
      <c r="M508" s="74"/>
      <c r="N508" s="74"/>
      <c r="O508" s="74"/>
      <c r="P508" s="74"/>
      <c r="Q508" s="74"/>
      <c r="R508" s="74"/>
      <c r="S508" s="74"/>
      <c r="T508" s="74"/>
      <c r="U508" s="74"/>
      <c r="V508" s="74"/>
      <c r="W508" s="74"/>
      <c r="X508" s="74"/>
      <c r="Y508" s="74"/>
      <c r="Z508" s="74"/>
      <c r="AA508" s="74"/>
      <c r="AB508" s="74"/>
    </row>
    <row r="509" spans="1:28" ht="12" customHeight="1">
      <c r="A509" s="260"/>
      <c r="B509" s="104"/>
      <c r="C509" s="104"/>
      <c r="D509" s="260"/>
      <c r="E509" s="104"/>
      <c r="F509" s="104"/>
      <c r="G509" s="35"/>
      <c r="H509" s="104"/>
      <c r="I509" s="35"/>
      <c r="J509" s="74"/>
      <c r="K509" s="74"/>
      <c r="L509" s="74"/>
      <c r="M509" s="74"/>
      <c r="N509" s="74"/>
      <c r="O509" s="74"/>
      <c r="P509" s="74"/>
      <c r="Q509" s="74"/>
      <c r="R509" s="74"/>
      <c r="S509" s="74"/>
      <c r="T509" s="74"/>
      <c r="U509" s="74"/>
      <c r="V509" s="74"/>
      <c r="W509" s="74"/>
      <c r="X509" s="74"/>
      <c r="Y509" s="74"/>
      <c r="Z509" s="74"/>
      <c r="AA509" s="74"/>
      <c r="AB509" s="74"/>
    </row>
    <row r="510" spans="1:28" ht="12" customHeight="1">
      <c r="A510" s="260"/>
      <c r="B510" s="104"/>
      <c r="C510" s="104"/>
      <c r="D510" s="260"/>
      <c r="E510" s="104"/>
      <c r="F510" s="104"/>
      <c r="G510" s="35"/>
      <c r="H510" s="104"/>
      <c r="I510" s="35"/>
      <c r="J510" s="74"/>
      <c r="K510" s="74"/>
      <c r="L510" s="74"/>
      <c r="M510" s="74"/>
      <c r="N510" s="74"/>
      <c r="O510" s="74"/>
      <c r="P510" s="74"/>
      <c r="Q510" s="74"/>
      <c r="R510" s="74"/>
      <c r="S510" s="74"/>
      <c r="T510" s="74"/>
      <c r="U510" s="74"/>
      <c r="V510" s="74"/>
      <c r="W510" s="74"/>
      <c r="X510" s="74"/>
      <c r="Y510" s="74"/>
      <c r="Z510" s="74"/>
      <c r="AA510" s="74"/>
      <c r="AB510" s="74"/>
    </row>
    <row r="511" spans="1:28" ht="12" customHeight="1">
      <c r="A511" s="260"/>
      <c r="B511" s="104"/>
      <c r="C511" s="104"/>
      <c r="D511" s="260"/>
      <c r="E511" s="104"/>
      <c r="F511" s="104"/>
      <c r="G511" s="35"/>
      <c r="H511" s="104"/>
      <c r="I511" s="35"/>
      <c r="J511" s="74"/>
      <c r="K511" s="74"/>
      <c r="L511" s="74"/>
      <c r="M511" s="74"/>
      <c r="N511" s="74"/>
      <c r="O511" s="74"/>
      <c r="P511" s="74"/>
      <c r="Q511" s="74"/>
      <c r="R511" s="74"/>
      <c r="S511" s="74"/>
      <c r="T511" s="74"/>
      <c r="U511" s="74"/>
      <c r="V511" s="74"/>
      <c r="W511" s="74"/>
      <c r="X511" s="74"/>
      <c r="Y511" s="74"/>
      <c r="Z511" s="74"/>
      <c r="AA511" s="74"/>
      <c r="AB511" s="74"/>
    </row>
    <row r="512" spans="1:28" ht="12" customHeight="1">
      <c r="A512" s="260"/>
      <c r="B512" s="104"/>
      <c r="C512" s="104"/>
      <c r="D512" s="260"/>
      <c r="E512" s="104"/>
      <c r="F512" s="104"/>
      <c r="G512" s="35"/>
      <c r="H512" s="104"/>
      <c r="I512" s="35"/>
      <c r="J512" s="74"/>
      <c r="K512" s="74"/>
      <c r="L512" s="74"/>
      <c r="M512" s="74"/>
      <c r="N512" s="74"/>
      <c r="O512" s="74"/>
      <c r="P512" s="74"/>
      <c r="Q512" s="74"/>
      <c r="R512" s="74"/>
      <c r="S512" s="74"/>
      <c r="T512" s="74"/>
      <c r="U512" s="74"/>
      <c r="V512" s="74"/>
      <c r="W512" s="74"/>
      <c r="X512" s="74"/>
      <c r="Y512" s="74"/>
      <c r="Z512" s="74"/>
      <c r="AA512" s="74"/>
      <c r="AB512" s="74"/>
    </row>
    <row r="513" spans="1:28" ht="12" customHeight="1">
      <c r="A513" s="260"/>
      <c r="B513" s="104"/>
      <c r="C513" s="104"/>
      <c r="D513" s="260"/>
      <c r="E513" s="104"/>
      <c r="F513" s="104"/>
      <c r="G513" s="35"/>
      <c r="H513" s="104"/>
      <c r="I513" s="35"/>
      <c r="J513" s="74"/>
      <c r="K513" s="74"/>
      <c r="L513" s="74"/>
      <c r="M513" s="74"/>
      <c r="N513" s="74"/>
      <c r="O513" s="74"/>
      <c r="P513" s="74"/>
      <c r="Q513" s="74"/>
      <c r="R513" s="74"/>
      <c r="S513" s="74"/>
      <c r="T513" s="74"/>
      <c r="U513" s="74"/>
      <c r="V513" s="74"/>
      <c r="W513" s="74"/>
      <c r="X513" s="74"/>
      <c r="Y513" s="74"/>
      <c r="Z513" s="74"/>
      <c r="AA513" s="74"/>
      <c r="AB513" s="74"/>
    </row>
    <row r="514" spans="1:28" ht="12" customHeight="1">
      <c r="A514" s="260"/>
      <c r="B514" s="104"/>
      <c r="C514" s="104"/>
      <c r="D514" s="260"/>
      <c r="E514" s="104"/>
      <c r="F514" s="104"/>
      <c r="G514" s="35"/>
      <c r="H514" s="104"/>
      <c r="I514" s="35"/>
      <c r="J514" s="74"/>
      <c r="K514" s="74"/>
      <c r="L514" s="74"/>
      <c r="M514" s="74"/>
      <c r="N514" s="74"/>
      <c r="O514" s="74"/>
      <c r="P514" s="74"/>
      <c r="Q514" s="74"/>
      <c r="R514" s="74"/>
      <c r="S514" s="74"/>
      <c r="T514" s="74"/>
      <c r="U514" s="74"/>
      <c r="V514" s="74"/>
      <c r="W514" s="74"/>
      <c r="X514" s="74"/>
      <c r="Y514" s="74"/>
      <c r="Z514" s="74"/>
      <c r="AA514" s="74"/>
      <c r="AB514" s="74"/>
    </row>
    <row r="515" spans="1:28" ht="12" customHeight="1">
      <c r="A515" s="260"/>
      <c r="B515" s="104"/>
      <c r="C515" s="104"/>
      <c r="D515" s="260"/>
      <c r="E515" s="104"/>
      <c r="F515" s="104"/>
      <c r="G515" s="35"/>
      <c r="H515" s="104"/>
      <c r="I515" s="35"/>
      <c r="J515" s="74"/>
      <c r="K515" s="74"/>
      <c r="L515" s="74"/>
      <c r="M515" s="74"/>
      <c r="N515" s="74"/>
      <c r="O515" s="74"/>
      <c r="P515" s="74"/>
      <c r="Q515" s="74"/>
      <c r="R515" s="74"/>
      <c r="S515" s="74"/>
      <c r="T515" s="74"/>
      <c r="U515" s="74"/>
      <c r="V515" s="74"/>
      <c r="W515" s="74"/>
      <c r="X515" s="74"/>
      <c r="Y515" s="74"/>
      <c r="Z515" s="74"/>
      <c r="AA515" s="74"/>
      <c r="AB515" s="74"/>
    </row>
    <row r="516" spans="1:28" ht="12" customHeight="1">
      <c r="A516" s="260"/>
      <c r="B516" s="104"/>
      <c r="C516" s="104"/>
      <c r="D516" s="260"/>
      <c r="E516" s="104"/>
      <c r="F516" s="104"/>
      <c r="G516" s="35"/>
      <c r="H516" s="104"/>
      <c r="I516" s="35"/>
      <c r="J516" s="74"/>
      <c r="K516" s="74"/>
      <c r="L516" s="74"/>
      <c r="M516" s="74"/>
      <c r="N516" s="74"/>
      <c r="O516" s="74"/>
      <c r="P516" s="74"/>
      <c r="Q516" s="74"/>
      <c r="R516" s="74"/>
      <c r="S516" s="74"/>
      <c r="T516" s="74"/>
      <c r="U516" s="74"/>
      <c r="V516" s="74"/>
      <c r="W516" s="74"/>
      <c r="X516" s="74"/>
      <c r="Y516" s="74"/>
      <c r="Z516" s="74"/>
      <c r="AA516" s="74"/>
      <c r="AB516" s="74"/>
    </row>
    <row r="517" spans="1:28" ht="12" customHeight="1">
      <c r="A517" s="260"/>
      <c r="B517" s="104"/>
      <c r="C517" s="104"/>
      <c r="D517" s="260"/>
      <c r="E517" s="104"/>
      <c r="F517" s="104"/>
      <c r="G517" s="35"/>
      <c r="H517" s="104"/>
      <c r="I517" s="35"/>
      <c r="J517" s="74"/>
      <c r="K517" s="74"/>
      <c r="L517" s="74"/>
      <c r="M517" s="74"/>
      <c r="N517" s="74"/>
      <c r="O517" s="74"/>
      <c r="P517" s="74"/>
      <c r="Q517" s="74"/>
      <c r="R517" s="74"/>
      <c r="S517" s="74"/>
      <c r="T517" s="74"/>
      <c r="U517" s="74"/>
      <c r="V517" s="74"/>
      <c r="W517" s="74"/>
      <c r="X517" s="74"/>
      <c r="Y517" s="74"/>
      <c r="Z517" s="74"/>
      <c r="AA517" s="74"/>
      <c r="AB517" s="74"/>
    </row>
    <row r="518" spans="1:28" ht="12" customHeight="1">
      <c r="A518" s="260"/>
      <c r="B518" s="104"/>
      <c r="C518" s="104"/>
      <c r="D518" s="260"/>
      <c r="E518" s="104"/>
      <c r="F518" s="104"/>
      <c r="G518" s="35"/>
      <c r="H518" s="104"/>
      <c r="I518" s="35"/>
      <c r="J518" s="74"/>
      <c r="K518" s="74"/>
      <c r="L518" s="74"/>
      <c r="M518" s="74"/>
      <c r="N518" s="74"/>
      <c r="O518" s="74"/>
      <c r="P518" s="74"/>
      <c r="Q518" s="74"/>
      <c r="R518" s="74"/>
      <c r="S518" s="74"/>
      <c r="T518" s="74"/>
      <c r="U518" s="74"/>
      <c r="V518" s="74"/>
      <c r="W518" s="74"/>
      <c r="X518" s="74"/>
      <c r="Y518" s="74"/>
      <c r="Z518" s="74"/>
      <c r="AA518" s="74"/>
      <c r="AB518" s="74"/>
    </row>
    <row r="519" spans="1:28" ht="12" customHeight="1">
      <c r="A519" s="260"/>
      <c r="B519" s="104"/>
      <c r="C519" s="104"/>
      <c r="D519" s="260"/>
      <c r="E519" s="104"/>
      <c r="F519" s="104"/>
      <c r="G519" s="35"/>
      <c r="H519" s="104"/>
      <c r="I519" s="35"/>
      <c r="J519" s="74"/>
      <c r="K519" s="74"/>
      <c r="L519" s="74"/>
      <c r="M519" s="74"/>
      <c r="N519" s="74"/>
      <c r="O519" s="74"/>
      <c r="P519" s="74"/>
      <c r="Q519" s="74"/>
      <c r="R519" s="74"/>
      <c r="S519" s="74"/>
      <c r="T519" s="74"/>
      <c r="U519" s="74"/>
      <c r="V519" s="74"/>
      <c r="W519" s="74"/>
      <c r="X519" s="74"/>
      <c r="Y519" s="74"/>
      <c r="Z519" s="74"/>
      <c r="AA519" s="74"/>
      <c r="AB519" s="74"/>
    </row>
    <row r="520" spans="1:28" ht="12" customHeight="1">
      <c r="A520" s="260"/>
      <c r="B520" s="104"/>
      <c r="C520" s="104"/>
      <c r="D520" s="260"/>
      <c r="E520" s="104"/>
      <c r="F520" s="104"/>
      <c r="G520" s="35"/>
      <c r="H520" s="104"/>
      <c r="I520" s="35"/>
      <c r="J520" s="74"/>
      <c r="K520" s="74"/>
      <c r="L520" s="74"/>
      <c r="M520" s="74"/>
      <c r="N520" s="74"/>
      <c r="O520" s="74"/>
      <c r="P520" s="74"/>
      <c r="Q520" s="74"/>
      <c r="R520" s="74"/>
      <c r="S520" s="74"/>
      <c r="T520" s="74"/>
      <c r="U520" s="74"/>
      <c r="V520" s="74"/>
      <c r="W520" s="74"/>
      <c r="X520" s="74"/>
      <c r="Y520" s="74"/>
      <c r="Z520" s="74"/>
      <c r="AA520" s="74"/>
      <c r="AB520" s="74"/>
    </row>
    <row r="521" spans="1:28" ht="12" customHeight="1">
      <c r="A521" s="260"/>
      <c r="B521" s="104"/>
      <c r="C521" s="104"/>
      <c r="D521" s="260"/>
      <c r="E521" s="104"/>
      <c r="F521" s="104"/>
      <c r="G521" s="35"/>
      <c r="H521" s="104"/>
      <c r="I521" s="35"/>
      <c r="J521" s="74"/>
      <c r="K521" s="74"/>
      <c r="L521" s="74"/>
      <c r="M521" s="74"/>
      <c r="N521" s="74"/>
      <c r="O521" s="74"/>
      <c r="P521" s="74"/>
      <c r="Q521" s="74"/>
      <c r="R521" s="74"/>
      <c r="S521" s="74"/>
      <c r="T521" s="74"/>
      <c r="U521" s="74"/>
      <c r="V521" s="74"/>
      <c r="W521" s="74"/>
      <c r="X521" s="74"/>
      <c r="Y521" s="74"/>
      <c r="Z521" s="74"/>
      <c r="AA521" s="74"/>
      <c r="AB521" s="74"/>
    </row>
    <row r="522" spans="1:28" ht="12" customHeight="1">
      <c r="A522" s="260"/>
      <c r="B522" s="104"/>
      <c r="C522" s="104"/>
      <c r="D522" s="260"/>
      <c r="E522" s="104"/>
      <c r="F522" s="104"/>
      <c r="G522" s="35"/>
      <c r="H522" s="104"/>
      <c r="I522" s="35"/>
      <c r="J522" s="74"/>
      <c r="K522" s="74"/>
      <c r="L522" s="74"/>
      <c r="M522" s="74"/>
      <c r="N522" s="74"/>
      <c r="O522" s="74"/>
      <c r="P522" s="74"/>
      <c r="Q522" s="74"/>
      <c r="R522" s="74"/>
      <c r="S522" s="74"/>
      <c r="T522" s="74"/>
      <c r="U522" s="74"/>
      <c r="V522" s="74"/>
      <c r="W522" s="74"/>
      <c r="X522" s="74"/>
      <c r="Y522" s="74"/>
      <c r="Z522" s="74"/>
      <c r="AA522" s="74"/>
      <c r="AB522" s="74"/>
    </row>
    <row r="523" spans="1:28" ht="12" customHeight="1">
      <c r="A523" s="260"/>
      <c r="B523" s="104"/>
      <c r="C523" s="104"/>
      <c r="D523" s="260"/>
      <c r="E523" s="104"/>
      <c r="F523" s="104"/>
      <c r="G523" s="35"/>
      <c r="H523" s="104"/>
      <c r="I523" s="35"/>
      <c r="J523" s="74"/>
      <c r="K523" s="74"/>
      <c r="L523" s="74"/>
      <c r="M523" s="74"/>
      <c r="N523" s="74"/>
      <c r="O523" s="74"/>
      <c r="P523" s="74"/>
      <c r="Q523" s="74"/>
      <c r="R523" s="74"/>
      <c r="S523" s="74"/>
      <c r="T523" s="74"/>
      <c r="U523" s="74"/>
      <c r="V523" s="74"/>
      <c r="W523" s="74"/>
      <c r="X523" s="74"/>
      <c r="Y523" s="74"/>
      <c r="Z523" s="74"/>
      <c r="AA523" s="74"/>
      <c r="AB523" s="74"/>
    </row>
    <row r="524" spans="1:28" ht="12" customHeight="1">
      <c r="A524" s="260"/>
      <c r="B524" s="104"/>
      <c r="C524" s="104"/>
      <c r="D524" s="260"/>
      <c r="E524" s="104"/>
      <c r="F524" s="104"/>
      <c r="G524" s="35"/>
      <c r="H524" s="104"/>
      <c r="I524" s="35"/>
      <c r="J524" s="74"/>
      <c r="K524" s="74"/>
      <c r="L524" s="74"/>
      <c r="M524" s="74"/>
      <c r="N524" s="74"/>
      <c r="O524" s="74"/>
      <c r="P524" s="74"/>
      <c r="Q524" s="74"/>
      <c r="R524" s="74"/>
      <c r="S524" s="74"/>
      <c r="T524" s="74"/>
      <c r="U524" s="74"/>
      <c r="V524" s="74"/>
      <c r="W524" s="74"/>
      <c r="X524" s="74"/>
      <c r="Y524" s="74"/>
      <c r="Z524" s="74"/>
      <c r="AA524" s="74"/>
      <c r="AB524" s="74"/>
    </row>
    <row r="525" spans="1:28" ht="12" customHeight="1">
      <c r="A525" s="260"/>
      <c r="B525" s="104"/>
      <c r="C525" s="104"/>
      <c r="D525" s="260"/>
      <c r="E525" s="104"/>
      <c r="F525" s="104"/>
      <c r="G525" s="35"/>
      <c r="H525" s="104"/>
      <c r="I525" s="35"/>
      <c r="J525" s="74"/>
      <c r="K525" s="74"/>
      <c r="L525" s="74"/>
      <c r="M525" s="74"/>
      <c r="N525" s="74"/>
      <c r="O525" s="74"/>
      <c r="P525" s="74"/>
      <c r="Q525" s="74"/>
      <c r="R525" s="74"/>
      <c r="S525" s="74"/>
      <c r="T525" s="74"/>
      <c r="U525" s="74"/>
      <c r="V525" s="74"/>
      <c r="W525" s="74"/>
      <c r="X525" s="74"/>
      <c r="Y525" s="74"/>
      <c r="Z525" s="74"/>
      <c r="AA525" s="74"/>
      <c r="AB525" s="74"/>
    </row>
    <row r="526" spans="1:28" ht="12" customHeight="1">
      <c r="A526" s="260"/>
      <c r="B526" s="104"/>
      <c r="C526" s="104"/>
      <c r="D526" s="260"/>
      <c r="E526" s="104"/>
      <c r="F526" s="104"/>
      <c r="G526" s="35"/>
      <c r="H526" s="104"/>
      <c r="I526" s="35"/>
      <c r="J526" s="74"/>
      <c r="K526" s="74"/>
      <c r="L526" s="74"/>
      <c r="M526" s="74"/>
      <c r="N526" s="74"/>
      <c r="O526" s="74"/>
      <c r="P526" s="74"/>
      <c r="Q526" s="74"/>
      <c r="R526" s="74"/>
      <c r="S526" s="74"/>
      <c r="T526" s="74"/>
      <c r="U526" s="74"/>
      <c r="V526" s="74"/>
      <c r="W526" s="74"/>
      <c r="X526" s="74"/>
      <c r="Y526" s="74"/>
      <c r="Z526" s="74"/>
      <c r="AA526" s="74"/>
      <c r="AB526" s="74"/>
    </row>
    <row r="527" spans="1:28" ht="12" customHeight="1">
      <c r="A527" s="260"/>
      <c r="B527" s="104"/>
      <c r="C527" s="104"/>
      <c r="D527" s="260"/>
      <c r="E527" s="104"/>
      <c r="F527" s="104"/>
      <c r="G527" s="35"/>
      <c r="H527" s="104"/>
      <c r="I527" s="35"/>
      <c r="J527" s="74"/>
      <c r="K527" s="74"/>
      <c r="L527" s="74"/>
      <c r="M527" s="74"/>
      <c r="N527" s="74"/>
      <c r="O527" s="74"/>
      <c r="P527" s="74"/>
      <c r="Q527" s="74"/>
      <c r="R527" s="74"/>
      <c r="S527" s="74"/>
      <c r="T527" s="74"/>
      <c r="U527" s="74"/>
      <c r="V527" s="74"/>
      <c r="W527" s="74"/>
      <c r="X527" s="74"/>
      <c r="Y527" s="74"/>
      <c r="Z527" s="74"/>
      <c r="AA527" s="74"/>
      <c r="AB527" s="74"/>
    </row>
    <row r="528" spans="1:28" ht="12" customHeight="1">
      <c r="A528" s="260"/>
      <c r="B528" s="104"/>
      <c r="C528" s="104"/>
      <c r="D528" s="260"/>
      <c r="E528" s="104"/>
      <c r="F528" s="104"/>
      <c r="G528" s="35"/>
      <c r="H528" s="104"/>
      <c r="I528" s="35"/>
      <c r="J528" s="74"/>
      <c r="K528" s="74"/>
      <c r="L528" s="74"/>
      <c r="M528" s="74"/>
      <c r="N528" s="74"/>
      <c r="O528" s="74"/>
      <c r="P528" s="74"/>
      <c r="Q528" s="74"/>
      <c r="R528" s="74"/>
      <c r="S528" s="74"/>
      <c r="T528" s="74"/>
      <c r="U528" s="74"/>
      <c r="V528" s="74"/>
      <c r="W528" s="74"/>
      <c r="X528" s="74"/>
      <c r="Y528" s="74"/>
      <c r="Z528" s="74"/>
      <c r="AA528" s="74"/>
      <c r="AB528" s="74"/>
    </row>
    <row r="529" spans="1:28" ht="12" customHeight="1">
      <c r="A529" s="260"/>
      <c r="B529" s="104"/>
      <c r="C529" s="104"/>
      <c r="D529" s="260"/>
      <c r="E529" s="104"/>
      <c r="F529" s="104"/>
      <c r="G529" s="35"/>
      <c r="H529" s="104"/>
      <c r="I529" s="35"/>
      <c r="J529" s="74"/>
      <c r="K529" s="74"/>
      <c r="L529" s="74"/>
      <c r="M529" s="74"/>
      <c r="N529" s="74"/>
      <c r="O529" s="74"/>
      <c r="P529" s="74"/>
      <c r="Q529" s="74"/>
      <c r="R529" s="74"/>
      <c r="S529" s="74"/>
      <c r="T529" s="74"/>
      <c r="U529" s="74"/>
      <c r="V529" s="74"/>
      <c r="W529" s="74"/>
      <c r="X529" s="74"/>
      <c r="Y529" s="74"/>
      <c r="Z529" s="74"/>
      <c r="AA529" s="74"/>
      <c r="AB529" s="74"/>
    </row>
    <row r="530" spans="1:28" ht="12" customHeight="1">
      <c r="A530" s="260"/>
      <c r="B530" s="104"/>
      <c r="C530" s="104"/>
      <c r="D530" s="260"/>
      <c r="E530" s="104"/>
      <c r="F530" s="104"/>
      <c r="G530" s="35"/>
      <c r="H530" s="104"/>
      <c r="I530" s="35"/>
      <c r="J530" s="74"/>
      <c r="K530" s="74"/>
      <c r="L530" s="74"/>
      <c r="M530" s="74"/>
      <c r="N530" s="74"/>
      <c r="O530" s="74"/>
      <c r="P530" s="74"/>
      <c r="Q530" s="74"/>
      <c r="R530" s="74"/>
      <c r="S530" s="74"/>
      <c r="T530" s="74"/>
      <c r="U530" s="74"/>
      <c r="V530" s="74"/>
      <c r="W530" s="74"/>
      <c r="X530" s="74"/>
      <c r="Y530" s="74"/>
      <c r="Z530" s="74"/>
      <c r="AA530" s="74"/>
      <c r="AB530" s="74"/>
    </row>
    <row r="531" spans="1:28" ht="12" customHeight="1">
      <c r="A531" s="260"/>
      <c r="B531" s="104"/>
      <c r="C531" s="104"/>
      <c r="D531" s="260"/>
      <c r="E531" s="104"/>
      <c r="F531" s="104"/>
      <c r="G531" s="35"/>
      <c r="H531" s="104"/>
      <c r="I531" s="35"/>
      <c r="J531" s="74"/>
      <c r="K531" s="74"/>
      <c r="L531" s="74"/>
      <c r="M531" s="74"/>
      <c r="N531" s="74"/>
      <c r="O531" s="74"/>
      <c r="P531" s="74"/>
      <c r="Q531" s="74"/>
      <c r="R531" s="74"/>
      <c r="S531" s="74"/>
      <c r="T531" s="74"/>
      <c r="U531" s="74"/>
      <c r="V531" s="74"/>
      <c r="W531" s="74"/>
      <c r="X531" s="74"/>
      <c r="Y531" s="74"/>
      <c r="Z531" s="74"/>
      <c r="AA531" s="74"/>
      <c r="AB531" s="74"/>
    </row>
    <row r="532" spans="1:28" ht="12" customHeight="1">
      <c r="A532" s="260"/>
      <c r="B532" s="104"/>
      <c r="C532" s="104"/>
      <c r="D532" s="260"/>
      <c r="E532" s="104"/>
      <c r="F532" s="104"/>
      <c r="G532" s="35"/>
      <c r="H532" s="104"/>
      <c r="I532" s="35"/>
      <c r="J532" s="74"/>
      <c r="K532" s="74"/>
      <c r="L532" s="74"/>
      <c r="M532" s="74"/>
      <c r="N532" s="74"/>
      <c r="O532" s="74"/>
      <c r="P532" s="74"/>
      <c r="Q532" s="74"/>
      <c r="R532" s="74"/>
      <c r="S532" s="74"/>
      <c r="T532" s="74"/>
      <c r="U532" s="74"/>
      <c r="V532" s="74"/>
      <c r="W532" s="74"/>
      <c r="X532" s="74"/>
      <c r="Y532" s="74"/>
      <c r="Z532" s="74"/>
      <c r="AA532" s="74"/>
      <c r="AB532" s="74"/>
    </row>
    <row r="533" spans="1:28" ht="12" customHeight="1">
      <c r="A533" s="260"/>
      <c r="B533" s="104"/>
      <c r="C533" s="104"/>
      <c r="D533" s="260"/>
      <c r="E533" s="104"/>
      <c r="F533" s="104"/>
      <c r="G533" s="35"/>
      <c r="H533" s="104"/>
      <c r="I533" s="35"/>
      <c r="J533" s="74"/>
      <c r="K533" s="74"/>
      <c r="L533" s="74"/>
      <c r="M533" s="74"/>
      <c r="N533" s="74"/>
      <c r="O533" s="74"/>
      <c r="P533" s="74"/>
      <c r="Q533" s="74"/>
      <c r="R533" s="74"/>
      <c r="S533" s="74"/>
      <c r="T533" s="74"/>
      <c r="U533" s="74"/>
      <c r="V533" s="74"/>
      <c r="W533" s="74"/>
      <c r="X533" s="74"/>
      <c r="Y533" s="74"/>
      <c r="Z533" s="74"/>
      <c r="AA533" s="74"/>
      <c r="AB533" s="74"/>
    </row>
    <row r="534" spans="1:28" ht="12" customHeight="1">
      <c r="A534" s="260"/>
      <c r="B534" s="104"/>
      <c r="C534" s="104"/>
      <c r="D534" s="260"/>
      <c r="E534" s="104"/>
      <c r="F534" s="104"/>
      <c r="G534" s="35"/>
      <c r="H534" s="104"/>
      <c r="I534" s="35"/>
      <c r="J534" s="74"/>
      <c r="K534" s="74"/>
      <c r="L534" s="74"/>
      <c r="M534" s="74"/>
      <c r="N534" s="74"/>
      <c r="O534" s="74"/>
      <c r="P534" s="74"/>
      <c r="Q534" s="74"/>
      <c r="R534" s="74"/>
      <c r="S534" s="74"/>
      <c r="T534" s="74"/>
      <c r="U534" s="74"/>
      <c r="V534" s="74"/>
      <c r="W534" s="74"/>
      <c r="X534" s="74"/>
      <c r="Y534" s="74"/>
      <c r="Z534" s="74"/>
      <c r="AA534" s="74"/>
      <c r="AB534" s="74"/>
    </row>
    <row r="535" spans="1:28" ht="12" customHeight="1">
      <c r="A535" s="260"/>
      <c r="B535" s="104"/>
      <c r="C535" s="104"/>
      <c r="D535" s="260"/>
      <c r="E535" s="104"/>
      <c r="F535" s="104"/>
      <c r="G535" s="35"/>
      <c r="H535" s="104"/>
      <c r="I535" s="35"/>
      <c r="J535" s="74"/>
      <c r="K535" s="74"/>
      <c r="L535" s="74"/>
      <c r="M535" s="74"/>
      <c r="N535" s="74"/>
      <c r="O535" s="74"/>
      <c r="P535" s="74"/>
      <c r="Q535" s="74"/>
      <c r="R535" s="74"/>
      <c r="S535" s="74"/>
      <c r="T535" s="74"/>
      <c r="U535" s="74"/>
      <c r="V535" s="74"/>
      <c r="W535" s="74"/>
      <c r="X535" s="74"/>
      <c r="Y535" s="74"/>
      <c r="Z535" s="74"/>
      <c r="AA535" s="74"/>
      <c r="AB535" s="74"/>
    </row>
    <row r="536" spans="1:28" ht="12" customHeight="1">
      <c r="A536" s="260"/>
      <c r="B536" s="104"/>
      <c r="C536" s="104"/>
      <c r="D536" s="260"/>
      <c r="E536" s="104"/>
      <c r="F536" s="104"/>
      <c r="G536" s="35"/>
      <c r="H536" s="104"/>
      <c r="I536" s="35"/>
      <c r="J536" s="74"/>
      <c r="K536" s="74"/>
      <c r="L536" s="74"/>
      <c r="M536" s="74"/>
      <c r="N536" s="74"/>
      <c r="O536" s="74"/>
      <c r="P536" s="74"/>
      <c r="Q536" s="74"/>
      <c r="R536" s="74"/>
      <c r="S536" s="74"/>
      <c r="T536" s="74"/>
      <c r="U536" s="74"/>
      <c r="V536" s="74"/>
      <c r="W536" s="74"/>
      <c r="X536" s="74"/>
      <c r="Y536" s="74"/>
      <c r="Z536" s="74"/>
      <c r="AA536" s="74"/>
      <c r="AB536" s="74"/>
    </row>
    <row r="537" spans="1:28" ht="12" customHeight="1">
      <c r="A537" s="260"/>
      <c r="B537" s="104"/>
      <c r="C537" s="104"/>
      <c r="D537" s="260"/>
      <c r="E537" s="104"/>
      <c r="F537" s="104"/>
      <c r="G537" s="35"/>
      <c r="H537" s="104"/>
      <c r="I537" s="35"/>
      <c r="J537" s="74"/>
      <c r="K537" s="74"/>
      <c r="L537" s="74"/>
      <c r="M537" s="74"/>
      <c r="N537" s="74"/>
      <c r="O537" s="74"/>
      <c r="P537" s="74"/>
      <c r="Q537" s="74"/>
      <c r="R537" s="74"/>
      <c r="S537" s="74"/>
      <c r="T537" s="74"/>
      <c r="U537" s="74"/>
      <c r="V537" s="74"/>
      <c r="W537" s="74"/>
      <c r="X537" s="74"/>
      <c r="Y537" s="74"/>
      <c r="Z537" s="74"/>
      <c r="AA537" s="74"/>
      <c r="AB537" s="74"/>
    </row>
    <row r="538" spans="1:28" ht="12" customHeight="1">
      <c r="A538" s="260"/>
      <c r="B538" s="104"/>
      <c r="C538" s="104"/>
      <c r="D538" s="260"/>
      <c r="E538" s="104"/>
      <c r="F538" s="104"/>
      <c r="G538" s="35"/>
      <c r="H538" s="104"/>
      <c r="I538" s="35"/>
      <c r="J538" s="74"/>
      <c r="K538" s="74"/>
      <c r="L538" s="74"/>
      <c r="M538" s="74"/>
      <c r="N538" s="74"/>
      <c r="O538" s="74"/>
      <c r="P538" s="74"/>
      <c r="Q538" s="74"/>
      <c r="R538" s="74"/>
      <c r="S538" s="74"/>
      <c r="T538" s="74"/>
      <c r="U538" s="74"/>
      <c r="V538" s="74"/>
      <c r="W538" s="74"/>
      <c r="X538" s="74"/>
      <c r="Y538" s="74"/>
      <c r="Z538" s="74"/>
      <c r="AA538" s="74"/>
      <c r="AB538" s="74"/>
    </row>
    <row r="539" spans="1:28" ht="12" customHeight="1">
      <c r="A539" s="260"/>
      <c r="B539" s="104"/>
      <c r="C539" s="104"/>
      <c r="D539" s="260"/>
      <c r="E539" s="104"/>
      <c r="F539" s="104"/>
      <c r="G539" s="35"/>
      <c r="H539" s="104"/>
      <c r="I539" s="35"/>
      <c r="J539" s="74"/>
      <c r="K539" s="74"/>
      <c r="L539" s="74"/>
      <c r="M539" s="74"/>
      <c r="N539" s="74"/>
      <c r="O539" s="74"/>
      <c r="P539" s="74"/>
      <c r="Q539" s="74"/>
      <c r="R539" s="74"/>
      <c r="S539" s="74"/>
      <c r="T539" s="74"/>
      <c r="U539" s="74"/>
      <c r="V539" s="74"/>
      <c r="W539" s="74"/>
      <c r="X539" s="74"/>
      <c r="Y539" s="74"/>
      <c r="Z539" s="74"/>
      <c r="AA539" s="74"/>
      <c r="AB539" s="74"/>
    </row>
    <row r="540" spans="1:28" ht="12" customHeight="1">
      <c r="A540" s="260"/>
      <c r="B540" s="104"/>
      <c r="C540" s="104"/>
      <c r="D540" s="260"/>
      <c r="E540" s="104"/>
      <c r="F540" s="104"/>
      <c r="G540" s="35"/>
      <c r="H540" s="104"/>
      <c r="I540" s="35"/>
      <c r="J540" s="74"/>
      <c r="K540" s="74"/>
      <c r="L540" s="74"/>
      <c r="M540" s="74"/>
      <c r="N540" s="74"/>
      <c r="O540" s="74"/>
      <c r="P540" s="74"/>
      <c r="Q540" s="74"/>
      <c r="R540" s="74"/>
      <c r="S540" s="74"/>
      <c r="T540" s="74"/>
      <c r="U540" s="74"/>
      <c r="V540" s="74"/>
      <c r="W540" s="74"/>
      <c r="X540" s="74"/>
      <c r="Y540" s="74"/>
      <c r="Z540" s="74"/>
      <c r="AA540" s="74"/>
      <c r="AB540" s="74"/>
    </row>
    <row r="541" spans="1:28" ht="12" customHeight="1">
      <c r="A541" s="260"/>
      <c r="B541" s="104"/>
      <c r="C541" s="104"/>
      <c r="D541" s="260"/>
      <c r="E541" s="104"/>
      <c r="F541" s="104"/>
      <c r="G541" s="35"/>
      <c r="H541" s="104"/>
      <c r="I541" s="35"/>
      <c r="J541" s="74"/>
      <c r="K541" s="74"/>
      <c r="L541" s="74"/>
      <c r="M541" s="74"/>
      <c r="N541" s="74"/>
      <c r="O541" s="74"/>
      <c r="P541" s="74"/>
      <c r="Q541" s="74"/>
      <c r="R541" s="74"/>
      <c r="S541" s="74"/>
      <c r="T541" s="74"/>
      <c r="U541" s="74"/>
      <c r="V541" s="74"/>
      <c r="W541" s="74"/>
      <c r="X541" s="74"/>
      <c r="Y541" s="74"/>
      <c r="Z541" s="74"/>
      <c r="AA541" s="74"/>
      <c r="AB541" s="74"/>
    </row>
    <row r="542" spans="1:28" ht="12" customHeight="1">
      <c r="A542" s="260"/>
      <c r="B542" s="104"/>
      <c r="C542" s="104"/>
      <c r="D542" s="260"/>
      <c r="E542" s="104"/>
      <c r="F542" s="104"/>
      <c r="G542" s="35"/>
      <c r="H542" s="104"/>
      <c r="I542" s="35"/>
      <c r="J542" s="74"/>
      <c r="K542" s="74"/>
      <c r="L542" s="74"/>
      <c r="M542" s="74"/>
      <c r="N542" s="74"/>
      <c r="O542" s="74"/>
      <c r="P542" s="74"/>
      <c r="Q542" s="74"/>
      <c r="R542" s="74"/>
      <c r="S542" s="74"/>
      <c r="T542" s="74"/>
      <c r="U542" s="74"/>
      <c r="V542" s="74"/>
      <c r="W542" s="74"/>
      <c r="X542" s="74"/>
      <c r="Y542" s="74"/>
      <c r="Z542" s="74"/>
      <c r="AA542" s="74"/>
      <c r="AB542" s="74"/>
    </row>
    <row r="543" spans="1:28" ht="12" customHeight="1">
      <c r="A543" s="260"/>
      <c r="B543" s="104"/>
      <c r="C543" s="104"/>
      <c r="D543" s="260"/>
      <c r="E543" s="104"/>
      <c r="F543" s="104"/>
      <c r="G543" s="35"/>
      <c r="H543" s="104"/>
      <c r="I543" s="35"/>
      <c r="J543" s="74"/>
      <c r="K543" s="74"/>
      <c r="L543" s="74"/>
      <c r="M543" s="74"/>
      <c r="N543" s="74"/>
      <c r="O543" s="74"/>
      <c r="P543" s="74"/>
      <c r="Q543" s="74"/>
      <c r="R543" s="74"/>
      <c r="S543" s="74"/>
      <c r="T543" s="74"/>
      <c r="U543" s="74"/>
      <c r="V543" s="74"/>
      <c r="W543" s="74"/>
      <c r="X543" s="74"/>
      <c r="Y543" s="74"/>
      <c r="Z543" s="74"/>
      <c r="AA543" s="74"/>
      <c r="AB543" s="74"/>
    </row>
    <row r="544" spans="1:28" ht="12" customHeight="1">
      <c r="A544" s="260"/>
      <c r="B544" s="104"/>
      <c r="C544" s="104"/>
      <c r="D544" s="260"/>
      <c r="E544" s="104"/>
      <c r="F544" s="104"/>
      <c r="G544" s="35"/>
      <c r="H544" s="104"/>
      <c r="I544" s="35"/>
      <c r="J544" s="74"/>
      <c r="K544" s="74"/>
      <c r="L544" s="74"/>
      <c r="M544" s="74"/>
      <c r="N544" s="74"/>
      <c r="O544" s="74"/>
      <c r="P544" s="74"/>
      <c r="Q544" s="74"/>
      <c r="R544" s="74"/>
      <c r="S544" s="74"/>
      <c r="T544" s="74"/>
      <c r="U544" s="74"/>
      <c r="V544" s="74"/>
      <c r="W544" s="74"/>
      <c r="X544" s="74"/>
      <c r="Y544" s="74"/>
      <c r="Z544" s="74"/>
      <c r="AA544" s="74"/>
      <c r="AB544" s="74"/>
    </row>
    <row r="545" spans="1:28" ht="12" customHeight="1">
      <c r="A545" s="260"/>
      <c r="B545" s="104"/>
      <c r="C545" s="104"/>
      <c r="D545" s="260"/>
      <c r="E545" s="104"/>
      <c r="F545" s="104"/>
      <c r="G545" s="35"/>
      <c r="H545" s="104"/>
      <c r="I545" s="35"/>
      <c r="J545" s="74"/>
      <c r="K545" s="74"/>
      <c r="L545" s="74"/>
      <c r="M545" s="74"/>
      <c r="N545" s="74"/>
      <c r="O545" s="74"/>
      <c r="P545" s="74"/>
      <c r="Q545" s="74"/>
      <c r="R545" s="74"/>
      <c r="S545" s="74"/>
      <c r="T545" s="74"/>
      <c r="U545" s="74"/>
      <c r="V545" s="74"/>
      <c r="W545" s="74"/>
      <c r="X545" s="74"/>
      <c r="Y545" s="74"/>
      <c r="Z545" s="74"/>
      <c r="AA545" s="74"/>
      <c r="AB545" s="74"/>
    </row>
    <row r="546" spans="1:28" ht="12" customHeight="1">
      <c r="A546" s="260"/>
      <c r="B546" s="104"/>
      <c r="C546" s="104"/>
      <c r="D546" s="260"/>
      <c r="E546" s="104"/>
      <c r="F546" s="104"/>
      <c r="G546" s="35"/>
      <c r="H546" s="104"/>
      <c r="I546" s="35"/>
      <c r="J546" s="74"/>
      <c r="K546" s="74"/>
      <c r="L546" s="74"/>
      <c r="M546" s="74"/>
      <c r="N546" s="74"/>
      <c r="O546" s="74"/>
      <c r="P546" s="74"/>
      <c r="Q546" s="74"/>
      <c r="R546" s="74"/>
      <c r="S546" s="74"/>
      <c r="T546" s="74"/>
      <c r="U546" s="74"/>
      <c r="V546" s="74"/>
      <c r="W546" s="74"/>
      <c r="X546" s="74"/>
      <c r="Y546" s="74"/>
      <c r="Z546" s="74"/>
      <c r="AA546" s="74"/>
      <c r="AB546" s="74"/>
    </row>
    <row r="547" spans="1:28" ht="12" customHeight="1">
      <c r="A547" s="260"/>
      <c r="B547" s="104"/>
      <c r="C547" s="104"/>
      <c r="D547" s="260"/>
      <c r="E547" s="104"/>
      <c r="F547" s="104"/>
      <c r="G547" s="35"/>
      <c r="H547" s="104"/>
      <c r="I547" s="35"/>
      <c r="J547" s="74"/>
      <c r="K547" s="74"/>
      <c r="L547" s="74"/>
      <c r="M547" s="74"/>
      <c r="N547" s="74"/>
      <c r="O547" s="74"/>
      <c r="P547" s="74"/>
      <c r="Q547" s="74"/>
      <c r="R547" s="74"/>
      <c r="S547" s="74"/>
      <c r="T547" s="74"/>
      <c r="U547" s="74"/>
      <c r="V547" s="74"/>
      <c r="W547" s="74"/>
      <c r="X547" s="74"/>
      <c r="Y547" s="74"/>
      <c r="Z547" s="74"/>
      <c r="AA547" s="74"/>
      <c r="AB547" s="74"/>
    </row>
    <row r="548" spans="1:28" ht="12" customHeight="1">
      <c r="A548" s="260"/>
      <c r="B548" s="104"/>
      <c r="C548" s="104"/>
      <c r="D548" s="260"/>
      <c r="E548" s="104"/>
      <c r="F548" s="104"/>
      <c r="G548" s="35"/>
      <c r="H548" s="104"/>
      <c r="I548" s="35"/>
      <c r="J548" s="74"/>
      <c r="K548" s="74"/>
      <c r="L548" s="74"/>
      <c r="M548" s="74"/>
      <c r="N548" s="74"/>
      <c r="O548" s="74"/>
      <c r="P548" s="74"/>
      <c r="Q548" s="74"/>
      <c r="R548" s="74"/>
      <c r="S548" s="74"/>
      <c r="T548" s="74"/>
      <c r="U548" s="74"/>
      <c r="V548" s="74"/>
      <c r="W548" s="74"/>
      <c r="X548" s="74"/>
      <c r="Y548" s="74"/>
      <c r="Z548" s="74"/>
      <c r="AA548" s="74"/>
      <c r="AB548" s="74"/>
    </row>
    <row r="549" spans="1:28" ht="12" customHeight="1">
      <c r="A549" s="260"/>
      <c r="B549" s="104"/>
      <c r="C549" s="104"/>
      <c r="D549" s="260"/>
      <c r="E549" s="104"/>
      <c r="F549" s="104"/>
      <c r="G549" s="35"/>
      <c r="H549" s="104"/>
      <c r="I549" s="35"/>
      <c r="J549" s="74"/>
      <c r="K549" s="74"/>
      <c r="L549" s="74"/>
      <c r="M549" s="74"/>
      <c r="N549" s="74"/>
      <c r="O549" s="74"/>
      <c r="P549" s="74"/>
      <c r="Q549" s="74"/>
      <c r="R549" s="74"/>
      <c r="S549" s="74"/>
      <c r="T549" s="74"/>
      <c r="U549" s="74"/>
      <c r="V549" s="74"/>
      <c r="W549" s="74"/>
      <c r="X549" s="74"/>
      <c r="Y549" s="74"/>
      <c r="Z549" s="74"/>
      <c r="AA549" s="74"/>
      <c r="AB549" s="74"/>
    </row>
    <row r="550" spans="1:28" ht="12" customHeight="1">
      <c r="A550" s="260"/>
      <c r="B550" s="104"/>
      <c r="C550" s="104"/>
      <c r="D550" s="260"/>
      <c r="E550" s="104"/>
      <c r="F550" s="104"/>
      <c r="G550" s="35"/>
      <c r="H550" s="104"/>
      <c r="I550" s="35"/>
      <c r="J550" s="74"/>
      <c r="K550" s="74"/>
      <c r="L550" s="74"/>
      <c r="M550" s="74"/>
      <c r="N550" s="74"/>
      <c r="O550" s="74"/>
      <c r="P550" s="74"/>
      <c r="Q550" s="74"/>
      <c r="R550" s="74"/>
      <c r="S550" s="74"/>
      <c r="T550" s="74"/>
      <c r="U550" s="74"/>
      <c r="V550" s="74"/>
      <c r="W550" s="74"/>
      <c r="X550" s="74"/>
      <c r="Y550" s="74"/>
      <c r="Z550" s="74"/>
      <c r="AA550" s="74"/>
      <c r="AB550" s="74"/>
    </row>
    <row r="551" spans="1:28" ht="12" customHeight="1">
      <c r="A551" s="260"/>
      <c r="B551" s="104"/>
      <c r="C551" s="104"/>
      <c r="D551" s="260"/>
      <c r="E551" s="104"/>
      <c r="F551" s="104"/>
      <c r="G551" s="35"/>
      <c r="H551" s="104"/>
      <c r="I551" s="35"/>
      <c r="J551" s="74"/>
      <c r="K551" s="74"/>
      <c r="L551" s="74"/>
      <c r="M551" s="74"/>
      <c r="N551" s="74"/>
      <c r="O551" s="74"/>
      <c r="P551" s="74"/>
      <c r="Q551" s="74"/>
      <c r="R551" s="74"/>
      <c r="S551" s="74"/>
      <c r="T551" s="74"/>
      <c r="U551" s="74"/>
      <c r="V551" s="74"/>
      <c r="W551" s="74"/>
      <c r="X551" s="74"/>
      <c r="Y551" s="74"/>
      <c r="Z551" s="74"/>
      <c r="AA551" s="74"/>
      <c r="AB551" s="74"/>
    </row>
    <row r="552" spans="1:28" ht="12" customHeight="1">
      <c r="A552" s="260"/>
      <c r="B552" s="104"/>
      <c r="C552" s="104"/>
      <c r="D552" s="260"/>
      <c r="E552" s="104"/>
      <c r="F552" s="104"/>
      <c r="G552" s="35"/>
      <c r="H552" s="104"/>
      <c r="I552" s="35"/>
      <c r="J552" s="74"/>
      <c r="K552" s="74"/>
      <c r="L552" s="74"/>
      <c r="M552" s="74"/>
      <c r="N552" s="74"/>
      <c r="O552" s="74"/>
      <c r="P552" s="74"/>
      <c r="Q552" s="74"/>
      <c r="R552" s="74"/>
      <c r="S552" s="74"/>
      <c r="T552" s="74"/>
      <c r="U552" s="74"/>
      <c r="V552" s="74"/>
      <c r="W552" s="74"/>
      <c r="X552" s="74"/>
      <c r="Y552" s="74"/>
      <c r="Z552" s="74"/>
      <c r="AA552" s="74"/>
      <c r="AB552" s="74"/>
    </row>
    <row r="553" spans="1:28" ht="12" customHeight="1">
      <c r="A553" s="260"/>
      <c r="B553" s="104"/>
      <c r="C553" s="104"/>
      <c r="D553" s="260"/>
      <c r="E553" s="104"/>
      <c r="F553" s="104"/>
      <c r="G553" s="35"/>
      <c r="H553" s="104"/>
      <c r="I553" s="35"/>
      <c r="J553" s="74"/>
      <c r="K553" s="74"/>
      <c r="L553" s="74"/>
      <c r="M553" s="74"/>
      <c r="N553" s="74"/>
      <c r="O553" s="74"/>
      <c r="P553" s="74"/>
      <c r="Q553" s="74"/>
      <c r="R553" s="74"/>
      <c r="S553" s="74"/>
      <c r="T553" s="74"/>
      <c r="U553" s="74"/>
      <c r="V553" s="74"/>
      <c r="W553" s="74"/>
      <c r="X553" s="74"/>
      <c r="Y553" s="74"/>
      <c r="Z553" s="74"/>
      <c r="AA553" s="74"/>
      <c r="AB553" s="74"/>
    </row>
    <row r="554" spans="1:28" ht="12" customHeight="1">
      <c r="A554" s="260"/>
      <c r="B554" s="104"/>
      <c r="C554" s="104"/>
      <c r="D554" s="260"/>
      <c r="E554" s="104"/>
      <c r="F554" s="104"/>
      <c r="G554" s="35"/>
      <c r="H554" s="104"/>
      <c r="I554" s="35"/>
      <c r="J554" s="74"/>
      <c r="K554" s="74"/>
      <c r="L554" s="74"/>
      <c r="M554" s="74"/>
      <c r="N554" s="74"/>
      <c r="O554" s="74"/>
      <c r="P554" s="74"/>
      <c r="Q554" s="74"/>
      <c r="R554" s="74"/>
      <c r="S554" s="74"/>
      <c r="T554" s="74"/>
      <c r="U554" s="74"/>
      <c r="V554" s="74"/>
      <c r="W554" s="74"/>
      <c r="X554" s="74"/>
      <c r="Y554" s="74"/>
      <c r="Z554" s="74"/>
      <c r="AA554" s="74"/>
      <c r="AB554" s="74"/>
    </row>
    <row r="555" spans="1:28" ht="12" customHeight="1">
      <c r="A555" s="260"/>
      <c r="B555" s="104"/>
      <c r="C555" s="104"/>
      <c r="D555" s="260"/>
      <c r="E555" s="104"/>
      <c r="F555" s="104"/>
      <c r="G555" s="35"/>
      <c r="H555" s="104"/>
      <c r="I555" s="35"/>
      <c r="J555" s="74"/>
      <c r="K555" s="74"/>
      <c r="L555" s="74"/>
      <c r="M555" s="74"/>
      <c r="N555" s="74"/>
      <c r="O555" s="74"/>
      <c r="P555" s="74"/>
      <c r="Q555" s="74"/>
      <c r="R555" s="74"/>
      <c r="S555" s="74"/>
      <c r="T555" s="74"/>
      <c r="U555" s="74"/>
      <c r="V555" s="74"/>
      <c r="W555" s="74"/>
      <c r="X555" s="74"/>
      <c r="Y555" s="74"/>
      <c r="Z555" s="74"/>
      <c r="AA555" s="74"/>
      <c r="AB555" s="74"/>
    </row>
    <row r="556" spans="1:28" ht="12" customHeight="1">
      <c r="A556" s="260"/>
      <c r="B556" s="104"/>
      <c r="C556" s="104"/>
      <c r="D556" s="260"/>
      <c r="E556" s="104"/>
      <c r="F556" s="104"/>
      <c r="G556" s="35"/>
      <c r="H556" s="104"/>
      <c r="I556" s="35"/>
      <c r="J556" s="74"/>
      <c r="K556" s="74"/>
      <c r="L556" s="74"/>
      <c r="M556" s="74"/>
      <c r="N556" s="74"/>
      <c r="O556" s="74"/>
      <c r="P556" s="74"/>
      <c r="Q556" s="74"/>
      <c r="R556" s="74"/>
      <c r="S556" s="74"/>
      <c r="T556" s="74"/>
      <c r="U556" s="74"/>
      <c r="V556" s="74"/>
      <c r="W556" s="74"/>
      <c r="X556" s="74"/>
      <c r="Y556" s="74"/>
      <c r="Z556" s="74"/>
      <c r="AA556" s="74"/>
      <c r="AB556" s="74"/>
    </row>
    <row r="557" spans="1:28" ht="12" customHeight="1">
      <c r="A557" s="260"/>
      <c r="B557" s="104"/>
      <c r="C557" s="104"/>
      <c r="D557" s="260"/>
      <c r="E557" s="104"/>
      <c r="F557" s="104"/>
      <c r="G557" s="35"/>
      <c r="H557" s="104"/>
      <c r="I557" s="35"/>
      <c r="J557" s="74"/>
      <c r="K557" s="74"/>
      <c r="L557" s="74"/>
      <c r="M557" s="74"/>
      <c r="N557" s="74"/>
      <c r="O557" s="74"/>
      <c r="P557" s="74"/>
      <c r="Q557" s="74"/>
      <c r="R557" s="74"/>
      <c r="S557" s="74"/>
      <c r="T557" s="74"/>
      <c r="U557" s="74"/>
      <c r="V557" s="74"/>
      <c r="W557" s="74"/>
      <c r="X557" s="74"/>
      <c r="Y557" s="74"/>
      <c r="Z557" s="74"/>
      <c r="AA557" s="74"/>
      <c r="AB557" s="74"/>
    </row>
    <row r="558" spans="1:28" ht="12" customHeight="1">
      <c r="A558" s="260"/>
      <c r="B558" s="104"/>
      <c r="C558" s="104"/>
      <c r="D558" s="260"/>
      <c r="E558" s="104"/>
      <c r="F558" s="104"/>
      <c r="G558" s="35"/>
      <c r="H558" s="104"/>
      <c r="I558" s="35"/>
      <c r="J558" s="74"/>
      <c r="K558" s="74"/>
      <c r="L558" s="74"/>
      <c r="M558" s="74"/>
      <c r="N558" s="74"/>
      <c r="O558" s="74"/>
      <c r="P558" s="74"/>
      <c r="Q558" s="74"/>
      <c r="R558" s="74"/>
      <c r="S558" s="74"/>
      <c r="T558" s="74"/>
      <c r="U558" s="74"/>
      <c r="V558" s="74"/>
      <c r="W558" s="74"/>
      <c r="X558" s="74"/>
      <c r="Y558" s="74"/>
      <c r="Z558" s="74"/>
      <c r="AA558" s="74"/>
      <c r="AB558" s="74"/>
    </row>
    <row r="559" spans="1:28" ht="12" customHeight="1">
      <c r="A559" s="260"/>
      <c r="B559" s="104"/>
      <c r="C559" s="104"/>
      <c r="D559" s="260"/>
      <c r="E559" s="104"/>
      <c r="F559" s="104"/>
      <c r="G559" s="35"/>
      <c r="H559" s="104"/>
      <c r="I559" s="35"/>
      <c r="J559" s="74"/>
      <c r="K559" s="74"/>
      <c r="L559" s="74"/>
      <c r="M559" s="74"/>
      <c r="N559" s="74"/>
      <c r="O559" s="74"/>
      <c r="P559" s="74"/>
      <c r="Q559" s="74"/>
      <c r="R559" s="74"/>
      <c r="S559" s="74"/>
      <c r="T559" s="74"/>
      <c r="U559" s="74"/>
      <c r="V559" s="74"/>
      <c r="W559" s="74"/>
      <c r="X559" s="74"/>
      <c r="Y559" s="74"/>
      <c r="Z559" s="74"/>
      <c r="AA559" s="74"/>
      <c r="AB559" s="74"/>
    </row>
    <row r="560" spans="1:28" ht="12" customHeight="1">
      <c r="A560" s="260"/>
      <c r="B560" s="104"/>
      <c r="C560" s="104"/>
      <c r="D560" s="260"/>
      <c r="E560" s="104"/>
      <c r="F560" s="104"/>
      <c r="G560" s="35"/>
      <c r="H560" s="104"/>
      <c r="I560" s="35"/>
      <c r="J560" s="74"/>
      <c r="K560" s="74"/>
      <c r="L560" s="74"/>
      <c r="M560" s="74"/>
      <c r="N560" s="74"/>
      <c r="O560" s="74"/>
      <c r="P560" s="74"/>
      <c r="Q560" s="74"/>
      <c r="R560" s="74"/>
      <c r="S560" s="74"/>
      <c r="T560" s="74"/>
      <c r="U560" s="74"/>
      <c r="V560" s="74"/>
      <c r="W560" s="74"/>
      <c r="X560" s="74"/>
      <c r="Y560" s="74"/>
      <c r="Z560" s="74"/>
      <c r="AA560" s="74"/>
      <c r="AB560" s="74"/>
    </row>
    <row r="561" spans="1:28" ht="12" customHeight="1">
      <c r="A561" s="260"/>
      <c r="B561" s="104"/>
      <c r="C561" s="104"/>
      <c r="D561" s="260"/>
      <c r="E561" s="104"/>
      <c r="F561" s="104"/>
      <c r="G561" s="35"/>
      <c r="H561" s="104"/>
      <c r="I561" s="35"/>
      <c r="J561" s="74"/>
      <c r="K561" s="74"/>
      <c r="L561" s="74"/>
      <c r="M561" s="74"/>
      <c r="N561" s="74"/>
      <c r="O561" s="74"/>
      <c r="P561" s="74"/>
      <c r="Q561" s="74"/>
      <c r="R561" s="74"/>
      <c r="S561" s="74"/>
      <c r="T561" s="74"/>
      <c r="U561" s="74"/>
      <c r="V561" s="74"/>
      <c r="W561" s="74"/>
      <c r="X561" s="74"/>
      <c r="Y561" s="74"/>
      <c r="Z561" s="74"/>
      <c r="AA561" s="74"/>
      <c r="AB561" s="74"/>
    </row>
    <row r="562" spans="1:28" ht="12" customHeight="1">
      <c r="A562" s="260"/>
      <c r="B562" s="104"/>
      <c r="C562" s="104"/>
      <c r="D562" s="260"/>
      <c r="E562" s="104"/>
      <c r="F562" s="104"/>
      <c r="G562" s="35"/>
      <c r="H562" s="104"/>
      <c r="I562" s="35"/>
      <c r="J562" s="74"/>
      <c r="K562" s="74"/>
      <c r="L562" s="74"/>
      <c r="M562" s="74"/>
      <c r="N562" s="74"/>
      <c r="O562" s="74"/>
      <c r="P562" s="74"/>
      <c r="Q562" s="74"/>
      <c r="R562" s="74"/>
      <c r="S562" s="74"/>
      <c r="T562" s="74"/>
      <c r="U562" s="74"/>
      <c r="V562" s="74"/>
      <c r="W562" s="74"/>
      <c r="X562" s="74"/>
      <c r="Y562" s="74"/>
      <c r="Z562" s="74"/>
      <c r="AA562" s="74"/>
      <c r="AB562" s="74"/>
    </row>
    <row r="563" spans="1:28" ht="12" customHeight="1">
      <c r="A563" s="260"/>
      <c r="B563" s="104"/>
      <c r="C563" s="104"/>
      <c r="D563" s="260"/>
      <c r="E563" s="104"/>
      <c r="F563" s="104"/>
      <c r="G563" s="35"/>
      <c r="H563" s="104"/>
      <c r="I563" s="35"/>
      <c r="J563" s="74"/>
      <c r="K563" s="74"/>
      <c r="L563" s="74"/>
      <c r="M563" s="74"/>
      <c r="N563" s="74"/>
      <c r="O563" s="74"/>
      <c r="P563" s="74"/>
      <c r="Q563" s="74"/>
      <c r="R563" s="74"/>
      <c r="S563" s="74"/>
      <c r="T563" s="74"/>
      <c r="U563" s="74"/>
      <c r="V563" s="74"/>
      <c r="W563" s="74"/>
      <c r="X563" s="74"/>
      <c r="Y563" s="74"/>
      <c r="Z563" s="74"/>
      <c r="AA563" s="74"/>
      <c r="AB563" s="74"/>
    </row>
    <row r="564" spans="1:28" ht="12" customHeight="1">
      <c r="A564" s="260"/>
      <c r="B564" s="104"/>
      <c r="C564" s="104"/>
      <c r="D564" s="260"/>
      <c r="E564" s="104"/>
      <c r="F564" s="104"/>
      <c r="G564" s="35"/>
      <c r="H564" s="104"/>
      <c r="I564" s="35"/>
      <c r="J564" s="74"/>
      <c r="K564" s="74"/>
      <c r="L564" s="74"/>
      <c r="M564" s="74"/>
      <c r="N564" s="74"/>
      <c r="O564" s="74"/>
      <c r="P564" s="74"/>
      <c r="Q564" s="74"/>
      <c r="R564" s="74"/>
      <c r="S564" s="74"/>
      <c r="T564" s="74"/>
      <c r="U564" s="74"/>
      <c r="V564" s="74"/>
      <c r="W564" s="74"/>
      <c r="X564" s="74"/>
      <c r="Y564" s="74"/>
      <c r="Z564" s="74"/>
      <c r="AA564" s="74"/>
      <c r="AB564" s="74"/>
    </row>
    <row r="565" spans="1:28" ht="12" customHeight="1">
      <c r="A565" s="260"/>
      <c r="B565" s="104"/>
      <c r="C565" s="104"/>
      <c r="D565" s="260"/>
      <c r="E565" s="104"/>
      <c r="F565" s="104"/>
      <c r="G565" s="35"/>
      <c r="H565" s="104"/>
      <c r="I565" s="35"/>
      <c r="J565" s="74"/>
      <c r="K565" s="74"/>
      <c r="L565" s="74"/>
      <c r="M565" s="74"/>
      <c r="N565" s="74"/>
      <c r="O565" s="74"/>
      <c r="P565" s="74"/>
      <c r="Q565" s="74"/>
      <c r="R565" s="74"/>
      <c r="S565" s="74"/>
      <c r="T565" s="74"/>
      <c r="U565" s="74"/>
      <c r="V565" s="74"/>
      <c r="W565" s="74"/>
      <c r="X565" s="74"/>
      <c r="Y565" s="74"/>
      <c r="Z565" s="74"/>
      <c r="AA565" s="74"/>
      <c r="AB565" s="74"/>
    </row>
    <row r="566" spans="1:28" ht="12" customHeight="1">
      <c r="A566" s="260"/>
      <c r="B566" s="104"/>
      <c r="C566" s="104"/>
      <c r="D566" s="260"/>
      <c r="E566" s="104"/>
      <c r="F566" s="104"/>
      <c r="G566" s="35"/>
      <c r="H566" s="104"/>
      <c r="I566" s="35"/>
      <c r="J566" s="74"/>
      <c r="K566" s="74"/>
      <c r="L566" s="74"/>
      <c r="M566" s="74"/>
      <c r="N566" s="74"/>
      <c r="O566" s="74"/>
      <c r="P566" s="74"/>
      <c r="Q566" s="74"/>
      <c r="R566" s="74"/>
      <c r="S566" s="74"/>
      <c r="T566" s="74"/>
      <c r="U566" s="74"/>
      <c r="V566" s="74"/>
      <c r="W566" s="74"/>
      <c r="X566" s="74"/>
      <c r="Y566" s="74"/>
      <c r="Z566" s="74"/>
      <c r="AA566" s="74"/>
      <c r="AB566" s="74"/>
    </row>
    <row r="567" spans="1:28" ht="12" customHeight="1">
      <c r="A567" s="260"/>
      <c r="B567" s="104"/>
      <c r="C567" s="104"/>
      <c r="D567" s="260"/>
      <c r="E567" s="104"/>
      <c r="F567" s="104"/>
      <c r="G567" s="35"/>
      <c r="H567" s="104"/>
      <c r="I567" s="35"/>
      <c r="J567" s="74"/>
      <c r="K567" s="74"/>
      <c r="L567" s="74"/>
      <c r="M567" s="74"/>
      <c r="N567" s="74"/>
      <c r="O567" s="74"/>
      <c r="P567" s="74"/>
      <c r="Q567" s="74"/>
      <c r="R567" s="74"/>
      <c r="S567" s="74"/>
      <c r="T567" s="74"/>
      <c r="U567" s="74"/>
      <c r="V567" s="74"/>
      <c r="W567" s="74"/>
      <c r="X567" s="74"/>
      <c r="Y567" s="74"/>
      <c r="Z567" s="74"/>
      <c r="AA567" s="74"/>
      <c r="AB567" s="74"/>
    </row>
    <row r="568" spans="1:28" ht="12" customHeight="1">
      <c r="A568" s="260"/>
      <c r="B568" s="104"/>
      <c r="C568" s="104"/>
      <c r="D568" s="260"/>
      <c r="E568" s="104"/>
      <c r="F568" s="104"/>
      <c r="G568" s="35"/>
      <c r="H568" s="104"/>
      <c r="I568" s="35"/>
      <c r="J568" s="74"/>
      <c r="K568" s="74"/>
      <c r="L568" s="74"/>
      <c r="M568" s="74"/>
      <c r="N568" s="74"/>
      <c r="O568" s="74"/>
      <c r="P568" s="74"/>
      <c r="Q568" s="74"/>
      <c r="R568" s="74"/>
      <c r="S568" s="74"/>
      <c r="T568" s="74"/>
      <c r="U568" s="74"/>
      <c r="V568" s="74"/>
      <c r="W568" s="74"/>
      <c r="X568" s="74"/>
      <c r="Y568" s="74"/>
      <c r="Z568" s="74"/>
      <c r="AA568" s="74"/>
      <c r="AB568" s="74"/>
    </row>
    <row r="569" spans="1:28" ht="12" customHeight="1">
      <c r="A569" s="260"/>
      <c r="B569" s="104"/>
      <c r="C569" s="104"/>
      <c r="D569" s="260"/>
      <c r="E569" s="104"/>
      <c r="F569" s="104"/>
      <c r="G569" s="35"/>
      <c r="H569" s="104"/>
      <c r="I569" s="35"/>
      <c r="J569" s="74"/>
      <c r="K569" s="74"/>
      <c r="L569" s="74"/>
      <c r="M569" s="74"/>
      <c r="N569" s="74"/>
      <c r="O569" s="74"/>
      <c r="P569" s="74"/>
      <c r="Q569" s="74"/>
      <c r="R569" s="74"/>
      <c r="S569" s="74"/>
      <c r="T569" s="74"/>
      <c r="U569" s="74"/>
      <c r="V569" s="74"/>
      <c r="W569" s="74"/>
      <c r="X569" s="74"/>
      <c r="Y569" s="74"/>
      <c r="Z569" s="74"/>
      <c r="AA569" s="74"/>
      <c r="AB569" s="74"/>
    </row>
    <row r="570" spans="1:28" ht="12" customHeight="1">
      <c r="A570" s="260"/>
      <c r="B570" s="104"/>
      <c r="C570" s="104"/>
      <c r="D570" s="260"/>
      <c r="E570" s="104"/>
      <c r="F570" s="104"/>
      <c r="G570" s="35"/>
      <c r="H570" s="104"/>
      <c r="I570" s="35"/>
      <c r="J570" s="74"/>
      <c r="K570" s="74"/>
      <c r="L570" s="74"/>
      <c r="M570" s="74"/>
      <c r="N570" s="74"/>
      <c r="O570" s="74"/>
      <c r="P570" s="74"/>
      <c r="Q570" s="74"/>
      <c r="R570" s="74"/>
      <c r="S570" s="74"/>
      <c r="T570" s="74"/>
      <c r="U570" s="74"/>
      <c r="V570" s="74"/>
      <c r="W570" s="74"/>
      <c r="X570" s="74"/>
      <c r="Y570" s="74"/>
      <c r="Z570" s="74"/>
      <c r="AA570" s="74"/>
      <c r="AB570" s="74"/>
    </row>
    <row r="571" spans="1:28" ht="12" customHeight="1">
      <c r="A571" s="260"/>
      <c r="B571" s="104"/>
      <c r="C571" s="104"/>
      <c r="D571" s="260"/>
      <c r="E571" s="104"/>
      <c r="F571" s="104"/>
      <c r="G571" s="35"/>
      <c r="H571" s="104"/>
      <c r="I571" s="35"/>
      <c r="J571" s="74"/>
      <c r="K571" s="74"/>
      <c r="L571" s="74"/>
      <c r="M571" s="74"/>
      <c r="N571" s="74"/>
      <c r="O571" s="74"/>
      <c r="P571" s="74"/>
      <c r="Q571" s="74"/>
      <c r="R571" s="74"/>
      <c r="S571" s="74"/>
      <c r="T571" s="74"/>
      <c r="U571" s="74"/>
      <c r="V571" s="74"/>
      <c r="W571" s="74"/>
      <c r="X571" s="74"/>
      <c r="Y571" s="74"/>
      <c r="Z571" s="74"/>
      <c r="AA571" s="74"/>
      <c r="AB571" s="74"/>
    </row>
    <row r="572" spans="1:28" ht="12" customHeight="1">
      <c r="A572" s="260"/>
      <c r="B572" s="104"/>
      <c r="C572" s="104"/>
      <c r="D572" s="260"/>
      <c r="E572" s="104"/>
      <c r="F572" s="104"/>
      <c r="G572" s="35"/>
      <c r="H572" s="104"/>
      <c r="I572" s="35"/>
      <c r="J572" s="74"/>
      <c r="K572" s="74"/>
      <c r="L572" s="74"/>
      <c r="M572" s="74"/>
      <c r="N572" s="74"/>
      <c r="O572" s="74"/>
      <c r="P572" s="74"/>
      <c r="Q572" s="74"/>
      <c r="R572" s="74"/>
      <c r="S572" s="74"/>
      <c r="T572" s="74"/>
      <c r="U572" s="74"/>
      <c r="V572" s="74"/>
      <c r="W572" s="74"/>
      <c r="X572" s="74"/>
      <c r="Y572" s="74"/>
      <c r="Z572" s="74"/>
      <c r="AA572" s="74"/>
      <c r="AB572" s="74"/>
    </row>
    <row r="573" spans="1:28" ht="12" customHeight="1">
      <c r="A573" s="260"/>
      <c r="B573" s="104"/>
      <c r="C573" s="104"/>
      <c r="D573" s="260"/>
      <c r="E573" s="104"/>
      <c r="F573" s="104"/>
      <c r="G573" s="35"/>
      <c r="H573" s="104"/>
      <c r="I573" s="35"/>
      <c r="J573" s="74"/>
      <c r="K573" s="74"/>
      <c r="L573" s="74"/>
      <c r="M573" s="74"/>
      <c r="N573" s="74"/>
      <c r="O573" s="74"/>
      <c r="P573" s="74"/>
      <c r="Q573" s="74"/>
      <c r="R573" s="74"/>
      <c r="S573" s="74"/>
      <c r="T573" s="74"/>
      <c r="U573" s="74"/>
      <c r="V573" s="74"/>
      <c r="W573" s="74"/>
      <c r="X573" s="74"/>
      <c r="Y573" s="74"/>
      <c r="Z573" s="74"/>
      <c r="AA573" s="74"/>
      <c r="AB573" s="74"/>
    </row>
    <row r="574" spans="1:28" ht="12" customHeight="1">
      <c r="A574" s="260"/>
      <c r="B574" s="104"/>
      <c r="C574" s="104"/>
      <c r="D574" s="260"/>
      <c r="E574" s="104"/>
      <c r="F574" s="104"/>
      <c r="G574" s="35"/>
      <c r="H574" s="104"/>
      <c r="I574" s="35"/>
      <c r="J574" s="74"/>
      <c r="K574" s="74"/>
      <c r="L574" s="74"/>
      <c r="M574" s="74"/>
      <c r="N574" s="74"/>
      <c r="O574" s="74"/>
      <c r="P574" s="74"/>
      <c r="Q574" s="74"/>
      <c r="R574" s="74"/>
      <c r="S574" s="74"/>
      <c r="T574" s="74"/>
      <c r="U574" s="74"/>
      <c r="V574" s="74"/>
      <c r="W574" s="74"/>
      <c r="X574" s="74"/>
      <c r="Y574" s="74"/>
      <c r="Z574" s="74"/>
      <c r="AA574" s="74"/>
      <c r="AB574" s="74"/>
    </row>
    <row r="575" spans="1:28" ht="12" customHeight="1">
      <c r="A575" s="260"/>
      <c r="B575" s="104"/>
      <c r="C575" s="104"/>
      <c r="D575" s="260"/>
      <c r="E575" s="104"/>
      <c r="F575" s="104"/>
      <c r="G575" s="35"/>
      <c r="H575" s="104"/>
      <c r="I575" s="35"/>
      <c r="J575" s="74"/>
      <c r="K575" s="74"/>
      <c r="L575" s="74"/>
      <c r="M575" s="74"/>
      <c r="N575" s="74"/>
      <c r="O575" s="74"/>
      <c r="P575" s="74"/>
      <c r="Q575" s="74"/>
      <c r="R575" s="74"/>
      <c r="S575" s="74"/>
      <c r="T575" s="74"/>
      <c r="U575" s="74"/>
      <c r="V575" s="74"/>
      <c r="W575" s="74"/>
      <c r="X575" s="74"/>
      <c r="Y575" s="74"/>
      <c r="Z575" s="74"/>
      <c r="AA575" s="74"/>
      <c r="AB575" s="74"/>
    </row>
    <row r="576" spans="1:28" ht="12" customHeight="1">
      <c r="A576" s="260"/>
      <c r="B576" s="104"/>
      <c r="C576" s="104"/>
      <c r="D576" s="260"/>
      <c r="E576" s="104"/>
      <c r="F576" s="104"/>
      <c r="G576" s="35"/>
      <c r="H576" s="104"/>
      <c r="I576" s="35"/>
      <c r="J576" s="74"/>
      <c r="K576" s="74"/>
      <c r="L576" s="74"/>
      <c r="M576" s="74"/>
      <c r="N576" s="74"/>
      <c r="O576" s="74"/>
      <c r="P576" s="74"/>
      <c r="Q576" s="74"/>
      <c r="R576" s="74"/>
      <c r="S576" s="74"/>
      <c r="T576" s="74"/>
      <c r="U576" s="74"/>
      <c r="V576" s="74"/>
      <c r="W576" s="74"/>
      <c r="X576" s="74"/>
      <c r="Y576" s="74"/>
      <c r="Z576" s="74"/>
      <c r="AA576" s="74"/>
      <c r="AB576" s="74"/>
    </row>
    <row r="577" spans="1:28" ht="12" customHeight="1">
      <c r="A577" s="260"/>
      <c r="B577" s="104"/>
      <c r="C577" s="104"/>
      <c r="D577" s="260"/>
      <c r="E577" s="104"/>
      <c r="F577" s="104"/>
      <c r="G577" s="35"/>
      <c r="H577" s="104"/>
      <c r="I577" s="35"/>
      <c r="J577" s="74"/>
      <c r="K577" s="74"/>
      <c r="L577" s="74"/>
      <c r="M577" s="74"/>
      <c r="N577" s="74"/>
      <c r="O577" s="74"/>
      <c r="P577" s="74"/>
      <c r="Q577" s="74"/>
      <c r="R577" s="74"/>
      <c r="S577" s="74"/>
      <c r="T577" s="74"/>
      <c r="U577" s="74"/>
      <c r="V577" s="74"/>
      <c r="W577" s="74"/>
      <c r="X577" s="74"/>
      <c r="Y577" s="74"/>
      <c r="Z577" s="74"/>
      <c r="AA577" s="74"/>
      <c r="AB577" s="74"/>
    </row>
    <row r="578" spans="1:28" ht="12" customHeight="1">
      <c r="A578" s="260"/>
      <c r="B578" s="104"/>
      <c r="C578" s="104"/>
      <c r="D578" s="260"/>
      <c r="E578" s="104"/>
      <c r="F578" s="104"/>
      <c r="G578" s="35"/>
      <c r="H578" s="104"/>
      <c r="I578" s="35"/>
      <c r="J578" s="74"/>
      <c r="K578" s="74"/>
      <c r="L578" s="74"/>
      <c r="M578" s="74"/>
      <c r="N578" s="74"/>
      <c r="O578" s="74"/>
      <c r="P578" s="74"/>
      <c r="Q578" s="74"/>
      <c r="R578" s="74"/>
      <c r="S578" s="74"/>
      <c r="T578" s="74"/>
      <c r="U578" s="74"/>
      <c r="V578" s="74"/>
      <c r="W578" s="74"/>
      <c r="X578" s="74"/>
      <c r="Y578" s="74"/>
      <c r="Z578" s="74"/>
      <c r="AA578" s="74"/>
      <c r="AB578" s="74"/>
    </row>
    <row r="579" spans="1:28" ht="12" customHeight="1">
      <c r="A579" s="260"/>
      <c r="B579" s="104"/>
      <c r="C579" s="104"/>
      <c r="D579" s="260"/>
      <c r="E579" s="104"/>
      <c r="F579" s="104"/>
      <c r="G579" s="35"/>
      <c r="H579" s="104"/>
      <c r="I579" s="35"/>
      <c r="J579" s="74"/>
      <c r="K579" s="74"/>
      <c r="L579" s="74"/>
      <c r="M579" s="74"/>
      <c r="N579" s="74"/>
      <c r="O579" s="74"/>
      <c r="P579" s="74"/>
      <c r="Q579" s="74"/>
      <c r="R579" s="74"/>
      <c r="S579" s="74"/>
      <c r="T579" s="74"/>
      <c r="U579" s="74"/>
      <c r="V579" s="74"/>
      <c r="W579" s="74"/>
      <c r="X579" s="74"/>
      <c r="Y579" s="74"/>
      <c r="Z579" s="74"/>
      <c r="AA579" s="74"/>
      <c r="AB579" s="74"/>
    </row>
    <row r="580" spans="1:28" ht="12" customHeight="1">
      <c r="A580" s="260"/>
      <c r="B580" s="104"/>
      <c r="C580" s="104"/>
      <c r="D580" s="260"/>
      <c r="E580" s="104"/>
      <c r="F580" s="104"/>
      <c r="G580" s="35"/>
      <c r="H580" s="104"/>
      <c r="I580" s="35"/>
      <c r="J580" s="74"/>
      <c r="K580" s="74"/>
      <c r="L580" s="74"/>
      <c r="M580" s="74"/>
      <c r="N580" s="74"/>
      <c r="O580" s="74"/>
      <c r="P580" s="74"/>
      <c r="Q580" s="74"/>
      <c r="R580" s="74"/>
      <c r="S580" s="74"/>
      <c r="T580" s="74"/>
      <c r="U580" s="74"/>
      <c r="V580" s="74"/>
      <c r="W580" s="74"/>
      <c r="X580" s="74"/>
      <c r="Y580" s="74"/>
      <c r="Z580" s="74"/>
      <c r="AA580" s="74"/>
      <c r="AB580" s="74"/>
    </row>
    <row r="581" spans="1:28" ht="12" customHeight="1">
      <c r="A581" s="260"/>
      <c r="B581" s="104"/>
      <c r="C581" s="104"/>
      <c r="D581" s="260"/>
      <c r="E581" s="104"/>
      <c r="F581" s="104"/>
      <c r="G581" s="35"/>
      <c r="H581" s="104"/>
      <c r="I581" s="35"/>
      <c r="J581" s="74"/>
      <c r="K581" s="74"/>
      <c r="L581" s="74"/>
      <c r="M581" s="74"/>
      <c r="N581" s="74"/>
      <c r="O581" s="74"/>
      <c r="P581" s="74"/>
      <c r="Q581" s="74"/>
      <c r="R581" s="74"/>
      <c r="S581" s="74"/>
      <c r="T581" s="74"/>
      <c r="U581" s="74"/>
      <c r="V581" s="74"/>
      <c r="W581" s="74"/>
      <c r="X581" s="74"/>
      <c r="Y581" s="74"/>
      <c r="Z581" s="74"/>
      <c r="AA581" s="74"/>
      <c r="AB581" s="74"/>
    </row>
    <row r="582" spans="1:28" ht="12" customHeight="1">
      <c r="A582" s="260"/>
      <c r="B582" s="104"/>
      <c r="C582" s="104"/>
      <c r="D582" s="260"/>
      <c r="E582" s="104"/>
      <c r="F582" s="104"/>
      <c r="G582" s="35"/>
      <c r="H582" s="104"/>
      <c r="I582" s="35"/>
      <c r="J582" s="74"/>
      <c r="K582" s="74"/>
      <c r="L582" s="74"/>
      <c r="M582" s="74"/>
      <c r="N582" s="74"/>
      <c r="O582" s="74"/>
      <c r="P582" s="74"/>
      <c r="Q582" s="74"/>
      <c r="R582" s="74"/>
      <c r="S582" s="74"/>
      <c r="T582" s="74"/>
      <c r="U582" s="74"/>
      <c r="V582" s="74"/>
      <c r="W582" s="74"/>
      <c r="X582" s="74"/>
      <c r="Y582" s="74"/>
      <c r="Z582" s="74"/>
      <c r="AA582" s="74"/>
      <c r="AB582" s="74"/>
    </row>
    <row r="583" spans="1:28" ht="12" customHeight="1">
      <c r="A583" s="260"/>
      <c r="B583" s="104"/>
      <c r="C583" s="104"/>
      <c r="D583" s="260"/>
      <c r="E583" s="104"/>
      <c r="F583" s="104"/>
      <c r="G583" s="35"/>
      <c r="H583" s="104"/>
      <c r="I583" s="35"/>
      <c r="J583" s="74"/>
      <c r="K583" s="74"/>
      <c r="L583" s="74"/>
      <c r="M583" s="74"/>
      <c r="N583" s="74"/>
      <c r="O583" s="74"/>
      <c r="P583" s="74"/>
      <c r="Q583" s="74"/>
      <c r="R583" s="74"/>
      <c r="S583" s="74"/>
      <c r="T583" s="74"/>
      <c r="U583" s="74"/>
      <c r="V583" s="74"/>
      <c r="W583" s="74"/>
      <c r="X583" s="74"/>
      <c r="Y583" s="74"/>
      <c r="Z583" s="74"/>
      <c r="AA583" s="74"/>
      <c r="AB583" s="74"/>
    </row>
    <row r="584" spans="1:28" ht="12" customHeight="1">
      <c r="A584" s="260"/>
      <c r="B584" s="104"/>
      <c r="C584" s="104"/>
      <c r="D584" s="260"/>
      <c r="E584" s="104"/>
      <c r="F584" s="104"/>
      <c r="G584" s="35"/>
      <c r="H584" s="104"/>
      <c r="I584" s="35"/>
      <c r="J584" s="74"/>
      <c r="K584" s="74"/>
      <c r="L584" s="74"/>
      <c r="M584" s="74"/>
      <c r="N584" s="74"/>
      <c r="O584" s="74"/>
      <c r="P584" s="74"/>
      <c r="Q584" s="74"/>
      <c r="R584" s="74"/>
      <c r="S584" s="74"/>
      <c r="T584" s="74"/>
      <c r="U584" s="74"/>
      <c r="V584" s="74"/>
      <c r="W584" s="74"/>
      <c r="X584" s="74"/>
      <c r="Y584" s="74"/>
      <c r="Z584" s="74"/>
      <c r="AA584" s="74"/>
      <c r="AB584" s="74"/>
    </row>
    <row r="585" spans="1:28" ht="12" customHeight="1">
      <c r="A585" s="260"/>
      <c r="B585" s="104"/>
      <c r="C585" s="104"/>
      <c r="D585" s="260"/>
      <c r="E585" s="104"/>
      <c r="F585" s="104"/>
      <c r="G585" s="35"/>
      <c r="H585" s="104"/>
      <c r="I585" s="35"/>
      <c r="J585" s="74"/>
      <c r="K585" s="74"/>
      <c r="L585" s="74"/>
      <c r="M585" s="74"/>
      <c r="N585" s="74"/>
      <c r="O585" s="74"/>
      <c r="P585" s="74"/>
      <c r="Q585" s="74"/>
      <c r="R585" s="74"/>
      <c r="S585" s="74"/>
      <c r="T585" s="74"/>
      <c r="U585" s="74"/>
      <c r="V585" s="74"/>
      <c r="W585" s="74"/>
      <c r="X585" s="74"/>
      <c r="Y585" s="74"/>
      <c r="Z585" s="74"/>
      <c r="AA585" s="74"/>
      <c r="AB585" s="74"/>
    </row>
    <row r="586" spans="1:28" ht="12" customHeight="1">
      <c r="A586" s="260"/>
      <c r="B586" s="104"/>
      <c r="C586" s="104"/>
      <c r="D586" s="260"/>
      <c r="E586" s="104"/>
      <c r="F586" s="104"/>
      <c r="G586" s="35"/>
      <c r="H586" s="104"/>
      <c r="I586" s="35"/>
      <c r="J586" s="74"/>
      <c r="K586" s="74"/>
      <c r="L586" s="74"/>
      <c r="M586" s="74"/>
      <c r="N586" s="74"/>
      <c r="O586" s="74"/>
      <c r="P586" s="74"/>
      <c r="Q586" s="74"/>
      <c r="R586" s="74"/>
      <c r="S586" s="74"/>
      <c r="T586" s="74"/>
      <c r="U586" s="74"/>
      <c r="V586" s="74"/>
      <c r="W586" s="74"/>
      <c r="X586" s="74"/>
      <c r="Y586" s="74"/>
      <c r="Z586" s="74"/>
      <c r="AA586" s="74"/>
      <c r="AB586" s="74"/>
    </row>
    <row r="587" spans="1:28" ht="12" customHeight="1">
      <c r="A587" s="260"/>
      <c r="B587" s="104"/>
      <c r="C587" s="104"/>
      <c r="D587" s="260"/>
      <c r="E587" s="104"/>
      <c r="F587" s="104"/>
      <c r="G587" s="35"/>
      <c r="H587" s="104"/>
      <c r="I587" s="35"/>
      <c r="J587" s="74"/>
      <c r="K587" s="74"/>
      <c r="L587" s="74"/>
      <c r="M587" s="74"/>
      <c r="N587" s="74"/>
      <c r="O587" s="74"/>
      <c r="P587" s="74"/>
      <c r="Q587" s="74"/>
      <c r="R587" s="74"/>
      <c r="S587" s="74"/>
      <c r="T587" s="74"/>
      <c r="U587" s="74"/>
      <c r="V587" s="74"/>
      <c r="W587" s="74"/>
      <c r="X587" s="74"/>
      <c r="Y587" s="74"/>
      <c r="Z587" s="74"/>
      <c r="AA587" s="74"/>
      <c r="AB587" s="74"/>
    </row>
    <row r="588" spans="1:28" ht="12" customHeight="1">
      <c r="A588" s="260"/>
      <c r="B588" s="104"/>
      <c r="C588" s="104"/>
      <c r="D588" s="260"/>
      <c r="E588" s="104"/>
      <c r="F588" s="104"/>
      <c r="G588" s="35"/>
      <c r="H588" s="104"/>
      <c r="I588" s="35"/>
      <c r="J588" s="74"/>
      <c r="K588" s="74"/>
      <c r="L588" s="74"/>
      <c r="M588" s="74"/>
      <c r="N588" s="74"/>
      <c r="O588" s="74"/>
      <c r="P588" s="74"/>
      <c r="Q588" s="74"/>
      <c r="R588" s="74"/>
      <c r="S588" s="74"/>
      <c r="T588" s="74"/>
      <c r="U588" s="74"/>
      <c r="V588" s="74"/>
      <c r="W588" s="74"/>
      <c r="X588" s="74"/>
      <c r="Y588" s="74"/>
      <c r="Z588" s="74"/>
      <c r="AA588" s="74"/>
      <c r="AB588" s="74"/>
    </row>
    <row r="589" spans="1:28" ht="12" customHeight="1">
      <c r="A589" s="260"/>
      <c r="B589" s="104"/>
      <c r="C589" s="104"/>
      <c r="D589" s="260"/>
      <c r="E589" s="104"/>
      <c r="F589" s="104"/>
      <c r="G589" s="35"/>
      <c r="H589" s="104"/>
      <c r="I589" s="35"/>
      <c r="J589" s="74"/>
      <c r="K589" s="74"/>
      <c r="L589" s="74"/>
      <c r="M589" s="74"/>
      <c r="N589" s="74"/>
      <c r="O589" s="74"/>
      <c r="P589" s="74"/>
      <c r="Q589" s="74"/>
      <c r="R589" s="74"/>
      <c r="S589" s="74"/>
      <c r="T589" s="74"/>
      <c r="U589" s="74"/>
      <c r="V589" s="74"/>
      <c r="W589" s="74"/>
      <c r="X589" s="74"/>
      <c r="Y589" s="74"/>
      <c r="Z589" s="74"/>
      <c r="AA589" s="74"/>
      <c r="AB589" s="74"/>
    </row>
    <row r="590" spans="1:28" ht="12" customHeight="1">
      <c r="A590" s="260"/>
      <c r="B590" s="104"/>
      <c r="C590" s="104"/>
      <c r="D590" s="260"/>
      <c r="E590" s="104"/>
      <c r="F590" s="104"/>
      <c r="G590" s="35"/>
      <c r="H590" s="104"/>
      <c r="I590" s="35"/>
      <c r="J590" s="74"/>
      <c r="K590" s="74"/>
      <c r="L590" s="74"/>
      <c r="M590" s="74"/>
      <c r="N590" s="74"/>
      <c r="O590" s="74"/>
      <c r="P590" s="74"/>
      <c r="Q590" s="74"/>
      <c r="R590" s="74"/>
      <c r="S590" s="74"/>
      <c r="T590" s="74"/>
      <c r="U590" s="74"/>
      <c r="V590" s="74"/>
      <c r="W590" s="74"/>
      <c r="X590" s="74"/>
      <c r="Y590" s="74"/>
      <c r="Z590" s="74"/>
      <c r="AA590" s="74"/>
      <c r="AB590" s="74"/>
    </row>
    <row r="591" spans="1:28" ht="12" customHeight="1">
      <c r="A591" s="260"/>
      <c r="B591" s="104"/>
      <c r="C591" s="104"/>
      <c r="D591" s="260"/>
      <c r="E591" s="104"/>
      <c r="F591" s="104"/>
      <c r="G591" s="35"/>
      <c r="H591" s="104"/>
      <c r="I591" s="35"/>
      <c r="J591" s="74"/>
      <c r="K591" s="74"/>
      <c r="L591" s="74"/>
      <c r="M591" s="74"/>
      <c r="N591" s="74"/>
      <c r="O591" s="74"/>
      <c r="P591" s="74"/>
      <c r="Q591" s="74"/>
      <c r="R591" s="74"/>
      <c r="S591" s="74"/>
      <c r="T591" s="74"/>
      <c r="U591" s="74"/>
      <c r="V591" s="74"/>
      <c r="W591" s="74"/>
      <c r="X591" s="74"/>
      <c r="Y591" s="74"/>
      <c r="Z591" s="74"/>
      <c r="AA591" s="74"/>
      <c r="AB591" s="74"/>
    </row>
    <row r="592" spans="1:28" ht="12" customHeight="1">
      <c r="A592" s="260"/>
      <c r="B592" s="104"/>
      <c r="C592" s="104"/>
      <c r="D592" s="260"/>
      <c r="E592" s="104"/>
      <c r="F592" s="104"/>
      <c r="G592" s="35"/>
      <c r="H592" s="104"/>
      <c r="I592" s="35"/>
      <c r="J592" s="74"/>
      <c r="K592" s="74"/>
      <c r="L592" s="74"/>
      <c r="M592" s="74"/>
      <c r="N592" s="74"/>
      <c r="O592" s="74"/>
      <c r="P592" s="74"/>
      <c r="Q592" s="74"/>
      <c r="R592" s="74"/>
      <c r="S592" s="74"/>
      <c r="T592" s="74"/>
      <c r="U592" s="74"/>
      <c r="V592" s="74"/>
      <c r="W592" s="74"/>
      <c r="X592" s="74"/>
      <c r="Y592" s="74"/>
      <c r="Z592" s="74"/>
      <c r="AA592" s="74"/>
      <c r="AB592" s="74"/>
    </row>
    <row r="593" spans="1:28" ht="12" customHeight="1">
      <c r="A593" s="260"/>
      <c r="B593" s="104"/>
      <c r="C593" s="104"/>
      <c r="D593" s="260"/>
      <c r="E593" s="104"/>
      <c r="F593" s="104"/>
      <c r="G593" s="35"/>
      <c r="H593" s="104"/>
      <c r="I593" s="35"/>
      <c r="J593" s="74"/>
      <c r="K593" s="74"/>
      <c r="L593" s="74"/>
      <c r="M593" s="74"/>
      <c r="N593" s="74"/>
      <c r="O593" s="74"/>
      <c r="P593" s="74"/>
      <c r="Q593" s="74"/>
      <c r="R593" s="74"/>
      <c r="S593" s="74"/>
      <c r="T593" s="74"/>
      <c r="U593" s="74"/>
      <c r="V593" s="74"/>
      <c r="W593" s="74"/>
      <c r="X593" s="74"/>
      <c r="Y593" s="74"/>
      <c r="Z593" s="74"/>
      <c r="AA593" s="74"/>
      <c r="AB593" s="74"/>
    </row>
    <row r="594" spans="1:28" ht="12" customHeight="1">
      <c r="A594" s="260"/>
      <c r="B594" s="104"/>
      <c r="C594" s="104"/>
      <c r="D594" s="260"/>
      <c r="E594" s="104"/>
      <c r="F594" s="104"/>
      <c r="G594" s="35"/>
      <c r="H594" s="104"/>
      <c r="I594" s="35"/>
      <c r="J594" s="74"/>
      <c r="K594" s="74"/>
      <c r="L594" s="74"/>
      <c r="M594" s="74"/>
      <c r="N594" s="74"/>
      <c r="O594" s="74"/>
      <c r="P594" s="74"/>
      <c r="Q594" s="74"/>
      <c r="R594" s="74"/>
      <c r="S594" s="74"/>
      <c r="T594" s="74"/>
      <c r="U594" s="74"/>
      <c r="V594" s="74"/>
      <c r="W594" s="74"/>
      <c r="X594" s="74"/>
      <c r="Y594" s="74"/>
      <c r="Z594" s="74"/>
      <c r="AA594" s="74"/>
      <c r="AB594" s="74"/>
    </row>
    <row r="595" spans="1:28" ht="12" customHeight="1">
      <c r="A595" s="260"/>
      <c r="B595" s="104"/>
      <c r="C595" s="104"/>
      <c r="D595" s="260"/>
      <c r="E595" s="104"/>
      <c r="F595" s="104"/>
      <c r="G595" s="35"/>
      <c r="H595" s="104"/>
      <c r="I595" s="35"/>
      <c r="J595" s="74"/>
      <c r="K595" s="74"/>
      <c r="L595" s="74"/>
      <c r="M595" s="74"/>
      <c r="N595" s="74"/>
      <c r="O595" s="74"/>
      <c r="P595" s="74"/>
      <c r="Q595" s="74"/>
      <c r="R595" s="74"/>
      <c r="S595" s="74"/>
      <c r="T595" s="74"/>
      <c r="U595" s="74"/>
      <c r="V595" s="74"/>
      <c r="W595" s="74"/>
      <c r="X595" s="74"/>
      <c r="Y595" s="74"/>
      <c r="Z595" s="74"/>
      <c r="AA595" s="74"/>
      <c r="AB595" s="74"/>
    </row>
    <row r="596" spans="1:28" ht="12" customHeight="1">
      <c r="A596" s="260"/>
      <c r="B596" s="104"/>
      <c r="C596" s="104"/>
      <c r="D596" s="260"/>
      <c r="E596" s="104"/>
      <c r="F596" s="104"/>
      <c r="G596" s="35"/>
      <c r="H596" s="104"/>
      <c r="I596" s="35"/>
      <c r="J596" s="74"/>
      <c r="K596" s="74"/>
      <c r="L596" s="74"/>
      <c r="M596" s="74"/>
      <c r="N596" s="74"/>
      <c r="O596" s="74"/>
      <c r="P596" s="74"/>
      <c r="Q596" s="74"/>
      <c r="R596" s="74"/>
      <c r="S596" s="74"/>
      <c r="T596" s="74"/>
      <c r="U596" s="74"/>
      <c r="V596" s="74"/>
      <c r="W596" s="74"/>
      <c r="X596" s="74"/>
      <c r="Y596" s="74"/>
      <c r="Z596" s="74"/>
      <c r="AA596" s="74"/>
      <c r="AB596" s="74"/>
    </row>
    <row r="597" spans="1:28" ht="12" customHeight="1">
      <c r="A597" s="260"/>
      <c r="B597" s="104"/>
      <c r="C597" s="104"/>
      <c r="D597" s="260"/>
      <c r="E597" s="104"/>
      <c r="F597" s="104"/>
      <c r="G597" s="35"/>
      <c r="H597" s="104"/>
      <c r="I597" s="35"/>
      <c r="J597" s="74"/>
      <c r="K597" s="74"/>
      <c r="L597" s="74"/>
      <c r="M597" s="74"/>
      <c r="N597" s="74"/>
      <c r="O597" s="74"/>
      <c r="P597" s="74"/>
      <c r="Q597" s="74"/>
      <c r="R597" s="74"/>
      <c r="S597" s="74"/>
      <c r="T597" s="74"/>
      <c r="U597" s="74"/>
      <c r="V597" s="74"/>
      <c r="W597" s="74"/>
      <c r="X597" s="74"/>
      <c r="Y597" s="74"/>
      <c r="Z597" s="74"/>
      <c r="AA597" s="74"/>
      <c r="AB597" s="74"/>
    </row>
    <row r="598" spans="1:28" ht="12" customHeight="1">
      <c r="A598" s="260"/>
      <c r="B598" s="104"/>
      <c r="C598" s="104"/>
      <c r="D598" s="260"/>
      <c r="E598" s="104"/>
      <c r="F598" s="104"/>
      <c r="G598" s="35"/>
      <c r="H598" s="104"/>
      <c r="I598" s="35"/>
      <c r="J598" s="74"/>
      <c r="K598" s="74"/>
      <c r="L598" s="74"/>
      <c r="M598" s="74"/>
      <c r="N598" s="74"/>
      <c r="O598" s="74"/>
      <c r="P598" s="74"/>
      <c r="Q598" s="74"/>
      <c r="R598" s="74"/>
      <c r="S598" s="74"/>
      <c r="T598" s="74"/>
      <c r="U598" s="74"/>
      <c r="V598" s="74"/>
      <c r="W598" s="74"/>
      <c r="X598" s="74"/>
      <c r="Y598" s="74"/>
      <c r="Z598" s="74"/>
      <c r="AA598" s="74"/>
      <c r="AB598" s="74"/>
    </row>
    <row r="599" spans="1:28" ht="12" customHeight="1">
      <c r="A599" s="260"/>
      <c r="B599" s="104"/>
      <c r="C599" s="104"/>
      <c r="D599" s="260"/>
      <c r="E599" s="104"/>
      <c r="F599" s="104"/>
      <c r="G599" s="35"/>
      <c r="H599" s="104"/>
      <c r="I599" s="35"/>
      <c r="J599" s="74"/>
      <c r="K599" s="74"/>
      <c r="L599" s="74"/>
      <c r="M599" s="74"/>
      <c r="N599" s="74"/>
      <c r="O599" s="74"/>
      <c r="P599" s="74"/>
      <c r="Q599" s="74"/>
      <c r="R599" s="74"/>
      <c r="S599" s="74"/>
      <c r="T599" s="74"/>
      <c r="U599" s="74"/>
      <c r="V599" s="74"/>
      <c r="W599" s="74"/>
      <c r="X599" s="74"/>
      <c r="Y599" s="74"/>
      <c r="Z599" s="74"/>
      <c r="AA599" s="74"/>
      <c r="AB599" s="74"/>
    </row>
    <row r="600" spans="1:28" ht="12" customHeight="1">
      <c r="A600" s="260"/>
      <c r="B600" s="104"/>
      <c r="C600" s="104"/>
      <c r="D600" s="260"/>
      <c r="E600" s="104"/>
      <c r="F600" s="104"/>
      <c r="G600" s="35"/>
      <c r="H600" s="104"/>
      <c r="I600" s="35"/>
      <c r="J600" s="74"/>
      <c r="K600" s="74"/>
      <c r="L600" s="74"/>
      <c r="M600" s="74"/>
      <c r="N600" s="74"/>
      <c r="O600" s="74"/>
      <c r="P600" s="74"/>
      <c r="Q600" s="74"/>
      <c r="R600" s="74"/>
      <c r="S600" s="74"/>
      <c r="T600" s="74"/>
      <c r="U600" s="74"/>
      <c r="V600" s="74"/>
      <c r="W600" s="74"/>
      <c r="X600" s="74"/>
      <c r="Y600" s="74"/>
      <c r="Z600" s="74"/>
      <c r="AA600" s="74"/>
      <c r="AB600" s="74"/>
    </row>
    <row r="601" spans="1:28" ht="12" customHeight="1">
      <c r="A601" s="260"/>
      <c r="B601" s="104"/>
      <c r="C601" s="104"/>
      <c r="D601" s="260"/>
      <c r="E601" s="104"/>
      <c r="F601" s="104"/>
      <c r="G601" s="35"/>
      <c r="H601" s="104"/>
      <c r="I601" s="35"/>
      <c r="J601" s="74"/>
      <c r="K601" s="74"/>
      <c r="L601" s="74"/>
      <c r="M601" s="74"/>
      <c r="N601" s="74"/>
      <c r="O601" s="74"/>
      <c r="P601" s="74"/>
      <c r="Q601" s="74"/>
      <c r="R601" s="74"/>
      <c r="S601" s="74"/>
      <c r="T601" s="74"/>
      <c r="U601" s="74"/>
      <c r="V601" s="74"/>
      <c r="W601" s="74"/>
      <c r="X601" s="74"/>
      <c r="Y601" s="74"/>
      <c r="Z601" s="74"/>
      <c r="AA601" s="74"/>
      <c r="AB601" s="74"/>
    </row>
    <row r="602" spans="1:28" ht="12" customHeight="1">
      <c r="A602" s="260"/>
      <c r="B602" s="104"/>
      <c r="C602" s="104"/>
      <c r="D602" s="260"/>
      <c r="E602" s="104"/>
      <c r="F602" s="104"/>
      <c r="G602" s="35"/>
      <c r="H602" s="104"/>
      <c r="I602" s="35"/>
      <c r="J602" s="74"/>
      <c r="K602" s="74"/>
      <c r="L602" s="74"/>
      <c r="M602" s="74"/>
      <c r="N602" s="74"/>
      <c r="O602" s="74"/>
      <c r="P602" s="74"/>
      <c r="Q602" s="74"/>
      <c r="R602" s="74"/>
      <c r="S602" s="74"/>
      <c r="T602" s="74"/>
      <c r="U602" s="74"/>
      <c r="V602" s="74"/>
      <c r="W602" s="74"/>
      <c r="X602" s="74"/>
      <c r="Y602" s="74"/>
      <c r="Z602" s="74"/>
      <c r="AA602" s="74"/>
      <c r="AB602" s="74"/>
    </row>
    <row r="603" spans="1:28" ht="12" customHeight="1">
      <c r="A603" s="260"/>
      <c r="B603" s="104"/>
      <c r="C603" s="104"/>
      <c r="D603" s="260"/>
      <c r="E603" s="104"/>
      <c r="F603" s="104"/>
      <c r="G603" s="35"/>
      <c r="H603" s="104"/>
      <c r="I603" s="35"/>
      <c r="J603" s="74"/>
      <c r="K603" s="74"/>
      <c r="L603" s="74"/>
      <c r="M603" s="74"/>
      <c r="N603" s="74"/>
      <c r="O603" s="74"/>
      <c r="P603" s="74"/>
      <c r="Q603" s="74"/>
      <c r="R603" s="74"/>
      <c r="S603" s="74"/>
      <c r="T603" s="74"/>
      <c r="U603" s="74"/>
      <c r="V603" s="74"/>
      <c r="W603" s="74"/>
      <c r="X603" s="74"/>
      <c r="Y603" s="74"/>
      <c r="Z603" s="74"/>
      <c r="AA603" s="74"/>
      <c r="AB603" s="74"/>
    </row>
    <row r="604" spans="1:28" ht="12" customHeight="1">
      <c r="A604" s="260"/>
      <c r="B604" s="104"/>
      <c r="C604" s="104"/>
      <c r="D604" s="260"/>
      <c r="E604" s="104"/>
      <c r="F604" s="104"/>
      <c r="G604" s="35"/>
      <c r="H604" s="104"/>
      <c r="I604" s="35"/>
      <c r="J604" s="74"/>
      <c r="K604" s="74"/>
      <c r="L604" s="74"/>
      <c r="M604" s="74"/>
      <c r="N604" s="74"/>
      <c r="O604" s="74"/>
      <c r="P604" s="74"/>
      <c r="Q604" s="74"/>
      <c r="R604" s="74"/>
      <c r="S604" s="74"/>
      <c r="T604" s="74"/>
      <c r="U604" s="74"/>
      <c r="V604" s="74"/>
      <c r="W604" s="74"/>
      <c r="X604" s="74"/>
      <c r="Y604" s="74"/>
      <c r="Z604" s="74"/>
      <c r="AA604" s="74"/>
      <c r="AB604" s="74"/>
    </row>
    <row r="605" spans="1:28" ht="12" customHeight="1">
      <c r="A605" s="260"/>
      <c r="B605" s="104"/>
      <c r="C605" s="104"/>
      <c r="D605" s="260"/>
      <c r="E605" s="104"/>
      <c r="F605" s="104"/>
      <c r="G605" s="35"/>
      <c r="H605" s="104"/>
      <c r="I605" s="35"/>
      <c r="J605" s="74"/>
      <c r="K605" s="74"/>
      <c r="L605" s="74"/>
      <c r="M605" s="74"/>
      <c r="N605" s="74"/>
      <c r="O605" s="74"/>
      <c r="P605" s="74"/>
      <c r="Q605" s="74"/>
      <c r="R605" s="74"/>
      <c r="S605" s="74"/>
      <c r="T605" s="74"/>
      <c r="U605" s="74"/>
      <c r="V605" s="74"/>
      <c r="W605" s="74"/>
      <c r="X605" s="74"/>
      <c r="Y605" s="74"/>
      <c r="Z605" s="74"/>
      <c r="AA605" s="74"/>
      <c r="AB605" s="74"/>
    </row>
    <row r="606" spans="1:28" ht="12" customHeight="1">
      <c r="A606" s="260"/>
      <c r="B606" s="104"/>
      <c r="C606" s="104"/>
      <c r="D606" s="260"/>
      <c r="E606" s="104"/>
      <c r="F606" s="104"/>
      <c r="G606" s="35"/>
      <c r="H606" s="104"/>
      <c r="I606" s="35"/>
      <c r="J606" s="74"/>
      <c r="K606" s="74"/>
      <c r="L606" s="74"/>
      <c r="M606" s="74"/>
      <c r="N606" s="74"/>
      <c r="O606" s="74"/>
      <c r="P606" s="74"/>
      <c r="Q606" s="74"/>
      <c r="R606" s="74"/>
      <c r="S606" s="74"/>
      <c r="T606" s="74"/>
      <c r="U606" s="74"/>
      <c r="V606" s="74"/>
      <c r="W606" s="74"/>
      <c r="X606" s="74"/>
      <c r="Y606" s="74"/>
      <c r="Z606" s="74"/>
      <c r="AA606" s="74"/>
      <c r="AB606" s="74"/>
    </row>
    <row r="607" spans="1:28" ht="12" customHeight="1">
      <c r="A607" s="260"/>
      <c r="B607" s="104"/>
      <c r="C607" s="104"/>
      <c r="D607" s="260"/>
      <c r="E607" s="104"/>
      <c r="F607" s="104"/>
      <c r="G607" s="35"/>
      <c r="H607" s="104"/>
      <c r="I607" s="35"/>
      <c r="J607" s="74"/>
      <c r="K607" s="74"/>
      <c r="L607" s="74"/>
      <c r="M607" s="74"/>
      <c r="N607" s="74"/>
      <c r="O607" s="74"/>
      <c r="P607" s="74"/>
      <c r="Q607" s="74"/>
      <c r="R607" s="74"/>
      <c r="S607" s="74"/>
      <c r="T607" s="74"/>
      <c r="U607" s="74"/>
      <c r="V607" s="74"/>
      <c r="W607" s="74"/>
      <c r="X607" s="74"/>
      <c r="Y607" s="74"/>
      <c r="Z607" s="74"/>
      <c r="AA607" s="74"/>
      <c r="AB607" s="74"/>
    </row>
    <row r="608" spans="1:28" ht="12" customHeight="1">
      <c r="A608" s="260"/>
      <c r="B608" s="104"/>
      <c r="C608" s="104"/>
      <c r="D608" s="260"/>
      <c r="E608" s="104"/>
      <c r="F608" s="104"/>
      <c r="G608" s="35"/>
      <c r="H608" s="104"/>
      <c r="I608" s="35"/>
      <c r="J608" s="74"/>
      <c r="K608" s="74"/>
      <c r="L608" s="74"/>
      <c r="M608" s="74"/>
      <c r="N608" s="74"/>
      <c r="O608" s="74"/>
      <c r="P608" s="74"/>
      <c r="Q608" s="74"/>
      <c r="R608" s="74"/>
      <c r="S608" s="74"/>
      <c r="T608" s="74"/>
      <c r="U608" s="74"/>
      <c r="V608" s="74"/>
      <c r="W608" s="74"/>
      <c r="X608" s="74"/>
      <c r="Y608" s="74"/>
      <c r="Z608" s="74"/>
      <c r="AA608" s="74"/>
      <c r="AB608" s="74"/>
    </row>
    <row r="609" spans="1:28" ht="12" customHeight="1">
      <c r="A609" s="260"/>
      <c r="B609" s="104"/>
      <c r="C609" s="104"/>
      <c r="D609" s="260"/>
      <c r="E609" s="104"/>
      <c r="F609" s="104"/>
      <c r="G609" s="35"/>
      <c r="H609" s="104"/>
      <c r="I609" s="35"/>
      <c r="J609" s="74"/>
      <c r="K609" s="74"/>
      <c r="L609" s="74"/>
      <c r="M609" s="74"/>
      <c r="N609" s="74"/>
      <c r="O609" s="74"/>
      <c r="P609" s="74"/>
      <c r="Q609" s="74"/>
      <c r="R609" s="74"/>
      <c r="S609" s="74"/>
      <c r="T609" s="74"/>
      <c r="U609" s="74"/>
      <c r="V609" s="74"/>
      <c r="W609" s="74"/>
      <c r="X609" s="74"/>
      <c r="Y609" s="74"/>
      <c r="Z609" s="74"/>
      <c r="AA609" s="74"/>
      <c r="AB609" s="74"/>
    </row>
    <row r="610" spans="1:28" ht="12" customHeight="1">
      <c r="A610" s="260"/>
      <c r="B610" s="104"/>
      <c r="C610" s="104"/>
      <c r="D610" s="260"/>
      <c r="E610" s="104"/>
      <c r="F610" s="104"/>
      <c r="G610" s="35"/>
      <c r="H610" s="104"/>
      <c r="I610" s="35"/>
      <c r="J610" s="74"/>
      <c r="K610" s="74"/>
      <c r="L610" s="74"/>
      <c r="M610" s="74"/>
      <c r="N610" s="74"/>
      <c r="O610" s="74"/>
      <c r="P610" s="74"/>
      <c r="Q610" s="74"/>
      <c r="R610" s="74"/>
      <c r="S610" s="74"/>
      <c r="T610" s="74"/>
      <c r="U610" s="74"/>
      <c r="V610" s="74"/>
      <c r="W610" s="74"/>
      <c r="X610" s="74"/>
      <c r="Y610" s="74"/>
      <c r="Z610" s="74"/>
      <c r="AA610" s="74"/>
      <c r="AB610" s="74"/>
    </row>
    <row r="611" spans="1:28" ht="12" customHeight="1">
      <c r="A611" s="260"/>
      <c r="B611" s="104"/>
      <c r="C611" s="104"/>
      <c r="D611" s="260"/>
      <c r="E611" s="104"/>
      <c r="F611" s="104"/>
      <c r="G611" s="35"/>
      <c r="H611" s="104"/>
      <c r="I611" s="35"/>
      <c r="J611" s="74"/>
      <c r="K611" s="74"/>
      <c r="L611" s="74"/>
      <c r="M611" s="74"/>
      <c r="N611" s="74"/>
      <c r="O611" s="74"/>
      <c r="P611" s="74"/>
      <c r="Q611" s="74"/>
      <c r="R611" s="74"/>
      <c r="S611" s="74"/>
      <c r="T611" s="74"/>
      <c r="U611" s="74"/>
      <c r="V611" s="74"/>
      <c r="W611" s="74"/>
      <c r="X611" s="74"/>
      <c r="Y611" s="74"/>
      <c r="Z611" s="74"/>
      <c r="AA611" s="74"/>
      <c r="AB611" s="74"/>
    </row>
    <row r="612" spans="1:28" ht="12" customHeight="1">
      <c r="A612" s="260"/>
      <c r="B612" s="104"/>
      <c r="C612" s="104"/>
      <c r="D612" s="260"/>
      <c r="E612" s="104"/>
      <c r="F612" s="104"/>
      <c r="G612" s="35"/>
      <c r="H612" s="104"/>
      <c r="I612" s="35"/>
      <c r="J612" s="74"/>
      <c r="K612" s="74"/>
      <c r="L612" s="74"/>
      <c r="M612" s="74"/>
      <c r="N612" s="74"/>
      <c r="O612" s="74"/>
      <c r="P612" s="74"/>
      <c r="Q612" s="74"/>
      <c r="R612" s="74"/>
      <c r="S612" s="74"/>
      <c r="T612" s="74"/>
      <c r="U612" s="74"/>
      <c r="V612" s="74"/>
      <c r="W612" s="74"/>
      <c r="X612" s="74"/>
      <c r="Y612" s="74"/>
      <c r="Z612" s="74"/>
      <c r="AA612" s="74"/>
      <c r="AB612" s="74"/>
    </row>
    <row r="613" spans="1:28" ht="12" customHeight="1">
      <c r="A613" s="260"/>
      <c r="B613" s="104"/>
      <c r="C613" s="104"/>
      <c r="D613" s="260"/>
      <c r="E613" s="104"/>
      <c r="F613" s="104"/>
      <c r="G613" s="35"/>
      <c r="H613" s="104"/>
      <c r="I613" s="35"/>
      <c r="J613" s="74"/>
      <c r="K613" s="74"/>
      <c r="L613" s="74"/>
      <c r="M613" s="74"/>
      <c r="N613" s="74"/>
      <c r="O613" s="74"/>
      <c r="P613" s="74"/>
      <c r="Q613" s="74"/>
      <c r="R613" s="74"/>
      <c r="S613" s="74"/>
      <c r="T613" s="74"/>
      <c r="U613" s="74"/>
      <c r="V613" s="74"/>
      <c r="W613" s="74"/>
      <c r="X613" s="74"/>
      <c r="Y613" s="74"/>
      <c r="Z613" s="74"/>
      <c r="AA613" s="74"/>
      <c r="AB613" s="74"/>
    </row>
    <row r="614" spans="1:28" ht="12" customHeight="1">
      <c r="A614" s="260"/>
      <c r="B614" s="104"/>
      <c r="C614" s="104"/>
      <c r="D614" s="260"/>
      <c r="E614" s="104"/>
      <c r="F614" s="104"/>
      <c r="G614" s="35"/>
      <c r="H614" s="104"/>
      <c r="I614" s="35"/>
      <c r="J614" s="74"/>
      <c r="K614" s="74"/>
      <c r="L614" s="74"/>
      <c r="M614" s="74"/>
      <c r="N614" s="74"/>
      <c r="O614" s="74"/>
      <c r="P614" s="74"/>
      <c r="Q614" s="74"/>
      <c r="R614" s="74"/>
      <c r="S614" s="74"/>
      <c r="T614" s="74"/>
      <c r="U614" s="74"/>
      <c r="V614" s="74"/>
      <c r="W614" s="74"/>
      <c r="X614" s="74"/>
      <c r="Y614" s="74"/>
      <c r="Z614" s="74"/>
      <c r="AA614" s="74"/>
      <c r="AB614" s="74"/>
    </row>
    <row r="615" spans="1:28" ht="12" customHeight="1">
      <c r="A615" s="260"/>
      <c r="B615" s="104"/>
      <c r="C615" s="104"/>
      <c r="D615" s="260"/>
      <c r="E615" s="104"/>
      <c r="F615" s="104"/>
      <c r="G615" s="35"/>
      <c r="H615" s="104"/>
      <c r="I615" s="35"/>
      <c r="J615" s="74"/>
      <c r="K615" s="74"/>
      <c r="L615" s="74"/>
      <c r="M615" s="74"/>
      <c r="N615" s="74"/>
      <c r="O615" s="74"/>
      <c r="P615" s="74"/>
      <c r="Q615" s="74"/>
      <c r="R615" s="74"/>
      <c r="S615" s="74"/>
      <c r="T615" s="74"/>
      <c r="U615" s="74"/>
      <c r="V615" s="74"/>
      <c r="W615" s="74"/>
      <c r="X615" s="74"/>
      <c r="Y615" s="74"/>
      <c r="Z615" s="74"/>
      <c r="AA615" s="74"/>
      <c r="AB615" s="74"/>
    </row>
    <row r="616" spans="1:28" ht="12" customHeight="1">
      <c r="A616" s="260"/>
      <c r="B616" s="104"/>
      <c r="C616" s="104"/>
      <c r="D616" s="260"/>
      <c r="E616" s="104"/>
      <c r="F616" s="104"/>
      <c r="G616" s="35"/>
      <c r="H616" s="104"/>
      <c r="I616" s="35"/>
      <c r="J616" s="74"/>
      <c r="K616" s="74"/>
      <c r="L616" s="74"/>
      <c r="M616" s="74"/>
      <c r="N616" s="74"/>
      <c r="O616" s="74"/>
      <c r="P616" s="74"/>
      <c r="Q616" s="74"/>
      <c r="R616" s="74"/>
      <c r="S616" s="74"/>
      <c r="T616" s="74"/>
      <c r="U616" s="74"/>
      <c r="V616" s="74"/>
      <c r="W616" s="74"/>
      <c r="X616" s="74"/>
      <c r="Y616" s="74"/>
      <c r="Z616" s="74"/>
      <c r="AA616" s="74"/>
      <c r="AB616" s="74"/>
    </row>
    <row r="617" spans="1:28" ht="12" customHeight="1">
      <c r="A617" s="260"/>
      <c r="B617" s="104"/>
      <c r="C617" s="104"/>
      <c r="D617" s="260"/>
      <c r="E617" s="104"/>
      <c r="F617" s="104"/>
      <c r="G617" s="35"/>
      <c r="H617" s="104"/>
      <c r="I617" s="35"/>
      <c r="J617" s="74"/>
      <c r="K617" s="74"/>
      <c r="L617" s="74"/>
      <c r="M617" s="74"/>
      <c r="N617" s="74"/>
      <c r="O617" s="74"/>
      <c r="P617" s="74"/>
      <c r="Q617" s="74"/>
      <c r="R617" s="74"/>
      <c r="S617" s="74"/>
      <c r="T617" s="74"/>
      <c r="U617" s="74"/>
      <c r="V617" s="74"/>
      <c r="W617" s="74"/>
      <c r="X617" s="74"/>
      <c r="Y617" s="74"/>
      <c r="Z617" s="74"/>
      <c r="AA617" s="74"/>
      <c r="AB617" s="74"/>
    </row>
    <row r="618" spans="1:28" ht="12" customHeight="1">
      <c r="A618" s="260"/>
      <c r="B618" s="104"/>
      <c r="C618" s="104"/>
      <c r="D618" s="260"/>
      <c r="E618" s="104"/>
      <c r="F618" s="104"/>
      <c r="G618" s="35"/>
      <c r="H618" s="104"/>
      <c r="I618" s="35"/>
      <c r="J618" s="74"/>
      <c r="K618" s="74"/>
      <c r="L618" s="74"/>
      <c r="M618" s="74"/>
      <c r="N618" s="74"/>
      <c r="O618" s="74"/>
      <c r="P618" s="74"/>
      <c r="Q618" s="74"/>
      <c r="R618" s="74"/>
      <c r="S618" s="74"/>
      <c r="T618" s="74"/>
      <c r="U618" s="74"/>
      <c r="V618" s="74"/>
      <c r="W618" s="74"/>
      <c r="X618" s="74"/>
      <c r="Y618" s="74"/>
      <c r="Z618" s="74"/>
      <c r="AA618" s="74"/>
      <c r="AB618" s="74"/>
    </row>
    <row r="619" spans="1:28" ht="12" customHeight="1">
      <c r="A619" s="260"/>
      <c r="B619" s="104"/>
      <c r="C619" s="104"/>
      <c r="D619" s="260"/>
      <c r="E619" s="104"/>
      <c r="F619" s="104"/>
      <c r="G619" s="35"/>
      <c r="H619" s="104"/>
      <c r="I619" s="35"/>
      <c r="J619" s="74"/>
      <c r="K619" s="74"/>
      <c r="L619" s="74"/>
      <c r="M619" s="74"/>
      <c r="N619" s="74"/>
      <c r="O619" s="74"/>
      <c r="P619" s="74"/>
      <c r="Q619" s="74"/>
      <c r="R619" s="74"/>
      <c r="S619" s="74"/>
      <c r="T619" s="74"/>
      <c r="U619" s="74"/>
      <c r="V619" s="74"/>
      <c r="W619" s="74"/>
      <c r="X619" s="74"/>
      <c r="Y619" s="74"/>
      <c r="Z619" s="74"/>
      <c r="AA619" s="74"/>
      <c r="AB619" s="74"/>
    </row>
    <row r="620" spans="1:28" ht="12" customHeight="1">
      <c r="A620" s="260"/>
      <c r="B620" s="104"/>
      <c r="C620" s="104"/>
      <c r="D620" s="260"/>
      <c r="E620" s="104"/>
      <c r="F620" s="104"/>
      <c r="G620" s="35"/>
      <c r="H620" s="104"/>
      <c r="I620" s="35"/>
      <c r="J620" s="74"/>
      <c r="K620" s="74"/>
      <c r="L620" s="74"/>
      <c r="M620" s="74"/>
      <c r="N620" s="74"/>
      <c r="O620" s="74"/>
      <c r="P620" s="74"/>
      <c r="Q620" s="74"/>
      <c r="R620" s="74"/>
      <c r="S620" s="74"/>
      <c r="T620" s="74"/>
      <c r="U620" s="74"/>
      <c r="V620" s="74"/>
      <c r="W620" s="74"/>
      <c r="X620" s="74"/>
      <c r="Y620" s="74"/>
      <c r="Z620" s="74"/>
      <c r="AA620" s="74"/>
      <c r="AB620" s="74"/>
    </row>
    <row r="621" spans="1:28" ht="12" customHeight="1">
      <c r="A621" s="260"/>
      <c r="B621" s="104"/>
      <c r="C621" s="104"/>
      <c r="D621" s="260"/>
      <c r="E621" s="104"/>
      <c r="F621" s="104"/>
      <c r="G621" s="35"/>
      <c r="H621" s="104"/>
      <c r="I621" s="35"/>
      <c r="J621" s="74"/>
      <c r="K621" s="74"/>
      <c r="L621" s="74"/>
      <c r="M621" s="74"/>
      <c r="N621" s="74"/>
      <c r="O621" s="74"/>
      <c r="P621" s="74"/>
      <c r="Q621" s="74"/>
      <c r="R621" s="74"/>
      <c r="S621" s="74"/>
      <c r="T621" s="74"/>
      <c r="U621" s="74"/>
      <c r="V621" s="74"/>
      <c r="W621" s="74"/>
      <c r="X621" s="74"/>
      <c r="Y621" s="74"/>
      <c r="Z621" s="74"/>
      <c r="AA621" s="74"/>
      <c r="AB621" s="74"/>
    </row>
    <row r="622" spans="1:28" ht="12" customHeight="1">
      <c r="A622" s="260"/>
      <c r="B622" s="104"/>
      <c r="C622" s="104"/>
      <c r="D622" s="260"/>
      <c r="E622" s="104"/>
      <c r="F622" s="104"/>
      <c r="G622" s="35"/>
      <c r="H622" s="104"/>
      <c r="I622" s="35"/>
      <c r="J622" s="74"/>
      <c r="K622" s="74"/>
      <c r="L622" s="74"/>
      <c r="M622" s="74"/>
      <c r="N622" s="74"/>
      <c r="O622" s="74"/>
      <c r="P622" s="74"/>
      <c r="Q622" s="74"/>
      <c r="R622" s="74"/>
      <c r="S622" s="74"/>
      <c r="T622" s="74"/>
      <c r="U622" s="74"/>
      <c r="V622" s="74"/>
      <c r="W622" s="74"/>
      <c r="X622" s="74"/>
      <c r="Y622" s="74"/>
      <c r="Z622" s="74"/>
      <c r="AA622" s="74"/>
      <c r="AB622" s="74"/>
    </row>
    <row r="623" spans="1:28" ht="12" customHeight="1">
      <c r="A623" s="260"/>
      <c r="B623" s="104"/>
      <c r="C623" s="104"/>
      <c r="D623" s="260"/>
      <c r="E623" s="104"/>
      <c r="F623" s="104"/>
      <c r="G623" s="35"/>
      <c r="H623" s="104"/>
      <c r="I623" s="35"/>
      <c r="J623" s="74"/>
      <c r="K623" s="74"/>
      <c r="L623" s="74"/>
      <c r="M623" s="74"/>
      <c r="N623" s="74"/>
      <c r="O623" s="74"/>
      <c r="P623" s="74"/>
      <c r="Q623" s="74"/>
      <c r="R623" s="74"/>
      <c r="S623" s="74"/>
      <c r="T623" s="74"/>
      <c r="U623" s="74"/>
      <c r="V623" s="74"/>
      <c r="W623" s="74"/>
      <c r="X623" s="74"/>
      <c r="Y623" s="74"/>
      <c r="Z623" s="74"/>
      <c r="AA623" s="74"/>
      <c r="AB623" s="74"/>
    </row>
    <row r="624" spans="1:28" ht="12" customHeight="1">
      <c r="A624" s="260"/>
      <c r="B624" s="104"/>
      <c r="C624" s="104"/>
      <c r="D624" s="260"/>
      <c r="E624" s="104"/>
      <c r="F624" s="104"/>
      <c r="G624" s="35"/>
      <c r="H624" s="104"/>
      <c r="I624" s="35"/>
      <c r="J624" s="74"/>
      <c r="K624" s="74"/>
      <c r="L624" s="74"/>
      <c r="M624" s="74"/>
      <c r="N624" s="74"/>
      <c r="O624" s="74"/>
      <c r="P624" s="74"/>
      <c r="Q624" s="74"/>
      <c r="R624" s="74"/>
      <c r="S624" s="74"/>
      <c r="T624" s="74"/>
      <c r="U624" s="74"/>
      <c r="V624" s="74"/>
      <c r="W624" s="74"/>
      <c r="X624" s="74"/>
      <c r="Y624" s="74"/>
      <c r="Z624" s="74"/>
      <c r="AA624" s="74"/>
      <c r="AB624" s="74"/>
    </row>
    <row r="625" spans="1:28" ht="12" customHeight="1">
      <c r="A625" s="260"/>
      <c r="B625" s="104"/>
      <c r="C625" s="104"/>
      <c r="D625" s="260"/>
      <c r="E625" s="104"/>
      <c r="F625" s="104"/>
      <c r="G625" s="35"/>
      <c r="H625" s="104"/>
      <c r="I625" s="35"/>
      <c r="J625" s="74"/>
      <c r="K625" s="74"/>
      <c r="L625" s="74"/>
      <c r="M625" s="74"/>
      <c r="N625" s="74"/>
      <c r="O625" s="74"/>
      <c r="P625" s="74"/>
      <c r="Q625" s="74"/>
      <c r="R625" s="74"/>
      <c r="S625" s="74"/>
      <c r="T625" s="74"/>
      <c r="U625" s="74"/>
      <c r="V625" s="74"/>
      <c r="W625" s="74"/>
      <c r="X625" s="74"/>
      <c r="Y625" s="74"/>
      <c r="Z625" s="74"/>
      <c r="AA625" s="74"/>
      <c r="AB625" s="74"/>
    </row>
    <row r="626" spans="1:28" ht="12" customHeight="1">
      <c r="A626" s="260"/>
      <c r="B626" s="104"/>
      <c r="C626" s="104"/>
      <c r="D626" s="260"/>
      <c r="E626" s="104"/>
      <c r="F626" s="104"/>
      <c r="G626" s="35"/>
      <c r="H626" s="104"/>
      <c r="I626" s="35"/>
      <c r="J626" s="74"/>
      <c r="K626" s="74"/>
      <c r="L626" s="74"/>
      <c r="M626" s="74"/>
      <c r="N626" s="74"/>
      <c r="O626" s="74"/>
      <c r="P626" s="74"/>
      <c r="Q626" s="74"/>
      <c r="R626" s="74"/>
      <c r="S626" s="74"/>
      <c r="T626" s="74"/>
      <c r="U626" s="74"/>
      <c r="V626" s="74"/>
      <c r="W626" s="74"/>
      <c r="X626" s="74"/>
      <c r="Y626" s="74"/>
      <c r="Z626" s="74"/>
      <c r="AA626" s="74"/>
      <c r="AB626" s="74"/>
    </row>
    <row r="627" spans="1:28" ht="12" customHeight="1">
      <c r="A627" s="260"/>
      <c r="B627" s="104"/>
      <c r="C627" s="104"/>
      <c r="D627" s="260"/>
      <c r="E627" s="104"/>
      <c r="F627" s="104"/>
      <c r="G627" s="35"/>
      <c r="H627" s="104"/>
      <c r="I627" s="35"/>
      <c r="J627" s="74"/>
      <c r="K627" s="74"/>
      <c r="L627" s="74"/>
      <c r="M627" s="74"/>
      <c r="N627" s="74"/>
      <c r="O627" s="74"/>
      <c r="P627" s="74"/>
      <c r="Q627" s="74"/>
      <c r="R627" s="74"/>
      <c r="S627" s="74"/>
      <c r="T627" s="74"/>
      <c r="U627" s="74"/>
      <c r="V627" s="74"/>
      <c r="W627" s="74"/>
      <c r="X627" s="74"/>
      <c r="Y627" s="74"/>
      <c r="Z627" s="74"/>
      <c r="AA627" s="74"/>
      <c r="AB627" s="74"/>
    </row>
    <row r="628" spans="1:28" ht="12" customHeight="1">
      <c r="A628" s="260"/>
      <c r="B628" s="104"/>
      <c r="C628" s="104"/>
      <c r="D628" s="260"/>
      <c r="E628" s="104"/>
      <c r="F628" s="104"/>
      <c r="G628" s="35"/>
      <c r="H628" s="104"/>
      <c r="I628" s="35"/>
      <c r="J628" s="74"/>
      <c r="K628" s="74"/>
      <c r="L628" s="74"/>
      <c r="M628" s="74"/>
      <c r="N628" s="74"/>
      <c r="O628" s="74"/>
      <c r="P628" s="74"/>
      <c r="Q628" s="74"/>
      <c r="R628" s="74"/>
      <c r="S628" s="74"/>
      <c r="T628" s="74"/>
      <c r="U628" s="74"/>
      <c r="V628" s="74"/>
      <c r="W628" s="74"/>
      <c r="X628" s="74"/>
      <c r="Y628" s="74"/>
      <c r="Z628" s="74"/>
      <c r="AA628" s="74"/>
      <c r="AB628" s="74"/>
    </row>
    <row r="629" spans="1:28" ht="12" customHeight="1">
      <c r="A629" s="260"/>
      <c r="B629" s="104"/>
      <c r="C629" s="104"/>
      <c r="D629" s="260"/>
      <c r="E629" s="104"/>
      <c r="F629" s="104"/>
      <c r="G629" s="35"/>
      <c r="H629" s="104"/>
      <c r="I629" s="35"/>
      <c r="J629" s="74"/>
      <c r="K629" s="74"/>
      <c r="L629" s="74"/>
      <c r="M629" s="74"/>
      <c r="N629" s="74"/>
      <c r="O629" s="74"/>
      <c r="P629" s="74"/>
      <c r="Q629" s="74"/>
      <c r="R629" s="74"/>
      <c r="S629" s="74"/>
      <c r="T629" s="74"/>
      <c r="U629" s="74"/>
      <c r="V629" s="74"/>
      <c r="W629" s="74"/>
      <c r="X629" s="74"/>
      <c r="Y629" s="74"/>
      <c r="Z629" s="74"/>
      <c r="AA629" s="74"/>
      <c r="AB629" s="74"/>
    </row>
    <row r="630" spans="1:28" ht="12" customHeight="1">
      <c r="A630" s="260"/>
      <c r="B630" s="104"/>
      <c r="C630" s="104"/>
      <c r="D630" s="260"/>
      <c r="E630" s="104"/>
      <c r="F630" s="104"/>
      <c r="G630" s="35"/>
      <c r="H630" s="104"/>
      <c r="I630" s="35"/>
      <c r="J630" s="74"/>
      <c r="K630" s="74"/>
      <c r="L630" s="74"/>
      <c r="M630" s="74"/>
      <c r="N630" s="74"/>
      <c r="O630" s="74"/>
      <c r="P630" s="74"/>
      <c r="Q630" s="74"/>
      <c r="R630" s="74"/>
      <c r="S630" s="74"/>
      <c r="T630" s="74"/>
      <c r="U630" s="74"/>
      <c r="V630" s="74"/>
      <c r="W630" s="74"/>
      <c r="X630" s="74"/>
      <c r="Y630" s="74"/>
      <c r="Z630" s="74"/>
      <c r="AA630" s="74"/>
      <c r="AB630" s="74"/>
    </row>
    <row r="631" spans="1:28" ht="12" customHeight="1">
      <c r="A631" s="260"/>
      <c r="B631" s="104"/>
      <c r="C631" s="104"/>
      <c r="D631" s="260"/>
      <c r="E631" s="104"/>
      <c r="F631" s="104"/>
      <c r="G631" s="35"/>
      <c r="H631" s="104"/>
      <c r="I631" s="35"/>
      <c r="J631" s="74"/>
      <c r="K631" s="74"/>
      <c r="L631" s="74"/>
      <c r="M631" s="74"/>
      <c r="N631" s="74"/>
      <c r="O631" s="74"/>
      <c r="P631" s="74"/>
      <c r="Q631" s="74"/>
      <c r="R631" s="74"/>
      <c r="S631" s="74"/>
      <c r="T631" s="74"/>
      <c r="U631" s="74"/>
      <c r="V631" s="74"/>
      <c r="W631" s="74"/>
      <c r="X631" s="74"/>
      <c r="Y631" s="74"/>
      <c r="Z631" s="74"/>
      <c r="AA631" s="74"/>
      <c r="AB631" s="74"/>
    </row>
    <row r="632" spans="1:28" ht="12" customHeight="1">
      <c r="A632" s="260"/>
      <c r="B632" s="104"/>
      <c r="C632" s="104"/>
      <c r="D632" s="260"/>
      <c r="E632" s="104"/>
      <c r="F632" s="104"/>
      <c r="G632" s="35"/>
      <c r="H632" s="104"/>
      <c r="I632" s="35"/>
      <c r="J632" s="74"/>
      <c r="K632" s="74"/>
      <c r="L632" s="74"/>
      <c r="M632" s="74"/>
      <c r="N632" s="74"/>
      <c r="O632" s="74"/>
      <c r="P632" s="74"/>
      <c r="Q632" s="74"/>
      <c r="R632" s="74"/>
      <c r="S632" s="74"/>
      <c r="T632" s="74"/>
      <c r="U632" s="74"/>
      <c r="V632" s="74"/>
      <c r="W632" s="74"/>
      <c r="X632" s="74"/>
      <c r="Y632" s="74"/>
      <c r="Z632" s="74"/>
      <c r="AA632" s="74"/>
      <c r="AB632" s="74"/>
    </row>
    <row r="633" spans="1:28" ht="12" customHeight="1">
      <c r="A633" s="260"/>
      <c r="B633" s="104"/>
      <c r="C633" s="104"/>
      <c r="D633" s="260"/>
      <c r="E633" s="104"/>
      <c r="F633" s="104"/>
      <c r="G633" s="35"/>
      <c r="H633" s="104"/>
      <c r="I633" s="35"/>
      <c r="J633" s="74"/>
      <c r="K633" s="74"/>
      <c r="L633" s="74"/>
      <c r="M633" s="74"/>
      <c r="N633" s="74"/>
      <c r="O633" s="74"/>
      <c r="P633" s="74"/>
      <c r="Q633" s="74"/>
      <c r="R633" s="74"/>
      <c r="S633" s="74"/>
      <c r="T633" s="74"/>
      <c r="U633" s="74"/>
      <c r="V633" s="74"/>
      <c r="W633" s="74"/>
      <c r="X633" s="74"/>
      <c r="Y633" s="74"/>
      <c r="Z633" s="74"/>
      <c r="AA633" s="74"/>
      <c r="AB633" s="74"/>
    </row>
    <row r="634" spans="1:28" ht="12" customHeight="1">
      <c r="A634" s="260"/>
      <c r="B634" s="104"/>
      <c r="C634" s="104"/>
      <c r="D634" s="260"/>
      <c r="E634" s="104"/>
      <c r="F634" s="104"/>
      <c r="G634" s="35"/>
      <c r="H634" s="104"/>
      <c r="I634" s="35"/>
      <c r="J634" s="74"/>
      <c r="K634" s="74"/>
      <c r="L634" s="74"/>
      <c r="M634" s="74"/>
      <c r="N634" s="74"/>
      <c r="O634" s="74"/>
      <c r="P634" s="74"/>
      <c r="Q634" s="74"/>
      <c r="R634" s="74"/>
      <c r="S634" s="74"/>
      <c r="T634" s="74"/>
      <c r="U634" s="74"/>
      <c r="V634" s="74"/>
      <c r="W634" s="74"/>
      <c r="X634" s="74"/>
      <c r="Y634" s="74"/>
      <c r="Z634" s="74"/>
      <c r="AA634" s="74"/>
      <c r="AB634" s="74"/>
    </row>
    <row r="635" spans="1:28" ht="12" customHeight="1">
      <c r="A635" s="260"/>
      <c r="B635" s="104"/>
      <c r="C635" s="104"/>
      <c r="D635" s="260"/>
      <c r="E635" s="104"/>
      <c r="F635" s="104"/>
      <c r="G635" s="35"/>
      <c r="H635" s="104"/>
      <c r="I635" s="35"/>
      <c r="J635" s="74"/>
      <c r="K635" s="74"/>
      <c r="L635" s="74"/>
      <c r="M635" s="74"/>
      <c r="N635" s="74"/>
      <c r="O635" s="74"/>
      <c r="P635" s="74"/>
      <c r="Q635" s="74"/>
      <c r="R635" s="74"/>
      <c r="S635" s="74"/>
      <c r="T635" s="74"/>
      <c r="U635" s="74"/>
      <c r="V635" s="74"/>
      <c r="W635" s="74"/>
      <c r="X635" s="74"/>
      <c r="Y635" s="74"/>
      <c r="Z635" s="74"/>
      <c r="AA635" s="74"/>
      <c r="AB635" s="74"/>
    </row>
    <row r="636" spans="1:28" ht="12" customHeight="1">
      <c r="A636" s="260"/>
      <c r="B636" s="104"/>
      <c r="C636" s="104"/>
      <c r="D636" s="260"/>
      <c r="E636" s="104"/>
      <c r="F636" s="104"/>
      <c r="G636" s="35"/>
      <c r="H636" s="104"/>
      <c r="I636" s="35"/>
      <c r="J636" s="74"/>
      <c r="K636" s="74"/>
      <c r="L636" s="74"/>
      <c r="M636" s="74"/>
      <c r="N636" s="74"/>
      <c r="O636" s="74"/>
      <c r="P636" s="74"/>
      <c r="Q636" s="74"/>
      <c r="R636" s="74"/>
      <c r="S636" s="74"/>
      <c r="T636" s="74"/>
      <c r="U636" s="74"/>
      <c r="V636" s="74"/>
      <c r="W636" s="74"/>
      <c r="X636" s="74"/>
      <c r="Y636" s="74"/>
      <c r="Z636" s="74"/>
      <c r="AA636" s="74"/>
      <c r="AB636" s="74"/>
    </row>
    <row r="637" spans="1:28" ht="12" customHeight="1">
      <c r="A637" s="260"/>
      <c r="B637" s="104"/>
      <c r="C637" s="104"/>
      <c r="D637" s="260"/>
      <c r="E637" s="104"/>
      <c r="F637" s="104"/>
      <c r="G637" s="35"/>
      <c r="H637" s="104"/>
      <c r="I637" s="35"/>
      <c r="J637" s="74"/>
      <c r="K637" s="74"/>
      <c r="L637" s="74"/>
      <c r="M637" s="74"/>
      <c r="N637" s="74"/>
      <c r="O637" s="74"/>
      <c r="P637" s="74"/>
      <c r="Q637" s="74"/>
      <c r="R637" s="74"/>
      <c r="S637" s="74"/>
      <c r="T637" s="74"/>
      <c r="U637" s="74"/>
      <c r="V637" s="74"/>
      <c r="W637" s="74"/>
      <c r="X637" s="74"/>
      <c r="Y637" s="74"/>
      <c r="Z637" s="74"/>
      <c r="AA637" s="74"/>
      <c r="AB637" s="74"/>
    </row>
    <row r="638" spans="1:28" ht="12" customHeight="1">
      <c r="A638" s="260"/>
      <c r="B638" s="104"/>
      <c r="C638" s="104"/>
      <c r="D638" s="260"/>
      <c r="E638" s="104"/>
      <c r="F638" s="104"/>
      <c r="G638" s="35"/>
      <c r="H638" s="104"/>
      <c r="I638" s="35"/>
      <c r="J638" s="74"/>
      <c r="K638" s="74"/>
      <c r="L638" s="74"/>
      <c r="M638" s="74"/>
      <c r="N638" s="74"/>
      <c r="O638" s="74"/>
      <c r="P638" s="74"/>
      <c r="Q638" s="74"/>
      <c r="R638" s="74"/>
      <c r="S638" s="74"/>
      <c r="T638" s="74"/>
      <c r="U638" s="74"/>
      <c r="V638" s="74"/>
      <c r="W638" s="74"/>
      <c r="X638" s="74"/>
      <c r="Y638" s="74"/>
      <c r="Z638" s="74"/>
      <c r="AA638" s="74"/>
      <c r="AB638" s="74"/>
    </row>
    <row r="639" spans="1:28" ht="12" customHeight="1">
      <c r="A639" s="260"/>
      <c r="B639" s="104"/>
      <c r="C639" s="104"/>
      <c r="D639" s="260"/>
      <c r="E639" s="104"/>
      <c r="F639" s="104"/>
      <c r="G639" s="35"/>
      <c r="H639" s="104"/>
      <c r="I639" s="35"/>
      <c r="J639" s="74"/>
      <c r="K639" s="74"/>
      <c r="L639" s="74"/>
      <c r="M639" s="74"/>
      <c r="N639" s="74"/>
      <c r="O639" s="74"/>
      <c r="P639" s="74"/>
      <c r="Q639" s="74"/>
      <c r="R639" s="74"/>
      <c r="S639" s="74"/>
      <c r="T639" s="74"/>
      <c r="U639" s="74"/>
      <c r="V639" s="74"/>
      <c r="W639" s="74"/>
      <c r="X639" s="74"/>
      <c r="Y639" s="74"/>
      <c r="Z639" s="74"/>
      <c r="AA639" s="74"/>
      <c r="AB639" s="74"/>
    </row>
    <row r="640" spans="1:28" ht="12" customHeight="1">
      <c r="A640" s="260"/>
      <c r="B640" s="104"/>
      <c r="C640" s="104"/>
      <c r="D640" s="260"/>
      <c r="E640" s="104"/>
      <c r="F640" s="104"/>
      <c r="G640" s="35"/>
      <c r="H640" s="104"/>
      <c r="I640" s="35"/>
      <c r="J640" s="74"/>
      <c r="K640" s="74"/>
      <c r="L640" s="74"/>
      <c r="M640" s="74"/>
      <c r="N640" s="74"/>
      <c r="O640" s="74"/>
      <c r="P640" s="74"/>
      <c r="Q640" s="74"/>
      <c r="R640" s="74"/>
      <c r="S640" s="74"/>
      <c r="T640" s="74"/>
      <c r="U640" s="74"/>
      <c r="V640" s="74"/>
      <c r="W640" s="74"/>
      <c r="X640" s="74"/>
      <c r="Y640" s="74"/>
      <c r="Z640" s="74"/>
      <c r="AA640" s="74"/>
      <c r="AB640" s="74"/>
    </row>
    <row r="641" spans="1:28" ht="12" customHeight="1">
      <c r="A641" s="260"/>
      <c r="B641" s="104"/>
      <c r="C641" s="104"/>
      <c r="D641" s="260"/>
      <c r="E641" s="104"/>
      <c r="F641" s="104"/>
      <c r="G641" s="35"/>
      <c r="H641" s="104"/>
      <c r="I641" s="35"/>
      <c r="J641" s="74"/>
      <c r="K641" s="74"/>
      <c r="L641" s="74"/>
      <c r="M641" s="74"/>
      <c r="N641" s="74"/>
      <c r="O641" s="74"/>
      <c r="P641" s="74"/>
      <c r="Q641" s="74"/>
      <c r="R641" s="74"/>
      <c r="S641" s="74"/>
      <c r="T641" s="74"/>
      <c r="U641" s="74"/>
      <c r="V641" s="74"/>
      <c r="W641" s="74"/>
      <c r="X641" s="74"/>
      <c r="Y641" s="74"/>
      <c r="Z641" s="74"/>
      <c r="AA641" s="74"/>
      <c r="AB641" s="74"/>
    </row>
    <row r="642" spans="1:28" ht="12" customHeight="1">
      <c r="A642" s="260"/>
      <c r="B642" s="104"/>
      <c r="C642" s="104"/>
      <c r="D642" s="260"/>
      <c r="E642" s="104"/>
      <c r="F642" s="104"/>
      <c r="G642" s="35"/>
      <c r="H642" s="104"/>
      <c r="I642" s="35"/>
      <c r="J642" s="74"/>
      <c r="K642" s="74"/>
      <c r="L642" s="74"/>
      <c r="M642" s="74"/>
      <c r="N642" s="74"/>
      <c r="O642" s="74"/>
      <c r="P642" s="74"/>
      <c r="Q642" s="74"/>
      <c r="R642" s="74"/>
      <c r="S642" s="74"/>
      <c r="T642" s="74"/>
      <c r="U642" s="74"/>
      <c r="V642" s="74"/>
      <c r="W642" s="74"/>
      <c r="X642" s="74"/>
      <c r="Y642" s="74"/>
      <c r="Z642" s="74"/>
      <c r="AA642" s="74"/>
      <c r="AB642" s="74"/>
    </row>
    <row r="643" spans="1:28" ht="12" customHeight="1">
      <c r="A643" s="260"/>
      <c r="B643" s="104"/>
      <c r="C643" s="104"/>
      <c r="D643" s="260"/>
      <c r="E643" s="104"/>
      <c r="F643" s="104"/>
      <c r="G643" s="35"/>
      <c r="H643" s="104"/>
      <c r="I643" s="35"/>
      <c r="J643" s="74"/>
      <c r="K643" s="74"/>
      <c r="L643" s="74"/>
      <c r="M643" s="74"/>
      <c r="N643" s="74"/>
      <c r="O643" s="74"/>
      <c r="P643" s="74"/>
      <c r="Q643" s="74"/>
      <c r="R643" s="74"/>
      <c r="S643" s="74"/>
      <c r="T643" s="74"/>
      <c r="U643" s="74"/>
      <c r="V643" s="74"/>
      <c r="W643" s="74"/>
      <c r="X643" s="74"/>
      <c r="Y643" s="74"/>
      <c r="Z643" s="74"/>
      <c r="AA643" s="74"/>
      <c r="AB643" s="74"/>
    </row>
    <row r="644" spans="1:28" ht="12" customHeight="1">
      <c r="A644" s="260"/>
      <c r="B644" s="104"/>
      <c r="C644" s="104"/>
      <c r="D644" s="260"/>
      <c r="E644" s="104"/>
      <c r="F644" s="104"/>
      <c r="G644" s="35"/>
      <c r="H644" s="104"/>
      <c r="I644" s="35"/>
      <c r="J644" s="74"/>
      <c r="K644" s="74"/>
      <c r="L644" s="74"/>
      <c r="M644" s="74"/>
      <c r="N644" s="74"/>
      <c r="O644" s="74"/>
      <c r="P644" s="74"/>
      <c r="Q644" s="74"/>
      <c r="R644" s="74"/>
      <c r="S644" s="74"/>
      <c r="T644" s="74"/>
      <c r="U644" s="74"/>
      <c r="V644" s="74"/>
      <c r="W644" s="74"/>
      <c r="X644" s="74"/>
      <c r="Y644" s="74"/>
      <c r="Z644" s="74"/>
      <c r="AA644" s="74"/>
      <c r="AB644" s="74"/>
    </row>
    <row r="645" spans="1:28" ht="12" customHeight="1">
      <c r="A645" s="260"/>
      <c r="B645" s="104"/>
      <c r="C645" s="104"/>
      <c r="D645" s="260"/>
      <c r="E645" s="104"/>
      <c r="F645" s="104"/>
      <c r="G645" s="35"/>
      <c r="H645" s="104"/>
      <c r="I645" s="35"/>
      <c r="J645" s="74"/>
      <c r="K645" s="74"/>
      <c r="L645" s="74"/>
      <c r="M645" s="74"/>
      <c r="N645" s="74"/>
      <c r="O645" s="74"/>
      <c r="P645" s="74"/>
      <c r="Q645" s="74"/>
      <c r="R645" s="74"/>
      <c r="S645" s="74"/>
      <c r="T645" s="74"/>
      <c r="U645" s="74"/>
      <c r="V645" s="74"/>
      <c r="W645" s="74"/>
      <c r="X645" s="74"/>
      <c r="Y645" s="74"/>
      <c r="Z645" s="74"/>
      <c r="AA645" s="74"/>
      <c r="AB645" s="74"/>
    </row>
    <row r="646" spans="1:28" ht="12" customHeight="1">
      <c r="A646" s="260"/>
      <c r="B646" s="104"/>
      <c r="C646" s="104"/>
      <c r="D646" s="260"/>
      <c r="E646" s="104"/>
      <c r="F646" s="104"/>
      <c r="G646" s="35"/>
      <c r="H646" s="104"/>
      <c r="I646" s="35"/>
      <c r="J646" s="74"/>
      <c r="K646" s="74"/>
      <c r="L646" s="74"/>
      <c r="M646" s="74"/>
      <c r="N646" s="74"/>
      <c r="O646" s="74"/>
      <c r="P646" s="74"/>
      <c r="Q646" s="74"/>
      <c r="R646" s="74"/>
      <c r="S646" s="74"/>
      <c r="T646" s="74"/>
      <c r="U646" s="74"/>
      <c r="V646" s="74"/>
      <c r="W646" s="74"/>
      <c r="X646" s="74"/>
      <c r="Y646" s="74"/>
      <c r="Z646" s="74"/>
      <c r="AA646" s="74"/>
      <c r="AB646" s="74"/>
    </row>
    <row r="647" spans="1:28" ht="12" customHeight="1">
      <c r="A647" s="260"/>
      <c r="B647" s="104"/>
      <c r="C647" s="104"/>
      <c r="D647" s="260"/>
      <c r="E647" s="104"/>
      <c r="F647" s="104"/>
      <c r="G647" s="35"/>
      <c r="H647" s="104"/>
      <c r="I647" s="35"/>
      <c r="J647" s="74"/>
      <c r="K647" s="74"/>
      <c r="L647" s="74"/>
      <c r="M647" s="74"/>
      <c r="N647" s="74"/>
      <c r="O647" s="74"/>
      <c r="P647" s="74"/>
      <c r="Q647" s="74"/>
      <c r="R647" s="74"/>
      <c r="S647" s="74"/>
      <c r="T647" s="74"/>
      <c r="U647" s="74"/>
      <c r="V647" s="74"/>
      <c r="W647" s="74"/>
      <c r="X647" s="74"/>
      <c r="Y647" s="74"/>
      <c r="Z647" s="74"/>
      <c r="AA647" s="74"/>
      <c r="AB647" s="74"/>
    </row>
    <row r="648" spans="1:28" ht="12" customHeight="1">
      <c r="A648" s="260"/>
      <c r="B648" s="104"/>
      <c r="C648" s="104"/>
      <c r="D648" s="260"/>
      <c r="E648" s="104"/>
      <c r="F648" s="104"/>
      <c r="G648" s="35"/>
      <c r="H648" s="104"/>
      <c r="I648" s="35"/>
      <c r="J648" s="74"/>
      <c r="K648" s="74"/>
      <c r="L648" s="74"/>
      <c r="M648" s="74"/>
      <c r="N648" s="74"/>
      <c r="O648" s="74"/>
      <c r="P648" s="74"/>
      <c r="Q648" s="74"/>
      <c r="R648" s="74"/>
      <c r="S648" s="74"/>
      <c r="T648" s="74"/>
      <c r="U648" s="74"/>
      <c r="V648" s="74"/>
      <c r="W648" s="74"/>
      <c r="X648" s="74"/>
      <c r="Y648" s="74"/>
      <c r="Z648" s="74"/>
      <c r="AA648" s="74"/>
      <c r="AB648" s="74"/>
    </row>
    <row r="649" spans="1:28" ht="12" customHeight="1">
      <c r="A649" s="260"/>
      <c r="B649" s="104"/>
      <c r="C649" s="104"/>
      <c r="D649" s="260"/>
      <c r="E649" s="104"/>
      <c r="F649" s="104"/>
      <c r="G649" s="35"/>
      <c r="H649" s="104"/>
      <c r="I649" s="35"/>
      <c r="J649" s="74"/>
      <c r="K649" s="74"/>
      <c r="L649" s="74"/>
      <c r="M649" s="74"/>
      <c r="N649" s="74"/>
      <c r="O649" s="74"/>
      <c r="P649" s="74"/>
      <c r="Q649" s="74"/>
      <c r="R649" s="74"/>
      <c r="S649" s="74"/>
      <c r="T649" s="74"/>
      <c r="U649" s="74"/>
      <c r="V649" s="74"/>
      <c r="W649" s="74"/>
      <c r="X649" s="74"/>
      <c r="Y649" s="74"/>
      <c r="Z649" s="74"/>
      <c r="AA649" s="74"/>
      <c r="AB649" s="74"/>
    </row>
    <row r="650" spans="1:28" ht="12" customHeight="1">
      <c r="A650" s="260"/>
      <c r="B650" s="104"/>
      <c r="C650" s="104"/>
      <c r="D650" s="260"/>
      <c r="E650" s="104"/>
      <c r="F650" s="104"/>
      <c r="G650" s="35"/>
      <c r="H650" s="104"/>
      <c r="I650" s="35"/>
      <c r="J650" s="74"/>
      <c r="K650" s="74"/>
      <c r="L650" s="74"/>
      <c r="M650" s="74"/>
      <c r="N650" s="74"/>
      <c r="O650" s="74"/>
      <c r="P650" s="74"/>
      <c r="Q650" s="74"/>
      <c r="R650" s="74"/>
      <c r="S650" s="74"/>
      <c r="T650" s="74"/>
      <c r="U650" s="74"/>
      <c r="V650" s="74"/>
      <c r="W650" s="74"/>
      <c r="X650" s="74"/>
      <c r="Y650" s="74"/>
      <c r="Z650" s="74"/>
      <c r="AA650" s="74"/>
      <c r="AB650" s="74"/>
    </row>
    <row r="651" spans="1:28" ht="12" customHeight="1">
      <c r="A651" s="260"/>
      <c r="B651" s="104"/>
      <c r="C651" s="104"/>
      <c r="D651" s="260"/>
      <c r="E651" s="104"/>
      <c r="F651" s="104"/>
      <c r="G651" s="35"/>
      <c r="H651" s="104"/>
      <c r="I651" s="35"/>
      <c r="J651" s="74"/>
      <c r="K651" s="74"/>
      <c r="L651" s="74"/>
      <c r="M651" s="74"/>
      <c r="N651" s="74"/>
      <c r="O651" s="74"/>
      <c r="P651" s="74"/>
      <c r="Q651" s="74"/>
      <c r="R651" s="74"/>
      <c r="S651" s="74"/>
      <c r="T651" s="74"/>
      <c r="U651" s="74"/>
      <c r="V651" s="74"/>
      <c r="W651" s="74"/>
      <c r="X651" s="74"/>
      <c r="Y651" s="74"/>
      <c r="Z651" s="74"/>
      <c r="AA651" s="74"/>
      <c r="AB651" s="74"/>
    </row>
    <row r="652" spans="1:28" ht="12" customHeight="1">
      <c r="A652" s="260"/>
      <c r="B652" s="104"/>
      <c r="C652" s="104"/>
      <c r="D652" s="260"/>
      <c r="E652" s="104"/>
      <c r="F652" s="104"/>
      <c r="G652" s="35"/>
      <c r="H652" s="104"/>
      <c r="I652" s="35"/>
      <c r="J652" s="74"/>
      <c r="K652" s="74"/>
      <c r="L652" s="74"/>
      <c r="M652" s="74"/>
      <c r="N652" s="74"/>
      <c r="O652" s="74"/>
      <c r="P652" s="74"/>
      <c r="Q652" s="74"/>
      <c r="R652" s="74"/>
      <c r="S652" s="74"/>
      <c r="T652" s="74"/>
      <c r="U652" s="74"/>
      <c r="V652" s="74"/>
      <c r="W652" s="74"/>
      <c r="X652" s="74"/>
      <c r="Y652" s="74"/>
      <c r="Z652" s="74"/>
      <c r="AA652" s="74"/>
      <c r="AB652" s="74"/>
    </row>
    <row r="653" spans="1:28" ht="12" customHeight="1">
      <c r="A653" s="260"/>
      <c r="B653" s="104"/>
      <c r="C653" s="104"/>
      <c r="D653" s="260"/>
      <c r="E653" s="104"/>
      <c r="F653" s="104"/>
      <c r="G653" s="35"/>
      <c r="H653" s="104"/>
      <c r="I653" s="35"/>
      <c r="J653" s="74"/>
      <c r="K653" s="74"/>
      <c r="L653" s="74"/>
      <c r="M653" s="74"/>
      <c r="N653" s="74"/>
      <c r="O653" s="74"/>
      <c r="P653" s="74"/>
      <c r="Q653" s="74"/>
      <c r="R653" s="74"/>
      <c r="S653" s="74"/>
      <c r="T653" s="74"/>
      <c r="U653" s="74"/>
      <c r="V653" s="74"/>
      <c r="W653" s="74"/>
      <c r="X653" s="74"/>
      <c r="Y653" s="74"/>
      <c r="Z653" s="74"/>
      <c r="AA653" s="74"/>
      <c r="AB653" s="74"/>
    </row>
    <row r="654" spans="1:28" ht="12" customHeight="1">
      <c r="A654" s="260"/>
      <c r="B654" s="104"/>
      <c r="C654" s="104"/>
      <c r="D654" s="260"/>
      <c r="E654" s="104"/>
      <c r="F654" s="104"/>
      <c r="G654" s="35"/>
      <c r="H654" s="104"/>
      <c r="I654" s="35"/>
      <c r="J654" s="74"/>
      <c r="K654" s="74"/>
      <c r="L654" s="74"/>
      <c r="M654" s="74"/>
      <c r="N654" s="74"/>
      <c r="O654" s="74"/>
      <c r="P654" s="74"/>
      <c r="Q654" s="74"/>
      <c r="R654" s="74"/>
      <c r="S654" s="74"/>
      <c r="T654" s="74"/>
      <c r="U654" s="74"/>
      <c r="V654" s="74"/>
      <c r="W654" s="74"/>
      <c r="X654" s="74"/>
      <c r="Y654" s="74"/>
      <c r="Z654" s="74"/>
      <c r="AA654" s="74"/>
      <c r="AB654" s="74"/>
    </row>
    <row r="655" spans="1:28" ht="12" customHeight="1">
      <c r="A655" s="260"/>
      <c r="B655" s="104"/>
      <c r="C655" s="104"/>
      <c r="D655" s="260"/>
      <c r="E655" s="104"/>
      <c r="F655" s="104"/>
      <c r="G655" s="35"/>
      <c r="H655" s="104"/>
      <c r="I655" s="35"/>
      <c r="J655" s="74"/>
      <c r="K655" s="74"/>
      <c r="L655" s="74"/>
      <c r="M655" s="74"/>
      <c r="N655" s="74"/>
      <c r="O655" s="74"/>
      <c r="P655" s="74"/>
      <c r="Q655" s="74"/>
      <c r="R655" s="74"/>
      <c r="S655" s="74"/>
      <c r="T655" s="74"/>
      <c r="U655" s="74"/>
      <c r="V655" s="74"/>
      <c r="W655" s="74"/>
      <c r="X655" s="74"/>
      <c r="Y655" s="74"/>
      <c r="Z655" s="74"/>
      <c r="AA655" s="74"/>
      <c r="AB655" s="74"/>
    </row>
    <row r="656" spans="1:28" ht="12" customHeight="1">
      <c r="A656" s="260"/>
      <c r="B656" s="104"/>
      <c r="C656" s="104"/>
      <c r="D656" s="260"/>
      <c r="E656" s="104"/>
      <c r="F656" s="104"/>
      <c r="G656" s="35"/>
      <c r="H656" s="104"/>
      <c r="I656" s="35"/>
      <c r="J656" s="74"/>
      <c r="K656" s="74"/>
      <c r="L656" s="74"/>
      <c r="M656" s="74"/>
      <c r="N656" s="74"/>
      <c r="O656" s="74"/>
      <c r="P656" s="74"/>
      <c r="Q656" s="74"/>
      <c r="R656" s="74"/>
      <c r="S656" s="74"/>
      <c r="T656" s="74"/>
      <c r="U656" s="74"/>
      <c r="V656" s="74"/>
      <c r="W656" s="74"/>
      <c r="X656" s="74"/>
      <c r="Y656" s="74"/>
      <c r="Z656" s="74"/>
      <c r="AA656" s="74"/>
      <c r="AB656" s="74"/>
    </row>
    <row r="657" spans="1:28" ht="12" customHeight="1">
      <c r="A657" s="260"/>
      <c r="B657" s="104"/>
      <c r="C657" s="104"/>
      <c r="D657" s="260"/>
      <c r="E657" s="104"/>
      <c r="F657" s="104"/>
      <c r="G657" s="35"/>
      <c r="H657" s="104"/>
      <c r="I657" s="35"/>
      <c r="J657" s="74"/>
      <c r="K657" s="74"/>
      <c r="L657" s="74"/>
      <c r="M657" s="74"/>
      <c r="N657" s="74"/>
      <c r="O657" s="74"/>
      <c r="P657" s="74"/>
      <c r="Q657" s="74"/>
      <c r="R657" s="74"/>
      <c r="S657" s="74"/>
      <c r="T657" s="74"/>
      <c r="U657" s="74"/>
      <c r="V657" s="74"/>
      <c r="W657" s="74"/>
      <c r="X657" s="74"/>
      <c r="Y657" s="74"/>
      <c r="Z657" s="74"/>
      <c r="AA657" s="74"/>
      <c r="AB657" s="74"/>
    </row>
    <row r="658" spans="1:28" ht="12" customHeight="1">
      <c r="A658" s="260"/>
      <c r="B658" s="104"/>
      <c r="C658" s="104"/>
      <c r="D658" s="260"/>
      <c r="E658" s="104"/>
      <c r="F658" s="104"/>
      <c r="G658" s="35"/>
      <c r="H658" s="104"/>
      <c r="I658" s="35"/>
      <c r="J658" s="74"/>
      <c r="K658" s="74"/>
      <c r="L658" s="74"/>
      <c r="M658" s="74"/>
      <c r="N658" s="74"/>
      <c r="O658" s="74"/>
      <c r="P658" s="74"/>
      <c r="Q658" s="74"/>
      <c r="R658" s="74"/>
      <c r="S658" s="74"/>
      <c r="T658" s="74"/>
      <c r="U658" s="74"/>
      <c r="V658" s="74"/>
      <c r="W658" s="74"/>
      <c r="X658" s="74"/>
      <c r="Y658" s="74"/>
      <c r="Z658" s="74"/>
      <c r="AA658" s="74"/>
      <c r="AB658" s="74"/>
    </row>
    <row r="659" spans="1:28" ht="12" customHeight="1">
      <c r="A659" s="260"/>
      <c r="B659" s="104"/>
      <c r="C659" s="104"/>
      <c r="D659" s="260"/>
      <c r="E659" s="104"/>
      <c r="F659" s="104"/>
      <c r="G659" s="35"/>
      <c r="H659" s="104"/>
      <c r="I659" s="35"/>
      <c r="J659" s="74"/>
      <c r="K659" s="74"/>
      <c r="L659" s="74"/>
      <c r="M659" s="74"/>
      <c r="N659" s="74"/>
      <c r="O659" s="74"/>
      <c r="P659" s="74"/>
      <c r="Q659" s="74"/>
      <c r="R659" s="74"/>
      <c r="S659" s="74"/>
      <c r="T659" s="74"/>
      <c r="U659" s="74"/>
      <c r="V659" s="74"/>
      <c r="W659" s="74"/>
      <c r="X659" s="74"/>
      <c r="Y659" s="74"/>
      <c r="Z659" s="74"/>
      <c r="AA659" s="74"/>
      <c r="AB659" s="74"/>
    </row>
    <row r="660" spans="1:28" ht="12" customHeight="1">
      <c r="A660" s="260"/>
      <c r="B660" s="104"/>
      <c r="C660" s="104"/>
      <c r="D660" s="260"/>
      <c r="E660" s="104"/>
      <c r="F660" s="104"/>
      <c r="G660" s="35"/>
      <c r="H660" s="104"/>
      <c r="I660" s="35"/>
      <c r="J660" s="74"/>
      <c r="K660" s="74"/>
      <c r="L660" s="74"/>
      <c r="M660" s="74"/>
      <c r="N660" s="74"/>
      <c r="O660" s="74"/>
      <c r="P660" s="74"/>
      <c r="Q660" s="74"/>
      <c r="R660" s="74"/>
      <c r="S660" s="74"/>
      <c r="T660" s="74"/>
      <c r="U660" s="74"/>
      <c r="V660" s="74"/>
      <c r="W660" s="74"/>
      <c r="X660" s="74"/>
      <c r="Y660" s="74"/>
      <c r="Z660" s="74"/>
      <c r="AA660" s="74"/>
      <c r="AB660" s="74"/>
    </row>
    <row r="661" spans="1:28" ht="12" customHeight="1">
      <c r="A661" s="260"/>
      <c r="B661" s="104"/>
      <c r="C661" s="104"/>
      <c r="D661" s="260"/>
      <c r="E661" s="104"/>
      <c r="F661" s="104"/>
      <c r="G661" s="35"/>
      <c r="H661" s="104"/>
      <c r="I661" s="35"/>
      <c r="J661" s="74"/>
      <c r="K661" s="74"/>
      <c r="L661" s="74"/>
      <c r="M661" s="74"/>
      <c r="N661" s="74"/>
      <c r="O661" s="74"/>
      <c r="P661" s="74"/>
      <c r="Q661" s="74"/>
      <c r="R661" s="74"/>
      <c r="S661" s="74"/>
      <c r="T661" s="74"/>
      <c r="U661" s="74"/>
      <c r="V661" s="74"/>
      <c r="W661" s="74"/>
      <c r="X661" s="74"/>
      <c r="Y661" s="74"/>
      <c r="Z661" s="74"/>
      <c r="AA661" s="74"/>
      <c r="AB661" s="74"/>
    </row>
    <row r="662" spans="1:28" ht="12" customHeight="1">
      <c r="A662" s="260"/>
      <c r="B662" s="104"/>
      <c r="C662" s="104"/>
      <c r="D662" s="260"/>
      <c r="E662" s="104"/>
      <c r="F662" s="104"/>
      <c r="G662" s="35"/>
      <c r="H662" s="104"/>
      <c r="I662" s="35"/>
      <c r="J662" s="74"/>
      <c r="K662" s="74"/>
      <c r="L662" s="74"/>
      <c r="M662" s="74"/>
      <c r="N662" s="74"/>
      <c r="O662" s="74"/>
      <c r="P662" s="74"/>
      <c r="Q662" s="74"/>
      <c r="R662" s="74"/>
      <c r="S662" s="74"/>
      <c r="T662" s="74"/>
      <c r="U662" s="74"/>
      <c r="V662" s="74"/>
      <c r="W662" s="74"/>
      <c r="X662" s="74"/>
      <c r="Y662" s="74"/>
      <c r="Z662" s="74"/>
      <c r="AA662" s="74"/>
      <c r="AB662" s="74"/>
    </row>
    <row r="663" spans="1:28" ht="12" customHeight="1">
      <c r="A663" s="260"/>
      <c r="B663" s="104"/>
      <c r="C663" s="104"/>
      <c r="D663" s="260"/>
      <c r="E663" s="104"/>
      <c r="F663" s="104"/>
      <c r="G663" s="35"/>
      <c r="H663" s="104"/>
      <c r="I663" s="35"/>
      <c r="J663" s="74"/>
      <c r="K663" s="74"/>
      <c r="L663" s="74"/>
      <c r="M663" s="74"/>
      <c r="N663" s="74"/>
      <c r="O663" s="74"/>
      <c r="P663" s="74"/>
      <c r="Q663" s="74"/>
      <c r="R663" s="74"/>
      <c r="S663" s="74"/>
      <c r="T663" s="74"/>
      <c r="U663" s="74"/>
      <c r="V663" s="74"/>
      <c r="W663" s="74"/>
      <c r="X663" s="74"/>
      <c r="Y663" s="74"/>
      <c r="Z663" s="74"/>
      <c r="AA663" s="74"/>
      <c r="AB663" s="74"/>
    </row>
    <row r="664" spans="1:28" ht="12" customHeight="1">
      <c r="A664" s="260"/>
      <c r="B664" s="104"/>
      <c r="C664" s="104"/>
      <c r="D664" s="260"/>
      <c r="E664" s="104"/>
      <c r="F664" s="104"/>
      <c r="G664" s="35"/>
      <c r="H664" s="104"/>
      <c r="I664" s="35"/>
      <c r="J664" s="74"/>
      <c r="K664" s="74"/>
      <c r="L664" s="74"/>
      <c r="M664" s="74"/>
      <c r="N664" s="74"/>
      <c r="O664" s="74"/>
      <c r="P664" s="74"/>
      <c r="Q664" s="74"/>
      <c r="R664" s="74"/>
      <c r="S664" s="74"/>
      <c r="T664" s="74"/>
      <c r="U664" s="74"/>
      <c r="V664" s="74"/>
      <c r="W664" s="74"/>
      <c r="X664" s="74"/>
      <c r="Y664" s="74"/>
      <c r="Z664" s="74"/>
      <c r="AA664" s="74"/>
      <c r="AB664" s="74"/>
    </row>
    <row r="665" spans="1:28" ht="12" customHeight="1">
      <c r="A665" s="260"/>
      <c r="B665" s="104"/>
      <c r="C665" s="104"/>
      <c r="D665" s="260"/>
      <c r="E665" s="104"/>
      <c r="F665" s="104"/>
      <c r="G665" s="35"/>
      <c r="H665" s="104"/>
      <c r="I665" s="35"/>
      <c r="J665" s="74"/>
      <c r="K665" s="74"/>
      <c r="L665" s="74"/>
      <c r="M665" s="74"/>
      <c r="N665" s="74"/>
      <c r="O665" s="74"/>
      <c r="P665" s="74"/>
      <c r="Q665" s="74"/>
      <c r="R665" s="74"/>
      <c r="S665" s="74"/>
      <c r="T665" s="74"/>
      <c r="U665" s="74"/>
      <c r="V665" s="74"/>
      <c r="W665" s="74"/>
      <c r="X665" s="74"/>
      <c r="Y665" s="74"/>
      <c r="Z665" s="74"/>
      <c r="AA665" s="74"/>
      <c r="AB665" s="74"/>
    </row>
    <row r="666" spans="1:28" ht="12" customHeight="1">
      <c r="A666" s="260"/>
      <c r="B666" s="104"/>
      <c r="C666" s="104"/>
      <c r="D666" s="260"/>
      <c r="E666" s="104"/>
      <c r="F666" s="104"/>
      <c r="G666" s="35"/>
      <c r="H666" s="104"/>
      <c r="I666" s="35"/>
      <c r="J666" s="74"/>
      <c r="K666" s="74"/>
      <c r="L666" s="74"/>
      <c r="M666" s="74"/>
      <c r="N666" s="74"/>
      <c r="O666" s="74"/>
      <c r="P666" s="74"/>
      <c r="Q666" s="74"/>
      <c r="R666" s="74"/>
      <c r="S666" s="74"/>
      <c r="T666" s="74"/>
      <c r="U666" s="74"/>
      <c r="V666" s="74"/>
      <c r="W666" s="74"/>
      <c r="X666" s="74"/>
      <c r="Y666" s="74"/>
      <c r="Z666" s="74"/>
      <c r="AA666" s="74"/>
      <c r="AB666" s="74"/>
    </row>
    <row r="667" spans="1:28" ht="12" customHeight="1">
      <c r="A667" s="260"/>
      <c r="B667" s="104"/>
      <c r="C667" s="104"/>
      <c r="D667" s="260"/>
      <c r="E667" s="104"/>
      <c r="F667" s="104"/>
      <c r="G667" s="35"/>
      <c r="H667" s="104"/>
      <c r="I667" s="35"/>
      <c r="J667" s="74"/>
      <c r="K667" s="74"/>
      <c r="L667" s="74"/>
      <c r="M667" s="74"/>
      <c r="N667" s="74"/>
      <c r="O667" s="74"/>
      <c r="P667" s="74"/>
      <c r="Q667" s="74"/>
      <c r="R667" s="74"/>
      <c r="S667" s="74"/>
      <c r="T667" s="74"/>
      <c r="U667" s="74"/>
      <c r="V667" s="74"/>
      <c r="W667" s="74"/>
      <c r="X667" s="74"/>
      <c r="Y667" s="74"/>
      <c r="Z667" s="74"/>
      <c r="AA667" s="74"/>
      <c r="AB667" s="74"/>
    </row>
    <row r="668" spans="1:28" ht="12" customHeight="1">
      <c r="A668" s="260"/>
      <c r="B668" s="104"/>
      <c r="C668" s="104"/>
      <c r="D668" s="260"/>
      <c r="E668" s="104"/>
      <c r="F668" s="104"/>
      <c r="G668" s="35"/>
      <c r="H668" s="104"/>
      <c r="I668" s="35"/>
      <c r="J668" s="74"/>
      <c r="K668" s="74"/>
      <c r="L668" s="74"/>
      <c r="M668" s="74"/>
      <c r="N668" s="74"/>
      <c r="O668" s="74"/>
      <c r="P668" s="74"/>
      <c r="Q668" s="74"/>
      <c r="R668" s="74"/>
      <c r="S668" s="74"/>
      <c r="T668" s="74"/>
      <c r="U668" s="74"/>
      <c r="V668" s="74"/>
      <c r="W668" s="74"/>
      <c r="X668" s="74"/>
      <c r="Y668" s="74"/>
      <c r="Z668" s="74"/>
      <c r="AA668" s="74"/>
      <c r="AB668" s="74"/>
    </row>
    <row r="669" spans="1:28" ht="12" customHeight="1">
      <c r="A669" s="260"/>
      <c r="B669" s="104"/>
      <c r="C669" s="104"/>
      <c r="D669" s="260"/>
      <c r="E669" s="104"/>
      <c r="F669" s="104"/>
      <c r="G669" s="35"/>
      <c r="H669" s="104"/>
      <c r="I669" s="35"/>
      <c r="J669" s="74"/>
      <c r="K669" s="74"/>
      <c r="L669" s="74"/>
      <c r="M669" s="74"/>
      <c r="N669" s="74"/>
      <c r="O669" s="74"/>
      <c r="P669" s="74"/>
      <c r="Q669" s="74"/>
      <c r="R669" s="74"/>
      <c r="S669" s="74"/>
      <c r="T669" s="74"/>
      <c r="U669" s="74"/>
      <c r="V669" s="74"/>
      <c r="W669" s="74"/>
      <c r="X669" s="74"/>
      <c r="Y669" s="74"/>
      <c r="Z669" s="74"/>
      <c r="AA669" s="74"/>
      <c r="AB669" s="74"/>
    </row>
    <row r="670" spans="1:28" ht="12" customHeight="1">
      <c r="A670" s="260"/>
      <c r="B670" s="104"/>
      <c r="C670" s="104"/>
      <c r="D670" s="260"/>
      <c r="E670" s="104"/>
      <c r="F670" s="104"/>
      <c r="G670" s="35"/>
      <c r="H670" s="104"/>
      <c r="I670" s="35"/>
      <c r="J670" s="74"/>
      <c r="K670" s="74"/>
      <c r="L670" s="74"/>
      <c r="M670" s="74"/>
      <c r="N670" s="74"/>
      <c r="O670" s="74"/>
      <c r="P670" s="74"/>
      <c r="Q670" s="74"/>
      <c r="R670" s="74"/>
      <c r="S670" s="74"/>
      <c r="T670" s="74"/>
      <c r="U670" s="74"/>
      <c r="V670" s="74"/>
      <c r="W670" s="74"/>
      <c r="X670" s="74"/>
      <c r="Y670" s="74"/>
      <c r="Z670" s="74"/>
      <c r="AA670" s="74"/>
      <c r="AB670" s="74"/>
    </row>
    <row r="671" spans="1:28" ht="12" customHeight="1">
      <c r="A671" s="260"/>
      <c r="B671" s="104"/>
      <c r="C671" s="104"/>
      <c r="D671" s="260"/>
      <c r="E671" s="104"/>
      <c r="F671" s="104"/>
      <c r="G671" s="35"/>
      <c r="H671" s="104"/>
      <c r="I671" s="35"/>
      <c r="J671" s="74"/>
      <c r="K671" s="74"/>
      <c r="L671" s="74"/>
      <c r="M671" s="74"/>
      <c r="N671" s="74"/>
      <c r="O671" s="74"/>
      <c r="P671" s="74"/>
      <c r="Q671" s="74"/>
      <c r="R671" s="74"/>
      <c r="S671" s="74"/>
      <c r="T671" s="74"/>
      <c r="U671" s="74"/>
      <c r="V671" s="74"/>
      <c r="W671" s="74"/>
      <c r="X671" s="74"/>
      <c r="Y671" s="74"/>
      <c r="Z671" s="74"/>
      <c r="AA671" s="74"/>
      <c r="AB671" s="74"/>
    </row>
    <row r="672" spans="1:28" ht="12" customHeight="1">
      <c r="A672" s="260"/>
      <c r="B672" s="104"/>
      <c r="C672" s="104"/>
      <c r="D672" s="260"/>
      <c r="E672" s="104"/>
      <c r="F672" s="104"/>
      <c r="G672" s="35"/>
      <c r="H672" s="104"/>
      <c r="I672" s="35"/>
      <c r="J672" s="74"/>
      <c r="K672" s="74"/>
      <c r="L672" s="74"/>
      <c r="M672" s="74"/>
      <c r="N672" s="74"/>
      <c r="O672" s="74"/>
      <c r="P672" s="74"/>
      <c r="Q672" s="74"/>
      <c r="R672" s="74"/>
      <c r="S672" s="74"/>
      <c r="T672" s="74"/>
      <c r="U672" s="74"/>
      <c r="V672" s="74"/>
      <c r="W672" s="74"/>
      <c r="X672" s="74"/>
      <c r="Y672" s="74"/>
      <c r="Z672" s="74"/>
      <c r="AA672" s="74"/>
      <c r="AB672" s="74"/>
    </row>
    <row r="673" spans="1:28" ht="12" customHeight="1">
      <c r="A673" s="260"/>
      <c r="B673" s="104"/>
      <c r="C673" s="104"/>
      <c r="D673" s="260"/>
      <c r="E673" s="104"/>
      <c r="F673" s="104"/>
      <c r="G673" s="35"/>
      <c r="H673" s="104"/>
      <c r="I673" s="35"/>
      <c r="J673" s="74"/>
      <c r="K673" s="74"/>
      <c r="L673" s="74"/>
      <c r="M673" s="74"/>
      <c r="N673" s="74"/>
      <c r="O673" s="74"/>
      <c r="P673" s="74"/>
      <c r="Q673" s="74"/>
      <c r="R673" s="74"/>
      <c r="S673" s="74"/>
      <c r="T673" s="74"/>
      <c r="U673" s="74"/>
      <c r="V673" s="74"/>
      <c r="W673" s="74"/>
      <c r="X673" s="74"/>
      <c r="Y673" s="74"/>
      <c r="Z673" s="74"/>
      <c r="AA673" s="74"/>
      <c r="AB673" s="74"/>
    </row>
    <row r="674" spans="1:28" ht="12" customHeight="1">
      <c r="A674" s="260"/>
      <c r="B674" s="104"/>
      <c r="C674" s="104"/>
      <c r="D674" s="260"/>
      <c r="E674" s="104"/>
      <c r="F674" s="104"/>
      <c r="G674" s="35"/>
      <c r="H674" s="104"/>
      <c r="I674" s="35"/>
      <c r="J674" s="74"/>
      <c r="K674" s="74"/>
      <c r="L674" s="74"/>
      <c r="M674" s="74"/>
      <c r="N674" s="74"/>
      <c r="O674" s="74"/>
      <c r="P674" s="74"/>
      <c r="Q674" s="74"/>
      <c r="R674" s="74"/>
      <c r="S674" s="74"/>
      <c r="T674" s="74"/>
      <c r="U674" s="74"/>
      <c r="V674" s="74"/>
      <c r="W674" s="74"/>
      <c r="X674" s="74"/>
      <c r="Y674" s="74"/>
      <c r="Z674" s="74"/>
      <c r="AA674" s="74"/>
      <c r="AB674" s="74"/>
    </row>
    <row r="675" spans="1:28" ht="12" customHeight="1">
      <c r="A675" s="260"/>
      <c r="B675" s="104"/>
      <c r="C675" s="104"/>
      <c r="D675" s="260"/>
      <c r="E675" s="104"/>
      <c r="F675" s="104"/>
      <c r="G675" s="35"/>
      <c r="H675" s="104"/>
      <c r="I675" s="35"/>
      <c r="J675" s="74"/>
      <c r="K675" s="74"/>
      <c r="L675" s="74"/>
      <c r="M675" s="74"/>
      <c r="N675" s="74"/>
      <c r="O675" s="74"/>
      <c r="P675" s="74"/>
      <c r="Q675" s="74"/>
      <c r="R675" s="74"/>
      <c r="S675" s="74"/>
      <c r="T675" s="74"/>
      <c r="U675" s="74"/>
      <c r="V675" s="74"/>
      <c r="W675" s="74"/>
      <c r="X675" s="74"/>
      <c r="Y675" s="74"/>
      <c r="Z675" s="74"/>
      <c r="AA675" s="74"/>
      <c r="AB675" s="74"/>
    </row>
    <row r="676" spans="1:28" ht="12" customHeight="1">
      <c r="A676" s="260"/>
      <c r="B676" s="104"/>
      <c r="C676" s="104"/>
      <c r="D676" s="260"/>
      <c r="E676" s="104"/>
      <c r="F676" s="104"/>
      <c r="G676" s="35"/>
      <c r="H676" s="104"/>
      <c r="I676" s="35"/>
      <c r="J676" s="74"/>
      <c r="K676" s="74"/>
      <c r="L676" s="74"/>
      <c r="M676" s="74"/>
      <c r="N676" s="74"/>
      <c r="O676" s="74"/>
      <c r="P676" s="74"/>
      <c r="Q676" s="74"/>
      <c r="R676" s="74"/>
      <c r="S676" s="74"/>
      <c r="T676" s="74"/>
      <c r="U676" s="74"/>
      <c r="V676" s="74"/>
      <c r="W676" s="74"/>
      <c r="X676" s="74"/>
      <c r="Y676" s="74"/>
      <c r="Z676" s="74"/>
      <c r="AA676" s="74"/>
      <c r="AB676" s="74"/>
    </row>
    <row r="677" spans="1:28" ht="12" customHeight="1">
      <c r="A677" s="260"/>
      <c r="B677" s="104"/>
      <c r="C677" s="104"/>
      <c r="D677" s="260"/>
      <c r="E677" s="104"/>
      <c r="F677" s="104"/>
      <c r="G677" s="35"/>
      <c r="H677" s="104"/>
      <c r="I677" s="35"/>
      <c r="J677" s="74"/>
      <c r="K677" s="74"/>
      <c r="L677" s="74"/>
      <c r="M677" s="74"/>
      <c r="N677" s="74"/>
      <c r="O677" s="74"/>
      <c r="P677" s="74"/>
      <c r="Q677" s="74"/>
      <c r="R677" s="74"/>
      <c r="S677" s="74"/>
      <c r="T677" s="74"/>
      <c r="U677" s="74"/>
      <c r="V677" s="74"/>
      <c r="W677" s="74"/>
      <c r="X677" s="74"/>
      <c r="Y677" s="74"/>
      <c r="Z677" s="74"/>
      <c r="AA677" s="74"/>
      <c r="AB677" s="74"/>
    </row>
    <row r="678" spans="1:28" ht="12" customHeight="1">
      <c r="A678" s="260"/>
      <c r="B678" s="104"/>
      <c r="C678" s="104"/>
      <c r="D678" s="260"/>
      <c r="E678" s="104"/>
      <c r="F678" s="104"/>
      <c r="G678" s="35"/>
      <c r="H678" s="104"/>
      <c r="I678" s="35"/>
      <c r="J678" s="74"/>
      <c r="K678" s="74"/>
      <c r="L678" s="74"/>
      <c r="M678" s="74"/>
      <c r="N678" s="74"/>
      <c r="O678" s="74"/>
      <c r="P678" s="74"/>
      <c r="Q678" s="74"/>
      <c r="R678" s="74"/>
      <c r="S678" s="74"/>
      <c r="T678" s="74"/>
      <c r="U678" s="74"/>
      <c r="V678" s="74"/>
      <c r="W678" s="74"/>
      <c r="X678" s="74"/>
      <c r="Y678" s="74"/>
      <c r="Z678" s="74"/>
      <c r="AA678" s="74"/>
      <c r="AB678" s="74"/>
    </row>
    <row r="679" spans="1:28" ht="12" customHeight="1">
      <c r="A679" s="260"/>
      <c r="B679" s="104"/>
      <c r="C679" s="104"/>
      <c r="D679" s="260"/>
      <c r="E679" s="104"/>
      <c r="F679" s="104"/>
      <c r="G679" s="35"/>
      <c r="H679" s="104"/>
      <c r="I679" s="35"/>
      <c r="J679" s="74"/>
      <c r="K679" s="74"/>
      <c r="L679" s="74"/>
      <c r="M679" s="74"/>
      <c r="N679" s="74"/>
      <c r="O679" s="74"/>
      <c r="P679" s="74"/>
      <c r="Q679" s="74"/>
      <c r="R679" s="74"/>
      <c r="S679" s="74"/>
      <c r="T679" s="74"/>
      <c r="U679" s="74"/>
      <c r="V679" s="74"/>
      <c r="W679" s="74"/>
      <c r="X679" s="74"/>
      <c r="Y679" s="74"/>
      <c r="Z679" s="74"/>
      <c r="AA679" s="74"/>
      <c r="AB679" s="74"/>
    </row>
    <row r="680" spans="1:28" ht="12" customHeight="1">
      <c r="A680" s="260"/>
      <c r="B680" s="104"/>
      <c r="C680" s="104"/>
      <c r="D680" s="260"/>
      <c r="E680" s="104"/>
      <c r="F680" s="104"/>
      <c r="G680" s="35"/>
      <c r="H680" s="104"/>
      <c r="I680" s="35"/>
      <c r="J680" s="74"/>
      <c r="K680" s="74"/>
      <c r="L680" s="74"/>
      <c r="M680" s="74"/>
      <c r="N680" s="74"/>
      <c r="O680" s="74"/>
      <c r="P680" s="74"/>
      <c r="Q680" s="74"/>
      <c r="R680" s="74"/>
      <c r="S680" s="74"/>
      <c r="T680" s="74"/>
      <c r="U680" s="74"/>
      <c r="V680" s="74"/>
      <c r="W680" s="74"/>
      <c r="X680" s="74"/>
      <c r="Y680" s="74"/>
      <c r="Z680" s="74"/>
      <c r="AA680" s="74"/>
      <c r="AB680" s="74"/>
    </row>
    <row r="681" spans="1:28" ht="12" customHeight="1">
      <c r="A681" s="260"/>
      <c r="B681" s="104"/>
      <c r="C681" s="104"/>
      <c r="D681" s="260"/>
      <c r="E681" s="104"/>
      <c r="F681" s="104"/>
      <c r="G681" s="35"/>
      <c r="H681" s="104"/>
      <c r="I681" s="35"/>
      <c r="J681" s="74"/>
      <c r="K681" s="74"/>
      <c r="L681" s="74"/>
      <c r="M681" s="74"/>
      <c r="N681" s="74"/>
      <c r="O681" s="74"/>
      <c r="P681" s="74"/>
      <c r="Q681" s="74"/>
      <c r="R681" s="74"/>
      <c r="S681" s="74"/>
      <c r="T681" s="74"/>
      <c r="U681" s="74"/>
      <c r="V681" s="74"/>
      <c r="W681" s="74"/>
      <c r="X681" s="74"/>
      <c r="Y681" s="74"/>
      <c r="Z681" s="74"/>
      <c r="AA681" s="74"/>
      <c r="AB681" s="74"/>
    </row>
    <row r="682" spans="1:28" ht="12" customHeight="1">
      <c r="A682" s="260"/>
      <c r="B682" s="104"/>
      <c r="C682" s="104"/>
      <c r="D682" s="260"/>
      <c r="E682" s="104"/>
      <c r="F682" s="104"/>
      <c r="G682" s="35"/>
      <c r="H682" s="104"/>
      <c r="I682" s="35"/>
      <c r="J682" s="74"/>
      <c r="K682" s="74"/>
      <c r="L682" s="74"/>
      <c r="M682" s="74"/>
      <c r="N682" s="74"/>
      <c r="O682" s="74"/>
      <c r="P682" s="74"/>
      <c r="Q682" s="74"/>
      <c r="R682" s="74"/>
      <c r="S682" s="74"/>
      <c r="T682" s="74"/>
      <c r="U682" s="74"/>
      <c r="V682" s="74"/>
      <c r="W682" s="74"/>
      <c r="X682" s="74"/>
      <c r="Y682" s="74"/>
      <c r="Z682" s="74"/>
      <c r="AA682" s="74"/>
      <c r="AB682" s="74"/>
    </row>
    <row r="683" spans="1:28" ht="12" customHeight="1">
      <c r="A683" s="260"/>
      <c r="B683" s="104"/>
      <c r="C683" s="104"/>
      <c r="D683" s="260"/>
      <c r="E683" s="104"/>
      <c r="F683" s="104"/>
      <c r="G683" s="35"/>
      <c r="H683" s="104"/>
      <c r="I683" s="35"/>
      <c r="J683" s="74"/>
      <c r="K683" s="74"/>
      <c r="L683" s="74"/>
      <c r="M683" s="74"/>
      <c r="N683" s="74"/>
      <c r="O683" s="74"/>
      <c r="P683" s="74"/>
      <c r="Q683" s="74"/>
      <c r="R683" s="74"/>
      <c r="S683" s="74"/>
      <c r="T683" s="74"/>
      <c r="U683" s="74"/>
      <c r="V683" s="74"/>
      <c r="W683" s="74"/>
      <c r="X683" s="74"/>
      <c r="Y683" s="74"/>
      <c r="Z683" s="74"/>
      <c r="AA683" s="74"/>
      <c r="AB683" s="74"/>
    </row>
    <row r="684" spans="1:28" ht="12" customHeight="1">
      <c r="A684" s="260"/>
      <c r="B684" s="104"/>
      <c r="C684" s="104"/>
      <c r="D684" s="260"/>
      <c r="E684" s="104"/>
      <c r="F684" s="104"/>
      <c r="G684" s="35"/>
      <c r="H684" s="104"/>
      <c r="I684" s="35"/>
      <c r="J684" s="74"/>
      <c r="K684" s="74"/>
      <c r="L684" s="74"/>
      <c r="M684" s="74"/>
      <c r="N684" s="74"/>
      <c r="O684" s="74"/>
      <c r="P684" s="74"/>
      <c r="Q684" s="74"/>
      <c r="R684" s="74"/>
      <c r="S684" s="74"/>
      <c r="T684" s="74"/>
      <c r="U684" s="74"/>
      <c r="V684" s="74"/>
      <c r="W684" s="74"/>
      <c r="X684" s="74"/>
      <c r="Y684" s="74"/>
      <c r="Z684" s="74"/>
      <c r="AA684" s="74"/>
      <c r="AB684" s="74"/>
    </row>
    <row r="685" spans="1:28" ht="12" customHeight="1">
      <c r="A685" s="260"/>
      <c r="B685" s="104"/>
      <c r="C685" s="104"/>
      <c r="D685" s="260"/>
      <c r="E685" s="104"/>
      <c r="F685" s="104"/>
      <c r="G685" s="35"/>
      <c r="H685" s="104"/>
      <c r="I685" s="35"/>
      <c r="J685" s="74"/>
      <c r="K685" s="74"/>
      <c r="L685" s="74"/>
      <c r="M685" s="74"/>
      <c r="N685" s="74"/>
      <c r="O685" s="74"/>
      <c r="P685" s="74"/>
      <c r="Q685" s="74"/>
      <c r="R685" s="74"/>
      <c r="S685" s="74"/>
      <c r="T685" s="74"/>
      <c r="U685" s="74"/>
      <c r="V685" s="74"/>
      <c r="W685" s="74"/>
      <c r="X685" s="74"/>
      <c r="Y685" s="74"/>
      <c r="Z685" s="74"/>
      <c r="AA685" s="74"/>
      <c r="AB685" s="74"/>
    </row>
    <row r="686" spans="1:28" ht="12" customHeight="1">
      <c r="A686" s="260"/>
      <c r="B686" s="104"/>
      <c r="C686" s="104"/>
      <c r="D686" s="260"/>
      <c r="E686" s="104"/>
      <c r="F686" s="104"/>
      <c r="G686" s="35"/>
      <c r="H686" s="104"/>
      <c r="I686" s="35"/>
      <c r="J686" s="74"/>
      <c r="K686" s="74"/>
      <c r="L686" s="74"/>
      <c r="M686" s="74"/>
      <c r="N686" s="74"/>
      <c r="O686" s="74"/>
      <c r="P686" s="74"/>
      <c r="Q686" s="74"/>
      <c r="R686" s="74"/>
      <c r="S686" s="74"/>
      <c r="T686" s="74"/>
      <c r="U686" s="74"/>
      <c r="V686" s="74"/>
      <c r="W686" s="74"/>
      <c r="X686" s="74"/>
      <c r="Y686" s="74"/>
      <c r="Z686" s="74"/>
      <c r="AA686" s="74"/>
      <c r="AB686" s="74"/>
    </row>
    <row r="687" spans="1:28" ht="12" customHeight="1">
      <c r="A687" s="260"/>
      <c r="B687" s="104"/>
      <c r="C687" s="104"/>
      <c r="D687" s="260"/>
      <c r="E687" s="104"/>
      <c r="F687" s="104"/>
      <c r="G687" s="35"/>
      <c r="H687" s="104"/>
      <c r="I687" s="35"/>
      <c r="J687" s="74"/>
      <c r="K687" s="74"/>
      <c r="L687" s="74"/>
      <c r="M687" s="74"/>
      <c r="N687" s="74"/>
      <c r="O687" s="74"/>
      <c r="P687" s="74"/>
      <c r="Q687" s="74"/>
      <c r="R687" s="74"/>
      <c r="S687" s="74"/>
      <c r="T687" s="74"/>
      <c r="U687" s="74"/>
      <c r="V687" s="74"/>
      <c r="W687" s="74"/>
      <c r="X687" s="74"/>
      <c r="Y687" s="74"/>
      <c r="Z687" s="74"/>
      <c r="AA687" s="74"/>
      <c r="AB687" s="74"/>
    </row>
    <row r="688" spans="1:28" ht="12" customHeight="1">
      <c r="A688" s="260"/>
      <c r="B688" s="104"/>
      <c r="C688" s="104"/>
      <c r="D688" s="260"/>
      <c r="E688" s="104"/>
      <c r="F688" s="104"/>
      <c r="G688" s="35"/>
      <c r="H688" s="104"/>
      <c r="I688" s="35"/>
      <c r="J688" s="74"/>
      <c r="K688" s="74"/>
      <c r="L688" s="74"/>
      <c r="M688" s="74"/>
      <c r="N688" s="74"/>
      <c r="O688" s="74"/>
      <c r="P688" s="74"/>
      <c r="Q688" s="74"/>
      <c r="R688" s="74"/>
      <c r="S688" s="74"/>
      <c r="T688" s="74"/>
      <c r="U688" s="74"/>
      <c r="V688" s="74"/>
      <c r="W688" s="74"/>
      <c r="X688" s="74"/>
      <c r="Y688" s="74"/>
      <c r="Z688" s="74"/>
      <c r="AA688" s="74"/>
      <c r="AB688" s="74"/>
    </row>
    <row r="689" spans="1:28" ht="12" customHeight="1">
      <c r="A689" s="260"/>
      <c r="B689" s="104"/>
      <c r="C689" s="104"/>
      <c r="D689" s="260"/>
      <c r="E689" s="104"/>
      <c r="F689" s="104"/>
      <c r="G689" s="35"/>
      <c r="H689" s="104"/>
      <c r="I689" s="35"/>
      <c r="J689" s="74"/>
      <c r="K689" s="74"/>
      <c r="L689" s="74"/>
      <c r="M689" s="74"/>
      <c r="N689" s="74"/>
      <c r="O689" s="74"/>
      <c r="P689" s="74"/>
      <c r="Q689" s="74"/>
      <c r="R689" s="74"/>
      <c r="S689" s="74"/>
      <c r="T689" s="74"/>
      <c r="U689" s="74"/>
      <c r="V689" s="74"/>
      <c r="W689" s="74"/>
      <c r="X689" s="74"/>
      <c r="Y689" s="74"/>
      <c r="Z689" s="74"/>
      <c r="AA689" s="74"/>
      <c r="AB689" s="74"/>
    </row>
    <row r="690" spans="1:28" ht="12" customHeight="1">
      <c r="A690" s="260"/>
      <c r="B690" s="104"/>
      <c r="C690" s="104"/>
      <c r="D690" s="260"/>
      <c r="E690" s="104"/>
      <c r="F690" s="104"/>
      <c r="G690" s="35"/>
      <c r="H690" s="104"/>
      <c r="I690" s="35"/>
      <c r="J690" s="74"/>
      <c r="K690" s="74"/>
      <c r="L690" s="74"/>
      <c r="M690" s="74"/>
      <c r="N690" s="74"/>
      <c r="O690" s="74"/>
      <c r="P690" s="74"/>
      <c r="Q690" s="74"/>
      <c r="R690" s="74"/>
      <c r="S690" s="74"/>
      <c r="T690" s="74"/>
      <c r="U690" s="74"/>
      <c r="V690" s="74"/>
      <c r="W690" s="74"/>
      <c r="X690" s="74"/>
      <c r="Y690" s="74"/>
      <c r="Z690" s="74"/>
      <c r="AA690" s="74"/>
      <c r="AB690" s="74"/>
    </row>
    <row r="691" spans="1:28" ht="12" customHeight="1">
      <c r="A691" s="260"/>
      <c r="B691" s="104"/>
      <c r="C691" s="104"/>
      <c r="D691" s="260"/>
      <c r="E691" s="104"/>
      <c r="F691" s="104"/>
      <c r="G691" s="35"/>
      <c r="H691" s="104"/>
      <c r="I691" s="35"/>
      <c r="J691" s="74"/>
      <c r="K691" s="74"/>
      <c r="L691" s="74"/>
      <c r="M691" s="74"/>
      <c r="N691" s="74"/>
      <c r="O691" s="74"/>
      <c r="P691" s="74"/>
      <c r="Q691" s="74"/>
      <c r="R691" s="74"/>
      <c r="S691" s="74"/>
      <c r="T691" s="74"/>
      <c r="U691" s="74"/>
      <c r="V691" s="74"/>
      <c r="W691" s="74"/>
      <c r="X691" s="74"/>
      <c r="Y691" s="74"/>
      <c r="Z691" s="74"/>
      <c r="AA691" s="74"/>
      <c r="AB691" s="74"/>
    </row>
    <row r="692" spans="1:28" ht="12" customHeight="1">
      <c r="A692" s="260"/>
      <c r="B692" s="104"/>
      <c r="C692" s="104"/>
      <c r="D692" s="260"/>
      <c r="E692" s="104"/>
      <c r="F692" s="104"/>
      <c r="G692" s="35"/>
      <c r="H692" s="104"/>
      <c r="I692" s="35"/>
      <c r="J692" s="74"/>
      <c r="K692" s="74"/>
      <c r="L692" s="74"/>
      <c r="M692" s="74"/>
      <c r="N692" s="74"/>
      <c r="O692" s="74"/>
      <c r="P692" s="74"/>
      <c r="Q692" s="74"/>
      <c r="R692" s="74"/>
      <c r="S692" s="74"/>
      <c r="T692" s="74"/>
      <c r="U692" s="74"/>
      <c r="V692" s="74"/>
      <c r="W692" s="74"/>
      <c r="X692" s="74"/>
      <c r="Y692" s="74"/>
      <c r="Z692" s="74"/>
      <c r="AA692" s="74"/>
      <c r="AB692" s="74"/>
    </row>
    <row r="693" spans="1:28" ht="12" customHeight="1">
      <c r="A693" s="260"/>
      <c r="B693" s="104"/>
      <c r="C693" s="104"/>
      <c r="D693" s="260"/>
      <c r="E693" s="104"/>
      <c r="F693" s="104"/>
      <c r="G693" s="35"/>
      <c r="H693" s="104"/>
      <c r="I693" s="35"/>
      <c r="J693" s="74"/>
      <c r="K693" s="74"/>
      <c r="L693" s="74"/>
      <c r="M693" s="74"/>
      <c r="N693" s="74"/>
      <c r="O693" s="74"/>
      <c r="P693" s="74"/>
      <c r="Q693" s="74"/>
      <c r="R693" s="74"/>
      <c r="S693" s="74"/>
      <c r="T693" s="74"/>
      <c r="U693" s="74"/>
      <c r="V693" s="74"/>
      <c r="W693" s="74"/>
      <c r="X693" s="74"/>
      <c r="Y693" s="74"/>
      <c r="Z693" s="74"/>
      <c r="AA693" s="74"/>
      <c r="AB693" s="74"/>
    </row>
    <row r="694" spans="1:28" ht="12" customHeight="1">
      <c r="A694" s="260"/>
      <c r="B694" s="104"/>
      <c r="C694" s="104"/>
      <c r="D694" s="260"/>
      <c r="E694" s="104"/>
      <c r="F694" s="104"/>
      <c r="G694" s="35"/>
      <c r="H694" s="104"/>
      <c r="I694" s="35"/>
      <c r="J694" s="74"/>
      <c r="K694" s="74"/>
      <c r="L694" s="74"/>
      <c r="M694" s="74"/>
      <c r="N694" s="74"/>
      <c r="O694" s="74"/>
      <c r="P694" s="74"/>
      <c r="Q694" s="74"/>
      <c r="R694" s="74"/>
      <c r="S694" s="74"/>
      <c r="T694" s="74"/>
      <c r="U694" s="74"/>
      <c r="V694" s="74"/>
      <c r="W694" s="74"/>
      <c r="X694" s="74"/>
      <c r="Y694" s="74"/>
      <c r="Z694" s="74"/>
      <c r="AA694" s="74"/>
      <c r="AB694" s="74"/>
    </row>
    <row r="695" spans="1:28" ht="12" customHeight="1">
      <c r="A695" s="260"/>
      <c r="B695" s="104"/>
      <c r="C695" s="104"/>
      <c r="D695" s="260"/>
      <c r="E695" s="104"/>
      <c r="F695" s="104"/>
      <c r="G695" s="35"/>
      <c r="H695" s="104"/>
      <c r="I695" s="35"/>
      <c r="J695" s="74"/>
      <c r="K695" s="74"/>
      <c r="L695" s="74"/>
      <c r="M695" s="74"/>
      <c r="N695" s="74"/>
      <c r="O695" s="74"/>
      <c r="P695" s="74"/>
      <c r="Q695" s="74"/>
      <c r="R695" s="74"/>
      <c r="S695" s="74"/>
      <c r="T695" s="74"/>
      <c r="U695" s="74"/>
      <c r="V695" s="74"/>
      <c r="W695" s="74"/>
      <c r="X695" s="74"/>
      <c r="Y695" s="74"/>
      <c r="Z695" s="74"/>
      <c r="AA695" s="74"/>
      <c r="AB695" s="74"/>
    </row>
    <row r="696" spans="1:28" ht="12" customHeight="1">
      <c r="A696" s="260"/>
      <c r="B696" s="104"/>
      <c r="C696" s="104"/>
      <c r="D696" s="260"/>
      <c r="E696" s="104"/>
      <c r="F696" s="104"/>
      <c r="G696" s="35"/>
      <c r="H696" s="104"/>
      <c r="I696" s="35"/>
      <c r="J696" s="74"/>
      <c r="K696" s="74"/>
      <c r="L696" s="74"/>
      <c r="M696" s="74"/>
      <c r="N696" s="74"/>
      <c r="O696" s="74"/>
      <c r="P696" s="74"/>
      <c r="Q696" s="74"/>
      <c r="R696" s="74"/>
      <c r="S696" s="74"/>
      <c r="T696" s="74"/>
      <c r="U696" s="74"/>
      <c r="V696" s="74"/>
      <c r="W696" s="74"/>
      <c r="X696" s="74"/>
      <c r="Y696" s="74"/>
      <c r="Z696" s="74"/>
      <c r="AA696" s="74"/>
      <c r="AB696" s="74"/>
    </row>
    <row r="697" spans="1:28" ht="12" customHeight="1">
      <c r="A697" s="260"/>
      <c r="B697" s="104"/>
      <c r="C697" s="104"/>
      <c r="D697" s="260"/>
      <c r="E697" s="104"/>
      <c r="F697" s="104"/>
      <c r="G697" s="35"/>
      <c r="H697" s="104"/>
      <c r="I697" s="35"/>
      <c r="J697" s="74"/>
      <c r="K697" s="74"/>
      <c r="L697" s="74"/>
      <c r="M697" s="74"/>
      <c r="N697" s="74"/>
      <c r="O697" s="74"/>
      <c r="P697" s="74"/>
      <c r="Q697" s="74"/>
      <c r="R697" s="74"/>
      <c r="S697" s="74"/>
      <c r="T697" s="74"/>
      <c r="U697" s="74"/>
      <c r="V697" s="74"/>
      <c r="W697" s="74"/>
      <c r="X697" s="74"/>
      <c r="Y697" s="74"/>
      <c r="Z697" s="74"/>
      <c r="AA697" s="74"/>
      <c r="AB697" s="74"/>
    </row>
    <row r="698" spans="1:28" ht="12" customHeight="1">
      <c r="A698" s="260"/>
      <c r="B698" s="104"/>
      <c r="C698" s="104"/>
      <c r="D698" s="260"/>
      <c r="E698" s="104"/>
      <c r="F698" s="104"/>
      <c r="G698" s="35"/>
      <c r="H698" s="104"/>
      <c r="I698" s="35"/>
      <c r="J698" s="74"/>
      <c r="K698" s="74"/>
      <c r="L698" s="74"/>
      <c r="M698" s="74"/>
      <c r="N698" s="74"/>
      <c r="O698" s="74"/>
      <c r="P698" s="74"/>
      <c r="Q698" s="74"/>
      <c r="R698" s="74"/>
      <c r="S698" s="74"/>
      <c r="T698" s="74"/>
      <c r="U698" s="74"/>
      <c r="V698" s="74"/>
      <c r="W698" s="74"/>
      <c r="X698" s="74"/>
      <c r="Y698" s="74"/>
      <c r="Z698" s="74"/>
      <c r="AA698" s="74"/>
      <c r="AB698" s="74"/>
    </row>
    <row r="699" spans="1:28" ht="12" customHeight="1">
      <c r="A699" s="260"/>
      <c r="B699" s="104"/>
      <c r="C699" s="104"/>
      <c r="D699" s="260"/>
      <c r="E699" s="104"/>
      <c r="F699" s="104"/>
      <c r="G699" s="35"/>
      <c r="H699" s="104"/>
      <c r="I699" s="35"/>
      <c r="J699" s="74"/>
      <c r="K699" s="74"/>
      <c r="L699" s="74"/>
      <c r="M699" s="74"/>
      <c r="N699" s="74"/>
      <c r="O699" s="74"/>
      <c r="P699" s="74"/>
      <c r="Q699" s="74"/>
      <c r="R699" s="74"/>
      <c r="S699" s="74"/>
      <c r="T699" s="74"/>
      <c r="U699" s="74"/>
      <c r="V699" s="74"/>
      <c r="W699" s="74"/>
      <c r="X699" s="74"/>
      <c r="Y699" s="74"/>
      <c r="Z699" s="74"/>
      <c r="AA699" s="74"/>
      <c r="AB699" s="74"/>
    </row>
    <row r="700" spans="1:28" ht="12" customHeight="1">
      <c r="A700" s="260"/>
      <c r="B700" s="104"/>
      <c r="C700" s="104"/>
      <c r="D700" s="260"/>
      <c r="E700" s="104"/>
      <c r="F700" s="104"/>
      <c r="G700" s="35"/>
      <c r="H700" s="104"/>
      <c r="I700" s="35"/>
      <c r="J700" s="74"/>
      <c r="K700" s="74"/>
      <c r="L700" s="74"/>
      <c r="M700" s="74"/>
      <c r="N700" s="74"/>
      <c r="O700" s="74"/>
      <c r="P700" s="74"/>
      <c r="Q700" s="74"/>
      <c r="R700" s="74"/>
      <c r="S700" s="74"/>
      <c r="T700" s="74"/>
      <c r="U700" s="74"/>
      <c r="V700" s="74"/>
      <c r="W700" s="74"/>
      <c r="X700" s="74"/>
      <c r="Y700" s="74"/>
      <c r="Z700" s="74"/>
      <c r="AA700" s="74"/>
      <c r="AB700" s="74"/>
    </row>
    <row r="701" spans="1:28" ht="12" customHeight="1">
      <c r="A701" s="260"/>
      <c r="B701" s="104"/>
      <c r="C701" s="104"/>
      <c r="D701" s="260"/>
      <c r="E701" s="104"/>
      <c r="F701" s="104"/>
      <c r="G701" s="35"/>
      <c r="H701" s="104"/>
      <c r="I701" s="35"/>
      <c r="J701" s="74"/>
      <c r="K701" s="74"/>
      <c r="L701" s="74"/>
      <c r="M701" s="74"/>
      <c r="N701" s="74"/>
      <c r="O701" s="74"/>
      <c r="P701" s="74"/>
      <c r="Q701" s="74"/>
      <c r="R701" s="74"/>
      <c r="S701" s="74"/>
      <c r="T701" s="74"/>
      <c r="U701" s="74"/>
      <c r="V701" s="74"/>
      <c r="W701" s="74"/>
      <c r="X701" s="74"/>
      <c r="Y701" s="74"/>
      <c r="Z701" s="74"/>
      <c r="AA701" s="74"/>
      <c r="AB701" s="74"/>
    </row>
    <row r="702" spans="1:28" ht="12" customHeight="1">
      <c r="A702" s="260"/>
      <c r="B702" s="104"/>
      <c r="C702" s="104"/>
      <c r="D702" s="260"/>
      <c r="E702" s="104"/>
      <c r="F702" s="104"/>
      <c r="G702" s="35"/>
      <c r="H702" s="104"/>
      <c r="I702" s="35"/>
      <c r="J702" s="74"/>
      <c r="K702" s="74"/>
      <c r="L702" s="74"/>
      <c r="M702" s="74"/>
      <c r="N702" s="74"/>
      <c r="O702" s="74"/>
      <c r="P702" s="74"/>
      <c r="Q702" s="74"/>
      <c r="R702" s="74"/>
      <c r="S702" s="74"/>
      <c r="T702" s="74"/>
      <c r="U702" s="74"/>
      <c r="V702" s="74"/>
      <c r="W702" s="74"/>
      <c r="X702" s="74"/>
      <c r="Y702" s="74"/>
      <c r="Z702" s="74"/>
      <c r="AA702" s="74"/>
      <c r="AB702" s="74"/>
    </row>
    <row r="703" spans="1:28" ht="12" customHeight="1">
      <c r="A703" s="260"/>
      <c r="B703" s="104"/>
      <c r="C703" s="104"/>
      <c r="D703" s="260"/>
      <c r="E703" s="104"/>
      <c r="F703" s="104"/>
      <c r="G703" s="35"/>
      <c r="H703" s="104"/>
      <c r="I703" s="35"/>
      <c r="J703" s="74"/>
      <c r="K703" s="74"/>
      <c r="L703" s="74"/>
      <c r="M703" s="74"/>
      <c r="N703" s="74"/>
      <c r="O703" s="74"/>
      <c r="P703" s="74"/>
      <c r="Q703" s="74"/>
      <c r="R703" s="74"/>
      <c r="S703" s="74"/>
      <c r="T703" s="74"/>
      <c r="U703" s="74"/>
      <c r="V703" s="74"/>
      <c r="W703" s="74"/>
      <c r="X703" s="74"/>
      <c r="Y703" s="74"/>
      <c r="Z703" s="74"/>
      <c r="AA703" s="74"/>
      <c r="AB703" s="74"/>
    </row>
    <row r="704" spans="1:28" ht="12" customHeight="1">
      <c r="A704" s="260"/>
      <c r="B704" s="104"/>
      <c r="C704" s="104"/>
      <c r="D704" s="260"/>
      <c r="E704" s="104"/>
      <c r="F704" s="104"/>
      <c r="G704" s="35"/>
      <c r="H704" s="104"/>
      <c r="I704" s="35"/>
      <c r="J704" s="74"/>
      <c r="K704" s="74"/>
      <c r="L704" s="74"/>
      <c r="M704" s="74"/>
      <c r="N704" s="74"/>
      <c r="O704" s="74"/>
      <c r="P704" s="74"/>
      <c r="Q704" s="74"/>
      <c r="R704" s="74"/>
      <c r="S704" s="74"/>
      <c r="T704" s="74"/>
      <c r="U704" s="74"/>
      <c r="V704" s="74"/>
      <c r="W704" s="74"/>
      <c r="X704" s="74"/>
      <c r="Y704" s="74"/>
      <c r="Z704" s="74"/>
      <c r="AA704" s="74"/>
      <c r="AB704" s="74"/>
    </row>
    <row r="705" spans="1:28" ht="12" customHeight="1">
      <c r="A705" s="260"/>
      <c r="B705" s="104"/>
      <c r="C705" s="104"/>
      <c r="D705" s="260"/>
      <c r="E705" s="104"/>
      <c r="F705" s="104"/>
      <c r="G705" s="35"/>
      <c r="H705" s="104"/>
      <c r="I705" s="35"/>
      <c r="J705" s="74"/>
      <c r="K705" s="74"/>
      <c r="L705" s="74"/>
      <c r="M705" s="74"/>
      <c r="N705" s="74"/>
      <c r="O705" s="74"/>
      <c r="P705" s="74"/>
      <c r="Q705" s="74"/>
      <c r="R705" s="74"/>
      <c r="S705" s="74"/>
      <c r="T705" s="74"/>
      <c r="U705" s="74"/>
      <c r="V705" s="74"/>
      <c r="W705" s="74"/>
      <c r="X705" s="74"/>
      <c r="Y705" s="74"/>
      <c r="Z705" s="74"/>
      <c r="AA705" s="74"/>
      <c r="AB705" s="74"/>
    </row>
    <row r="706" spans="1:28" ht="12" customHeight="1">
      <c r="A706" s="260"/>
      <c r="B706" s="104"/>
      <c r="C706" s="104"/>
      <c r="D706" s="260"/>
      <c r="E706" s="104"/>
      <c r="F706" s="104"/>
      <c r="G706" s="35"/>
      <c r="H706" s="104"/>
      <c r="I706" s="35"/>
      <c r="J706" s="74"/>
      <c r="K706" s="74"/>
      <c r="L706" s="74"/>
      <c r="M706" s="74"/>
      <c r="N706" s="74"/>
      <c r="O706" s="74"/>
      <c r="P706" s="74"/>
      <c r="Q706" s="74"/>
      <c r="R706" s="74"/>
      <c r="S706" s="74"/>
      <c r="T706" s="74"/>
      <c r="U706" s="74"/>
      <c r="V706" s="74"/>
      <c r="W706" s="74"/>
      <c r="X706" s="74"/>
      <c r="Y706" s="74"/>
      <c r="Z706" s="74"/>
      <c r="AA706" s="74"/>
      <c r="AB706" s="74"/>
    </row>
    <row r="707" spans="1:28" ht="12" customHeight="1">
      <c r="A707" s="260"/>
      <c r="B707" s="104"/>
      <c r="C707" s="104"/>
      <c r="D707" s="260"/>
      <c r="E707" s="104"/>
      <c r="F707" s="104"/>
      <c r="G707" s="35"/>
      <c r="H707" s="104"/>
      <c r="I707" s="35"/>
      <c r="J707" s="74"/>
      <c r="K707" s="74"/>
      <c r="L707" s="74"/>
      <c r="M707" s="74"/>
      <c r="N707" s="74"/>
      <c r="O707" s="74"/>
      <c r="P707" s="74"/>
      <c r="Q707" s="74"/>
      <c r="R707" s="74"/>
      <c r="S707" s="74"/>
      <c r="T707" s="74"/>
      <c r="U707" s="74"/>
      <c r="V707" s="74"/>
      <c r="W707" s="74"/>
      <c r="X707" s="74"/>
      <c r="Y707" s="74"/>
      <c r="Z707" s="74"/>
      <c r="AA707" s="74"/>
      <c r="AB707" s="74"/>
    </row>
    <row r="708" spans="1:28" ht="12" customHeight="1">
      <c r="A708" s="260"/>
      <c r="B708" s="104"/>
      <c r="C708" s="104"/>
      <c r="D708" s="260"/>
      <c r="E708" s="104"/>
      <c r="F708" s="104"/>
      <c r="G708" s="35"/>
      <c r="H708" s="104"/>
      <c r="I708" s="35"/>
      <c r="J708" s="74"/>
      <c r="K708" s="74"/>
      <c r="L708" s="74"/>
      <c r="M708" s="74"/>
      <c r="N708" s="74"/>
      <c r="O708" s="74"/>
      <c r="P708" s="74"/>
      <c r="Q708" s="74"/>
      <c r="R708" s="74"/>
      <c r="S708" s="74"/>
      <c r="T708" s="74"/>
      <c r="U708" s="74"/>
      <c r="V708" s="74"/>
      <c r="W708" s="74"/>
      <c r="X708" s="74"/>
      <c r="Y708" s="74"/>
      <c r="Z708" s="74"/>
      <c r="AA708" s="74"/>
      <c r="AB708" s="74"/>
    </row>
    <row r="709" spans="1:28" ht="12" customHeight="1">
      <c r="A709" s="260"/>
      <c r="B709" s="104"/>
      <c r="C709" s="104"/>
      <c r="D709" s="260"/>
      <c r="E709" s="104"/>
      <c r="F709" s="104"/>
      <c r="G709" s="35"/>
      <c r="H709" s="104"/>
      <c r="I709" s="35"/>
      <c r="J709" s="74"/>
      <c r="K709" s="74"/>
      <c r="L709" s="74"/>
      <c r="M709" s="74"/>
      <c r="N709" s="74"/>
      <c r="O709" s="74"/>
      <c r="P709" s="74"/>
      <c r="Q709" s="74"/>
      <c r="R709" s="74"/>
      <c r="S709" s="74"/>
      <c r="T709" s="74"/>
      <c r="U709" s="74"/>
      <c r="V709" s="74"/>
      <c r="W709" s="74"/>
      <c r="X709" s="74"/>
      <c r="Y709" s="74"/>
      <c r="Z709" s="74"/>
      <c r="AA709" s="74"/>
      <c r="AB709" s="74"/>
    </row>
    <row r="710" spans="1:28" ht="12" customHeight="1">
      <c r="A710" s="260"/>
      <c r="B710" s="104"/>
      <c r="C710" s="104"/>
      <c r="D710" s="260"/>
      <c r="E710" s="104"/>
      <c r="F710" s="104"/>
      <c r="G710" s="35"/>
      <c r="H710" s="104"/>
      <c r="I710" s="35"/>
      <c r="J710" s="74"/>
      <c r="K710" s="74"/>
      <c r="L710" s="74"/>
      <c r="M710" s="74"/>
      <c r="N710" s="74"/>
      <c r="O710" s="74"/>
      <c r="P710" s="74"/>
      <c r="Q710" s="74"/>
      <c r="R710" s="74"/>
      <c r="S710" s="74"/>
      <c r="T710" s="74"/>
      <c r="U710" s="74"/>
      <c r="V710" s="74"/>
      <c r="W710" s="74"/>
      <c r="X710" s="74"/>
      <c r="Y710" s="74"/>
      <c r="Z710" s="74"/>
      <c r="AA710" s="74"/>
      <c r="AB710" s="74"/>
    </row>
    <row r="711" spans="1:28" ht="12" customHeight="1">
      <c r="A711" s="260"/>
      <c r="B711" s="104"/>
      <c r="C711" s="104"/>
      <c r="D711" s="260"/>
      <c r="E711" s="104"/>
      <c r="F711" s="104"/>
      <c r="G711" s="35"/>
      <c r="H711" s="104"/>
      <c r="I711" s="35"/>
      <c r="J711" s="74"/>
      <c r="K711" s="74"/>
      <c r="L711" s="74"/>
      <c r="M711" s="74"/>
      <c r="N711" s="74"/>
      <c r="O711" s="74"/>
      <c r="P711" s="74"/>
      <c r="Q711" s="74"/>
      <c r="R711" s="74"/>
      <c r="S711" s="74"/>
      <c r="T711" s="74"/>
      <c r="U711" s="74"/>
      <c r="V711" s="74"/>
      <c r="W711" s="74"/>
      <c r="X711" s="74"/>
      <c r="Y711" s="74"/>
      <c r="Z711" s="74"/>
      <c r="AA711" s="74"/>
      <c r="AB711" s="74"/>
    </row>
    <row r="712" spans="1:28" ht="12" customHeight="1">
      <c r="A712" s="260"/>
      <c r="B712" s="104"/>
      <c r="C712" s="104"/>
      <c r="D712" s="260"/>
      <c r="E712" s="104"/>
      <c r="F712" s="104"/>
      <c r="G712" s="35"/>
      <c r="H712" s="104"/>
      <c r="I712" s="35"/>
      <c r="J712" s="74"/>
      <c r="K712" s="74"/>
      <c r="L712" s="74"/>
      <c r="M712" s="74"/>
      <c r="N712" s="74"/>
      <c r="O712" s="74"/>
      <c r="P712" s="74"/>
      <c r="Q712" s="74"/>
      <c r="R712" s="74"/>
      <c r="S712" s="74"/>
      <c r="T712" s="74"/>
      <c r="U712" s="74"/>
      <c r="V712" s="74"/>
      <c r="W712" s="74"/>
      <c r="X712" s="74"/>
      <c r="Y712" s="74"/>
      <c r="Z712" s="74"/>
      <c r="AA712" s="74"/>
      <c r="AB712" s="74"/>
    </row>
    <row r="713" spans="1:28" ht="12" customHeight="1">
      <c r="A713" s="260"/>
      <c r="B713" s="104"/>
      <c r="C713" s="104"/>
      <c r="D713" s="260"/>
      <c r="E713" s="104"/>
      <c r="F713" s="104"/>
      <c r="G713" s="35"/>
      <c r="H713" s="104"/>
      <c r="I713" s="35"/>
      <c r="J713" s="74"/>
      <c r="K713" s="74"/>
      <c r="L713" s="74"/>
      <c r="M713" s="74"/>
      <c r="N713" s="74"/>
      <c r="O713" s="74"/>
      <c r="P713" s="74"/>
      <c r="Q713" s="74"/>
      <c r="R713" s="74"/>
      <c r="S713" s="74"/>
      <c r="T713" s="74"/>
      <c r="U713" s="74"/>
      <c r="V713" s="74"/>
      <c r="W713" s="74"/>
      <c r="X713" s="74"/>
      <c r="Y713" s="74"/>
      <c r="Z713" s="74"/>
      <c r="AA713" s="74"/>
      <c r="AB713" s="74"/>
    </row>
    <row r="714" spans="1:28" ht="12" customHeight="1">
      <c r="A714" s="260"/>
      <c r="B714" s="104"/>
      <c r="C714" s="104"/>
      <c r="D714" s="260"/>
      <c r="E714" s="104"/>
      <c r="F714" s="104"/>
      <c r="G714" s="35"/>
      <c r="H714" s="104"/>
      <c r="I714" s="35"/>
      <c r="J714" s="74"/>
      <c r="K714" s="74"/>
      <c r="L714" s="74"/>
      <c r="M714" s="74"/>
      <c r="N714" s="74"/>
      <c r="O714" s="74"/>
      <c r="P714" s="74"/>
      <c r="Q714" s="74"/>
      <c r="R714" s="74"/>
      <c r="S714" s="74"/>
      <c r="T714" s="74"/>
      <c r="U714" s="74"/>
      <c r="V714" s="74"/>
      <c r="W714" s="74"/>
      <c r="X714" s="74"/>
      <c r="Y714" s="74"/>
      <c r="Z714" s="74"/>
      <c r="AA714" s="74"/>
      <c r="AB714" s="74"/>
    </row>
    <row r="715" spans="1:28" ht="12" customHeight="1">
      <c r="A715" s="260"/>
      <c r="B715" s="104"/>
      <c r="C715" s="104"/>
      <c r="D715" s="260"/>
      <c r="E715" s="104"/>
      <c r="F715" s="104"/>
      <c r="G715" s="35"/>
      <c r="H715" s="104"/>
      <c r="I715" s="35"/>
      <c r="J715" s="74"/>
      <c r="K715" s="74"/>
      <c r="L715" s="74"/>
      <c r="M715" s="74"/>
      <c r="N715" s="74"/>
      <c r="O715" s="74"/>
      <c r="P715" s="74"/>
      <c r="Q715" s="74"/>
      <c r="R715" s="74"/>
      <c r="S715" s="74"/>
      <c r="T715" s="74"/>
      <c r="U715" s="74"/>
      <c r="V715" s="74"/>
      <c r="W715" s="74"/>
      <c r="X715" s="74"/>
      <c r="Y715" s="74"/>
      <c r="Z715" s="74"/>
      <c r="AA715" s="74"/>
      <c r="AB715" s="74"/>
    </row>
    <row r="716" spans="1:28" ht="12" customHeight="1">
      <c r="A716" s="260"/>
      <c r="B716" s="104"/>
      <c r="C716" s="104"/>
      <c r="D716" s="260"/>
      <c r="E716" s="104"/>
      <c r="F716" s="104"/>
      <c r="G716" s="35"/>
      <c r="H716" s="104"/>
      <c r="I716" s="35"/>
      <c r="J716" s="74"/>
      <c r="K716" s="74"/>
      <c r="L716" s="74"/>
      <c r="M716" s="74"/>
      <c r="N716" s="74"/>
      <c r="O716" s="74"/>
      <c r="P716" s="74"/>
      <c r="Q716" s="74"/>
      <c r="R716" s="74"/>
      <c r="S716" s="74"/>
      <c r="T716" s="74"/>
      <c r="U716" s="74"/>
      <c r="V716" s="74"/>
      <c r="W716" s="74"/>
      <c r="X716" s="74"/>
      <c r="Y716" s="74"/>
      <c r="Z716" s="74"/>
      <c r="AA716" s="74"/>
      <c r="AB716" s="74"/>
    </row>
    <row r="717" spans="1:28" ht="12" customHeight="1">
      <c r="A717" s="260"/>
      <c r="B717" s="104"/>
      <c r="C717" s="104"/>
      <c r="D717" s="260"/>
      <c r="E717" s="104"/>
      <c r="F717" s="104"/>
      <c r="G717" s="35"/>
      <c r="H717" s="104"/>
      <c r="I717" s="35"/>
      <c r="J717" s="74"/>
      <c r="K717" s="74"/>
      <c r="L717" s="74"/>
      <c r="M717" s="74"/>
      <c r="N717" s="74"/>
      <c r="O717" s="74"/>
      <c r="P717" s="74"/>
      <c r="Q717" s="74"/>
      <c r="R717" s="74"/>
      <c r="S717" s="74"/>
      <c r="T717" s="74"/>
      <c r="U717" s="74"/>
      <c r="V717" s="74"/>
      <c r="W717" s="74"/>
      <c r="X717" s="74"/>
      <c r="Y717" s="74"/>
      <c r="Z717" s="74"/>
      <c r="AA717" s="74"/>
      <c r="AB717" s="74"/>
    </row>
    <row r="718" spans="1:28" ht="12" customHeight="1">
      <c r="A718" s="260"/>
      <c r="B718" s="104"/>
      <c r="C718" s="104"/>
      <c r="D718" s="260"/>
      <c r="E718" s="104"/>
      <c r="F718" s="104"/>
      <c r="G718" s="35"/>
      <c r="H718" s="104"/>
      <c r="I718" s="35"/>
      <c r="J718" s="74"/>
      <c r="K718" s="74"/>
      <c r="L718" s="74"/>
      <c r="M718" s="74"/>
      <c r="N718" s="74"/>
      <c r="O718" s="74"/>
      <c r="P718" s="74"/>
      <c r="Q718" s="74"/>
      <c r="R718" s="74"/>
      <c r="S718" s="74"/>
      <c r="T718" s="74"/>
      <c r="U718" s="74"/>
      <c r="V718" s="74"/>
      <c r="W718" s="74"/>
      <c r="X718" s="74"/>
      <c r="Y718" s="74"/>
      <c r="Z718" s="74"/>
      <c r="AA718" s="74"/>
      <c r="AB718" s="74"/>
    </row>
    <row r="719" spans="1:28" ht="12" customHeight="1">
      <c r="A719" s="260"/>
      <c r="B719" s="104"/>
      <c r="C719" s="104"/>
      <c r="D719" s="260"/>
      <c r="E719" s="104"/>
      <c r="F719" s="104"/>
      <c r="G719" s="35"/>
      <c r="H719" s="104"/>
      <c r="I719" s="35"/>
      <c r="J719" s="74"/>
      <c r="K719" s="74"/>
      <c r="L719" s="74"/>
      <c r="M719" s="74"/>
      <c r="N719" s="74"/>
      <c r="O719" s="74"/>
      <c r="P719" s="74"/>
      <c r="Q719" s="74"/>
      <c r="R719" s="74"/>
      <c r="S719" s="74"/>
      <c r="T719" s="74"/>
      <c r="U719" s="74"/>
      <c r="V719" s="74"/>
      <c r="W719" s="74"/>
      <c r="X719" s="74"/>
      <c r="Y719" s="74"/>
      <c r="Z719" s="74"/>
      <c r="AA719" s="74"/>
      <c r="AB719" s="74"/>
    </row>
    <row r="720" spans="1:28" ht="12" customHeight="1">
      <c r="A720" s="260"/>
      <c r="B720" s="104"/>
      <c r="C720" s="104"/>
      <c r="D720" s="260"/>
      <c r="E720" s="104"/>
      <c r="F720" s="104"/>
      <c r="G720" s="35"/>
      <c r="H720" s="104"/>
      <c r="I720" s="35"/>
      <c r="J720" s="74"/>
      <c r="K720" s="74"/>
      <c r="L720" s="74"/>
      <c r="M720" s="74"/>
      <c r="N720" s="74"/>
      <c r="O720" s="74"/>
      <c r="P720" s="74"/>
      <c r="Q720" s="74"/>
      <c r="R720" s="74"/>
      <c r="S720" s="74"/>
      <c r="T720" s="74"/>
      <c r="U720" s="74"/>
      <c r="V720" s="74"/>
      <c r="W720" s="74"/>
      <c r="X720" s="74"/>
      <c r="Y720" s="74"/>
      <c r="Z720" s="74"/>
      <c r="AA720" s="74"/>
      <c r="AB720" s="74"/>
    </row>
    <row r="721" spans="1:28" ht="12" customHeight="1">
      <c r="A721" s="260"/>
      <c r="B721" s="104"/>
      <c r="C721" s="104"/>
      <c r="D721" s="260"/>
      <c r="E721" s="104"/>
      <c r="F721" s="104"/>
      <c r="G721" s="35"/>
      <c r="H721" s="104"/>
      <c r="I721" s="35"/>
      <c r="J721" s="74"/>
      <c r="K721" s="74"/>
      <c r="L721" s="74"/>
      <c r="M721" s="74"/>
      <c r="N721" s="74"/>
      <c r="O721" s="74"/>
      <c r="P721" s="74"/>
      <c r="Q721" s="74"/>
      <c r="R721" s="74"/>
      <c r="S721" s="74"/>
      <c r="T721" s="74"/>
      <c r="U721" s="74"/>
      <c r="V721" s="74"/>
      <c r="W721" s="74"/>
      <c r="X721" s="74"/>
      <c r="Y721" s="74"/>
      <c r="Z721" s="74"/>
      <c r="AA721" s="74"/>
      <c r="AB721" s="74"/>
    </row>
    <row r="722" spans="1:28" ht="12" customHeight="1">
      <c r="A722" s="260"/>
      <c r="B722" s="104"/>
      <c r="C722" s="104"/>
      <c r="D722" s="260"/>
      <c r="E722" s="104"/>
      <c r="F722" s="104"/>
      <c r="G722" s="35"/>
      <c r="H722" s="104"/>
      <c r="I722" s="35"/>
      <c r="J722" s="74"/>
      <c r="K722" s="74"/>
      <c r="L722" s="74"/>
      <c r="M722" s="74"/>
      <c r="N722" s="74"/>
      <c r="O722" s="74"/>
      <c r="P722" s="74"/>
      <c r="Q722" s="74"/>
      <c r="R722" s="74"/>
      <c r="S722" s="74"/>
      <c r="T722" s="74"/>
      <c r="U722" s="74"/>
      <c r="V722" s="74"/>
      <c r="W722" s="74"/>
      <c r="X722" s="74"/>
      <c r="Y722" s="74"/>
      <c r="Z722" s="74"/>
      <c r="AA722" s="74"/>
      <c r="AB722" s="74"/>
    </row>
    <row r="723" spans="1:28" ht="12" customHeight="1">
      <c r="A723" s="260"/>
      <c r="B723" s="104"/>
      <c r="C723" s="104"/>
      <c r="D723" s="260"/>
      <c r="E723" s="104"/>
      <c r="F723" s="104"/>
      <c r="G723" s="35"/>
      <c r="H723" s="104"/>
      <c r="I723" s="35"/>
      <c r="J723" s="74"/>
      <c r="K723" s="74"/>
      <c r="L723" s="74"/>
      <c r="M723" s="74"/>
      <c r="N723" s="74"/>
      <c r="O723" s="74"/>
      <c r="P723" s="74"/>
      <c r="Q723" s="74"/>
      <c r="R723" s="74"/>
      <c r="S723" s="74"/>
      <c r="T723" s="74"/>
      <c r="U723" s="74"/>
      <c r="V723" s="74"/>
      <c r="W723" s="74"/>
      <c r="X723" s="74"/>
      <c r="Y723" s="74"/>
      <c r="Z723" s="74"/>
      <c r="AA723" s="74"/>
      <c r="AB723" s="74"/>
    </row>
    <row r="724" spans="1:28" ht="12" customHeight="1">
      <c r="A724" s="260"/>
      <c r="B724" s="104"/>
      <c r="C724" s="104"/>
      <c r="D724" s="260"/>
      <c r="E724" s="104"/>
      <c r="F724" s="104"/>
      <c r="G724" s="35"/>
      <c r="H724" s="104"/>
      <c r="I724" s="35"/>
      <c r="J724" s="74"/>
      <c r="K724" s="74"/>
      <c r="L724" s="74"/>
      <c r="M724" s="74"/>
      <c r="N724" s="74"/>
      <c r="O724" s="74"/>
      <c r="P724" s="74"/>
      <c r="Q724" s="74"/>
      <c r="R724" s="74"/>
      <c r="S724" s="74"/>
      <c r="T724" s="74"/>
      <c r="U724" s="74"/>
      <c r="V724" s="74"/>
      <c r="W724" s="74"/>
      <c r="X724" s="74"/>
      <c r="Y724" s="74"/>
      <c r="Z724" s="74"/>
      <c r="AA724" s="74"/>
      <c r="AB724" s="74"/>
    </row>
    <row r="725" spans="1:28" ht="12" customHeight="1">
      <c r="A725" s="260"/>
      <c r="B725" s="104"/>
      <c r="C725" s="104"/>
      <c r="D725" s="260"/>
      <c r="E725" s="104"/>
      <c r="F725" s="104"/>
      <c r="G725" s="35"/>
      <c r="H725" s="104"/>
      <c r="I725" s="35"/>
      <c r="J725" s="74"/>
      <c r="K725" s="74"/>
      <c r="L725" s="74"/>
      <c r="M725" s="74"/>
      <c r="N725" s="74"/>
      <c r="O725" s="74"/>
      <c r="P725" s="74"/>
      <c r="Q725" s="74"/>
      <c r="R725" s="74"/>
      <c r="S725" s="74"/>
      <c r="T725" s="74"/>
      <c r="U725" s="74"/>
      <c r="V725" s="74"/>
      <c r="W725" s="74"/>
      <c r="X725" s="74"/>
      <c r="Y725" s="74"/>
      <c r="Z725" s="74"/>
      <c r="AA725" s="74"/>
      <c r="AB725" s="74"/>
    </row>
    <row r="726" spans="1:28" ht="12" customHeight="1">
      <c r="A726" s="260"/>
      <c r="B726" s="104"/>
      <c r="C726" s="104"/>
      <c r="D726" s="260"/>
      <c r="E726" s="104"/>
      <c r="F726" s="104"/>
      <c r="G726" s="35"/>
      <c r="H726" s="104"/>
      <c r="I726" s="35"/>
      <c r="J726" s="74"/>
      <c r="K726" s="74"/>
      <c r="L726" s="74"/>
      <c r="M726" s="74"/>
      <c r="N726" s="74"/>
      <c r="O726" s="74"/>
      <c r="P726" s="74"/>
      <c r="Q726" s="74"/>
      <c r="R726" s="74"/>
      <c r="S726" s="74"/>
      <c r="T726" s="74"/>
      <c r="U726" s="74"/>
      <c r="V726" s="74"/>
      <c r="W726" s="74"/>
      <c r="X726" s="74"/>
      <c r="Y726" s="74"/>
      <c r="Z726" s="74"/>
      <c r="AA726" s="74"/>
      <c r="AB726" s="74"/>
    </row>
    <row r="727" spans="1:28" ht="12" customHeight="1">
      <c r="A727" s="260"/>
      <c r="B727" s="104"/>
      <c r="C727" s="104"/>
      <c r="D727" s="260"/>
      <c r="E727" s="104"/>
      <c r="F727" s="104"/>
      <c r="G727" s="35"/>
      <c r="H727" s="104"/>
      <c r="I727" s="35"/>
      <c r="J727" s="74"/>
      <c r="K727" s="74"/>
      <c r="L727" s="74"/>
      <c r="M727" s="74"/>
      <c r="N727" s="74"/>
      <c r="O727" s="74"/>
      <c r="P727" s="74"/>
      <c r="Q727" s="74"/>
      <c r="R727" s="74"/>
      <c r="S727" s="74"/>
      <c r="T727" s="74"/>
      <c r="U727" s="74"/>
      <c r="V727" s="74"/>
      <c r="W727" s="74"/>
      <c r="X727" s="74"/>
      <c r="Y727" s="74"/>
      <c r="Z727" s="74"/>
      <c r="AA727" s="74"/>
      <c r="AB727" s="74"/>
    </row>
    <row r="728" spans="1:28" ht="12" customHeight="1">
      <c r="A728" s="260"/>
      <c r="B728" s="104"/>
      <c r="C728" s="104"/>
      <c r="D728" s="260"/>
      <c r="E728" s="104"/>
      <c r="F728" s="104"/>
      <c r="G728" s="35"/>
      <c r="H728" s="104"/>
      <c r="I728" s="35"/>
      <c r="J728" s="74"/>
      <c r="K728" s="74"/>
      <c r="L728" s="74"/>
      <c r="M728" s="74"/>
      <c r="N728" s="74"/>
      <c r="O728" s="74"/>
      <c r="P728" s="74"/>
      <c r="Q728" s="74"/>
      <c r="R728" s="74"/>
      <c r="S728" s="74"/>
      <c r="T728" s="74"/>
      <c r="U728" s="74"/>
      <c r="V728" s="74"/>
      <c r="W728" s="74"/>
      <c r="X728" s="74"/>
      <c r="Y728" s="74"/>
      <c r="Z728" s="74"/>
      <c r="AA728" s="74"/>
      <c r="AB728" s="74"/>
    </row>
    <row r="729" spans="1:28" ht="12" customHeight="1">
      <c r="A729" s="260"/>
      <c r="B729" s="104"/>
      <c r="C729" s="104"/>
      <c r="D729" s="260"/>
      <c r="E729" s="104"/>
      <c r="F729" s="104"/>
      <c r="G729" s="35"/>
      <c r="H729" s="104"/>
      <c r="I729" s="35"/>
      <c r="J729" s="74"/>
      <c r="K729" s="74"/>
      <c r="L729" s="74"/>
      <c r="M729" s="74"/>
      <c r="N729" s="74"/>
      <c r="O729" s="74"/>
      <c r="P729" s="74"/>
      <c r="Q729" s="74"/>
      <c r="R729" s="74"/>
      <c r="S729" s="74"/>
      <c r="T729" s="74"/>
      <c r="U729" s="74"/>
      <c r="V729" s="74"/>
      <c r="W729" s="74"/>
      <c r="X729" s="74"/>
      <c r="Y729" s="74"/>
      <c r="Z729" s="74"/>
      <c r="AA729" s="74"/>
      <c r="AB729" s="74"/>
    </row>
    <row r="730" spans="1:28" ht="12" customHeight="1">
      <c r="A730" s="260"/>
      <c r="B730" s="104"/>
      <c r="C730" s="104"/>
      <c r="D730" s="260"/>
      <c r="E730" s="104"/>
      <c r="F730" s="104"/>
      <c r="G730" s="35"/>
      <c r="H730" s="104"/>
      <c r="I730" s="35"/>
      <c r="J730" s="74"/>
      <c r="K730" s="74"/>
      <c r="L730" s="74"/>
      <c r="M730" s="74"/>
      <c r="N730" s="74"/>
      <c r="O730" s="74"/>
      <c r="P730" s="74"/>
      <c r="Q730" s="74"/>
      <c r="R730" s="74"/>
      <c r="S730" s="74"/>
      <c r="T730" s="74"/>
      <c r="U730" s="74"/>
      <c r="V730" s="74"/>
      <c r="W730" s="74"/>
      <c r="X730" s="74"/>
      <c r="Y730" s="74"/>
      <c r="Z730" s="74"/>
      <c r="AA730" s="74"/>
      <c r="AB730" s="74"/>
    </row>
    <row r="731" spans="1:28" ht="12" customHeight="1">
      <c r="A731" s="260"/>
      <c r="B731" s="104"/>
      <c r="C731" s="104"/>
      <c r="D731" s="260"/>
      <c r="E731" s="104"/>
      <c r="F731" s="104"/>
      <c r="G731" s="35"/>
      <c r="H731" s="104"/>
      <c r="I731" s="35"/>
      <c r="J731" s="74"/>
      <c r="K731" s="74"/>
      <c r="L731" s="74"/>
      <c r="M731" s="74"/>
      <c r="N731" s="74"/>
      <c r="O731" s="74"/>
      <c r="P731" s="74"/>
      <c r="Q731" s="74"/>
      <c r="R731" s="74"/>
      <c r="S731" s="74"/>
      <c r="T731" s="74"/>
      <c r="U731" s="74"/>
      <c r="V731" s="74"/>
      <c r="W731" s="74"/>
      <c r="X731" s="74"/>
      <c r="Y731" s="74"/>
      <c r="Z731" s="74"/>
      <c r="AA731" s="74"/>
      <c r="AB731" s="74"/>
    </row>
    <row r="732" spans="1:28" ht="12" customHeight="1">
      <c r="A732" s="260"/>
      <c r="B732" s="104"/>
      <c r="C732" s="104"/>
      <c r="D732" s="260"/>
      <c r="E732" s="104"/>
      <c r="F732" s="104"/>
      <c r="G732" s="35"/>
      <c r="H732" s="104"/>
      <c r="I732" s="35"/>
      <c r="J732" s="74"/>
      <c r="K732" s="74"/>
      <c r="L732" s="74"/>
      <c r="M732" s="74"/>
      <c r="N732" s="74"/>
      <c r="O732" s="74"/>
      <c r="P732" s="74"/>
      <c r="Q732" s="74"/>
      <c r="R732" s="74"/>
      <c r="S732" s="74"/>
      <c r="T732" s="74"/>
      <c r="U732" s="74"/>
      <c r="V732" s="74"/>
      <c r="W732" s="74"/>
      <c r="X732" s="74"/>
      <c r="Y732" s="74"/>
      <c r="Z732" s="74"/>
      <c r="AA732" s="74"/>
      <c r="AB732" s="74"/>
    </row>
    <row r="733" spans="1:28" ht="12" customHeight="1">
      <c r="A733" s="260"/>
      <c r="B733" s="104"/>
      <c r="C733" s="104"/>
      <c r="D733" s="260"/>
      <c r="E733" s="104"/>
      <c r="F733" s="104"/>
      <c r="G733" s="35"/>
      <c r="H733" s="104"/>
      <c r="I733" s="35"/>
      <c r="J733" s="74"/>
      <c r="K733" s="74"/>
      <c r="L733" s="74"/>
      <c r="M733" s="74"/>
      <c r="N733" s="74"/>
      <c r="O733" s="74"/>
      <c r="P733" s="74"/>
      <c r="Q733" s="74"/>
      <c r="R733" s="74"/>
      <c r="S733" s="74"/>
      <c r="T733" s="74"/>
      <c r="U733" s="74"/>
      <c r="V733" s="74"/>
      <c r="W733" s="74"/>
      <c r="X733" s="74"/>
      <c r="Y733" s="74"/>
      <c r="Z733" s="74"/>
      <c r="AA733" s="74"/>
      <c r="AB733" s="74"/>
    </row>
    <row r="734" spans="1:28" ht="12" customHeight="1">
      <c r="A734" s="260"/>
      <c r="B734" s="104"/>
      <c r="C734" s="104"/>
      <c r="D734" s="260"/>
      <c r="E734" s="104"/>
      <c r="F734" s="104"/>
      <c r="G734" s="35"/>
      <c r="H734" s="104"/>
      <c r="I734" s="35"/>
      <c r="J734" s="74"/>
      <c r="K734" s="74"/>
      <c r="L734" s="74"/>
      <c r="M734" s="74"/>
      <c r="N734" s="74"/>
      <c r="O734" s="74"/>
      <c r="P734" s="74"/>
      <c r="Q734" s="74"/>
      <c r="R734" s="74"/>
      <c r="S734" s="74"/>
      <c r="T734" s="74"/>
      <c r="U734" s="74"/>
      <c r="V734" s="74"/>
      <c r="W734" s="74"/>
      <c r="X734" s="74"/>
      <c r="Y734" s="74"/>
      <c r="Z734" s="74"/>
      <c r="AA734" s="74"/>
      <c r="AB734" s="74"/>
    </row>
    <row r="735" spans="1:28" ht="12" customHeight="1">
      <c r="A735" s="260"/>
      <c r="B735" s="104"/>
      <c r="C735" s="104"/>
      <c r="D735" s="260"/>
      <c r="E735" s="104"/>
      <c r="F735" s="104"/>
      <c r="G735" s="35"/>
      <c r="H735" s="104"/>
      <c r="I735" s="35"/>
      <c r="J735" s="74"/>
      <c r="K735" s="74"/>
      <c r="L735" s="74"/>
      <c r="M735" s="74"/>
      <c r="N735" s="74"/>
      <c r="O735" s="74"/>
      <c r="P735" s="74"/>
      <c r="Q735" s="74"/>
      <c r="R735" s="74"/>
      <c r="S735" s="74"/>
      <c r="T735" s="74"/>
      <c r="U735" s="74"/>
      <c r="V735" s="74"/>
      <c r="W735" s="74"/>
      <c r="X735" s="74"/>
      <c r="Y735" s="74"/>
      <c r="Z735" s="74"/>
      <c r="AA735" s="74"/>
      <c r="AB735" s="74"/>
    </row>
    <row r="736" spans="1:28" ht="12" customHeight="1">
      <c r="A736" s="260"/>
      <c r="B736" s="104"/>
      <c r="C736" s="104"/>
      <c r="D736" s="260"/>
      <c r="E736" s="104"/>
      <c r="F736" s="104"/>
      <c r="G736" s="35"/>
      <c r="H736" s="104"/>
      <c r="I736" s="35"/>
      <c r="J736" s="74"/>
      <c r="K736" s="74"/>
      <c r="L736" s="74"/>
      <c r="M736" s="74"/>
      <c r="N736" s="74"/>
      <c r="O736" s="74"/>
      <c r="P736" s="74"/>
      <c r="Q736" s="74"/>
      <c r="R736" s="74"/>
      <c r="S736" s="74"/>
      <c r="T736" s="74"/>
      <c r="U736" s="74"/>
      <c r="V736" s="74"/>
      <c r="W736" s="74"/>
      <c r="X736" s="74"/>
      <c r="Y736" s="74"/>
      <c r="Z736" s="74"/>
      <c r="AA736" s="74"/>
      <c r="AB736" s="74"/>
    </row>
    <row r="737" spans="1:28" ht="12" customHeight="1">
      <c r="A737" s="260"/>
      <c r="B737" s="104"/>
      <c r="C737" s="104"/>
      <c r="D737" s="260"/>
      <c r="E737" s="104"/>
      <c r="F737" s="104"/>
      <c r="G737" s="35"/>
      <c r="H737" s="104"/>
      <c r="I737" s="35"/>
      <c r="J737" s="74"/>
      <c r="K737" s="74"/>
      <c r="L737" s="74"/>
      <c r="M737" s="74"/>
      <c r="N737" s="74"/>
      <c r="O737" s="74"/>
      <c r="P737" s="74"/>
      <c r="Q737" s="74"/>
      <c r="R737" s="74"/>
      <c r="S737" s="74"/>
      <c r="T737" s="74"/>
      <c r="U737" s="74"/>
      <c r="V737" s="74"/>
      <c r="W737" s="74"/>
      <c r="X737" s="74"/>
      <c r="Y737" s="74"/>
      <c r="Z737" s="74"/>
      <c r="AA737" s="74"/>
      <c r="AB737" s="74"/>
    </row>
    <row r="738" spans="1:28" ht="12" customHeight="1">
      <c r="A738" s="260"/>
      <c r="B738" s="104"/>
      <c r="C738" s="104"/>
      <c r="D738" s="260"/>
      <c r="E738" s="104"/>
      <c r="F738" s="104"/>
      <c r="G738" s="35"/>
      <c r="H738" s="104"/>
      <c r="I738" s="35"/>
      <c r="J738" s="74"/>
      <c r="K738" s="74"/>
      <c r="L738" s="74"/>
      <c r="M738" s="74"/>
      <c r="N738" s="74"/>
      <c r="O738" s="74"/>
      <c r="P738" s="74"/>
      <c r="Q738" s="74"/>
      <c r="R738" s="74"/>
      <c r="S738" s="74"/>
      <c r="T738" s="74"/>
      <c r="U738" s="74"/>
      <c r="V738" s="74"/>
      <c r="W738" s="74"/>
      <c r="X738" s="74"/>
      <c r="Y738" s="74"/>
      <c r="Z738" s="74"/>
      <c r="AA738" s="74"/>
      <c r="AB738" s="74"/>
    </row>
    <row r="739" spans="1:28" ht="12" customHeight="1">
      <c r="A739" s="260"/>
      <c r="B739" s="104"/>
      <c r="C739" s="104"/>
      <c r="D739" s="260"/>
      <c r="E739" s="104"/>
      <c r="F739" s="104"/>
      <c r="G739" s="35"/>
      <c r="H739" s="104"/>
      <c r="I739" s="35"/>
      <c r="J739" s="74"/>
      <c r="K739" s="74"/>
      <c r="L739" s="74"/>
      <c r="M739" s="74"/>
      <c r="N739" s="74"/>
      <c r="O739" s="74"/>
      <c r="P739" s="74"/>
      <c r="Q739" s="74"/>
      <c r="R739" s="74"/>
      <c r="S739" s="74"/>
      <c r="T739" s="74"/>
      <c r="U739" s="74"/>
      <c r="V739" s="74"/>
      <c r="W739" s="74"/>
      <c r="X739" s="74"/>
      <c r="Y739" s="74"/>
      <c r="Z739" s="74"/>
      <c r="AA739" s="74"/>
      <c r="AB739" s="74"/>
    </row>
    <row r="740" spans="1:28" ht="12" customHeight="1">
      <c r="A740" s="260"/>
      <c r="B740" s="104"/>
      <c r="C740" s="104"/>
      <c r="D740" s="260"/>
      <c r="E740" s="104"/>
      <c r="F740" s="104"/>
      <c r="G740" s="35"/>
      <c r="H740" s="104"/>
      <c r="I740" s="35"/>
      <c r="J740" s="74"/>
      <c r="K740" s="74"/>
      <c r="L740" s="74"/>
      <c r="M740" s="74"/>
      <c r="N740" s="74"/>
      <c r="O740" s="74"/>
      <c r="P740" s="74"/>
      <c r="Q740" s="74"/>
      <c r="R740" s="74"/>
      <c r="S740" s="74"/>
      <c r="T740" s="74"/>
      <c r="U740" s="74"/>
      <c r="V740" s="74"/>
      <c r="W740" s="74"/>
      <c r="X740" s="74"/>
      <c r="Y740" s="74"/>
      <c r="Z740" s="74"/>
      <c r="AA740" s="74"/>
      <c r="AB740" s="74"/>
    </row>
    <row r="741" spans="1:28" ht="12" customHeight="1">
      <c r="A741" s="260"/>
      <c r="B741" s="104"/>
      <c r="C741" s="104"/>
      <c r="D741" s="260"/>
      <c r="E741" s="104"/>
      <c r="F741" s="104"/>
      <c r="G741" s="35"/>
      <c r="H741" s="104"/>
      <c r="I741" s="35"/>
      <c r="J741" s="74"/>
      <c r="K741" s="74"/>
      <c r="L741" s="74"/>
      <c r="M741" s="74"/>
      <c r="N741" s="74"/>
      <c r="O741" s="74"/>
      <c r="P741" s="74"/>
      <c r="Q741" s="74"/>
      <c r="R741" s="74"/>
      <c r="S741" s="74"/>
      <c r="T741" s="74"/>
      <c r="U741" s="74"/>
      <c r="V741" s="74"/>
      <c r="W741" s="74"/>
      <c r="X741" s="74"/>
      <c r="Y741" s="74"/>
      <c r="Z741" s="74"/>
      <c r="AA741" s="74"/>
      <c r="AB741" s="74"/>
    </row>
    <row r="742" spans="1:28" ht="12" customHeight="1">
      <c r="A742" s="260"/>
      <c r="B742" s="104"/>
      <c r="C742" s="104"/>
      <c r="D742" s="260"/>
      <c r="E742" s="104"/>
      <c r="F742" s="104"/>
      <c r="G742" s="35"/>
      <c r="H742" s="104"/>
      <c r="I742" s="35"/>
      <c r="J742" s="74"/>
      <c r="K742" s="74"/>
      <c r="L742" s="74"/>
      <c r="M742" s="74"/>
      <c r="N742" s="74"/>
      <c r="O742" s="74"/>
      <c r="P742" s="74"/>
      <c r="Q742" s="74"/>
      <c r="R742" s="74"/>
      <c r="S742" s="74"/>
      <c r="T742" s="74"/>
      <c r="U742" s="74"/>
      <c r="V742" s="74"/>
      <c r="W742" s="74"/>
      <c r="X742" s="74"/>
      <c r="Y742" s="74"/>
      <c r="Z742" s="74"/>
      <c r="AA742" s="74"/>
      <c r="AB742" s="74"/>
    </row>
    <row r="743" spans="1:28" ht="12" customHeight="1">
      <c r="A743" s="260"/>
      <c r="B743" s="104"/>
      <c r="C743" s="104"/>
      <c r="D743" s="260"/>
      <c r="E743" s="104"/>
      <c r="F743" s="104"/>
      <c r="G743" s="35"/>
      <c r="H743" s="104"/>
      <c r="I743" s="35"/>
      <c r="J743" s="74"/>
      <c r="K743" s="74"/>
      <c r="L743" s="74"/>
      <c r="M743" s="74"/>
      <c r="N743" s="74"/>
      <c r="O743" s="74"/>
      <c r="P743" s="74"/>
      <c r="Q743" s="74"/>
      <c r="R743" s="74"/>
      <c r="S743" s="74"/>
      <c r="T743" s="74"/>
      <c r="U743" s="74"/>
      <c r="V743" s="74"/>
      <c r="W743" s="74"/>
      <c r="X743" s="74"/>
      <c r="Y743" s="74"/>
      <c r="Z743" s="74"/>
      <c r="AA743" s="74"/>
      <c r="AB743" s="74"/>
    </row>
    <row r="744" spans="1:28" ht="12" customHeight="1">
      <c r="A744" s="260"/>
      <c r="B744" s="104"/>
      <c r="C744" s="104"/>
      <c r="D744" s="260"/>
      <c r="E744" s="104"/>
      <c r="F744" s="104"/>
      <c r="G744" s="35"/>
      <c r="H744" s="104"/>
      <c r="I744" s="35"/>
      <c r="J744" s="74"/>
      <c r="K744" s="74"/>
      <c r="L744" s="74"/>
      <c r="M744" s="74"/>
      <c r="N744" s="74"/>
      <c r="O744" s="74"/>
      <c r="P744" s="74"/>
      <c r="Q744" s="74"/>
      <c r="R744" s="74"/>
      <c r="S744" s="74"/>
      <c r="T744" s="74"/>
      <c r="U744" s="74"/>
      <c r="V744" s="74"/>
      <c r="W744" s="74"/>
      <c r="X744" s="74"/>
      <c r="Y744" s="74"/>
      <c r="Z744" s="74"/>
      <c r="AA744" s="74"/>
      <c r="AB744" s="74"/>
    </row>
    <row r="745" spans="1:28" ht="12" customHeight="1">
      <c r="A745" s="260"/>
      <c r="B745" s="104"/>
      <c r="C745" s="104"/>
      <c r="D745" s="260"/>
      <c r="E745" s="104"/>
      <c r="F745" s="104"/>
      <c r="G745" s="35"/>
      <c r="H745" s="104"/>
      <c r="I745" s="35"/>
      <c r="J745" s="74"/>
      <c r="K745" s="74"/>
      <c r="L745" s="74"/>
      <c r="M745" s="74"/>
      <c r="N745" s="74"/>
      <c r="O745" s="74"/>
      <c r="P745" s="74"/>
      <c r="Q745" s="74"/>
      <c r="R745" s="74"/>
      <c r="S745" s="74"/>
      <c r="T745" s="74"/>
      <c r="U745" s="74"/>
      <c r="V745" s="74"/>
      <c r="W745" s="74"/>
      <c r="X745" s="74"/>
      <c r="Y745" s="74"/>
      <c r="Z745" s="74"/>
      <c r="AA745" s="74"/>
      <c r="AB745" s="74"/>
    </row>
    <row r="746" spans="1:28" ht="12" customHeight="1">
      <c r="A746" s="260"/>
      <c r="B746" s="104"/>
      <c r="C746" s="104"/>
      <c r="D746" s="260"/>
      <c r="E746" s="104"/>
      <c r="F746" s="104"/>
      <c r="G746" s="35"/>
      <c r="H746" s="104"/>
      <c r="I746" s="35"/>
      <c r="J746" s="74"/>
      <c r="K746" s="74"/>
      <c r="L746" s="74"/>
      <c r="M746" s="74"/>
      <c r="N746" s="74"/>
      <c r="O746" s="74"/>
      <c r="P746" s="74"/>
      <c r="Q746" s="74"/>
      <c r="R746" s="74"/>
      <c r="S746" s="74"/>
      <c r="T746" s="74"/>
      <c r="U746" s="74"/>
      <c r="V746" s="74"/>
      <c r="W746" s="74"/>
      <c r="X746" s="74"/>
      <c r="Y746" s="74"/>
      <c r="Z746" s="74"/>
      <c r="AA746" s="74"/>
      <c r="AB746" s="74"/>
    </row>
    <row r="747" spans="1:28" ht="12" customHeight="1">
      <c r="A747" s="260"/>
      <c r="B747" s="104"/>
      <c r="C747" s="104"/>
      <c r="D747" s="260"/>
      <c r="E747" s="104"/>
      <c r="F747" s="104"/>
      <c r="G747" s="35"/>
      <c r="H747" s="104"/>
      <c r="I747" s="35"/>
      <c r="J747" s="74"/>
      <c r="K747" s="74"/>
      <c r="L747" s="74"/>
      <c r="M747" s="74"/>
      <c r="N747" s="74"/>
      <c r="O747" s="74"/>
      <c r="P747" s="74"/>
      <c r="Q747" s="74"/>
      <c r="R747" s="74"/>
      <c r="S747" s="74"/>
      <c r="T747" s="74"/>
      <c r="U747" s="74"/>
      <c r="V747" s="74"/>
      <c r="W747" s="74"/>
      <c r="X747" s="74"/>
      <c r="Y747" s="74"/>
      <c r="Z747" s="74"/>
      <c r="AA747" s="74"/>
      <c r="AB747" s="74"/>
    </row>
    <row r="748" spans="1:28" ht="12" customHeight="1">
      <c r="A748" s="260"/>
      <c r="B748" s="104"/>
      <c r="C748" s="104"/>
      <c r="D748" s="260"/>
      <c r="E748" s="104"/>
      <c r="F748" s="104"/>
      <c r="G748" s="35"/>
      <c r="H748" s="104"/>
      <c r="I748" s="35"/>
      <c r="J748" s="74"/>
      <c r="K748" s="74"/>
      <c r="L748" s="74"/>
      <c r="M748" s="74"/>
      <c r="N748" s="74"/>
      <c r="O748" s="74"/>
      <c r="P748" s="74"/>
      <c r="Q748" s="74"/>
      <c r="R748" s="74"/>
      <c r="S748" s="74"/>
      <c r="T748" s="74"/>
      <c r="U748" s="74"/>
      <c r="V748" s="74"/>
      <c r="W748" s="74"/>
      <c r="X748" s="74"/>
      <c r="Y748" s="74"/>
      <c r="Z748" s="74"/>
      <c r="AA748" s="74"/>
      <c r="AB748" s="74"/>
    </row>
    <row r="749" spans="1:28" ht="12" customHeight="1">
      <c r="A749" s="260"/>
      <c r="B749" s="104"/>
      <c r="C749" s="104"/>
      <c r="D749" s="260"/>
      <c r="E749" s="104"/>
      <c r="F749" s="104"/>
      <c r="G749" s="35"/>
      <c r="H749" s="104"/>
      <c r="I749" s="35"/>
      <c r="J749" s="74"/>
      <c r="K749" s="74"/>
      <c r="L749" s="74"/>
      <c r="M749" s="74"/>
      <c r="N749" s="74"/>
      <c r="O749" s="74"/>
      <c r="P749" s="74"/>
      <c r="Q749" s="74"/>
      <c r="R749" s="74"/>
      <c r="S749" s="74"/>
      <c r="T749" s="74"/>
      <c r="U749" s="74"/>
      <c r="V749" s="74"/>
      <c r="W749" s="74"/>
      <c r="X749" s="74"/>
      <c r="Y749" s="74"/>
      <c r="Z749" s="74"/>
      <c r="AA749" s="74"/>
      <c r="AB749" s="74"/>
    </row>
    <row r="750" spans="1:28" ht="12" customHeight="1">
      <c r="A750" s="260"/>
      <c r="B750" s="104"/>
      <c r="C750" s="104"/>
      <c r="D750" s="260"/>
      <c r="E750" s="104"/>
      <c r="F750" s="104"/>
      <c r="G750" s="35"/>
      <c r="H750" s="104"/>
      <c r="I750" s="35"/>
      <c r="J750" s="74"/>
      <c r="K750" s="74"/>
      <c r="L750" s="74"/>
      <c r="M750" s="74"/>
      <c r="N750" s="74"/>
      <c r="O750" s="74"/>
      <c r="P750" s="74"/>
      <c r="Q750" s="74"/>
      <c r="R750" s="74"/>
      <c r="S750" s="74"/>
      <c r="T750" s="74"/>
      <c r="U750" s="74"/>
      <c r="V750" s="74"/>
      <c r="W750" s="74"/>
      <c r="X750" s="74"/>
      <c r="Y750" s="74"/>
      <c r="Z750" s="74"/>
      <c r="AA750" s="74"/>
      <c r="AB750" s="74"/>
    </row>
    <row r="751" spans="1:28" ht="12" customHeight="1">
      <c r="A751" s="260"/>
      <c r="B751" s="104"/>
      <c r="C751" s="104"/>
      <c r="D751" s="260"/>
      <c r="E751" s="104"/>
      <c r="F751" s="104"/>
      <c r="G751" s="35"/>
      <c r="H751" s="104"/>
      <c r="I751" s="35"/>
      <c r="J751" s="74"/>
      <c r="K751" s="74"/>
      <c r="L751" s="74"/>
      <c r="M751" s="74"/>
      <c r="N751" s="74"/>
      <c r="O751" s="74"/>
      <c r="P751" s="74"/>
      <c r="Q751" s="74"/>
      <c r="R751" s="74"/>
      <c r="S751" s="74"/>
      <c r="T751" s="74"/>
      <c r="U751" s="74"/>
      <c r="V751" s="74"/>
      <c r="W751" s="74"/>
      <c r="X751" s="74"/>
      <c r="Y751" s="74"/>
      <c r="Z751" s="74"/>
      <c r="AA751" s="74"/>
      <c r="AB751" s="74"/>
    </row>
    <row r="752" spans="1:28" ht="12" customHeight="1">
      <c r="A752" s="260"/>
      <c r="B752" s="104"/>
      <c r="C752" s="104"/>
      <c r="D752" s="260"/>
      <c r="E752" s="104"/>
      <c r="F752" s="104"/>
      <c r="G752" s="35"/>
      <c r="H752" s="104"/>
      <c r="I752" s="35"/>
      <c r="J752" s="74"/>
      <c r="K752" s="74"/>
      <c r="L752" s="74"/>
      <c r="M752" s="74"/>
      <c r="N752" s="74"/>
      <c r="O752" s="74"/>
      <c r="P752" s="74"/>
      <c r="Q752" s="74"/>
      <c r="R752" s="74"/>
      <c r="S752" s="74"/>
      <c r="T752" s="74"/>
      <c r="U752" s="74"/>
      <c r="V752" s="74"/>
      <c r="W752" s="74"/>
      <c r="X752" s="74"/>
      <c r="Y752" s="74"/>
      <c r="Z752" s="74"/>
      <c r="AA752" s="74"/>
      <c r="AB752" s="74"/>
    </row>
    <row r="753" spans="1:28" ht="12" customHeight="1">
      <c r="A753" s="260"/>
      <c r="B753" s="104"/>
      <c r="C753" s="104"/>
      <c r="D753" s="260"/>
      <c r="E753" s="104"/>
      <c r="F753" s="104"/>
      <c r="G753" s="35"/>
      <c r="H753" s="104"/>
      <c r="I753" s="35"/>
      <c r="J753" s="74"/>
      <c r="K753" s="74"/>
      <c r="L753" s="74"/>
      <c r="M753" s="74"/>
      <c r="N753" s="74"/>
      <c r="O753" s="74"/>
      <c r="P753" s="74"/>
      <c r="Q753" s="74"/>
      <c r="R753" s="74"/>
      <c r="S753" s="74"/>
      <c r="T753" s="74"/>
      <c r="U753" s="74"/>
      <c r="V753" s="74"/>
      <c r="W753" s="74"/>
      <c r="X753" s="74"/>
      <c r="Y753" s="74"/>
      <c r="Z753" s="74"/>
      <c r="AA753" s="74"/>
      <c r="AB753" s="74"/>
    </row>
    <row r="754" spans="1:28" ht="12" customHeight="1">
      <c r="A754" s="260"/>
      <c r="B754" s="104"/>
      <c r="C754" s="104"/>
      <c r="D754" s="260"/>
      <c r="E754" s="104"/>
      <c r="F754" s="104"/>
      <c r="G754" s="35"/>
      <c r="H754" s="104"/>
      <c r="I754" s="35"/>
      <c r="J754" s="74"/>
      <c r="K754" s="74"/>
      <c r="L754" s="74"/>
      <c r="M754" s="74"/>
      <c r="N754" s="74"/>
      <c r="O754" s="74"/>
      <c r="P754" s="74"/>
      <c r="Q754" s="74"/>
      <c r="R754" s="74"/>
      <c r="S754" s="74"/>
      <c r="T754" s="74"/>
      <c r="U754" s="74"/>
      <c r="V754" s="74"/>
      <c r="W754" s="74"/>
      <c r="X754" s="74"/>
      <c r="Y754" s="74"/>
      <c r="Z754" s="74"/>
      <c r="AA754" s="74"/>
      <c r="AB754" s="74"/>
    </row>
    <row r="755" spans="1:28" ht="12" customHeight="1">
      <c r="A755" s="260"/>
      <c r="B755" s="104"/>
      <c r="C755" s="104"/>
      <c r="D755" s="260"/>
      <c r="E755" s="104"/>
      <c r="F755" s="104"/>
      <c r="G755" s="35"/>
      <c r="H755" s="104"/>
      <c r="I755" s="35"/>
      <c r="J755" s="74"/>
      <c r="K755" s="74"/>
      <c r="L755" s="74"/>
      <c r="M755" s="74"/>
      <c r="N755" s="74"/>
      <c r="O755" s="74"/>
      <c r="P755" s="74"/>
      <c r="Q755" s="74"/>
      <c r="R755" s="74"/>
      <c r="S755" s="74"/>
      <c r="T755" s="74"/>
      <c r="U755" s="74"/>
      <c r="V755" s="74"/>
      <c r="W755" s="74"/>
      <c r="X755" s="74"/>
      <c r="Y755" s="74"/>
      <c r="Z755" s="74"/>
      <c r="AA755" s="74"/>
      <c r="AB755" s="74"/>
    </row>
    <row r="756" spans="1:28" ht="12" customHeight="1">
      <c r="A756" s="260"/>
      <c r="B756" s="104"/>
      <c r="C756" s="104"/>
      <c r="D756" s="260"/>
      <c r="E756" s="104"/>
      <c r="F756" s="104"/>
      <c r="G756" s="35"/>
      <c r="H756" s="104"/>
      <c r="I756" s="35"/>
      <c r="J756" s="74"/>
      <c r="K756" s="74"/>
      <c r="L756" s="74"/>
      <c r="M756" s="74"/>
      <c r="N756" s="74"/>
      <c r="O756" s="74"/>
      <c r="P756" s="74"/>
      <c r="Q756" s="74"/>
      <c r="R756" s="74"/>
      <c r="S756" s="74"/>
      <c r="T756" s="74"/>
      <c r="U756" s="74"/>
      <c r="V756" s="74"/>
      <c r="W756" s="74"/>
      <c r="X756" s="74"/>
      <c r="Y756" s="74"/>
      <c r="Z756" s="74"/>
      <c r="AA756" s="74"/>
      <c r="AB756" s="74"/>
    </row>
    <row r="757" spans="1:28" ht="12" customHeight="1">
      <c r="A757" s="260"/>
      <c r="B757" s="104"/>
      <c r="C757" s="104"/>
      <c r="D757" s="260"/>
      <c r="E757" s="104"/>
      <c r="F757" s="104"/>
      <c r="G757" s="35"/>
      <c r="H757" s="104"/>
      <c r="I757" s="35"/>
      <c r="J757" s="74"/>
      <c r="K757" s="74"/>
      <c r="L757" s="74"/>
      <c r="M757" s="74"/>
      <c r="N757" s="74"/>
      <c r="O757" s="74"/>
      <c r="P757" s="74"/>
      <c r="Q757" s="74"/>
      <c r="R757" s="74"/>
      <c r="S757" s="74"/>
      <c r="T757" s="74"/>
      <c r="U757" s="74"/>
      <c r="V757" s="74"/>
      <c r="W757" s="74"/>
      <c r="X757" s="74"/>
      <c r="Y757" s="74"/>
      <c r="Z757" s="74"/>
      <c r="AA757" s="74"/>
      <c r="AB757" s="74"/>
    </row>
    <row r="758" spans="1:28" ht="12" customHeight="1">
      <c r="A758" s="260"/>
      <c r="B758" s="104"/>
      <c r="C758" s="104"/>
      <c r="D758" s="260"/>
      <c r="E758" s="104"/>
      <c r="F758" s="104"/>
      <c r="G758" s="35"/>
      <c r="H758" s="104"/>
      <c r="I758" s="35"/>
      <c r="J758" s="74"/>
      <c r="K758" s="74"/>
      <c r="L758" s="74"/>
      <c r="M758" s="74"/>
      <c r="N758" s="74"/>
      <c r="O758" s="74"/>
      <c r="P758" s="74"/>
      <c r="Q758" s="74"/>
      <c r="R758" s="74"/>
      <c r="S758" s="74"/>
      <c r="T758" s="74"/>
      <c r="U758" s="74"/>
      <c r="V758" s="74"/>
      <c r="W758" s="74"/>
      <c r="X758" s="74"/>
      <c r="Y758" s="74"/>
      <c r="Z758" s="74"/>
      <c r="AA758" s="74"/>
      <c r="AB758" s="74"/>
    </row>
    <row r="759" spans="1:28" ht="12" customHeight="1">
      <c r="A759" s="260"/>
      <c r="B759" s="104"/>
      <c r="C759" s="104"/>
      <c r="D759" s="260"/>
      <c r="E759" s="104"/>
      <c r="F759" s="104"/>
      <c r="G759" s="35"/>
      <c r="H759" s="104"/>
      <c r="I759" s="35"/>
      <c r="J759" s="74"/>
      <c r="K759" s="74"/>
      <c r="L759" s="74"/>
      <c r="M759" s="74"/>
      <c r="N759" s="74"/>
      <c r="O759" s="74"/>
      <c r="P759" s="74"/>
      <c r="Q759" s="74"/>
      <c r="R759" s="74"/>
      <c r="S759" s="74"/>
      <c r="T759" s="74"/>
      <c r="U759" s="74"/>
      <c r="V759" s="74"/>
      <c r="W759" s="74"/>
      <c r="X759" s="74"/>
      <c r="Y759" s="74"/>
      <c r="Z759" s="74"/>
      <c r="AA759" s="74"/>
      <c r="AB759" s="74"/>
    </row>
    <row r="760" spans="1:28" ht="12" customHeight="1">
      <c r="A760" s="260"/>
      <c r="B760" s="104"/>
      <c r="C760" s="104"/>
      <c r="D760" s="260"/>
      <c r="E760" s="104"/>
      <c r="F760" s="104"/>
      <c r="G760" s="35"/>
      <c r="H760" s="104"/>
      <c r="I760" s="35"/>
      <c r="J760" s="74"/>
      <c r="K760" s="74"/>
      <c r="L760" s="74"/>
      <c r="M760" s="74"/>
      <c r="N760" s="74"/>
      <c r="O760" s="74"/>
      <c r="P760" s="74"/>
      <c r="Q760" s="74"/>
      <c r="R760" s="74"/>
      <c r="S760" s="74"/>
      <c r="T760" s="74"/>
      <c r="U760" s="74"/>
      <c r="V760" s="74"/>
      <c r="W760" s="74"/>
      <c r="X760" s="74"/>
      <c r="Y760" s="74"/>
      <c r="Z760" s="74"/>
      <c r="AA760" s="74"/>
      <c r="AB760" s="74"/>
    </row>
    <row r="761" spans="1:28" ht="12" customHeight="1">
      <c r="A761" s="260"/>
      <c r="B761" s="104"/>
      <c r="C761" s="104"/>
      <c r="D761" s="260"/>
      <c r="E761" s="104"/>
      <c r="F761" s="104"/>
      <c r="G761" s="35"/>
      <c r="H761" s="104"/>
      <c r="I761" s="35"/>
      <c r="J761" s="74"/>
      <c r="K761" s="74"/>
      <c r="L761" s="74"/>
      <c r="M761" s="74"/>
      <c r="N761" s="74"/>
      <c r="O761" s="74"/>
      <c r="P761" s="74"/>
      <c r="Q761" s="74"/>
      <c r="R761" s="74"/>
      <c r="S761" s="74"/>
      <c r="T761" s="74"/>
      <c r="U761" s="74"/>
      <c r="V761" s="74"/>
      <c r="W761" s="74"/>
      <c r="X761" s="74"/>
      <c r="Y761" s="74"/>
      <c r="Z761" s="74"/>
      <c r="AA761" s="74"/>
      <c r="AB761" s="74"/>
    </row>
    <row r="762" spans="1:28" ht="12" customHeight="1">
      <c r="A762" s="260"/>
      <c r="B762" s="104"/>
      <c r="C762" s="104"/>
      <c r="D762" s="260"/>
      <c r="E762" s="104"/>
      <c r="F762" s="104"/>
      <c r="G762" s="35"/>
      <c r="H762" s="104"/>
      <c r="I762" s="35"/>
      <c r="J762" s="74"/>
      <c r="K762" s="74"/>
      <c r="L762" s="74"/>
      <c r="M762" s="74"/>
      <c r="N762" s="74"/>
      <c r="O762" s="74"/>
      <c r="P762" s="74"/>
      <c r="Q762" s="74"/>
      <c r="R762" s="74"/>
      <c r="S762" s="74"/>
      <c r="T762" s="74"/>
      <c r="U762" s="74"/>
      <c r="V762" s="74"/>
      <c r="W762" s="74"/>
      <c r="X762" s="74"/>
      <c r="Y762" s="74"/>
      <c r="Z762" s="74"/>
      <c r="AA762" s="74"/>
      <c r="AB762" s="74"/>
    </row>
    <row r="763" spans="1:28" ht="12" customHeight="1">
      <c r="A763" s="260"/>
      <c r="B763" s="104"/>
      <c r="C763" s="104"/>
      <c r="D763" s="260"/>
      <c r="E763" s="104"/>
      <c r="F763" s="104"/>
      <c r="G763" s="35"/>
      <c r="H763" s="104"/>
      <c r="I763" s="35"/>
      <c r="J763" s="74"/>
      <c r="K763" s="74"/>
      <c r="L763" s="74"/>
      <c r="M763" s="74"/>
      <c r="N763" s="74"/>
      <c r="O763" s="74"/>
      <c r="P763" s="74"/>
      <c r="Q763" s="74"/>
      <c r="R763" s="74"/>
      <c r="S763" s="74"/>
      <c r="T763" s="74"/>
      <c r="U763" s="74"/>
      <c r="V763" s="74"/>
      <c r="W763" s="74"/>
      <c r="X763" s="74"/>
      <c r="Y763" s="74"/>
      <c r="Z763" s="74"/>
      <c r="AA763" s="74"/>
      <c r="AB763" s="74"/>
    </row>
    <row r="764" spans="1:28" ht="12" customHeight="1">
      <c r="A764" s="260"/>
      <c r="B764" s="104"/>
      <c r="C764" s="104"/>
      <c r="D764" s="260"/>
      <c r="E764" s="104"/>
      <c r="F764" s="104"/>
      <c r="G764" s="35"/>
      <c r="H764" s="104"/>
      <c r="I764" s="35"/>
      <c r="J764" s="74"/>
      <c r="K764" s="74"/>
      <c r="L764" s="74"/>
      <c r="M764" s="74"/>
      <c r="N764" s="74"/>
      <c r="O764" s="74"/>
      <c r="P764" s="74"/>
      <c r="Q764" s="74"/>
      <c r="R764" s="74"/>
      <c r="S764" s="74"/>
      <c r="T764" s="74"/>
      <c r="U764" s="74"/>
      <c r="V764" s="74"/>
      <c r="W764" s="74"/>
      <c r="X764" s="74"/>
      <c r="Y764" s="74"/>
      <c r="Z764" s="74"/>
      <c r="AA764" s="74"/>
      <c r="AB764" s="74"/>
    </row>
    <row r="765" spans="1:28" ht="12" customHeight="1">
      <c r="A765" s="260"/>
      <c r="B765" s="104"/>
      <c r="C765" s="104"/>
      <c r="D765" s="260"/>
      <c r="E765" s="104"/>
      <c r="F765" s="104"/>
      <c r="G765" s="35"/>
      <c r="H765" s="104"/>
      <c r="I765" s="35"/>
      <c r="J765" s="74"/>
      <c r="K765" s="74"/>
      <c r="L765" s="74"/>
      <c r="M765" s="74"/>
      <c r="N765" s="74"/>
      <c r="O765" s="74"/>
      <c r="P765" s="74"/>
      <c r="Q765" s="74"/>
      <c r="R765" s="74"/>
      <c r="S765" s="74"/>
      <c r="T765" s="74"/>
      <c r="U765" s="74"/>
      <c r="V765" s="74"/>
      <c r="W765" s="74"/>
      <c r="X765" s="74"/>
      <c r="Y765" s="74"/>
      <c r="Z765" s="74"/>
      <c r="AA765" s="74"/>
      <c r="AB765" s="74"/>
    </row>
    <row r="766" spans="1:28" ht="12" customHeight="1">
      <c r="A766" s="260"/>
      <c r="B766" s="104"/>
      <c r="C766" s="104"/>
      <c r="D766" s="260"/>
      <c r="E766" s="104"/>
      <c r="F766" s="104"/>
      <c r="G766" s="35"/>
      <c r="H766" s="104"/>
      <c r="I766" s="35"/>
      <c r="J766" s="74"/>
      <c r="K766" s="74"/>
      <c r="L766" s="74"/>
      <c r="M766" s="74"/>
      <c r="N766" s="74"/>
      <c r="O766" s="74"/>
      <c r="P766" s="74"/>
      <c r="Q766" s="74"/>
      <c r="R766" s="74"/>
      <c r="S766" s="74"/>
      <c r="T766" s="74"/>
      <c r="U766" s="74"/>
      <c r="V766" s="74"/>
      <c r="W766" s="74"/>
      <c r="X766" s="74"/>
      <c r="Y766" s="74"/>
      <c r="Z766" s="74"/>
      <c r="AA766" s="74"/>
      <c r="AB766" s="74"/>
    </row>
    <row r="767" spans="1:28" ht="12" customHeight="1">
      <c r="A767" s="260"/>
      <c r="B767" s="104"/>
      <c r="C767" s="104"/>
      <c r="D767" s="260"/>
      <c r="E767" s="104"/>
      <c r="F767" s="104"/>
      <c r="G767" s="35"/>
      <c r="H767" s="104"/>
      <c r="I767" s="35"/>
      <c r="J767" s="74"/>
      <c r="K767" s="74"/>
      <c r="L767" s="74"/>
      <c r="M767" s="74"/>
      <c r="N767" s="74"/>
      <c r="O767" s="74"/>
      <c r="P767" s="74"/>
      <c r="Q767" s="74"/>
      <c r="R767" s="74"/>
      <c r="S767" s="74"/>
      <c r="T767" s="74"/>
      <c r="U767" s="74"/>
      <c r="V767" s="74"/>
      <c r="W767" s="74"/>
      <c r="X767" s="74"/>
      <c r="Y767" s="74"/>
      <c r="Z767" s="74"/>
      <c r="AA767" s="74"/>
      <c r="AB767" s="74"/>
    </row>
    <row r="768" spans="1:28" ht="12" customHeight="1">
      <c r="A768" s="260"/>
      <c r="B768" s="104"/>
      <c r="C768" s="104"/>
      <c r="D768" s="260"/>
      <c r="E768" s="104"/>
      <c r="F768" s="104"/>
      <c r="G768" s="35"/>
      <c r="H768" s="104"/>
      <c r="I768" s="35"/>
      <c r="J768" s="74"/>
      <c r="K768" s="74"/>
      <c r="L768" s="74"/>
      <c r="M768" s="74"/>
      <c r="N768" s="74"/>
      <c r="O768" s="74"/>
      <c r="P768" s="74"/>
      <c r="Q768" s="74"/>
      <c r="R768" s="74"/>
      <c r="S768" s="74"/>
      <c r="T768" s="74"/>
      <c r="U768" s="74"/>
      <c r="V768" s="74"/>
      <c r="W768" s="74"/>
      <c r="X768" s="74"/>
      <c r="Y768" s="74"/>
      <c r="Z768" s="74"/>
      <c r="AA768" s="74"/>
      <c r="AB768" s="74"/>
    </row>
    <row r="769" spans="1:28" ht="12" customHeight="1">
      <c r="A769" s="260"/>
      <c r="B769" s="104"/>
      <c r="C769" s="104"/>
      <c r="D769" s="260"/>
      <c r="E769" s="104"/>
      <c r="F769" s="104"/>
      <c r="G769" s="35"/>
      <c r="H769" s="104"/>
      <c r="I769" s="35"/>
      <c r="J769" s="74"/>
      <c r="K769" s="74"/>
      <c r="L769" s="74"/>
      <c r="M769" s="74"/>
      <c r="N769" s="74"/>
      <c r="O769" s="74"/>
      <c r="P769" s="74"/>
      <c r="Q769" s="74"/>
      <c r="R769" s="74"/>
      <c r="S769" s="74"/>
      <c r="T769" s="74"/>
      <c r="U769" s="74"/>
      <c r="V769" s="74"/>
      <c r="W769" s="74"/>
      <c r="X769" s="74"/>
      <c r="Y769" s="74"/>
      <c r="Z769" s="74"/>
      <c r="AA769" s="74"/>
      <c r="AB769" s="74"/>
    </row>
    <row r="770" spans="1:28" ht="12" customHeight="1">
      <c r="A770" s="260"/>
      <c r="B770" s="104"/>
      <c r="C770" s="104"/>
      <c r="D770" s="260"/>
      <c r="E770" s="104"/>
      <c r="F770" s="104"/>
      <c r="G770" s="35"/>
      <c r="H770" s="104"/>
      <c r="I770" s="35"/>
      <c r="J770" s="74"/>
      <c r="K770" s="74"/>
      <c r="L770" s="74"/>
      <c r="M770" s="74"/>
      <c r="N770" s="74"/>
      <c r="O770" s="74"/>
      <c r="P770" s="74"/>
      <c r="Q770" s="74"/>
      <c r="R770" s="74"/>
      <c r="S770" s="74"/>
      <c r="T770" s="74"/>
      <c r="U770" s="74"/>
      <c r="V770" s="74"/>
      <c r="W770" s="74"/>
      <c r="X770" s="74"/>
      <c r="Y770" s="74"/>
      <c r="Z770" s="74"/>
      <c r="AA770" s="74"/>
      <c r="AB770" s="74"/>
    </row>
    <row r="771" spans="1:28" ht="12" customHeight="1">
      <c r="A771" s="260"/>
      <c r="B771" s="104"/>
      <c r="C771" s="104"/>
      <c r="D771" s="260"/>
      <c r="E771" s="104"/>
      <c r="F771" s="104"/>
      <c r="G771" s="35"/>
      <c r="H771" s="104"/>
      <c r="I771" s="35"/>
      <c r="J771" s="74"/>
      <c r="K771" s="74"/>
      <c r="L771" s="74"/>
      <c r="M771" s="74"/>
      <c r="N771" s="74"/>
      <c r="O771" s="74"/>
      <c r="P771" s="74"/>
      <c r="Q771" s="74"/>
      <c r="R771" s="74"/>
      <c r="S771" s="74"/>
      <c r="T771" s="74"/>
      <c r="U771" s="74"/>
      <c r="V771" s="74"/>
      <c r="W771" s="74"/>
      <c r="X771" s="74"/>
      <c r="Y771" s="74"/>
      <c r="Z771" s="74"/>
      <c r="AA771" s="74"/>
      <c r="AB771" s="74"/>
    </row>
    <row r="772" spans="1:28" ht="12" customHeight="1">
      <c r="A772" s="260"/>
      <c r="B772" s="104"/>
      <c r="C772" s="104"/>
      <c r="D772" s="260"/>
      <c r="E772" s="104"/>
      <c r="F772" s="104"/>
      <c r="G772" s="35"/>
      <c r="H772" s="104"/>
      <c r="I772" s="35"/>
      <c r="J772" s="74"/>
      <c r="K772" s="74"/>
      <c r="L772" s="74"/>
      <c r="M772" s="74"/>
      <c r="N772" s="74"/>
      <c r="O772" s="74"/>
      <c r="P772" s="74"/>
      <c r="Q772" s="74"/>
      <c r="R772" s="74"/>
      <c r="S772" s="74"/>
      <c r="T772" s="74"/>
      <c r="U772" s="74"/>
      <c r="V772" s="74"/>
      <c r="W772" s="74"/>
      <c r="X772" s="74"/>
      <c r="Y772" s="74"/>
      <c r="Z772" s="74"/>
      <c r="AA772" s="74"/>
      <c r="AB772" s="74"/>
    </row>
    <row r="773" spans="1:28" ht="12" customHeight="1">
      <c r="A773" s="260"/>
      <c r="B773" s="104"/>
      <c r="C773" s="104"/>
      <c r="D773" s="260"/>
      <c r="E773" s="104"/>
      <c r="F773" s="104"/>
      <c r="G773" s="35"/>
      <c r="H773" s="104"/>
      <c r="I773" s="35"/>
      <c r="J773" s="74"/>
      <c r="K773" s="74"/>
      <c r="L773" s="74"/>
      <c r="M773" s="74"/>
      <c r="N773" s="74"/>
      <c r="O773" s="74"/>
      <c r="P773" s="74"/>
      <c r="Q773" s="74"/>
      <c r="R773" s="74"/>
      <c r="S773" s="74"/>
      <c r="T773" s="74"/>
      <c r="U773" s="74"/>
      <c r="V773" s="74"/>
      <c r="W773" s="74"/>
      <c r="X773" s="74"/>
      <c r="Y773" s="74"/>
      <c r="Z773" s="74"/>
      <c r="AA773" s="74"/>
      <c r="AB773" s="74"/>
    </row>
    <row r="774" spans="1:28" ht="12" customHeight="1">
      <c r="A774" s="260"/>
      <c r="B774" s="104"/>
      <c r="C774" s="104"/>
      <c r="D774" s="260"/>
      <c r="E774" s="104"/>
      <c r="F774" s="104"/>
      <c r="G774" s="35"/>
      <c r="H774" s="104"/>
      <c r="I774" s="35"/>
      <c r="J774" s="74"/>
      <c r="K774" s="74"/>
      <c r="L774" s="74"/>
      <c r="M774" s="74"/>
      <c r="N774" s="74"/>
      <c r="O774" s="74"/>
      <c r="P774" s="74"/>
      <c r="Q774" s="74"/>
      <c r="R774" s="74"/>
      <c r="S774" s="74"/>
      <c r="T774" s="74"/>
      <c r="U774" s="74"/>
      <c r="V774" s="74"/>
      <c r="W774" s="74"/>
      <c r="X774" s="74"/>
      <c r="Y774" s="74"/>
      <c r="Z774" s="74"/>
      <c r="AA774" s="74"/>
      <c r="AB774" s="74"/>
    </row>
    <row r="775" spans="1:28" ht="12" customHeight="1">
      <c r="A775" s="260"/>
      <c r="B775" s="104"/>
      <c r="C775" s="104"/>
      <c r="D775" s="260"/>
      <c r="E775" s="104"/>
      <c r="F775" s="104"/>
      <c r="G775" s="35"/>
      <c r="H775" s="104"/>
      <c r="I775" s="35"/>
      <c r="J775" s="74"/>
      <c r="K775" s="74"/>
      <c r="L775" s="74"/>
      <c r="M775" s="74"/>
      <c r="N775" s="74"/>
      <c r="O775" s="74"/>
      <c r="P775" s="74"/>
      <c r="Q775" s="74"/>
      <c r="R775" s="74"/>
      <c r="S775" s="74"/>
      <c r="T775" s="74"/>
      <c r="U775" s="74"/>
      <c r="V775" s="74"/>
      <c r="W775" s="74"/>
      <c r="X775" s="74"/>
      <c r="Y775" s="74"/>
      <c r="Z775" s="74"/>
      <c r="AA775" s="74"/>
      <c r="AB775" s="74"/>
    </row>
    <row r="776" spans="1:28" ht="12" customHeight="1">
      <c r="A776" s="260"/>
      <c r="B776" s="104"/>
      <c r="C776" s="104"/>
      <c r="D776" s="260"/>
      <c r="E776" s="104"/>
      <c r="F776" s="104"/>
      <c r="G776" s="35"/>
      <c r="H776" s="104"/>
      <c r="I776" s="35"/>
      <c r="J776" s="74"/>
      <c r="K776" s="74"/>
      <c r="L776" s="74"/>
      <c r="M776" s="74"/>
      <c r="N776" s="74"/>
      <c r="O776" s="74"/>
      <c r="P776" s="74"/>
      <c r="Q776" s="74"/>
      <c r="R776" s="74"/>
      <c r="S776" s="74"/>
      <c r="T776" s="74"/>
      <c r="U776" s="74"/>
      <c r="V776" s="74"/>
      <c r="W776" s="74"/>
      <c r="X776" s="74"/>
      <c r="Y776" s="74"/>
      <c r="Z776" s="74"/>
      <c r="AA776" s="74"/>
      <c r="AB776" s="74"/>
    </row>
    <row r="777" spans="1:28" ht="12" customHeight="1">
      <c r="A777" s="260"/>
      <c r="B777" s="104"/>
      <c r="C777" s="104"/>
      <c r="D777" s="260"/>
      <c r="E777" s="104"/>
      <c r="F777" s="104"/>
      <c r="G777" s="35"/>
      <c r="H777" s="104"/>
      <c r="I777" s="35"/>
      <c r="J777" s="74"/>
      <c r="K777" s="74"/>
      <c r="L777" s="74"/>
      <c r="M777" s="74"/>
      <c r="N777" s="74"/>
      <c r="O777" s="74"/>
      <c r="P777" s="74"/>
      <c r="Q777" s="74"/>
      <c r="R777" s="74"/>
      <c r="S777" s="74"/>
      <c r="T777" s="74"/>
      <c r="U777" s="74"/>
      <c r="V777" s="74"/>
      <c r="W777" s="74"/>
      <c r="X777" s="74"/>
      <c r="Y777" s="74"/>
      <c r="Z777" s="74"/>
      <c r="AA777" s="74"/>
      <c r="AB777" s="74"/>
    </row>
    <row r="778" spans="1:28" ht="12" customHeight="1">
      <c r="A778" s="260"/>
      <c r="B778" s="104"/>
      <c r="C778" s="104"/>
      <c r="D778" s="260"/>
      <c r="E778" s="104"/>
      <c r="F778" s="104"/>
      <c r="G778" s="35"/>
      <c r="H778" s="104"/>
      <c r="I778" s="35"/>
      <c r="J778" s="74"/>
      <c r="K778" s="74"/>
      <c r="L778" s="74"/>
      <c r="M778" s="74"/>
      <c r="N778" s="74"/>
      <c r="O778" s="74"/>
      <c r="P778" s="74"/>
      <c r="Q778" s="74"/>
      <c r="R778" s="74"/>
      <c r="S778" s="74"/>
      <c r="T778" s="74"/>
      <c r="U778" s="74"/>
      <c r="V778" s="74"/>
      <c r="W778" s="74"/>
      <c r="X778" s="74"/>
      <c r="Y778" s="74"/>
      <c r="Z778" s="74"/>
      <c r="AA778" s="74"/>
      <c r="AB778" s="74"/>
    </row>
    <row r="779" spans="1:28" ht="12" customHeight="1">
      <c r="A779" s="260"/>
      <c r="B779" s="104"/>
      <c r="C779" s="104"/>
      <c r="D779" s="260"/>
      <c r="E779" s="104"/>
      <c r="F779" s="104"/>
      <c r="G779" s="35"/>
      <c r="H779" s="104"/>
      <c r="I779" s="35"/>
      <c r="J779" s="74"/>
      <c r="K779" s="74"/>
      <c r="L779" s="74"/>
      <c r="M779" s="74"/>
      <c r="N779" s="74"/>
      <c r="O779" s="74"/>
      <c r="P779" s="74"/>
      <c r="Q779" s="74"/>
      <c r="R779" s="74"/>
      <c r="S779" s="74"/>
      <c r="T779" s="74"/>
      <c r="U779" s="74"/>
      <c r="V779" s="74"/>
      <c r="W779" s="74"/>
      <c r="X779" s="74"/>
      <c r="Y779" s="74"/>
      <c r="Z779" s="74"/>
      <c r="AA779" s="74"/>
      <c r="AB779" s="74"/>
    </row>
    <row r="780" spans="1:28" ht="12" customHeight="1">
      <c r="A780" s="260"/>
      <c r="B780" s="104"/>
      <c r="C780" s="104"/>
      <c r="D780" s="260"/>
      <c r="E780" s="104"/>
      <c r="F780" s="104"/>
      <c r="G780" s="35"/>
      <c r="H780" s="104"/>
      <c r="I780" s="35"/>
      <c r="J780" s="74"/>
      <c r="K780" s="74"/>
      <c r="L780" s="74"/>
      <c r="M780" s="74"/>
      <c r="N780" s="74"/>
      <c r="O780" s="74"/>
      <c r="P780" s="74"/>
      <c r="Q780" s="74"/>
      <c r="R780" s="74"/>
      <c r="S780" s="74"/>
      <c r="T780" s="74"/>
      <c r="U780" s="74"/>
      <c r="V780" s="74"/>
      <c r="W780" s="74"/>
      <c r="X780" s="74"/>
      <c r="Y780" s="74"/>
      <c r="Z780" s="74"/>
      <c r="AA780" s="74"/>
      <c r="AB780" s="74"/>
    </row>
    <row r="781" spans="1:28" ht="12" customHeight="1">
      <c r="A781" s="260"/>
      <c r="B781" s="104"/>
      <c r="C781" s="104"/>
      <c r="D781" s="260"/>
      <c r="E781" s="104"/>
      <c r="F781" s="104"/>
      <c r="G781" s="35"/>
      <c r="H781" s="104"/>
      <c r="I781" s="35"/>
      <c r="J781" s="74"/>
      <c r="K781" s="74"/>
      <c r="L781" s="74"/>
      <c r="M781" s="74"/>
      <c r="N781" s="74"/>
      <c r="O781" s="74"/>
      <c r="P781" s="74"/>
      <c r="Q781" s="74"/>
      <c r="R781" s="74"/>
      <c r="S781" s="74"/>
      <c r="T781" s="74"/>
      <c r="U781" s="74"/>
      <c r="V781" s="74"/>
      <c r="W781" s="74"/>
      <c r="X781" s="74"/>
      <c r="Y781" s="74"/>
      <c r="Z781" s="74"/>
      <c r="AA781" s="74"/>
      <c r="AB781" s="74"/>
    </row>
    <row r="782" spans="1:28" ht="12" customHeight="1">
      <c r="A782" s="260"/>
      <c r="B782" s="104"/>
      <c r="C782" s="104"/>
      <c r="D782" s="260"/>
      <c r="E782" s="104"/>
      <c r="F782" s="104"/>
      <c r="G782" s="35"/>
      <c r="H782" s="104"/>
      <c r="I782" s="35"/>
      <c r="J782" s="74"/>
      <c r="K782" s="74"/>
      <c r="L782" s="74"/>
      <c r="M782" s="74"/>
      <c r="N782" s="74"/>
      <c r="O782" s="74"/>
      <c r="P782" s="74"/>
      <c r="Q782" s="74"/>
      <c r="R782" s="74"/>
      <c r="S782" s="74"/>
      <c r="T782" s="74"/>
      <c r="U782" s="74"/>
      <c r="V782" s="74"/>
      <c r="W782" s="74"/>
      <c r="X782" s="74"/>
      <c r="Y782" s="74"/>
      <c r="Z782" s="74"/>
      <c r="AA782" s="74"/>
      <c r="AB782" s="74"/>
    </row>
    <row r="783" spans="1:28" ht="12" customHeight="1">
      <c r="A783" s="260"/>
      <c r="B783" s="104"/>
      <c r="C783" s="104"/>
      <c r="D783" s="260"/>
      <c r="E783" s="104"/>
      <c r="F783" s="104"/>
      <c r="G783" s="35"/>
      <c r="H783" s="104"/>
      <c r="I783" s="35"/>
      <c r="J783" s="74"/>
      <c r="K783" s="74"/>
      <c r="L783" s="74"/>
      <c r="M783" s="74"/>
      <c r="N783" s="74"/>
      <c r="O783" s="74"/>
      <c r="P783" s="74"/>
      <c r="Q783" s="74"/>
      <c r="R783" s="74"/>
      <c r="S783" s="74"/>
      <c r="T783" s="74"/>
      <c r="U783" s="74"/>
      <c r="V783" s="74"/>
      <c r="W783" s="74"/>
      <c r="X783" s="74"/>
      <c r="Y783" s="74"/>
      <c r="Z783" s="74"/>
      <c r="AA783" s="74"/>
      <c r="AB783" s="74"/>
    </row>
    <row r="784" spans="1:28" ht="12" customHeight="1">
      <c r="A784" s="260"/>
      <c r="B784" s="104"/>
      <c r="C784" s="104"/>
      <c r="D784" s="260"/>
      <c r="E784" s="104"/>
      <c r="F784" s="104"/>
      <c r="G784" s="35"/>
      <c r="H784" s="104"/>
      <c r="I784" s="35"/>
      <c r="J784" s="74"/>
      <c r="K784" s="74"/>
      <c r="L784" s="74"/>
      <c r="M784" s="74"/>
      <c r="N784" s="74"/>
      <c r="O784" s="74"/>
      <c r="P784" s="74"/>
      <c r="Q784" s="74"/>
      <c r="R784" s="74"/>
      <c r="S784" s="74"/>
      <c r="T784" s="74"/>
      <c r="U784" s="74"/>
      <c r="V784" s="74"/>
      <c r="W784" s="74"/>
      <c r="X784" s="74"/>
      <c r="Y784" s="74"/>
      <c r="Z784" s="74"/>
      <c r="AA784" s="74"/>
      <c r="AB784" s="74"/>
    </row>
    <row r="785" spans="1:28" ht="12" customHeight="1">
      <c r="A785" s="260"/>
      <c r="B785" s="104"/>
      <c r="C785" s="104"/>
      <c r="D785" s="260"/>
      <c r="E785" s="104"/>
      <c r="F785" s="104"/>
      <c r="G785" s="35"/>
      <c r="H785" s="104"/>
      <c r="I785" s="35"/>
      <c r="J785" s="74"/>
      <c r="K785" s="74"/>
      <c r="L785" s="74"/>
      <c r="M785" s="74"/>
      <c r="N785" s="74"/>
      <c r="O785" s="74"/>
      <c r="P785" s="74"/>
      <c r="Q785" s="74"/>
      <c r="R785" s="74"/>
      <c r="S785" s="74"/>
      <c r="T785" s="74"/>
      <c r="U785" s="74"/>
      <c r="V785" s="74"/>
      <c r="W785" s="74"/>
      <c r="X785" s="74"/>
      <c r="Y785" s="74"/>
      <c r="Z785" s="74"/>
      <c r="AA785" s="74"/>
      <c r="AB785" s="74"/>
    </row>
    <row r="786" spans="1:28" ht="12" customHeight="1">
      <c r="A786" s="260"/>
      <c r="B786" s="104"/>
      <c r="C786" s="104"/>
      <c r="D786" s="260"/>
      <c r="E786" s="104"/>
      <c r="F786" s="104"/>
      <c r="G786" s="35"/>
      <c r="H786" s="104"/>
      <c r="I786" s="35"/>
      <c r="J786" s="74"/>
      <c r="K786" s="74"/>
      <c r="L786" s="74"/>
      <c r="M786" s="74"/>
      <c r="N786" s="74"/>
      <c r="O786" s="74"/>
      <c r="P786" s="74"/>
      <c r="Q786" s="74"/>
      <c r="R786" s="74"/>
      <c r="S786" s="74"/>
      <c r="T786" s="74"/>
      <c r="U786" s="74"/>
      <c r="V786" s="74"/>
      <c r="W786" s="74"/>
      <c r="X786" s="74"/>
      <c r="Y786" s="74"/>
      <c r="Z786" s="74"/>
      <c r="AA786" s="74"/>
      <c r="AB786" s="74"/>
    </row>
    <row r="787" spans="1:28" ht="12" customHeight="1">
      <c r="A787" s="260"/>
      <c r="B787" s="104"/>
      <c r="C787" s="104"/>
      <c r="D787" s="260"/>
      <c r="E787" s="104"/>
      <c r="F787" s="104"/>
      <c r="G787" s="35"/>
      <c r="H787" s="104"/>
      <c r="I787" s="35"/>
      <c r="J787" s="74"/>
      <c r="K787" s="74"/>
      <c r="L787" s="74"/>
      <c r="M787" s="74"/>
      <c r="N787" s="74"/>
      <c r="O787" s="74"/>
      <c r="P787" s="74"/>
      <c r="Q787" s="74"/>
      <c r="R787" s="74"/>
      <c r="S787" s="74"/>
      <c r="T787" s="74"/>
      <c r="U787" s="74"/>
      <c r="V787" s="74"/>
      <c r="W787" s="74"/>
      <c r="X787" s="74"/>
      <c r="Y787" s="74"/>
      <c r="Z787" s="74"/>
      <c r="AA787" s="74"/>
      <c r="AB787" s="74"/>
    </row>
    <row r="788" spans="1:28" ht="12" customHeight="1">
      <c r="A788" s="260"/>
      <c r="B788" s="104"/>
      <c r="C788" s="104"/>
      <c r="D788" s="260"/>
      <c r="E788" s="104"/>
      <c r="F788" s="104"/>
      <c r="G788" s="35"/>
      <c r="H788" s="104"/>
      <c r="I788" s="35"/>
      <c r="J788" s="74"/>
      <c r="K788" s="74"/>
      <c r="L788" s="74"/>
      <c r="M788" s="74"/>
      <c r="N788" s="74"/>
      <c r="O788" s="74"/>
      <c r="P788" s="74"/>
      <c r="Q788" s="74"/>
      <c r="R788" s="74"/>
      <c r="S788" s="74"/>
      <c r="T788" s="74"/>
      <c r="U788" s="74"/>
      <c r="V788" s="74"/>
      <c r="W788" s="74"/>
      <c r="X788" s="74"/>
      <c r="Y788" s="74"/>
      <c r="Z788" s="74"/>
      <c r="AA788" s="74"/>
      <c r="AB788" s="74"/>
    </row>
    <row r="789" spans="1:28" ht="12" customHeight="1">
      <c r="A789" s="260"/>
      <c r="B789" s="104"/>
      <c r="C789" s="104"/>
      <c r="D789" s="260"/>
      <c r="E789" s="104"/>
      <c r="F789" s="104"/>
      <c r="G789" s="35"/>
      <c r="H789" s="104"/>
      <c r="I789" s="35"/>
      <c r="J789" s="74"/>
      <c r="K789" s="74"/>
      <c r="L789" s="74"/>
      <c r="M789" s="74"/>
      <c r="N789" s="74"/>
      <c r="O789" s="74"/>
      <c r="P789" s="74"/>
      <c r="Q789" s="74"/>
      <c r="R789" s="74"/>
      <c r="S789" s="74"/>
      <c r="T789" s="74"/>
      <c r="U789" s="74"/>
      <c r="V789" s="74"/>
      <c r="W789" s="74"/>
      <c r="X789" s="74"/>
      <c r="Y789" s="74"/>
      <c r="Z789" s="74"/>
      <c r="AA789" s="74"/>
      <c r="AB789" s="74"/>
    </row>
    <row r="790" spans="1:28" ht="12" customHeight="1">
      <c r="A790" s="260"/>
      <c r="B790" s="104"/>
      <c r="C790" s="104"/>
      <c r="D790" s="260"/>
      <c r="E790" s="104"/>
      <c r="F790" s="104"/>
      <c r="G790" s="35"/>
      <c r="H790" s="104"/>
      <c r="I790" s="35"/>
      <c r="J790" s="74"/>
      <c r="K790" s="74"/>
      <c r="L790" s="74"/>
      <c r="M790" s="74"/>
      <c r="N790" s="74"/>
      <c r="O790" s="74"/>
      <c r="P790" s="74"/>
      <c r="Q790" s="74"/>
      <c r="R790" s="74"/>
      <c r="S790" s="74"/>
      <c r="T790" s="74"/>
      <c r="U790" s="74"/>
      <c r="V790" s="74"/>
      <c r="W790" s="74"/>
      <c r="X790" s="74"/>
      <c r="Y790" s="74"/>
      <c r="Z790" s="74"/>
      <c r="AA790" s="74"/>
      <c r="AB790" s="74"/>
    </row>
    <row r="791" spans="1:28" ht="12" customHeight="1">
      <c r="A791" s="260"/>
      <c r="B791" s="104"/>
      <c r="C791" s="104"/>
      <c r="D791" s="260"/>
      <c r="E791" s="104"/>
      <c r="F791" s="104"/>
      <c r="G791" s="35"/>
      <c r="H791" s="104"/>
      <c r="I791" s="35"/>
      <c r="J791" s="74"/>
      <c r="K791" s="74"/>
      <c r="L791" s="74"/>
      <c r="M791" s="74"/>
      <c r="N791" s="74"/>
      <c r="O791" s="74"/>
      <c r="P791" s="74"/>
      <c r="Q791" s="74"/>
      <c r="R791" s="74"/>
      <c r="S791" s="74"/>
      <c r="T791" s="74"/>
      <c r="U791" s="74"/>
      <c r="V791" s="74"/>
      <c r="W791" s="74"/>
      <c r="X791" s="74"/>
      <c r="Y791" s="74"/>
      <c r="Z791" s="74"/>
      <c r="AA791" s="74"/>
      <c r="AB791" s="74"/>
    </row>
    <row r="792" spans="1:28" ht="12" customHeight="1">
      <c r="A792" s="260"/>
      <c r="B792" s="104"/>
      <c r="C792" s="104"/>
      <c r="D792" s="260"/>
      <c r="E792" s="104"/>
      <c r="F792" s="104"/>
      <c r="G792" s="35"/>
      <c r="H792" s="104"/>
      <c r="I792" s="35"/>
      <c r="J792" s="74"/>
      <c r="K792" s="74"/>
      <c r="L792" s="74"/>
      <c r="M792" s="74"/>
      <c r="N792" s="74"/>
      <c r="O792" s="74"/>
      <c r="P792" s="74"/>
      <c r="Q792" s="74"/>
      <c r="R792" s="74"/>
      <c r="S792" s="74"/>
      <c r="T792" s="74"/>
      <c r="U792" s="74"/>
      <c r="V792" s="74"/>
      <c r="W792" s="74"/>
      <c r="X792" s="74"/>
      <c r="Y792" s="74"/>
      <c r="Z792" s="74"/>
      <c r="AA792" s="74"/>
      <c r="AB792" s="74"/>
    </row>
    <row r="793" spans="1:28" ht="12" customHeight="1">
      <c r="A793" s="260"/>
      <c r="B793" s="104"/>
      <c r="C793" s="104"/>
      <c r="D793" s="260"/>
      <c r="E793" s="104"/>
      <c r="F793" s="104"/>
      <c r="G793" s="35"/>
      <c r="H793" s="104"/>
      <c r="I793" s="35"/>
      <c r="J793" s="74"/>
      <c r="K793" s="74"/>
      <c r="L793" s="74"/>
      <c r="M793" s="74"/>
      <c r="N793" s="74"/>
      <c r="O793" s="74"/>
      <c r="P793" s="74"/>
      <c r="Q793" s="74"/>
      <c r="R793" s="74"/>
      <c r="S793" s="74"/>
      <c r="T793" s="74"/>
      <c r="U793" s="74"/>
      <c r="V793" s="74"/>
      <c r="W793" s="74"/>
      <c r="X793" s="74"/>
      <c r="Y793" s="74"/>
      <c r="Z793" s="74"/>
      <c r="AA793" s="74"/>
      <c r="AB793" s="74"/>
    </row>
    <row r="794" spans="1:28" ht="12" customHeight="1">
      <c r="A794" s="260"/>
      <c r="B794" s="104"/>
      <c r="C794" s="104"/>
      <c r="D794" s="260"/>
      <c r="E794" s="104"/>
      <c r="F794" s="104"/>
      <c r="G794" s="35"/>
      <c r="H794" s="104"/>
      <c r="I794" s="35"/>
      <c r="J794" s="74"/>
      <c r="K794" s="74"/>
      <c r="L794" s="74"/>
      <c r="M794" s="74"/>
      <c r="N794" s="74"/>
      <c r="O794" s="74"/>
      <c r="P794" s="74"/>
      <c r="Q794" s="74"/>
      <c r="R794" s="74"/>
      <c r="S794" s="74"/>
      <c r="T794" s="74"/>
      <c r="U794" s="74"/>
      <c r="V794" s="74"/>
      <c r="W794" s="74"/>
      <c r="X794" s="74"/>
      <c r="Y794" s="74"/>
      <c r="Z794" s="74"/>
      <c r="AA794" s="74"/>
      <c r="AB794" s="74"/>
    </row>
    <row r="795" spans="1:28" ht="12" customHeight="1">
      <c r="A795" s="260"/>
      <c r="B795" s="104"/>
      <c r="C795" s="104"/>
      <c r="D795" s="260"/>
      <c r="E795" s="104"/>
      <c r="F795" s="104"/>
      <c r="G795" s="35"/>
      <c r="H795" s="104"/>
      <c r="I795" s="35"/>
      <c r="J795" s="74"/>
      <c r="K795" s="74"/>
      <c r="L795" s="74"/>
      <c r="M795" s="74"/>
      <c r="N795" s="74"/>
      <c r="O795" s="74"/>
      <c r="P795" s="74"/>
      <c r="Q795" s="74"/>
      <c r="R795" s="74"/>
      <c r="S795" s="74"/>
      <c r="T795" s="74"/>
      <c r="U795" s="74"/>
      <c r="V795" s="74"/>
      <c r="W795" s="74"/>
      <c r="X795" s="74"/>
      <c r="Y795" s="74"/>
      <c r="Z795" s="74"/>
      <c r="AA795" s="74"/>
      <c r="AB795" s="74"/>
    </row>
    <row r="796" spans="1:28" ht="12" customHeight="1">
      <c r="A796" s="260"/>
      <c r="B796" s="104"/>
      <c r="C796" s="104"/>
      <c r="D796" s="260"/>
      <c r="E796" s="104"/>
      <c r="F796" s="104"/>
      <c r="G796" s="35"/>
      <c r="H796" s="104"/>
      <c r="I796" s="35"/>
      <c r="J796" s="74"/>
      <c r="K796" s="74"/>
      <c r="L796" s="74"/>
      <c r="M796" s="74"/>
      <c r="N796" s="74"/>
      <c r="O796" s="74"/>
      <c r="P796" s="74"/>
      <c r="Q796" s="74"/>
      <c r="R796" s="74"/>
      <c r="S796" s="74"/>
      <c r="T796" s="74"/>
      <c r="U796" s="74"/>
      <c r="V796" s="74"/>
      <c r="W796" s="74"/>
      <c r="X796" s="74"/>
      <c r="Y796" s="74"/>
      <c r="Z796" s="74"/>
      <c r="AA796" s="74"/>
      <c r="AB796" s="74"/>
    </row>
    <row r="797" spans="1:28" ht="12" customHeight="1">
      <c r="A797" s="260"/>
      <c r="B797" s="104"/>
      <c r="C797" s="104"/>
      <c r="D797" s="260"/>
      <c r="E797" s="104"/>
      <c r="F797" s="104"/>
      <c r="G797" s="35"/>
      <c r="H797" s="104"/>
      <c r="I797" s="35"/>
      <c r="J797" s="74"/>
      <c r="K797" s="74"/>
      <c r="L797" s="74"/>
      <c r="M797" s="74"/>
      <c r="N797" s="74"/>
      <c r="O797" s="74"/>
      <c r="P797" s="74"/>
      <c r="Q797" s="74"/>
      <c r="R797" s="74"/>
      <c r="S797" s="74"/>
      <c r="T797" s="74"/>
      <c r="U797" s="74"/>
      <c r="V797" s="74"/>
      <c r="W797" s="74"/>
      <c r="X797" s="74"/>
      <c r="Y797" s="74"/>
      <c r="Z797" s="74"/>
      <c r="AA797" s="74"/>
      <c r="AB797" s="74"/>
    </row>
    <row r="798" spans="1:28" ht="12" customHeight="1">
      <c r="A798" s="260"/>
      <c r="B798" s="104"/>
      <c r="C798" s="104"/>
      <c r="D798" s="260"/>
      <c r="E798" s="104"/>
      <c r="F798" s="104"/>
      <c r="G798" s="35"/>
      <c r="H798" s="104"/>
      <c r="I798" s="35"/>
      <c r="J798" s="74"/>
      <c r="K798" s="74"/>
      <c r="L798" s="74"/>
      <c r="M798" s="74"/>
      <c r="N798" s="74"/>
      <c r="O798" s="74"/>
      <c r="P798" s="74"/>
      <c r="Q798" s="74"/>
      <c r="R798" s="74"/>
      <c r="S798" s="74"/>
      <c r="T798" s="74"/>
      <c r="U798" s="74"/>
      <c r="V798" s="74"/>
      <c r="W798" s="74"/>
      <c r="X798" s="74"/>
      <c r="Y798" s="74"/>
      <c r="Z798" s="74"/>
      <c r="AA798" s="74"/>
      <c r="AB798" s="74"/>
    </row>
    <row r="799" spans="1:28" ht="12" customHeight="1">
      <c r="A799" s="260"/>
      <c r="B799" s="104"/>
      <c r="C799" s="104"/>
      <c r="D799" s="260"/>
      <c r="E799" s="104"/>
      <c r="F799" s="104"/>
      <c r="G799" s="35"/>
      <c r="H799" s="104"/>
      <c r="I799" s="35"/>
      <c r="J799" s="74"/>
      <c r="K799" s="74"/>
      <c r="L799" s="74"/>
      <c r="M799" s="74"/>
      <c r="N799" s="74"/>
      <c r="O799" s="74"/>
      <c r="P799" s="74"/>
      <c r="Q799" s="74"/>
      <c r="R799" s="74"/>
      <c r="S799" s="74"/>
      <c r="T799" s="74"/>
      <c r="U799" s="74"/>
      <c r="V799" s="74"/>
      <c r="W799" s="74"/>
      <c r="X799" s="74"/>
      <c r="Y799" s="74"/>
      <c r="Z799" s="74"/>
      <c r="AA799" s="74"/>
      <c r="AB799" s="74"/>
    </row>
    <row r="800" spans="1:28" ht="12" customHeight="1">
      <c r="A800" s="260"/>
      <c r="B800" s="104"/>
      <c r="C800" s="104"/>
      <c r="D800" s="260"/>
      <c r="E800" s="104"/>
      <c r="F800" s="104"/>
      <c r="G800" s="35"/>
      <c r="H800" s="104"/>
      <c r="I800" s="35"/>
      <c r="J800" s="74"/>
      <c r="K800" s="74"/>
      <c r="L800" s="74"/>
      <c r="M800" s="74"/>
      <c r="N800" s="74"/>
      <c r="O800" s="74"/>
      <c r="P800" s="74"/>
      <c r="Q800" s="74"/>
      <c r="R800" s="74"/>
      <c r="S800" s="74"/>
      <c r="T800" s="74"/>
      <c r="U800" s="74"/>
      <c r="V800" s="74"/>
      <c r="W800" s="74"/>
      <c r="X800" s="74"/>
      <c r="Y800" s="74"/>
      <c r="Z800" s="74"/>
      <c r="AA800" s="74"/>
      <c r="AB800" s="74"/>
    </row>
    <row r="801" spans="1:28" ht="12" customHeight="1">
      <c r="A801" s="260"/>
      <c r="B801" s="104"/>
      <c r="C801" s="104"/>
      <c r="D801" s="260"/>
      <c r="E801" s="104"/>
      <c r="F801" s="104"/>
      <c r="G801" s="35"/>
      <c r="H801" s="104"/>
      <c r="I801" s="35"/>
      <c r="J801" s="74"/>
      <c r="K801" s="74"/>
      <c r="L801" s="74"/>
      <c r="M801" s="74"/>
      <c r="N801" s="74"/>
      <c r="O801" s="74"/>
      <c r="P801" s="74"/>
      <c r="Q801" s="74"/>
      <c r="R801" s="74"/>
      <c r="S801" s="74"/>
      <c r="T801" s="74"/>
      <c r="U801" s="74"/>
      <c r="V801" s="74"/>
      <c r="W801" s="74"/>
      <c r="X801" s="74"/>
      <c r="Y801" s="74"/>
      <c r="Z801" s="74"/>
      <c r="AA801" s="74"/>
      <c r="AB801" s="74"/>
    </row>
    <row r="802" spans="1:28" ht="12" customHeight="1">
      <c r="A802" s="260"/>
      <c r="B802" s="104"/>
      <c r="C802" s="104"/>
      <c r="D802" s="260"/>
      <c r="E802" s="104"/>
      <c r="F802" s="104"/>
      <c r="G802" s="35"/>
      <c r="H802" s="104"/>
      <c r="I802" s="35"/>
      <c r="J802" s="74"/>
      <c r="K802" s="74"/>
      <c r="L802" s="74"/>
      <c r="M802" s="74"/>
      <c r="N802" s="74"/>
      <c r="O802" s="74"/>
      <c r="P802" s="74"/>
      <c r="Q802" s="74"/>
      <c r="R802" s="74"/>
      <c r="S802" s="74"/>
      <c r="T802" s="74"/>
      <c r="U802" s="74"/>
      <c r="V802" s="74"/>
      <c r="W802" s="74"/>
      <c r="X802" s="74"/>
      <c r="Y802" s="74"/>
      <c r="Z802" s="74"/>
      <c r="AA802" s="74"/>
      <c r="AB802" s="74"/>
    </row>
    <row r="803" spans="1:28" ht="12" customHeight="1">
      <c r="A803" s="260"/>
      <c r="B803" s="104"/>
      <c r="C803" s="104"/>
      <c r="D803" s="260"/>
      <c r="E803" s="104"/>
      <c r="F803" s="104"/>
      <c r="G803" s="35"/>
      <c r="H803" s="104"/>
      <c r="I803" s="35"/>
      <c r="J803" s="74"/>
      <c r="K803" s="74"/>
      <c r="L803" s="74"/>
      <c r="M803" s="74"/>
      <c r="N803" s="74"/>
      <c r="O803" s="74"/>
      <c r="P803" s="74"/>
      <c r="Q803" s="74"/>
      <c r="R803" s="74"/>
      <c r="S803" s="74"/>
      <c r="T803" s="74"/>
      <c r="U803" s="74"/>
      <c r="V803" s="74"/>
      <c r="W803" s="74"/>
      <c r="X803" s="74"/>
      <c r="Y803" s="74"/>
      <c r="Z803" s="74"/>
      <c r="AA803" s="74"/>
      <c r="AB803" s="74"/>
    </row>
    <row r="804" spans="1:28" ht="12" customHeight="1">
      <c r="A804" s="260"/>
      <c r="B804" s="104"/>
      <c r="C804" s="104"/>
      <c r="D804" s="260"/>
      <c r="E804" s="104"/>
      <c r="F804" s="104"/>
      <c r="G804" s="35"/>
      <c r="H804" s="104"/>
      <c r="I804" s="35"/>
      <c r="J804" s="74"/>
      <c r="K804" s="74"/>
      <c r="L804" s="74"/>
      <c r="M804" s="74"/>
      <c r="N804" s="74"/>
      <c r="O804" s="74"/>
      <c r="P804" s="74"/>
      <c r="Q804" s="74"/>
      <c r="R804" s="74"/>
      <c r="S804" s="74"/>
      <c r="T804" s="74"/>
      <c r="U804" s="74"/>
      <c r="V804" s="74"/>
      <c r="W804" s="74"/>
      <c r="X804" s="74"/>
      <c r="Y804" s="74"/>
      <c r="Z804" s="74"/>
      <c r="AA804" s="74"/>
      <c r="AB804" s="74"/>
    </row>
    <row r="805" spans="1:28" ht="12" customHeight="1">
      <c r="A805" s="260"/>
      <c r="B805" s="104"/>
      <c r="C805" s="104"/>
      <c r="D805" s="260"/>
      <c r="E805" s="104"/>
      <c r="F805" s="104"/>
      <c r="G805" s="35"/>
      <c r="H805" s="104"/>
      <c r="I805" s="35"/>
      <c r="J805" s="74"/>
      <c r="K805" s="74"/>
      <c r="L805" s="74"/>
      <c r="M805" s="74"/>
      <c r="N805" s="74"/>
      <c r="O805" s="74"/>
      <c r="P805" s="74"/>
      <c r="Q805" s="74"/>
      <c r="R805" s="74"/>
      <c r="S805" s="74"/>
      <c r="T805" s="74"/>
      <c r="U805" s="74"/>
      <c r="V805" s="74"/>
      <c r="W805" s="74"/>
      <c r="X805" s="74"/>
      <c r="Y805" s="74"/>
      <c r="Z805" s="74"/>
      <c r="AA805" s="74"/>
      <c r="AB805" s="74"/>
    </row>
    <row r="806" spans="1:28" ht="12" customHeight="1">
      <c r="A806" s="260"/>
      <c r="B806" s="104"/>
      <c r="C806" s="104"/>
      <c r="D806" s="260"/>
      <c r="E806" s="104"/>
      <c r="F806" s="104"/>
      <c r="G806" s="35"/>
      <c r="H806" s="104"/>
      <c r="I806" s="35"/>
      <c r="J806" s="74"/>
      <c r="K806" s="74"/>
      <c r="L806" s="74"/>
      <c r="M806" s="74"/>
      <c r="N806" s="74"/>
      <c r="O806" s="74"/>
      <c r="P806" s="74"/>
      <c r="Q806" s="74"/>
      <c r="R806" s="74"/>
      <c r="S806" s="74"/>
      <c r="T806" s="74"/>
      <c r="U806" s="74"/>
      <c r="V806" s="74"/>
      <c r="W806" s="74"/>
      <c r="X806" s="74"/>
      <c r="Y806" s="74"/>
      <c r="Z806" s="74"/>
      <c r="AA806" s="74"/>
      <c r="AB806" s="74"/>
    </row>
    <row r="807" spans="1:28" ht="12" customHeight="1">
      <c r="A807" s="260"/>
      <c r="B807" s="104"/>
      <c r="C807" s="104"/>
      <c r="D807" s="260"/>
      <c r="E807" s="104"/>
      <c r="F807" s="104"/>
      <c r="G807" s="35"/>
      <c r="H807" s="104"/>
      <c r="I807" s="35"/>
      <c r="J807" s="74"/>
      <c r="K807" s="74"/>
      <c r="L807" s="74"/>
      <c r="M807" s="74"/>
      <c r="N807" s="74"/>
      <c r="O807" s="74"/>
      <c r="P807" s="74"/>
      <c r="Q807" s="74"/>
      <c r="R807" s="74"/>
      <c r="S807" s="74"/>
      <c r="T807" s="74"/>
      <c r="U807" s="74"/>
      <c r="V807" s="74"/>
      <c r="W807" s="74"/>
      <c r="X807" s="74"/>
      <c r="Y807" s="74"/>
      <c r="Z807" s="74"/>
      <c r="AA807" s="74"/>
      <c r="AB807" s="74"/>
    </row>
    <row r="808" spans="1:28" ht="12" customHeight="1">
      <c r="A808" s="260"/>
      <c r="B808" s="104"/>
      <c r="C808" s="104"/>
      <c r="D808" s="260"/>
      <c r="E808" s="104"/>
      <c r="F808" s="104"/>
      <c r="G808" s="35"/>
      <c r="H808" s="104"/>
      <c r="I808" s="35"/>
      <c r="J808" s="74"/>
      <c r="K808" s="74"/>
      <c r="L808" s="74"/>
      <c r="M808" s="74"/>
      <c r="N808" s="74"/>
      <c r="O808" s="74"/>
      <c r="P808" s="74"/>
      <c r="Q808" s="74"/>
      <c r="R808" s="74"/>
      <c r="S808" s="74"/>
      <c r="T808" s="74"/>
      <c r="U808" s="74"/>
      <c r="V808" s="74"/>
      <c r="W808" s="74"/>
      <c r="X808" s="74"/>
      <c r="Y808" s="74"/>
      <c r="Z808" s="74"/>
      <c r="AA808" s="74"/>
      <c r="AB808" s="74"/>
    </row>
    <row r="809" spans="1:28" ht="12" customHeight="1">
      <c r="A809" s="260"/>
      <c r="B809" s="104"/>
      <c r="C809" s="104"/>
      <c r="D809" s="260"/>
      <c r="E809" s="104"/>
      <c r="F809" s="104"/>
      <c r="G809" s="35"/>
      <c r="H809" s="104"/>
      <c r="I809" s="35"/>
      <c r="J809" s="74"/>
      <c r="K809" s="74"/>
      <c r="L809" s="74"/>
      <c r="M809" s="74"/>
      <c r="N809" s="74"/>
      <c r="O809" s="74"/>
      <c r="P809" s="74"/>
      <c r="Q809" s="74"/>
      <c r="R809" s="74"/>
      <c r="S809" s="74"/>
      <c r="T809" s="74"/>
      <c r="U809" s="74"/>
      <c r="V809" s="74"/>
      <c r="W809" s="74"/>
      <c r="X809" s="74"/>
      <c r="Y809" s="74"/>
      <c r="Z809" s="74"/>
      <c r="AA809" s="74"/>
      <c r="AB809" s="74"/>
    </row>
    <row r="810" spans="1:28" ht="12" customHeight="1">
      <c r="A810" s="260"/>
      <c r="B810" s="104"/>
      <c r="C810" s="104"/>
      <c r="D810" s="260"/>
      <c r="E810" s="104"/>
      <c r="F810" s="104"/>
      <c r="G810" s="35"/>
      <c r="H810" s="104"/>
      <c r="I810" s="35"/>
      <c r="J810" s="74"/>
      <c r="K810" s="74"/>
      <c r="L810" s="74"/>
      <c r="M810" s="74"/>
      <c r="N810" s="74"/>
      <c r="O810" s="74"/>
      <c r="P810" s="74"/>
      <c r="Q810" s="74"/>
      <c r="R810" s="74"/>
      <c r="S810" s="74"/>
      <c r="T810" s="74"/>
      <c r="U810" s="74"/>
      <c r="V810" s="74"/>
      <c r="W810" s="74"/>
      <c r="X810" s="74"/>
      <c r="Y810" s="74"/>
      <c r="Z810" s="74"/>
      <c r="AA810" s="74"/>
      <c r="AB810" s="74"/>
    </row>
    <row r="811" spans="1:28" ht="12" customHeight="1">
      <c r="A811" s="260"/>
      <c r="B811" s="104"/>
      <c r="C811" s="104"/>
      <c r="D811" s="260"/>
      <c r="E811" s="104"/>
      <c r="F811" s="104"/>
      <c r="G811" s="35"/>
      <c r="H811" s="104"/>
      <c r="I811" s="35"/>
      <c r="J811" s="74"/>
      <c r="K811" s="74"/>
      <c r="L811" s="74"/>
      <c r="M811" s="74"/>
      <c r="N811" s="74"/>
      <c r="O811" s="74"/>
      <c r="P811" s="74"/>
      <c r="Q811" s="74"/>
      <c r="R811" s="74"/>
      <c r="S811" s="74"/>
      <c r="T811" s="74"/>
      <c r="U811" s="74"/>
      <c r="V811" s="74"/>
      <c r="W811" s="74"/>
      <c r="X811" s="74"/>
      <c r="Y811" s="74"/>
      <c r="Z811" s="74"/>
      <c r="AA811" s="74"/>
      <c r="AB811" s="74"/>
    </row>
    <row r="812" spans="1:28" ht="12" customHeight="1">
      <c r="A812" s="260"/>
      <c r="B812" s="104"/>
      <c r="C812" s="104"/>
      <c r="D812" s="260"/>
      <c r="E812" s="104"/>
      <c r="F812" s="104"/>
      <c r="G812" s="35"/>
      <c r="H812" s="104"/>
      <c r="I812" s="35"/>
      <c r="J812" s="74"/>
      <c r="K812" s="74"/>
      <c r="L812" s="74"/>
      <c r="M812" s="74"/>
      <c r="N812" s="74"/>
      <c r="O812" s="74"/>
      <c r="P812" s="74"/>
      <c r="Q812" s="74"/>
      <c r="R812" s="74"/>
      <c r="S812" s="74"/>
      <c r="T812" s="74"/>
      <c r="U812" s="74"/>
      <c r="V812" s="74"/>
      <c r="W812" s="74"/>
      <c r="X812" s="74"/>
      <c r="Y812" s="74"/>
      <c r="Z812" s="74"/>
      <c r="AA812" s="74"/>
      <c r="AB812" s="74"/>
    </row>
    <row r="813" spans="1:28" ht="12" customHeight="1">
      <c r="A813" s="260"/>
      <c r="B813" s="104"/>
      <c r="C813" s="104"/>
      <c r="D813" s="260"/>
      <c r="E813" s="104"/>
      <c r="F813" s="104"/>
      <c r="G813" s="35"/>
      <c r="H813" s="104"/>
      <c r="I813" s="35"/>
      <c r="J813" s="74"/>
      <c r="K813" s="74"/>
      <c r="L813" s="74"/>
      <c r="M813" s="74"/>
      <c r="N813" s="74"/>
      <c r="O813" s="74"/>
      <c r="P813" s="74"/>
      <c r="Q813" s="74"/>
      <c r="R813" s="74"/>
      <c r="S813" s="74"/>
      <c r="T813" s="74"/>
      <c r="U813" s="74"/>
      <c r="V813" s="74"/>
      <c r="W813" s="74"/>
      <c r="X813" s="74"/>
      <c r="Y813" s="74"/>
      <c r="Z813" s="74"/>
      <c r="AA813" s="74"/>
      <c r="AB813" s="74"/>
    </row>
    <row r="814" spans="1:28" ht="12" customHeight="1">
      <c r="A814" s="260"/>
      <c r="B814" s="104"/>
      <c r="C814" s="104"/>
      <c r="D814" s="260"/>
      <c r="E814" s="104"/>
      <c r="F814" s="104"/>
      <c r="G814" s="35"/>
      <c r="H814" s="104"/>
      <c r="I814" s="35"/>
      <c r="J814" s="74"/>
      <c r="K814" s="74"/>
      <c r="L814" s="74"/>
      <c r="M814" s="74"/>
      <c r="N814" s="74"/>
      <c r="O814" s="74"/>
      <c r="P814" s="74"/>
      <c r="Q814" s="74"/>
      <c r="R814" s="74"/>
      <c r="S814" s="74"/>
      <c r="T814" s="74"/>
      <c r="U814" s="74"/>
      <c r="V814" s="74"/>
      <c r="W814" s="74"/>
      <c r="X814" s="74"/>
      <c r="Y814" s="74"/>
      <c r="Z814" s="74"/>
      <c r="AA814" s="74"/>
      <c r="AB814" s="74"/>
    </row>
    <row r="815" spans="1:28" ht="12" customHeight="1">
      <c r="A815" s="260"/>
      <c r="B815" s="104"/>
      <c r="C815" s="104"/>
      <c r="D815" s="260"/>
      <c r="E815" s="104"/>
      <c r="F815" s="104"/>
      <c r="G815" s="35"/>
      <c r="H815" s="104"/>
      <c r="I815" s="35"/>
      <c r="J815" s="74"/>
      <c r="K815" s="74"/>
      <c r="L815" s="74"/>
      <c r="M815" s="74"/>
      <c r="N815" s="74"/>
      <c r="O815" s="74"/>
      <c r="P815" s="74"/>
      <c r="Q815" s="74"/>
      <c r="R815" s="74"/>
      <c r="S815" s="74"/>
      <c r="T815" s="74"/>
      <c r="U815" s="74"/>
      <c r="V815" s="74"/>
      <c r="W815" s="74"/>
      <c r="X815" s="74"/>
      <c r="Y815" s="74"/>
      <c r="Z815" s="74"/>
      <c r="AA815" s="74"/>
      <c r="AB815" s="74"/>
    </row>
    <row r="816" spans="1:28" ht="12" customHeight="1">
      <c r="A816" s="260"/>
      <c r="B816" s="104"/>
      <c r="C816" s="104"/>
      <c r="D816" s="260"/>
      <c r="E816" s="104"/>
      <c r="F816" s="104"/>
      <c r="G816" s="35"/>
      <c r="H816" s="104"/>
      <c r="I816" s="35"/>
      <c r="J816" s="74"/>
      <c r="K816" s="74"/>
      <c r="L816" s="74"/>
      <c r="M816" s="74"/>
      <c r="N816" s="74"/>
      <c r="O816" s="74"/>
      <c r="P816" s="74"/>
      <c r="Q816" s="74"/>
      <c r="R816" s="74"/>
      <c r="S816" s="74"/>
      <c r="T816" s="74"/>
      <c r="U816" s="74"/>
      <c r="V816" s="74"/>
      <c r="W816" s="74"/>
      <c r="X816" s="74"/>
      <c r="Y816" s="74"/>
      <c r="Z816" s="74"/>
      <c r="AA816" s="74"/>
      <c r="AB816" s="74"/>
    </row>
    <row r="817" spans="1:28" ht="12" customHeight="1">
      <c r="A817" s="260"/>
      <c r="B817" s="104"/>
      <c r="C817" s="104"/>
      <c r="D817" s="260"/>
      <c r="E817" s="104"/>
      <c r="F817" s="104"/>
      <c r="G817" s="35"/>
      <c r="H817" s="104"/>
      <c r="I817" s="35"/>
      <c r="J817" s="74"/>
      <c r="K817" s="74"/>
      <c r="L817" s="74"/>
      <c r="M817" s="74"/>
      <c r="N817" s="74"/>
      <c r="O817" s="74"/>
      <c r="P817" s="74"/>
      <c r="Q817" s="74"/>
      <c r="R817" s="74"/>
      <c r="S817" s="74"/>
      <c r="T817" s="74"/>
      <c r="U817" s="74"/>
      <c r="V817" s="74"/>
      <c r="W817" s="74"/>
      <c r="X817" s="74"/>
      <c r="Y817" s="74"/>
      <c r="Z817" s="74"/>
      <c r="AA817" s="74"/>
      <c r="AB817" s="74"/>
    </row>
    <row r="818" spans="1:28" ht="12" customHeight="1">
      <c r="A818" s="260"/>
      <c r="B818" s="104"/>
      <c r="C818" s="104"/>
      <c r="D818" s="260"/>
      <c r="E818" s="104"/>
      <c r="F818" s="104"/>
      <c r="G818" s="35"/>
      <c r="H818" s="104"/>
      <c r="I818" s="35"/>
      <c r="J818" s="74"/>
      <c r="K818" s="74"/>
      <c r="L818" s="74"/>
      <c r="M818" s="74"/>
      <c r="N818" s="74"/>
      <c r="O818" s="74"/>
      <c r="P818" s="74"/>
      <c r="Q818" s="74"/>
      <c r="R818" s="74"/>
      <c r="S818" s="74"/>
      <c r="T818" s="74"/>
      <c r="U818" s="74"/>
      <c r="V818" s="74"/>
      <c r="W818" s="74"/>
      <c r="X818" s="74"/>
      <c r="Y818" s="74"/>
      <c r="Z818" s="74"/>
      <c r="AA818" s="74"/>
      <c r="AB818" s="74"/>
    </row>
    <row r="819" spans="1:28" ht="12" customHeight="1">
      <c r="A819" s="260"/>
      <c r="B819" s="104"/>
      <c r="C819" s="104"/>
      <c r="D819" s="260"/>
      <c r="E819" s="104"/>
      <c r="F819" s="104"/>
      <c r="G819" s="35"/>
      <c r="H819" s="104"/>
      <c r="I819" s="35"/>
      <c r="J819" s="74"/>
      <c r="K819" s="74"/>
      <c r="L819" s="74"/>
      <c r="M819" s="74"/>
      <c r="N819" s="74"/>
      <c r="O819" s="74"/>
      <c r="P819" s="74"/>
      <c r="Q819" s="74"/>
      <c r="R819" s="74"/>
      <c r="S819" s="74"/>
      <c r="T819" s="74"/>
      <c r="U819" s="74"/>
      <c r="V819" s="74"/>
      <c r="W819" s="74"/>
      <c r="X819" s="74"/>
      <c r="Y819" s="74"/>
      <c r="Z819" s="74"/>
      <c r="AA819" s="74"/>
      <c r="AB819" s="74"/>
    </row>
    <row r="820" spans="1:28" ht="12" customHeight="1">
      <c r="A820" s="260"/>
      <c r="B820" s="104"/>
      <c r="C820" s="104"/>
      <c r="D820" s="260"/>
      <c r="E820" s="104"/>
      <c r="F820" s="104"/>
      <c r="G820" s="35"/>
      <c r="H820" s="104"/>
      <c r="I820" s="35"/>
      <c r="J820" s="74"/>
      <c r="K820" s="74"/>
      <c r="L820" s="74"/>
      <c r="M820" s="74"/>
      <c r="N820" s="74"/>
      <c r="O820" s="74"/>
      <c r="P820" s="74"/>
      <c r="Q820" s="74"/>
      <c r="R820" s="74"/>
      <c r="S820" s="74"/>
      <c r="T820" s="74"/>
      <c r="U820" s="74"/>
      <c r="V820" s="74"/>
      <c r="W820" s="74"/>
      <c r="X820" s="74"/>
      <c r="Y820" s="74"/>
      <c r="Z820" s="74"/>
      <c r="AA820" s="74"/>
      <c r="AB820" s="74"/>
    </row>
    <row r="821" spans="1:28" ht="12" customHeight="1">
      <c r="A821" s="260"/>
      <c r="B821" s="104"/>
      <c r="C821" s="104"/>
      <c r="D821" s="260"/>
      <c r="E821" s="104"/>
      <c r="F821" s="104"/>
      <c r="G821" s="35"/>
      <c r="H821" s="104"/>
      <c r="I821" s="35"/>
      <c r="J821" s="74"/>
      <c r="K821" s="74"/>
      <c r="L821" s="74"/>
      <c r="M821" s="74"/>
      <c r="N821" s="74"/>
      <c r="O821" s="74"/>
      <c r="P821" s="74"/>
      <c r="Q821" s="74"/>
      <c r="R821" s="74"/>
      <c r="S821" s="74"/>
      <c r="T821" s="74"/>
      <c r="U821" s="74"/>
      <c r="V821" s="74"/>
      <c r="W821" s="74"/>
      <c r="X821" s="74"/>
      <c r="Y821" s="74"/>
      <c r="Z821" s="74"/>
      <c r="AA821" s="74"/>
      <c r="AB821" s="74"/>
    </row>
    <row r="822" spans="1:28" ht="12" customHeight="1">
      <c r="A822" s="260"/>
      <c r="B822" s="104"/>
      <c r="C822" s="104"/>
      <c r="D822" s="260"/>
      <c r="E822" s="104"/>
      <c r="F822" s="104"/>
      <c r="G822" s="35"/>
      <c r="H822" s="104"/>
      <c r="I822" s="35"/>
      <c r="J822" s="74"/>
      <c r="K822" s="74"/>
      <c r="L822" s="74"/>
      <c r="M822" s="74"/>
      <c r="N822" s="74"/>
      <c r="O822" s="74"/>
      <c r="P822" s="74"/>
      <c r="Q822" s="74"/>
      <c r="R822" s="74"/>
      <c r="S822" s="74"/>
      <c r="T822" s="74"/>
      <c r="U822" s="74"/>
      <c r="V822" s="74"/>
      <c r="W822" s="74"/>
      <c r="X822" s="74"/>
      <c r="Y822" s="74"/>
      <c r="Z822" s="74"/>
      <c r="AA822" s="74"/>
      <c r="AB822" s="74"/>
    </row>
    <row r="823" spans="1:28" ht="12" customHeight="1">
      <c r="A823" s="260"/>
      <c r="B823" s="104"/>
      <c r="C823" s="104"/>
      <c r="D823" s="260"/>
      <c r="E823" s="104"/>
      <c r="F823" s="104"/>
      <c r="G823" s="35"/>
      <c r="H823" s="104"/>
      <c r="I823" s="35"/>
      <c r="J823" s="74"/>
      <c r="K823" s="74"/>
      <c r="L823" s="74"/>
      <c r="M823" s="74"/>
      <c r="N823" s="74"/>
      <c r="O823" s="74"/>
      <c r="P823" s="74"/>
      <c r="Q823" s="74"/>
      <c r="R823" s="74"/>
      <c r="S823" s="74"/>
      <c r="T823" s="74"/>
      <c r="U823" s="74"/>
      <c r="V823" s="74"/>
      <c r="W823" s="74"/>
      <c r="X823" s="74"/>
      <c r="Y823" s="74"/>
      <c r="Z823" s="74"/>
      <c r="AA823" s="74"/>
      <c r="AB823" s="74"/>
    </row>
    <row r="824" spans="1:28" ht="12" customHeight="1">
      <c r="A824" s="260"/>
      <c r="B824" s="104"/>
      <c r="C824" s="104"/>
      <c r="D824" s="260"/>
      <c r="E824" s="104"/>
      <c r="F824" s="104"/>
      <c r="G824" s="35"/>
      <c r="H824" s="104"/>
      <c r="I824" s="35"/>
      <c r="J824" s="74"/>
      <c r="K824" s="74"/>
      <c r="L824" s="74"/>
      <c r="M824" s="74"/>
      <c r="N824" s="74"/>
      <c r="O824" s="74"/>
      <c r="P824" s="74"/>
      <c r="Q824" s="74"/>
      <c r="R824" s="74"/>
      <c r="S824" s="74"/>
      <c r="T824" s="74"/>
      <c r="U824" s="74"/>
      <c r="V824" s="74"/>
      <c r="W824" s="74"/>
      <c r="X824" s="74"/>
      <c r="Y824" s="74"/>
      <c r="Z824" s="74"/>
      <c r="AA824" s="74"/>
      <c r="AB824" s="74"/>
    </row>
    <row r="825" spans="1:28" ht="12" customHeight="1">
      <c r="A825" s="260"/>
      <c r="B825" s="104"/>
      <c r="C825" s="104"/>
      <c r="D825" s="260"/>
      <c r="E825" s="104"/>
      <c r="F825" s="104"/>
      <c r="G825" s="35"/>
      <c r="H825" s="104"/>
      <c r="I825" s="35"/>
      <c r="J825" s="74"/>
      <c r="K825" s="74"/>
      <c r="L825" s="74"/>
      <c r="M825" s="74"/>
      <c r="N825" s="74"/>
      <c r="O825" s="74"/>
      <c r="P825" s="74"/>
      <c r="Q825" s="74"/>
      <c r="R825" s="74"/>
      <c r="S825" s="74"/>
      <c r="T825" s="74"/>
      <c r="U825" s="74"/>
      <c r="V825" s="74"/>
      <c r="W825" s="74"/>
      <c r="X825" s="74"/>
      <c r="Y825" s="74"/>
      <c r="Z825" s="74"/>
      <c r="AA825" s="74"/>
      <c r="AB825" s="74"/>
    </row>
    <row r="826" spans="1:28" ht="12" customHeight="1">
      <c r="A826" s="260"/>
      <c r="B826" s="104"/>
      <c r="C826" s="104"/>
      <c r="D826" s="260"/>
      <c r="E826" s="104"/>
      <c r="F826" s="104"/>
      <c r="G826" s="35"/>
      <c r="H826" s="104"/>
      <c r="I826" s="35"/>
      <c r="J826" s="74"/>
      <c r="K826" s="74"/>
      <c r="L826" s="74"/>
      <c r="M826" s="74"/>
      <c r="N826" s="74"/>
      <c r="O826" s="74"/>
      <c r="P826" s="74"/>
      <c r="Q826" s="74"/>
      <c r="R826" s="74"/>
      <c r="S826" s="74"/>
      <c r="T826" s="74"/>
      <c r="U826" s="74"/>
      <c r="V826" s="74"/>
      <c r="W826" s="74"/>
      <c r="X826" s="74"/>
      <c r="Y826" s="74"/>
      <c r="Z826" s="74"/>
      <c r="AA826" s="74"/>
      <c r="AB826" s="74"/>
    </row>
    <row r="827" spans="1:28" ht="12" customHeight="1">
      <c r="A827" s="260"/>
      <c r="B827" s="104"/>
      <c r="C827" s="104"/>
      <c r="D827" s="260"/>
      <c r="E827" s="104"/>
      <c r="F827" s="104"/>
      <c r="G827" s="35"/>
      <c r="H827" s="104"/>
      <c r="I827" s="35"/>
      <c r="J827" s="74"/>
      <c r="K827" s="74"/>
      <c r="L827" s="74"/>
      <c r="M827" s="74"/>
      <c r="N827" s="74"/>
      <c r="O827" s="74"/>
      <c r="P827" s="74"/>
      <c r="Q827" s="74"/>
      <c r="R827" s="74"/>
      <c r="S827" s="74"/>
      <c r="T827" s="74"/>
      <c r="U827" s="74"/>
      <c r="V827" s="74"/>
      <c r="W827" s="74"/>
      <c r="X827" s="74"/>
      <c r="Y827" s="74"/>
      <c r="Z827" s="74"/>
      <c r="AA827" s="74"/>
      <c r="AB827" s="74"/>
    </row>
    <row r="828" spans="1:28" ht="12" customHeight="1">
      <c r="A828" s="260"/>
      <c r="B828" s="104"/>
      <c r="C828" s="104"/>
      <c r="D828" s="260"/>
      <c r="E828" s="104"/>
      <c r="F828" s="104"/>
      <c r="G828" s="35"/>
      <c r="H828" s="104"/>
      <c r="I828" s="35"/>
      <c r="J828" s="74"/>
      <c r="K828" s="74"/>
      <c r="L828" s="74"/>
      <c r="M828" s="74"/>
      <c r="N828" s="74"/>
      <c r="O828" s="74"/>
      <c r="P828" s="74"/>
      <c r="Q828" s="74"/>
      <c r="R828" s="74"/>
      <c r="S828" s="74"/>
      <c r="T828" s="74"/>
      <c r="U828" s="74"/>
      <c r="V828" s="74"/>
      <c r="W828" s="74"/>
      <c r="X828" s="74"/>
      <c r="Y828" s="74"/>
      <c r="Z828" s="74"/>
      <c r="AA828" s="74"/>
      <c r="AB828" s="74"/>
    </row>
    <row r="829" spans="1:28" ht="12" customHeight="1">
      <c r="A829" s="260"/>
      <c r="B829" s="104"/>
      <c r="C829" s="104"/>
      <c r="D829" s="260"/>
      <c r="E829" s="104"/>
      <c r="F829" s="104"/>
      <c r="G829" s="35"/>
      <c r="H829" s="104"/>
      <c r="I829" s="35"/>
      <c r="J829" s="74"/>
      <c r="K829" s="74"/>
      <c r="L829" s="74"/>
      <c r="M829" s="74"/>
      <c r="N829" s="74"/>
      <c r="O829" s="74"/>
      <c r="P829" s="74"/>
      <c r="Q829" s="74"/>
      <c r="R829" s="74"/>
      <c r="S829" s="74"/>
      <c r="T829" s="74"/>
      <c r="U829" s="74"/>
      <c r="V829" s="74"/>
      <c r="W829" s="74"/>
      <c r="X829" s="74"/>
      <c r="Y829" s="74"/>
      <c r="Z829" s="74"/>
      <c r="AA829" s="74"/>
      <c r="AB829" s="74"/>
    </row>
    <row r="830" spans="1:28" ht="12" customHeight="1">
      <c r="A830" s="260"/>
      <c r="B830" s="104"/>
      <c r="C830" s="104"/>
      <c r="D830" s="260"/>
      <c r="E830" s="104"/>
      <c r="F830" s="104"/>
      <c r="G830" s="35"/>
      <c r="H830" s="104"/>
      <c r="I830" s="35"/>
      <c r="J830" s="74"/>
      <c r="K830" s="74"/>
      <c r="L830" s="74"/>
      <c r="M830" s="74"/>
      <c r="N830" s="74"/>
      <c r="O830" s="74"/>
      <c r="P830" s="74"/>
      <c r="Q830" s="74"/>
      <c r="R830" s="74"/>
      <c r="S830" s="74"/>
      <c r="T830" s="74"/>
      <c r="U830" s="74"/>
      <c r="V830" s="74"/>
      <c r="W830" s="74"/>
      <c r="X830" s="74"/>
      <c r="Y830" s="74"/>
      <c r="Z830" s="74"/>
      <c r="AA830" s="74"/>
      <c r="AB830" s="74"/>
    </row>
    <row r="831" spans="1:28" ht="12" customHeight="1">
      <c r="A831" s="260"/>
      <c r="B831" s="104"/>
      <c r="C831" s="104"/>
      <c r="D831" s="260"/>
      <c r="E831" s="104"/>
      <c r="F831" s="104"/>
      <c r="G831" s="35"/>
      <c r="H831" s="104"/>
      <c r="I831" s="35"/>
      <c r="J831" s="74"/>
      <c r="K831" s="74"/>
      <c r="L831" s="74"/>
      <c r="M831" s="74"/>
      <c r="N831" s="74"/>
      <c r="O831" s="74"/>
      <c r="P831" s="74"/>
      <c r="Q831" s="74"/>
      <c r="R831" s="74"/>
      <c r="S831" s="74"/>
      <c r="T831" s="74"/>
      <c r="U831" s="74"/>
      <c r="V831" s="74"/>
      <c r="W831" s="74"/>
      <c r="X831" s="74"/>
      <c r="Y831" s="74"/>
      <c r="Z831" s="74"/>
      <c r="AA831" s="74"/>
      <c r="AB831" s="74"/>
    </row>
    <row r="832" spans="1:28" ht="12" customHeight="1">
      <c r="A832" s="260"/>
      <c r="B832" s="104"/>
      <c r="C832" s="104"/>
      <c r="D832" s="260"/>
      <c r="E832" s="104"/>
      <c r="F832" s="104"/>
      <c r="G832" s="35"/>
      <c r="H832" s="104"/>
      <c r="I832" s="35"/>
      <c r="J832" s="74"/>
      <c r="K832" s="74"/>
      <c r="L832" s="74"/>
      <c r="M832" s="74"/>
      <c r="N832" s="74"/>
      <c r="O832" s="74"/>
      <c r="P832" s="74"/>
      <c r="Q832" s="74"/>
      <c r="R832" s="74"/>
      <c r="S832" s="74"/>
      <c r="T832" s="74"/>
      <c r="U832" s="74"/>
      <c r="V832" s="74"/>
      <c r="W832" s="74"/>
      <c r="X832" s="74"/>
      <c r="Y832" s="74"/>
      <c r="Z832" s="74"/>
      <c r="AA832" s="74"/>
      <c r="AB832" s="74"/>
    </row>
    <row r="833" spans="1:28" ht="12" customHeight="1">
      <c r="A833" s="260"/>
      <c r="B833" s="104"/>
      <c r="C833" s="104"/>
      <c r="D833" s="260"/>
      <c r="E833" s="104"/>
      <c r="F833" s="104"/>
      <c r="G833" s="35"/>
      <c r="H833" s="104"/>
      <c r="I833" s="35"/>
      <c r="J833" s="74"/>
      <c r="K833" s="74"/>
      <c r="L833" s="74"/>
      <c r="M833" s="74"/>
      <c r="N833" s="74"/>
      <c r="O833" s="74"/>
      <c r="P833" s="74"/>
      <c r="Q833" s="74"/>
      <c r="R833" s="74"/>
      <c r="S833" s="74"/>
      <c r="T833" s="74"/>
      <c r="U833" s="74"/>
      <c r="V833" s="74"/>
      <c r="W833" s="74"/>
      <c r="X833" s="74"/>
      <c r="Y833" s="74"/>
      <c r="Z833" s="74"/>
      <c r="AA833" s="74"/>
      <c r="AB833" s="74"/>
    </row>
    <row r="834" spans="1:28" ht="12" customHeight="1">
      <c r="A834" s="260"/>
      <c r="B834" s="104"/>
      <c r="C834" s="104"/>
      <c r="D834" s="260"/>
      <c r="E834" s="104"/>
      <c r="F834" s="104"/>
      <c r="G834" s="35"/>
      <c r="H834" s="104"/>
      <c r="I834" s="35"/>
      <c r="J834" s="74"/>
      <c r="K834" s="74"/>
      <c r="L834" s="74"/>
      <c r="M834" s="74"/>
      <c r="N834" s="74"/>
      <c r="O834" s="74"/>
      <c r="P834" s="74"/>
      <c r="Q834" s="74"/>
      <c r="R834" s="74"/>
      <c r="S834" s="74"/>
      <c r="T834" s="74"/>
      <c r="U834" s="74"/>
      <c r="V834" s="74"/>
      <c r="W834" s="74"/>
      <c r="X834" s="74"/>
      <c r="Y834" s="74"/>
      <c r="Z834" s="74"/>
      <c r="AA834" s="74"/>
      <c r="AB834" s="74"/>
    </row>
    <row r="835" spans="1:28" ht="12" customHeight="1">
      <c r="A835" s="260"/>
      <c r="B835" s="104"/>
      <c r="C835" s="104"/>
      <c r="D835" s="260"/>
      <c r="E835" s="104"/>
      <c r="F835" s="104"/>
      <c r="G835" s="35"/>
      <c r="H835" s="104"/>
      <c r="I835" s="35"/>
      <c r="J835" s="74"/>
      <c r="K835" s="74"/>
      <c r="L835" s="74"/>
      <c r="M835" s="74"/>
      <c r="N835" s="74"/>
      <c r="O835" s="74"/>
      <c r="P835" s="74"/>
      <c r="Q835" s="74"/>
      <c r="R835" s="74"/>
      <c r="S835" s="74"/>
      <c r="T835" s="74"/>
      <c r="U835" s="74"/>
      <c r="V835" s="74"/>
      <c r="W835" s="74"/>
      <c r="X835" s="74"/>
      <c r="Y835" s="74"/>
      <c r="Z835" s="74"/>
      <c r="AA835" s="74"/>
      <c r="AB835" s="74"/>
    </row>
    <row r="836" spans="1:28" ht="12" customHeight="1">
      <c r="A836" s="260"/>
      <c r="B836" s="104"/>
      <c r="C836" s="104"/>
      <c r="D836" s="260"/>
      <c r="E836" s="104"/>
      <c r="F836" s="104"/>
      <c r="G836" s="35"/>
      <c r="H836" s="104"/>
      <c r="I836" s="35"/>
      <c r="J836" s="74"/>
      <c r="K836" s="74"/>
      <c r="L836" s="74"/>
      <c r="M836" s="74"/>
      <c r="N836" s="74"/>
      <c r="O836" s="74"/>
      <c r="P836" s="74"/>
      <c r="Q836" s="74"/>
      <c r="R836" s="74"/>
      <c r="S836" s="74"/>
      <c r="T836" s="74"/>
      <c r="U836" s="74"/>
      <c r="V836" s="74"/>
      <c r="W836" s="74"/>
      <c r="X836" s="74"/>
      <c r="Y836" s="74"/>
      <c r="Z836" s="74"/>
      <c r="AA836" s="74"/>
      <c r="AB836" s="74"/>
    </row>
    <row r="837" spans="1:28" ht="12" customHeight="1">
      <c r="A837" s="260"/>
      <c r="B837" s="104"/>
      <c r="C837" s="104"/>
      <c r="D837" s="260"/>
      <c r="E837" s="104"/>
      <c r="F837" s="104"/>
      <c r="G837" s="35"/>
      <c r="H837" s="104"/>
      <c r="I837" s="35"/>
      <c r="J837" s="74"/>
      <c r="K837" s="74"/>
      <c r="L837" s="74"/>
      <c r="M837" s="74"/>
      <c r="N837" s="74"/>
      <c r="O837" s="74"/>
      <c r="P837" s="74"/>
      <c r="Q837" s="74"/>
      <c r="R837" s="74"/>
      <c r="S837" s="74"/>
      <c r="T837" s="74"/>
      <c r="U837" s="74"/>
      <c r="V837" s="74"/>
      <c r="W837" s="74"/>
      <c r="X837" s="74"/>
      <c r="Y837" s="74"/>
      <c r="Z837" s="74"/>
      <c r="AA837" s="74"/>
      <c r="AB837" s="74"/>
    </row>
    <row r="838" spans="1:28" ht="12" customHeight="1">
      <c r="A838" s="260"/>
      <c r="B838" s="104"/>
      <c r="C838" s="104"/>
      <c r="D838" s="260"/>
      <c r="E838" s="104"/>
      <c r="F838" s="104"/>
      <c r="G838" s="35"/>
      <c r="H838" s="104"/>
      <c r="I838" s="35"/>
      <c r="J838" s="74"/>
      <c r="K838" s="74"/>
      <c r="L838" s="74"/>
      <c r="M838" s="74"/>
      <c r="N838" s="74"/>
      <c r="O838" s="74"/>
      <c r="P838" s="74"/>
      <c r="Q838" s="74"/>
      <c r="R838" s="74"/>
      <c r="S838" s="74"/>
      <c r="T838" s="74"/>
      <c r="U838" s="74"/>
      <c r="V838" s="74"/>
      <c r="W838" s="74"/>
      <c r="X838" s="74"/>
      <c r="Y838" s="74"/>
      <c r="Z838" s="74"/>
      <c r="AA838" s="74"/>
      <c r="AB838" s="74"/>
    </row>
    <row r="839" spans="1:28" ht="12" customHeight="1">
      <c r="A839" s="260"/>
      <c r="B839" s="104"/>
      <c r="C839" s="104"/>
      <c r="D839" s="260"/>
      <c r="E839" s="104"/>
      <c r="F839" s="104"/>
      <c r="G839" s="35"/>
      <c r="H839" s="104"/>
      <c r="I839" s="35"/>
      <c r="J839" s="74"/>
      <c r="K839" s="74"/>
      <c r="L839" s="74"/>
      <c r="M839" s="74"/>
      <c r="N839" s="74"/>
      <c r="O839" s="74"/>
      <c r="P839" s="74"/>
      <c r="Q839" s="74"/>
      <c r="R839" s="74"/>
      <c r="S839" s="74"/>
      <c r="T839" s="74"/>
      <c r="U839" s="74"/>
      <c r="V839" s="74"/>
      <c r="W839" s="74"/>
      <c r="X839" s="74"/>
      <c r="Y839" s="74"/>
      <c r="Z839" s="74"/>
      <c r="AA839" s="74"/>
      <c r="AB839" s="74"/>
    </row>
    <row r="840" spans="1:28" ht="12" customHeight="1">
      <c r="A840" s="260"/>
      <c r="B840" s="104"/>
      <c r="C840" s="104"/>
      <c r="D840" s="260"/>
      <c r="E840" s="104"/>
      <c r="F840" s="104"/>
      <c r="G840" s="35"/>
      <c r="H840" s="104"/>
      <c r="I840" s="35"/>
      <c r="J840" s="74"/>
      <c r="K840" s="74"/>
      <c r="L840" s="74"/>
      <c r="M840" s="74"/>
      <c r="N840" s="74"/>
      <c r="O840" s="74"/>
      <c r="P840" s="74"/>
      <c r="Q840" s="74"/>
      <c r="R840" s="74"/>
      <c r="S840" s="74"/>
      <c r="T840" s="74"/>
      <c r="U840" s="74"/>
      <c r="V840" s="74"/>
      <c r="W840" s="74"/>
      <c r="X840" s="74"/>
      <c r="Y840" s="74"/>
      <c r="Z840" s="74"/>
      <c r="AA840" s="74"/>
      <c r="AB840" s="74"/>
    </row>
    <row r="841" spans="1:28" ht="12" customHeight="1">
      <c r="A841" s="260"/>
      <c r="B841" s="104"/>
      <c r="C841" s="104"/>
      <c r="D841" s="260"/>
      <c r="E841" s="104"/>
      <c r="F841" s="104"/>
      <c r="G841" s="35"/>
      <c r="H841" s="104"/>
      <c r="I841" s="35"/>
      <c r="J841" s="74"/>
      <c r="K841" s="74"/>
      <c r="L841" s="74"/>
      <c r="M841" s="74"/>
      <c r="N841" s="74"/>
      <c r="O841" s="74"/>
      <c r="P841" s="74"/>
      <c r="Q841" s="74"/>
      <c r="R841" s="74"/>
      <c r="S841" s="74"/>
      <c r="T841" s="74"/>
      <c r="U841" s="74"/>
      <c r="V841" s="74"/>
      <c r="W841" s="74"/>
      <c r="X841" s="74"/>
      <c r="Y841" s="74"/>
      <c r="Z841" s="74"/>
      <c r="AA841" s="74"/>
      <c r="AB841" s="74"/>
    </row>
    <row r="842" spans="1:28" ht="12" customHeight="1">
      <c r="A842" s="260"/>
      <c r="B842" s="104"/>
      <c r="C842" s="104"/>
      <c r="D842" s="260"/>
      <c r="E842" s="104"/>
      <c r="F842" s="104"/>
      <c r="G842" s="35"/>
      <c r="H842" s="104"/>
      <c r="I842" s="35"/>
      <c r="J842" s="74"/>
      <c r="K842" s="74"/>
      <c r="L842" s="74"/>
      <c r="M842" s="74"/>
      <c r="N842" s="74"/>
      <c r="O842" s="74"/>
      <c r="P842" s="74"/>
      <c r="Q842" s="74"/>
      <c r="R842" s="74"/>
      <c r="S842" s="74"/>
      <c r="T842" s="74"/>
      <c r="U842" s="74"/>
      <c r="V842" s="74"/>
      <c r="W842" s="74"/>
      <c r="X842" s="74"/>
      <c r="Y842" s="74"/>
      <c r="Z842" s="74"/>
      <c r="AA842" s="74"/>
      <c r="AB842" s="74"/>
    </row>
    <row r="843" spans="1:28" ht="12" customHeight="1">
      <c r="A843" s="260"/>
      <c r="B843" s="104"/>
      <c r="C843" s="104"/>
      <c r="D843" s="260"/>
      <c r="E843" s="104"/>
      <c r="F843" s="104"/>
      <c r="G843" s="35"/>
      <c r="H843" s="104"/>
      <c r="I843" s="35"/>
      <c r="J843" s="74"/>
      <c r="K843" s="74"/>
      <c r="L843" s="74"/>
      <c r="M843" s="74"/>
      <c r="N843" s="74"/>
      <c r="O843" s="74"/>
      <c r="P843" s="74"/>
      <c r="Q843" s="74"/>
      <c r="R843" s="74"/>
      <c r="S843" s="74"/>
      <c r="T843" s="74"/>
      <c r="U843" s="74"/>
      <c r="V843" s="74"/>
      <c r="W843" s="74"/>
      <c r="X843" s="74"/>
      <c r="Y843" s="74"/>
      <c r="Z843" s="74"/>
      <c r="AA843" s="74"/>
      <c r="AB843" s="74"/>
    </row>
    <row r="844" spans="1:28" ht="12" customHeight="1">
      <c r="A844" s="260"/>
      <c r="B844" s="104"/>
      <c r="C844" s="104"/>
      <c r="D844" s="260"/>
      <c r="E844" s="104"/>
      <c r="F844" s="104"/>
      <c r="G844" s="35"/>
      <c r="H844" s="104"/>
      <c r="I844" s="35"/>
      <c r="J844" s="74"/>
      <c r="K844" s="74"/>
      <c r="L844" s="74"/>
      <c r="M844" s="74"/>
      <c r="N844" s="74"/>
      <c r="O844" s="74"/>
      <c r="P844" s="74"/>
      <c r="Q844" s="74"/>
      <c r="R844" s="74"/>
      <c r="S844" s="74"/>
      <c r="T844" s="74"/>
      <c r="U844" s="74"/>
      <c r="V844" s="74"/>
      <c r="W844" s="74"/>
      <c r="X844" s="74"/>
      <c r="Y844" s="74"/>
      <c r="Z844" s="74"/>
      <c r="AA844" s="74"/>
      <c r="AB844" s="74"/>
    </row>
    <row r="845" spans="1:28" ht="12" customHeight="1">
      <c r="A845" s="260"/>
      <c r="B845" s="104"/>
      <c r="C845" s="104"/>
      <c r="D845" s="260"/>
      <c r="E845" s="104"/>
      <c r="F845" s="104"/>
      <c r="G845" s="35"/>
      <c r="H845" s="104"/>
      <c r="I845" s="35"/>
      <c r="J845" s="74"/>
      <c r="K845" s="74"/>
      <c r="L845" s="74"/>
      <c r="M845" s="74"/>
      <c r="N845" s="74"/>
      <c r="O845" s="74"/>
      <c r="P845" s="74"/>
      <c r="Q845" s="74"/>
      <c r="R845" s="74"/>
      <c r="S845" s="74"/>
      <c r="T845" s="74"/>
      <c r="U845" s="74"/>
      <c r="V845" s="74"/>
      <c r="W845" s="74"/>
      <c r="X845" s="74"/>
      <c r="Y845" s="74"/>
      <c r="Z845" s="74"/>
      <c r="AA845" s="74"/>
      <c r="AB845" s="74"/>
    </row>
    <row r="846" spans="1:28" ht="12" customHeight="1">
      <c r="A846" s="260"/>
      <c r="B846" s="104"/>
      <c r="C846" s="104"/>
      <c r="D846" s="260"/>
      <c r="E846" s="104"/>
      <c r="F846" s="104"/>
      <c r="G846" s="35"/>
      <c r="H846" s="104"/>
      <c r="I846" s="35"/>
      <c r="J846" s="74"/>
      <c r="K846" s="74"/>
      <c r="L846" s="74"/>
      <c r="M846" s="74"/>
      <c r="N846" s="74"/>
      <c r="O846" s="74"/>
      <c r="P846" s="74"/>
      <c r="Q846" s="74"/>
      <c r="R846" s="74"/>
      <c r="S846" s="74"/>
      <c r="T846" s="74"/>
      <c r="U846" s="74"/>
      <c r="V846" s="74"/>
      <c r="W846" s="74"/>
      <c r="X846" s="74"/>
      <c r="Y846" s="74"/>
      <c r="Z846" s="74"/>
      <c r="AA846" s="74"/>
      <c r="AB846" s="74"/>
    </row>
    <row r="847" spans="1:28" ht="12" customHeight="1">
      <c r="A847" s="260"/>
      <c r="B847" s="104"/>
      <c r="C847" s="104"/>
      <c r="D847" s="260"/>
      <c r="E847" s="104"/>
      <c r="F847" s="104"/>
      <c r="G847" s="35"/>
      <c r="H847" s="104"/>
      <c r="I847" s="35"/>
      <c r="J847" s="74"/>
      <c r="K847" s="74"/>
      <c r="L847" s="74"/>
      <c r="M847" s="74"/>
      <c r="N847" s="74"/>
      <c r="O847" s="74"/>
      <c r="P847" s="74"/>
      <c r="Q847" s="74"/>
      <c r="R847" s="74"/>
      <c r="S847" s="74"/>
      <c r="T847" s="74"/>
      <c r="U847" s="74"/>
      <c r="V847" s="74"/>
      <c r="W847" s="74"/>
      <c r="X847" s="74"/>
      <c r="Y847" s="74"/>
      <c r="Z847" s="74"/>
      <c r="AA847" s="74"/>
      <c r="AB847" s="74"/>
    </row>
    <row r="848" spans="1:28" ht="12" customHeight="1">
      <c r="A848" s="260"/>
      <c r="B848" s="104"/>
      <c r="C848" s="104"/>
      <c r="D848" s="260"/>
      <c r="E848" s="104"/>
      <c r="F848" s="104"/>
      <c r="G848" s="35"/>
      <c r="H848" s="104"/>
      <c r="I848" s="35"/>
      <c r="J848" s="74"/>
      <c r="K848" s="74"/>
      <c r="L848" s="74"/>
      <c r="M848" s="74"/>
      <c r="N848" s="74"/>
      <c r="O848" s="74"/>
      <c r="P848" s="74"/>
      <c r="Q848" s="74"/>
      <c r="R848" s="74"/>
      <c r="S848" s="74"/>
      <c r="T848" s="74"/>
      <c r="U848" s="74"/>
      <c r="V848" s="74"/>
      <c r="W848" s="74"/>
      <c r="X848" s="74"/>
      <c r="Y848" s="74"/>
      <c r="Z848" s="74"/>
      <c r="AA848" s="74"/>
      <c r="AB848" s="74"/>
    </row>
    <row r="849" spans="1:28" ht="12" customHeight="1">
      <c r="A849" s="260"/>
      <c r="B849" s="104"/>
      <c r="C849" s="104"/>
      <c r="D849" s="260"/>
      <c r="E849" s="104"/>
      <c r="F849" s="104"/>
      <c r="G849" s="35"/>
      <c r="H849" s="104"/>
      <c r="I849" s="35"/>
      <c r="J849" s="74"/>
      <c r="K849" s="74"/>
      <c r="L849" s="74"/>
      <c r="M849" s="74"/>
      <c r="N849" s="74"/>
      <c r="O849" s="74"/>
      <c r="P849" s="74"/>
      <c r="Q849" s="74"/>
      <c r="R849" s="74"/>
      <c r="S849" s="74"/>
      <c r="T849" s="74"/>
      <c r="U849" s="74"/>
      <c r="V849" s="74"/>
      <c r="W849" s="74"/>
      <c r="X849" s="74"/>
      <c r="Y849" s="74"/>
      <c r="Z849" s="74"/>
      <c r="AA849" s="74"/>
      <c r="AB849" s="74"/>
    </row>
    <row r="850" spans="1:28" ht="12" customHeight="1">
      <c r="A850" s="260"/>
      <c r="B850" s="104"/>
      <c r="C850" s="104"/>
      <c r="D850" s="260"/>
      <c r="E850" s="104"/>
      <c r="F850" s="104"/>
      <c r="G850" s="35"/>
      <c r="H850" s="104"/>
      <c r="I850" s="35"/>
      <c r="J850" s="74"/>
      <c r="K850" s="74"/>
      <c r="L850" s="74"/>
      <c r="M850" s="74"/>
      <c r="N850" s="74"/>
      <c r="O850" s="74"/>
      <c r="P850" s="74"/>
      <c r="Q850" s="74"/>
      <c r="R850" s="74"/>
      <c r="S850" s="74"/>
      <c r="T850" s="74"/>
      <c r="U850" s="74"/>
      <c r="V850" s="74"/>
      <c r="W850" s="74"/>
      <c r="X850" s="74"/>
      <c r="Y850" s="74"/>
      <c r="Z850" s="74"/>
      <c r="AA850" s="74"/>
      <c r="AB850" s="74"/>
    </row>
    <row r="851" spans="1:28" ht="12" customHeight="1">
      <c r="A851" s="260"/>
      <c r="B851" s="104"/>
      <c r="C851" s="104"/>
      <c r="D851" s="260"/>
      <c r="E851" s="104"/>
      <c r="F851" s="104"/>
      <c r="G851" s="35"/>
      <c r="H851" s="104"/>
      <c r="I851" s="35"/>
      <c r="J851" s="74"/>
      <c r="K851" s="74"/>
      <c r="L851" s="74"/>
      <c r="M851" s="74"/>
      <c r="N851" s="74"/>
      <c r="O851" s="74"/>
      <c r="P851" s="74"/>
      <c r="Q851" s="74"/>
      <c r="R851" s="74"/>
      <c r="S851" s="74"/>
      <c r="T851" s="74"/>
      <c r="U851" s="74"/>
      <c r="V851" s="74"/>
      <c r="W851" s="74"/>
      <c r="X851" s="74"/>
      <c r="Y851" s="74"/>
      <c r="Z851" s="74"/>
      <c r="AA851" s="74"/>
      <c r="AB851" s="74"/>
    </row>
    <row r="852" spans="1:28" ht="12" customHeight="1">
      <c r="A852" s="260"/>
      <c r="B852" s="104"/>
      <c r="C852" s="104"/>
      <c r="D852" s="260"/>
      <c r="E852" s="104"/>
      <c r="F852" s="104"/>
      <c r="G852" s="35"/>
      <c r="H852" s="104"/>
      <c r="I852" s="35"/>
      <c r="J852" s="74"/>
      <c r="K852" s="74"/>
      <c r="L852" s="74"/>
      <c r="M852" s="74"/>
      <c r="N852" s="74"/>
      <c r="O852" s="74"/>
      <c r="P852" s="74"/>
      <c r="Q852" s="74"/>
      <c r="R852" s="74"/>
      <c r="S852" s="74"/>
      <c r="T852" s="74"/>
      <c r="U852" s="74"/>
      <c r="V852" s="74"/>
      <c r="W852" s="74"/>
      <c r="X852" s="74"/>
      <c r="Y852" s="74"/>
      <c r="Z852" s="74"/>
      <c r="AA852" s="74"/>
      <c r="AB852" s="74"/>
    </row>
    <row r="853" spans="1:28" ht="12" customHeight="1">
      <c r="A853" s="260"/>
      <c r="B853" s="104"/>
      <c r="C853" s="104"/>
      <c r="D853" s="260"/>
      <c r="E853" s="104"/>
      <c r="F853" s="104"/>
      <c r="G853" s="35"/>
      <c r="H853" s="104"/>
      <c r="I853" s="35"/>
      <c r="J853" s="74"/>
      <c r="K853" s="74"/>
      <c r="L853" s="74"/>
      <c r="M853" s="74"/>
      <c r="N853" s="74"/>
      <c r="O853" s="74"/>
      <c r="P853" s="74"/>
      <c r="Q853" s="74"/>
      <c r="R853" s="74"/>
      <c r="S853" s="74"/>
      <c r="T853" s="74"/>
      <c r="U853" s="74"/>
      <c r="V853" s="74"/>
      <c r="W853" s="74"/>
      <c r="X853" s="74"/>
      <c r="Y853" s="74"/>
      <c r="Z853" s="74"/>
      <c r="AA853" s="74"/>
      <c r="AB853" s="74"/>
    </row>
    <row r="854" spans="1:28" ht="12" customHeight="1">
      <c r="A854" s="260"/>
      <c r="B854" s="104"/>
      <c r="C854" s="104"/>
      <c r="D854" s="260"/>
      <c r="E854" s="104"/>
      <c r="F854" s="104"/>
      <c r="G854" s="35"/>
      <c r="H854" s="104"/>
      <c r="I854" s="35"/>
      <c r="J854" s="74"/>
      <c r="K854" s="74"/>
      <c r="L854" s="74"/>
      <c r="M854" s="74"/>
      <c r="N854" s="74"/>
      <c r="O854" s="74"/>
      <c r="P854" s="74"/>
      <c r="Q854" s="74"/>
      <c r="R854" s="74"/>
      <c r="S854" s="74"/>
      <c r="T854" s="74"/>
      <c r="U854" s="74"/>
      <c r="V854" s="74"/>
      <c r="W854" s="74"/>
      <c r="X854" s="74"/>
      <c r="Y854" s="74"/>
      <c r="Z854" s="74"/>
      <c r="AA854" s="74"/>
      <c r="AB854" s="74"/>
    </row>
    <row r="855" spans="1:28" ht="12" customHeight="1">
      <c r="A855" s="260"/>
      <c r="B855" s="104"/>
      <c r="C855" s="104"/>
      <c r="D855" s="260"/>
      <c r="E855" s="104"/>
      <c r="F855" s="104"/>
      <c r="G855" s="35"/>
      <c r="H855" s="104"/>
      <c r="I855" s="35"/>
      <c r="J855" s="74"/>
      <c r="K855" s="74"/>
      <c r="L855" s="74"/>
      <c r="M855" s="74"/>
      <c r="N855" s="74"/>
      <c r="O855" s="74"/>
      <c r="P855" s="74"/>
      <c r="Q855" s="74"/>
      <c r="R855" s="74"/>
      <c r="S855" s="74"/>
      <c r="T855" s="74"/>
      <c r="U855" s="74"/>
      <c r="V855" s="74"/>
      <c r="W855" s="74"/>
      <c r="X855" s="74"/>
      <c r="Y855" s="74"/>
      <c r="Z855" s="74"/>
      <c r="AA855" s="74"/>
      <c r="AB855" s="74"/>
    </row>
    <row r="856" spans="1:28" ht="12" customHeight="1">
      <c r="A856" s="260"/>
      <c r="B856" s="104"/>
      <c r="C856" s="104"/>
      <c r="D856" s="260"/>
      <c r="E856" s="104"/>
      <c r="F856" s="104"/>
      <c r="G856" s="35"/>
      <c r="H856" s="104"/>
      <c r="I856" s="35"/>
      <c r="J856" s="74"/>
      <c r="K856" s="74"/>
      <c r="L856" s="74"/>
      <c r="M856" s="74"/>
      <c r="N856" s="74"/>
      <c r="O856" s="74"/>
      <c r="P856" s="74"/>
      <c r="Q856" s="74"/>
      <c r="R856" s="74"/>
      <c r="S856" s="74"/>
      <c r="T856" s="74"/>
      <c r="U856" s="74"/>
      <c r="V856" s="74"/>
      <c r="W856" s="74"/>
      <c r="X856" s="74"/>
      <c r="Y856" s="74"/>
      <c r="Z856" s="74"/>
      <c r="AA856" s="74"/>
      <c r="AB856" s="74"/>
    </row>
    <row r="857" spans="1:28" ht="12" customHeight="1">
      <c r="A857" s="260"/>
      <c r="B857" s="104"/>
      <c r="C857" s="104"/>
      <c r="D857" s="260"/>
      <c r="E857" s="104"/>
      <c r="F857" s="104"/>
      <c r="G857" s="35"/>
      <c r="H857" s="104"/>
      <c r="I857" s="35"/>
      <c r="J857" s="74"/>
      <c r="K857" s="74"/>
      <c r="L857" s="74"/>
      <c r="M857" s="74"/>
      <c r="N857" s="74"/>
      <c r="O857" s="74"/>
      <c r="P857" s="74"/>
      <c r="Q857" s="74"/>
      <c r="R857" s="74"/>
      <c r="S857" s="74"/>
      <c r="T857" s="74"/>
      <c r="U857" s="74"/>
      <c r="V857" s="74"/>
      <c r="W857" s="74"/>
      <c r="X857" s="74"/>
      <c r="Y857" s="74"/>
      <c r="Z857" s="74"/>
      <c r="AA857" s="74"/>
      <c r="AB857" s="74"/>
    </row>
    <row r="858" spans="1:28" ht="12" customHeight="1">
      <c r="A858" s="260"/>
      <c r="B858" s="104"/>
      <c r="C858" s="104"/>
      <c r="D858" s="260"/>
      <c r="E858" s="104"/>
      <c r="F858" s="104"/>
      <c r="G858" s="35"/>
      <c r="H858" s="104"/>
      <c r="I858" s="35"/>
      <c r="J858" s="74"/>
      <c r="K858" s="74"/>
      <c r="L858" s="74"/>
      <c r="M858" s="74"/>
      <c r="N858" s="74"/>
      <c r="O858" s="74"/>
      <c r="P858" s="74"/>
      <c r="Q858" s="74"/>
      <c r="R858" s="74"/>
      <c r="S858" s="74"/>
      <c r="T858" s="74"/>
      <c r="U858" s="74"/>
      <c r="V858" s="74"/>
      <c r="W858" s="74"/>
      <c r="X858" s="74"/>
      <c r="Y858" s="74"/>
      <c r="Z858" s="74"/>
      <c r="AA858" s="74"/>
      <c r="AB858" s="74"/>
    </row>
    <row r="859" spans="1:28" ht="12" customHeight="1">
      <c r="A859" s="260"/>
      <c r="B859" s="104"/>
      <c r="C859" s="104"/>
      <c r="D859" s="260"/>
      <c r="E859" s="104"/>
      <c r="F859" s="104"/>
      <c r="G859" s="35"/>
      <c r="H859" s="104"/>
      <c r="I859" s="35"/>
      <c r="J859" s="74"/>
      <c r="K859" s="74"/>
      <c r="L859" s="74"/>
      <c r="M859" s="74"/>
      <c r="N859" s="74"/>
      <c r="O859" s="74"/>
      <c r="P859" s="74"/>
      <c r="Q859" s="74"/>
      <c r="R859" s="74"/>
      <c r="S859" s="74"/>
      <c r="T859" s="74"/>
      <c r="U859" s="74"/>
      <c r="V859" s="74"/>
      <c r="W859" s="74"/>
      <c r="X859" s="74"/>
      <c r="Y859" s="74"/>
      <c r="Z859" s="74"/>
      <c r="AA859" s="74"/>
      <c r="AB859" s="74"/>
    </row>
    <row r="860" spans="1:28" ht="12" customHeight="1">
      <c r="A860" s="260"/>
      <c r="B860" s="104"/>
      <c r="C860" s="104"/>
      <c r="D860" s="260"/>
      <c r="E860" s="104"/>
      <c r="F860" s="104"/>
      <c r="G860" s="35"/>
      <c r="H860" s="104"/>
      <c r="I860" s="35"/>
      <c r="J860" s="74"/>
      <c r="K860" s="74"/>
      <c r="L860" s="74"/>
      <c r="M860" s="74"/>
      <c r="N860" s="74"/>
      <c r="O860" s="74"/>
      <c r="P860" s="74"/>
      <c r="Q860" s="74"/>
      <c r="R860" s="74"/>
      <c r="S860" s="74"/>
      <c r="T860" s="74"/>
      <c r="U860" s="74"/>
      <c r="V860" s="74"/>
      <c r="W860" s="74"/>
      <c r="X860" s="74"/>
      <c r="Y860" s="74"/>
      <c r="Z860" s="74"/>
      <c r="AA860" s="74"/>
      <c r="AB860" s="74"/>
    </row>
    <row r="861" spans="1:28" ht="12" customHeight="1">
      <c r="A861" s="260"/>
      <c r="B861" s="104"/>
      <c r="C861" s="104"/>
      <c r="D861" s="260"/>
      <c r="E861" s="104"/>
      <c r="F861" s="104"/>
      <c r="G861" s="35"/>
      <c r="H861" s="104"/>
      <c r="I861" s="35"/>
      <c r="J861" s="74"/>
      <c r="K861" s="74"/>
      <c r="L861" s="74"/>
      <c r="M861" s="74"/>
      <c r="N861" s="74"/>
      <c r="O861" s="74"/>
      <c r="P861" s="74"/>
      <c r="Q861" s="74"/>
      <c r="R861" s="74"/>
      <c r="S861" s="74"/>
      <c r="T861" s="74"/>
      <c r="U861" s="74"/>
      <c r="V861" s="74"/>
      <c r="W861" s="74"/>
      <c r="X861" s="74"/>
      <c r="Y861" s="74"/>
      <c r="Z861" s="74"/>
      <c r="AA861" s="74"/>
      <c r="AB861" s="74"/>
    </row>
    <row r="862" spans="1:28" ht="12" customHeight="1">
      <c r="A862" s="260"/>
      <c r="B862" s="104"/>
      <c r="C862" s="104"/>
      <c r="D862" s="260"/>
      <c r="E862" s="104"/>
      <c r="F862" s="104"/>
      <c r="G862" s="35"/>
      <c r="H862" s="104"/>
      <c r="I862" s="35"/>
      <c r="J862" s="74"/>
      <c r="K862" s="74"/>
      <c r="L862" s="74"/>
      <c r="M862" s="74"/>
      <c r="N862" s="74"/>
      <c r="O862" s="74"/>
      <c r="P862" s="74"/>
      <c r="Q862" s="74"/>
      <c r="R862" s="74"/>
      <c r="S862" s="74"/>
      <c r="T862" s="74"/>
      <c r="U862" s="74"/>
      <c r="V862" s="74"/>
      <c r="W862" s="74"/>
      <c r="X862" s="74"/>
      <c r="Y862" s="74"/>
      <c r="Z862" s="74"/>
      <c r="AA862" s="74"/>
      <c r="AB862" s="74"/>
    </row>
    <row r="863" spans="1:28" ht="12" customHeight="1">
      <c r="A863" s="260"/>
      <c r="B863" s="104"/>
      <c r="C863" s="104"/>
      <c r="D863" s="260"/>
      <c r="E863" s="104"/>
      <c r="F863" s="104"/>
      <c r="G863" s="35"/>
      <c r="H863" s="104"/>
      <c r="I863" s="35"/>
      <c r="J863" s="74"/>
      <c r="K863" s="74"/>
      <c r="L863" s="74"/>
      <c r="M863" s="74"/>
      <c r="N863" s="74"/>
      <c r="O863" s="74"/>
      <c r="P863" s="74"/>
      <c r="Q863" s="74"/>
      <c r="R863" s="74"/>
      <c r="S863" s="74"/>
      <c r="T863" s="74"/>
      <c r="U863" s="74"/>
      <c r="V863" s="74"/>
      <c r="W863" s="74"/>
      <c r="X863" s="74"/>
      <c r="Y863" s="74"/>
      <c r="Z863" s="74"/>
      <c r="AA863" s="74"/>
      <c r="AB863" s="74"/>
    </row>
    <row r="864" spans="1:28" ht="12" customHeight="1">
      <c r="A864" s="260"/>
      <c r="B864" s="104"/>
      <c r="C864" s="104"/>
      <c r="D864" s="260"/>
      <c r="E864" s="104"/>
      <c r="F864" s="104"/>
      <c r="G864" s="35"/>
      <c r="H864" s="104"/>
      <c r="I864" s="35"/>
      <c r="J864" s="74"/>
      <c r="K864" s="74"/>
      <c r="L864" s="74"/>
      <c r="M864" s="74"/>
      <c r="N864" s="74"/>
      <c r="O864" s="74"/>
      <c r="P864" s="74"/>
      <c r="Q864" s="74"/>
      <c r="R864" s="74"/>
      <c r="S864" s="74"/>
      <c r="T864" s="74"/>
      <c r="U864" s="74"/>
      <c r="V864" s="74"/>
      <c r="W864" s="74"/>
      <c r="X864" s="74"/>
      <c r="Y864" s="74"/>
      <c r="Z864" s="74"/>
      <c r="AA864" s="74"/>
      <c r="AB864" s="74"/>
    </row>
    <row r="865" spans="1:28" ht="12" customHeight="1">
      <c r="A865" s="260"/>
      <c r="B865" s="104"/>
      <c r="C865" s="104"/>
      <c r="D865" s="260"/>
      <c r="E865" s="104"/>
      <c r="F865" s="104"/>
      <c r="G865" s="35"/>
      <c r="H865" s="104"/>
      <c r="I865" s="35"/>
      <c r="J865" s="74"/>
      <c r="K865" s="74"/>
      <c r="L865" s="74"/>
      <c r="M865" s="74"/>
      <c r="N865" s="74"/>
      <c r="O865" s="74"/>
      <c r="P865" s="74"/>
      <c r="Q865" s="74"/>
      <c r="R865" s="74"/>
      <c r="S865" s="74"/>
      <c r="T865" s="74"/>
      <c r="U865" s="74"/>
      <c r="V865" s="74"/>
      <c r="W865" s="74"/>
      <c r="X865" s="74"/>
      <c r="Y865" s="74"/>
      <c r="Z865" s="74"/>
      <c r="AA865" s="74"/>
      <c r="AB865" s="74"/>
    </row>
    <row r="866" spans="1:28" ht="12" customHeight="1">
      <c r="A866" s="260"/>
      <c r="B866" s="104"/>
      <c r="C866" s="104"/>
      <c r="D866" s="260"/>
      <c r="E866" s="104"/>
      <c r="F866" s="104"/>
      <c r="G866" s="35"/>
      <c r="H866" s="104"/>
      <c r="I866" s="35"/>
      <c r="J866" s="74"/>
      <c r="K866" s="74"/>
      <c r="L866" s="74"/>
      <c r="M866" s="74"/>
      <c r="N866" s="74"/>
      <c r="O866" s="74"/>
      <c r="P866" s="74"/>
      <c r="Q866" s="74"/>
      <c r="R866" s="74"/>
      <c r="S866" s="74"/>
      <c r="T866" s="74"/>
      <c r="U866" s="74"/>
      <c r="V866" s="74"/>
      <c r="W866" s="74"/>
      <c r="X866" s="74"/>
      <c r="Y866" s="74"/>
      <c r="Z866" s="74"/>
      <c r="AA866" s="74"/>
      <c r="AB866" s="74"/>
    </row>
    <row r="867" spans="1:28" ht="12" customHeight="1">
      <c r="A867" s="260"/>
      <c r="B867" s="104"/>
      <c r="C867" s="104"/>
      <c r="D867" s="260"/>
      <c r="E867" s="104"/>
      <c r="F867" s="104"/>
      <c r="G867" s="35"/>
      <c r="H867" s="104"/>
      <c r="I867" s="35"/>
      <c r="J867" s="74"/>
      <c r="K867" s="74"/>
      <c r="L867" s="74"/>
      <c r="M867" s="74"/>
      <c r="N867" s="74"/>
      <c r="O867" s="74"/>
      <c r="P867" s="74"/>
      <c r="Q867" s="74"/>
      <c r="R867" s="74"/>
      <c r="S867" s="74"/>
      <c r="T867" s="74"/>
      <c r="U867" s="74"/>
      <c r="V867" s="74"/>
      <c r="W867" s="74"/>
      <c r="X867" s="74"/>
      <c r="Y867" s="74"/>
      <c r="Z867" s="74"/>
      <c r="AA867" s="74"/>
      <c r="AB867" s="74"/>
    </row>
    <row r="868" spans="1:28" ht="12" customHeight="1">
      <c r="A868" s="260"/>
      <c r="B868" s="104"/>
      <c r="C868" s="104"/>
      <c r="D868" s="260"/>
      <c r="E868" s="104"/>
      <c r="F868" s="104"/>
      <c r="G868" s="35"/>
      <c r="H868" s="104"/>
      <c r="I868" s="35"/>
      <c r="J868" s="74"/>
      <c r="K868" s="74"/>
      <c r="L868" s="74"/>
      <c r="M868" s="74"/>
      <c r="N868" s="74"/>
      <c r="O868" s="74"/>
      <c r="P868" s="74"/>
      <c r="Q868" s="74"/>
      <c r="R868" s="74"/>
      <c r="S868" s="74"/>
      <c r="T868" s="74"/>
      <c r="U868" s="74"/>
      <c r="V868" s="74"/>
      <c r="W868" s="74"/>
      <c r="X868" s="74"/>
      <c r="Y868" s="74"/>
      <c r="Z868" s="74"/>
      <c r="AA868" s="74"/>
      <c r="AB868" s="74"/>
    </row>
    <row r="869" spans="1:28" ht="12" customHeight="1">
      <c r="A869" s="260"/>
      <c r="B869" s="104"/>
      <c r="C869" s="104"/>
      <c r="D869" s="260"/>
      <c r="E869" s="104"/>
      <c r="F869" s="104"/>
      <c r="G869" s="35"/>
      <c r="H869" s="104"/>
      <c r="I869" s="35"/>
      <c r="J869" s="74"/>
      <c r="K869" s="74"/>
      <c r="L869" s="74"/>
      <c r="M869" s="74"/>
      <c r="N869" s="74"/>
      <c r="O869" s="74"/>
      <c r="P869" s="74"/>
      <c r="Q869" s="74"/>
      <c r="R869" s="74"/>
      <c r="S869" s="74"/>
      <c r="T869" s="74"/>
      <c r="U869" s="74"/>
      <c r="V869" s="74"/>
      <c r="W869" s="74"/>
      <c r="X869" s="74"/>
      <c r="Y869" s="74"/>
      <c r="Z869" s="74"/>
      <c r="AA869" s="74"/>
      <c r="AB869" s="74"/>
    </row>
    <row r="870" spans="1:28" ht="12" customHeight="1">
      <c r="A870" s="260"/>
      <c r="B870" s="104"/>
      <c r="C870" s="104"/>
      <c r="D870" s="260"/>
      <c r="E870" s="104"/>
      <c r="F870" s="104"/>
      <c r="G870" s="35"/>
      <c r="H870" s="104"/>
      <c r="I870" s="35"/>
      <c r="J870" s="74"/>
      <c r="K870" s="74"/>
      <c r="L870" s="74"/>
      <c r="M870" s="74"/>
      <c r="N870" s="74"/>
      <c r="O870" s="74"/>
      <c r="P870" s="74"/>
      <c r="Q870" s="74"/>
      <c r="R870" s="74"/>
      <c r="S870" s="74"/>
      <c r="T870" s="74"/>
      <c r="U870" s="74"/>
      <c r="V870" s="74"/>
      <c r="W870" s="74"/>
      <c r="X870" s="74"/>
      <c r="Y870" s="74"/>
      <c r="Z870" s="74"/>
      <c r="AA870" s="74"/>
      <c r="AB870" s="74"/>
    </row>
    <row r="871" spans="1:28" ht="12" customHeight="1">
      <c r="A871" s="260"/>
      <c r="B871" s="104"/>
      <c r="C871" s="104"/>
      <c r="D871" s="260"/>
      <c r="E871" s="104"/>
      <c r="F871" s="104"/>
      <c r="G871" s="35"/>
      <c r="H871" s="104"/>
      <c r="I871" s="35"/>
      <c r="J871" s="74"/>
      <c r="K871" s="74"/>
      <c r="L871" s="74"/>
      <c r="M871" s="74"/>
      <c r="N871" s="74"/>
      <c r="O871" s="74"/>
      <c r="P871" s="74"/>
      <c r="Q871" s="74"/>
      <c r="R871" s="74"/>
      <c r="S871" s="74"/>
      <c r="T871" s="74"/>
      <c r="U871" s="74"/>
      <c r="V871" s="74"/>
      <c r="W871" s="74"/>
      <c r="X871" s="74"/>
      <c r="Y871" s="74"/>
      <c r="Z871" s="74"/>
      <c r="AA871" s="74"/>
      <c r="AB871" s="74"/>
    </row>
    <row r="872" spans="1:28" ht="12" customHeight="1">
      <c r="A872" s="260"/>
      <c r="B872" s="104"/>
      <c r="C872" s="104"/>
      <c r="D872" s="260"/>
      <c r="E872" s="104"/>
      <c r="F872" s="104"/>
      <c r="G872" s="35"/>
      <c r="H872" s="104"/>
      <c r="I872" s="35"/>
      <c r="J872" s="74"/>
      <c r="K872" s="74"/>
      <c r="L872" s="74"/>
      <c r="M872" s="74"/>
      <c r="N872" s="74"/>
      <c r="O872" s="74"/>
      <c r="P872" s="74"/>
      <c r="Q872" s="74"/>
      <c r="R872" s="74"/>
      <c r="S872" s="74"/>
      <c r="T872" s="74"/>
      <c r="U872" s="74"/>
      <c r="V872" s="74"/>
      <c r="W872" s="74"/>
      <c r="X872" s="74"/>
      <c r="Y872" s="74"/>
      <c r="Z872" s="74"/>
      <c r="AA872" s="74"/>
      <c r="AB872" s="74"/>
    </row>
    <row r="873" spans="1:28" ht="12" customHeight="1">
      <c r="A873" s="260"/>
      <c r="B873" s="104"/>
      <c r="C873" s="104"/>
      <c r="D873" s="260"/>
      <c r="E873" s="104"/>
      <c r="F873" s="104"/>
      <c r="G873" s="35"/>
      <c r="H873" s="104"/>
      <c r="I873" s="35"/>
      <c r="J873" s="74"/>
      <c r="K873" s="74"/>
      <c r="L873" s="74"/>
      <c r="M873" s="74"/>
      <c r="N873" s="74"/>
      <c r="O873" s="74"/>
      <c r="P873" s="74"/>
      <c r="Q873" s="74"/>
      <c r="R873" s="74"/>
      <c r="S873" s="74"/>
      <c r="T873" s="74"/>
      <c r="U873" s="74"/>
      <c r="V873" s="74"/>
      <c r="W873" s="74"/>
      <c r="X873" s="74"/>
      <c r="Y873" s="74"/>
      <c r="Z873" s="74"/>
      <c r="AA873" s="74"/>
      <c r="AB873" s="74"/>
    </row>
    <row r="874" spans="1:28" ht="12" customHeight="1">
      <c r="A874" s="260"/>
      <c r="B874" s="104"/>
      <c r="C874" s="104"/>
      <c r="D874" s="260"/>
      <c r="E874" s="104"/>
      <c r="F874" s="104"/>
      <c r="G874" s="35"/>
      <c r="H874" s="104"/>
      <c r="I874" s="35"/>
      <c r="J874" s="74"/>
      <c r="K874" s="74"/>
      <c r="L874" s="74"/>
      <c r="M874" s="74"/>
      <c r="N874" s="74"/>
      <c r="O874" s="74"/>
      <c r="P874" s="74"/>
      <c r="Q874" s="74"/>
      <c r="R874" s="74"/>
      <c r="S874" s="74"/>
      <c r="T874" s="74"/>
      <c r="U874" s="74"/>
      <c r="V874" s="74"/>
      <c r="W874" s="74"/>
      <c r="X874" s="74"/>
      <c r="Y874" s="74"/>
      <c r="Z874" s="74"/>
      <c r="AA874" s="74"/>
      <c r="AB874" s="74"/>
    </row>
    <row r="875" spans="1:28" ht="12" customHeight="1">
      <c r="A875" s="260"/>
      <c r="B875" s="104"/>
      <c r="C875" s="104"/>
      <c r="D875" s="260"/>
      <c r="E875" s="104"/>
      <c r="F875" s="104"/>
      <c r="G875" s="35"/>
      <c r="H875" s="104"/>
      <c r="I875" s="35"/>
      <c r="J875" s="74"/>
      <c r="K875" s="74"/>
      <c r="L875" s="74"/>
      <c r="M875" s="74"/>
      <c r="N875" s="74"/>
      <c r="O875" s="74"/>
      <c r="P875" s="74"/>
      <c r="Q875" s="74"/>
      <c r="R875" s="74"/>
      <c r="S875" s="74"/>
      <c r="T875" s="74"/>
      <c r="U875" s="74"/>
      <c r="V875" s="74"/>
      <c r="W875" s="74"/>
      <c r="X875" s="74"/>
      <c r="Y875" s="74"/>
      <c r="Z875" s="74"/>
      <c r="AA875" s="74"/>
      <c r="AB875" s="74"/>
    </row>
    <row r="876" spans="1:28" ht="12" customHeight="1">
      <c r="A876" s="260"/>
      <c r="B876" s="104"/>
      <c r="C876" s="104"/>
      <c r="D876" s="260"/>
      <c r="E876" s="104"/>
      <c r="F876" s="104"/>
      <c r="G876" s="35"/>
      <c r="H876" s="104"/>
      <c r="I876" s="35"/>
      <c r="J876" s="74"/>
      <c r="K876" s="74"/>
      <c r="L876" s="74"/>
      <c r="M876" s="74"/>
      <c r="N876" s="74"/>
      <c r="O876" s="74"/>
      <c r="P876" s="74"/>
      <c r="Q876" s="74"/>
      <c r="R876" s="74"/>
      <c r="S876" s="74"/>
      <c r="T876" s="74"/>
      <c r="U876" s="74"/>
      <c r="V876" s="74"/>
      <c r="W876" s="74"/>
      <c r="X876" s="74"/>
      <c r="Y876" s="74"/>
      <c r="Z876" s="74"/>
      <c r="AA876" s="74"/>
      <c r="AB876" s="74"/>
    </row>
    <row r="877" spans="1:28" ht="12" customHeight="1">
      <c r="A877" s="260"/>
      <c r="B877" s="104"/>
      <c r="C877" s="104"/>
      <c r="D877" s="260"/>
      <c r="E877" s="104"/>
      <c r="F877" s="104"/>
      <c r="G877" s="35"/>
      <c r="H877" s="104"/>
      <c r="I877" s="35"/>
      <c r="J877" s="74"/>
      <c r="K877" s="74"/>
      <c r="L877" s="74"/>
      <c r="M877" s="74"/>
      <c r="N877" s="74"/>
      <c r="O877" s="74"/>
      <c r="P877" s="74"/>
      <c r="Q877" s="74"/>
      <c r="R877" s="74"/>
      <c r="S877" s="74"/>
      <c r="T877" s="74"/>
      <c r="U877" s="74"/>
      <c r="V877" s="74"/>
      <c r="W877" s="74"/>
      <c r="X877" s="74"/>
      <c r="Y877" s="74"/>
      <c r="Z877" s="74"/>
      <c r="AA877" s="74"/>
      <c r="AB877" s="74"/>
    </row>
    <row r="878" spans="1:28" ht="12" customHeight="1">
      <c r="A878" s="260"/>
      <c r="B878" s="104"/>
      <c r="C878" s="104"/>
      <c r="D878" s="260"/>
      <c r="E878" s="104"/>
      <c r="F878" s="104"/>
      <c r="G878" s="35"/>
      <c r="H878" s="104"/>
      <c r="I878" s="35"/>
      <c r="J878" s="74"/>
      <c r="K878" s="74"/>
      <c r="L878" s="74"/>
      <c r="M878" s="74"/>
      <c r="N878" s="74"/>
      <c r="O878" s="74"/>
      <c r="P878" s="74"/>
      <c r="Q878" s="74"/>
      <c r="R878" s="74"/>
      <c r="S878" s="74"/>
      <c r="T878" s="74"/>
      <c r="U878" s="74"/>
      <c r="V878" s="74"/>
      <c r="W878" s="74"/>
      <c r="X878" s="74"/>
      <c r="Y878" s="74"/>
      <c r="Z878" s="74"/>
      <c r="AA878" s="74"/>
      <c r="AB878" s="74"/>
    </row>
    <row r="879" spans="1:28" ht="12" customHeight="1">
      <c r="A879" s="260"/>
      <c r="B879" s="104"/>
      <c r="C879" s="104"/>
      <c r="D879" s="260"/>
      <c r="E879" s="104"/>
      <c r="F879" s="104"/>
      <c r="G879" s="35"/>
      <c r="H879" s="104"/>
      <c r="I879" s="35"/>
      <c r="J879" s="74"/>
      <c r="K879" s="74"/>
      <c r="L879" s="74"/>
      <c r="M879" s="74"/>
      <c r="N879" s="74"/>
      <c r="O879" s="74"/>
      <c r="P879" s="74"/>
      <c r="Q879" s="74"/>
      <c r="R879" s="74"/>
      <c r="S879" s="74"/>
      <c r="T879" s="74"/>
      <c r="U879" s="74"/>
      <c r="V879" s="74"/>
      <c r="W879" s="74"/>
      <c r="X879" s="74"/>
      <c r="Y879" s="74"/>
      <c r="Z879" s="74"/>
      <c r="AA879" s="74"/>
      <c r="AB879" s="74"/>
    </row>
    <row r="880" spans="1:28" ht="12" customHeight="1">
      <c r="A880" s="260"/>
      <c r="B880" s="104"/>
      <c r="C880" s="104"/>
      <c r="D880" s="260"/>
      <c r="E880" s="104"/>
      <c r="F880" s="104"/>
      <c r="G880" s="35"/>
      <c r="H880" s="104"/>
      <c r="I880" s="35"/>
      <c r="J880" s="74"/>
      <c r="K880" s="74"/>
      <c r="L880" s="74"/>
      <c r="M880" s="74"/>
      <c r="N880" s="74"/>
      <c r="O880" s="74"/>
      <c r="P880" s="74"/>
      <c r="Q880" s="74"/>
      <c r="R880" s="74"/>
      <c r="S880" s="74"/>
      <c r="T880" s="74"/>
      <c r="U880" s="74"/>
      <c r="V880" s="74"/>
      <c r="W880" s="74"/>
      <c r="X880" s="74"/>
      <c r="Y880" s="74"/>
      <c r="Z880" s="74"/>
      <c r="AA880" s="74"/>
      <c r="AB880" s="74"/>
    </row>
    <row r="881" spans="1:28" ht="12" customHeight="1">
      <c r="A881" s="260"/>
      <c r="B881" s="104"/>
      <c r="C881" s="104"/>
      <c r="D881" s="260"/>
      <c r="E881" s="104"/>
      <c r="F881" s="104"/>
      <c r="G881" s="35"/>
      <c r="H881" s="104"/>
      <c r="I881" s="35"/>
      <c r="J881" s="74"/>
      <c r="K881" s="74"/>
      <c r="L881" s="74"/>
      <c r="M881" s="74"/>
      <c r="N881" s="74"/>
      <c r="O881" s="74"/>
      <c r="P881" s="74"/>
      <c r="Q881" s="74"/>
      <c r="R881" s="74"/>
      <c r="S881" s="74"/>
      <c r="T881" s="74"/>
      <c r="U881" s="74"/>
      <c r="V881" s="74"/>
      <c r="W881" s="74"/>
      <c r="X881" s="74"/>
      <c r="Y881" s="74"/>
      <c r="Z881" s="74"/>
      <c r="AA881" s="74"/>
      <c r="AB881" s="74"/>
    </row>
    <row r="882" spans="1:28" ht="12" customHeight="1">
      <c r="A882" s="260"/>
      <c r="B882" s="104"/>
      <c r="C882" s="104"/>
      <c r="D882" s="260"/>
      <c r="E882" s="104"/>
      <c r="F882" s="104"/>
      <c r="G882" s="35"/>
      <c r="H882" s="104"/>
      <c r="I882" s="35"/>
      <c r="J882" s="74"/>
      <c r="K882" s="74"/>
      <c r="L882" s="74"/>
      <c r="M882" s="74"/>
      <c r="N882" s="74"/>
      <c r="O882" s="74"/>
      <c r="P882" s="74"/>
      <c r="Q882" s="74"/>
      <c r="R882" s="74"/>
      <c r="S882" s="74"/>
      <c r="T882" s="74"/>
      <c r="U882" s="74"/>
      <c r="V882" s="74"/>
      <c r="W882" s="74"/>
      <c r="X882" s="74"/>
      <c r="Y882" s="74"/>
      <c r="Z882" s="74"/>
      <c r="AA882" s="74"/>
      <c r="AB882" s="74"/>
    </row>
    <row r="883" spans="1:28" ht="12" customHeight="1">
      <c r="A883" s="260"/>
      <c r="B883" s="104"/>
      <c r="C883" s="104"/>
      <c r="D883" s="260"/>
      <c r="E883" s="104"/>
      <c r="F883" s="104"/>
      <c r="G883" s="35"/>
      <c r="H883" s="104"/>
      <c r="I883" s="35"/>
      <c r="J883" s="74"/>
      <c r="K883" s="74"/>
      <c r="L883" s="74"/>
      <c r="M883" s="74"/>
      <c r="N883" s="74"/>
      <c r="O883" s="74"/>
      <c r="P883" s="74"/>
      <c r="Q883" s="74"/>
      <c r="R883" s="74"/>
      <c r="S883" s="74"/>
      <c r="T883" s="74"/>
      <c r="U883" s="74"/>
      <c r="V883" s="74"/>
      <c r="W883" s="74"/>
      <c r="X883" s="74"/>
      <c r="Y883" s="74"/>
      <c r="Z883" s="74"/>
      <c r="AA883" s="74"/>
      <c r="AB883" s="74"/>
    </row>
    <row r="884" spans="1:28" ht="12" customHeight="1">
      <c r="A884" s="260"/>
      <c r="B884" s="104"/>
      <c r="C884" s="104"/>
      <c r="D884" s="260"/>
      <c r="E884" s="104"/>
      <c r="F884" s="104"/>
      <c r="G884" s="35"/>
      <c r="H884" s="104"/>
      <c r="I884" s="35"/>
      <c r="J884" s="74"/>
      <c r="K884" s="74"/>
      <c r="L884" s="74"/>
      <c r="M884" s="74"/>
      <c r="N884" s="74"/>
      <c r="O884" s="74"/>
      <c r="P884" s="74"/>
      <c r="Q884" s="74"/>
      <c r="R884" s="74"/>
      <c r="S884" s="74"/>
      <c r="T884" s="74"/>
      <c r="U884" s="74"/>
      <c r="V884" s="74"/>
      <c r="W884" s="74"/>
      <c r="X884" s="74"/>
      <c r="Y884" s="74"/>
      <c r="Z884" s="74"/>
      <c r="AA884" s="74"/>
      <c r="AB884" s="74"/>
    </row>
    <row r="885" spans="1:28" ht="12" customHeight="1">
      <c r="A885" s="260"/>
      <c r="B885" s="104"/>
      <c r="C885" s="104"/>
      <c r="D885" s="260"/>
      <c r="E885" s="104"/>
      <c r="F885" s="104"/>
      <c r="G885" s="35"/>
      <c r="H885" s="104"/>
      <c r="I885" s="35"/>
      <c r="J885" s="74"/>
      <c r="K885" s="74"/>
      <c r="L885" s="74"/>
      <c r="M885" s="74"/>
      <c r="N885" s="74"/>
      <c r="O885" s="74"/>
      <c r="P885" s="74"/>
      <c r="Q885" s="74"/>
      <c r="R885" s="74"/>
      <c r="S885" s="74"/>
      <c r="T885" s="74"/>
      <c r="U885" s="74"/>
      <c r="V885" s="74"/>
      <c r="W885" s="74"/>
      <c r="X885" s="74"/>
      <c r="Y885" s="74"/>
      <c r="Z885" s="74"/>
      <c r="AA885" s="74"/>
      <c r="AB885" s="74"/>
    </row>
    <row r="886" spans="1:28" ht="12" customHeight="1">
      <c r="A886" s="260"/>
      <c r="B886" s="104"/>
      <c r="C886" s="104"/>
      <c r="D886" s="260"/>
      <c r="E886" s="104"/>
      <c r="F886" s="104"/>
      <c r="G886" s="35"/>
      <c r="H886" s="104"/>
      <c r="I886" s="35"/>
      <c r="J886" s="74"/>
      <c r="K886" s="74"/>
      <c r="L886" s="74"/>
      <c r="M886" s="74"/>
      <c r="N886" s="74"/>
      <c r="O886" s="74"/>
      <c r="P886" s="74"/>
      <c r="Q886" s="74"/>
      <c r="R886" s="74"/>
      <c r="S886" s="74"/>
      <c r="T886" s="74"/>
      <c r="U886" s="74"/>
      <c r="V886" s="74"/>
      <c r="W886" s="74"/>
      <c r="X886" s="74"/>
      <c r="Y886" s="74"/>
      <c r="Z886" s="74"/>
      <c r="AA886" s="74"/>
      <c r="AB886" s="74"/>
    </row>
    <row r="887" spans="1:28" ht="12" customHeight="1">
      <c r="A887" s="260"/>
      <c r="B887" s="104"/>
      <c r="C887" s="104"/>
      <c r="D887" s="260"/>
      <c r="E887" s="104"/>
      <c r="F887" s="104"/>
      <c r="G887" s="35"/>
      <c r="H887" s="104"/>
      <c r="I887" s="35"/>
      <c r="J887" s="74"/>
      <c r="K887" s="74"/>
      <c r="L887" s="74"/>
      <c r="M887" s="74"/>
      <c r="N887" s="74"/>
      <c r="O887" s="74"/>
      <c r="P887" s="74"/>
      <c r="Q887" s="74"/>
      <c r="R887" s="74"/>
      <c r="S887" s="74"/>
      <c r="T887" s="74"/>
      <c r="U887" s="74"/>
      <c r="V887" s="74"/>
      <c r="W887" s="74"/>
      <c r="X887" s="74"/>
      <c r="Y887" s="74"/>
      <c r="Z887" s="74"/>
      <c r="AA887" s="74"/>
      <c r="AB887" s="74"/>
    </row>
    <row r="888" spans="1:28" ht="12" customHeight="1">
      <c r="A888" s="260"/>
      <c r="B888" s="104"/>
      <c r="C888" s="104"/>
      <c r="D888" s="260"/>
      <c r="E888" s="104"/>
      <c r="F888" s="104"/>
      <c r="G888" s="35"/>
      <c r="H888" s="104"/>
      <c r="I888" s="35"/>
      <c r="J888" s="74"/>
      <c r="K888" s="74"/>
      <c r="L888" s="74"/>
      <c r="M888" s="74"/>
      <c r="N888" s="74"/>
      <c r="O888" s="74"/>
      <c r="P888" s="74"/>
      <c r="Q888" s="74"/>
      <c r="R888" s="74"/>
      <c r="S888" s="74"/>
      <c r="T888" s="74"/>
      <c r="U888" s="74"/>
      <c r="V888" s="74"/>
      <c r="W888" s="74"/>
      <c r="X888" s="74"/>
      <c r="Y888" s="74"/>
      <c r="Z888" s="74"/>
      <c r="AA888" s="74"/>
      <c r="AB888" s="74"/>
    </row>
    <row r="889" spans="1:28" ht="12" customHeight="1">
      <c r="A889" s="260"/>
      <c r="B889" s="104"/>
      <c r="C889" s="104"/>
      <c r="D889" s="260"/>
      <c r="E889" s="104"/>
      <c r="F889" s="104"/>
      <c r="G889" s="35"/>
      <c r="H889" s="104"/>
      <c r="I889" s="35"/>
      <c r="J889" s="74"/>
      <c r="K889" s="74"/>
      <c r="L889" s="74"/>
      <c r="M889" s="74"/>
      <c r="N889" s="74"/>
      <c r="O889" s="74"/>
      <c r="P889" s="74"/>
      <c r="Q889" s="74"/>
      <c r="R889" s="74"/>
      <c r="S889" s="74"/>
      <c r="T889" s="74"/>
      <c r="U889" s="74"/>
      <c r="V889" s="74"/>
      <c r="W889" s="74"/>
      <c r="X889" s="74"/>
      <c r="Y889" s="74"/>
      <c r="Z889" s="74"/>
      <c r="AA889" s="74"/>
      <c r="AB889" s="74"/>
    </row>
    <row r="890" spans="1:28" ht="12" customHeight="1">
      <c r="A890" s="260"/>
      <c r="B890" s="104"/>
      <c r="C890" s="104"/>
      <c r="D890" s="260"/>
      <c r="E890" s="104"/>
      <c r="F890" s="104"/>
      <c r="G890" s="35"/>
      <c r="H890" s="104"/>
      <c r="I890" s="35"/>
      <c r="J890" s="74"/>
      <c r="K890" s="74"/>
      <c r="L890" s="74"/>
      <c r="M890" s="74"/>
      <c r="N890" s="74"/>
      <c r="O890" s="74"/>
      <c r="P890" s="74"/>
      <c r="Q890" s="74"/>
      <c r="R890" s="74"/>
      <c r="S890" s="74"/>
      <c r="T890" s="74"/>
      <c r="U890" s="74"/>
      <c r="V890" s="74"/>
      <c r="W890" s="74"/>
      <c r="X890" s="74"/>
      <c r="Y890" s="74"/>
      <c r="Z890" s="74"/>
      <c r="AA890" s="74"/>
      <c r="AB890" s="74"/>
    </row>
    <row r="891" spans="1:28" ht="12" customHeight="1">
      <c r="A891" s="260"/>
      <c r="B891" s="104"/>
      <c r="C891" s="104"/>
      <c r="D891" s="260"/>
      <c r="E891" s="104"/>
      <c r="F891" s="104"/>
      <c r="G891" s="35"/>
      <c r="H891" s="104"/>
      <c r="I891" s="35"/>
      <c r="J891" s="74"/>
      <c r="K891" s="74"/>
      <c r="L891" s="74"/>
      <c r="M891" s="74"/>
      <c r="N891" s="74"/>
      <c r="O891" s="74"/>
      <c r="P891" s="74"/>
      <c r="Q891" s="74"/>
      <c r="R891" s="74"/>
      <c r="S891" s="74"/>
      <c r="T891" s="74"/>
      <c r="U891" s="74"/>
      <c r="V891" s="74"/>
      <c r="W891" s="74"/>
      <c r="X891" s="74"/>
      <c r="Y891" s="74"/>
      <c r="Z891" s="74"/>
      <c r="AA891" s="74"/>
      <c r="AB891" s="74"/>
    </row>
    <row r="892" spans="1:28" ht="12" customHeight="1">
      <c r="A892" s="260"/>
      <c r="B892" s="104"/>
      <c r="C892" s="104"/>
      <c r="D892" s="260"/>
      <c r="E892" s="104"/>
      <c r="F892" s="104"/>
      <c r="G892" s="35"/>
      <c r="H892" s="104"/>
      <c r="I892" s="35"/>
      <c r="J892" s="74"/>
      <c r="K892" s="74"/>
      <c r="L892" s="74"/>
      <c r="M892" s="74"/>
      <c r="N892" s="74"/>
      <c r="O892" s="74"/>
      <c r="P892" s="74"/>
      <c r="Q892" s="74"/>
      <c r="R892" s="74"/>
      <c r="S892" s="74"/>
      <c r="T892" s="74"/>
      <c r="U892" s="74"/>
      <c r="V892" s="74"/>
      <c r="W892" s="74"/>
      <c r="X892" s="74"/>
      <c r="Y892" s="74"/>
      <c r="Z892" s="74"/>
      <c r="AA892" s="74"/>
      <c r="AB892" s="74"/>
    </row>
    <row r="893" spans="1:28" ht="12" customHeight="1">
      <c r="A893" s="260"/>
      <c r="B893" s="104"/>
      <c r="C893" s="104"/>
      <c r="D893" s="260"/>
      <c r="E893" s="104"/>
      <c r="F893" s="104"/>
      <c r="G893" s="35"/>
      <c r="H893" s="104"/>
      <c r="I893" s="35"/>
      <c r="J893" s="74"/>
      <c r="K893" s="74"/>
      <c r="L893" s="74"/>
      <c r="M893" s="74"/>
      <c r="N893" s="74"/>
      <c r="O893" s="74"/>
      <c r="P893" s="74"/>
      <c r="Q893" s="74"/>
      <c r="R893" s="74"/>
      <c r="S893" s="74"/>
      <c r="T893" s="74"/>
      <c r="U893" s="74"/>
      <c r="V893" s="74"/>
      <c r="W893" s="74"/>
      <c r="X893" s="74"/>
      <c r="Y893" s="74"/>
      <c r="Z893" s="74"/>
      <c r="AA893" s="74"/>
      <c r="AB893" s="74"/>
    </row>
    <row r="894" spans="1:28" ht="12" customHeight="1">
      <c r="A894" s="260"/>
      <c r="B894" s="104"/>
      <c r="C894" s="104"/>
      <c r="D894" s="260"/>
      <c r="E894" s="104"/>
      <c r="F894" s="104"/>
      <c r="G894" s="35"/>
      <c r="H894" s="104"/>
      <c r="I894" s="35"/>
      <c r="J894" s="74"/>
      <c r="K894" s="74"/>
      <c r="L894" s="74"/>
      <c r="M894" s="74"/>
      <c r="N894" s="74"/>
      <c r="O894" s="74"/>
      <c r="P894" s="74"/>
      <c r="Q894" s="74"/>
      <c r="R894" s="74"/>
      <c r="S894" s="74"/>
      <c r="T894" s="74"/>
      <c r="U894" s="74"/>
      <c r="V894" s="74"/>
      <c r="W894" s="74"/>
      <c r="X894" s="74"/>
      <c r="Y894" s="74"/>
      <c r="Z894" s="74"/>
      <c r="AA894" s="74"/>
      <c r="AB894" s="74"/>
    </row>
    <row r="895" spans="1:28" ht="12" customHeight="1">
      <c r="A895" s="260"/>
      <c r="B895" s="104"/>
      <c r="C895" s="104"/>
      <c r="D895" s="260"/>
      <c r="E895" s="104"/>
      <c r="F895" s="104"/>
      <c r="G895" s="35"/>
      <c r="H895" s="104"/>
      <c r="I895" s="35"/>
      <c r="J895" s="74"/>
      <c r="K895" s="74"/>
      <c r="L895" s="74"/>
      <c r="M895" s="74"/>
      <c r="N895" s="74"/>
      <c r="O895" s="74"/>
      <c r="P895" s="74"/>
      <c r="Q895" s="74"/>
      <c r="R895" s="74"/>
      <c r="S895" s="74"/>
      <c r="T895" s="74"/>
      <c r="U895" s="74"/>
      <c r="V895" s="74"/>
      <c r="W895" s="74"/>
      <c r="X895" s="74"/>
      <c r="Y895" s="74"/>
      <c r="Z895" s="74"/>
      <c r="AA895" s="74"/>
      <c r="AB895" s="74"/>
    </row>
    <row r="896" spans="1:28" ht="12" customHeight="1">
      <c r="A896" s="260"/>
      <c r="B896" s="104"/>
      <c r="C896" s="104"/>
      <c r="D896" s="260"/>
      <c r="E896" s="104"/>
      <c r="F896" s="104"/>
      <c r="G896" s="35"/>
      <c r="H896" s="104"/>
      <c r="I896" s="35"/>
      <c r="J896" s="74"/>
      <c r="K896" s="74"/>
      <c r="L896" s="74"/>
      <c r="M896" s="74"/>
      <c r="N896" s="74"/>
      <c r="O896" s="74"/>
      <c r="P896" s="74"/>
      <c r="Q896" s="74"/>
      <c r="R896" s="74"/>
      <c r="S896" s="74"/>
      <c r="T896" s="74"/>
      <c r="U896" s="74"/>
      <c r="V896" s="74"/>
      <c r="W896" s="74"/>
      <c r="X896" s="74"/>
      <c r="Y896" s="74"/>
      <c r="Z896" s="74"/>
      <c r="AA896" s="74"/>
      <c r="AB896" s="74"/>
    </row>
    <row r="897" spans="1:28" ht="12" customHeight="1">
      <c r="A897" s="260"/>
      <c r="B897" s="104"/>
      <c r="C897" s="104"/>
      <c r="D897" s="260"/>
      <c r="E897" s="104"/>
      <c r="F897" s="104"/>
      <c r="G897" s="35"/>
      <c r="H897" s="104"/>
      <c r="I897" s="35"/>
      <c r="J897" s="74"/>
      <c r="K897" s="74"/>
      <c r="L897" s="74"/>
      <c r="M897" s="74"/>
      <c r="N897" s="74"/>
      <c r="O897" s="74"/>
      <c r="P897" s="74"/>
      <c r="Q897" s="74"/>
      <c r="R897" s="74"/>
      <c r="S897" s="74"/>
      <c r="T897" s="74"/>
      <c r="U897" s="74"/>
      <c r="V897" s="74"/>
      <c r="W897" s="74"/>
      <c r="X897" s="74"/>
      <c r="Y897" s="74"/>
      <c r="Z897" s="74"/>
      <c r="AA897" s="74"/>
      <c r="AB897" s="74"/>
    </row>
    <row r="898" spans="1:28" ht="12" customHeight="1">
      <c r="A898" s="260"/>
      <c r="B898" s="104"/>
      <c r="C898" s="104"/>
      <c r="D898" s="260"/>
      <c r="E898" s="104"/>
      <c r="F898" s="104"/>
      <c r="G898" s="35"/>
      <c r="H898" s="104"/>
      <c r="I898" s="35"/>
      <c r="J898" s="74"/>
      <c r="K898" s="74"/>
      <c r="L898" s="74"/>
      <c r="M898" s="74"/>
      <c r="N898" s="74"/>
      <c r="O898" s="74"/>
      <c r="P898" s="74"/>
      <c r="Q898" s="74"/>
      <c r="R898" s="74"/>
      <c r="S898" s="74"/>
      <c r="T898" s="74"/>
      <c r="U898" s="74"/>
      <c r="V898" s="74"/>
      <c r="W898" s="74"/>
      <c r="X898" s="74"/>
      <c r="Y898" s="74"/>
      <c r="Z898" s="74"/>
      <c r="AA898" s="74"/>
      <c r="AB898" s="74"/>
    </row>
    <row r="899" spans="1:28" ht="12" customHeight="1">
      <c r="A899" s="260"/>
      <c r="B899" s="104"/>
      <c r="C899" s="104"/>
      <c r="D899" s="260"/>
      <c r="E899" s="104"/>
      <c r="F899" s="104"/>
      <c r="G899" s="35"/>
      <c r="H899" s="104"/>
      <c r="I899" s="35"/>
      <c r="J899" s="74"/>
      <c r="K899" s="74"/>
      <c r="L899" s="74"/>
      <c r="M899" s="74"/>
      <c r="N899" s="74"/>
      <c r="O899" s="74"/>
      <c r="P899" s="74"/>
      <c r="Q899" s="74"/>
      <c r="R899" s="74"/>
      <c r="S899" s="74"/>
      <c r="T899" s="74"/>
      <c r="U899" s="74"/>
      <c r="V899" s="74"/>
      <c r="W899" s="74"/>
      <c r="X899" s="74"/>
      <c r="Y899" s="74"/>
      <c r="Z899" s="74"/>
      <c r="AA899" s="74"/>
      <c r="AB899" s="74"/>
    </row>
    <row r="900" spans="1:28" ht="12" customHeight="1">
      <c r="A900" s="260"/>
      <c r="B900" s="104"/>
      <c r="C900" s="104"/>
      <c r="D900" s="260"/>
      <c r="E900" s="104"/>
      <c r="F900" s="104"/>
      <c r="G900" s="35"/>
      <c r="H900" s="104"/>
      <c r="I900" s="35"/>
      <c r="J900" s="74"/>
      <c r="K900" s="74"/>
      <c r="L900" s="74"/>
      <c r="M900" s="74"/>
      <c r="N900" s="74"/>
      <c r="O900" s="74"/>
      <c r="P900" s="74"/>
      <c r="Q900" s="74"/>
      <c r="R900" s="74"/>
      <c r="S900" s="74"/>
      <c r="T900" s="74"/>
      <c r="U900" s="74"/>
      <c r="V900" s="74"/>
      <c r="W900" s="74"/>
      <c r="X900" s="74"/>
      <c r="Y900" s="74"/>
      <c r="Z900" s="74"/>
      <c r="AA900" s="74"/>
      <c r="AB900" s="74"/>
    </row>
    <row r="901" spans="1:28" ht="12" customHeight="1">
      <c r="A901" s="260"/>
      <c r="B901" s="104"/>
      <c r="C901" s="104"/>
      <c r="D901" s="260"/>
      <c r="E901" s="104"/>
      <c r="F901" s="104"/>
      <c r="G901" s="35"/>
      <c r="H901" s="104"/>
      <c r="I901" s="35"/>
      <c r="J901" s="74"/>
      <c r="K901" s="74"/>
      <c r="L901" s="74"/>
      <c r="M901" s="74"/>
      <c r="N901" s="74"/>
      <c r="O901" s="74"/>
      <c r="P901" s="74"/>
      <c r="Q901" s="74"/>
      <c r="R901" s="74"/>
      <c r="S901" s="74"/>
      <c r="T901" s="74"/>
      <c r="U901" s="74"/>
      <c r="V901" s="74"/>
      <c r="W901" s="74"/>
      <c r="X901" s="74"/>
      <c r="Y901" s="74"/>
      <c r="Z901" s="74"/>
      <c r="AA901" s="74"/>
      <c r="AB901" s="74"/>
    </row>
    <row r="902" spans="1:28" ht="12" customHeight="1">
      <c r="A902" s="260"/>
      <c r="B902" s="104"/>
      <c r="C902" s="104"/>
      <c r="D902" s="260"/>
      <c r="E902" s="104"/>
      <c r="F902" s="104"/>
      <c r="G902" s="35"/>
      <c r="H902" s="104"/>
      <c r="I902" s="35"/>
      <c r="J902" s="74"/>
      <c r="K902" s="74"/>
      <c r="L902" s="74"/>
      <c r="M902" s="74"/>
      <c r="N902" s="74"/>
      <c r="O902" s="74"/>
      <c r="P902" s="74"/>
      <c r="Q902" s="74"/>
      <c r="R902" s="74"/>
      <c r="S902" s="74"/>
      <c r="T902" s="74"/>
      <c r="U902" s="74"/>
      <c r="V902" s="74"/>
      <c r="W902" s="74"/>
      <c r="X902" s="74"/>
      <c r="Y902" s="74"/>
      <c r="Z902" s="74"/>
      <c r="AA902" s="74"/>
      <c r="AB902" s="74"/>
    </row>
    <row r="903" spans="1:28" ht="12" customHeight="1">
      <c r="A903" s="260"/>
      <c r="B903" s="104"/>
      <c r="C903" s="104"/>
      <c r="D903" s="260"/>
      <c r="E903" s="104"/>
      <c r="F903" s="104"/>
      <c r="G903" s="35"/>
      <c r="H903" s="104"/>
      <c r="I903" s="35"/>
      <c r="J903" s="74"/>
      <c r="K903" s="74"/>
      <c r="L903" s="74"/>
      <c r="M903" s="74"/>
      <c r="N903" s="74"/>
      <c r="O903" s="74"/>
      <c r="P903" s="74"/>
      <c r="Q903" s="74"/>
      <c r="R903" s="74"/>
      <c r="S903" s="74"/>
      <c r="T903" s="74"/>
      <c r="U903" s="74"/>
      <c r="V903" s="74"/>
      <c r="W903" s="74"/>
      <c r="X903" s="74"/>
      <c r="Y903" s="74"/>
      <c r="Z903" s="74"/>
      <c r="AA903" s="74"/>
      <c r="AB903" s="74"/>
    </row>
    <row r="904" spans="1:28" ht="12" customHeight="1">
      <c r="A904" s="260"/>
      <c r="B904" s="104"/>
      <c r="C904" s="104"/>
      <c r="D904" s="260"/>
      <c r="E904" s="104"/>
      <c r="F904" s="104"/>
      <c r="G904" s="35"/>
      <c r="H904" s="104"/>
      <c r="I904" s="35"/>
      <c r="J904" s="74"/>
      <c r="K904" s="74"/>
      <c r="L904" s="74"/>
      <c r="M904" s="74"/>
      <c r="N904" s="74"/>
      <c r="O904" s="74"/>
      <c r="P904" s="74"/>
      <c r="Q904" s="74"/>
      <c r="R904" s="74"/>
      <c r="S904" s="74"/>
      <c r="T904" s="74"/>
      <c r="U904" s="74"/>
      <c r="V904" s="74"/>
      <c r="W904" s="74"/>
      <c r="X904" s="74"/>
      <c r="Y904" s="74"/>
      <c r="Z904" s="74"/>
      <c r="AA904" s="74"/>
      <c r="AB904" s="74"/>
    </row>
    <row r="905" spans="1:28" ht="12" customHeight="1">
      <c r="A905" s="260"/>
      <c r="B905" s="104"/>
      <c r="C905" s="104"/>
      <c r="D905" s="260"/>
      <c r="E905" s="104"/>
      <c r="F905" s="104"/>
      <c r="G905" s="35"/>
      <c r="H905" s="104"/>
      <c r="I905" s="35"/>
      <c r="J905" s="74"/>
      <c r="K905" s="74"/>
      <c r="L905" s="74"/>
      <c r="M905" s="74"/>
      <c r="N905" s="74"/>
      <c r="O905" s="74"/>
      <c r="P905" s="74"/>
      <c r="Q905" s="74"/>
      <c r="R905" s="74"/>
      <c r="S905" s="74"/>
      <c r="T905" s="74"/>
      <c r="U905" s="74"/>
      <c r="V905" s="74"/>
      <c r="W905" s="74"/>
      <c r="X905" s="74"/>
      <c r="Y905" s="74"/>
      <c r="Z905" s="74"/>
      <c r="AA905" s="74"/>
      <c r="AB905" s="74"/>
    </row>
    <row r="906" spans="1:28" ht="12" customHeight="1">
      <c r="A906" s="260"/>
      <c r="B906" s="104"/>
      <c r="C906" s="104"/>
      <c r="D906" s="260"/>
      <c r="E906" s="104"/>
      <c r="F906" s="104"/>
      <c r="G906" s="35"/>
      <c r="H906" s="104"/>
      <c r="I906" s="35"/>
      <c r="J906" s="74"/>
      <c r="K906" s="74"/>
      <c r="L906" s="74"/>
      <c r="M906" s="74"/>
      <c r="N906" s="74"/>
      <c r="O906" s="74"/>
      <c r="P906" s="74"/>
      <c r="Q906" s="74"/>
      <c r="R906" s="74"/>
      <c r="S906" s="74"/>
      <c r="T906" s="74"/>
      <c r="U906" s="74"/>
      <c r="V906" s="74"/>
      <c r="W906" s="74"/>
      <c r="X906" s="74"/>
      <c r="Y906" s="74"/>
      <c r="Z906" s="74"/>
      <c r="AA906" s="74"/>
      <c r="AB906" s="74"/>
    </row>
    <row r="907" spans="1:28" ht="12" customHeight="1">
      <c r="A907" s="260"/>
      <c r="B907" s="104"/>
      <c r="C907" s="104"/>
      <c r="D907" s="260"/>
      <c r="E907" s="104"/>
      <c r="F907" s="104"/>
      <c r="G907" s="35"/>
      <c r="H907" s="104"/>
      <c r="I907" s="35"/>
      <c r="J907" s="74"/>
      <c r="K907" s="74"/>
      <c r="L907" s="74"/>
      <c r="M907" s="74"/>
      <c r="N907" s="74"/>
      <c r="O907" s="74"/>
      <c r="P907" s="74"/>
      <c r="Q907" s="74"/>
      <c r="R907" s="74"/>
      <c r="S907" s="74"/>
      <c r="T907" s="74"/>
      <c r="U907" s="74"/>
      <c r="V907" s="74"/>
      <c r="W907" s="74"/>
      <c r="X907" s="74"/>
      <c r="Y907" s="74"/>
      <c r="Z907" s="74"/>
      <c r="AA907" s="74"/>
      <c r="AB907" s="74"/>
    </row>
    <row r="908" spans="1:28" ht="12" customHeight="1">
      <c r="A908" s="260"/>
      <c r="B908" s="104"/>
      <c r="C908" s="104"/>
      <c r="D908" s="260"/>
      <c r="E908" s="104"/>
      <c r="F908" s="104"/>
      <c r="G908" s="35"/>
      <c r="H908" s="104"/>
      <c r="I908" s="35"/>
      <c r="J908" s="74"/>
      <c r="K908" s="74"/>
      <c r="L908" s="74"/>
      <c r="M908" s="74"/>
      <c r="N908" s="74"/>
      <c r="O908" s="74"/>
      <c r="P908" s="74"/>
      <c r="Q908" s="74"/>
      <c r="R908" s="74"/>
      <c r="S908" s="74"/>
      <c r="T908" s="74"/>
      <c r="U908" s="74"/>
      <c r="V908" s="74"/>
      <c r="W908" s="74"/>
      <c r="X908" s="74"/>
      <c r="Y908" s="74"/>
      <c r="Z908" s="74"/>
      <c r="AA908" s="74"/>
      <c r="AB908" s="74"/>
    </row>
    <row r="909" spans="1:28" ht="12" customHeight="1">
      <c r="A909" s="260"/>
      <c r="B909" s="104"/>
      <c r="C909" s="104"/>
      <c r="D909" s="260"/>
      <c r="E909" s="104"/>
      <c r="F909" s="104"/>
      <c r="G909" s="35"/>
      <c r="H909" s="104"/>
      <c r="I909" s="35"/>
      <c r="J909" s="74"/>
      <c r="K909" s="74"/>
      <c r="L909" s="74"/>
      <c r="M909" s="74"/>
      <c r="N909" s="74"/>
      <c r="O909" s="74"/>
      <c r="P909" s="74"/>
      <c r="Q909" s="74"/>
      <c r="R909" s="74"/>
      <c r="S909" s="74"/>
      <c r="T909" s="74"/>
      <c r="U909" s="74"/>
      <c r="V909" s="74"/>
      <c r="W909" s="74"/>
      <c r="X909" s="74"/>
      <c r="Y909" s="74"/>
      <c r="Z909" s="74"/>
      <c r="AA909" s="74"/>
      <c r="AB909" s="74"/>
    </row>
    <row r="910" spans="1:28" ht="12" customHeight="1">
      <c r="A910" s="260"/>
      <c r="B910" s="104"/>
      <c r="C910" s="104"/>
      <c r="D910" s="260"/>
      <c r="E910" s="104"/>
      <c r="F910" s="104"/>
      <c r="G910" s="35"/>
      <c r="H910" s="104"/>
      <c r="I910" s="35"/>
      <c r="J910" s="74"/>
      <c r="K910" s="74"/>
      <c r="L910" s="74"/>
      <c r="M910" s="74"/>
      <c r="N910" s="74"/>
      <c r="O910" s="74"/>
      <c r="P910" s="74"/>
      <c r="Q910" s="74"/>
      <c r="R910" s="74"/>
      <c r="S910" s="74"/>
      <c r="T910" s="74"/>
      <c r="U910" s="74"/>
      <c r="V910" s="74"/>
      <c r="W910" s="74"/>
      <c r="X910" s="74"/>
      <c r="Y910" s="74"/>
      <c r="Z910" s="74"/>
      <c r="AA910" s="74"/>
      <c r="AB910" s="74"/>
    </row>
    <row r="911" spans="1:28" ht="12" customHeight="1">
      <c r="A911" s="260"/>
      <c r="B911" s="104"/>
      <c r="C911" s="104"/>
      <c r="D911" s="260"/>
      <c r="E911" s="104"/>
      <c r="F911" s="104"/>
      <c r="G911" s="35"/>
      <c r="H911" s="104"/>
      <c r="I911" s="35"/>
      <c r="J911" s="74"/>
      <c r="K911" s="74"/>
      <c r="L911" s="74"/>
      <c r="M911" s="74"/>
      <c r="N911" s="74"/>
      <c r="O911" s="74"/>
      <c r="P911" s="74"/>
      <c r="Q911" s="74"/>
      <c r="R911" s="74"/>
      <c r="S911" s="74"/>
      <c r="T911" s="74"/>
      <c r="U911" s="74"/>
      <c r="V911" s="74"/>
      <c r="W911" s="74"/>
      <c r="X911" s="74"/>
      <c r="Y911" s="74"/>
      <c r="Z911" s="74"/>
      <c r="AA911" s="74"/>
      <c r="AB911" s="74"/>
    </row>
    <row r="912" spans="1:28" ht="12" customHeight="1">
      <c r="A912" s="260"/>
      <c r="B912" s="104"/>
      <c r="C912" s="104"/>
      <c r="D912" s="260"/>
      <c r="E912" s="104"/>
      <c r="F912" s="104"/>
      <c r="G912" s="35"/>
      <c r="H912" s="104"/>
      <c r="I912" s="35"/>
      <c r="J912" s="74"/>
      <c r="K912" s="74"/>
      <c r="L912" s="74"/>
      <c r="M912" s="74"/>
      <c r="N912" s="74"/>
      <c r="O912" s="74"/>
      <c r="P912" s="74"/>
      <c r="Q912" s="74"/>
      <c r="R912" s="74"/>
      <c r="S912" s="74"/>
      <c r="T912" s="74"/>
      <c r="U912" s="74"/>
      <c r="V912" s="74"/>
      <c r="W912" s="74"/>
      <c r="X912" s="74"/>
      <c r="Y912" s="74"/>
      <c r="Z912" s="74"/>
      <c r="AA912" s="74"/>
      <c r="AB912" s="74"/>
    </row>
    <row r="913" spans="1:28" ht="12" customHeight="1">
      <c r="A913" s="260"/>
      <c r="B913" s="104"/>
      <c r="C913" s="104"/>
      <c r="D913" s="260"/>
      <c r="E913" s="104"/>
      <c r="F913" s="104"/>
      <c r="G913" s="35"/>
      <c r="H913" s="104"/>
      <c r="I913" s="35"/>
      <c r="J913" s="74"/>
      <c r="K913" s="74"/>
      <c r="L913" s="74"/>
      <c r="M913" s="74"/>
      <c r="N913" s="74"/>
      <c r="O913" s="74"/>
      <c r="P913" s="74"/>
      <c r="Q913" s="74"/>
      <c r="R913" s="74"/>
      <c r="S913" s="74"/>
      <c r="T913" s="74"/>
      <c r="U913" s="74"/>
      <c r="V913" s="74"/>
      <c r="W913" s="74"/>
      <c r="X913" s="74"/>
      <c r="Y913" s="74"/>
      <c r="Z913" s="74"/>
      <c r="AA913" s="74"/>
      <c r="AB913" s="74"/>
    </row>
    <row r="914" spans="1:28" ht="12" customHeight="1">
      <c r="A914" s="260"/>
      <c r="B914" s="104"/>
      <c r="C914" s="104"/>
      <c r="D914" s="260"/>
      <c r="E914" s="104"/>
      <c r="F914" s="104"/>
      <c r="G914" s="35"/>
      <c r="H914" s="104"/>
      <c r="I914" s="35"/>
      <c r="J914" s="74"/>
      <c r="K914" s="74"/>
      <c r="L914" s="74"/>
      <c r="M914" s="74"/>
      <c r="N914" s="74"/>
      <c r="O914" s="74"/>
      <c r="P914" s="74"/>
      <c r="Q914" s="74"/>
      <c r="R914" s="74"/>
      <c r="S914" s="74"/>
      <c r="T914" s="74"/>
      <c r="U914" s="74"/>
      <c r="V914" s="74"/>
      <c r="W914" s="74"/>
      <c r="X914" s="74"/>
      <c r="Y914" s="74"/>
      <c r="Z914" s="74"/>
      <c r="AA914" s="74"/>
      <c r="AB914" s="74"/>
    </row>
    <row r="915" spans="1:28" ht="12" customHeight="1">
      <c r="A915" s="260"/>
      <c r="B915" s="104"/>
      <c r="C915" s="104"/>
      <c r="D915" s="260"/>
      <c r="E915" s="104"/>
      <c r="F915" s="104"/>
      <c r="G915" s="35"/>
      <c r="H915" s="104"/>
      <c r="I915" s="35"/>
      <c r="J915" s="74"/>
      <c r="K915" s="74"/>
      <c r="L915" s="74"/>
      <c r="M915" s="74"/>
      <c r="N915" s="74"/>
      <c r="O915" s="74"/>
      <c r="P915" s="74"/>
      <c r="Q915" s="74"/>
      <c r="R915" s="74"/>
      <c r="S915" s="74"/>
      <c r="T915" s="74"/>
      <c r="U915" s="74"/>
      <c r="V915" s="74"/>
      <c r="W915" s="74"/>
      <c r="X915" s="74"/>
      <c r="Y915" s="74"/>
      <c r="Z915" s="74"/>
      <c r="AA915" s="74"/>
      <c r="AB915" s="74"/>
    </row>
    <row r="916" spans="1:28" ht="12" customHeight="1">
      <c r="A916" s="260"/>
      <c r="B916" s="104"/>
      <c r="C916" s="104"/>
      <c r="D916" s="260"/>
      <c r="E916" s="104"/>
      <c r="F916" s="104"/>
      <c r="G916" s="35"/>
      <c r="H916" s="104"/>
      <c r="I916" s="35"/>
      <c r="J916" s="74"/>
      <c r="K916" s="74"/>
      <c r="L916" s="74"/>
      <c r="M916" s="74"/>
      <c r="N916" s="74"/>
      <c r="O916" s="74"/>
      <c r="P916" s="74"/>
      <c r="Q916" s="74"/>
      <c r="R916" s="74"/>
      <c r="S916" s="74"/>
      <c r="T916" s="74"/>
      <c r="U916" s="74"/>
      <c r="V916" s="74"/>
      <c r="W916" s="74"/>
      <c r="X916" s="74"/>
      <c r="Y916" s="74"/>
      <c r="Z916" s="74"/>
      <c r="AA916" s="74"/>
      <c r="AB916" s="74"/>
    </row>
    <row r="917" spans="1:28" ht="12" customHeight="1">
      <c r="A917" s="260"/>
      <c r="B917" s="104"/>
      <c r="C917" s="104"/>
      <c r="D917" s="260"/>
      <c r="E917" s="104"/>
      <c r="F917" s="104"/>
      <c r="G917" s="35"/>
      <c r="H917" s="104"/>
      <c r="I917" s="35"/>
      <c r="J917" s="74"/>
      <c r="K917" s="74"/>
      <c r="L917" s="74"/>
      <c r="M917" s="74"/>
      <c r="N917" s="74"/>
      <c r="O917" s="74"/>
      <c r="P917" s="74"/>
      <c r="Q917" s="74"/>
      <c r="R917" s="74"/>
      <c r="S917" s="74"/>
      <c r="T917" s="74"/>
      <c r="U917" s="74"/>
      <c r="V917" s="74"/>
      <c r="W917" s="74"/>
      <c r="X917" s="74"/>
      <c r="Y917" s="74"/>
      <c r="Z917" s="74"/>
      <c r="AA917" s="74"/>
      <c r="AB917" s="74"/>
    </row>
    <row r="918" spans="1:28" ht="12" customHeight="1">
      <c r="A918" s="260"/>
      <c r="B918" s="104"/>
      <c r="C918" s="104"/>
      <c r="D918" s="260"/>
      <c r="E918" s="104"/>
      <c r="F918" s="104"/>
      <c r="G918" s="35"/>
      <c r="H918" s="104"/>
      <c r="I918" s="35"/>
      <c r="J918" s="74"/>
      <c r="K918" s="74"/>
      <c r="L918" s="74"/>
      <c r="M918" s="74"/>
      <c r="N918" s="74"/>
      <c r="O918" s="74"/>
      <c r="P918" s="74"/>
      <c r="Q918" s="74"/>
      <c r="R918" s="74"/>
      <c r="S918" s="74"/>
      <c r="T918" s="74"/>
      <c r="U918" s="74"/>
      <c r="V918" s="74"/>
      <c r="W918" s="74"/>
      <c r="X918" s="74"/>
      <c r="Y918" s="74"/>
      <c r="Z918" s="74"/>
      <c r="AA918" s="74"/>
      <c r="AB918" s="74"/>
    </row>
    <row r="919" spans="1:28" ht="12" customHeight="1">
      <c r="A919" s="260"/>
      <c r="B919" s="104"/>
      <c r="C919" s="104"/>
      <c r="D919" s="260"/>
      <c r="E919" s="104"/>
      <c r="F919" s="104"/>
      <c r="G919" s="35"/>
      <c r="H919" s="104"/>
      <c r="I919" s="35"/>
      <c r="J919" s="74"/>
      <c r="K919" s="74"/>
      <c r="L919" s="74"/>
      <c r="M919" s="74"/>
      <c r="N919" s="74"/>
      <c r="O919" s="74"/>
      <c r="P919" s="74"/>
      <c r="Q919" s="74"/>
      <c r="R919" s="74"/>
      <c r="S919" s="74"/>
      <c r="T919" s="74"/>
      <c r="U919" s="74"/>
      <c r="V919" s="74"/>
      <c r="W919" s="74"/>
      <c r="X919" s="74"/>
      <c r="Y919" s="74"/>
      <c r="Z919" s="74"/>
      <c r="AA919" s="74"/>
      <c r="AB919" s="74"/>
    </row>
    <row r="920" spans="1:28" ht="12" customHeight="1">
      <c r="A920" s="260"/>
      <c r="B920" s="104"/>
      <c r="C920" s="104"/>
      <c r="D920" s="260"/>
      <c r="E920" s="104"/>
      <c r="F920" s="104"/>
      <c r="G920" s="35"/>
      <c r="H920" s="104"/>
      <c r="I920" s="35"/>
      <c r="J920" s="74"/>
      <c r="K920" s="74"/>
      <c r="L920" s="74"/>
      <c r="M920" s="74"/>
      <c r="N920" s="74"/>
      <c r="O920" s="74"/>
      <c r="P920" s="74"/>
      <c r="Q920" s="74"/>
      <c r="R920" s="74"/>
      <c r="S920" s="74"/>
      <c r="T920" s="74"/>
      <c r="U920" s="74"/>
      <c r="V920" s="74"/>
      <c r="W920" s="74"/>
      <c r="X920" s="74"/>
      <c r="Y920" s="74"/>
      <c r="Z920" s="74"/>
      <c r="AA920" s="74"/>
      <c r="AB920" s="74"/>
    </row>
    <row r="921" spans="1:28" ht="12" customHeight="1">
      <c r="A921" s="260"/>
      <c r="B921" s="104"/>
      <c r="C921" s="104"/>
      <c r="D921" s="260"/>
      <c r="E921" s="104"/>
      <c r="F921" s="104"/>
      <c r="G921" s="35"/>
      <c r="H921" s="104"/>
      <c r="I921" s="35"/>
      <c r="J921" s="74"/>
      <c r="K921" s="74"/>
      <c r="L921" s="74"/>
      <c r="M921" s="74"/>
      <c r="N921" s="74"/>
      <c r="O921" s="74"/>
      <c r="P921" s="74"/>
      <c r="Q921" s="74"/>
      <c r="R921" s="74"/>
      <c r="S921" s="74"/>
      <c r="T921" s="74"/>
      <c r="U921" s="74"/>
      <c r="V921" s="74"/>
      <c r="W921" s="74"/>
      <c r="X921" s="74"/>
      <c r="Y921" s="74"/>
      <c r="Z921" s="74"/>
      <c r="AA921" s="74"/>
      <c r="AB921" s="74"/>
    </row>
    <row r="922" spans="1:28" ht="12" customHeight="1">
      <c r="A922" s="260"/>
      <c r="B922" s="104"/>
      <c r="C922" s="104"/>
      <c r="D922" s="260"/>
      <c r="E922" s="104"/>
      <c r="F922" s="104"/>
      <c r="G922" s="35"/>
      <c r="H922" s="104"/>
      <c r="I922" s="35"/>
      <c r="J922" s="74"/>
      <c r="K922" s="74"/>
      <c r="L922" s="74"/>
      <c r="M922" s="74"/>
      <c r="N922" s="74"/>
      <c r="O922" s="74"/>
      <c r="P922" s="74"/>
      <c r="Q922" s="74"/>
      <c r="R922" s="74"/>
      <c r="S922" s="74"/>
      <c r="T922" s="74"/>
      <c r="U922" s="74"/>
      <c r="V922" s="74"/>
      <c r="W922" s="74"/>
      <c r="X922" s="74"/>
      <c r="Y922" s="74"/>
      <c r="Z922" s="74"/>
      <c r="AA922" s="74"/>
      <c r="AB922" s="74"/>
    </row>
    <row r="923" spans="1:28" ht="12" customHeight="1">
      <c r="A923" s="260"/>
      <c r="B923" s="104"/>
      <c r="C923" s="104"/>
      <c r="D923" s="260"/>
      <c r="E923" s="104"/>
      <c r="F923" s="104"/>
      <c r="G923" s="35"/>
      <c r="H923" s="104"/>
      <c r="I923" s="35"/>
      <c r="J923" s="74"/>
      <c r="K923" s="74"/>
      <c r="L923" s="74"/>
      <c r="M923" s="74"/>
      <c r="N923" s="74"/>
      <c r="O923" s="74"/>
      <c r="P923" s="74"/>
      <c r="Q923" s="74"/>
      <c r="R923" s="74"/>
      <c r="S923" s="74"/>
      <c r="T923" s="74"/>
      <c r="U923" s="74"/>
      <c r="V923" s="74"/>
      <c r="W923" s="74"/>
      <c r="X923" s="74"/>
      <c r="Y923" s="74"/>
      <c r="Z923" s="74"/>
      <c r="AA923" s="74"/>
      <c r="AB923" s="74"/>
    </row>
    <row r="924" spans="1:28" ht="12" customHeight="1">
      <c r="A924" s="260"/>
      <c r="B924" s="104"/>
      <c r="C924" s="104"/>
      <c r="D924" s="260"/>
      <c r="E924" s="104"/>
      <c r="F924" s="104"/>
      <c r="G924" s="35"/>
      <c r="H924" s="104"/>
      <c r="I924" s="35"/>
      <c r="J924" s="74"/>
      <c r="K924" s="74"/>
      <c r="L924" s="74"/>
      <c r="M924" s="74"/>
      <c r="N924" s="74"/>
      <c r="O924" s="74"/>
      <c r="P924" s="74"/>
      <c r="Q924" s="74"/>
      <c r="R924" s="74"/>
      <c r="S924" s="74"/>
      <c r="T924" s="74"/>
      <c r="U924" s="74"/>
      <c r="V924" s="74"/>
      <c r="W924" s="74"/>
      <c r="X924" s="74"/>
      <c r="Y924" s="74"/>
      <c r="Z924" s="74"/>
      <c r="AA924" s="74"/>
      <c r="AB924" s="74"/>
    </row>
    <row r="925" spans="1:28" ht="12" customHeight="1">
      <c r="A925" s="260"/>
      <c r="B925" s="104"/>
      <c r="C925" s="104"/>
      <c r="D925" s="260"/>
      <c r="E925" s="104"/>
      <c r="F925" s="104"/>
      <c r="G925" s="35"/>
      <c r="H925" s="104"/>
      <c r="I925" s="35"/>
      <c r="J925" s="74"/>
      <c r="K925" s="74"/>
      <c r="L925" s="74"/>
      <c r="M925" s="74"/>
      <c r="N925" s="74"/>
      <c r="O925" s="74"/>
      <c r="P925" s="74"/>
      <c r="Q925" s="74"/>
      <c r="R925" s="74"/>
      <c r="S925" s="74"/>
      <c r="T925" s="74"/>
      <c r="U925" s="74"/>
      <c r="V925" s="74"/>
      <c r="W925" s="74"/>
      <c r="X925" s="74"/>
      <c r="Y925" s="74"/>
      <c r="Z925" s="74"/>
      <c r="AA925" s="74"/>
      <c r="AB925" s="74"/>
    </row>
    <row r="926" spans="1:28" ht="12" customHeight="1">
      <c r="A926" s="260"/>
      <c r="B926" s="104"/>
      <c r="C926" s="104"/>
      <c r="D926" s="260"/>
      <c r="E926" s="104"/>
      <c r="F926" s="104"/>
      <c r="G926" s="35"/>
      <c r="H926" s="104"/>
      <c r="I926" s="35"/>
      <c r="J926" s="74"/>
      <c r="K926" s="74"/>
      <c r="L926" s="74"/>
      <c r="M926" s="74"/>
      <c r="N926" s="74"/>
      <c r="O926" s="74"/>
      <c r="P926" s="74"/>
      <c r="Q926" s="74"/>
      <c r="R926" s="74"/>
      <c r="S926" s="74"/>
      <c r="T926" s="74"/>
      <c r="U926" s="74"/>
      <c r="V926" s="74"/>
      <c r="W926" s="74"/>
      <c r="X926" s="74"/>
      <c r="Y926" s="74"/>
      <c r="Z926" s="74"/>
      <c r="AA926" s="74"/>
      <c r="AB926" s="74"/>
    </row>
    <row r="927" spans="1:28" ht="12" customHeight="1">
      <c r="A927" s="260"/>
      <c r="B927" s="104"/>
      <c r="C927" s="104"/>
      <c r="D927" s="260"/>
      <c r="E927" s="104"/>
      <c r="F927" s="104"/>
      <c r="G927" s="35"/>
      <c r="H927" s="104"/>
      <c r="I927" s="35"/>
      <c r="J927" s="74"/>
      <c r="K927" s="74"/>
      <c r="L927" s="74"/>
      <c r="M927" s="74"/>
      <c r="N927" s="74"/>
      <c r="O927" s="74"/>
      <c r="P927" s="74"/>
      <c r="Q927" s="74"/>
      <c r="R927" s="74"/>
      <c r="S927" s="74"/>
      <c r="T927" s="74"/>
      <c r="U927" s="74"/>
      <c r="V927" s="74"/>
      <c r="W927" s="74"/>
      <c r="X927" s="74"/>
      <c r="Y927" s="74"/>
      <c r="Z927" s="74"/>
      <c r="AA927" s="74"/>
      <c r="AB927" s="74"/>
    </row>
    <row r="928" spans="1:28" ht="12" customHeight="1">
      <c r="A928" s="260"/>
      <c r="B928" s="104"/>
      <c r="C928" s="104"/>
      <c r="D928" s="260"/>
      <c r="E928" s="104"/>
      <c r="F928" s="104"/>
      <c r="G928" s="35"/>
      <c r="H928" s="104"/>
      <c r="I928" s="35"/>
      <c r="J928" s="74"/>
      <c r="K928" s="74"/>
      <c r="L928" s="74"/>
      <c r="M928" s="74"/>
      <c r="N928" s="74"/>
      <c r="O928" s="74"/>
      <c r="P928" s="74"/>
      <c r="Q928" s="74"/>
      <c r="R928" s="74"/>
      <c r="S928" s="74"/>
      <c r="T928" s="74"/>
      <c r="U928" s="74"/>
      <c r="V928" s="74"/>
      <c r="W928" s="74"/>
      <c r="X928" s="74"/>
      <c r="Y928" s="74"/>
      <c r="Z928" s="74"/>
      <c r="AA928" s="74"/>
      <c r="AB928" s="74"/>
    </row>
    <row r="929" spans="1:28" ht="12" customHeight="1">
      <c r="A929" s="260"/>
      <c r="B929" s="104"/>
      <c r="C929" s="104"/>
      <c r="D929" s="260"/>
      <c r="E929" s="104"/>
      <c r="F929" s="104"/>
      <c r="G929" s="35"/>
      <c r="H929" s="104"/>
      <c r="I929" s="35"/>
      <c r="J929" s="74"/>
      <c r="K929" s="74"/>
      <c r="L929" s="74"/>
      <c r="M929" s="74"/>
      <c r="N929" s="74"/>
      <c r="O929" s="74"/>
      <c r="P929" s="74"/>
      <c r="Q929" s="74"/>
      <c r="R929" s="74"/>
      <c r="S929" s="74"/>
      <c r="T929" s="74"/>
      <c r="U929" s="74"/>
      <c r="V929" s="74"/>
      <c r="W929" s="74"/>
      <c r="X929" s="74"/>
      <c r="Y929" s="74"/>
      <c r="Z929" s="74"/>
      <c r="AA929" s="74"/>
      <c r="AB929" s="74"/>
    </row>
    <row r="930" spans="1:28" ht="12" customHeight="1">
      <c r="A930" s="260"/>
      <c r="B930" s="104"/>
      <c r="C930" s="104"/>
      <c r="D930" s="260"/>
      <c r="E930" s="104"/>
      <c r="F930" s="104"/>
      <c r="G930" s="35"/>
      <c r="H930" s="104"/>
      <c r="I930" s="35"/>
      <c r="J930" s="74"/>
      <c r="K930" s="74"/>
      <c r="L930" s="74"/>
      <c r="M930" s="74"/>
      <c r="N930" s="74"/>
      <c r="O930" s="74"/>
      <c r="P930" s="74"/>
      <c r="Q930" s="74"/>
      <c r="R930" s="74"/>
      <c r="S930" s="74"/>
      <c r="T930" s="74"/>
      <c r="U930" s="74"/>
      <c r="V930" s="74"/>
      <c r="W930" s="74"/>
      <c r="X930" s="74"/>
      <c r="Y930" s="74"/>
      <c r="Z930" s="74"/>
      <c r="AA930" s="74"/>
      <c r="AB930" s="74"/>
    </row>
    <row r="931" spans="1:28" ht="12" customHeight="1">
      <c r="A931" s="260"/>
      <c r="B931" s="104"/>
      <c r="C931" s="104"/>
      <c r="D931" s="260"/>
      <c r="E931" s="104"/>
      <c r="F931" s="104"/>
      <c r="G931" s="35"/>
      <c r="H931" s="104"/>
      <c r="I931" s="35"/>
      <c r="J931" s="74"/>
      <c r="K931" s="74"/>
      <c r="L931" s="74"/>
      <c r="M931" s="74"/>
      <c r="N931" s="74"/>
      <c r="O931" s="74"/>
      <c r="P931" s="74"/>
      <c r="Q931" s="74"/>
      <c r="R931" s="74"/>
      <c r="S931" s="74"/>
      <c r="T931" s="74"/>
      <c r="U931" s="74"/>
      <c r="V931" s="74"/>
      <c r="W931" s="74"/>
      <c r="X931" s="74"/>
      <c r="Y931" s="74"/>
      <c r="Z931" s="74"/>
      <c r="AA931" s="74"/>
      <c r="AB931" s="74"/>
    </row>
    <row r="932" spans="1:28" ht="12" customHeight="1">
      <c r="A932" s="260"/>
      <c r="B932" s="104"/>
      <c r="C932" s="104"/>
      <c r="D932" s="260"/>
      <c r="E932" s="104"/>
      <c r="F932" s="104"/>
      <c r="G932" s="35"/>
      <c r="H932" s="104"/>
      <c r="I932" s="35"/>
      <c r="J932" s="74"/>
      <c r="K932" s="74"/>
      <c r="L932" s="74"/>
      <c r="M932" s="74"/>
      <c r="N932" s="74"/>
      <c r="O932" s="74"/>
      <c r="P932" s="74"/>
      <c r="Q932" s="74"/>
      <c r="R932" s="74"/>
      <c r="S932" s="74"/>
      <c r="T932" s="74"/>
      <c r="U932" s="74"/>
      <c r="V932" s="74"/>
      <c r="W932" s="74"/>
      <c r="X932" s="74"/>
      <c r="Y932" s="74"/>
      <c r="Z932" s="74"/>
      <c r="AA932" s="74"/>
      <c r="AB932" s="74"/>
    </row>
    <row r="933" spans="1:28" ht="12" customHeight="1">
      <c r="A933" s="260"/>
      <c r="B933" s="104"/>
      <c r="C933" s="104"/>
      <c r="D933" s="260"/>
      <c r="E933" s="104"/>
      <c r="F933" s="104"/>
      <c r="G933" s="35"/>
      <c r="H933" s="104"/>
      <c r="I933" s="35"/>
      <c r="J933" s="74"/>
      <c r="K933" s="74"/>
      <c r="L933" s="74"/>
      <c r="M933" s="74"/>
      <c r="N933" s="74"/>
      <c r="O933" s="74"/>
      <c r="P933" s="74"/>
      <c r="Q933" s="74"/>
      <c r="R933" s="74"/>
      <c r="S933" s="74"/>
      <c r="T933" s="74"/>
      <c r="U933" s="74"/>
      <c r="V933" s="74"/>
      <c r="W933" s="74"/>
      <c r="X933" s="74"/>
      <c r="Y933" s="74"/>
      <c r="Z933" s="74"/>
      <c r="AA933" s="74"/>
      <c r="AB933" s="74"/>
    </row>
    <row r="934" spans="1:28" ht="12" customHeight="1">
      <c r="A934" s="260"/>
      <c r="B934" s="104"/>
      <c r="C934" s="104"/>
      <c r="D934" s="260"/>
      <c r="E934" s="104"/>
      <c r="F934" s="104"/>
      <c r="G934" s="35"/>
      <c r="H934" s="104"/>
      <c r="I934" s="35"/>
      <c r="J934" s="74"/>
      <c r="K934" s="74"/>
      <c r="L934" s="74"/>
      <c r="M934" s="74"/>
      <c r="N934" s="74"/>
      <c r="O934" s="74"/>
      <c r="P934" s="74"/>
      <c r="Q934" s="74"/>
      <c r="R934" s="74"/>
      <c r="S934" s="74"/>
      <c r="T934" s="74"/>
      <c r="U934" s="74"/>
      <c r="V934" s="74"/>
      <c r="W934" s="74"/>
      <c r="X934" s="74"/>
      <c r="Y934" s="74"/>
      <c r="Z934" s="74"/>
      <c r="AA934" s="74"/>
      <c r="AB934" s="74"/>
    </row>
    <row r="935" spans="1:28" ht="12" customHeight="1">
      <c r="A935" s="260"/>
      <c r="B935" s="104"/>
      <c r="C935" s="104"/>
      <c r="D935" s="260"/>
      <c r="E935" s="104"/>
      <c r="F935" s="104"/>
      <c r="G935" s="35"/>
      <c r="H935" s="104"/>
      <c r="I935" s="35"/>
      <c r="J935" s="74"/>
      <c r="K935" s="74"/>
      <c r="L935" s="74"/>
      <c r="M935" s="74"/>
      <c r="N935" s="74"/>
      <c r="O935" s="74"/>
      <c r="P935" s="74"/>
      <c r="Q935" s="74"/>
      <c r="R935" s="74"/>
      <c r="S935" s="74"/>
      <c r="T935" s="74"/>
      <c r="U935" s="74"/>
      <c r="V935" s="74"/>
      <c r="W935" s="74"/>
      <c r="X935" s="74"/>
      <c r="Y935" s="74"/>
      <c r="Z935" s="74"/>
      <c r="AA935" s="74"/>
      <c r="AB935" s="74"/>
    </row>
    <row r="936" spans="1:28" ht="12" customHeight="1">
      <c r="A936" s="260"/>
      <c r="B936" s="104"/>
      <c r="C936" s="104"/>
      <c r="D936" s="260"/>
      <c r="E936" s="104"/>
      <c r="F936" s="104"/>
      <c r="G936" s="35"/>
      <c r="H936" s="104"/>
      <c r="I936" s="35"/>
      <c r="J936" s="74"/>
      <c r="K936" s="74"/>
      <c r="L936" s="74"/>
      <c r="M936" s="74"/>
      <c r="N936" s="74"/>
      <c r="O936" s="74"/>
      <c r="P936" s="74"/>
      <c r="Q936" s="74"/>
      <c r="R936" s="74"/>
      <c r="S936" s="74"/>
      <c r="T936" s="74"/>
      <c r="U936" s="74"/>
      <c r="V936" s="74"/>
      <c r="W936" s="74"/>
      <c r="X936" s="74"/>
      <c r="Y936" s="74"/>
      <c r="Z936" s="74"/>
      <c r="AA936" s="74"/>
      <c r="AB936" s="74"/>
    </row>
    <row r="937" spans="1:28" ht="12" customHeight="1">
      <c r="A937" s="260"/>
      <c r="B937" s="104"/>
      <c r="C937" s="104"/>
      <c r="D937" s="260"/>
      <c r="E937" s="104"/>
      <c r="F937" s="104"/>
      <c r="G937" s="35"/>
      <c r="H937" s="104"/>
      <c r="I937" s="35"/>
      <c r="J937" s="74"/>
      <c r="K937" s="74"/>
      <c r="L937" s="74"/>
      <c r="M937" s="74"/>
      <c r="N937" s="74"/>
      <c r="O937" s="74"/>
      <c r="P937" s="74"/>
      <c r="Q937" s="74"/>
      <c r="R937" s="74"/>
      <c r="S937" s="74"/>
      <c r="T937" s="74"/>
      <c r="U937" s="74"/>
      <c r="V937" s="74"/>
      <c r="W937" s="74"/>
      <c r="X937" s="74"/>
      <c r="Y937" s="74"/>
      <c r="Z937" s="74"/>
      <c r="AA937" s="74"/>
      <c r="AB937" s="74"/>
    </row>
    <row r="938" spans="1:28" ht="12" customHeight="1">
      <c r="A938" s="260"/>
      <c r="B938" s="104"/>
      <c r="C938" s="104"/>
      <c r="D938" s="260"/>
      <c r="E938" s="104"/>
      <c r="F938" s="104"/>
      <c r="G938" s="35"/>
      <c r="H938" s="104"/>
      <c r="I938" s="35"/>
      <c r="J938" s="74"/>
      <c r="K938" s="74"/>
      <c r="L938" s="74"/>
      <c r="M938" s="74"/>
      <c r="N938" s="74"/>
      <c r="O938" s="74"/>
      <c r="P938" s="74"/>
      <c r="Q938" s="74"/>
      <c r="R938" s="74"/>
      <c r="S938" s="74"/>
      <c r="T938" s="74"/>
      <c r="U938" s="74"/>
      <c r="V938" s="74"/>
      <c r="W938" s="74"/>
      <c r="X938" s="74"/>
      <c r="Y938" s="74"/>
      <c r="Z938" s="74"/>
      <c r="AA938" s="74"/>
      <c r="AB938" s="74"/>
    </row>
    <row r="939" spans="1:28" ht="12" customHeight="1">
      <c r="A939" s="260"/>
      <c r="B939" s="104"/>
      <c r="C939" s="104"/>
      <c r="D939" s="260"/>
      <c r="E939" s="104"/>
      <c r="F939" s="104"/>
      <c r="G939" s="35"/>
      <c r="H939" s="104"/>
      <c r="I939" s="35"/>
      <c r="J939" s="74"/>
      <c r="K939" s="74"/>
      <c r="L939" s="74"/>
      <c r="M939" s="74"/>
      <c r="N939" s="74"/>
      <c r="O939" s="74"/>
      <c r="P939" s="74"/>
      <c r="Q939" s="74"/>
      <c r="R939" s="74"/>
      <c r="S939" s="74"/>
      <c r="T939" s="74"/>
      <c r="U939" s="74"/>
      <c r="V939" s="74"/>
      <c r="W939" s="74"/>
      <c r="X939" s="74"/>
      <c r="Y939" s="74"/>
      <c r="Z939" s="74"/>
      <c r="AA939" s="74"/>
      <c r="AB939" s="74"/>
    </row>
    <row r="940" spans="1:28" ht="12" customHeight="1">
      <c r="A940" s="260"/>
      <c r="B940" s="104"/>
      <c r="C940" s="104"/>
      <c r="D940" s="260"/>
      <c r="E940" s="104"/>
      <c r="F940" s="104"/>
      <c r="G940" s="35"/>
      <c r="H940" s="104"/>
      <c r="I940" s="35"/>
      <c r="J940" s="74"/>
      <c r="K940" s="74"/>
      <c r="L940" s="74"/>
      <c r="M940" s="74"/>
      <c r="N940" s="74"/>
      <c r="O940" s="74"/>
      <c r="P940" s="74"/>
      <c r="Q940" s="74"/>
      <c r="R940" s="74"/>
      <c r="S940" s="74"/>
      <c r="T940" s="74"/>
      <c r="U940" s="74"/>
      <c r="V940" s="74"/>
      <c r="W940" s="74"/>
      <c r="X940" s="74"/>
      <c r="Y940" s="74"/>
      <c r="Z940" s="74"/>
      <c r="AA940" s="74"/>
      <c r="AB940" s="74"/>
    </row>
    <row r="941" spans="1:28" ht="12" customHeight="1">
      <c r="A941" s="260"/>
      <c r="B941" s="104"/>
      <c r="C941" s="104"/>
      <c r="D941" s="260"/>
      <c r="E941" s="104"/>
      <c r="F941" s="104"/>
      <c r="G941" s="35"/>
      <c r="H941" s="104"/>
      <c r="I941" s="35"/>
      <c r="J941" s="74"/>
      <c r="K941" s="74"/>
      <c r="L941" s="74"/>
      <c r="M941" s="74"/>
      <c r="N941" s="74"/>
      <c r="O941" s="74"/>
      <c r="P941" s="74"/>
      <c r="Q941" s="74"/>
      <c r="R941" s="74"/>
      <c r="S941" s="74"/>
      <c r="T941" s="74"/>
      <c r="U941" s="74"/>
      <c r="V941" s="74"/>
      <c r="W941" s="74"/>
      <c r="X941" s="74"/>
      <c r="Y941" s="74"/>
      <c r="Z941" s="74"/>
      <c r="AA941" s="74"/>
      <c r="AB941" s="74"/>
    </row>
    <row r="942" spans="1:28" ht="12" customHeight="1">
      <c r="A942" s="260"/>
      <c r="B942" s="104"/>
      <c r="C942" s="104"/>
      <c r="D942" s="260"/>
      <c r="E942" s="104"/>
      <c r="F942" s="104"/>
      <c r="G942" s="35"/>
      <c r="H942" s="104"/>
      <c r="I942" s="35"/>
      <c r="J942" s="74"/>
      <c r="K942" s="74"/>
      <c r="L942" s="74"/>
      <c r="M942" s="74"/>
      <c r="N942" s="74"/>
      <c r="O942" s="74"/>
      <c r="P942" s="74"/>
      <c r="Q942" s="74"/>
      <c r="R942" s="74"/>
      <c r="S942" s="74"/>
      <c r="T942" s="74"/>
      <c r="U942" s="74"/>
      <c r="V942" s="74"/>
      <c r="W942" s="74"/>
      <c r="X942" s="74"/>
      <c r="Y942" s="74"/>
      <c r="Z942" s="74"/>
      <c r="AA942" s="74"/>
      <c r="AB942" s="74"/>
    </row>
    <row r="943" spans="1:28" ht="12" customHeight="1">
      <c r="A943" s="260"/>
      <c r="B943" s="104"/>
      <c r="C943" s="104"/>
      <c r="D943" s="260"/>
      <c r="E943" s="104"/>
      <c r="F943" s="104"/>
      <c r="G943" s="35"/>
      <c r="H943" s="104"/>
      <c r="I943" s="35"/>
      <c r="J943" s="74"/>
      <c r="K943" s="74"/>
      <c r="L943" s="74"/>
      <c r="M943" s="74"/>
      <c r="N943" s="74"/>
      <c r="O943" s="74"/>
      <c r="P943" s="74"/>
      <c r="Q943" s="74"/>
      <c r="R943" s="74"/>
      <c r="S943" s="74"/>
      <c r="T943" s="74"/>
      <c r="U943" s="74"/>
      <c r="V943" s="74"/>
      <c r="W943" s="74"/>
      <c r="X943" s="74"/>
      <c r="Y943" s="74"/>
      <c r="Z943" s="74"/>
      <c r="AA943" s="74"/>
      <c r="AB943" s="74"/>
    </row>
    <row r="944" spans="1:28" ht="12" customHeight="1">
      <c r="A944" s="260"/>
      <c r="B944" s="104"/>
      <c r="C944" s="104"/>
      <c r="D944" s="260"/>
      <c r="E944" s="104"/>
      <c r="F944" s="104"/>
      <c r="G944" s="35"/>
      <c r="H944" s="104"/>
      <c r="I944" s="35"/>
      <c r="J944" s="74"/>
      <c r="K944" s="74"/>
      <c r="L944" s="74"/>
      <c r="M944" s="74"/>
      <c r="N944" s="74"/>
      <c r="O944" s="74"/>
      <c r="P944" s="74"/>
      <c r="Q944" s="74"/>
      <c r="R944" s="74"/>
      <c r="S944" s="74"/>
      <c r="T944" s="74"/>
      <c r="U944" s="74"/>
      <c r="V944" s="74"/>
      <c r="W944" s="74"/>
      <c r="X944" s="74"/>
      <c r="Y944" s="74"/>
      <c r="Z944" s="74"/>
      <c r="AA944" s="74"/>
      <c r="AB944" s="74"/>
    </row>
    <row r="945" spans="1:28" ht="12" customHeight="1">
      <c r="A945" s="260"/>
      <c r="B945" s="104"/>
      <c r="C945" s="104"/>
      <c r="D945" s="260"/>
      <c r="E945" s="104"/>
      <c r="F945" s="104"/>
      <c r="G945" s="35"/>
      <c r="H945" s="104"/>
      <c r="I945" s="35"/>
      <c r="J945" s="74"/>
      <c r="K945" s="74"/>
      <c r="L945" s="74"/>
      <c r="M945" s="74"/>
      <c r="N945" s="74"/>
      <c r="O945" s="74"/>
      <c r="P945" s="74"/>
      <c r="Q945" s="74"/>
      <c r="R945" s="74"/>
      <c r="S945" s="74"/>
      <c r="T945" s="74"/>
      <c r="U945" s="74"/>
      <c r="V945" s="74"/>
      <c r="W945" s="74"/>
      <c r="X945" s="74"/>
      <c r="Y945" s="74"/>
      <c r="Z945" s="74"/>
      <c r="AA945" s="74"/>
      <c r="AB945" s="74"/>
    </row>
    <row r="946" spans="1:28" ht="12" customHeight="1">
      <c r="A946" s="260"/>
      <c r="B946" s="104"/>
      <c r="C946" s="104"/>
      <c r="D946" s="260"/>
      <c r="E946" s="104"/>
      <c r="F946" s="104"/>
      <c r="G946" s="35"/>
      <c r="H946" s="104"/>
      <c r="I946" s="35"/>
      <c r="J946" s="74"/>
      <c r="K946" s="74"/>
      <c r="L946" s="74"/>
      <c r="M946" s="74"/>
      <c r="N946" s="74"/>
      <c r="O946" s="74"/>
      <c r="P946" s="74"/>
      <c r="Q946" s="74"/>
      <c r="R946" s="74"/>
      <c r="S946" s="74"/>
      <c r="T946" s="74"/>
      <c r="U946" s="74"/>
      <c r="V946" s="74"/>
      <c r="W946" s="74"/>
      <c r="X946" s="74"/>
      <c r="Y946" s="74"/>
      <c r="Z946" s="74"/>
      <c r="AA946" s="74"/>
      <c r="AB946" s="74"/>
    </row>
    <row r="947" spans="1:28" ht="12" customHeight="1">
      <c r="A947" s="260"/>
      <c r="B947" s="104"/>
      <c r="C947" s="104"/>
      <c r="D947" s="260"/>
      <c r="E947" s="104"/>
      <c r="F947" s="104"/>
      <c r="G947" s="35"/>
      <c r="H947" s="104"/>
      <c r="I947" s="35"/>
      <c r="J947" s="74"/>
      <c r="K947" s="74"/>
      <c r="L947" s="74"/>
      <c r="M947" s="74"/>
      <c r="N947" s="74"/>
      <c r="O947" s="74"/>
      <c r="P947" s="74"/>
      <c r="Q947" s="74"/>
      <c r="R947" s="74"/>
      <c r="S947" s="74"/>
      <c r="T947" s="74"/>
      <c r="U947" s="74"/>
      <c r="V947" s="74"/>
      <c r="W947" s="74"/>
      <c r="X947" s="74"/>
      <c r="Y947" s="74"/>
      <c r="Z947" s="74"/>
      <c r="AA947" s="74"/>
      <c r="AB947" s="74"/>
    </row>
    <row r="948" spans="1:28" ht="12" customHeight="1">
      <c r="A948" s="260"/>
      <c r="B948" s="104"/>
      <c r="C948" s="104"/>
      <c r="D948" s="260"/>
      <c r="E948" s="104"/>
      <c r="F948" s="104"/>
      <c r="G948" s="35"/>
      <c r="H948" s="104"/>
      <c r="I948" s="35"/>
      <c r="J948" s="74"/>
      <c r="K948" s="74"/>
      <c r="L948" s="74"/>
      <c r="M948" s="74"/>
      <c r="N948" s="74"/>
      <c r="O948" s="74"/>
      <c r="P948" s="74"/>
      <c r="Q948" s="74"/>
      <c r="R948" s="74"/>
      <c r="S948" s="74"/>
      <c r="T948" s="74"/>
      <c r="U948" s="74"/>
      <c r="V948" s="74"/>
      <c r="W948" s="74"/>
      <c r="X948" s="74"/>
      <c r="Y948" s="74"/>
      <c r="Z948" s="74"/>
      <c r="AA948" s="74"/>
      <c r="AB948" s="74"/>
    </row>
    <row r="949" spans="1:28" ht="12" customHeight="1">
      <c r="A949" s="260"/>
      <c r="B949" s="104"/>
      <c r="C949" s="104"/>
      <c r="D949" s="260"/>
      <c r="E949" s="104"/>
      <c r="F949" s="104"/>
      <c r="G949" s="35"/>
      <c r="H949" s="104"/>
      <c r="I949" s="35"/>
      <c r="J949" s="74"/>
      <c r="K949" s="74"/>
      <c r="L949" s="74"/>
      <c r="M949" s="74"/>
      <c r="N949" s="74"/>
      <c r="O949" s="74"/>
      <c r="P949" s="74"/>
      <c r="Q949" s="74"/>
      <c r="R949" s="74"/>
      <c r="S949" s="74"/>
      <c r="T949" s="74"/>
      <c r="U949" s="74"/>
      <c r="V949" s="74"/>
      <c r="W949" s="74"/>
      <c r="X949" s="74"/>
      <c r="Y949" s="74"/>
      <c r="Z949" s="74"/>
      <c r="AA949" s="74"/>
      <c r="AB949" s="74"/>
    </row>
    <row r="950" spans="1:28" ht="12" customHeight="1">
      <c r="A950" s="260"/>
      <c r="B950" s="104"/>
      <c r="C950" s="104"/>
      <c r="D950" s="260"/>
      <c r="E950" s="104"/>
      <c r="F950" s="104"/>
      <c r="G950" s="35"/>
      <c r="H950" s="104"/>
      <c r="I950" s="35"/>
      <c r="J950" s="74"/>
      <c r="K950" s="74"/>
      <c r="L950" s="74"/>
      <c r="M950" s="74"/>
      <c r="N950" s="74"/>
      <c r="O950" s="74"/>
      <c r="P950" s="74"/>
      <c r="Q950" s="74"/>
      <c r="R950" s="74"/>
      <c r="S950" s="74"/>
      <c r="T950" s="74"/>
      <c r="U950" s="74"/>
      <c r="V950" s="74"/>
      <c r="W950" s="74"/>
      <c r="X950" s="74"/>
      <c r="Y950" s="74"/>
      <c r="Z950" s="74"/>
      <c r="AA950" s="74"/>
      <c r="AB950" s="74"/>
    </row>
    <row r="951" spans="1:28" ht="12" customHeight="1">
      <c r="A951" s="260"/>
      <c r="B951" s="104"/>
      <c r="C951" s="104"/>
      <c r="D951" s="260"/>
      <c r="E951" s="104"/>
      <c r="F951" s="104"/>
      <c r="G951" s="35"/>
      <c r="H951" s="104"/>
      <c r="I951" s="35"/>
      <c r="J951" s="74"/>
      <c r="K951" s="74"/>
      <c r="L951" s="74"/>
      <c r="M951" s="74"/>
      <c r="N951" s="74"/>
      <c r="O951" s="74"/>
      <c r="P951" s="74"/>
      <c r="Q951" s="74"/>
      <c r="R951" s="74"/>
      <c r="S951" s="74"/>
      <c r="T951" s="74"/>
      <c r="U951" s="74"/>
      <c r="V951" s="74"/>
      <c r="W951" s="74"/>
      <c r="X951" s="74"/>
      <c r="Y951" s="74"/>
      <c r="Z951" s="74"/>
      <c r="AA951" s="74"/>
      <c r="AB951" s="74"/>
    </row>
    <row r="952" spans="1:28" ht="12" customHeight="1">
      <c r="A952" s="260"/>
      <c r="B952" s="104"/>
      <c r="C952" s="104"/>
      <c r="D952" s="260"/>
      <c r="E952" s="104"/>
      <c r="F952" s="104"/>
      <c r="G952" s="35"/>
      <c r="H952" s="104"/>
      <c r="I952" s="35"/>
      <c r="J952" s="74"/>
      <c r="K952" s="74"/>
      <c r="L952" s="74"/>
      <c r="M952" s="74"/>
      <c r="N952" s="74"/>
      <c r="O952" s="74"/>
      <c r="P952" s="74"/>
      <c r="Q952" s="74"/>
      <c r="R952" s="74"/>
      <c r="S952" s="74"/>
      <c r="T952" s="74"/>
      <c r="U952" s="74"/>
      <c r="V952" s="74"/>
      <c r="W952" s="74"/>
      <c r="X952" s="74"/>
      <c r="Y952" s="74"/>
      <c r="Z952" s="74"/>
      <c r="AA952" s="74"/>
      <c r="AB952" s="74"/>
    </row>
    <row r="953" spans="1:28" ht="12" customHeight="1">
      <c r="A953" s="260"/>
      <c r="B953" s="104"/>
      <c r="C953" s="104"/>
      <c r="D953" s="260"/>
      <c r="E953" s="104"/>
      <c r="F953" s="104"/>
      <c r="G953" s="35"/>
      <c r="H953" s="104"/>
      <c r="I953" s="35"/>
      <c r="J953" s="74"/>
      <c r="K953" s="74"/>
      <c r="L953" s="74"/>
      <c r="M953" s="74"/>
      <c r="N953" s="74"/>
      <c r="O953" s="74"/>
      <c r="P953" s="74"/>
      <c r="Q953" s="74"/>
      <c r="R953" s="74"/>
      <c r="S953" s="74"/>
      <c r="T953" s="74"/>
      <c r="U953" s="74"/>
      <c r="V953" s="74"/>
      <c r="W953" s="74"/>
      <c r="X953" s="74"/>
      <c r="Y953" s="74"/>
      <c r="Z953" s="74"/>
      <c r="AA953" s="74"/>
      <c r="AB953" s="74"/>
    </row>
    <row r="954" spans="1:28" ht="12" customHeight="1">
      <c r="A954" s="260"/>
      <c r="B954" s="104"/>
      <c r="C954" s="104"/>
      <c r="D954" s="260"/>
      <c r="E954" s="104"/>
      <c r="F954" s="104"/>
      <c r="G954" s="35"/>
      <c r="H954" s="104"/>
      <c r="I954" s="35"/>
      <c r="J954" s="74"/>
      <c r="K954" s="74"/>
      <c r="L954" s="74"/>
      <c r="M954" s="74"/>
      <c r="N954" s="74"/>
      <c r="O954" s="74"/>
      <c r="P954" s="74"/>
      <c r="Q954" s="74"/>
      <c r="R954" s="74"/>
      <c r="S954" s="74"/>
      <c r="T954" s="74"/>
      <c r="U954" s="74"/>
      <c r="V954" s="74"/>
      <c r="W954" s="74"/>
      <c r="X954" s="74"/>
      <c r="Y954" s="74"/>
      <c r="Z954" s="74"/>
      <c r="AA954" s="74"/>
      <c r="AB954" s="74"/>
    </row>
    <row r="955" spans="1:28" ht="12" customHeight="1">
      <c r="A955" s="260"/>
      <c r="B955" s="104"/>
      <c r="C955" s="104"/>
      <c r="D955" s="260"/>
      <c r="E955" s="104"/>
      <c r="F955" s="104"/>
      <c r="G955" s="35"/>
      <c r="H955" s="104"/>
      <c r="I955" s="35"/>
      <c r="J955" s="74"/>
      <c r="K955" s="74"/>
      <c r="L955" s="74"/>
      <c r="M955" s="74"/>
      <c r="N955" s="74"/>
      <c r="O955" s="74"/>
      <c r="P955" s="74"/>
      <c r="Q955" s="74"/>
      <c r="R955" s="74"/>
      <c r="S955" s="74"/>
      <c r="T955" s="74"/>
      <c r="U955" s="74"/>
      <c r="V955" s="74"/>
      <c r="W955" s="74"/>
      <c r="X955" s="74"/>
      <c r="Y955" s="74"/>
      <c r="Z955" s="74"/>
      <c r="AA955" s="74"/>
      <c r="AB955" s="74"/>
    </row>
    <row r="956" spans="1:28" ht="12" customHeight="1">
      <c r="A956" s="260"/>
      <c r="B956" s="104"/>
      <c r="C956" s="104"/>
      <c r="D956" s="260"/>
      <c r="E956" s="104"/>
      <c r="F956" s="104"/>
      <c r="G956" s="35"/>
      <c r="H956" s="104"/>
      <c r="I956" s="35"/>
      <c r="J956" s="74"/>
      <c r="K956" s="74"/>
      <c r="L956" s="74"/>
      <c r="M956" s="74"/>
      <c r="N956" s="74"/>
      <c r="O956" s="74"/>
      <c r="P956" s="74"/>
      <c r="Q956" s="74"/>
      <c r="R956" s="74"/>
      <c r="S956" s="74"/>
      <c r="T956" s="74"/>
      <c r="U956" s="74"/>
      <c r="V956" s="74"/>
      <c r="W956" s="74"/>
      <c r="X956" s="74"/>
      <c r="Y956" s="74"/>
      <c r="Z956" s="74"/>
      <c r="AA956" s="74"/>
      <c r="AB956" s="74"/>
    </row>
    <row r="957" spans="1:28" ht="12" customHeight="1">
      <c r="A957" s="260"/>
      <c r="B957" s="104"/>
      <c r="C957" s="104"/>
      <c r="D957" s="260"/>
      <c r="E957" s="104"/>
      <c r="F957" s="104"/>
      <c r="G957" s="35"/>
      <c r="H957" s="104"/>
      <c r="I957" s="35"/>
      <c r="J957" s="74"/>
      <c r="K957" s="74"/>
      <c r="L957" s="74"/>
      <c r="M957" s="74"/>
      <c r="N957" s="74"/>
      <c r="O957" s="74"/>
      <c r="P957" s="74"/>
      <c r="Q957" s="74"/>
      <c r="R957" s="74"/>
      <c r="S957" s="74"/>
      <c r="T957" s="74"/>
      <c r="U957" s="74"/>
      <c r="V957" s="74"/>
      <c r="W957" s="74"/>
      <c r="X957" s="74"/>
      <c r="Y957" s="74"/>
      <c r="Z957" s="74"/>
      <c r="AA957" s="74"/>
      <c r="AB957" s="74"/>
    </row>
    <row r="958" spans="1:28" ht="12" customHeight="1">
      <c r="A958" s="260"/>
      <c r="B958" s="104"/>
      <c r="C958" s="104"/>
      <c r="D958" s="260"/>
      <c r="E958" s="104"/>
      <c r="F958" s="104"/>
      <c r="G958" s="35"/>
      <c r="H958" s="104"/>
      <c r="I958" s="35"/>
      <c r="J958" s="74"/>
      <c r="K958" s="74"/>
      <c r="L958" s="74"/>
      <c r="M958" s="74"/>
      <c r="N958" s="74"/>
      <c r="O958" s="74"/>
      <c r="P958" s="74"/>
      <c r="Q958" s="74"/>
      <c r="R958" s="74"/>
      <c r="S958" s="74"/>
      <c r="T958" s="74"/>
      <c r="U958" s="74"/>
      <c r="V958" s="74"/>
      <c r="W958" s="74"/>
      <c r="X958" s="74"/>
      <c r="Y958" s="74"/>
      <c r="Z958" s="74"/>
      <c r="AA958" s="74"/>
      <c r="AB958" s="74"/>
    </row>
    <row r="959" spans="1:28" ht="12" customHeight="1">
      <c r="A959" s="260"/>
      <c r="B959" s="104"/>
      <c r="C959" s="104"/>
      <c r="D959" s="260"/>
      <c r="E959" s="104"/>
      <c r="F959" s="104"/>
      <c r="G959" s="35"/>
      <c r="H959" s="104"/>
      <c r="I959" s="35"/>
      <c r="J959" s="74"/>
      <c r="K959" s="74"/>
      <c r="L959" s="74"/>
      <c r="M959" s="74"/>
      <c r="N959" s="74"/>
      <c r="O959" s="74"/>
      <c r="P959" s="74"/>
      <c r="Q959" s="74"/>
      <c r="R959" s="74"/>
      <c r="S959" s="74"/>
      <c r="T959" s="74"/>
      <c r="U959" s="74"/>
      <c r="V959" s="74"/>
      <c r="W959" s="74"/>
      <c r="X959" s="74"/>
      <c r="Y959" s="74"/>
      <c r="Z959" s="74"/>
      <c r="AA959" s="74"/>
      <c r="AB959" s="74"/>
    </row>
    <row r="960" spans="1:28" ht="12" customHeight="1">
      <c r="A960" s="260"/>
      <c r="B960" s="104"/>
      <c r="C960" s="104"/>
      <c r="D960" s="260"/>
      <c r="E960" s="104"/>
      <c r="F960" s="104"/>
      <c r="G960" s="35"/>
      <c r="H960" s="104"/>
      <c r="I960" s="35"/>
      <c r="J960" s="74"/>
      <c r="K960" s="74"/>
      <c r="L960" s="74"/>
      <c r="M960" s="74"/>
      <c r="N960" s="74"/>
      <c r="O960" s="74"/>
      <c r="P960" s="74"/>
      <c r="Q960" s="74"/>
      <c r="R960" s="74"/>
      <c r="S960" s="74"/>
      <c r="T960" s="74"/>
      <c r="U960" s="74"/>
      <c r="V960" s="74"/>
      <c r="W960" s="74"/>
      <c r="X960" s="74"/>
      <c r="Y960" s="74"/>
      <c r="Z960" s="74"/>
      <c r="AA960" s="74"/>
      <c r="AB960" s="74"/>
    </row>
    <row r="961" spans="1:28" ht="12" customHeight="1">
      <c r="A961" s="260"/>
      <c r="B961" s="104"/>
      <c r="C961" s="104"/>
      <c r="D961" s="260"/>
      <c r="E961" s="104"/>
      <c r="F961" s="104"/>
      <c r="G961" s="35"/>
      <c r="H961" s="104"/>
      <c r="I961" s="35"/>
      <c r="J961" s="74"/>
      <c r="K961" s="74"/>
      <c r="L961" s="74"/>
      <c r="M961" s="74"/>
      <c r="N961" s="74"/>
      <c r="O961" s="74"/>
      <c r="P961" s="74"/>
      <c r="Q961" s="74"/>
      <c r="R961" s="74"/>
      <c r="S961" s="74"/>
      <c r="T961" s="74"/>
      <c r="U961" s="74"/>
      <c r="V961" s="74"/>
      <c r="W961" s="74"/>
      <c r="X961" s="74"/>
      <c r="Y961" s="74"/>
      <c r="Z961" s="74"/>
      <c r="AA961" s="74"/>
      <c r="AB961" s="74"/>
    </row>
    <row r="962" spans="1:28" ht="12" customHeight="1">
      <c r="A962" s="260"/>
      <c r="B962" s="104"/>
      <c r="C962" s="104"/>
      <c r="D962" s="260"/>
      <c r="E962" s="104"/>
      <c r="F962" s="104"/>
      <c r="G962" s="35"/>
      <c r="H962" s="104"/>
      <c r="I962" s="35"/>
      <c r="J962" s="74"/>
      <c r="K962" s="74"/>
      <c r="L962" s="74"/>
      <c r="M962" s="74"/>
      <c r="N962" s="74"/>
      <c r="O962" s="74"/>
      <c r="P962" s="74"/>
      <c r="Q962" s="74"/>
      <c r="R962" s="74"/>
      <c r="S962" s="74"/>
      <c r="T962" s="74"/>
      <c r="U962" s="74"/>
      <c r="V962" s="74"/>
      <c r="W962" s="74"/>
      <c r="X962" s="74"/>
      <c r="Y962" s="74"/>
      <c r="Z962" s="74"/>
      <c r="AA962" s="74"/>
      <c r="AB962" s="74"/>
    </row>
    <row r="963" spans="1:28" ht="12" customHeight="1">
      <c r="A963" s="260"/>
      <c r="B963" s="104"/>
      <c r="C963" s="104"/>
      <c r="D963" s="260"/>
      <c r="E963" s="104"/>
      <c r="F963" s="104"/>
      <c r="G963" s="35"/>
      <c r="H963" s="104"/>
      <c r="I963" s="35"/>
      <c r="J963" s="74"/>
      <c r="K963" s="74"/>
      <c r="L963" s="74"/>
      <c r="M963" s="74"/>
      <c r="N963" s="74"/>
      <c r="O963" s="74"/>
      <c r="P963" s="74"/>
      <c r="Q963" s="74"/>
      <c r="R963" s="74"/>
      <c r="S963" s="74"/>
      <c r="T963" s="74"/>
      <c r="U963" s="74"/>
      <c r="V963" s="74"/>
      <c r="W963" s="74"/>
      <c r="X963" s="74"/>
      <c r="Y963" s="74"/>
      <c r="Z963" s="74"/>
      <c r="AA963" s="74"/>
      <c r="AB963" s="74"/>
    </row>
    <row r="964" spans="1:28" ht="12" customHeight="1">
      <c r="A964" s="260"/>
      <c r="B964" s="104"/>
      <c r="C964" s="104"/>
      <c r="D964" s="260"/>
      <c r="E964" s="104"/>
      <c r="F964" s="104"/>
      <c r="G964" s="35"/>
      <c r="H964" s="104"/>
      <c r="I964" s="35"/>
      <c r="J964" s="74"/>
      <c r="K964" s="74"/>
      <c r="L964" s="74"/>
      <c r="M964" s="74"/>
      <c r="N964" s="74"/>
      <c r="O964" s="74"/>
      <c r="P964" s="74"/>
      <c r="Q964" s="74"/>
      <c r="R964" s="74"/>
      <c r="S964" s="74"/>
      <c r="T964" s="74"/>
      <c r="U964" s="74"/>
      <c r="V964" s="74"/>
      <c r="W964" s="74"/>
      <c r="X964" s="74"/>
      <c r="Y964" s="74"/>
      <c r="Z964" s="74"/>
      <c r="AA964" s="74"/>
      <c r="AB964" s="74"/>
    </row>
    <row r="965" spans="1:28" ht="12" customHeight="1">
      <c r="A965" s="260"/>
      <c r="B965" s="104"/>
      <c r="C965" s="104"/>
      <c r="D965" s="260"/>
      <c r="E965" s="104"/>
      <c r="F965" s="104"/>
      <c r="G965" s="35"/>
      <c r="H965" s="104"/>
      <c r="I965" s="35"/>
      <c r="J965" s="74"/>
      <c r="K965" s="74"/>
      <c r="L965" s="74"/>
      <c r="M965" s="74"/>
      <c r="N965" s="74"/>
      <c r="O965" s="74"/>
      <c r="P965" s="74"/>
      <c r="Q965" s="74"/>
      <c r="R965" s="74"/>
      <c r="S965" s="74"/>
      <c r="T965" s="74"/>
      <c r="U965" s="74"/>
      <c r="V965" s="74"/>
      <c r="W965" s="74"/>
      <c r="X965" s="74"/>
      <c r="Y965" s="74"/>
      <c r="Z965" s="74"/>
      <c r="AA965" s="74"/>
      <c r="AB965" s="74"/>
    </row>
    <row r="966" spans="1:28" ht="12" customHeight="1">
      <c r="A966" s="260"/>
      <c r="B966" s="104"/>
      <c r="C966" s="104"/>
      <c r="D966" s="260"/>
      <c r="E966" s="104"/>
      <c r="F966" s="104"/>
      <c r="G966" s="35"/>
      <c r="H966" s="104"/>
      <c r="I966" s="35"/>
      <c r="J966" s="74"/>
      <c r="K966" s="74"/>
      <c r="L966" s="74"/>
      <c r="M966" s="74"/>
      <c r="N966" s="74"/>
      <c r="O966" s="74"/>
      <c r="P966" s="74"/>
      <c r="Q966" s="74"/>
      <c r="R966" s="74"/>
      <c r="S966" s="74"/>
      <c r="T966" s="74"/>
      <c r="U966" s="74"/>
      <c r="V966" s="74"/>
      <c r="W966" s="74"/>
      <c r="X966" s="74"/>
      <c r="Y966" s="74"/>
      <c r="Z966" s="74"/>
      <c r="AA966" s="74"/>
      <c r="AB966" s="74"/>
    </row>
    <row r="967" spans="1:28" ht="12" customHeight="1">
      <c r="A967" s="260"/>
      <c r="B967" s="104"/>
      <c r="C967" s="104"/>
      <c r="D967" s="260"/>
      <c r="E967" s="104"/>
      <c r="F967" s="104"/>
      <c r="G967" s="35"/>
      <c r="H967" s="104"/>
      <c r="I967" s="35"/>
      <c r="J967" s="74"/>
      <c r="K967" s="74"/>
      <c r="L967" s="74"/>
      <c r="M967" s="74"/>
      <c r="N967" s="74"/>
      <c r="O967" s="74"/>
      <c r="P967" s="74"/>
      <c r="Q967" s="74"/>
      <c r="R967" s="74"/>
      <c r="S967" s="74"/>
      <c r="T967" s="74"/>
      <c r="U967" s="74"/>
      <c r="V967" s="74"/>
      <c r="W967" s="74"/>
      <c r="X967" s="74"/>
      <c r="Y967" s="74"/>
      <c r="Z967" s="74"/>
      <c r="AA967" s="74"/>
      <c r="AB967" s="74"/>
    </row>
    <row r="968" spans="1:28" ht="12" customHeight="1">
      <c r="A968" s="260"/>
      <c r="B968" s="104"/>
      <c r="C968" s="104"/>
      <c r="D968" s="260"/>
      <c r="E968" s="104"/>
      <c r="F968" s="104"/>
      <c r="G968" s="35"/>
      <c r="H968" s="104"/>
      <c r="I968" s="35"/>
      <c r="J968" s="74"/>
      <c r="K968" s="74"/>
      <c r="L968" s="74"/>
      <c r="M968" s="74"/>
      <c r="N968" s="74"/>
      <c r="O968" s="74"/>
      <c r="P968" s="74"/>
      <c r="Q968" s="74"/>
      <c r="R968" s="74"/>
      <c r="S968" s="74"/>
      <c r="T968" s="74"/>
      <c r="U968" s="74"/>
      <c r="V968" s="74"/>
      <c r="W968" s="74"/>
      <c r="X968" s="74"/>
      <c r="Y968" s="74"/>
      <c r="Z968" s="74"/>
      <c r="AA968" s="74"/>
      <c r="AB968" s="74"/>
    </row>
    <row r="969" spans="1:28" ht="12" customHeight="1">
      <c r="A969" s="260"/>
      <c r="B969" s="104"/>
      <c r="C969" s="104"/>
      <c r="D969" s="260"/>
      <c r="E969" s="104"/>
      <c r="F969" s="104"/>
      <c r="G969" s="35"/>
      <c r="H969" s="104"/>
      <c r="I969" s="35"/>
      <c r="J969" s="74"/>
      <c r="K969" s="74"/>
      <c r="L969" s="74"/>
      <c r="M969" s="74"/>
      <c r="N969" s="74"/>
      <c r="O969" s="74"/>
      <c r="P969" s="74"/>
      <c r="Q969" s="74"/>
      <c r="R969" s="74"/>
      <c r="S969" s="74"/>
      <c r="T969" s="74"/>
      <c r="U969" s="74"/>
      <c r="V969" s="74"/>
      <c r="W969" s="74"/>
      <c r="X969" s="74"/>
      <c r="Y969" s="74"/>
      <c r="Z969" s="74"/>
      <c r="AA969" s="74"/>
      <c r="AB969" s="74"/>
    </row>
    <row r="970" spans="1:28" ht="12" customHeight="1">
      <c r="A970" s="260"/>
      <c r="B970" s="104"/>
      <c r="C970" s="104"/>
      <c r="D970" s="260"/>
      <c r="E970" s="104"/>
      <c r="F970" s="104"/>
      <c r="G970" s="35"/>
      <c r="H970" s="104"/>
      <c r="I970" s="35"/>
      <c r="J970" s="74"/>
      <c r="K970" s="74"/>
      <c r="L970" s="74"/>
      <c r="M970" s="74"/>
      <c r="N970" s="74"/>
      <c r="O970" s="74"/>
      <c r="P970" s="74"/>
      <c r="Q970" s="74"/>
      <c r="R970" s="74"/>
      <c r="S970" s="74"/>
      <c r="T970" s="74"/>
      <c r="U970" s="74"/>
      <c r="V970" s="74"/>
      <c r="W970" s="74"/>
      <c r="X970" s="74"/>
      <c r="Y970" s="74"/>
      <c r="Z970" s="74"/>
      <c r="AA970" s="74"/>
      <c r="AB970" s="74"/>
    </row>
    <row r="971" spans="1:28" ht="12" customHeight="1">
      <c r="A971" s="260"/>
      <c r="B971" s="104"/>
      <c r="C971" s="104"/>
      <c r="D971" s="260"/>
      <c r="E971" s="104"/>
      <c r="F971" s="104"/>
      <c r="G971" s="35"/>
      <c r="H971" s="104"/>
      <c r="I971" s="35"/>
      <c r="J971" s="74"/>
      <c r="K971" s="74"/>
      <c r="L971" s="74"/>
      <c r="M971" s="74"/>
      <c r="N971" s="74"/>
      <c r="O971" s="74"/>
      <c r="P971" s="74"/>
      <c r="Q971" s="74"/>
      <c r="R971" s="74"/>
      <c r="S971" s="74"/>
      <c r="T971" s="74"/>
      <c r="U971" s="74"/>
      <c r="V971" s="74"/>
      <c r="W971" s="74"/>
      <c r="X971" s="74"/>
      <c r="Y971" s="74"/>
      <c r="Z971" s="74"/>
      <c r="AA971" s="74"/>
      <c r="AB971" s="74"/>
    </row>
    <row r="972" spans="1:28" ht="12" customHeight="1">
      <c r="A972" s="260"/>
      <c r="B972" s="104"/>
      <c r="C972" s="104"/>
      <c r="D972" s="260"/>
      <c r="E972" s="104"/>
      <c r="F972" s="104"/>
      <c r="G972" s="35"/>
      <c r="H972" s="104"/>
      <c r="I972" s="35"/>
      <c r="J972" s="74"/>
      <c r="K972" s="74"/>
      <c r="L972" s="74"/>
      <c r="M972" s="74"/>
      <c r="N972" s="74"/>
      <c r="O972" s="74"/>
      <c r="P972" s="74"/>
      <c r="Q972" s="74"/>
      <c r="R972" s="74"/>
      <c r="S972" s="74"/>
      <c r="T972" s="74"/>
      <c r="U972" s="74"/>
      <c r="V972" s="74"/>
      <c r="W972" s="74"/>
      <c r="X972" s="74"/>
      <c r="Y972" s="74"/>
      <c r="Z972" s="74"/>
      <c r="AA972" s="74"/>
      <c r="AB972" s="74"/>
    </row>
    <row r="973" spans="1:28" ht="12" customHeight="1">
      <c r="A973" s="260"/>
      <c r="B973" s="104"/>
      <c r="C973" s="104"/>
      <c r="D973" s="260"/>
      <c r="E973" s="104"/>
      <c r="F973" s="104"/>
      <c r="G973" s="35"/>
      <c r="H973" s="104"/>
      <c r="I973" s="35"/>
      <c r="J973" s="74"/>
      <c r="K973" s="74"/>
      <c r="L973" s="74"/>
      <c r="M973" s="74"/>
      <c r="N973" s="74"/>
      <c r="O973" s="74"/>
      <c r="P973" s="74"/>
      <c r="Q973" s="74"/>
      <c r="R973" s="74"/>
      <c r="S973" s="74"/>
      <c r="T973" s="74"/>
      <c r="U973" s="74"/>
      <c r="V973" s="74"/>
      <c r="W973" s="74"/>
      <c r="X973" s="74"/>
      <c r="Y973" s="74"/>
      <c r="Z973" s="74"/>
      <c r="AA973" s="74"/>
      <c r="AB973" s="74"/>
    </row>
    <row r="974" spans="1:28" ht="12" customHeight="1">
      <c r="A974" s="260"/>
      <c r="B974" s="104"/>
      <c r="C974" s="104"/>
      <c r="D974" s="260"/>
      <c r="E974" s="104"/>
      <c r="F974" s="104"/>
      <c r="G974" s="35"/>
      <c r="H974" s="104"/>
      <c r="I974" s="35"/>
      <c r="J974" s="74"/>
      <c r="K974" s="74"/>
      <c r="L974" s="74"/>
      <c r="M974" s="74"/>
      <c r="N974" s="74"/>
      <c r="O974" s="74"/>
      <c r="P974" s="74"/>
      <c r="Q974" s="74"/>
      <c r="R974" s="74"/>
      <c r="S974" s="74"/>
      <c r="T974" s="74"/>
      <c r="U974" s="74"/>
      <c r="V974" s="74"/>
      <c r="W974" s="74"/>
      <c r="X974" s="74"/>
      <c r="Y974" s="74"/>
      <c r="Z974" s="74"/>
      <c r="AA974" s="74"/>
      <c r="AB974" s="74"/>
    </row>
    <row r="975" spans="1:28" ht="12" customHeight="1">
      <c r="A975" s="260"/>
      <c r="B975" s="104"/>
      <c r="C975" s="104"/>
      <c r="D975" s="260"/>
      <c r="E975" s="104"/>
      <c r="F975" s="104"/>
      <c r="G975" s="35"/>
      <c r="H975" s="104"/>
      <c r="I975" s="35"/>
      <c r="J975" s="74"/>
      <c r="K975" s="74"/>
      <c r="L975" s="74"/>
      <c r="M975" s="74"/>
      <c r="N975" s="74"/>
      <c r="O975" s="74"/>
      <c r="P975" s="74"/>
      <c r="Q975" s="74"/>
      <c r="R975" s="74"/>
      <c r="S975" s="74"/>
      <c r="T975" s="74"/>
      <c r="U975" s="74"/>
      <c r="V975" s="74"/>
      <c r="W975" s="74"/>
      <c r="X975" s="74"/>
      <c r="Y975" s="74"/>
      <c r="Z975" s="74"/>
      <c r="AA975" s="74"/>
      <c r="AB975" s="74"/>
    </row>
    <row r="976" spans="1:28" ht="12" customHeight="1">
      <c r="A976" s="260"/>
      <c r="B976" s="104"/>
      <c r="C976" s="104"/>
      <c r="D976" s="260"/>
      <c r="E976" s="104"/>
      <c r="F976" s="104"/>
      <c r="G976" s="35"/>
      <c r="H976" s="104"/>
      <c r="I976" s="35"/>
      <c r="J976" s="74"/>
      <c r="K976" s="74"/>
      <c r="L976" s="74"/>
      <c r="M976" s="74"/>
      <c r="N976" s="74"/>
      <c r="O976" s="74"/>
      <c r="P976" s="74"/>
      <c r="Q976" s="74"/>
      <c r="R976" s="74"/>
      <c r="S976" s="74"/>
      <c r="T976" s="74"/>
      <c r="U976" s="74"/>
      <c r="V976" s="74"/>
      <c r="W976" s="74"/>
      <c r="X976" s="74"/>
      <c r="Y976" s="74"/>
      <c r="Z976" s="74"/>
      <c r="AA976" s="74"/>
      <c r="AB976" s="74"/>
    </row>
    <row r="977" spans="1:28" ht="12" customHeight="1">
      <c r="A977" s="260"/>
      <c r="B977" s="104"/>
      <c r="C977" s="104"/>
      <c r="D977" s="260"/>
      <c r="E977" s="104"/>
      <c r="F977" s="104"/>
      <c r="G977" s="35"/>
      <c r="H977" s="104"/>
      <c r="I977" s="35"/>
      <c r="J977" s="74"/>
      <c r="K977" s="74"/>
      <c r="L977" s="74"/>
      <c r="M977" s="74"/>
      <c r="N977" s="74"/>
      <c r="O977" s="74"/>
      <c r="P977" s="74"/>
      <c r="Q977" s="74"/>
      <c r="R977" s="74"/>
      <c r="S977" s="74"/>
      <c r="T977" s="74"/>
      <c r="U977" s="74"/>
      <c r="V977" s="74"/>
      <c r="W977" s="74"/>
      <c r="X977" s="74"/>
      <c r="Y977" s="74"/>
      <c r="Z977" s="74"/>
      <c r="AA977" s="74"/>
      <c r="AB977" s="74"/>
    </row>
    <row r="978" spans="1:28" ht="12" customHeight="1">
      <c r="A978" s="260"/>
      <c r="B978" s="104"/>
      <c r="C978" s="104"/>
      <c r="D978" s="260"/>
      <c r="E978" s="104"/>
      <c r="F978" s="104"/>
      <c r="G978" s="35"/>
      <c r="H978" s="104"/>
      <c r="I978" s="35"/>
      <c r="J978" s="74"/>
      <c r="K978" s="74"/>
      <c r="L978" s="74"/>
      <c r="M978" s="74"/>
      <c r="N978" s="74"/>
      <c r="O978" s="74"/>
      <c r="P978" s="74"/>
      <c r="Q978" s="74"/>
      <c r="R978" s="74"/>
      <c r="S978" s="74"/>
      <c r="T978" s="74"/>
      <c r="U978" s="74"/>
      <c r="V978" s="74"/>
      <c r="W978" s="74"/>
      <c r="X978" s="74"/>
      <c r="Y978" s="74"/>
      <c r="Z978" s="74"/>
      <c r="AA978" s="74"/>
      <c r="AB978" s="74"/>
    </row>
    <row r="979" spans="1:28" ht="12" customHeight="1">
      <c r="A979" s="260"/>
      <c r="B979" s="104"/>
      <c r="C979" s="104"/>
      <c r="D979" s="260"/>
      <c r="E979" s="104"/>
      <c r="F979" s="104"/>
      <c r="G979" s="35"/>
      <c r="H979" s="104"/>
      <c r="I979" s="35"/>
      <c r="J979" s="74"/>
      <c r="K979" s="74"/>
      <c r="L979" s="74"/>
      <c r="M979" s="74"/>
      <c r="N979" s="74"/>
      <c r="O979" s="74"/>
      <c r="P979" s="74"/>
      <c r="Q979" s="74"/>
      <c r="R979" s="74"/>
      <c r="S979" s="74"/>
      <c r="T979" s="74"/>
      <c r="U979" s="74"/>
      <c r="V979" s="74"/>
      <c r="W979" s="74"/>
      <c r="X979" s="74"/>
      <c r="Y979" s="74"/>
      <c r="Z979" s="74"/>
      <c r="AA979" s="74"/>
      <c r="AB979" s="74"/>
    </row>
    <row r="980" spans="1:28" ht="12" customHeight="1">
      <c r="A980" s="260"/>
      <c r="B980" s="104"/>
      <c r="C980" s="104"/>
      <c r="D980" s="260"/>
      <c r="E980" s="104"/>
      <c r="F980" s="104"/>
      <c r="G980" s="35"/>
      <c r="H980" s="104"/>
      <c r="I980" s="35"/>
      <c r="J980" s="74"/>
      <c r="K980" s="74"/>
      <c r="L980" s="74"/>
      <c r="M980" s="74"/>
      <c r="N980" s="74"/>
      <c r="O980" s="74"/>
      <c r="P980" s="74"/>
      <c r="Q980" s="74"/>
      <c r="R980" s="74"/>
      <c r="S980" s="74"/>
      <c r="T980" s="74"/>
      <c r="U980" s="74"/>
      <c r="V980" s="74"/>
      <c r="W980" s="74"/>
      <c r="X980" s="74"/>
      <c r="Y980" s="74"/>
      <c r="Z980" s="74"/>
      <c r="AA980" s="74"/>
      <c r="AB980" s="74"/>
    </row>
    <row r="981" spans="1:28" ht="12" customHeight="1">
      <c r="A981" s="260"/>
      <c r="B981" s="104"/>
      <c r="C981" s="104"/>
      <c r="D981" s="260"/>
      <c r="E981" s="104"/>
      <c r="F981" s="104"/>
      <c r="G981" s="35"/>
      <c r="H981" s="104"/>
      <c r="I981" s="35"/>
      <c r="J981" s="74"/>
      <c r="K981" s="74"/>
      <c r="L981" s="74"/>
      <c r="M981" s="74"/>
      <c r="N981" s="74"/>
      <c r="O981" s="74"/>
      <c r="P981" s="74"/>
      <c r="Q981" s="74"/>
      <c r="R981" s="74"/>
      <c r="S981" s="74"/>
      <c r="T981" s="74"/>
      <c r="U981" s="74"/>
      <c r="V981" s="74"/>
      <c r="W981" s="74"/>
      <c r="X981" s="74"/>
      <c r="Y981" s="74"/>
      <c r="Z981" s="74"/>
      <c r="AA981" s="74"/>
      <c r="AB981" s="74"/>
    </row>
    <row r="982" spans="1:28" ht="12" customHeight="1">
      <c r="A982" s="260"/>
      <c r="B982" s="104"/>
      <c r="C982" s="104"/>
      <c r="D982" s="260"/>
      <c r="E982" s="104"/>
      <c r="F982" s="104"/>
      <c r="G982" s="35"/>
      <c r="H982" s="104"/>
      <c r="I982" s="35"/>
      <c r="J982" s="74"/>
      <c r="K982" s="74"/>
      <c r="L982" s="74"/>
      <c r="M982" s="74"/>
      <c r="N982" s="74"/>
      <c r="O982" s="74"/>
      <c r="P982" s="74"/>
      <c r="Q982" s="74"/>
      <c r="R982" s="74"/>
      <c r="S982" s="74"/>
      <c r="T982" s="74"/>
      <c r="U982" s="74"/>
      <c r="V982" s="74"/>
      <c r="W982" s="74"/>
      <c r="X982" s="74"/>
      <c r="Y982" s="74"/>
      <c r="Z982" s="74"/>
      <c r="AA982" s="74"/>
      <c r="AB982" s="74"/>
    </row>
    <row r="983" spans="1:28" ht="12" customHeight="1">
      <c r="A983" s="260"/>
      <c r="B983" s="104"/>
      <c r="C983" s="104"/>
      <c r="D983" s="260"/>
      <c r="E983" s="104"/>
      <c r="F983" s="104"/>
      <c r="G983" s="35"/>
      <c r="H983" s="104"/>
      <c r="I983" s="35"/>
      <c r="J983" s="74"/>
      <c r="K983" s="74"/>
      <c r="L983" s="74"/>
      <c r="M983" s="74"/>
      <c r="N983" s="74"/>
      <c r="O983" s="74"/>
      <c r="P983" s="74"/>
      <c r="Q983" s="74"/>
      <c r="R983" s="74"/>
      <c r="S983" s="74"/>
      <c r="T983" s="74"/>
      <c r="U983" s="74"/>
      <c r="V983" s="74"/>
      <c r="W983" s="74"/>
      <c r="X983" s="74"/>
      <c r="Y983" s="74"/>
      <c r="Z983" s="74"/>
      <c r="AA983" s="74"/>
      <c r="AB983" s="74"/>
    </row>
    <row r="984" spans="1:28" ht="12" customHeight="1">
      <c r="A984" s="260"/>
      <c r="B984" s="104"/>
      <c r="C984" s="104"/>
      <c r="D984" s="260"/>
      <c r="E984" s="104"/>
      <c r="F984" s="104"/>
      <c r="G984" s="35"/>
      <c r="H984" s="104"/>
      <c r="I984" s="35"/>
      <c r="J984" s="74"/>
      <c r="K984" s="74"/>
      <c r="L984" s="74"/>
      <c r="M984" s="74"/>
      <c r="N984" s="74"/>
      <c r="O984" s="74"/>
      <c r="P984" s="74"/>
      <c r="Q984" s="74"/>
      <c r="R984" s="74"/>
      <c r="S984" s="74"/>
      <c r="T984" s="74"/>
      <c r="U984" s="74"/>
      <c r="V984" s="74"/>
      <c r="W984" s="74"/>
      <c r="X984" s="74"/>
      <c r="Y984" s="74"/>
      <c r="Z984" s="74"/>
      <c r="AA984" s="74"/>
      <c r="AB984" s="74"/>
    </row>
    <row r="985" spans="1:28" ht="12" customHeight="1">
      <c r="A985" s="260"/>
      <c r="B985" s="104"/>
      <c r="C985" s="104"/>
      <c r="D985" s="260"/>
      <c r="E985" s="104"/>
      <c r="F985" s="104"/>
      <c r="G985" s="35"/>
      <c r="H985" s="104"/>
      <c r="I985" s="35"/>
      <c r="J985" s="74"/>
      <c r="K985" s="74"/>
      <c r="L985" s="74"/>
      <c r="M985" s="74"/>
      <c r="N985" s="74"/>
      <c r="O985" s="74"/>
      <c r="P985" s="74"/>
      <c r="Q985" s="74"/>
      <c r="R985" s="74"/>
      <c r="S985" s="74"/>
      <c r="T985" s="74"/>
      <c r="U985" s="74"/>
      <c r="V985" s="74"/>
      <c r="W985" s="74"/>
      <c r="X985" s="74"/>
      <c r="Y985" s="74"/>
      <c r="Z985" s="74"/>
      <c r="AA985" s="74"/>
      <c r="AB985" s="74"/>
    </row>
    <row r="986" spans="1:28" ht="12" customHeight="1">
      <c r="A986" s="260"/>
      <c r="B986" s="104"/>
      <c r="C986" s="104"/>
      <c r="D986" s="260"/>
      <c r="E986" s="104"/>
      <c r="F986" s="104"/>
      <c r="G986" s="35"/>
      <c r="H986" s="104"/>
      <c r="I986" s="35"/>
      <c r="J986" s="74"/>
      <c r="K986" s="74"/>
      <c r="L986" s="74"/>
      <c r="M986" s="74"/>
      <c r="N986" s="74"/>
      <c r="O986" s="74"/>
      <c r="P986" s="74"/>
      <c r="Q986" s="74"/>
      <c r="R986" s="74"/>
      <c r="S986" s="74"/>
      <c r="T986" s="74"/>
      <c r="U986" s="74"/>
      <c r="V986" s="74"/>
      <c r="W986" s="74"/>
      <c r="X986" s="74"/>
      <c r="Y986" s="74"/>
      <c r="Z986" s="74"/>
      <c r="AA986" s="74"/>
      <c r="AB986" s="74"/>
    </row>
    <row r="987" spans="1:28" ht="12" customHeight="1">
      <c r="A987" s="260"/>
      <c r="B987" s="104"/>
      <c r="C987" s="104"/>
      <c r="D987" s="260"/>
      <c r="E987" s="104"/>
      <c r="F987" s="104"/>
      <c r="G987" s="35"/>
      <c r="H987" s="104"/>
      <c r="I987" s="35"/>
      <c r="J987" s="74"/>
      <c r="K987" s="74"/>
      <c r="L987" s="74"/>
      <c r="M987" s="74"/>
      <c r="N987" s="74"/>
      <c r="O987" s="74"/>
      <c r="P987" s="74"/>
      <c r="Q987" s="74"/>
      <c r="R987" s="74"/>
      <c r="S987" s="74"/>
      <c r="T987" s="74"/>
      <c r="U987" s="74"/>
      <c r="V987" s="74"/>
      <c r="W987" s="74"/>
      <c r="X987" s="74"/>
      <c r="Y987" s="74"/>
      <c r="Z987" s="74"/>
      <c r="AA987" s="74"/>
      <c r="AB987" s="74"/>
    </row>
    <row r="988" spans="1:28" ht="12" customHeight="1">
      <c r="A988" s="260"/>
      <c r="B988" s="104"/>
      <c r="C988" s="104"/>
      <c r="D988" s="260"/>
      <c r="E988" s="104"/>
      <c r="F988" s="104"/>
      <c r="G988" s="35"/>
      <c r="H988" s="104"/>
      <c r="I988" s="35"/>
      <c r="J988" s="74"/>
      <c r="K988" s="74"/>
      <c r="L988" s="74"/>
      <c r="M988" s="74"/>
      <c r="N988" s="74"/>
      <c r="O988" s="74"/>
      <c r="P988" s="74"/>
      <c r="Q988" s="74"/>
      <c r="R988" s="74"/>
      <c r="S988" s="74"/>
      <c r="T988" s="74"/>
      <c r="U988" s="74"/>
      <c r="V988" s="74"/>
      <c r="W988" s="74"/>
      <c r="X988" s="74"/>
      <c r="Y988" s="74"/>
      <c r="Z988" s="74"/>
      <c r="AA988" s="74"/>
      <c r="AB988" s="74"/>
    </row>
    <row r="989" spans="1:28" ht="12" customHeight="1">
      <c r="A989" s="260"/>
      <c r="B989" s="104"/>
      <c r="C989" s="104"/>
      <c r="D989" s="260"/>
      <c r="E989" s="104"/>
      <c r="F989" s="104"/>
      <c r="G989" s="35"/>
      <c r="H989" s="104"/>
      <c r="I989" s="35"/>
      <c r="J989" s="74"/>
      <c r="K989" s="74"/>
      <c r="L989" s="74"/>
      <c r="M989" s="74"/>
      <c r="N989" s="74"/>
      <c r="O989" s="74"/>
      <c r="P989" s="74"/>
      <c r="Q989" s="74"/>
      <c r="R989" s="74"/>
      <c r="S989" s="74"/>
      <c r="T989" s="74"/>
      <c r="U989" s="74"/>
      <c r="V989" s="74"/>
      <c r="W989" s="74"/>
      <c r="X989" s="74"/>
      <c r="Y989" s="74"/>
      <c r="Z989" s="74"/>
      <c r="AA989" s="74"/>
      <c r="AB989" s="74"/>
    </row>
    <row r="990" spans="1:28" ht="12" customHeight="1">
      <c r="A990" s="260"/>
      <c r="B990" s="104"/>
      <c r="C990" s="104"/>
      <c r="D990" s="260"/>
      <c r="E990" s="104"/>
      <c r="F990" s="104"/>
      <c r="G990" s="35"/>
      <c r="H990" s="104"/>
      <c r="I990" s="35"/>
      <c r="J990" s="74"/>
      <c r="K990" s="74"/>
      <c r="L990" s="74"/>
      <c r="M990" s="74"/>
      <c r="N990" s="74"/>
      <c r="O990" s="74"/>
      <c r="P990" s="74"/>
      <c r="Q990" s="74"/>
      <c r="R990" s="74"/>
      <c r="S990" s="74"/>
      <c r="T990" s="74"/>
      <c r="U990" s="74"/>
      <c r="V990" s="74"/>
      <c r="W990" s="74"/>
      <c r="X990" s="74"/>
      <c r="Y990" s="74"/>
      <c r="Z990" s="74"/>
      <c r="AA990" s="74"/>
      <c r="AB990" s="74"/>
    </row>
    <row r="991" spans="1:28" ht="12" customHeight="1">
      <c r="A991" s="260"/>
      <c r="B991" s="104"/>
      <c r="C991" s="104"/>
      <c r="D991" s="260"/>
      <c r="E991" s="104"/>
      <c r="F991" s="104"/>
      <c r="G991" s="35"/>
      <c r="H991" s="104"/>
      <c r="I991" s="35"/>
      <c r="J991" s="74"/>
      <c r="K991" s="74"/>
      <c r="L991" s="74"/>
      <c r="M991" s="74"/>
      <c r="N991" s="74"/>
      <c r="O991" s="74"/>
      <c r="P991" s="74"/>
      <c r="Q991" s="74"/>
      <c r="R991" s="74"/>
      <c r="S991" s="74"/>
      <c r="T991" s="74"/>
      <c r="U991" s="74"/>
      <c r="V991" s="74"/>
      <c r="W991" s="74"/>
      <c r="X991" s="74"/>
      <c r="Y991" s="74"/>
      <c r="Z991" s="74"/>
      <c r="AA991" s="74"/>
      <c r="AB991" s="74"/>
    </row>
    <row r="992" spans="1:28" ht="12" customHeight="1">
      <c r="A992" s="260"/>
      <c r="B992" s="104"/>
      <c r="C992" s="104"/>
      <c r="D992" s="260"/>
      <c r="E992" s="104"/>
      <c r="F992" s="104"/>
      <c r="G992" s="35"/>
      <c r="H992" s="104"/>
      <c r="I992" s="35"/>
      <c r="J992" s="74"/>
      <c r="K992" s="74"/>
      <c r="L992" s="74"/>
      <c r="M992" s="74"/>
      <c r="N992" s="74"/>
      <c r="O992" s="74"/>
      <c r="P992" s="74"/>
      <c r="Q992" s="74"/>
      <c r="R992" s="74"/>
      <c r="S992" s="74"/>
      <c r="T992" s="74"/>
      <c r="U992" s="74"/>
      <c r="V992" s="74"/>
      <c r="W992" s="74"/>
      <c r="X992" s="74"/>
      <c r="Y992" s="74"/>
      <c r="Z992" s="74"/>
      <c r="AA992" s="74"/>
      <c r="AB992" s="74"/>
    </row>
    <row r="993" spans="1:28" ht="12" customHeight="1">
      <c r="A993" s="260"/>
      <c r="B993" s="104"/>
      <c r="C993" s="104"/>
      <c r="D993" s="260"/>
      <c r="E993" s="104"/>
      <c r="F993" s="104"/>
      <c r="G993" s="35"/>
      <c r="H993" s="104"/>
      <c r="I993" s="35"/>
      <c r="J993" s="74"/>
      <c r="K993" s="74"/>
      <c r="L993" s="74"/>
      <c r="M993" s="74"/>
      <c r="N993" s="74"/>
      <c r="O993" s="74"/>
      <c r="P993" s="74"/>
      <c r="Q993" s="74"/>
      <c r="R993" s="74"/>
      <c r="S993" s="74"/>
      <c r="T993" s="74"/>
      <c r="U993" s="74"/>
      <c r="V993" s="74"/>
      <c r="W993" s="74"/>
      <c r="X993" s="74"/>
      <c r="Y993" s="74"/>
      <c r="Z993" s="74"/>
      <c r="AA993" s="74"/>
      <c r="AB993" s="74"/>
    </row>
    <row r="994" spans="1:28" ht="12" customHeight="1">
      <c r="A994" s="260"/>
      <c r="B994" s="104"/>
      <c r="C994" s="104"/>
      <c r="D994" s="260"/>
      <c r="E994" s="104"/>
      <c r="F994" s="104"/>
      <c r="G994" s="35"/>
      <c r="H994" s="104"/>
      <c r="I994" s="35"/>
      <c r="J994" s="74"/>
      <c r="K994" s="74"/>
      <c r="L994" s="74"/>
      <c r="M994" s="74"/>
      <c r="N994" s="74"/>
      <c r="O994" s="74"/>
      <c r="P994" s="74"/>
      <c r="Q994" s="74"/>
      <c r="R994" s="74"/>
      <c r="S994" s="74"/>
      <c r="T994" s="74"/>
      <c r="U994" s="74"/>
      <c r="V994" s="74"/>
      <c r="W994" s="74"/>
      <c r="X994" s="74"/>
      <c r="Y994" s="74"/>
      <c r="Z994" s="74"/>
      <c r="AA994" s="74"/>
      <c r="AB994" s="74"/>
    </row>
    <row r="995" spans="1:28" ht="12" customHeight="1">
      <c r="A995" s="260"/>
      <c r="B995" s="104"/>
      <c r="C995" s="104"/>
      <c r="D995" s="260"/>
      <c r="E995" s="104"/>
      <c r="F995" s="104"/>
      <c r="G995" s="35"/>
      <c r="H995" s="104"/>
      <c r="I995" s="35"/>
      <c r="J995" s="74"/>
      <c r="K995" s="74"/>
      <c r="L995" s="74"/>
      <c r="M995" s="74"/>
      <c r="N995" s="74"/>
      <c r="O995" s="74"/>
      <c r="P995" s="74"/>
      <c r="Q995" s="74"/>
      <c r="R995" s="74"/>
      <c r="S995" s="74"/>
      <c r="T995" s="74"/>
      <c r="U995" s="74"/>
      <c r="V995" s="74"/>
      <c r="W995" s="74"/>
      <c r="X995" s="74"/>
      <c r="Y995" s="74"/>
      <c r="Z995" s="74"/>
      <c r="AA995" s="74"/>
      <c r="AB995" s="74"/>
    </row>
    <row r="996" spans="1:28" ht="12" customHeight="1">
      <c r="A996" s="260"/>
      <c r="B996" s="104"/>
      <c r="C996" s="104"/>
      <c r="D996" s="260"/>
      <c r="E996" s="104"/>
      <c r="F996" s="104"/>
      <c r="G996" s="35"/>
      <c r="H996" s="104"/>
      <c r="I996" s="35"/>
      <c r="J996" s="74"/>
      <c r="K996" s="74"/>
      <c r="L996" s="74"/>
      <c r="M996" s="74"/>
      <c r="N996" s="74"/>
      <c r="O996" s="74"/>
      <c r="P996" s="74"/>
      <c r="Q996" s="74"/>
      <c r="R996" s="74"/>
      <c r="S996" s="74"/>
      <c r="T996" s="74"/>
      <c r="U996" s="74"/>
      <c r="V996" s="74"/>
      <c r="W996" s="74"/>
      <c r="X996" s="74"/>
      <c r="Y996" s="74"/>
      <c r="Z996" s="74"/>
      <c r="AA996" s="74"/>
      <c r="AB996" s="74"/>
    </row>
    <row r="997" spans="1:28" ht="12" customHeight="1">
      <c r="A997" s="260"/>
      <c r="B997" s="104"/>
      <c r="C997" s="104"/>
      <c r="D997" s="260"/>
      <c r="E997" s="104"/>
      <c r="F997" s="104"/>
      <c r="G997" s="35"/>
      <c r="H997" s="104"/>
      <c r="I997" s="35"/>
      <c r="J997" s="74"/>
      <c r="K997" s="74"/>
      <c r="L997" s="74"/>
      <c r="M997" s="74"/>
      <c r="N997" s="74"/>
      <c r="O997" s="74"/>
      <c r="P997" s="74"/>
      <c r="Q997" s="74"/>
      <c r="R997" s="74"/>
      <c r="S997" s="74"/>
      <c r="T997" s="74"/>
      <c r="U997" s="74"/>
      <c r="V997" s="74"/>
      <c r="W997" s="74"/>
      <c r="X997" s="74"/>
      <c r="Y997" s="74"/>
      <c r="Z997" s="74"/>
      <c r="AA997" s="74"/>
      <c r="AB997" s="74"/>
    </row>
    <row r="998" spans="1:28" ht="12" customHeight="1">
      <c r="A998" s="260"/>
      <c r="B998" s="104"/>
      <c r="C998" s="104"/>
      <c r="D998" s="260"/>
      <c r="E998" s="104"/>
      <c r="F998" s="104"/>
      <c r="G998" s="35"/>
      <c r="H998" s="104"/>
      <c r="I998" s="35"/>
      <c r="J998" s="74"/>
      <c r="K998" s="74"/>
      <c r="L998" s="74"/>
      <c r="M998" s="74"/>
      <c r="N998" s="74"/>
      <c r="O998" s="74"/>
      <c r="P998" s="74"/>
      <c r="Q998" s="74"/>
      <c r="R998" s="74"/>
      <c r="S998" s="74"/>
      <c r="T998" s="74"/>
      <c r="U998" s="74"/>
      <c r="V998" s="74"/>
      <c r="W998" s="74"/>
      <c r="X998" s="74"/>
      <c r="Y998" s="74"/>
      <c r="Z998" s="74"/>
      <c r="AA998" s="74"/>
      <c r="AB998" s="74"/>
    </row>
    <row r="999" spans="1:28" ht="12" customHeight="1">
      <c r="A999" s="260"/>
      <c r="B999" s="104"/>
      <c r="C999" s="104"/>
      <c r="D999" s="260"/>
      <c r="E999" s="104"/>
      <c r="F999" s="104"/>
      <c r="G999" s="35"/>
      <c r="H999" s="104"/>
      <c r="I999" s="35"/>
      <c r="J999" s="74"/>
      <c r="K999" s="74"/>
      <c r="L999" s="74"/>
      <c r="M999" s="74"/>
      <c r="N999" s="74"/>
      <c r="O999" s="74"/>
      <c r="P999" s="74"/>
      <c r="Q999" s="74"/>
      <c r="R999" s="74"/>
      <c r="S999" s="74"/>
      <c r="T999" s="74"/>
      <c r="U999" s="74"/>
      <c r="V999" s="74"/>
      <c r="W999" s="74"/>
      <c r="X999" s="74"/>
      <c r="Y999" s="74"/>
      <c r="Z999" s="74"/>
      <c r="AA999" s="74"/>
      <c r="AB999" s="74"/>
    </row>
    <row r="1000" spans="1:28" ht="12" customHeight="1">
      <c r="A1000" s="260"/>
      <c r="B1000" s="104"/>
      <c r="C1000" s="104"/>
      <c r="D1000" s="260"/>
      <c r="E1000" s="104"/>
      <c r="F1000" s="104"/>
      <c r="G1000" s="35"/>
      <c r="H1000" s="104"/>
      <c r="I1000" s="35"/>
      <c r="J1000" s="74"/>
      <c r="K1000" s="74"/>
      <c r="L1000" s="74"/>
      <c r="M1000" s="74"/>
      <c r="N1000" s="74"/>
      <c r="O1000" s="74"/>
      <c r="P1000" s="74"/>
      <c r="Q1000" s="74"/>
      <c r="R1000" s="74"/>
      <c r="S1000" s="74"/>
      <c r="T1000" s="74"/>
      <c r="U1000" s="74"/>
      <c r="V1000" s="74"/>
      <c r="W1000" s="74"/>
      <c r="X1000" s="74"/>
      <c r="Y1000" s="74"/>
      <c r="Z1000" s="74"/>
      <c r="AA1000" s="74"/>
      <c r="AB1000" s="74"/>
    </row>
    <row r="1001" spans="1:28" ht="12" customHeight="1">
      <c r="A1001" s="260"/>
      <c r="B1001" s="104"/>
      <c r="C1001" s="104"/>
      <c r="D1001" s="260"/>
      <c r="E1001" s="104"/>
      <c r="F1001" s="104"/>
      <c r="G1001" s="35"/>
      <c r="H1001" s="104"/>
      <c r="I1001" s="35"/>
      <c r="J1001" s="74"/>
      <c r="K1001" s="74"/>
      <c r="L1001" s="74"/>
      <c r="M1001" s="74"/>
      <c r="N1001" s="74"/>
      <c r="O1001" s="74"/>
      <c r="P1001" s="74"/>
      <c r="Q1001" s="74"/>
      <c r="R1001" s="74"/>
      <c r="S1001" s="74"/>
      <c r="T1001" s="74"/>
      <c r="U1001" s="74"/>
      <c r="V1001" s="74"/>
      <c r="W1001" s="74"/>
      <c r="X1001" s="74"/>
      <c r="Y1001" s="74"/>
      <c r="Z1001" s="74"/>
      <c r="AA1001" s="74"/>
      <c r="AB1001" s="74"/>
    </row>
    <row r="1002" spans="1:28" ht="12" customHeight="1">
      <c r="A1002" s="260"/>
      <c r="B1002" s="104"/>
      <c r="C1002" s="104"/>
      <c r="D1002" s="260"/>
      <c r="E1002" s="104"/>
      <c r="F1002" s="104"/>
      <c r="G1002" s="35"/>
      <c r="H1002" s="104"/>
      <c r="I1002" s="35"/>
      <c r="J1002" s="74"/>
      <c r="K1002" s="74"/>
      <c r="L1002" s="74"/>
      <c r="M1002" s="74"/>
      <c r="N1002" s="74"/>
      <c r="O1002" s="74"/>
      <c r="P1002" s="74"/>
      <c r="Q1002" s="74"/>
      <c r="R1002" s="74"/>
      <c r="S1002" s="74"/>
      <c r="T1002" s="74"/>
      <c r="U1002" s="74"/>
      <c r="V1002" s="74"/>
      <c r="W1002" s="74"/>
      <c r="X1002" s="74"/>
      <c r="Y1002" s="74"/>
      <c r="Z1002" s="74"/>
      <c r="AA1002" s="74"/>
      <c r="AB1002" s="74"/>
    </row>
    <row r="1003" spans="1:28" ht="12" customHeight="1">
      <c r="A1003" s="260"/>
      <c r="B1003" s="104"/>
      <c r="C1003" s="104"/>
      <c r="D1003" s="260"/>
      <c r="E1003" s="104"/>
      <c r="F1003" s="104"/>
      <c r="G1003" s="35"/>
      <c r="H1003" s="104"/>
      <c r="I1003" s="35"/>
      <c r="J1003" s="74"/>
      <c r="K1003" s="74"/>
      <c r="L1003" s="74"/>
      <c r="M1003" s="74"/>
      <c r="N1003" s="74"/>
      <c r="O1003" s="74"/>
      <c r="P1003" s="74"/>
      <c r="Q1003" s="74"/>
      <c r="R1003" s="74"/>
      <c r="S1003" s="74"/>
      <c r="T1003" s="74"/>
      <c r="U1003" s="74"/>
      <c r="V1003" s="74"/>
      <c r="W1003" s="74"/>
      <c r="X1003" s="74"/>
      <c r="Y1003" s="74"/>
      <c r="Z1003" s="74"/>
      <c r="AA1003" s="74"/>
      <c r="AB1003" s="74"/>
    </row>
    <row r="1004" spans="1:28" ht="12" customHeight="1">
      <c r="A1004" s="260"/>
      <c r="B1004" s="104"/>
      <c r="C1004" s="104"/>
      <c r="D1004" s="260"/>
      <c r="E1004" s="104"/>
      <c r="F1004" s="104"/>
      <c r="G1004" s="35"/>
      <c r="H1004" s="104"/>
      <c r="I1004" s="35"/>
      <c r="J1004" s="74"/>
      <c r="K1004" s="74"/>
      <c r="L1004" s="74"/>
      <c r="M1004" s="74"/>
      <c r="N1004" s="74"/>
      <c r="O1004" s="74"/>
      <c r="P1004" s="74"/>
      <c r="Q1004" s="74"/>
      <c r="R1004" s="74"/>
      <c r="S1004" s="74"/>
      <c r="T1004" s="74"/>
      <c r="U1004" s="74"/>
      <c r="V1004" s="74"/>
      <c r="W1004" s="74"/>
      <c r="X1004" s="74"/>
      <c r="Y1004" s="74"/>
      <c r="Z1004" s="74"/>
      <c r="AA1004" s="74"/>
      <c r="AB1004" s="74"/>
    </row>
    <row r="1005" spans="1:28" ht="12" customHeight="1">
      <c r="A1005" s="260"/>
      <c r="B1005" s="104"/>
      <c r="C1005" s="104"/>
      <c r="D1005" s="260"/>
      <c r="E1005" s="104"/>
      <c r="F1005" s="104"/>
      <c r="G1005" s="35"/>
      <c r="H1005" s="104"/>
      <c r="I1005" s="35"/>
      <c r="J1005" s="74"/>
      <c r="K1005" s="74"/>
      <c r="L1005" s="74"/>
      <c r="M1005" s="74"/>
      <c r="N1005" s="74"/>
      <c r="O1005" s="74"/>
      <c r="P1005" s="74"/>
      <c r="Q1005" s="74"/>
      <c r="R1005" s="74"/>
      <c r="S1005" s="74"/>
      <c r="T1005" s="74"/>
      <c r="U1005" s="74"/>
      <c r="V1005" s="74"/>
      <c r="W1005" s="74"/>
      <c r="X1005" s="74"/>
      <c r="Y1005" s="74"/>
      <c r="Z1005" s="74"/>
      <c r="AA1005" s="74"/>
      <c r="AB1005" s="74"/>
    </row>
    <row r="1006" spans="1:28" ht="12" customHeight="1">
      <c r="A1006" s="260"/>
      <c r="B1006" s="104"/>
      <c r="C1006" s="104"/>
      <c r="D1006" s="260"/>
      <c r="E1006" s="104"/>
      <c r="F1006" s="104"/>
      <c r="G1006" s="35"/>
      <c r="H1006" s="104"/>
      <c r="I1006" s="35"/>
      <c r="J1006" s="74"/>
      <c r="K1006" s="74"/>
      <c r="L1006" s="74"/>
      <c r="M1006" s="74"/>
      <c r="N1006" s="74"/>
      <c r="O1006" s="74"/>
      <c r="P1006" s="74"/>
      <c r="Q1006" s="74"/>
      <c r="R1006" s="74"/>
      <c r="S1006" s="74"/>
      <c r="T1006" s="74"/>
      <c r="U1006" s="74"/>
      <c r="V1006" s="74"/>
      <c r="W1006" s="74"/>
      <c r="X1006" s="74"/>
      <c r="Y1006" s="74"/>
      <c r="Z1006" s="74"/>
      <c r="AA1006" s="74"/>
      <c r="AB1006" s="74"/>
    </row>
    <row r="1007" spans="1:28" ht="12" customHeight="1">
      <c r="A1007" s="260"/>
      <c r="B1007" s="104"/>
      <c r="C1007" s="104"/>
      <c r="D1007" s="260"/>
      <c r="E1007" s="104"/>
      <c r="F1007" s="104"/>
      <c r="G1007" s="35"/>
      <c r="H1007" s="104"/>
      <c r="I1007" s="35"/>
      <c r="J1007" s="74"/>
      <c r="K1007" s="74"/>
      <c r="L1007" s="74"/>
      <c r="M1007" s="74"/>
      <c r="N1007" s="74"/>
      <c r="O1007" s="74"/>
      <c r="P1007" s="74"/>
      <c r="Q1007" s="74"/>
      <c r="R1007" s="74"/>
      <c r="S1007" s="74"/>
      <c r="T1007" s="74"/>
      <c r="U1007" s="74"/>
      <c r="V1007" s="74"/>
      <c r="W1007" s="74"/>
      <c r="X1007" s="74"/>
      <c r="Y1007" s="74"/>
      <c r="Z1007" s="74"/>
      <c r="AA1007" s="74"/>
      <c r="AB1007" s="74"/>
    </row>
    <row r="1008" spans="1:28" ht="12" customHeight="1">
      <c r="A1008" s="260"/>
      <c r="B1008" s="104"/>
      <c r="C1008" s="104"/>
      <c r="D1008" s="260"/>
      <c r="E1008" s="104"/>
      <c r="F1008" s="104"/>
      <c r="G1008" s="35"/>
      <c r="H1008" s="104"/>
      <c r="I1008" s="35"/>
      <c r="J1008" s="74"/>
      <c r="K1008" s="74"/>
      <c r="L1008" s="74"/>
      <c r="M1008" s="74"/>
      <c r="N1008" s="74"/>
      <c r="O1008" s="74"/>
      <c r="P1008" s="74"/>
      <c r="Q1008" s="74"/>
      <c r="R1008" s="74"/>
      <c r="S1008" s="74"/>
      <c r="T1008" s="74"/>
      <c r="U1008" s="74"/>
      <c r="V1008" s="74"/>
      <c r="W1008" s="74"/>
      <c r="X1008" s="74"/>
      <c r="Y1008" s="74"/>
      <c r="Z1008" s="74"/>
      <c r="AA1008" s="74"/>
      <c r="AB1008" s="74"/>
    </row>
    <row r="1009" spans="1:28" ht="12" customHeight="1">
      <c r="A1009" s="260"/>
      <c r="B1009" s="104"/>
      <c r="C1009" s="104"/>
      <c r="D1009" s="260"/>
      <c r="E1009" s="104"/>
      <c r="F1009" s="104"/>
      <c r="G1009" s="35"/>
      <c r="H1009" s="104"/>
      <c r="I1009" s="35"/>
      <c r="J1009" s="74"/>
      <c r="K1009" s="74"/>
      <c r="L1009" s="74"/>
      <c r="M1009" s="74"/>
      <c r="N1009" s="74"/>
      <c r="O1009" s="74"/>
      <c r="P1009" s="74"/>
      <c r="Q1009" s="74"/>
      <c r="R1009" s="74"/>
      <c r="S1009" s="74"/>
      <c r="T1009" s="74"/>
      <c r="U1009" s="74"/>
      <c r="V1009" s="74"/>
      <c r="W1009" s="74"/>
      <c r="X1009" s="74"/>
      <c r="Y1009" s="74"/>
      <c r="Z1009" s="74"/>
      <c r="AA1009" s="74"/>
      <c r="AB1009" s="74"/>
    </row>
    <row r="1010" spans="1:28" ht="12" customHeight="1">
      <c r="A1010" s="260"/>
      <c r="B1010" s="104"/>
      <c r="C1010" s="104"/>
      <c r="D1010" s="260"/>
      <c r="E1010" s="104"/>
      <c r="F1010" s="104"/>
      <c r="G1010" s="35"/>
      <c r="H1010" s="104"/>
      <c r="I1010" s="35"/>
      <c r="J1010" s="74"/>
      <c r="K1010" s="74"/>
      <c r="L1010" s="74"/>
      <c r="M1010" s="74"/>
      <c r="N1010" s="74"/>
      <c r="O1010" s="74"/>
      <c r="P1010" s="74"/>
      <c r="Q1010" s="74"/>
      <c r="R1010" s="74"/>
      <c r="S1010" s="74"/>
      <c r="T1010" s="74"/>
      <c r="U1010" s="74"/>
      <c r="V1010" s="74"/>
      <c r="W1010" s="74"/>
      <c r="X1010" s="74"/>
      <c r="Y1010" s="74"/>
      <c r="Z1010" s="74"/>
      <c r="AA1010" s="74"/>
      <c r="AB1010" s="74"/>
    </row>
    <row r="1011" spans="1:28" ht="12" customHeight="1">
      <c r="A1011" s="260"/>
      <c r="B1011" s="104"/>
      <c r="C1011" s="104"/>
      <c r="D1011" s="260"/>
      <c r="E1011" s="104"/>
      <c r="F1011" s="104"/>
      <c r="G1011" s="35"/>
      <c r="H1011" s="104"/>
      <c r="I1011" s="35"/>
      <c r="J1011" s="74"/>
      <c r="K1011" s="74"/>
      <c r="L1011" s="74"/>
      <c r="M1011" s="74"/>
      <c r="N1011" s="74"/>
      <c r="O1011" s="74"/>
      <c r="P1011" s="74"/>
      <c r="Q1011" s="74"/>
      <c r="R1011" s="74"/>
      <c r="S1011" s="74"/>
      <c r="T1011" s="74"/>
      <c r="U1011" s="74"/>
      <c r="V1011" s="74"/>
      <c r="W1011" s="74"/>
      <c r="X1011" s="74"/>
      <c r="Y1011" s="74"/>
      <c r="Z1011" s="74"/>
      <c r="AA1011" s="74"/>
      <c r="AB1011" s="74"/>
    </row>
    <row r="1012" spans="1:28" ht="12" customHeight="1">
      <c r="A1012" s="260"/>
      <c r="B1012" s="104"/>
      <c r="C1012" s="104"/>
      <c r="D1012" s="260"/>
      <c r="E1012" s="104"/>
      <c r="F1012" s="104"/>
      <c r="G1012" s="35"/>
      <c r="H1012" s="104"/>
      <c r="I1012" s="35"/>
      <c r="J1012" s="74"/>
      <c r="K1012" s="74"/>
      <c r="L1012" s="74"/>
      <c r="M1012" s="74"/>
      <c r="N1012" s="74"/>
      <c r="O1012" s="74"/>
      <c r="P1012" s="74"/>
      <c r="Q1012" s="74"/>
      <c r="R1012" s="74"/>
      <c r="S1012" s="74"/>
      <c r="T1012" s="74"/>
      <c r="U1012" s="74"/>
      <c r="V1012" s="74"/>
      <c r="W1012" s="74"/>
      <c r="X1012" s="74"/>
      <c r="Y1012" s="74"/>
      <c r="Z1012" s="74"/>
      <c r="AA1012" s="74"/>
      <c r="AB1012" s="74"/>
    </row>
    <row r="1013" spans="1:28" ht="12" customHeight="1">
      <c r="A1013" s="260"/>
      <c r="B1013" s="104"/>
      <c r="C1013" s="104"/>
      <c r="D1013" s="260"/>
      <c r="E1013" s="104"/>
      <c r="F1013" s="104"/>
      <c r="G1013" s="35"/>
      <c r="H1013" s="104"/>
      <c r="I1013" s="35"/>
      <c r="J1013" s="74"/>
      <c r="K1013" s="74"/>
      <c r="L1013" s="74"/>
      <c r="M1013" s="74"/>
      <c r="N1013" s="74"/>
      <c r="O1013" s="74"/>
      <c r="P1013" s="74"/>
      <c r="Q1013" s="74"/>
      <c r="R1013" s="74"/>
      <c r="S1013" s="74"/>
      <c r="T1013" s="74"/>
      <c r="U1013" s="74"/>
      <c r="V1013" s="74"/>
      <c r="W1013" s="74"/>
      <c r="X1013" s="74"/>
      <c r="Y1013" s="74"/>
      <c r="Z1013" s="74"/>
      <c r="AA1013" s="74"/>
      <c r="AB1013" s="74"/>
    </row>
    <row r="1014" spans="1:28" ht="12" customHeight="1">
      <c r="A1014" s="260"/>
      <c r="B1014" s="104"/>
      <c r="C1014" s="104"/>
      <c r="D1014" s="260"/>
      <c r="E1014" s="104"/>
      <c r="F1014" s="104"/>
      <c r="G1014" s="35"/>
      <c r="H1014" s="104"/>
      <c r="I1014" s="35"/>
      <c r="J1014" s="74"/>
      <c r="K1014" s="74"/>
      <c r="L1014" s="74"/>
      <c r="M1014" s="74"/>
      <c r="N1014" s="74"/>
      <c r="O1014" s="74"/>
      <c r="P1014" s="74"/>
      <c r="Q1014" s="74"/>
      <c r="R1014" s="74"/>
      <c r="S1014" s="74"/>
      <c r="T1014" s="74"/>
      <c r="U1014" s="74"/>
      <c r="V1014" s="74"/>
      <c r="W1014" s="74"/>
      <c r="X1014" s="74"/>
      <c r="Y1014" s="74"/>
      <c r="Z1014" s="74"/>
      <c r="AA1014" s="74"/>
      <c r="AB1014" s="74"/>
    </row>
    <row r="1015" spans="1:28" ht="12" customHeight="1">
      <c r="A1015" s="260"/>
      <c r="B1015" s="104"/>
      <c r="C1015" s="104"/>
      <c r="D1015" s="260"/>
      <c r="E1015" s="104"/>
      <c r="F1015" s="104"/>
      <c r="G1015" s="35"/>
      <c r="H1015" s="104"/>
      <c r="I1015" s="35"/>
      <c r="J1015" s="74"/>
      <c r="K1015" s="74"/>
      <c r="L1015" s="74"/>
      <c r="M1015" s="74"/>
      <c r="N1015" s="74"/>
      <c r="O1015" s="74"/>
      <c r="P1015" s="74"/>
      <c r="Q1015" s="74"/>
      <c r="R1015" s="74"/>
      <c r="S1015" s="74"/>
      <c r="T1015" s="74"/>
      <c r="U1015" s="74"/>
      <c r="V1015" s="74"/>
      <c r="W1015" s="74"/>
      <c r="X1015" s="74"/>
      <c r="Y1015" s="74"/>
      <c r="Z1015" s="74"/>
      <c r="AA1015" s="74"/>
      <c r="AB1015" s="74"/>
    </row>
  </sheetData>
  <autoFilter ref="A5:AB71" xr:uid="{00000000-0009-0000-0000-000010000000}"/>
  <mergeCells count="3">
    <mergeCell ref="A1:H1"/>
    <mergeCell ref="A2:F2"/>
    <mergeCell ref="A4:F4"/>
  </mergeCells>
  <hyperlinks>
    <hyperlink ref="F3" location="Menu por Procesos!A1" display="MENU" xr:uid="{00000000-0004-0000-1000-000000000000}"/>
    <hyperlink ref="A6" r:id="rId1" xr:uid="{00000000-0004-0000-1000-000001000000}"/>
    <hyperlink ref="A7" r:id="rId2" xr:uid="{00000000-0004-0000-1000-000002000000}"/>
    <hyperlink ref="A8" r:id="rId3" xr:uid="{00000000-0004-0000-1000-000003000000}"/>
    <hyperlink ref="A9" r:id="rId4" xr:uid="{00000000-0004-0000-1000-000004000000}"/>
    <hyperlink ref="A10" r:id="rId5" xr:uid="{00000000-0004-0000-1000-000005000000}"/>
    <hyperlink ref="A11" r:id="rId6" xr:uid="{00000000-0004-0000-1000-000006000000}"/>
    <hyperlink ref="A12" r:id="rId7" xr:uid="{00000000-0004-0000-1000-000007000000}"/>
    <hyperlink ref="A13" r:id="rId8" xr:uid="{00000000-0004-0000-1000-000008000000}"/>
    <hyperlink ref="A14" r:id="rId9" location="0" xr:uid="{00000000-0004-0000-1000-000009000000}"/>
    <hyperlink ref="A15" r:id="rId10" xr:uid="{00000000-0004-0000-1000-00000A000000}"/>
    <hyperlink ref="A16" r:id="rId11" xr:uid="{00000000-0004-0000-1000-00000B000000}"/>
    <hyperlink ref="A17" r:id="rId12" xr:uid="{00000000-0004-0000-1000-00000C000000}"/>
    <hyperlink ref="A18" r:id="rId13" xr:uid="{00000000-0004-0000-1000-00000D000000}"/>
    <hyperlink ref="A19" r:id="rId14" xr:uid="{00000000-0004-0000-1000-00000E000000}"/>
    <hyperlink ref="A20" r:id="rId15" xr:uid="{00000000-0004-0000-1000-00000F000000}"/>
    <hyperlink ref="A21" r:id="rId16" xr:uid="{00000000-0004-0000-1000-000010000000}"/>
    <hyperlink ref="A22" r:id="rId17" xr:uid="{00000000-0004-0000-1000-000011000000}"/>
    <hyperlink ref="A23" r:id="rId18" xr:uid="{00000000-0004-0000-1000-000012000000}"/>
    <hyperlink ref="A24" r:id="rId19" xr:uid="{00000000-0004-0000-1000-000013000000}"/>
    <hyperlink ref="A25" r:id="rId20" location="35" xr:uid="{00000000-0004-0000-1000-000014000000}"/>
    <hyperlink ref="A26" r:id="rId21" xr:uid="{00000000-0004-0000-1000-000015000000}"/>
    <hyperlink ref="A27" r:id="rId22" xr:uid="{00000000-0004-0000-1000-000016000000}"/>
    <hyperlink ref="A28" r:id="rId23" xr:uid="{00000000-0004-0000-1000-000017000000}"/>
    <hyperlink ref="A29" r:id="rId24" xr:uid="{00000000-0004-0000-1000-000018000000}"/>
    <hyperlink ref="A30" r:id="rId25" xr:uid="{00000000-0004-0000-1000-000019000000}"/>
    <hyperlink ref="A31" r:id="rId26" xr:uid="{00000000-0004-0000-1000-00001A000000}"/>
    <hyperlink ref="A32" r:id="rId27" location="120" xr:uid="{00000000-0004-0000-1000-00001B000000}"/>
    <hyperlink ref="A33" r:id="rId28" location="18" xr:uid="{00000000-0004-0000-1000-00001C000000}"/>
    <hyperlink ref="A34" r:id="rId29" xr:uid="{00000000-0004-0000-1000-00001D000000}"/>
    <hyperlink ref="A35" r:id="rId30" location="24" xr:uid="{00000000-0004-0000-1000-00001E000000}"/>
    <hyperlink ref="A36" r:id="rId31" xr:uid="{00000000-0004-0000-1000-00001F000000}"/>
    <hyperlink ref="A37" r:id="rId32" xr:uid="{00000000-0004-0000-1000-000020000000}"/>
    <hyperlink ref="A38" r:id="rId33" xr:uid="{00000000-0004-0000-1000-000021000000}"/>
    <hyperlink ref="A39" r:id="rId34" xr:uid="{00000000-0004-0000-1000-000022000000}"/>
    <hyperlink ref="A40" r:id="rId35" xr:uid="{00000000-0004-0000-1000-000023000000}"/>
    <hyperlink ref="A41" r:id="rId36" xr:uid="{00000000-0004-0000-1000-000024000000}"/>
    <hyperlink ref="A42" r:id="rId37" xr:uid="{00000000-0004-0000-1000-000025000000}"/>
    <hyperlink ref="A43" r:id="rId38" xr:uid="{00000000-0004-0000-1000-000026000000}"/>
    <hyperlink ref="A44" r:id="rId39" xr:uid="{00000000-0004-0000-1000-000027000000}"/>
    <hyperlink ref="A45" r:id="rId40" xr:uid="{00000000-0004-0000-1000-000028000000}"/>
    <hyperlink ref="A46" r:id="rId41" xr:uid="{00000000-0004-0000-1000-000029000000}"/>
    <hyperlink ref="A47" r:id="rId42" xr:uid="{00000000-0004-0000-1000-00002A000000}"/>
    <hyperlink ref="A48" r:id="rId43" xr:uid="{00000000-0004-0000-1000-00002B000000}"/>
    <hyperlink ref="A49" r:id="rId44" xr:uid="{00000000-0004-0000-1000-00002C000000}"/>
    <hyperlink ref="A50" r:id="rId45" xr:uid="{00000000-0004-0000-1000-00002D000000}"/>
    <hyperlink ref="A51" r:id="rId46" xr:uid="{00000000-0004-0000-1000-00002E000000}"/>
    <hyperlink ref="A52" r:id="rId47" xr:uid="{00000000-0004-0000-1000-00002F000000}"/>
    <hyperlink ref="A53" r:id="rId48" xr:uid="{00000000-0004-0000-1000-000030000000}"/>
    <hyperlink ref="A54" r:id="rId49" xr:uid="{00000000-0004-0000-1000-000031000000}"/>
    <hyperlink ref="A55" r:id="rId50" xr:uid="{00000000-0004-0000-1000-000032000000}"/>
    <hyperlink ref="A56" r:id="rId51" xr:uid="{00000000-0004-0000-1000-000033000000}"/>
    <hyperlink ref="A57" r:id="rId52" xr:uid="{00000000-0004-0000-1000-000034000000}"/>
    <hyperlink ref="A58" r:id="rId53" xr:uid="{00000000-0004-0000-1000-000035000000}"/>
    <hyperlink ref="A60" r:id="rId54" xr:uid="{00000000-0004-0000-1000-000036000000}"/>
    <hyperlink ref="A61" r:id="rId55" xr:uid="{00000000-0004-0000-1000-000037000000}"/>
    <hyperlink ref="A62" r:id="rId56" xr:uid="{00000000-0004-0000-1000-000038000000}"/>
    <hyperlink ref="A63" r:id="rId57" xr:uid="{00000000-0004-0000-1000-000039000000}"/>
    <hyperlink ref="A64" r:id="rId58" xr:uid="{00000000-0004-0000-1000-00003A000000}"/>
    <hyperlink ref="A65" r:id="rId59" xr:uid="{00000000-0004-0000-1000-00003B000000}"/>
    <hyperlink ref="A66" r:id="rId60" xr:uid="{00000000-0004-0000-1000-00003C000000}"/>
    <hyperlink ref="A67" r:id="rId61" xr:uid="{00000000-0004-0000-1000-00003D000000}"/>
    <hyperlink ref="A68" r:id="rId62" xr:uid="{00000000-0004-0000-1000-00003E000000}"/>
    <hyperlink ref="A69" r:id="rId63" xr:uid="{00000000-0004-0000-1000-00003F000000}"/>
    <hyperlink ref="A70" r:id="rId64" xr:uid="{00000000-0004-0000-1000-000040000000}"/>
    <hyperlink ref="A71" r:id="rId65" xr:uid="{00000000-0004-0000-1000-000041000000}"/>
  </hyperlinks>
  <pageMargins left="0.7" right="0.7" top="0.75" bottom="0.75" header="0" footer="0"/>
  <pageSetup orientation="landscape"/>
  <drawing r:id="rId66"/>
  <legacyDrawing r:id="rId67"/>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9D18E"/>
  </sheetPr>
  <dimension ref="A1:AB1115"/>
  <sheetViews>
    <sheetView workbookViewId="0"/>
  </sheetViews>
  <sheetFormatPr baseColWidth="10" defaultColWidth="14.42578125" defaultRowHeight="15" customHeight="1"/>
  <cols>
    <col min="1" max="1" width="35.42578125" customWidth="1"/>
    <col min="2" max="2" width="12.85546875" customWidth="1"/>
    <col min="3" max="3" width="20.28515625" customWidth="1"/>
    <col min="4" max="4" width="58.7109375" customWidth="1"/>
    <col min="5" max="5" width="22.85546875" customWidth="1"/>
    <col min="6" max="6" width="38.8554687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773"/>
      <c r="B1" s="769"/>
      <c r="C1" s="769"/>
      <c r="D1" s="769"/>
      <c r="E1" s="769"/>
      <c r="F1" s="769"/>
      <c r="G1" s="769"/>
      <c r="H1" s="769"/>
      <c r="I1" s="17"/>
      <c r="J1" s="18"/>
      <c r="K1" s="18"/>
      <c r="L1" s="18"/>
      <c r="M1" s="18"/>
      <c r="N1" s="18"/>
      <c r="O1" s="18"/>
      <c r="P1" s="18"/>
      <c r="Q1" s="18"/>
      <c r="R1" s="18"/>
      <c r="S1" s="18"/>
      <c r="T1" s="18"/>
      <c r="U1" s="18"/>
      <c r="V1" s="18"/>
      <c r="W1" s="18"/>
      <c r="X1" s="18"/>
      <c r="Y1" s="18"/>
      <c r="Z1" s="18"/>
      <c r="AA1" s="18"/>
      <c r="AB1" s="18"/>
    </row>
    <row r="2" spans="1:28" ht="25.5" customHeight="1">
      <c r="A2" s="782" t="s">
        <v>28</v>
      </c>
      <c r="B2" s="765"/>
      <c r="C2" s="765"/>
      <c r="D2" s="765"/>
      <c r="E2" s="765"/>
      <c r="F2" s="766"/>
      <c r="G2" s="15"/>
      <c r="H2" s="16"/>
      <c r="I2" s="17"/>
      <c r="J2" s="18"/>
      <c r="K2" s="18"/>
      <c r="L2" s="18"/>
      <c r="M2" s="18"/>
      <c r="N2" s="18"/>
      <c r="O2" s="18"/>
      <c r="P2" s="18"/>
      <c r="Q2" s="18"/>
      <c r="R2" s="18"/>
      <c r="S2" s="18"/>
      <c r="T2" s="18"/>
      <c r="U2" s="18"/>
      <c r="V2" s="18"/>
      <c r="W2" s="18"/>
      <c r="X2" s="18"/>
      <c r="Y2" s="18"/>
      <c r="Z2" s="18"/>
      <c r="AA2" s="18"/>
      <c r="AB2" s="18"/>
    </row>
    <row r="3" spans="1:28" ht="25.5" customHeight="1">
      <c r="A3" s="355" t="s">
        <v>3133</v>
      </c>
      <c r="B3" s="315"/>
      <c r="C3" s="356"/>
      <c r="D3" s="356"/>
      <c r="E3" s="315"/>
      <c r="F3" s="317" t="s">
        <v>30</v>
      </c>
      <c r="G3" s="19"/>
      <c r="H3" s="21"/>
      <c r="I3" s="17"/>
      <c r="J3" s="18"/>
      <c r="K3" s="18"/>
      <c r="L3" s="18"/>
      <c r="M3" s="18"/>
      <c r="N3" s="18"/>
      <c r="O3" s="18"/>
      <c r="P3" s="18"/>
      <c r="Q3" s="18"/>
      <c r="R3" s="18"/>
      <c r="S3" s="18"/>
      <c r="T3" s="18"/>
      <c r="U3" s="18"/>
      <c r="V3" s="18"/>
      <c r="W3" s="18"/>
      <c r="X3" s="18"/>
      <c r="Y3" s="18"/>
      <c r="Z3" s="18"/>
      <c r="AA3" s="18"/>
      <c r="AB3" s="18"/>
    </row>
    <row r="4" spans="1:28" ht="33" customHeight="1">
      <c r="A4" s="783" t="s">
        <v>3134</v>
      </c>
      <c r="B4" s="777"/>
      <c r="C4" s="777"/>
      <c r="D4" s="777"/>
      <c r="E4" s="777"/>
      <c r="F4" s="778"/>
      <c r="G4" s="22"/>
      <c r="H4" s="22"/>
      <c r="I4" s="17"/>
      <c r="J4" s="18"/>
      <c r="K4" s="18"/>
      <c r="L4" s="18"/>
      <c r="M4" s="18"/>
      <c r="N4" s="18"/>
      <c r="O4" s="18"/>
      <c r="P4" s="18"/>
      <c r="Q4" s="18"/>
      <c r="R4" s="18"/>
      <c r="S4" s="18"/>
      <c r="T4" s="18"/>
      <c r="U4" s="18"/>
      <c r="V4" s="18"/>
      <c r="W4" s="18"/>
      <c r="X4" s="18"/>
      <c r="Y4" s="18"/>
      <c r="Z4" s="18"/>
      <c r="AA4" s="18"/>
      <c r="AB4" s="18"/>
    </row>
    <row r="5" spans="1:28" ht="34.5" customHeight="1">
      <c r="A5" s="357" t="s">
        <v>235</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ht="42" customHeight="1">
      <c r="A6" s="358" t="str">
        <f>HYPERLINK("http://www.secretariasenado.gov.co/senado/basedoc/ley_0009_1979.html#1","Ley 9")</f>
        <v>Ley 9</v>
      </c>
      <c r="B6" s="359">
        <v>29052</v>
      </c>
      <c r="C6" s="158" t="s">
        <v>3135</v>
      </c>
      <c r="D6" s="158" t="s">
        <v>3136</v>
      </c>
      <c r="E6" s="158" t="s">
        <v>3137</v>
      </c>
      <c r="F6" s="158" t="s">
        <v>3138</v>
      </c>
      <c r="G6" s="360" t="s">
        <v>43</v>
      </c>
      <c r="H6" s="257" t="s">
        <v>750</v>
      </c>
      <c r="I6" s="35"/>
      <c r="J6" s="36"/>
      <c r="K6" s="36"/>
      <c r="L6" s="36"/>
      <c r="M6" s="36"/>
      <c r="N6" s="36"/>
      <c r="O6" s="36"/>
      <c r="P6" s="36"/>
      <c r="Q6" s="36"/>
      <c r="R6" s="36"/>
      <c r="S6" s="36"/>
      <c r="T6" s="36"/>
      <c r="U6" s="36"/>
      <c r="V6" s="36"/>
      <c r="W6" s="36"/>
      <c r="X6" s="36"/>
      <c r="Y6" s="36"/>
      <c r="Z6" s="36"/>
      <c r="AA6" s="36"/>
      <c r="AB6" s="36"/>
    </row>
    <row r="7" spans="1:28" ht="24" customHeight="1">
      <c r="A7" s="358" t="str">
        <f>HYPERLINK("http://www.secretariasenado.gov.co/senado/basedoc/ley_0004_1992.html","LEY 4")</f>
        <v>LEY 4</v>
      </c>
      <c r="B7" s="359">
        <v>33742</v>
      </c>
      <c r="C7" s="158" t="s">
        <v>39</v>
      </c>
      <c r="D7" s="158" t="s">
        <v>2769</v>
      </c>
      <c r="E7" s="158" t="s">
        <v>41</v>
      </c>
      <c r="F7" s="158" t="s">
        <v>42</v>
      </c>
      <c r="G7" s="360"/>
      <c r="H7" s="257"/>
      <c r="I7" s="35"/>
      <c r="J7" s="36"/>
      <c r="K7" s="36"/>
      <c r="L7" s="36"/>
      <c r="M7" s="36"/>
      <c r="N7" s="36"/>
      <c r="O7" s="36"/>
      <c r="P7" s="36"/>
      <c r="Q7" s="36"/>
      <c r="R7" s="36"/>
      <c r="S7" s="36"/>
      <c r="T7" s="36"/>
      <c r="U7" s="36"/>
      <c r="V7" s="36"/>
      <c r="W7" s="36"/>
      <c r="X7" s="36"/>
      <c r="Y7" s="36"/>
      <c r="Z7" s="36"/>
      <c r="AA7" s="36"/>
      <c r="AB7" s="36"/>
    </row>
    <row r="8" spans="1:28" ht="24" customHeight="1">
      <c r="A8" s="358" t="str">
        <f>HYPERLINK("http://www.secretariasenado.gov.co/senado/basedoc/ley_0100_1993.html","Ley 100")</f>
        <v>Ley 100</v>
      </c>
      <c r="B8" s="361">
        <v>34326</v>
      </c>
      <c r="C8" s="158" t="s">
        <v>3135</v>
      </c>
      <c r="D8" s="158" t="s">
        <v>468</v>
      </c>
      <c r="E8" s="158" t="s">
        <v>41</v>
      </c>
      <c r="F8" s="158" t="s">
        <v>42</v>
      </c>
      <c r="G8" s="360" t="s">
        <v>43</v>
      </c>
      <c r="H8" s="257" t="s">
        <v>750</v>
      </c>
      <c r="I8" s="35"/>
      <c r="J8" s="36"/>
      <c r="K8" s="36"/>
      <c r="L8" s="36"/>
      <c r="M8" s="36"/>
      <c r="N8" s="36"/>
      <c r="O8" s="36"/>
      <c r="P8" s="36"/>
      <c r="Q8" s="36"/>
      <c r="R8" s="36"/>
      <c r="S8" s="36"/>
      <c r="T8" s="36"/>
      <c r="U8" s="36"/>
      <c r="V8" s="36"/>
      <c r="W8" s="36"/>
      <c r="X8" s="36"/>
      <c r="Y8" s="36"/>
      <c r="Z8" s="36"/>
      <c r="AA8" s="36"/>
      <c r="AB8" s="36"/>
    </row>
    <row r="9" spans="1:28" ht="36" customHeight="1">
      <c r="A9" s="358" t="str">
        <f>HYPERLINK("http://www.secretariasenado.gov.co/senado/basedoc/ley_0344_1996.html","LEY 344")</f>
        <v>LEY 344</v>
      </c>
      <c r="B9" s="361">
        <v>35426</v>
      </c>
      <c r="C9" s="158" t="s">
        <v>39</v>
      </c>
      <c r="D9" s="158" t="s">
        <v>2771</v>
      </c>
      <c r="E9" s="158" t="s">
        <v>41</v>
      </c>
      <c r="F9" s="158" t="s">
        <v>42</v>
      </c>
      <c r="G9" s="360"/>
      <c r="H9" s="257"/>
      <c r="I9" s="35"/>
      <c r="J9" s="36"/>
      <c r="K9" s="36"/>
      <c r="L9" s="36"/>
      <c r="M9" s="36"/>
      <c r="N9" s="36"/>
      <c r="O9" s="36"/>
      <c r="P9" s="36"/>
      <c r="Q9" s="36"/>
      <c r="R9" s="36"/>
      <c r="S9" s="36"/>
      <c r="T9" s="36"/>
      <c r="U9" s="36"/>
      <c r="V9" s="36"/>
      <c r="W9" s="36"/>
      <c r="X9" s="36"/>
      <c r="Y9" s="36"/>
      <c r="Z9" s="36"/>
      <c r="AA9" s="36"/>
      <c r="AB9" s="36"/>
    </row>
    <row r="10" spans="1:28" ht="36" customHeight="1">
      <c r="A10" s="358" t="str">
        <f>HYPERLINK("https://www.alcaldiabogota.gov.co/sisjur/normas/Norma1.jsp?i=4275","Ley 594")</f>
        <v>Ley 594</v>
      </c>
      <c r="B10" s="359">
        <v>36721</v>
      </c>
      <c r="C10" s="158" t="s">
        <v>3135</v>
      </c>
      <c r="D10" s="158" t="s">
        <v>3139</v>
      </c>
      <c r="E10" s="158" t="s">
        <v>41</v>
      </c>
      <c r="F10" s="158" t="s">
        <v>42</v>
      </c>
      <c r="G10" s="360"/>
      <c r="H10" s="257"/>
      <c r="I10" s="35"/>
      <c r="J10" s="36"/>
      <c r="K10" s="36"/>
      <c r="L10" s="36"/>
      <c r="M10" s="36"/>
      <c r="N10" s="36"/>
      <c r="O10" s="36"/>
      <c r="P10" s="36"/>
      <c r="Q10" s="36"/>
      <c r="R10" s="36"/>
      <c r="S10" s="36"/>
      <c r="T10" s="36"/>
      <c r="U10" s="36"/>
      <c r="V10" s="36"/>
      <c r="W10" s="36"/>
      <c r="X10" s="36"/>
      <c r="Y10" s="36"/>
      <c r="Z10" s="36"/>
      <c r="AA10" s="36"/>
      <c r="AB10" s="36"/>
    </row>
    <row r="11" spans="1:28" ht="36" customHeight="1">
      <c r="A11" s="358" t="str">
        <f>HYPERLINK("http://www.secretariasenado.gov.co/senado/basedoc/ley_0909_2004.html","Ley 909")</f>
        <v>Ley 909</v>
      </c>
      <c r="B11" s="359">
        <v>38253</v>
      </c>
      <c r="C11" s="158" t="s">
        <v>507</v>
      </c>
      <c r="D11" s="158" t="s">
        <v>3140</v>
      </c>
      <c r="E11" s="158" t="s">
        <v>41</v>
      </c>
      <c r="F11" s="158" t="s">
        <v>42</v>
      </c>
      <c r="G11" s="360"/>
      <c r="H11" s="257"/>
      <c r="I11" s="35"/>
      <c r="J11" s="36"/>
      <c r="K11" s="36"/>
      <c r="L11" s="36"/>
      <c r="M11" s="36"/>
      <c r="N11" s="36"/>
      <c r="O11" s="36"/>
      <c r="P11" s="36"/>
      <c r="Q11" s="36"/>
      <c r="R11" s="36"/>
      <c r="S11" s="36"/>
      <c r="T11" s="36"/>
      <c r="U11" s="36"/>
      <c r="V11" s="36"/>
      <c r="W11" s="36"/>
      <c r="X11" s="36"/>
      <c r="Y11" s="36"/>
      <c r="Z11" s="36"/>
      <c r="AA11" s="36"/>
      <c r="AB11" s="36"/>
    </row>
    <row r="12" spans="1:28" ht="24" customHeight="1">
      <c r="A12" s="358" t="str">
        <f>HYPERLINK("http://www.secretariasenado.gov.co/senado/basedoc/ley_1010_2006.html","Ley 1010")</f>
        <v>Ley 1010</v>
      </c>
      <c r="B12" s="359">
        <v>38740</v>
      </c>
      <c r="C12" s="158" t="s">
        <v>3135</v>
      </c>
      <c r="D12" s="158" t="s">
        <v>3141</v>
      </c>
      <c r="E12" s="158" t="s">
        <v>41</v>
      </c>
      <c r="F12" s="158" t="s">
        <v>42</v>
      </c>
      <c r="G12" s="360" t="s">
        <v>43</v>
      </c>
      <c r="H12" s="257" t="s">
        <v>750</v>
      </c>
      <c r="I12" s="35"/>
      <c r="J12" s="36"/>
      <c r="K12" s="36"/>
      <c r="L12" s="36"/>
      <c r="M12" s="36"/>
      <c r="N12" s="36"/>
      <c r="O12" s="36"/>
      <c r="P12" s="36"/>
      <c r="Q12" s="36"/>
      <c r="R12" s="36"/>
      <c r="S12" s="36"/>
      <c r="T12" s="36"/>
      <c r="U12" s="36"/>
      <c r="V12" s="36"/>
      <c r="W12" s="36"/>
      <c r="X12" s="36"/>
      <c r="Y12" s="36"/>
      <c r="Z12" s="36"/>
      <c r="AA12" s="36"/>
      <c r="AB12" s="36"/>
    </row>
    <row r="13" spans="1:28" ht="24" customHeight="1">
      <c r="A13" s="358" t="str">
        <f>HYPERLINK("https://www.alcaldiabogota.gov.co/sisjur/normas/Norma1.jsp?i=37604&amp;dt=S","Ley 1355")</f>
        <v>Ley 1355</v>
      </c>
      <c r="B13" s="361">
        <v>40100</v>
      </c>
      <c r="C13" s="158" t="s">
        <v>3135</v>
      </c>
      <c r="D13" s="158" t="s">
        <v>1519</v>
      </c>
      <c r="E13" s="158" t="s">
        <v>41</v>
      </c>
      <c r="F13" s="158" t="s">
        <v>3142</v>
      </c>
      <c r="G13" s="360" t="s">
        <v>43</v>
      </c>
      <c r="H13" s="257" t="s">
        <v>750</v>
      </c>
      <c r="I13" s="35"/>
      <c r="J13" s="36"/>
      <c r="K13" s="36"/>
      <c r="L13" s="36"/>
      <c r="M13" s="36"/>
      <c r="N13" s="36"/>
      <c r="O13" s="36"/>
      <c r="P13" s="36"/>
      <c r="Q13" s="36"/>
      <c r="R13" s="36"/>
      <c r="S13" s="36"/>
      <c r="T13" s="36"/>
      <c r="U13" s="36"/>
      <c r="V13" s="36"/>
      <c r="W13" s="36"/>
      <c r="X13" s="36"/>
      <c r="Y13" s="36"/>
      <c r="Z13" s="36"/>
      <c r="AA13" s="36"/>
      <c r="AB13" s="36"/>
    </row>
    <row r="14" spans="1:28" ht="24" customHeight="1">
      <c r="A14" s="358" t="str">
        <f>HYPERLINK("http://www.secretariasenado.gov.co/senado/basedoc/ley_1383_2010.html","Ley 1383")</f>
        <v>Ley 1383</v>
      </c>
      <c r="B14" s="359">
        <v>40253</v>
      </c>
      <c r="C14" s="158" t="s">
        <v>3143</v>
      </c>
      <c r="D14" s="158" t="s">
        <v>3144</v>
      </c>
      <c r="E14" s="158" t="s">
        <v>41</v>
      </c>
      <c r="F14" s="158" t="s">
        <v>42</v>
      </c>
      <c r="G14" s="360"/>
      <c r="H14" s="257"/>
      <c r="I14" s="35"/>
      <c r="J14" s="36"/>
      <c r="K14" s="36"/>
      <c r="L14" s="36"/>
      <c r="M14" s="36"/>
      <c r="N14" s="36"/>
      <c r="O14" s="36"/>
      <c r="P14" s="36"/>
      <c r="Q14" s="36"/>
      <c r="R14" s="36"/>
      <c r="S14" s="36"/>
      <c r="T14" s="36"/>
      <c r="U14" s="36"/>
      <c r="V14" s="36"/>
      <c r="W14" s="36"/>
      <c r="X14" s="36"/>
      <c r="Y14" s="36"/>
      <c r="Z14" s="36"/>
      <c r="AA14" s="36"/>
      <c r="AB14" s="36"/>
    </row>
    <row r="15" spans="1:28" ht="24" customHeight="1">
      <c r="A15" s="358" t="str">
        <f>HYPERLINK("http://www.secretariasenado.gov.co/senado/basedoc/ley_1437_2011.html","LEY 1437")</f>
        <v>LEY 1437</v>
      </c>
      <c r="B15" s="359">
        <v>40561</v>
      </c>
      <c r="C15" s="158" t="s">
        <v>39</v>
      </c>
      <c r="D15" s="158" t="s">
        <v>281</v>
      </c>
      <c r="E15" s="158" t="s">
        <v>41</v>
      </c>
      <c r="F15" s="158" t="s">
        <v>42</v>
      </c>
      <c r="G15" s="360"/>
      <c r="H15" s="257"/>
      <c r="I15" s="35"/>
      <c r="J15" s="36"/>
      <c r="K15" s="36"/>
      <c r="L15" s="36"/>
      <c r="M15" s="36"/>
      <c r="N15" s="36"/>
      <c r="O15" s="36"/>
      <c r="P15" s="36"/>
      <c r="Q15" s="36"/>
      <c r="R15" s="36"/>
      <c r="S15" s="36"/>
      <c r="T15" s="36"/>
      <c r="U15" s="36"/>
      <c r="V15" s="36"/>
      <c r="W15" s="36"/>
      <c r="X15" s="36"/>
      <c r="Y15" s="36"/>
      <c r="Z15" s="36"/>
      <c r="AA15" s="36"/>
      <c r="AB15" s="36"/>
    </row>
    <row r="16" spans="1:28" ht="24" customHeight="1">
      <c r="A16" s="358" t="str">
        <f>HYPERLINK("http://www.secretariasenado.gov.co/senado/basedoc/ley_1527_2012.html","LEY 1527")</f>
        <v>LEY 1527</v>
      </c>
      <c r="B16" s="359">
        <v>41026</v>
      </c>
      <c r="C16" s="158" t="s">
        <v>39</v>
      </c>
      <c r="D16" s="158" t="s">
        <v>772</v>
      </c>
      <c r="E16" s="158" t="s">
        <v>41</v>
      </c>
      <c r="F16" s="158" t="s">
        <v>42</v>
      </c>
      <c r="G16" s="360"/>
      <c r="H16" s="257"/>
      <c r="I16" s="35"/>
      <c r="J16" s="36"/>
      <c r="K16" s="36"/>
      <c r="L16" s="36"/>
      <c r="M16" s="36"/>
      <c r="N16" s="36"/>
      <c r="O16" s="36"/>
      <c r="P16" s="36"/>
      <c r="Q16" s="36"/>
      <c r="R16" s="36"/>
      <c r="S16" s="36"/>
      <c r="T16" s="36"/>
      <c r="U16" s="36"/>
      <c r="V16" s="36"/>
      <c r="W16" s="36"/>
      <c r="X16" s="36"/>
      <c r="Y16" s="36"/>
      <c r="Z16" s="36"/>
      <c r="AA16" s="36"/>
      <c r="AB16" s="36"/>
    </row>
    <row r="17" spans="1:28" ht="24" customHeight="1">
      <c r="A17" s="358" t="str">
        <f>HYPERLINK("http://www.secretariasenado.gov.co/senado/basedoc/ley_1562_2012.html","Ley 1562")</f>
        <v>Ley 1562</v>
      </c>
      <c r="B17" s="359">
        <v>41101</v>
      </c>
      <c r="C17" s="158" t="s">
        <v>3135</v>
      </c>
      <c r="D17" s="158" t="s">
        <v>2776</v>
      </c>
      <c r="E17" s="158" t="s">
        <v>41</v>
      </c>
      <c r="F17" s="158" t="s">
        <v>42</v>
      </c>
      <c r="G17" s="360" t="s">
        <v>43</v>
      </c>
      <c r="H17" s="257" t="s">
        <v>750</v>
      </c>
      <c r="I17" s="35"/>
      <c r="J17" s="36"/>
      <c r="K17" s="36"/>
      <c r="L17" s="36"/>
      <c r="M17" s="36"/>
      <c r="N17" s="36"/>
      <c r="O17" s="36"/>
      <c r="P17" s="36"/>
      <c r="Q17" s="36"/>
      <c r="R17" s="36"/>
      <c r="S17" s="36"/>
      <c r="T17" s="36"/>
      <c r="U17" s="36"/>
      <c r="V17" s="36"/>
      <c r="W17" s="36"/>
      <c r="X17" s="36"/>
      <c r="Y17" s="36"/>
      <c r="Z17" s="36"/>
      <c r="AA17" s="36"/>
      <c r="AB17" s="36"/>
    </row>
    <row r="18" spans="1:28" ht="24" customHeight="1">
      <c r="A18" s="358" t="str">
        <f>HYPERLINK("http://www.secretariasenado.gov.co/senado/basedoc/ley_1566_2012.html","LEY 1566")</f>
        <v>LEY 1566</v>
      </c>
      <c r="B18" s="158" t="s">
        <v>3145</v>
      </c>
      <c r="C18" s="158" t="s">
        <v>3135</v>
      </c>
      <c r="D18" s="158" t="s">
        <v>3146</v>
      </c>
      <c r="E18" s="158" t="s">
        <v>41</v>
      </c>
      <c r="F18" s="158" t="s">
        <v>42</v>
      </c>
      <c r="G18" s="360" t="s">
        <v>43</v>
      </c>
      <c r="H18" s="257" t="s">
        <v>750</v>
      </c>
      <c r="I18" s="35"/>
      <c r="J18" s="36"/>
      <c r="K18" s="36"/>
      <c r="L18" s="36"/>
      <c r="M18" s="36"/>
      <c r="N18" s="36"/>
      <c r="O18" s="36"/>
      <c r="P18" s="36"/>
      <c r="Q18" s="36"/>
      <c r="R18" s="36"/>
      <c r="S18" s="36"/>
      <c r="T18" s="36"/>
      <c r="U18" s="36"/>
      <c r="V18" s="36"/>
      <c r="W18" s="36"/>
      <c r="X18" s="36"/>
      <c r="Y18" s="36"/>
      <c r="Z18" s="36"/>
      <c r="AA18" s="36"/>
      <c r="AB18" s="36"/>
    </row>
    <row r="19" spans="1:28" ht="36" customHeight="1">
      <c r="A19" s="358" t="str">
        <f>HYPERLINK("http://www.secretariasenado.gov.co/senado/basedoc/ley_1616_2013.html","Ley 1616")</f>
        <v>Ley 1616</v>
      </c>
      <c r="B19" s="359">
        <v>41295</v>
      </c>
      <c r="C19" s="158" t="s">
        <v>3135</v>
      </c>
      <c r="D19" s="158" t="s">
        <v>3147</v>
      </c>
      <c r="E19" s="158" t="s">
        <v>3148</v>
      </c>
      <c r="F19" s="158" t="s">
        <v>42</v>
      </c>
      <c r="G19" s="360" t="s">
        <v>43</v>
      </c>
      <c r="H19" s="257" t="s">
        <v>750</v>
      </c>
      <c r="I19" s="35"/>
      <c r="J19" s="36"/>
      <c r="K19" s="36"/>
      <c r="L19" s="36"/>
      <c r="M19" s="36"/>
      <c r="N19" s="36"/>
      <c r="O19" s="36"/>
      <c r="P19" s="36"/>
      <c r="Q19" s="36"/>
      <c r="R19" s="36"/>
      <c r="S19" s="36"/>
      <c r="T19" s="36"/>
      <c r="U19" s="36"/>
      <c r="V19" s="36"/>
      <c r="W19" s="36"/>
      <c r="X19" s="36"/>
      <c r="Y19" s="36"/>
      <c r="Z19" s="36"/>
      <c r="AA19" s="36"/>
      <c r="AB19" s="36"/>
    </row>
    <row r="20" spans="1:28" ht="24" customHeight="1">
      <c r="A20" s="358" t="str">
        <f>HYPERLINK("https://dapre.presidencia.gov.co/normativa/normativa/LEY%201811%20DEL%2021%20DE%20OCTUBRE%20DE%202016.pdf","Ley 1811")</f>
        <v>Ley 1811</v>
      </c>
      <c r="B20" s="361">
        <v>42664</v>
      </c>
      <c r="C20" s="362" t="s">
        <v>507</v>
      </c>
      <c r="D20" s="158" t="s">
        <v>3149</v>
      </c>
      <c r="E20" s="158" t="s">
        <v>41</v>
      </c>
      <c r="F20" s="158" t="s">
        <v>42</v>
      </c>
      <c r="G20" s="360"/>
      <c r="H20" s="257"/>
      <c r="I20" s="35"/>
      <c r="J20" s="36"/>
      <c r="K20" s="36"/>
      <c r="L20" s="36"/>
      <c r="M20" s="36"/>
      <c r="N20" s="36"/>
      <c r="O20" s="36"/>
      <c r="P20" s="36"/>
      <c r="Q20" s="36"/>
      <c r="R20" s="36"/>
      <c r="S20" s="36"/>
      <c r="T20" s="36"/>
      <c r="U20" s="36"/>
      <c r="V20" s="36"/>
      <c r="W20" s="36"/>
      <c r="X20" s="36"/>
      <c r="Y20" s="36"/>
      <c r="Z20" s="36"/>
      <c r="AA20" s="36"/>
      <c r="AB20" s="36"/>
    </row>
    <row r="21" spans="1:28" ht="24" customHeight="1">
      <c r="A21" s="358" t="str">
        <f>HYPERLINK("https://www.funcionpublica.gov.co/eva/gestornormativo/norma.php?i=79037","Ley 1823")</f>
        <v>Ley 1823</v>
      </c>
      <c r="B21" s="359">
        <v>42739</v>
      </c>
      <c r="C21" s="158" t="s">
        <v>507</v>
      </c>
      <c r="D21" s="158" t="s">
        <v>3150</v>
      </c>
      <c r="E21" s="158" t="s">
        <v>41</v>
      </c>
      <c r="F21" s="158" t="s">
        <v>42</v>
      </c>
      <c r="G21" s="360" t="s">
        <v>43</v>
      </c>
      <c r="H21" s="257" t="s">
        <v>750</v>
      </c>
      <c r="I21" s="35"/>
      <c r="J21" s="36"/>
      <c r="K21" s="36"/>
      <c r="L21" s="36"/>
      <c r="M21" s="36"/>
      <c r="N21" s="36"/>
      <c r="O21" s="36"/>
      <c r="P21" s="36"/>
      <c r="Q21" s="36"/>
      <c r="R21" s="36"/>
      <c r="S21" s="36"/>
      <c r="T21" s="36"/>
      <c r="U21" s="36"/>
      <c r="V21" s="36"/>
      <c r="W21" s="36"/>
      <c r="X21" s="36"/>
      <c r="Y21" s="36"/>
      <c r="Z21" s="36"/>
      <c r="AA21" s="36"/>
      <c r="AB21" s="36"/>
    </row>
    <row r="22" spans="1:28" ht="36" customHeight="1">
      <c r="A22" s="358" t="str">
        <f>HYPERLINK("https://www.funcionpublica.gov.co/eva/gestornormativo/norma.php?i=82917","Ley 1857")</f>
        <v>Ley 1857</v>
      </c>
      <c r="B22" s="359">
        <v>42942</v>
      </c>
      <c r="C22" s="158" t="s">
        <v>507</v>
      </c>
      <c r="D22" s="158" t="s">
        <v>3151</v>
      </c>
      <c r="E22" s="158" t="s">
        <v>41</v>
      </c>
      <c r="F22" s="158" t="s">
        <v>42</v>
      </c>
      <c r="G22" s="360"/>
      <c r="H22" s="257"/>
      <c r="I22" s="35"/>
      <c r="J22" s="36"/>
      <c r="K22" s="36"/>
      <c r="L22" s="36"/>
      <c r="M22" s="36"/>
      <c r="N22" s="36"/>
      <c r="O22" s="36"/>
      <c r="P22" s="36"/>
      <c r="Q22" s="36"/>
      <c r="R22" s="36"/>
      <c r="S22" s="36"/>
      <c r="T22" s="36"/>
      <c r="U22" s="36"/>
      <c r="V22" s="36"/>
      <c r="W22" s="36"/>
      <c r="X22" s="36"/>
      <c r="Y22" s="36"/>
      <c r="Z22" s="36"/>
      <c r="AA22" s="36"/>
      <c r="AB22" s="36"/>
    </row>
    <row r="23" spans="1:28" ht="36" customHeight="1">
      <c r="A23" s="358" t="str">
        <f>HYPERLINK("https://www.funcionpublica.gov.co/eva/gestornormativo/norma.php?i=87101","LEY 1902")</f>
        <v>LEY 1902</v>
      </c>
      <c r="B23" s="359">
        <v>43273</v>
      </c>
      <c r="C23" s="158" t="s">
        <v>39</v>
      </c>
      <c r="D23" s="363" t="s">
        <v>3152</v>
      </c>
      <c r="E23" s="158" t="s">
        <v>41</v>
      </c>
      <c r="F23" s="158" t="s">
        <v>42</v>
      </c>
      <c r="G23" s="360"/>
      <c r="H23" s="257"/>
      <c r="I23" s="35"/>
      <c r="J23" s="36"/>
      <c r="K23" s="36"/>
      <c r="L23" s="36"/>
      <c r="M23" s="36"/>
      <c r="N23" s="36"/>
      <c r="O23" s="36"/>
      <c r="P23" s="36"/>
      <c r="Q23" s="36"/>
      <c r="R23" s="36"/>
      <c r="S23" s="36"/>
      <c r="T23" s="36"/>
      <c r="U23" s="36"/>
      <c r="V23" s="36"/>
      <c r="W23" s="36"/>
      <c r="X23" s="36"/>
      <c r="Y23" s="36"/>
      <c r="Z23" s="36"/>
      <c r="AA23" s="36"/>
      <c r="AB23" s="36"/>
    </row>
    <row r="24" spans="1:28" ht="36" customHeight="1">
      <c r="A24" s="358" t="str">
        <f>HYPERLINK("https://www.funcionpublica.gov.co/eva/gestornormativo/norma.php?i=95430","Ley 1960")</f>
        <v>Ley 1960</v>
      </c>
      <c r="B24" s="359">
        <v>43643</v>
      </c>
      <c r="C24" s="158" t="s">
        <v>507</v>
      </c>
      <c r="D24" s="158" t="s">
        <v>3153</v>
      </c>
      <c r="E24" s="158" t="s">
        <v>41</v>
      </c>
      <c r="F24" s="158" t="s">
        <v>42</v>
      </c>
      <c r="G24" s="360"/>
      <c r="H24" s="257"/>
      <c r="I24" s="35"/>
      <c r="J24" s="36"/>
      <c r="K24" s="36"/>
      <c r="L24" s="36"/>
      <c r="M24" s="36"/>
      <c r="N24" s="36"/>
      <c r="O24" s="36"/>
      <c r="P24" s="36"/>
      <c r="Q24" s="36"/>
      <c r="R24" s="36"/>
      <c r="S24" s="36"/>
      <c r="T24" s="36"/>
      <c r="U24" s="36"/>
      <c r="V24" s="36"/>
      <c r="W24" s="36"/>
      <c r="X24" s="36"/>
      <c r="Y24" s="36"/>
      <c r="Z24" s="36"/>
      <c r="AA24" s="36"/>
      <c r="AB24" s="36"/>
    </row>
    <row r="25" spans="1:28" ht="36" customHeight="1">
      <c r="A25" s="358" t="str">
        <f>HYPERLINK("http://www.secretariasenado.gov.co/senado/basedoc/ley_1996_2019.html","Ley 1996")</f>
        <v>Ley 1996</v>
      </c>
      <c r="B25" s="359">
        <v>43703</v>
      </c>
      <c r="C25" s="158" t="s">
        <v>507</v>
      </c>
      <c r="D25" s="158" t="s">
        <v>3154</v>
      </c>
      <c r="E25" s="158" t="s">
        <v>41</v>
      </c>
      <c r="F25" s="158" t="s">
        <v>42</v>
      </c>
      <c r="G25" s="360"/>
      <c r="H25" s="257"/>
      <c r="I25" s="35"/>
      <c r="J25" s="36"/>
      <c r="K25" s="36"/>
      <c r="L25" s="36"/>
      <c r="M25" s="36"/>
      <c r="N25" s="36"/>
      <c r="O25" s="36"/>
      <c r="P25" s="36"/>
      <c r="Q25" s="36"/>
      <c r="R25" s="36"/>
      <c r="S25" s="36"/>
      <c r="T25" s="36"/>
      <c r="U25" s="36"/>
      <c r="V25" s="36"/>
      <c r="W25" s="36"/>
      <c r="X25" s="36"/>
      <c r="Y25" s="36"/>
      <c r="Z25" s="36"/>
      <c r="AA25" s="36"/>
      <c r="AB25" s="36"/>
    </row>
    <row r="26" spans="1:28" ht="36" customHeight="1">
      <c r="A26" s="358" t="str">
        <f>HYPERLINK("https://www.cnsc.gov.co//DocumentacionCNSC/Normatividad_y_Doctrina/Acuerdos/20181000006176.pdf","Acuerdo 20181000006176 (Acuerdo 617)")</f>
        <v>Acuerdo 20181000006176 (Acuerdo 617)</v>
      </c>
      <c r="B26" s="361">
        <v>43383</v>
      </c>
      <c r="C26" s="158" t="s">
        <v>2832</v>
      </c>
      <c r="D26" s="158" t="s">
        <v>3155</v>
      </c>
      <c r="E26" s="158" t="s">
        <v>41</v>
      </c>
      <c r="F26" s="158" t="s">
        <v>42</v>
      </c>
      <c r="G26" s="360"/>
      <c r="H26" s="257"/>
      <c r="I26" s="35"/>
      <c r="J26" s="36"/>
      <c r="K26" s="36"/>
      <c r="L26" s="36"/>
      <c r="M26" s="36"/>
      <c r="N26" s="36"/>
      <c r="O26" s="36"/>
      <c r="P26" s="36"/>
      <c r="Q26" s="36"/>
      <c r="R26" s="36"/>
      <c r="S26" s="36"/>
      <c r="T26" s="36"/>
      <c r="U26" s="36"/>
      <c r="V26" s="36"/>
      <c r="W26" s="36"/>
      <c r="X26" s="36"/>
      <c r="Y26" s="36"/>
      <c r="Z26" s="36"/>
      <c r="AA26" s="36"/>
      <c r="AB26" s="36"/>
    </row>
    <row r="27" spans="1:28" ht="36" customHeight="1">
      <c r="A27" s="358" t="str">
        <f>HYPERLINK("https://www.alcaldiabogota.gov.co/sisjur/normas/Norma1.jsp?i=1198","DECRETO 2400")</f>
        <v>DECRETO 2400</v>
      </c>
      <c r="B27" s="359">
        <v>25100</v>
      </c>
      <c r="C27" s="158" t="s">
        <v>57</v>
      </c>
      <c r="D27" s="158" t="s">
        <v>2778</v>
      </c>
      <c r="E27" s="158" t="s">
        <v>41</v>
      </c>
      <c r="F27" s="158" t="s">
        <v>42</v>
      </c>
      <c r="G27" s="360"/>
      <c r="H27" s="257"/>
      <c r="I27" s="35"/>
      <c r="J27" s="36"/>
      <c r="K27" s="36"/>
      <c r="L27" s="36"/>
      <c r="M27" s="36"/>
      <c r="N27" s="36"/>
      <c r="O27" s="36"/>
      <c r="P27" s="36"/>
      <c r="Q27" s="36"/>
      <c r="R27" s="36"/>
      <c r="S27" s="36"/>
      <c r="T27" s="36"/>
      <c r="U27" s="36"/>
      <c r="V27" s="36"/>
      <c r="W27" s="36"/>
      <c r="X27" s="36"/>
      <c r="Y27" s="36"/>
      <c r="Z27" s="36"/>
      <c r="AA27" s="36"/>
      <c r="AB27" s="36"/>
    </row>
    <row r="28" spans="1:28" ht="36" customHeight="1">
      <c r="A28" s="358" t="str">
        <f>HYPERLINK("https://www.funcionpublica.gov.co/eva/gestornormativo/norma.php?i=1567","DECRETO 3135")</f>
        <v>DECRETO 3135</v>
      </c>
      <c r="B28" s="361">
        <v>25198</v>
      </c>
      <c r="C28" s="158" t="s">
        <v>57</v>
      </c>
      <c r="D28" s="158" t="s">
        <v>2780</v>
      </c>
      <c r="E28" s="158" t="s">
        <v>41</v>
      </c>
      <c r="F28" s="158" t="s">
        <v>42</v>
      </c>
      <c r="G28" s="360"/>
      <c r="H28" s="257"/>
      <c r="I28" s="35"/>
      <c r="J28" s="36"/>
      <c r="K28" s="36"/>
      <c r="L28" s="36"/>
      <c r="M28" s="36"/>
      <c r="N28" s="36"/>
      <c r="O28" s="36"/>
      <c r="P28" s="36"/>
      <c r="Q28" s="36"/>
      <c r="R28" s="36"/>
      <c r="S28" s="36"/>
      <c r="T28" s="36"/>
      <c r="U28" s="36"/>
      <c r="V28" s="36"/>
      <c r="W28" s="36"/>
      <c r="X28" s="36"/>
      <c r="Y28" s="36"/>
      <c r="Z28" s="36"/>
      <c r="AA28" s="36"/>
      <c r="AB28" s="36"/>
    </row>
    <row r="29" spans="1:28" ht="36" customHeight="1">
      <c r="A29" s="358" t="str">
        <f>HYPERLINK("https://www.funcionpublica.gov.co/eva/gestornormativo/norma.php?i=1291","Decreto 1848")</f>
        <v>Decreto 1848</v>
      </c>
      <c r="B29" s="359">
        <v>25511</v>
      </c>
      <c r="C29" s="158" t="s">
        <v>1283</v>
      </c>
      <c r="D29" s="158" t="s">
        <v>2782</v>
      </c>
      <c r="E29" s="158" t="s">
        <v>41</v>
      </c>
      <c r="F29" s="158" t="s">
        <v>42</v>
      </c>
      <c r="G29" s="360"/>
      <c r="H29" s="257"/>
      <c r="I29" s="35"/>
      <c r="J29" s="36"/>
      <c r="K29" s="36"/>
      <c r="L29" s="36"/>
      <c r="M29" s="36"/>
      <c r="N29" s="36"/>
      <c r="O29" s="36"/>
      <c r="P29" s="36"/>
      <c r="Q29" s="36"/>
      <c r="R29" s="36"/>
      <c r="S29" s="36"/>
      <c r="T29" s="36"/>
      <c r="U29" s="36"/>
      <c r="V29" s="36"/>
      <c r="W29" s="36"/>
      <c r="X29" s="36"/>
      <c r="Y29" s="36"/>
      <c r="Z29" s="36"/>
      <c r="AA29" s="36"/>
      <c r="AB29" s="36"/>
    </row>
    <row r="30" spans="1:28" ht="36" customHeight="1">
      <c r="A30" s="358" t="str">
        <f>HYPERLINK("https://www.alcaldiabogota.gov.co/sisjur/normas/Norma1.jsp?i=1467","DECRETO 1042")</f>
        <v>DECRETO 1042</v>
      </c>
      <c r="B30" s="359">
        <v>28648</v>
      </c>
      <c r="C30" s="158" t="s">
        <v>57</v>
      </c>
      <c r="D30" s="158" t="s">
        <v>2785</v>
      </c>
      <c r="E30" s="158" t="s">
        <v>41</v>
      </c>
      <c r="F30" s="158" t="s">
        <v>42</v>
      </c>
      <c r="G30" s="360"/>
      <c r="H30" s="257"/>
      <c r="I30" s="35"/>
      <c r="J30" s="36"/>
      <c r="K30" s="36"/>
      <c r="L30" s="36"/>
      <c r="M30" s="36"/>
      <c r="N30" s="36"/>
      <c r="O30" s="36"/>
      <c r="P30" s="36"/>
      <c r="Q30" s="36"/>
      <c r="R30" s="36"/>
      <c r="S30" s="36"/>
      <c r="T30" s="36"/>
      <c r="U30" s="36"/>
      <c r="V30" s="36"/>
      <c r="W30" s="36"/>
      <c r="X30" s="36"/>
      <c r="Y30" s="36"/>
      <c r="Z30" s="36"/>
      <c r="AA30" s="36"/>
      <c r="AB30" s="36"/>
    </row>
    <row r="31" spans="1:28" ht="36" customHeight="1">
      <c r="A31" s="358" t="str">
        <f>HYPERLINK("http://www.bogotajuridica.gov.co/sisjur/normas/Norma1.jsp?i=1466","DECRETO 1045")</f>
        <v>DECRETO 1045</v>
      </c>
      <c r="B31" s="359">
        <v>28658</v>
      </c>
      <c r="C31" s="158" t="s">
        <v>1283</v>
      </c>
      <c r="D31" s="158" t="s">
        <v>2786</v>
      </c>
      <c r="E31" s="158" t="s">
        <v>41</v>
      </c>
      <c r="F31" s="158" t="s">
        <v>42</v>
      </c>
      <c r="G31" s="360"/>
      <c r="H31" s="257"/>
      <c r="I31" s="35"/>
      <c r="J31" s="36"/>
      <c r="K31" s="36"/>
      <c r="L31" s="36"/>
      <c r="M31" s="36"/>
      <c r="N31" s="36"/>
      <c r="O31" s="36"/>
      <c r="P31" s="36"/>
      <c r="Q31" s="36"/>
      <c r="R31" s="36"/>
      <c r="S31" s="36"/>
      <c r="T31" s="36"/>
      <c r="U31" s="36"/>
      <c r="V31" s="36"/>
      <c r="W31" s="36"/>
      <c r="X31" s="36"/>
      <c r="Y31" s="36"/>
      <c r="Z31" s="36"/>
      <c r="AA31" s="36"/>
      <c r="AB31" s="36"/>
    </row>
    <row r="32" spans="1:28" ht="36" customHeight="1">
      <c r="A32" s="358" t="str">
        <f>HYPERLINK("http://www.bogotajuridica.gov.co/sisjur/normas/Norma1.jsp?i=1357","Decreto 614")</f>
        <v>Decreto 614</v>
      </c>
      <c r="B32" s="359">
        <v>30755</v>
      </c>
      <c r="C32" s="158" t="s">
        <v>57</v>
      </c>
      <c r="D32" s="158" t="s">
        <v>2788</v>
      </c>
      <c r="E32" s="158" t="s">
        <v>41</v>
      </c>
      <c r="F32" s="158" t="s">
        <v>42</v>
      </c>
      <c r="G32" s="360" t="s">
        <v>43</v>
      </c>
      <c r="H32" s="257" t="s">
        <v>750</v>
      </c>
      <c r="I32" s="35"/>
      <c r="J32" s="36"/>
      <c r="K32" s="36"/>
      <c r="L32" s="36"/>
      <c r="M32" s="36"/>
      <c r="N32" s="36"/>
      <c r="O32" s="36"/>
      <c r="P32" s="36"/>
      <c r="Q32" s="36"/>
      <c r="R32" s="36"/>
      <c r="S32" s="36"/>
      <c r="T32" s="36"/>
      <c r="U32" s="36"/>
      <c r="V32" s="36"/>
      <c r="W32" s="36"/>
      <c r="X32" s="36"/>
      <c r="Y32" s="36"/>
      <c r="Z32" s="36"/>
      <c r="AA32" s="36"/>
      <c r="AB32" s="36"/>
    </row>
    <row r="33" spans="1:28" ht="41.25" customHeight="1">
      <c r="A33" s="358" t="str">
        <f>HYPERLINK("https://www.alcaldiabogota.gov.co/sisjur/normas/Norma1.jsp?i=6779&amp;dt=S","DECRETO 692")</f>
        <v>DECRETO 692</v>
      </c>
      <c r="B33" s="359">
        <v>34422</v>
      </c>
      <c r="C33" s="158" t="s">
        <v>57</v>
      </c>
      <c r="D33" s="158" t="s">
        <v>2790</v>
      </c>
      <c r="E33" s="158" t="s">
        <v>41</v>
      </c>
      <c r="F33" s="158" t="s">
        <v>42</v>
      </c>
      <c r="G33" s="360"/>
      <c r="H33" s="257"/>
      <c r="I33" s="35"/>
      <c r="J33" s="36"/>
      <c r="K33" s="36"/>
      <c r="L33" s="36"/>
      <c r="M33" s="36"/>
      <c r="N33" s="36"/>
      <c r="O33" s="36"/>
      <c r="P33" s="36"/>
      <c r="Q33" s="36"/>
      <c r="R33" s="36"/>
      <c r="S33" s="36"/>
      <c r="T33" s="36"/>
      <c r="U33" s="36"/>
      <c r="V33" s="36"/>
      <c r="W33" s="36"/>
      <c r="X33" s="36"/>
      <c r="Y33" s="36"/>
      <c r="Z33" s="36"/>
      <c r="AA33" s="36"/>
      <c r="AB33" s="36"/>
    </row>
    <row r="34" spans="1:28" ht="24" customHeight="1">
      <c r="A34" s="358" t="str">
        <f>HYPERLINK("http://www.secretariasenado.gov.co/senado/basedoc/decreto_1295_1994.html","Decreto 1295")</f>
        <v>Decreto 1295</v>
      </c>
      <c r="B34" s="359">
        <v>34509</v>
      </c>
      <c r="C34" s="158" t="s">
        <v>1283</v>
      </c>
      <c r="D34" s="158" t="s">
        <v>2792</v>
      </c>
      <c r="E34" s="158" t="s">
        <v>3156</v>
      </c>
      <c r="F34" s="158" t="s">
        <v>42</v>
      </c>
      <c r="G34" s="360" t="s">
        <v>43</v>
      </c>
      <c r="H34" s="257" t="s">
        <v>750</v>
      </c>
      <c r="I34" s="35"/>
      <c r="J34" s="36"/>
      <c r="K34" s="36"/>
      <c r="L34" s="36"/>
      <c r="M34" s="36"/>
      <c r="N34" s="36"/>
      <c r="O34" s="36"/>
      <c r="P34" s="36"/>
      <c r="Q34" s="36"/>
      <c r="R34" s="36"/>
      <c r="S34" s="36"/>
      <c r="T34" s="36"/>
      <c r="U34" s="36"/>
      <c r="V34" s="36"/>
      <c r="W34" s="36"/>
      <c r="X34" s="36"/>
      <c r="Y34" s="36"/>
      <c r="Z34" s="36"/>
      <c r="AA34" s="36"/>
      <c r="AB34" s="36"/>
    </row>
    <row r="35" spans="1:28" ht="24" customHeight="1">
      <c r="A35" s="358" t="str">
        <f>HYPERLINK("https://www.alcaldiabogota.gov.co/sisjur/normas/Norma1.jsp?i=3360#0","Decreto 1771")</f>
        <v>Decreto 1771</v>
      </c>
      <c r="B35" s="359">
        <v>34549</v>
      </c>
      <c r="C35" s="158" t="s">
        <v>57</v>
      </c>
      <c r="D35" s="158" t="s">
        <v>3157</v>
      </c>
      <c r="E35" s="158" t="s">
        <v>41</v>
      </c>
      <c r="F35" s="158" t="s">
        <v>42</v>
      </c>
      <c r="G35" s="360" t="s">
        <v>43</v>
      </c>
      <c r="H35" s="257" t="s">
        <v>750</v>
      </c>
      <c r="I35" s="35"/>
      <c r="J35" s="36"/>
      <c r="K35" s="36"/>
      <c r="L35" s="36"/>
      <c r="M35" s="36"/>
      <c r="N35" s="36"/>
      <c r="O35" s="36"/>
      <c r="P35" s="36"/>
      <c r="Q35" s="36"/>
      <c r="R35" s="36"/>
      <c r="S35" s="36"/>
      <c r="T35" s="36"/>
      <c r="U35" s="36"/>
      <c r="V35" s="36"/>
      <c r="W35" s="36"/>
      <c r="X35" s="36"/>
      <c r="Y35" s="36"/>
      <c r="Z35" s="36"/>
      <c r="AA35" s="36"/>
      <c r="AB35" s="36"/>
    </row>
    <row r="36" spans="1:28" ht="72" customHeight="1">
      <c r="A36" s="358" t="str">
        <f>HYPERLINK("https://www.alcaldiabogota.gov.co/sisjur/normas/Norma1.jsp?i=7410#16","DECRETO 841")</f>
        <v>DECRETO 841</v>
      </c>
      <c r="B36" s="359">
        <v>35920</v>
      </c>
      <c r="C36" s="158" t="s">
        <v>260</v>
      </c>
      <c r="D36" s="158" t="s">
        <v>2799</v>
      </c>
      <c r="E36" s="158" t="s">
        <v>41</v>
      </c>
      <c r="F36" s="158" t="s">
        <v>42</v>
      </c>
      <c r="G36" s="360"/>
      <c r="H36" s="257"/>
      <c r="I36" s="35"/>
      <c r="J36" s="36"/>
      <c r="K36" s="36"/>
      <c r="L36" s="36"/>
      <c r="M36" s="36"/>
      <c r="N36" s="36"/>
      <c r="O36" s="36"/>
      <c r="P36" s="36"/>
      <c r="Q36" s="36"/>
      <c r="R36" s="36"/>
      <c r="S36" s="36"/>
      <c r="T36" s="36"/>
      <c r="U36" s="36"/>
      <c r="V36" s="36"/>
      <c r="W36" s="36"/>
      <c r="X36" s="36"/>
      <c r="Y36" s="36"/>
      <c r="Z36" s="36"/>
      <c r="AA36" s="36"/>
      <c r="AB36" s="36"/>
    </row>
    <row r="37" spans="1:28" ht="72" customHeight="1">
      <c r="A37" s="358" t="str">
        <f>HYPERLINK("https://www.funcionpublica.gov.co/eva/gestornormativo/norma.php?i=1246","Decreto 1567")</f>
        <v>Decreto 1567</v>
      </c>
      <c r="B37" s="359">
        <v>36012</v>
      </c>
      <c r="C37" s="158" t="s">
        <v>3158</v>
      </c>
      <c r="D37" s="158" t="s">
        <v>3159</v>
      </c>
      <c r="E37" s="158" t="s">
        <v>3160</v>
      </c>
      <c r="F37" s="158" t="s">
        <v>3161</v>
      </c>
      <c r="G37" s="360"/>
      <c r="H37" s="257"/>
      <c r="I37" s="35"/>
      <c r="J37" s="36"/>
      <c r="K37" s="36"/>
      <c r="L37" s="36"/>
      <c r="M37" s="36"/>
      <c r="N37" s="36"/>
      <c r="O37" s="36"/>
      <c r="P37" s="36"/>
      <c r="Q37" s="36"/>
      <c r="R37" s="36"/>
      <c r="S37" s="36"/>
      <c r="T37" s="36"/>
      <c r="U37" s="36"/>
      <c r="V37" s="36"/>
      <c r="W37" s="36"/>
      <c r="X37" s="36"/>
      <c r="Y37" s="36"/>
      <c r="Z37" s="36"/>
      <c r="AA37" s="36"/>
      <c r="AB37" s="36"/>
    </row>
    <row r="38" spans="1:28" ht="72" customHeight="1">
      <c r="A38" s="358" t="str">
        <f>HYPERLINK("https://www.funcionpublica.gov.co/eva/gestornormativo/norma.php?i=13585","DECRETO NACIONAL 1406")</f>
        <v>DECRETO NACIONAL 1406</v>
      </c>
      <c r="B38" s="359">
        <v>36369</v>
      </c>
      <c r="C38" s="158" t="s">
        <v>260</v>
      </c>
      <c r="D38" s="158" t="s">
        <v>2805</v>
      </c>
      <c r="E38" s="158" t="s">
        <v>41</v>
      </c>
      <c r="F38" s="158" t="s">
        <v>42</v>
      </c>
      <c r="G38" s="360"/>
      <c r="H38" s="257"/>
      <c r="I38" s="35"/>
      <c r="J38" s="36"/>
      <c r="K38" s="36"/>
      <c r="L38" s="36"/>
      <c r="M38" s="36"/>
      <c r="N38" s="36"/>
      <c r="O38" s="36"/>
      <c r="P38" s="36"/>
      <c r="Q38" s="36"/>
      <c r="R38" s="36"/>
      <c r="S38" s="36"/>
      <c r="T38" s="36"/>
      <c r="U38" s="36"/>
      <c r="V38" s="36"/>
      <c r="W38" s="36"/>
      <c r="X38" s="36"/>
      <c r="Y38" s="36"/>
      <c r="Z38" s="36"/>
      <c r="AA38" s="36"/>
      <c r="AB38" s="36"/>
    </row>
    <row r="39" spans="1:28" ht="72" customHeight="1">
      <c r="A39" s="358" t="str">
        <f>HYPERLINK("https://www.minsalud.gov.co/Normatividad_Nuevo/DECRETO%201607%20DE%202002.pdf","Decreto 1607")</f>
        <v>Decreto 1607</v>
      </c>
      <c r="B39" s="359">
        <v>37468</v>
      </c>
      <c r="C39" s="158" t="s">
        <v>1283</v>
      </c>
      <c r="D39" s="158" t="s">
        <v>3162</v>
      </c>
      <c r="E39" s="158" t="s">
        <v>41</v>
      </c>
      <c r="F39" s="158" t="s">
        <v>3163</v>
      </c>
      <c r="G39" s="360" t="s">
        <v>43</v>
      </c>
      <c r="H39" s="257" t="s">
        <v>750</v>
      </c>
      <c r="I39" s="35"/>
      <c r="J39" s="36"/>
      <c r="K39" s="36"/>
      <c r="L39" s="36"/>
      <c r="M39" s="36"/>
      <c r="N39" s="36"/>
      <c r="O39" s="36"/>
      <c r="P39" s="36"/>
      <c r="Q39" s="36"/>
      <c r="R39" s="36"/>
      <c r="S39" s="36"/>
      <c r="T39" s="36"/>
      <c r="U39" s="36"/>
      <c r="V39" s="36"/>
      <c r="W39" s="36"/>
      <c r="X39" s="36"/>
      <c r="Y39" s="36"/>
      <c r="Z39" s="36"/>
      <c r="AA39" s="36"/>
      <c r="AB39" s="36"/>
    </row>
    <row r="40" spans="1:28" ht="36" customHeight="1">
      <c r="A40" s="358" t="str">
        <f>HYPERLINK("https://www.funcionpublica.gov.co/eva/gestornormativo/norma.php?i=5496","DECRETO 1919")</f>
        <v>DECRETO 1919</v>
      </c>
      <c r="B40" s="359">
        <v>37495</v>
      </c>
      <c r="C40" s="158" t="s">
        <v>57</v>
      </c>
      <c r="D40" s="158" t="s">
        <v>2809</v>
      </c>
      <c r="E40" s="158" t="s">
        <v>41</v>
      </c>
      <c r="F40" s="158" t="s">
        <v>42</v>
      </c>
      <c r="G40" s="360"/>
      <c r="H40" s="257"/>
      <c r="I40" s="35"/>
      <c r="J40" s="36"/>
      <c r="K40" s="36"/>
      <c r="L40" s="36"/>
      <c r="M40" s="36"/>
      <c r="N40" s="36"/>
      <c r="O40" s="36"/>
      <c r="P40" s="36"/>
      <c r="Q40" s="36"/>
      <c r="R40" s="36"/>
      <c r="S40" s="36"/>
      <c r="T40" s="36"/>
      <c r="U40" s="36"/>
      <c r="V40" s="36"/>
      <c r="W40" s="36"/>
      <c r="X40" s="36"/>
      <c r="Y40" s="36"/>
      <c r="Z40" s="36"/>
      <c r="AA40" s="36"/>
      <c r="AB40" s="36"/>
    </row>
    <row r="41" spans="1:28" ht="36" customHeight="1">
      <c r="A41" s="358" t="str">
        <f>HYPERLINK("http://www.secretariasenado.gov.co/senado/basedoc/decreto_2090_2003.html","Decreto 2090")</f>
        <v>Decreto 2090</v>
      </c>
      <c r="B41" s="359">
        <v>37830</v>
      </c>
      <c r="C41" s="158" t="s">
        <v>3164</v>
      </c>
      <c r="D41" s="158" t="s">
        <v>3165</v>
      </c>
      <c r="E41" s="158" t="s">
        <v>41</v>
      </c>
      <c r="F41" s="158" t="s">
        <v>42</v>
      </c>
      <c r="G41" s="360" t="s">
        <v>43</v>
      </c>
      <c r="H41" s="257" t="s">
        <v>750</v>
      </c>
      <c r="I41" s="35"/>
      <c r="J41" s="36"/>
      <c r="K41" s="36"/>
      <c r="L41" s="36"/>
      <c r="M41" s="36"/>
      <c r="N41" s="36"/>
      <c r="O41" s="36"/>
      <c r="P41" s="36"/>
      <c r="Q41" s="36"/>
      <c r="R41" s="36"/>
      <c r="S41" s="36"/>
      <c r="T41" s="36"/>
      <c r="U41" s="36"/>
      <c r="V41" s="36"/>
      <c r="W41" s="36"/>
      <c r="X41" s="36"/>
      <c r="Y41" s="36"/>
      <c r="Z41" s="36"/>
      <c r="AA41" s="36"/>
      <c r="AB41" s="36"/>
    </row>
    <row r="42" spans="1:28" ht="24" customHeight="1">
      <c r="A42" s="358" t="str">
        <f>HYPERLINK("https://www.alcaldiabogota.gov.co/sisjur/normas/Norma1.jsp?i=15162#0","DECRETO 3667")</f>
        <v>DECRETO 3667</v>
      </c>
      <c r="B42" s="359">
        <v>38299</v>
      </c>
      <c r="C42" s="158" t="s">
        <v>133</v>
      </c>
      <c r="D42" s="158" t="s">
        <v>2811</v>
      </c>
      <c r="E42" s="158" t="s">
        <v>41</v>
      </c>
      <c r="F42" s="158" t="s">
        <v>42</v>
      </c>
      <c r="G42" s="364"/>
      <c r="H42" s="365"/>
      <c r="I42" s="35"/>
      <c r="J42" s="36"/>
      <c r="K42" s="36"/>
      <c r="L42" s="36"/>
      <c r="M42" s="36"/>
      <c r="N42" s="36"/>
      <c r="O42" s="36"/>
      <c r="P42" s="36"/>
      <c r="Q42" s="36"/>
      <c r="R42" s="36"/>
      <c r="S42" s="36"/>
      <c r="T42" s="36"/>
      <c r="U42" s="36"/>
      <c r="V42" s="36"/>
      <c r="W42" s="36"/>
      <c r="X42" s="36"/>
      <c r="Y42" s="36"/>
      <c r="Z42" s="36"/>
      <c r="AA42" s="36"/>
      <c r="AB42" s="36"/>
    </row>
    <row r="43" spans="1:28" ht="24" customHeight="1">
      <c r="A43" s="358" t="str">
        <f>HYPERLINK("http://wp.presidencia.gov.co/sitios/normativa/leyes/Documents/Juridica/Decreto%20Ley%20760%20de%2017%20marzo%20de%202005.pdf","DECRETO 760")</f>
        <v>DECRETO 760</v>
      </c>
      <c r="B43" s="359">
        <v>38428</v>
      </c>
      <c r="C43" s="158" t="s">
        <v>57</v>
      </c>
      <c r="D43" s="158" t="s">
        <v>2813</v>
      </c>
      <c r="E43" s="158" t="s">
        <v>41</v>
      </c>
      <c r="F43" s="158" t="s">
        <v>42</v>
      </c>
      <c r="G43" s="364"/>
      <c r="H43" s="365"/>
      <c r="I43" s="35"/>
      <c r="J43" s="36"/>
      <c r="K43" s="36"/>
      <c r="L43" s="36"/>
      <c r="M43" s="36"/>
      <c r="N43" s="36"/>
      <c r="O43" s="36"/>
      <c r="P43" s="36"/>
      <c r="Q43" s="36"/>
      <c r="R43" s="36"/>
      <c r="S43" s="36"/>
      <c r="T43" s="36"/>
      <c r="U43" s="36"/>
      <c r="V43" s="36"/>
      <c r="W43" s="36"/>
      <c r="X43" s="36"/>
      <c r="Y43" s="36"/>
      <c r="Z43" s="36"/>
      <c r="AA43" s="36"/>
      <c r="AB43" s="36"/>
    </row>
    <row r="44" spans="1:28" ht="46.5" customHeight="1">
      <c r="A44" s="358" t="str">
        <f>HYPERLINK("https://www.funcionpublica.gov.co/eva/gestornormativo/norma.php?i=16127","DECRETO 785")</f>
        <v>DECRETO 785</v>
      </c>
      <c r="B44" s="359">
        <v>38428</v>
      </c>
      <c r="C44" s="158" t="s">
        <v>647</v>
      </c>
      <c r="D44" s="158" t="s">
        <v>2815</v>
      </c>
      <c r="E44" s="158" t="s">
        <v>41</v>
      </c>
      <c r="F44" s="158" t="s">
        <v>42</v>
      </c>
      <c r="G44" s="364"/>
      <c r="H44" s="365"/>
      <c r="I44" s="35"/>
      <c r="J44" s="36"/>
      <c r="K44" s="36"/>
      <c r="L44" s="36"/>
      <c r="M44" s="36"/>
      <c r="N44" s="36"/>
      <c r="O44" s="36"/>
      <c r="P44" s="36"/>
      <c r="Q44" s="36"/>
      <c r="R44" s="36"/>
      <c r="S44" s="36"/>
      <c r="T44" s="36"/>
      <c r="U44" s="36"/>
      <c r="V44" s="36"/>
      <c r="W44" s="36"/>
      <c r="X44" s="36"/>
      <c r="Y44" s="36"/>
      <c r="Z44" s="36"/>
      <c r="AA44" s="36"/>
      <c r="AB44" s="36"/>
    </row>
    <row r="45" spans="1:28" ht="24" customHeight="1">
      <c r="A45" s="358" t="str">
        <f>HYPERLINK("https://www.alcaldiabogota.gov.co/sisjur/normas/Norma1.jsp?i=18372","DECRETO 4500")</f>
        <v>DECRETO 4500</v>
      </c>
      <c r="B45" s="359">
        <v>38691</v>
      </c>
      <c r="C45" s="158" t="s">
        <v>57</v>
      </c>
      <c r="D45" s="158" t="s">
        <v>2820</v>
      </c>
      <c r="E45" s="158" t="s">
        <v>41</v>
      </c>
      <c r="F45" s="158" t="s">
        <v>42</v>
      </c>
      <c r="G45" s="364"/>
      <c r="H45" s="365"/>
      <c r="I45" s="35"/>
      <c r="J45" s="36"/>
      <c r="K45" s="36"/>
      <c r="L45" s="36"/>
      <c r="M45" s="36"/>
      <c r="N45" s="36"/>
      <c r="O45" s="36"/>
      <c r="P45" s="36"/>
      <c r="Q45" s="36"/>
      <c r="R45" s="36"/>
      <c r="S45" s="36"/>
      <c r="T45" s="36"/>
      <c r="U45" s="36"/>
      <c r="V45" s="36"/>
      <c r="W45" s="36"/>
      <c r="X45" s="36"/>
      <c r="Y45" s="36"/>
      <c r="Z45" s="36"/>
      <c r="AA45" s="36"/>
      <c r="AB45" s="36"/>
    </row>
    <row r="46" spans="1:28" ht="43.5" customHeight="1">
      <c r="A46" s="358" t="str">
        <f>HYPERLINK("http://www.bogotajuridica.gov.co/sisjur/normas/Norma1.jsp?i=16313","Decreto 1227")</f>
        <v>Decreto 1227</v>
      </c>
      <c r="B46" s="359">
        <v>38463</v>
      </c>
      <c r="C46" s="158" t="s">
        <v>3158</v>
      </c>
      <c r="D46" s="158" t="s">
        <v>3166</v>
      </c>
      <c r="E46" s="158" t="s">
        <v>41</v>
      </c>
      <c r="F46" s="158" t="s">
        <v>42</v>
      </c>
      <c r="G46" s="364"/>
      <c r="H46" s="365"/>
      <c r="I46" s="35"/>
      <c r="J46" s="36"/>
      <c r="K46" s="36"/>
      <c r="L46" s="36"/>
      <c r="M46" s="36"/>
      <c r="N46" s="36"/>
      <c r="O46" s="36"/>
      <c r="P46" s="36"/>
      <c r="Q46" s="36"/>
      <c r="R46" s="36"/>
      <c r="S46" s="36"/>
      <c r="T46" s="36"/>
      <c r="U46" s="36"/>
      <c r="V46" s="36"/>
      <c r="W46" s="36"/>
      <c r="X46" s="36"/>
      <c r="Y46" s="36"/>
      <c r="Z46" s="36"/>
      <c r="AA46" s="36"/>
      <c r="AB46" s="36"/>
    </row>
    <row r="47" spans="1:28" ht="24" customHeight="1">
      <c r="A47" s="358" t="str">
        <f>HYPERLINK("https://www.funcionpublica.gov.co/eva/gestornormativo/norma.php?i=37526","DECRETO 3905")</f>
        <v>DECRETO 3905</v>
      </c>
      <c r="B47" s="359">
        <v>40094</v>
      </c>
      <c r="C47" s="158" t="s">
        <v>57</v>
      </c>
      <c r="D47" s="158" t="s">
        <v>2826</v>
      </c>
      <c r="E47" s="158" t="s">
        <v>41</v>
      </c>
      <c r="F47" s="158" t="s">
        <v>42</v>
      </c>
      <c r="G47" s="364"/>
      <c r="H47" s="365"/>
      <c r="I47" s="35"/>
      <c r="J47" s="36"/>
      <c r="K47" s="36"/>
      <c r="L47" s="36"/>
      <c r="M47" s="36"/>
      <c r="N47" s="36"/>
      <c r="O47" s="36"/>
      <c r="P47" s="36"/>
      <c r="Q47" s="36"/>
      <c r="R47" s="36"/>
      <c r="S47" s="36"/>
      <c r="T47" s="36"/>
      <c r="U47" s="36"/>
      <c r="V47" s="36"/>
      <c r="W47" s="36"/>
      <c r="X47" s="36"/>
      <c r="Y47" s="36"/>
      <c r="Z47" s="36"/>
      <c r="AA47" s="36"/>
      <c r="AB47" s="36"/>
    </row>
    <row r="48" spans="1:28" ht="24" customHeight="1">
      <c r="A48" s="358" t="str">
        <f>HYPERLINK("https://www.funcionpublica.gov.co/eva/gestornormativo/norma.php?i=45515","Decreto 100")</f>
        <v>Decreto 100</v>
      </c>
      <c r="B48" s="359">
        <v>40928</v>
      </c>
      <c r="C48" s="158" t="s">
        <v>3164</v>
      </c>
      <c r="D48" s="366" t="s">
        <v>3167</v>
      </c>
      <c r="E48" s="158" t="s">
        <v>41</v>
      </c>
      <c r="F48" s="158" t="s">
        <v>42</v>
      </c>
      <c r="G48" s="364" t="s">
        <v>43</v>
      </c>
      <c r="H48" s="365" t="s">
        <v>750</v>
      </c>
      <c r="I48" s="35"/>
      <c r="J48" s="36"/>
      <c r="K48" s="36"/>
      <c r="L48" s="36"/>
      <c r="M48" s="36"/>
      <c r="N48" s="36"/>
      <c r="O48" s="36"/>
      <c r="P48" s="36"/>
      <c r="Q48" s="36"/>
      <c r="R48" s="36"/>
      <c r="S48" s="36"/>
      <c r="T48" s="36"/>
      <c r="U48" s="36"/>
      <c r="V48" s="36"/>
      <c r="W48" s="36"/>
      <c r="X48" s="36"/>
      <c r="Y48" s="36"/>
      <c r="Z48" s="36"/>
      <c r="AA48" s="36"/>
      <c r="AB48" s="36"/>
    </row>
    <row r="49" spans="1:28" ht="24" customHeight="1">
      <c r="A49" s="358" t="str">
        <f>HYPERLINK("https://www.funcionpublica.gov.co/eva/gestornormativo/norma.php?i=55977","Decreto 2943")</f>
        <v>Decreto 2943</v>
      </c>
      <c r="B49" s="361">
        <v>41625</v>
      </c>
      <c r="C49" s="158" t="s">
        <v>57</v>
      </c>
      <c r="D49" s="158" t="s">
        <v>3168</v>
      </c>
      <c r="E49" s="158" t="s">
        <v>41</v>
      </c>
      <c r="F49" s="158" t="s">
        <v>42</v>
      </c>
      <c r="G49" s="364" t="s">
        <v>43</v>
      </c>
      <c r="H49" s="365" t="s">
        <v>750</v>
      </c>
      <c r="I49" s="35"/>
      <c r="J49" s="36"/>
      <c r="K49" s="36"/>
      <c r="L49" s="36"/>
      <c r="M49" s="36"/>
      <c r="N49" s="36"/>
      <c r="O49" s="36"/>
      <c r="P49" s="36"/>
      <c r="Q49" s="36"/>
      <c r="R49" s="36"/>
      <c r="S49" s="36"/>
      <c r="T49" s="36"/>
      <c r="U49" s="36"/>
      <c r="V49" s="36"/>
      <c r="W49" s="36"/>
      <c r="X49" s="36"/>
      <c r="Y49" s="36"/>
      <c r="Z49" s="36"/>
      <c r="AA49" s="36"/>
      <c r="AB49" s="36"/>
    </row>
    <row r="50" spans="1:28" ht="24" customHeight="1">
      <c r="A50" s="358" t="str">
        <f>HYPERLINK("https://www.alcaldiabogota.gov.co/sisjur/normas/Norma1.jsp?i=73117&amp;dt=S","Decreto 1352")</f>
        <v>Decreto 1352</v>
      </c>
      <c r="B50" s="359">
        <v>41451</v>
      </c>
      <c r="C50" s="158" t="s">
        <v>1330</v>
      </c>
      <c r="D50" s="366" t="s">
        <v>3169</v>
      </c>
      <c r="E50" s="158" t="s">
        <v>41</v>
      </c>
      <c r="F50" s="158" t="s">
        <v>42</v>
      </c>
      <c r="G50" s="364" t="s">
        <v>43</v>
      </c>
      <c r="H50" s="365" t="s">
        <v>750</v>
      </c>
      <c r="I50" s="35"/>
      <c r="J50" s="36"/>
      <c r="K50" s="36"/>
      <c r="L50" s="36"/>
      <c r="M50" s="36"/>
      <c r="N50" s="36"/>
      <c r="O50" s="36"/>
      <c r="P50" s="36"/>
      <c r="Q50" s="36"/>
      <c r="R50" s="36"/>
      <c r="S50" s="36"/>
      <c r="T50" s="36"/>
      <c r="U50" s="36"/>
      <c r="V50" s="36"/>
      <c r="W50" s="36"/>
      <c r="X50" s="36"/>
      <c r="Y50" s="36"/>
      <c r="Z50" s="36"/>
      <c r="AA50" s="36"/>
      <c r="AB50" s="36"/>
    </row>
    <row r="51" spans="1:28" ht="24" customHeight="1">
      <c r="A51" s="358" t="str">
        <f>HYPERLINK("https://www.alcaldiabogota.gov.co/sisjur/normas/Norma1.jsp?i=52627","Decreto 723")</f>
        <v>Decreto 723</v>
      </c>
      <c r="B51" s="359">
        <v>41379</v>
      </c>
      <c r="C51" s="158" t="s">
        <v>57</v>
      </c>
      <c r="D51" s="158" t="s">
        <v>3170</v>
      </c>
      <c r="E51" s="158" t="s">
        <v>41</v>
      </c>
      <c r="F51" s="158" t="s">
        <v>42</v>
      </c>
      <c r="G51" s="364" t="s">
        <v>43</v>
      </c>
      <c r="H51" s="365" t="s">
        <v>750</v>
      </c>
      <c r="I51" s="35"/>
      <c r="J51" s="36"/>
      <c r="K51" s="36"/>
      <c r="L51" s="36"/>
      <c r="M51" s="36"/>
      <c r="N51" s="36"/>
      <c r="O51" s="36"/>
      <c r="P51" s="36"/>
      <c r="Q51" s="36"/>
      <c r="R51" s="36"/>
      <c r="S51" s="36"/>
      <c r="T51" s="36"/>
      <c r="U51" s="36"/>
      <c r="V51" s="36"/>
      <c r="W51" s="36"/>
      <c r="X51" s="36"/>
      <c r="Y51" s="36"/>
      <c r="Z51" s="36"/>
      <c r="AA51" s="36"/>
      <c r="AB51" s="36"/>
    </row>
    <row r="52" spans="1:28" ht="24" customHeight="1">
      <c r="A52" s="358" t="str">
        <f>HYPERLINK("https://www.alcaldiabogota.gov.co/sisjur/normas/Norma1.jsp?i=58789&amp;dt=S","Decreto 1442")</f>
        <v>Decreto 1442</v>
      </c>
      <c r="B52" s="359">
        <v>41851</v>
      </c>
      <c r="C52" s="158" t="s">
        <v>57</v>
      </c>
      <c r="D52" s="158" t="s">
        <v>1241</v>
      </c>
      <c r="E52" s="158" t="s">
        <v>41</v>
      </c>
      <c r="F52" s="158" t="s">
        <v>42</v>
      </c>
      <c r="G52" s="364" t="s">
        <v>43</v>
      </c>
      <c r="H52" s="365" t="s">
        <v>750</v>
      </c>
      <c r="I52" s="35"/>
      <c r="J52" s="36"/>
      <c r="K52" s="36"/>
      <c r="L52" s="36"/>
      <c r="M52" s="36"/>
      <c r="N52" s="36"/>
      <c r="O52" s="36"/>
      <c r="P52" s="36"/>
      <c r="Q52" s="36"/>
      <c r="R52" s="36"/>
      <c r="S52" s="36"/>
      <c r="T52" s="36"/>
      <c r="U52" s="36"/>
      <c r="V52" s="36"/>
      <c r="W52" s="36"/>
      <c r="X52" s="36"/>
      <c r="Y52" s="36"/>
      <c r="Z52" s="36"/>
      <c r="AA52" s="36"/>
      <c r="AB52" s="36"/>
    </row>
    <row r="53" spans="1:28" ht="24" customHeight="1">
      <c r="A53" s="358" t="str">
        <f>HYPERLINK("https://www.funcionpublica.gov.co/eva/gestornormativo/norma.php?i=58849","Decreto 1477")</f>
        <v>Decreto 1477</v>
      </c>
      <c r="B53" s="359">
        <v>41856</v>
      </c>
      <c r="C53" s="158" t="s">
        <v>57</v>
      </c>
      <c r="D53" s="158" t="s">
        <v>3171</v>
      </c>
      <c r="E53" s="158" t="s">
        <v>41</v>
      </c>
      <c r="F53" s="158" t="s">
        <v>42</v>
      </c>
      <c r="G53" s="364" t="s">
        <v>43</v>
      </c>
      <c r="H53" s="365" t="s">
        <v>750</v>
      </c>
      <c r="I53" s="35"/>
      <c r="J53" s="36"/>
      <c r="K53" s="36"/>
      <c r="L53" s="36"/>
      <c r="M53" s="36"/>
      <c r="N53" s="36"/>
      <c r="O53" s="36"/>
      <c r="P53" s="36"/>
      <c r="Q53" s="36"/>
      <c r="R53" s="36"/>
      <c r="S53" s="36"/>
      <c r="T53" s="36"/>
      <c r="U53" s="36"/>
      <c r="V53" s="36"/>
      <c r="W53" s="36"/>
      <c r="X53" s="36"/>
      <c r="Y53" s="36"/>
      <c r="Z53" s="36"/>
      <c r="AA53" s="36"/>
      <c r="AB53" s="36"/>
    </row>
    <row r="54" spans="1:28" ht="36" customHeight="1">
      <c r="A54" s="358" t="str">
        <f>HYPERLINK("https://www.alcaldiabogota.gov.co/sisjur/normas/Norma1.jsp?i=62514#2.2.1.6.15.4","Decreto 1079")</f>
        <v>Decreto 1079</v>
      </c>
      <c r="B54" s="359">
        <v>42150</v>
      </c>
      <c r="C54" s="158" t="s">
        <v>57</v>
      </c>
      <c r="D54" s="158" t="s">
        <v>3172</v>
      </c>
      <c r="E54" s="158" t="s">
        <v>41</v>
      </c>
      <c r="F54" s="158" t="s">
        <v>42</v>
      </c>
      <c r="G54" s="364" t="s">
        <v>43</v>
      </c>
      <c r="H54" s="365" t="s">
        <v>750</v>
      </c>
      <c r="I54" s="35"/>
      <c r="J54" s="36"/>
      <c r="K54" s="36"/>
      <c r="L54" s="36"/>
      <c r="M54" s="36"/>
      <c r="N54" s="36"/>
      <c r="O54" s="36"/>
      <c r="P54" s="36"/>
      <c r="Q54" s="36"/>
      <c r="R54" s="36"/>
      <c r="S54" s="36"/>
      <c r="T54" s="36"/>
      <c r="U54" s="36"/>
      <c r="V54" s="36"/>
      <c r="W54" s="36"/>
      <c r="X54" s="36"/>
      <c r="Y54" s="36"/>
      <c r="Z54" s="36"/>
      <c r="AA54" s="36"/>
      <c r="AB54" s="36"/>
    </row>
    <row r="55" spans="1:28" ht="35.25" customHeight="1">
      <c r="A55" s="358" t="str">
        <f>HYPERLINK("https://www.alcaldiabogota.gov.co/sisjur/normas/Norma1.jsp?i=62518","Decreto 1083")</f>
        <v>Decreto 1083</v>
      </c>
      <c r="B55" s="359">
        <v>42150</v>
      </c>
      <c r="C55" s="362" t="s">
        <v>3158</v>
      </c>
      <c r="D55" s="158" t="s">
        <v>1727</v>
      </c>
      <c r="E55" s="158" t="s">
        <v>41</v>
      </c>
      <c r="F55" s="158" t="s">
        <v>42</v>
      </c>
      <c r="G55" s="364"/>
      <c r="H55" s="365"/>
      <c r="I55" s="35"/>
      <c r="J55" s="36"/>
      <c r="K55" s="36"/>
      <c r="L55" s="36"/>
      <c r="M55" s="36"/>
      <c r="N55" s="36"/>
      <c r="O55" s="36"/>
      <c r="P55" s="36"/>
      <c r="Q55" s="36"/>
      <c r="R55" s="36"/>
      <c r="S55" s="36"/>
      <c r="T55" s="36"/>
      <c r="U55" s="36"/>
      <c r="V55" s="36"/>
      <c r="W55" s="36"/>
      <c r="X55" s="36"/>
      <c r="Y55" s="36"/>
      <c r="Z55" s="36"/>
      <c r="AA55" s="36"/>
      <c r="AB55" s="36"/>
    </row>
    <row r="56" spans="1:28" ht="12" customHeight="1">
      <c r="A56" s="358" t="str">
        <f>HYPERLINK("https://www.alcaldiabogota.gov.co/sisjur/normas/Norma1.jsp?i=63131","Decreto 1906")</f>
        <v>Decreto 1906</v>
      </c>
      <c r="B56" s="359">
        <v>42269</v>
      </c>
      <c r="C56" s="158" t="s">
        <v>1800</v>
      </c>
      <c r="D56" s="158" t="s">
        <v>3173</v>
      </c>
      <c r="E56" s="158" t="s">
        <v>41</v>
      </c>
      <c r="F56" s="158" t="s">
        <v>42</v>
      </c>
      <c r="G56" s="364" t="s">
        <v>43</v>
      </c>
      <c r="H56" s="365" t="s">
        <v>750</v>
      </c>
      <c r="I56" s="35"/>
      <c r="J56" s="36"/>
      <c r="K56" s="36"/>
      <c r="L56" s="36"/>
      <c r="M56" s="36"/>
      <c r="N56" s="36"/>
      <c r="O56" s="36"/>
      <c r="P56" s="36"/>
      <c r="Q56" s="36"/>
      <c r="R56" s="36"/>
      <c r="S56" s="36"/>
      <c r="T56" s="36"/>
      <c r="U56" s="36"/>
      <c r="V56" s="36"/>
      <c r="W56" s="36"/>
      <c r="X56" s="36"/>
      <c r="Y56" s="36"/>
      <c r="Z56" s="36"/>
      <c r="AA56" s="36"/>
      <c r="AB56" s="36"/>
    </row>
    <row r="57" spans="1:28" ht="36" customHeight="1">
      <c r="A57" s="358" t="str">
        <f>HYPERLINK("http://www.mintrabajo.gov.co/documents/20147/0/DUR+Sector+Trabajo+Actualizado+a+15+de+abril++de+2016.pdf/a32b1dcf-7a4e-8a37-ac16-c121928719c8","Decreto 1072")</f>
        <v>Decreto 1072</v>
      </c>
      <c r="B57" s="359">
        <v>42150</v>
      </c>
      <c r="C57" s="158" t="s">
        <v>566</v>
      </c>
      <c r="D57" s="158" t="s">
        <v>3174</v>
      </c>
      <c r="E57" s="158" t="s">
        <v>41</v>
      </c>
      <c r="F57" s="158" t="s">
        <v>42</v>
      </c>
      <c r="G57" s="364" t="s">
        <v>43</v>
      </c>
      <c r="H57" s="365" t="s">
        <v>750</v>
      </c>
      <c r="I57" s="35"/>
      <c r="J57" s="36"/>
      <c r="K57" s="36"/>
      <c r="L57" s="36"/>
      <c r="M57" s="36"/>
      <c r="N57" s="36"/>
      <c r="O57" s="36"/>
      <c r="P57" s="36"/>
      <c r="Q57" s="36"/>
      <c r="R57" s="36"/>
      <c r="S57" s="36"/>
      <c r="T57" s="36"/>
      <c r="U57" s="36"/>
      <c r="V57" s="36"/>
      <c r="W57" s="36"/>
      <c r="X57" s="36"/>
      <c r="Y57" s="36"/>
      <c r="Z57" s="36"/>
      <c r="AA57" s="36"/>
      <c r="AB57" s="36"/>
    </row>
    <row r="58" spans="1:28" ht="72" customHeight="1">
      <c r="A58" s="358" t="str">
        <f>HYPERLINK("https://www.minsalud.gov.co/Normatividad_Nuevo/Decreto%202353%20de%202015.pdf","DECRETO 2353")</f>
        <v>DECRETO 2353</v>
      </c>
      <c r="B58" s="359">
        <v>42341</v>
      </c>
      <c r="C58" s="158" t="s">
        <v>57</v>
      </c>
      <c r="D58" s="158" t="s">
        <v>2807</v>
      </c>
      <c r="E58" s="158" t="s">
        <v>41</v>
      </c>
      <c r="F58" s="158" t="s">
        <v>42</v>
      </c>
      <c r="G58" s="364"/>
      <c r="H58" s="365"/>
      <c r="I58" s="35"/>
      <c r="J58" s="36"/>
      <c r="K58" s="36"/>
      <c r="L58" s="36"/>
      <c r="M58" s="36"/>
      <c r="N58" s="36"/>
      <c r="O58" s="36"/>
      <c r="P58" s="36"/>
      <c r="Q58" s="36"/>
      <c r="R58" s="36"/>
      <c r="S58" s="36"/>
      <c r="T58" s="36"/>
      <c r="U58" s="36"/>
      <c r="V58" s="36"/>
      <c r="W58" s="36"/>
      <c r="X58" s="36"/>
      <c r="Y58" s="36"/>
      <c r="Z58" s="36"/>
      <c r="AA58" s="36"/>
      <c r="AB58" s="36"/>
    </row>
    <row r="59" spans="1:28" ht="72" customHeight="1">
      <c r="A59" s="358" t="str">
        <f>HYPERLINK("https://www.funcionpublica.gov.co/eva/gestornormativo/norma.php?i=67473","Decreto 2509")</f>
        <v>Decreto 2509</v>
      </c>
      <c r="B59" s="361">
        <v>42361</v>
      </c>
      <c r="C59" s="158" t="s">
        <v>3158</v>
      </c>
      <c r="D59" s="158" t="s">
        <v>3175</v>
      </c>
      <c r="E59" s="158" t="s">
        <v>41</v>
      </c>
      <c r="F59" s="158" t="s">
        <v>42</v>
      </c>
      <c r="G59" s="364" t="s">
        <v>43</v>
      </c>
      <c r="H59" s="365" t="s">
        <v>750</v>
      </c>
      <c r="I59" s="35"/>
      <c r="J59" s="36"/>
      <c r="K59" s="36"/>
      <c r="L59" s="36"/>
      <c r="M59" s="36"/>
      <c r="N59" s="36"/>
      <c r="O59" s="36"/>
      <c r="P59" s="36"/>
      <c r="Q59" s="36"/>
      <c r="R59" s="36"/>
      <c r="S59" s="36"/>
      <c r="T59" s="36"/>
      <c r="U59" s="36"/>
      <c r="V59" s="36"/>
      <c r="W59" s="36"/>
      <c r="X59" s="36"/>
      <c r="Y59" s="36"/>
      <c r="Z59" s="36"/>
      <c r="AA59" s="36"/>
      <c r="AB59" s="36"/>
    </row>
    <row r="60" spans="1:28" ht="48" customHeight="1">
      <c r="A60" s="358" t="str">
        <f>HYPERLINK("https://www.minsalud.gov.co/Normativa/Paginas/decreto-unico-minsalud-780-de-2016.aspx","Decreto 780")</f>
        <v>Decreto 780</v>
      </c>
      <c r="B60" s="359">
        <v>42496</v>
      </c>
      <c r="C60" s="158" t="s">
        <v>57</v>
      </c>
      <c r="D60" s="158" t="s">
        <v>2862</v>
      </c>
      <c r="E60" s="158" t="s">
        <v>41</v>
      </c>
      <c r="F60" s="158" t="s">
        <v>42</v>
      </c>
      <c r="G60" s="364" t="s">
        <v>43</v>
      </c>
      <c r="H60" s="365" t="s">
        <v>750</v>
      </c>
      <c r="I60" s="35"/>
      <c r="J60" s="36"/>
      <c r="K60" s="36"/>
      <c r="L60" s="36"/>
      <c r="M60" s="36"/>
      <c r="N60" s="36"/>
      <c r="O60" s="36"/>
      <c r="P60" s="36"/>
      <c r="Q60" s="36"/>
      <c r="R60" s="36"/>
      <c r="S60" s="36"/>
      <c r="T60" s="36"/>
      <c r="U60" s="36"/>
      <c r="V60" s="36"/>
      <c r="W60" s="36"/>
      <c r="X60" s="36"/>
      <c r="Y60" s="36"/>
      <c r="Z60" s="36"/>
      <c r="AA60" s="36"/>
      <c r="AB60" s="36"/>
    </row>
    <row r="61" spans="1:28" ht="36" customHeight="1">
      <c r="A61" s="358" t="str">
        <f>HYPERLINK("https://www.bogotajuridica.gov.co/sisjur/normas/Norma1.jsp?i=69314","Decreto 894")</f>
        <v>Decreto 894</v>
      </c>
      <c r="B61" s="359">
        <v>42975</v>
      </c>
      <c r="C61" s="362" t="s">
        <v>3158</v>
      </c>
      <c r="D61" s="158" t="s">
        <v>3176</v>
      </c>
      <c r="E61" s="158" t="s">
        <v>41</v>
      </c>
      <c r="F61" s="158" t="s">
        <v>42</v>
      </c>
      <c r="G61" s="367"/>
      <c r="H61" s="368"/>
      <c r="I61" s="369"/>
      <c r="J61" s="369"/>
      <c r="K61" s="366"/>
      <c r="L61" s="366"/>
      <c r="M61" s="366"/>
      <c r="N61" s="367"/>
      <c r="O61" s="368"/>
      <c r="P61" s="369"/>
      <c r="Q61" s="369"/>
      <c r="R61" s="366"/>
      <c r="S61" s="366"/>
      <c r="T61" s="366"/>
      <c r="U61" s="367"/>
      <c r="V61" s="368"/>
      <c r="W61" s="369"/>
      <c r="X61" s="369"/>
      <c r="Y61" s="366"/>
      <c r="Z61" s="366"/>
      <c r="AA61" s="366"/>
      <c r="AB61" s="36"/>
    </row>
    <row r="62" spans="1:28" ht="36" customHeight="1">
      <c r="A62" s="358" t="str">
        <f>HYPERLINK("https://www.alcaldiabogota.gov.co/sisjur/normas/Norma1.jsp?i=71261","Decreto 1499")</f>
        <v>Decreto 1499</v>
      </c>
      <c r="B62" s="359">
        <v>42989</v>
      </c>
      <c r="C62" s="362" t="s">
        <v>3158</v>
      </c>
      <c r="D62" s="158" t="s">
        <v>1058</v>
      </c>
      <c r="E62" s="158" t="s">
        <v>41</v>
      </c>
      <c r="F62" s="158" t="s">
        <v>42</v>
      </c>
      <c r="G62" s="367"/>
      <c r="H62" s="368"/>
      <c r="I62" s="369"/>
      <c r="J62" s="369"/>
      <c r="K62" s="366"/>
      <c r="L62" s="366"/>
      <c r="M62" s="366"/>
      <c r="N62" s="367"/>
      <c r="O62" s="368"/>
      <c r="P62" s="369"/>
      <c r="Q62" s="369"/>
      <c r="R62" s="366"/>
      <c r="S62" s="366"/>
      <c r="T62" s="366"/>
      <c r="U62" s="367"/>
      <c r="V62" s="368"/>
      <c r="W62" s="369"/>
      <c r="X62" s="369"/>
      <c r="Y62" s="366"/>
      <c r="Z62" s="366"/>
      <c r="AA62" s="366"/>
      <c r="AB62" s="36"/>
    </row>
    <row r="63" spans="1:28" ht="36" customHeight="1">
      <c r="A63" s="358" t="str">
        <f>HYPERLINK("https://www.alcaldiabogota.gov.co/sisjur/normas/Norma1.jsp?i=73698","Decreto 051")</f>
        <v>Decreto 051</v>
      </c>
      <c r="B63" s="359">
        <v>43116</v>
      </c>
      <c r="C63" s="362" t="s">
        <v>3158</v>
      </c>
      <c r="D63" s="158" t="s">
        <v>3177</v>
      </c>
      <c r="E63" s="158" t="s">
        <v>41</v>
      </c>
      <c r="F63" s="158" t="s">
        <v>42</v>
      </c>
      <c r="G63" s="370" t="str">
        <f>HYPERLINK("https://www.alcaldiabogota.gov.co/sisjur/normas/Norma1.jsp?i=73698","Decreto 051")</f>
        <v>Decreto 051</v>
      </c>
      <c r="H63" s="359">
        <v>43116</v>
      </c>
      <c r="I63" s="371"/>
      <c r="J63" s="372"/>
      <c r="K63" s="158" t="s">
        <v>41</v>
      </c>
      <c r="L63" s="158" t="s">
        <v>42</v>
      </c>
      <c r="M63" s="158" t="s">
        <v>3178</v>
      </c>
      <c r="N63" s="370" t="str">
        <f>HYPERLINK("https://www.alcaldiabogota.gov.co/sisjur/normas/Norma1.jsp?i=73698","Decreto 051")</f>
        <v>Decreto 051</v>
      </c>
      <c r="O63" s="359">
        <v>43116</v>
      </c>
      <c r="P63" s="371" t="s">
        <v>3158</v>
      </c>
      <c r="Q63" s="372" t="s">
        <v>3177</v>
      </c>
      <c r="R63" s="158" t="s">
        <v>41</v>
      </c>
      <c r="S63" s="158" t="s">
        <v>42</v>
      </c>
      <c r="T63" s="158" t="s">
        <v>3178</v>
      </c>
      <c r="U63" s="370" t="str">
        <f>HYPERLINK("https://www.alcaldiabogota.gov.co/sisjur/normas/Norma1.jsp?i=73698","Decreto 051")</f>
        <v>Decreto 051</v>
      </c>
      <c r="V63" s="359">
        <v>43116</v>
      </c>
      <c r="W63" s="371" t="s">
        <v>3158</v>
      </c>
      <c r="X63" s="372" t="s">
        <v>3177</v>
      </c>
      <c r="Y63" s="158" t="s">
        <v>41</v>
      </c>
      <c r="Z63" s="158" t="s">
        <v>42</v>
      </c>
      <c r="AA63" s="158" t="s">
        <v>3178</v>
      </c>
      <c r="AB63" s="36"/>
    </row>
    <row r="64" spans="1:28" ht="36" customHeight="1">
      <c r="A64" s="358" t="str">
        <f>HYPERLINK("https://www.funcionpublica.gov.co/eva/gestornormativo/norma.php?i=87679","Decreto 1333")</f>
        <v>Decreto 1333</v>
      </c>
      <c r="B64" s="359">
        <v>43308</v>
      </c>
      <c r="C64" s="158" t="s">
        <v>133</v>
      </c>
      <c r="D64" s="158" t="s">
        <v>3179</v>
      </c>
      <c r="E64" s="158" t="s">
        <v>41</v>
      </c>
      <c r="F64" s="158" t="s">
        <v>42</v>
      </c>
      <c r="G64" s="364" t="s">
        <v>43</v>
      </c>
      <c r="H64" s="365" t="s">
        <v>750</v>
      </c>
      <c r="I64" s="35"/>
      <c r="J64" s="36"/>
      <c r="K64" s="36"/>
      <c r="L64" s="36"/>
      <c r="M64" s="36"/>
      <c r="N64" s="36"/>
      <c r="O64" s="36"/>
      <c r="P64" s="36"/>
      <c r="Q64" s="36"/>
      <c r="R64" s="36"/>
      <c r="S64" s="36"/>
      <c r="T64" s="36"/>
      <c r="U64" s="36"/>
      <c r="V64" s="36"/>
      <c r="W64" s="36"/>
      <c r="X64" s="36"/>
      <c r="Y64" s="36"/>
      <c r="Z64" s="36"/>
      <c r="AA64" s="36"/>
      <c r="AB64" s="36"/>
    </row>
    <row r="65" spans="1:28" ht="48" customHeight="1">
      <c r="A65" s="358" t="str">
        <f>HYPERLINK("https://www.movilidadbogota.gov.co/web/sites/default/files/Paginas/2019-04-03/Decreto%20037%20de%202019.pdf","Decreto 37")</f>
        <v>Decreto 37</v>
      </c>
      <c r="B65" s="359">
        <v>43503</v>
      </c>
      <c r="C65" s="362" t="s">
        <v>856</v>
      </c>
      <c r="D65" s="158" t="s">
        <v>3180</v>
      </c>
      <c r="E65" s="158" t="s">
        <v>41</v>
      </c>
      <c r="F65" s="158" t="s">
        <v>42</v>
      </c>
      <c r="G65" s="364"/>
      <c r="H65" s="365"/>
      <c r="I65" s="35"/>
      <c r="J65" s="36"/>
      <c r="K65" s="36"/>
      <c r="L65" s="36"/>
      <c r="M65" s="36"/>
      <c r="N65" s="36"/>
      <c r="O65" s="36"/>
      <c r="P65" s="36"/>
      <c r="Q65" s="36"/>
      <c r="R65" s="36"/>
      <c r="S65" s="36"/>
      <c r="T65" s="36"/>
      <c r="U65" s="36"/>
      <c r="V65" s="36"/>
      <c r="W65" s="36"/>
      <c r="X65" s="36"/>
      <c r="Y65" s="36"/>
      <c r="Z65" s="36"/>
      <c r="AA65" s="36"/>
      <c r="AB65" s="36"/>
    </row>
    <row r="66" spans="1:28" ht="48" customHeight="1">
      <c r="A66" s="358" t="str">
        <f>HYPERLINK("https://www.minsalud.gov.co/Normatividad_Nuevo/Decreto%201465%20de%202019.pdf","Decreto 1465")</f>
        <v>Decreto 1465</v>
      </c>
      <c r="B66" s="359">
        <v>43690</v>
      </c>
      <c r="C66" s="158" t="s">
        <v>3158</v>
      </c>
      <c r="D66" s="158" t="s">
        <v>3181</v>
      </c>
      <c r="E66" s="158" t="s">
        <v>41</v>
      </c>
      <c r="F66" s="158" t="s">
        <v>42</v>
      </c>
      <c r="G66" s="364"/>
      <c r="H66" s="365"/>
      <c r="I66" s="35"/>
      <c r="J66" s="36"/>
      <c r="K66" s="36"/>
      <c r="L66" s="36"/>
      <c r="M66" s="36"/>
      <c r="N66" s="36"/>
      <c r="O66" s="36"/>
      <c r="P66" s="36"/>
      <c r="Q66" s="36"/>
      <c r="R66" s="36"/>
      <c r="S66" s="36"/>
      <c r="T66" s="36"/>
      <c r="U66" s="36"/>
      <c r="V66" s="36"/>
      <c r="W66" s="36"/>
      <c r="X66" s="36"/>
      <c r="Y66" s="36"/>
      <c r="Z66" s="36"/>
      <c r="AA66" s="36"/>
      <c r="AB66" s="36"/>
    </row>
    <row r="67" spans="1:28" ht="36" customHeight="1">
      <c r="A67" s="358" t="str">
        <f>HYPERLINK("https://www.bogotajuridica.gov.co/sisjur/normas/Norma1.jsp?i=53565","Resolución 2400")</f>
        <v>Resolución 2400</v>
      </c>
      <c r="B67" s="359">
        <v>28997</v>
      </c>
      <c r="C67" s="362" t="s">
        <v>1330</v>
      </c>
      <c r="D67" s="158" t="s">
        <v>3182</v>
      </c>
      <c r="E67" s="158" t="s">
        <v>41</v>
      </c>
      <c r="F67" s="158" t="s">
        <v>42</v>
      </c>
      <c r="G67" s="364" t="s">
        <v>43</v>
      </c>
      <c r="H67" s="365" t="s">
        <v>750</v>
      </c>
      <c r="I67" s="35"/>
      <c r="J67" s="36"/>
      <c r="K67" s="36"/>
      <c r="L67" s="36"/>
      <c r="M67" s="36"/>
      <c r="N67" s="36"/>
      <c r="O67" s="36"/>
      <c r="P67" s="36"/>
      <c r="Q67" s="36"/>
      <c r="R67" s="36"/>
      <c r="S67" s="36"/>
      <c r="T67" s="36"/>
      <c r="U67" s="36"/>
      <c r="V67" s="36"/>
      <c r="W67" s="36"/>
      <c r="X67" s="36"/>
      <c r="Y67" s="36"/>
      <c r="Z67" s="36"/>
      <c r="AA67" s="36"/>
      <c r="AB67" s="36"/>
    </row>
    <row r="68" spans="1:28" ht="36" customHeight="1">
      <c r="A68" s="358" t="str">
        <f>HYPERLINK("https://www.alcaldiabogota.gov.co/sisjur/normas/Norma1.jsp?i=6305","Resolución 8321")</f>
        <v>Resolución 8321</v>
      </c>
      <c r="B68" s="359">
        <v>30532</v>
      </c>
      <c r="C68" s="158" t="s">
        <v>124</v>
      </c>
      <c r="D68" s="158" t="s">
        <v>568</v>
      </c>
      <c r="E68" s="158" t="s">
        <v>41</v>
      </c>
      <c r="F68" s="158" t="s">
        <v>42</v>
      </c>
      <c r="G68" s="364" t="s">
        <v>43</v>
      </c>
      <c r="H68" s="365" t="s">
        <v>750</v>
      </c>
      <c r="I68" s="35"/>
      <c r="J68" s="36"/>
      <c r="K68" s="36"/>
      <c r="L68" s="36"/>
      <c r="M68" s="36"/>
      <c r="N68" s="36"/>
      <c r="O68" s="36"/>
      <c r="P68" s="36"/>
      <c r="Q68" s="36"/>
      <c r="R68" s="36"/>
      <c r="S68" s="36"/>
      <c r="T68" s="36"/>
      <c r="U68" s="36"/>
      <c r="V68" s="36"/>
      <c r="W68" s="36"/>
      <c r="X68" s="36"/>
      <c r="Y68" s="36"/>
      <c r="Z68" s="36"/>
      <c r="AA68" s="36"/>
      <c r="AB68" s="36"/>
    </row>
    <row r="69" spans="1:28" ht="36" customHeight="1">
      <c r="A69" s="358" t="str">
        <f>HYPERLINK("https://www.bogotajuridica.gov.co/sisjur/normas/Norma1.jsp?i=5411","Resolución 2013")</f>
        <v>Resolución 2013</v>
      </c>
      <c r="B69" s="359">
        <v>31569</v>
      </c>
      <c r="C69" s="362" t="s">
        <v>3183</v>
      </c>
      <c r="D69" s="158" t="s">
        <v>3184</v>
      </c>
      <c r="E69" s="158" t="s">
        <v>41</v>
      </c>
      <c r="F69" s="158" t="s">
        <v>42</v>
      </c>
      <c r="G69" s="364" t="s">
        <v>43</v>
      </c>
      <c r="H69" s="365" t="s">
        <v>750</v>
      </c>
      <c r="I69" s="35"/>
      <c r="J69" s="36"/>
      <c r="K69" s="36"/>
      <c r="L69" s="36"/>
      <c r="M69" s="36"/>
      <c r="N69" s="36"/>
      <c r="O69" s="36"/>
      <c r="P69" s="36"/>
      <c r="Q69" s="36"/>
      <c r="R69" s="36"/>
      <c r="S69" s="36"/>
      <c r="T69" s="36"/>
      <c r="U69" s="36"/>
      <c r="V69" s="36"/>
      <c r="W69" s="36"/>
      <c r="X69" s="36"/>
      <c r="Y69" s="36"/>
      <c r="Z69" s="36"/>
      <c r="AA69" s="36"/>
      <c r="AB69" s="36"/>
    </row>
    <row r="70" spans="1:28" ht="24" customHeight="1">
      <c r="A70" s="358" t="str">
        <f>HYPERLINK("https://www.alcaldiabogota.gov.co/sisjur/normas/Norma1.jsp?i=5412","Resolución 1016")</f>
        <v>Resolución 1016</v>
      </c>
      <c r="B70" s="359">
        <v>32598</v>
      </c>
      <c r="C70" s="158" t="s">
        <v>3183</v>
      </c>
      <c r="D70" s="158" t="s">
        <v>3185</v>
      </c>
      <c r="E70" s="158" t="s">
        <v>41</v>
      </c>
      <c r="F70" s="158" t="s">
        <v>42</v>
      </c>
      <c r="G70" s="364" t="s">
        <v>43</v>
      </c>
      <c r="H70" s="365" t="s">
        <v>750</v>
      </c>
      <c r="I70" s="35"/>
      <c r="J70" s="36"/>
      <c r="K70" s="36"/>
      <c r="L70" s="36"/>
      <c r="M70" s="36"/>
      <c r="N70" s="36"/>
      <c r="O70" s="36"/>
      <c r="P70" s="36"/>
      <c r="Q70" s="36"/>
      <c r="R70" s="36"/>
      <c r="S70" s="36"/>
      <c r="T70" s="36"/>
      <c r="U70" s="36"/>
      <c r="V70" s="36"/>
      <c r="W70" s="36"/>
      <c r="X70" s="36"/>
      <c r="Y70" s="36"/>
      <c r="Z70" s="36"/>
      <c r="AA70" s="36"/>
      <c r="AB70" s="36"/>
    </row>
    <row r="71" spans="1:28" ht="24" customHeight="1">
      <c r="A71" s="358" t="str">
        <f>HYPERLINK("https://www.alcaldiabogota.gov.co/sisjur/normas/Norma1.jsp?i=57841&amp;dt=S","Resolución 1075")</f>
        <v>Resolución 1075</v>
      </c>
      <c r="B71" s="359">
        <v>33687</v>
      </c>
      <c r="C71" s="362" t="s">
        <v>1330</v>
      </c>
      <c r="D71" s="158" t="s">
        <v>3186</v>
      </c>
      <c r="E71" s="158" t="s">
        <v>3187</v>
      </c>
      <c r="F71" s="158" t="s">
        <v>3188</v>
      </c>
      <c r="G71" s="364"/>
      <c r="H71" s="365"/>
      <c r="I71" s="35"/>
      <c r="J71" s="36"/>
      <c r="K71" s="36"/>
      <c r="L71" s="36"/>
      <c r="M71" s="36"/>
      <c r="N71" s="36"/>
      <c r="O71" s="36"/>
      <c r="P71" s="36"/>
      <c r="Q71" s="36"/>
      <c r="R71" s="36"/>
      <c r="S71" s="36"/>
      <c r="T71" s="36"/>
      <c r="U71" s="36"/>
      <c r="V71" s="36"/>
      <c r="W71" s="36"/>
      <c r="X71" s="36"/>
      <c r="Y71" s="36"/>
      <c r="Z71" s="36"/>
      <c r="AA71" s="36"/>
      <c r="AB71" s="36"/>
    </row>
    <row r="72" spans="1:28" ht="24" customHeight="1">
      <c r="A72" s="358" t="str">
        <f>HYPERLINK("https://www.alcaldiabogota.gov.co/sisjur/normas/Norma1.jsp?i=53497","Resolución 1401")</f>
        <v>Resolución 1401</v>
      </c>
      <c r="B72" s="359">
        <v>39216</v>
      </c>
      <c r="C72" s="158" t="s">
        <v>133</v>
      </c>
      <c r="D72" s="158" t="s">
        <v>3189</v>
      </c>
      <c r="E72" s="158" t="s">
        <v>41</v>
      </c>
      <c r="F72" s="158" t="s">
        <v>42</v>
      </c>
      <c r="G72" s="364" t="s">
        <v>43</v>
      </c>
      <c r="H72" s="365" t="s">
        <v>750</v>
      </c>
      <c r="I72" s="35"/>
      <c r="J72" s="36"/>
      <c r="K72" s="36"/>
      <c r="L72" s="36"/>
      <c r="M72" s="36"/>
      <c r="N72" s="36"/>
      <c r="O72" s="36"/>
      <c r="P72" s="36"/>
      <c r="Q72" s="36"/>
      <c r="R72" s="36"/>
      <c r="S72" s="36"/>
      <c r="T72" s="36"/>
      <c r="U72" s="36"/>
      <c r="V72" s="36"/>
      <c r="W72" s="36"/>
      <c r="X72" s="36"/>
      <c r="Y72" s="36"/>
      <c r="Z72" s="36"/>
      <c r="AA72" s="36"/>
      <c r="AB72" s="36"/>
    </row>
    <row r="73" spans="1:28" ht="36" customHeight="1">
      <c r="A73" s="358" t="str">
        <f>HYPERLINK("https://www.bogotajuridica.gov.co/sisjur/normas/Norma1.jsp?i=25815","Resolución 2346")</f>
        <v>Resolución 2346</v>
      </c>
      <c r="B73" s="359">
        <v>2007</v>
      </c>
      <c r="C73" s="362" t="s">
        <v>3190</v>
      </c>
      <c r="D73" s="158" t="s">
        <v>3191</v>
      </c>
      <c r="E73" s="158" t="s">
        <v>41</v>
      </c>
      <c r="F73" s="158" t="s">
        <v>42</v>
      </c>
      <c r="G73" s="364" t="s">
        <v>43</v>
      </c>
      <c r="H73" s="365" t="s">
        <v>750</v>
      </c>
      <c r="I73" s="35"/>
      <c r="J73" s="36"/>
      <c r="K73" s="36"/>
      <c r="L73" s="36"/>
      <c r="M73" s="36"/>
      <c r="N73" s="36"/>
      <c r="O73" s="36"/>
      <c r="P73" s="36"/>
      <c r="Q73" s="36"/>
      <c r="R73" s="36"/>
      <c r="S73" s="36"/>
      <c r="T73" s="36"/>
      <c r="U73" s="36"/>
      <c r="V73" s="36"/>
      <c r="W73" s="36"/>
      <c r="X73" s="36"/>
      <c r="Y73" s="36"/>
      <c r="Z73" s="36"/>
      <c r="AA73" s="36"/>
      <c r="AB73" s="36"/>
    </row>
    <row r="74" spans="1:28" ht="36" customHeight="1">
      <c r="A74" s="358" t="str">
        <f>HYPERLINK("https://www.icbf.gov.co/cargues/avance/docs/resolucion_minproteccion_2844_2007.htm","Resolución 2844")</f>
        <v>Resolución 2844</v>
      </c>
      <c r="B74" s="359">
        <v>39310</v>
      </c>
      <c r="C74" s="158" t="s">
        <v>3192</v>
      </c>
      <c r="D74" s="158" t="s">
        <v>3193</v>
      </c>
      <c r="E74" s="158" t="s">
        <v>3194</v>
      </c>
      <c r="F74" s="158" t="s">
        <v>3195</v>
      </c>
      <c r="G74" s="364" t="s">
        <v>43</v>
      </c>
      <c r="H74" s="365" t="s">
        <v>750</v>
      </c>
      <c r="I74" s="35"/>
      <c r="J74" s="36"/>
      <c r="K74" s="36"/>
      <c r="L74" s="36"/>
      <c r="M74" s="36"/>
      <c r="N74" s="36"/>
      <c r="O74" s="36"/>
      <c r="P74" s="36"/>
      <c r="Q74" s="36"/>
      <c r="R74" s="36"/>
      <c r="S74" s="36"/>
      <c r="T74" s="36"/>
      <c r="U74" s="36"/>
      <c r="V74" s="36"/>
      <c r="W74" s="36"/>
      <c r="X74" s="36"/>
      <c r="Y74" s="36"/>
      <c r="Z74" s="36"/>
      <c r="AA74" s="36"/>
      <c r="AB74" s="36"/>
    </row>
    <row r="75" spans="1:28" ht="24" customHeight="1">
      <c r="A75" s="358" t="str">
        <f>HYPERLINK("https://www.alcaldiabogota.gov.co/sisjur/normas/Norma1.jsp?i=31607","Resolución 2646")</f>
        <v>Resolución 2646</v>
      </c>
      <c r="B75" s="359">
        <v>39646</v>
      </c>
      <c r="C75" s="362" t="s">
        <v>3190</v>
      </c>
      <c r="D75" s="158" t="s">
        <v>3196</v>
      </c>
      <c r="E75" s="158" t="s">
        <v>41</v>
      </c>
      <c r="F75" s="158" t="s">
        <v>42</v>
      </c>
      <c r="G75" s="364" t="s">
        <v>43</v>
      </c>
      <c r="H75" s="365" t="s">
        <v>750</v>
      </c>
      <c r="I75" s="35"/>
      <c r="J75" s="36"/>
      <c r="K75" s="36"/>
      <c r="L75" s="36"/>
      <c r="M75" s="36"/>
      <c r="N75" s="36"/>
      <c r="O75" s="36"/>
      <c r="P75" s="36"/>
      <c r="Q75" s="36"/>
      <c r="R75" s="36"/>
      <c r="S75" s="36"/>
      <c r="T75" s="36"/>
      <c r="U75" s="36"/>
      <c r="V75" s="36"/>
      <c r="W75" s="36"/>
      <c r="X75" s="36"/>
      <c r="Y75" s="36"/>
      <c r="Z75" s="36"/>
      <c r="AA75" s="36"/>
      <c r="AB75" s="36"/>
    </row>
    <row r="76" spans="1:28" ht="12" customHeight="1">
      <c r="A76" s="358" t="str">
        <f>HYPERLINK("https://www.alcaldiabogota.gov.co/sisjur/normas/Norma1.jsp?i=30565&amp;dt=S","Resolución 1956")</f>
        <v>Resolución 1956</v>
      </c>
      <c r="B76" s="359">
        <v>39598</v>
      </c>
      <c r="C76" s="158" t="s">
        <v>3190</v>
      </c>
      <c r="D76" s="158" t="s">
        <v>3197</v>
      </c>
      <c r="E76" s="158" t="s">
        <v>41</v>
      </c>
      <c r="F76" s="158" t="s">
        <v>42</v>
      </c>
      <c r="G76" s="364" t="s">
        <v>43</v>
      </c>
      <c r="H76" s="365" t="s">
        <v>750</v>
      </c>
      <c r="I76" s="35"/>
      <c r="J76" s="36"/>
      <c r="K76" s="36"/>
      <c r="L76" s="36"/>
      <c r="M76" s="36"/>
      <c r="N76" s="36"/>
      <c r="O76" s="36"/>
      <c r="P76" s="36"/>
      <c r="Q76" s="36"/>
      <c r="R76" s="36"/>
      <c r="S76" s="36"/>
      <c r="T76" s="36"/>
      <c r="U76" s="36"/>
      <c r="V76" s="36"/>
      <c r="W76" s="36"/>
      <c r="X76" s="36"/>
      <c r="Y76" s="36"/>
      <c r="Z76" s="36"/>
      <c r="AA76" s="36"/>
      <c r="AB76" s="36"/>
    </row>
    <row r="77" spans="1:28" ht="36" customHeight="1">
      <c r="A77" s="358" t="str">
        <f>HYPERLINK("https://www.minsalud.gov.co/Normatividad_Nuevo/RESOLUCI%C3%93N%201918%20DE%202009.pdf","Resolución 1918")</f>
        <v>Resolución 1918</v>
      </c>
      <c r="B77" s="359">
        <v>39969</v>
      </c>
      <c r="C77" s="362" t="s">
        <v>3190</v>
      </c>
      <c r="D77" s="158" t="s">
        <v>3198</v>
      </c>
      <c r="E77" s="158" t="s">
        <v>41</v>
      </c>
      <c r="F77" s="158" t="s">
        <v>42</v>
      </c>
      <c r="G77" s="364" t="s">
        <v>43</v>
      </c>
      <c r="H77" s="365" t="s">
        <v>750</v>
      </c>
      <c r="I77" s="35"/>
      <c r="J77" s="36"/>
      <c r="K77" s="36"/>
      <c r="L77" s="36"/>
      <c r="M77" s="36"/>
      <c r="N77" s="36"/>
      <c r="O77" s="36"/>
      <c r="P77" s="36"/>
      <c r="Q77" s="36"/>
      <c r="R77" s="36"/>
      <c r="S77" s="36"/>
      <c r="T77" s="36"/>
      <c r="U77" s="36"/>
      <c r="V77" s="36"/>
      <c r="W77" s="36"/>
      <c r="X77" s="36"/>
      <c r="Y77" s="36"/>
      <c r="Z77" s="36"/>
      <c r="AA77" s="36"/>
      <c r="AB77" s="36"/>
    </row>
    <row r="78" spans="1:28" ht="60" customHeight="1">
      <c r="A78" s="358" t="s">
        <v>2836</v>
      </c>
      <c r="B78" s="359">
        <v>40060</v>
      </c>
      <c r="C78" s="158" t="s">
        <v>130</v>
      </c>
      <c r="D78" s="158" t="s">
        <v>3199</v>
      </c>
      <c r="E78" s="158" t="s">
        <v>41</v>
      </c>
      <c r="F78" s="158" t="s">
        <v>42</v>
      </c>
      <c r="G78" s="364"/>
      <c r="H78" s="365"/>
      <c r="I78" s="35"/>
      <c r="J78" s="36"/>
      <c r="K78" s="36"/>
      <c r="L78" s="36"/>
      <c r="M78" s="36"/>
      <c r="N78" s="36"/>
      <c r="O78" s="36"/>
      <c r="P78" s="36"/>
      <c r="Q78" s="36"/>
      <c r="R78" s="36"/>
      <c r="S78" s="36"/>
      <c r="T78" s="36"/>
      <c r="U78" s="36"/>
      <c r="V78" s="36"/>
      <c r="W78" s="36"/>
      <c r="X78" s="36"/>
      <c r="Y78" s="36"/>
      <c r="Z78" s="36"/>
      <c r="AA78" s="36"/>
      <c r="AB78" s="36"/>
    </row>
    <row r="79" spans="1:28" ht="60" customHeight="1">
      <c r="A79" s="358" t="s">
        <v>710</v>
      </c>
      <c r="B79" s="359">
        <v>40847</v>
      </c>
      <c r="C79" s="362" t="s">
        <v>130</v>
      </c>
      <c r="D79" s="158" t="s">
        <v>2839</v>
      </c>
      <c r="E79" s="158" t="s">
        <v>41</v>
      </c>
      <c r="F79" s="158" t="s">
        <v>42</v>
      </c>
      <c r="G79" s="364"/>
      <c r="H79" s="365"/>
      <c r="I79" s="35"/>
      <c r="J79" s="36"/>
      <c r="K79" s="36"/>
      <c r="L79" s="36"/>
      <c r="M79" s="36"/>
      <c r="N79" s="36"/>
      <c r="O79" s="36"/>
      <c r="P79" s="36"/>
      <c r="Q79" s="36"/>
      <c r="R79" s="36"/>
      <c r="S79" s="36"/>
      <c r="T79" s="36"/>
      <c r="U79" s="36"/>
      <c r="V79" s="36"/>
      <c r="W79" s="36"/>
      <c r="X79" s="36"/>
      <c r="Y79" s="36"/>
      <c r="Z79" s="36"/>
      <c r="AA79" s="36"/>
      <c r="AB79" s="36"/>
    </row>
    <row r="80" spans="1:28" ht="60" customHeight="1">
      <c r="A80" s="358" t="str">
        <f>HYPERLINK("https://www.minsalud.gov.co/sites/rid/Lists/BibliotecaDigital/RIDE/DE/DIJ/Resolucion-4502-de-2012.PDF","Resolución 4502")</f>
        <v>Resolución 4502</v>
      </c>
      <c r="B80" s="359">
        <v>41271</v>
      </c>
      <c r="C80" s="158" t="s">
        <v>1596</v>
      </c>
      <c r="D80" s="158" t="s">
        <v>3200</v>
      </c>
      <c r="E80" s="158" t="s">
        <v>41</v>
      </c>
      <c r="F80" s="158" t="s">
        <v>3201</v>
      </c>
      <c r="G80" s="364" t="s">
        <v>43</v>
      </c>
      <c r="H80" s="365" t="s">
        <v>750</v>
      </c>
      <c r="I80" s="35"/>
      <c r="J80" s="36"/>
      <c r="K80" s="36"/>
      <c r="L80" s="36"/>
      <c r="M80" s="36"/>
      <c r="N80" s="36"/>
      <c r="O80" s="36"/>
      <c r="P80" s="36"/>
      <c r="Q80" s="36"/>
      <c r="R80" s="36"/>
      <c r="S80" s="36"/>
      <c r="T80" s="36"/>
      <c r="U80" s="36"/>
      <c r="V80" s="36"/>
      <c r="W80" s="36"/>
      <c r="X80" s="36"/>
      <c r="Y80" s="36"/>
      <c r="Z80" s="36"/>
      <c r="AA80" s="36"/>
      <c r="AB80" s="36"/>
    </row>
    <row r="81" spans="1:28" ht="36" customHeight="1">
      <c r="A81" s="358" t="str">
        <f>HYPERLINK("https://www.alcaldiabogota.gov.co/sisjur/normas/Norma1.jsp?i=47374","Resolución 652")</f>
        <v>Resolución 652</v>
      </c>
      <c r="B81" s="359">
        <v>41029</v>
      </c>
      <c r="C81" s="362" t="s">
        <v>566</v>
      </c>
      <c r="D81" s="158" t="s">
        <v>3202</v>
      </c>
      <c r="E81" s="158" t="s">
        <v>41</v>
      </c>
      <c r="F81" s="158" t="s">
        <v>42</v>
      </c>
      <c r="G81" s="364" t="s">
        <v>43</v>
      </c>
      <c r="H81" s="365" t="s">
        <v>750</v>
      </c>
      <c r="I81" s="35"/>
      <c r="J81" s="36"/>
      <c r="K81" s="36"/>
      <c r="L81" s="36"/>
      <c r="M81" s="36"/>
      <c r="N81" s="36"/>
      <c r="O81" s="36"/>
      <c r="P81" s="36"/>
      <c r="Q81" s="36"/>
      <c r="R81" s="36"/>
      <c r="S81" s="36"/>
      <c r="T81" s="36"/>
      <c r="U81" s="36"/>
      <c r="V81" s="36"/>
      <c r="W81" s="36"/>
      <c r="X81" s="36"/>
      <c r="Y81" s="36"/>
      <c r="Z81" s="36"/>
      <c r="AA81" s="36"/>
      <c r="AB81" s="36"/>
    </row>
    <row r="82" spans="1:28" ht="42" customHeight="1">
      <c r="A82" s="358" t="str">
        <f>HYPERLINK("https://www.alcaldiabogota.gov.co/sisjur/normas/Norma1.jsp?i=48587#2","Resolución 1356")</f>
        <v>Resolución 1356</v>
      </c>
      <c r="B82" s="359">
        <v>41108</v>
      </c>
      <c r="C82" s="158" t="s">
        <v>566</v>
      </c>
      <c r="D82" s="158" t="s">
        <v>3203</v>
      </c>
      <c r="E82" s="158" t="s">
        <v>41</v>
      </c>
      <c r="F82" s="158" t="s">
        <v>42</v>
      </c>
      <c r="G82" s="364" t="s">
        <v>43</v>
      </c>
      <c r="H82" s="365" t="s">
        <v>750</v>
      </c>
      <c r="I82" s="35"/>
      <c r="J82" s="36"/>
      <c r="K82" s="36"/>
      <c r="L82" s="36"/>
      <c r="M82" s="36"/>
      <c r="N82" s="36"/>
      <c r="O82" s="36"/>
      <c r="P82" s="36"/>
      <c r="Q82" s="36"/>
      <c r="R82" s="36"/>
      <c r="S82" s="36"/>
      <c r="T82" s="36"/>
      <c r="U82" s="36"/>
      <c r="V82" s="36"/>
      <c r="W82" s="36"/>
      <c r="X82" s="36"/>
      <c r="Y82" s="36"/>
      <c r="Z82" s="36"/>
      <c r="AA82" s="36"/>
      <c r="AB82" s="36"/>
    </row>
    <row r="83" spans="1:28" ht="24" customHeight="1">
      <c r="A83" s="358" t="str">
        <f>HYPERLINK("http://normograma.sena.edu.co/normograma/docs/resolucion_mtra_1409_2012.htm","Resolución 1409")</f>
        <v>Resolución 1409</v>
      </c>
      <c r="B83" s="359">
        <v>41113</v>
      </c>
      <c r="C83" s="362" t="s">
        <v>1330</v>
      </c>
      <c r="D83" s="158" t="s">
        <v>3204</v>
      </c>
      <c r="E83" s="158" t="s">
        <v>41</v>
      </c>
      <c r="F83" s="158" t="s">
        <v>42</v>
      </c>
      <c r="G83" s="364" t="s">
        <v>43</v>
      </c>
      <c r="H83" s="365" t="s">
        <v>750</v>
      </c>
      <c r="I83" s="35"/>
      <c r="J83" s="36"/>
      <c r="K83" s="36"/>
      <c r="L83" s="36"/>
      <c r="M83" s="36"/>
      <c r="N83" s="36"/>
      <c r="O83" s="36"/>
      <c r="P83" s="36"/>
      <c r="Q83" s="36"/>
      <c r="R83" s="36"/>
      <c r="S83" s="36"/>
      <c r="T83" s="36"/>
      <c r="U83" s="36"/>
      <c r="V83" s="36"/>
      <c r="W83" s="36"/>
      <c r="X83" s="36"/>
      <c r="Y83" s="36"/>
      <c r="Z83" s="36"/>
      <c r="AA83" s="36"/>
      <c r="AB83" s="36"/>
    </row>
    <row r="84" spans="1:28" ht="36" customHeight="1">
      <c r="A84" s="358" t="str">
        <f>HYPERLINK("https://www.icbf.gov.co/cargues/avance/docs/resolucion_mtra_3368_2014.htm","Resolución 3368")</f>
        <v>Resolución 3368</v>
      </c>
      <c r="B84" s="359">
        <v>41863</v>
      </c>
      <c r="C84" s="158" t="s">
        <v>1330</v>
      </c>
      <c r="D84" s="158" t="s">
        <v>3205</v>
      </c>
      <c r="E84" s="158" t="s">
        <v>41</v>
      </c>
      <c r="F84" s="158" t="s">
        <v>42</v>
      </c>
      <c r="G84" s="364" t="s">
        <v>43</v>
      </c>
      <c r="H84" s="365" t="s">
        <v>750</v>
      </c>
      <c r="I84" s="35"/>
      <c r="J84" s="36"/>
      <c r="K84" s="36"/>
      <c r="L84" s="36"/>
      <c r="M84" s="36"/>
      <c r="N84" s="36"/>
      <c r="O84" s="36"/>
      <c r="P84" s="36"/>
      <c r="Q84" s="36"/>
      <c r="R84" s="36"/>
      <c r="S84" s="36"/>
      <c r="T84" s="36"/>
      <c r="U84" s="36"/>
      <c r="V84" s="36"/>
      <c r="W84" s="36"/>
      <c r="X84" s="36"/>
      <c r="Y84" s="36"/>
      <c r="Z84" s="36"/>
      <c r="AA84" s="36"/>
      <c r="AB84" s="36"/>
    </row>
    <row r="85" spans="1:28" ht="24" customHeight="1">
      <c r="A85" s="358" t="str">
        <f>HYPERLINK("https://drive.google.com/drive/folders/1YXnP9ah1BFWwXNMjRCAHj83gLJoE4zgH","Resolución 767")</f>
        <v>Resolución 767</v>
      </c>
      <c r="B85" s="359">
        <v>42003</v>
      </c>
      <c r="C85" s="362" t="s">
        <v>130</v>
      </c>
      <c r="D85" s="158" t="s">
        <v>3206</v>
      </c>
      <c r="E85" s="158" t="s">
        <v>41</v>
      </c>
      <c r="F85" s="158" t="s">
        <v>42</v>
      </c>
      <c r="G85" s="364" t="s">
        <v>43</v>
      </c>
      <c r="H85" s="365" t="s">
        <v>750</v>
      </c>
      <c r="I85" s="35"/>
      <c r="J85" s="36"/>
      <c r="K85" s="36"/>
      <c r="L85" s="36"/>
      <c r="M85" s="36"/>
      <c r="N85" s="36"/>
      <c r="O85" s="36"/>
      <c r="P85" s="36"/>
      <c r="Q85" s="36"/>
      <c r="R85" s="36"/>
      <c r="S85" s="36"/>
      <c r="T85" s="36"/>
      <c r="U85" s="36"/>
      <c r="V85" s="36"/>
      <c r="W85" s="36"/>
      <c r="X85" s="36"/>
      <c r="Y85" s="36"/>
      <c r="Z85" s="36"/>
      <c r="AA85" s="36"/>
      <c r="AB85" s="36"/>
    </row>
    <row r="86" spans="1:28" ht="36" customHeight="1">
      <c r="A86" s="358" t="str">
        <f>HYPERLINK("https://drive.google.com/drive/folders/1YXnP9ah1BFWwXNMjRCAHj83gLJoE4zgH","Resolución 44")</f>
        <v>Resolución 44</v>
      </c>
      <c r="B86" s="359">
        <v>41695</v>
      </c>
      <c r="C86" s="158" t="s">
        <v>3207</v>
      </c>
      <c r="D86" s="158" t="s">
        <v>3208</v>
      </c>
      <c r="E86" s="158" t="s">
        <v>41</v>
      </c>
      <c r="F86" s="158" t="s">
        <v>42</v>
      </c>
      <c r="G86" s="364" t="s">
        <v>43</v>
      </c>
      <c r="H86" s="365" t="s">
        <v>750</v>
      </c>
      <c r="I86" s="35"/>
      <c r="J86" s="36"/>
      <c r="K86" s="36"/>
      <c r="L86" s="36"/>
      <c r="M86" s="36"/>
      <c r="N86" s="36"/>
      <c r="O86" s="36"/>
      <c r="P86" s="36"/>
      <c r="Q86" s="36"/>
      <c r="R86" s="36"/>
      <c r="S86" s="36"/>
      <c r="T86" s="36"/>
      <c r="U86" s="36"/>
      <c r="V86" s="36"/>
      <c r="W86" s="36"/>
      <c r="X86" s="36"/>
      <c r="Y86" s="36"/>
      <c r="Z86" s="36"/>
      <c r="AA86" s="36"/>
      <c r="AB86" s="36"/>
    </row>
    <row r="87" spans="1:28" ht="24" customHeight="1">
      <c r="A87" s="358" t="str">
        <f>HYPERLINK("https://www.alcaldiabogota.gov.co/sisjur/normas/Norma1.jsp?i=75088&amp;dt=S","Resolución 1565")</f>
        <v>Resolución 1565</v>
      </c>
      <c r="B87" s="359">
        <v>41796</v>
      </c>
      <c r="C87" s="362" t="s">
        <v>3209</v>
      </c>
      <c r="D87" s="158" t="s">
        <v>3210</v>
      </c>
      <c r="E87" s="158" t="s">
        <v>41</v>
      </c>
      <c r="F87" s="158" t="s">
        <v>42</v>
      </c>
      <c r="G87" s="364" t="s">
        <v>43</v>
      </c>
      <c r="H87" s="365" t="s">
        <v>750</v>
      </c>
      <c r="I87" s="35"/>
      <c r="J87" s="36"/>
      <c r="K87" s="36"/>
      <c r="L87" s="36"/>
      <c r="M87" s="36"/>
      <c r="N87" s="36"/>
      <c r="O87" s="36"/>
      <c r="P87" s="36"/>
      <c r="Q87" s="36"/>
      <c r="R87" s="36"/>
      <c r="S87" s="36"/>
      <c r="T87" s="36"/>
      <c r="U87" s="36"/>
      <c r="V87" s="36"/>
      <c r="W87" s="36"/>
      <c r="X87" s="36"/>
      <c r="Y87" s="36"/>
      <c r="Z87" s="36"/>
      <c r="AA87" s="36"/>
      <c r="AB87" s="36"/>
    </row>
    <row r="88" spans="1:28" ht="24" customHeight="1">
      <c r="A88" s="358" t="str">
        <f>HYPERLINK("https://drive.google.com/drive/folders/1YXnP9ah1BFWwXNMjRCAHj83gLJoE4zgH","RESOLUCIÓN 007")</f>
        <v>RESOLUCIÓN 007</v>
      </c>
      <c r="B88" s="359">
        <v>41983</v>
      </c>
      <c r="C88" s="158" t="s">
        <v>130</v>
      </c>
      <c r="D88" s="158" t="s">
        <v>2842</v>
      </c>
      <c r="E88" s="158" t="s">
        <v>41</v>
      </c>
      <c r="F88" s="158" t="s">
        <v>42</v>
      </c>
      <c r="G88" s="364"/>
      <c r="H88" s="365"/>
      <c r="I88" s="35"/>
      <c r="J88" s="36"/>
      <c r="K88" s="36"/>
      <c r="L88" s="36"/>
      <c r="M88" s="36"/>
      <c r="N88" s="36"/>
      <c r="O88" s="36"/>
      <c r="P88" s="36"/>
      <c r="Q88" s="36"/>
      <c r="R88" s="36"/>
      <c r="S88" s="36"/>
      <c r="T88" s="36"/>
      <c r="U88" s="36"/>
      <c r="V88" s="36"/>
      <c r="W88" s="36"/>
      <c r="X88" s="36"/>
      <c r="Y88" s="36"/>
      <c r="Z88" s="36"/>
      <c r="AA88" s="36"/>
      <c r="AB88" s="36"/>
    </row>
    <row r="89" spans="1:28" ht="24" customHeight="1">
      <c r="A89" s="358" t="str">
        <f>HYPERLINK("https://drive.google.com/drive/folders/1YXnP9ah1BFWwXNMjRCAHj83gLJoE4zgH","RESOLUCIÓN 009")</f>
        <v>RESOLUCIÓN 009</v>
      </c>
      <c r="B89" s="359">
        <v>42004</v>
      </c>
      <c r="C89" s="362" t="s">
        <v>130</v>
      </c>
      <c r="D89" s="158" t="s">
        <v>2844</v>
      </c>
      <c r="E89" s="158" t="s">
        <v>41</v>
      </c>
      <c r="F89" s="158" t="s">
        <v>42</v>
      </c>
      <c r="G89" s="364"/>
      <c r="H89" s="365"/>
      <c r="I89" s="35"/>
      <c r="J89" s="36"/>
      <c r="K89" s="36"/>
      <c r="L89" s="36"/>
      <c r="M89" s="36"/>
      <c r="N89" s="36"/>
      <c r="O89" s="36"/>
      <c r="P89" s="36"/>
      <c r="Q89" s="36"/>
      <c r="R89" s="36"/>
      <c r="S89" s="36"/>
      <c r="T89" s="36"/>
      <c r="U89" s="36"/>
      <c r="V89" s="36"/>
      <c r="W89" s="36"/>
      <c r="X89" s="36"/>
      <c r="Y89" s="36"/>
      <c r="Z89" s="36"/>
      <c r="AA89" s="36"/>
      <c r="AB89" s="36"/>
    </row>
    <row r="90" spans="1:28" ht="24" customHeight="1">
      <c r="A90" s="358" t="s">
        <v>3211</v>
      </c>
      <c r="B90" s="359">
        <v>41775</v>
      </c>
      <c r="C90" s="158" t="s">
        <v>130</v>
      </c>
      <c r="D90" s="158" t="s">
        <v>2848</v>
      </c>
      <c r="E90" s="158" t="s">
        <v>41</v>
      </c>
      <c r="F90" s="158" t="s">
        <v>42</v>
      </c>
      <c r="G90" s="364"/>
      <c r="H90" s="365"/>
      <c r="I90" s="35"/>
      <c r="J90" s="36"/>
      <c r="K90" s="36"/>
      <c r="L90" s="36"/>
      <c r="M90" s="36"/>
      <c r="N90" s="36"/>
      <c r="O90" s="36"/>
      <c r="P90" s="36"/>
      <c r="Q90" s="36"/>
      <c r="R90" s="36"/>
      <c r="S90" s="36"/>
      <c r="T90" s="36"/>
      <c r="U90" s="36"/>
      <c r="V90" s="36"/>
      <c r="W90" s="36"/>
      <c r="X90" s="36"/>
      <c r="Y90" s="36"/>
      <c r="Z90" s="36"/>
      <c r="AA90" s="36"/>
      <c r="AB90" s="36"/>
    </row>
    <row r="91" spans="1:28" ht="24" customHeight="1">
      <c r="A91" s="358" t="str">
        <f>HYPERLINK("https://drive.google.com/drive/folders/1YXnP9ah1BFWwXNMjRCAHj83gLJoE4zgH","Resolución 567")</f>
        <v>Resolución 567</v>
      </c>
      <c r="B91" s="359">
        <v>42220</v>
      </c>
      <c r="C91" s="362" t="s">
        <v>130</v>
      </c>
      <c r="D91" s="158" t="s">
        <v>2855</v>
      </c>
      <c r="E91" s="158" t="s">
        <v>41</v>
      </c>
      <c r="F91" s="158" t="s">
        <v>42</v>
      </c>
      <c r="G91" s="364" t="s">
        <v>43</v>
      </c>
      <c r="H91" s="365" t="s">
        <v>750</v>
      </c>
      <c r="I91" s="35"/>
      <c r="J91" s="36"/>
      <c r="K91" s="36"/>
      <c r="L91" s="36"/>
      <c r="M91" s="36"/>
      <c r="N91" s="36"/>
      <c r="O91" s="36"/>
      <c r="P91" s="36"/>
      <c r="Q91" s="36"/>
      <c r="R91" s="36"/>
      <c r="S91" s="36"/>
      <c r="T91" s="36"/>
      <c r="U91" s="36"/>
      <c r="V91" s="36"/>
      <c r="W91" s="36"/>
      <c r="X91" s="36"/>
      <c r="Y91" s="36"/>
      <c r="Z91" s="36"/>
      <c r="AA91" s="36"/>
      <c r="AB91" s="36"/>
    </row>
    <row r="92" spans="1:28" ht="24" customHeight="1">
      <c r="A92" s="358" t="str">
        <f>HYPERLINK("https://drive.google.com/drive/folders/1YXnP9ah1BFWwXNMjRCAHj83gLJoE4zgH","RESOLUCIÓN 602")</f>
        <v>RESOLUCIÓN 602</v>
      </c>
      <c r="B92" s="359">
        <v>42237</v>
      </c>
      <c r="C92" s="158" t="s">
        <v>130</v>
      </c>
      <c r="D92" s="158" t="s">
        <v>592</v>
      </c>
      <c r="E92" s="158" t="s">
        <v>41</v>
      </c>
      <c r="F92" s="158" t="s">
        <v>42</v>
      </c>
      <c r="G92" s="364"/>
      <c r="H92" s="365"/>
      <c r="I92" s="35"/>
      <c r="J92" s="36"/>
      <c r="K92" s="36"/>
      <c r="L92" s="36"/>
      <c r="M92" s="36"/>
      <c r="N92" s="36"/>
      <c r="O92" s="36"/>
      <c r="P92" s="36"/>
      <c r="Q92" s="36"/>
      <c r="R92" s="36"/>
      <c r="S92" s="36"/>
      <c r="T92" s="36"/>
      <c r="U92" s="36"/>
      <c r="V92" s="36"/>
      <c r="W92" s="36"/>
      <c r="X92" s="36"/>
      <c r="Y92" s="36"/>
      <c r="Z92" s="36"/>
      <c r="AA92" s="36"/>
      <c r="AB92" s="36"/>
    </row>
    <row r="93" spans="1:28" ht="24" customHeight="1">
      <c r="A93" s="373" t="s">
        <v>2857</v>
      </c>
      <c r="B93" s="359">
        <v>42531</v>
      </c>
      <c r="C93" s="362" t="s">
        <v>1596</v>
      </c>
      <c r="D93" s="158" t="s">
        <v>2858</v>
      </c>
      <c r="E93" s="158" t="s">
        <v>41</v>
      </c>
      <c r="F93" s="158" t="s">
        <v>42</v>
      </c>
      <c r="G93" s="364"/>
      <c r="H93" s="365"/>
      <c r="I93" s="35"/>
      <c r="J93" s="36"/>
      <c r="K93" s="36"/>
      <c r="L93" s="36"/>
      <c r="M93" s="36"/>
      <c r="N93" s="36"/>
      <c r="O93" s="36"/>
      <c r="P93" s="36"/>
      <c r="Q93" s="36"/>
      <c r="R93" s="36"/>
      <c r="S93" s="36"/>
      <c r="T93" s="36"/>
      <c r="U93" s="36"/>
      <c r="V93" s="36"/>
      <c r="W93" s="36"/>
      <c r="X93" s="36"/>
      <c r="Y93" s="36"/>
      <c r="Z93" s="36"/>
      <c r="AA93" s="36"/>
      <c r="AB93" s="36"/>
    </row>
    <row r="94" spans="1:28" ht="24" customHeight="1">
      <c r="A94" s="358" t="str">
        <f>HYPERLINK("https://www.minsalud.gov.co/sites/rid/Lists/BibliotecaDigital/RIDE/DE/DIJ/resolucion-5858-de-2016.pdf","RESOLUCIÓN 5858")</f>
        <v>RESOLUCIÓN 5858</v>
      </c>
      <c r="B94" s="359">
        <v>42702</v>
      </c>
      <c r="C94" s="158" t="s">
        <v>1596</v>
      </c>
      <c r="D94" s="158" t="s">
        <v>2860</v>
      </c>
      <c r="E94" s="158" t="s">
        <v>41</v>
      </c>
      <c r="F94" s="158" t="s">
        <v>42</v>
      </c>
      <c r="G94" s="364"/>
      <c r="H94" s="365"/>
      <c r="I94" s="35"/>
      <c r="J94" s="36"/>
      <c r="K94" s="36"/>
      <c r="L94" s="36"/>
      <c r="M94" s="36"/>
      <c r="N94" s="36"/>
      <c r="O94" s="36"/>
      <c r="P94" s="36"/>
      <c r="Q94" s="36"/>
      <c r="R94" s="36"/>
      <c r="S94" s="36"/>
      <c r="T94" s="36"/>
      <c r="U94" s="36"/>
      <c r="V94" s="36"/>
      <c r="W94" s="36"/>
      <c r="X94" s="36"/>
      <c r="Y94" s="36"/>
      <c r="Z94" s="36"/>
      <c r="AA94" s="36"/>
      <c r="AB94" s="36"/>
    </row>
    <row r="95" spans="1:28" ht="24" customHeight="1">
      <c r="A95" s="358" t="str">
        <f>HYPERLINK("https://www.arlsura.com/files/res4927_16.pdf","Resolución 4927")</f>
        <v>Resolución 4927</v>
      </c>
      <c r="B95" s="359">
        <v>42697</v>
      </c>
      <c r="C95" s="362" t="s">
        <v>1330</v>
      </c>
      <c r="D95" s="158" t="s">
        <v>3212</v>
      </c>
      <c r="E95" s="158" t="s">
        <v>41</v>
      </c>
      <c r="F95" s="158" t="s">
        <v>42</v>
      </c>
      <c r="G95" s="364" t="s">
        <v>43</v>
      </c>
      <c r="H95" s="365" t="s">
        <v>750</v>
      </c>
      <c r="I95" s="35"/>
      <c r="J95" s="36"/>
      <c r="K95" s="36"/>
      <c r="L95" s="36"/>
      <c r="M95" s="36"/>
      <c r="N95" s="36"/>
      <c r="O95" s="36"/>
      <c r="P95" s="36"/>
      <c r="Q95" s="36"/>
      <c r="R95" s="36"/>
      <c r="S95" s="36"/>
      <c r="T95" s="36"/>
      <c r="U95" s="36"/>
      <c r="V95" s="36"/>
      <c r="W95" s="36"/>
      <c r="X95" s="36"/>
      <c r="Y95" s="36"/>
      <c r="Z95" s="36"/>
      <c r="AA95" s="36"/>
      <c r="AB95" s="36"/>
    </row>
    <row r="96" spans="1:28" ht="24" customHeight="1">
      <c r="A96" s="358" t="str">
        <f>HYPERLINK("https://drive.google.com/drive/folders/1YXnP9ah1BFWwXNMjRCAHj83gLJoE4zgH","RESOLUCIÓN 429")</f>
        <v>RESOLUCIÓN 429</v>
      </c>
      <c r="B96" s="359">
        <v>42906</v>
      </c>
      <c r="C96" s="158" t="s">
        <v>130</v>
      </c>
      <c r="D96" s="158" t="s">
        <v>2866</v>
      </c>
      <c r="E96" s="158" t="s">
        <v>41</v>
      </c>
      <c r="F96" s="158" t="s">
        <v>42</v>
      </c>
      <c r="G96" s="364"/>
      <c r="H96" s="365"/>
      <c r="I96" s="35"/>
      <c r="J96" s="36"/>
      <c r="K96" s="36"/>
      <c r="L96" s="36"/>
      <c r="M96" s="36"/>
      <c r="N96" s="36"/>
      <c r="O96" s="36"/>
      <c r="P96" s="36"/>
      <c r="Q96" s="36"/>
      <c r="R96" s="36"/>
      <c r="S96" s="36"/>
      <c r="T96" s="36"/>
      <c r="U96" s="36"/>
      <c r="V96" s="36"/>
      <c r="W96" s="36"/>
      <c r="X96" s="36"/>
      <c r="Y96" s="36"/>
      <c r="Z96" s="36"/>
      <c r="AA96" s="36"/>
      <c r="AB96" s="36"/>
    </row>
    <row r="97" spans="1:28" ht="24" customHeight="1">
      <c r="A97" s="358" t="str">
        <f>HYPERLINK("https://drive.google.com/drive/folders/1YXnP9ah1BFWwXNMjRCAHj83gLJoE4zgH","RESOLUCIÓN 430")</f>
        <v>RESOLUCIÓN 430</v>
      </c>
      <c r="B97" s="359">
        <v>42906</v>
      </c>
      <c r="C97" s="362" t="s">
        <v>130</v>
      </c>
      <c r="D97" s="158" t="s">
        <v>2868</v>
      </c>
      <c r="E97" s="158" t="s">
        <v>41</v>
      </c>
      <c r="F97" s="158" t="s">
        <v>42</v>
      </c>
      <c r="G97" s="364"/>
      <c r="H97" s="365"/>
      <c r="I97" s="35"/>
      <c r="J97" s="36"/>
      <c r="K97" s="36"/>
      <c r="L97" s="36"/>
      <c r="M97" s="36"/>
      <c r="N97" s="36"/>
      <c r="O97" s="36"/>
      <c r="P97" s="36"/>
      <c r="Q97" s="36"/>
      <c r="R97" s="36"/>
      <c r="S97" s="36"/>
      <c r="T97" s="36"/>
      <c r="U97" s="36"/>
      <c r="V97" s="36"/>
      <c r="W97" s="36"/>
      <c r="X97" s="36"/>
      <c r="Y97" s="36"/>
      <c r="Z97" s="36"/>
      <c r="AA97" s="36"/>
      <c r="AB97" s="36"/>
    </row>
    <row r="98" spans="1:28" ht="24" customHeight="1">
      <c r="A98" s="358" t="str">
        <f>HYPERLINK("https://drive.google.com/drive/folders/1YXnP9ah1BFWwXNMjRCAHj83gLJoE4zgH","RESOLUCION 007")</f>
        <v>RESOLUCION 007</v>
      </c>
      <c r="B98" s="359">
        <v>42923</v>
      </c>
      <c r="C98" s="158" t="s">
        <v>430</v>
      </c>
      <c r="D98" s="158" t="s">
        <v>2872</v>
      </c>
      <c r="E98" s="158" t="s">
        <v>41</v>
      </c>
      <c r="F98" s="158" t="s">
        <v>42</v>
      </c>
      <c r="G98" s="364"/>
      <c r="H98" s="365"/>
      <c r="I98" s="35"/>
      <c r="J98" s="36"/>
      <c r="K98" s="36"/>
      <c r="L98" s="36"/>
      <c r="M98" s="36"/>
      <c r="N98" s="36"/>
      <c r="O98" s="36"/>
      <c r="P98" s="36"/>
      <c r="Q98" s="36"/>
      <c r="R98" s="36"/>
      <c r="S98" s="36"/>
      <c r="T98" s="36"/>
      <c r="U98" s="36"/>
      <c r="V98" s="36"/>
      <c r="W98" s="36"/>
      <c r="X98" s="36"/>
      <c r="Y98" s="36"/>
      <c r="Z98" s="36"/>
      <c r="AA98" s="36"/>
      <c r="AB98" s="36"/>
    </row>
    <row r="99" spans="1:28" ht="24" customHeight="1">
      <c r="A99" s="358" t="str">
        <f>HYPERLINK("https://drive.google.com/drive/folders/1YXnP9ah1BFWwXNMjRCAHj83gLJoE4zgH","Resolución 110")</f>
        <v>Resolución 110</v>
      </c>
      <c r="B99" s="359">
        <v>43161</v>
      </c>
      <c r="C99" s="362" t="s">
        <v>3213</v>
      </c>
      <c r="D99" s="158" t="s">
        <v>3214</v>
      </c>
      <c r="E99" s="158" t="s">
        <v>41</v>
      </c>
      <c r="F99" s="158" t="s">
        <v>42</v>
      </c>
      <c r="G99" s="364"/>
      <c r="H99" s="365"/>
      <c r="I99" s="35"/>
      <c r="J99" s="36"/>
      <c r="K99" s="36"/>
      <c r="L99" s="36"/>
      <c r="M99" s="36"/>
      <c r="N99" s="36"/>
      <c r="O99" s="36"/>
      <c r="P99" s="36"/>
      <c r="Q99" s="36"/>
      <c r="R99" s="36"/>
      <c r="S99" s="36"/>
      <c r="T99" s="36"/>
      <c r="U99" s="36"/>
      <c r="V99" s="36"/>
      <c r="W99" s="36"/>
      <c r="X99" s="36"/>
      <c r="Y99" s="36"/>
      <c r="Z99" s="36"/>
      <c r="AA99" s="36"/>
      <c r="AB99" s="36"/>
    </row>
    <row r="100" spans="1:28" ht="24" customHeight="1">
      <c r="A100" s="358" t="str">
        <f>HYPERLINK("https://drive.google.com/drive/folders/1YXnP9ah1BFWwXNMjRCAHj83gLJoE4zgH","Resolución 535")</f>
        <v>Resolución 535</v>
      </c>
      <c r="B100" s="359">
        <v>43343</v>
      </c>
      <c r="C100" s="158" t="s">
        <v>430</v>
      </c>
      <c r="D100" s="158" t="s">
        <v>3215</v>
      </c>
      <c r="E100" s="158" t="s">
        <v>41</v>
      </c>
      <c r="F100" s="158" t="s">
        <v>42</v>
      </c>
      <c r="G100" s="364"/>
      <c r="H100" s="365"/>
      <c r="I100" s="35"/>
      <c r="J100" s="36"/>
      <c r="K100" s="36"/>
      <c r="L100" s="36"/>
      <c r="M100" s="36"/>
      <c r="N100" s="36"/>
      <c r="O100" s="36"/>
      <c r="P100" s="36"/>
      <c r="Q100" s="36"/>
      <c r="R100" s="36"/>
      <c r="S100" s="36"/>
      <c r="T100" s="36"/>
      <c r="U100" s="36"/>
      <c r="V100" s="36"/>
      <c r="W100" s="36"/>
      <c r="X100" s="36"/>
      <c r="Y100" s="36"/>
      <c r="Z100" s="36"/>
      <c r="AA100" s="36"/>
      <c r="AB100" s="36"/>
    </row>
    <row r="101" spans="1:28" ht="24" customHeight="1">
      <c r="A101" s="358" t="str">
        <f>HYPERLINK("https://drive.google.com/drive/folders/1YXnP9ah1BFWwXNMjRCAHj83gLJoE4zgH","Resolución 361")</f>
        <v>Resolución 361</v>
      </c>
      <c r="B101" s="359">
        <v>43637</v>
      </c>
      <c r="C101" s="362" t="s">
        <v>430</v>
      </c>
      <c r="D101" s="158" t="s">
        <v>3216</v>
      </c>
      <c r="E101" s="158" t="s">
        <v>41</v>
      </c>
      <c r="F101" s="158" t="s">
        <v>42</v>
      </c>
      <c r="G101" s="364" t="s">
        <v>43</v>
      </c>
      <c r="H101" s="365" t="s">
        <v>750</v>
      </c>
      <c r="I101" s="35"/>
      <c r="J101" s="36"/>
      <c r="K101" s="36"/>
      <c r="L101" s="36"/>
      <c r="M101" s="36"/>
      <c r="N101" s="36"/>
      <c r="O101" s="36"/>
      <c r="P101" s="36"/>
      <c r="Q101" s="36"/>
      <c r="R101" s="36"/>
      <c r="S101" s="36"/>
      <c r="T101" s="36"/>
      <c r="U101" s="36"/>
      <c r="V101" s="36"/>
      <c r="W101" s="36"/>
      <c r="X101" s="36"/>
      <c r="Y101" s="36"/>
      <c r="Z101" s="36"/>
      <c r="AA101" s="36"/>
      <c r="AB101" s="36"/>
    </row>
    <row r="102" spans="1:28" ht="36" customHeight="1">
      <c r="A102" s="358" t="str">
        <f>HYPERLINK("https://www.minsalud.gov.co/Normatividad_Nuevo/Resolucion%20No.%2089%20de%202019.pdf","Resolución 89")</f>
        <v>Resolución 89</v>
      </c>
      <c r="B102" s="359">
        <v>43481</v>
      </c>
      <c r="C102" s="158" t="s">
        <v>1596</v>
      </c>
      <c r="D102" s="158" t="s">
        <v>3217</v>
      </c>
      <c r="E102" s="158" t="s">
        <v>41</v>
      </c>
      <c r="F102" s="158" t="s">
        <v>42</v>
      </c>
      <c r="G102" s="364" t="s">
        <v>43</v>
      </c>
      <c r="H102" s="365" t="s">
        <v>750</v>
      </c>
      <c r="I102" s="35"/>
      <c r="J102" s="36"/>
      <c r="K102" s="36"/>
      <c r="L102" s="36"/>
      <c r="M102" s="36"/>
      <c r="N102" s="36"/>
      <c r="O102" s="36"/>
      <c r="P102" s="36"/>
      <c r="Q102" s="36"/>
      <c r="R102" s="36"/>
      <c r="S102" s="36"/>
      <c r="T102" s="36"/>
      <c r="U102" s="36"/>
      <c r="V102" s="36"/>
      <c r="W102" s="36"/>
      <c r="X102" s="36"/>
      <c r="Y102" s="36"/>
      <c r="Z102" s="36"/>
      <c r="AA102" s="36"/>
      <c r="AB102" s="36"/>
    </row>
    <row r="103" spans="1:28" ht="24" customHeight="1">
      <c r="A103" s="358" t="str">
        <f>HYPERLINK("https://drive.google.com/drive/folders/1YXnP9ah1BFWwXNMjRCAHj83gLJoE4zgH","Resolución 106")</f>
        <v>Resolución 106</v>
      </c>
      <c r="B103" s="359">
        <v>43516</v>
      </c>
      <c r="C103" s="362" t="s">
        <v>430</v>
      </c>
      <c r="D103" s="158" t="s">
        <v>3218</v>
      </c>
      <c r="E103" s="158" t="s">
        <v>41</v>
      </c>
      <c r="F103" s="158" t="s">
        <v>42</v>
      </c>
      <c r="G103" s="364"/>
      <c r="H103" s="365"/>
      <c r="I103" s="35"/>
      <c r="J103" s="36"/>
      <c r="K103" s="36"/>
      <c r="L103" s="36"/>
      <c r="M103" s="36"/>
      <c r="N103" s="36"/>
      <c r="O103" s="36"/>
      <c r="P103" s="36"/>
      <c r="Q103" s="36"/>
      <c r="R103" s="36"/>
      <c r="S103" s="36"/>
      <c r="T103" s="36"/>
      <c r="U103" s="36"/>
      <c r="V103" s="36"/>
      <c r="W103" s="36"/>
      <c r="X103" s="36"/>
      <c r="Y103" s="36"/>
      <c r="Z103" s="36"/>
      <c r="AA103" s="36"/>
      <c r="AB103" s="36"/>
    </row>
    <row r="104" spans="1:28" ht="24" customHeight="1">
      <c r="A104" s="358" t="str">
        <f>HYPERLINK("https://www.alcaldiabogota.gov.co/sisjur/normas/Norma1.jsp?i=82666","Resolución 312")</f>
        <v>Resolución 312</v>
      </c>
      <c r="B104" s="359">
        <v>43509</v>
      </c>
      <c r="C104" s="158" t="s">
        <v>1330</v>
      </c>
      <c r="D104" s="158" t="s">
        <v>3219</v>
      </c>
      <c r="E104" s="158" t="s">
        <v>41</v>
      </c>
      <c r="F104" s="158" t="s">
        <v>42</v>
      </c>
      <c r="G104" s="364" t="s">
        <v>43</v>
      </c>
      <c r="H104" s="365" t="s">
        <v>750</v>
      </c>
      <c r="I104" s="35"/>
      <c r="J104" s="36"/>
      <c r="K104" s="36"/>
      <c r="L104" s="36"/>
      <c r="M104" s="36"/>
      <c r="N104" s="36"/>
      <c r="O104" s="36"/>
      <c r="P104" s="36"/>
      <c r="Q104" s="36"/>
      <c r="R104" s="36"/>
      <c r="S104" s="36"/>
      <c r="T104" s="36"/>
      <c r="U104" s="36"/>
      <c r="V104" s="36"/>
      <c r="W104" s="36"/>
      <c r="X104" s="36"/>
      <c r="Y104" s="36"/>
      <c r="Z104" s="36"/>
      <c r="AA104" s="36"/>
      <c r="AB104" s="36"/>
    </row>
    <row r="105" spans="1:28" ht="24" customHeight="1">
      <c r="A105" s="358" t="str">
        <f>HYPERLINK("https://www.idrd.gov.co/sites/default/files/imagenes/resolucion_teletrabajo.pdf","RESOLUCIÓN 573")</f>
        <v>RESOLUCIÓN 573</v>
      </c>
      <c r="B105" s="359">
        <v>43734</v>
      </c>
      <c r="C105" s="362" t="s">
        <v>430</v>
      </c>
      <c r="D105" s="158" t="s">
        <v>3220</v>
      </c>
      <c r="E105" s="158" t="s">
        <v>41</v>
      </c>
      <c r="F105" s="158" t="s">
        <v>42</v>
      </c>
      <c r="G105" s="364"/>
      <c r="H105" s="365"/>
      <c r="I105" s="35"/>
      <c r="J105" s="36"/>
      <c r="K105" s="36"/>
      <c r="L105" s="36"/>
      <c r="M105" s="36"/>
      <c r="N105" s="36"/>
      <c r="O105" s="36"/>
      <c r="P105" s="36"/>
      <c r="Q105" s="36"/>
      <c r="R105" s="36"/>
      <c r="S105" s="36"/>
      <c r="T105" s="36"/>
      <c r="U105" s="36"/>
      <c r="V105" s="36"/>
      <c r="W105" s="36"/>
      <c r="X105" s="36"/>
      <c r="Y105" s="36"/>
      <c r="Z105" s="36"/>
      <c r="AA105" s="36"/>
      <c r="AB105" s="36"/>
    </row>
    <row r="106" spans="1:28" ht="24" customHeight="1">
      <c r="A106" s="358" t="str">
        <f>HYPERLINK("http://www.mintrabajo.gov.co/documents/20147/59995826/Resolucion+2404+de+2019-+Adopcion+bateria+riesgo+psicosocial%2C+guia+y+protocolos.pdf","Resolución 2404")</f>
        <v>Resolución 2404</v>
      </c>
      <c r="B106" s="359">
        <v>43668</v>
      </c>
      <c r="C106" s="158" t="s">
        <v>1330</v>
      </c>
      <c r="D106" s="158" t="s">
        <v>3221</v>
      </c>
      <c r="E106" s="158" t="s">
        <v>41</v>
      </c>
      <c r="F106" s="158" t="s">
        <v>42</v>
      </c>
      <c r="G106" s="364" t="s">
        <v>43</v>
      </c>
      <c r="H106" s="365" t="s">
        <v>750</v>
      </c>
      <c r="I106" s="35"/>
      <c r="J106" s="36"/>
      <c r="K106" s="36"/>
      <c r="L106" s="36"/>
      <c r="M106" s="36"/>
      <c r="N106" s="36"/>
      <c r="O106" s="36"/>
      <c r="P106" s="36"/>
      <c r="Q106" s="36"/>
      <c r="R106" s="36"/>
      <c r="S106" s="36"/>
      <c r="T106" s="36"/>
      <c r="U106" s="36"/>
      <c r="V106" s="36"/>
      <c r="W106" s="36"/>
      <c r="X106" s="36"/>
      <c r="Y106" s="36"/>
      <c r="Z106" s="36"/>
      <c r="AA106" s="36"/>
      <c r="AB106" s="36"/>
    </row>
    <row r="107" spans="1:28" ht="24" customHeight="1">
      <c r="A107" s="358" t="str">
        <f>HYPERLINK("https://www.serviciocivil.gov.co/portal/transparencia/marco-legal/lineamientos/circular-011-de-2019","Circular 011")</f>
        <v>Circular 011</v>
      </c>
      <c r="B107" s="359">
        <v>43542</v>
      </c>
      <c r="C107" s="362" t="s">
        <v>3222</v>
      </c>
      <c r="D107" s="158" t="s">
        <v>3223</v>
      </c>
      <c r="E107" s="158" t="s">
        <v>41</v>
      </c>
      <c r="F107" s="158" t="s">
        <v>42</v>
      </c>
      <c r="G107" s="364" t="s">
        <v>43</v>
      </c>
      <c r="H107" s="365" t="s">
        <v>750</v>
      </c>
      <c r="I107" s="35"/>
      <c r="J107" s="36"/>
      <c r="K107" s="36"/>
      <c r="L107" s="36"/>
      <c r="M107" s="36"/>
      <c r="N107" s="36"/>
      <c r="O107" s="36"/>
      <c r="P107" s="36"/>
      <c r="Q107" s="36"/>
      <c r="R107" s="36"/>
      <c r="S107" s="36"/>
      <c r="T107" s="36"/>
      <c r="U107" s="36"/>
      <c r="V107" s="36"/>
      <c r="W107" s="36"/>
      <c r="X107" s="36"/>
      <c r="Y107" s="36"/>
      <c r="Z107" s="36"/>
      <c r="AA107" s="36"/>
      <c r="AB107" s="36"/>
    </row>
    <row r="108" spans="1:28" ht="24" customHeight="1">
      <c r="A108" s="358" t="str">
        <f>HYPERLINK("https://www.idrd.gov.co/sites/default/files/documentos/resolucion_543.pdf","Resolución 543")</f>
        <v>Resolución 543</v>
      </c>
      <c r="B108" s="359">
        <v>43719</v>
      </c>
      <c r="C108" s="158" t="s">
        <v>3213</v>
      </c>
      <c r="D108" s="158" t="s">
        <v>3224</v>
      </c>
      <c r="E108" s="158" t="s">
        <v>41</v>
      </c>
      <c r="F108" s="158" t="s">
        <v>42</v>
      </c>
      <c r="G108" s="364" t="s">
        <v>43</v>
      </c>
      <c r="H108" s="365" t="s">
        <v>750</v>
      </c>
      <c r="I108" s="35"/>
      <c r="J108" s="36"/>
      <c r="K108" s="36"/>
      <c r="L108" s="36"/>
      <c r="M108" s="36"/>
      <c r="N108" s="36"/>
      <c r="O108" s="36"/>
      <c r="P108" s="36"/>
      <c r="Q108" s="36"/>
      <c r="R108" s="36"/>
      <c r="S108" s="36"/>
      <c r="T108" s="36"/>
      <c r="U108" s="36"/>
      <c r="V108" s="36"/>
      <c r="W108" s="36"/>
      <c r="X108" s="36"/>
      <c r="Y108" s="36"/>
      <c r="Z108" s="36"/>
      <c r="AA108" s="36"/>
      <c r="AB108" s="36"/>
    </row>
    <row r="109" spans="1:28" ht="24" customHeight="1">
      <c r="A109" s="358" t="str">
        <f>HYPERLINK("https://www.idrd.gov.co/sites/default/files/documentos/resolucion_de_incentivos.pdf","Resolución 470")</f>
        <v>Resolución 470</v>
      </c>
      <c r="B109" s="359">
        <v>43677</v>
      </c>
      <c r="C109" s="362" t="s">
        <v>3213</v>
      </c>
      <c r="D109" s="158" t="s">
        <v>3225</v>
      </c>
      <c r="E109" s="158" t="s">
        <v>41</v>
      </c>
      <c r="F109" s="158" t="s">
        <v>42</v>
      </c>
      <c r="G109" s="364" t="s">
        <v>43</v>
      </c>
      <c r="H109" s="365" t="s">
        <v>750</v>
      </c>
      <c r="I109" s="35"/>
      <c r="J109" s="36"/>
      <c r="K109" s="36"/>
      <c r="L109" s="36"/>
      <c r="M109" s="36"/>
      <c r="N109" s="36"/>
      <c r="O109" s="36"/>
      <c r="P109" s="36"/>
      <c r="Q109" s="36"/>
      <c r="R109" s="36"/>
      <c r="S109" s="36"/>
      <c r="T109" s="36"/>
      <c r="U109" s="36"/>
      <c r="V109" s="36"/>
      <c r="W109" s="36"/>
      <c r="X109" s="36"/>
      <c r="Y109" s="36"/>
      <c r="Z109" s="36"/>
      <c r="AA109" s="36"/>
      <c r="AB109" s="36"/>
    </row>
    <row r="110" spans="1:28" ht="31.5" customHeight="1">
      <c r="A110" s="358" t="str">
        <f>HYPERLINK("https://www.funcionpublica.gov.co/eva/gestornormativo/norma.php?i=81864","Resolución 390")</f>
        <v>Resolución 390</v>
      </c>
      <c r="B110" s="359">
        <v>42885</v>
      </c>
      <c r="C110" s="158" t="s">
        <v>3158</v>
      </c>
      <c r="D110" s="158" t="s">
        <v>3226</v>
      </c>
      <c r="E110" s="158" t="s">
        <v>41</v>
      </c>
      <c r="F110" s="158" t="s">
        <v>42</v>
      </c>
      <c r="G110" s="374"/>
      <c r="H110" s="375"/>
      <c r="I110" s="35"/>
      <c r="J110" s="74"/>
      <c r="K110" s="74"/>
      <c r="L110" s="74"/>
      <c r="M110" s="74"/>
      <c r="N110" s="74"/>
      <c r="O110" s="74"/>
      <c r="P110" s="74"/>
      <c r="Q110" s="74"/>
      <c r="R110" s="74"/>
      <c r="S110" s="74"/>
      <c r="T110" s="74"/>
      <c r="U110" s="74"/>
      <c r="V110" s="74"/>
      <c r="W110" s="74"/>
      <c r="X110" s="74"/>
      <c r="Y110" s="74"/>
      <c r="Z110" s="74"/>
      <c r="AA110" s="74"/>
      <c r="AB110" s="74"/>
    </row>
    <row r="111" spans="1:28" ht="12" customHeight="1">
      <c r="A111" s="358" t="str">
        <f>HYPERLINK("https://www.idrd.gov.co/sites/default/files/documentos/2019-2020-plan-capacitacion_0.pdf","Resolución 231")</f>
        <v>Resolución 231</v>
      </c>
      <c r="B111" s="359">
        <v>43578</v>
      </c>
      <c r="C111" s="362" t="s">
        <v>3213</v>
      </c>
      <c r="D111" s="158" t="s">
        <v>3227</v>
      </c>
      <c r="E111" s="158" t="s">
        <v>41</v>
      </c>
      <c r="F111" s="158" t="s">
        <v>42</v>
      </c>
      <c r="G111" s="374"/>
      <c r="H111" s="375"/>
      <c r="I111" s="35"/>
      <c r="J111" s="74"/>
      <c r="K111" s="74"/>
      <c r="L111" s="74"/>
      <c r="M111" s="74"/>
      <c r="N111" s="74"/>
      <c r="O111" s="74"/>
      <c r="P111" s="74"/>
      <c r="Q111" s="74"/>
      <c r="R111" s="74"/>
      <c r="S111" s="74"/>
      <c r="T111" s="74"/>
      <c r="U111" s="74"/>
      <c r="V111" s="74"/>
      <c r="W111" s="74"/>
      <c r="X111" s="74"/>
      <c r="Y111" s="74"/>
      <c r="Z111" s="74"/>
      <c r="AA111" s="74"/>
      <c r="AB111" s="74"/>
    </row>
    <row r="112" spans="1:28" ht="33.75" customHeight="1">
      <c r="A112" s="358" t="str">
        <f>HYPERLINK("https://www.minsalud.gov.co/Normatividad_Nuevo/Resoluci%C3%B3n%20No.%202389%20de%202019.pdf","Resolución 2389")</f>
        <v>Resolución 2389</v>
      </c>
      <c r="B112" s="359">
        <v>43710</v>
      </c>
      <c r="C112" s="158" t="s">
        <v>1596</v>
      </c>
      <c r="D112" s="158" t="s">
        <v>3228</v>
      </c>
      <c r="E112" s="158" t="s">
        <v>41</v>
      </c>
      <c r="F112" s="158" t="s">
        <v>42</v>
      </c>
      <c r="G112" s="374"/>
      <c r="H112" s="375"/>
      <c r="I112" s="35"/>
      <c r="J112" s="74"/>
      <c r="K112" s="74"/>
      <c r="L112" s="74"/>
      <c r="M112" s="74"/>
      <c r="N112" s="74"/>
      <c r="O112" s="74"/>
      <c r="P112" s="74"/>
      <c r="Q112" s="74"/>
      <c r="R112" s="74"/>
      <c r="S112" s="74"/>
      <c r="T112" s="74"/>
      <c r="U112" s="74"/>
      <c r="V112" s="74"/>
      <c r="W112" s="74"/>
      <c r="X112" s="74"/>
      <c r="Y112" s="74"/>
      <c r="Z112" s="74"/>
      <c r="AA112" s="74"/>
      <c r="AB112" s="74"/>
    </row>
    <row r="113" spans="1:28" ht="33.75" customHeight="1">
      <c r="A113" s="373" t="s">
        <v>3229</v>
      </c>
      <c r="B113" s="359">
        <v>43819</v>
      </c>
      <c r="C113" s="362" t="s">
        <v>130</v>
      </c>
      <c r="D113" s="158" t="s">
        <v>3230</v>
      </c>
      <c r="E113" s="158" t="s">
        <v>41</v>
      </c>
      <c r="F113" s="158" t="s">
        <v>42</v>
      </c>
      <c r="G113" s="374"/>
      <c r="H113" s="375"/>
      <c r="I113" s="35"/>
      <c r="J113" s="74"/>
      <c r="K113" s="74"/>
      <c r="L113" s="74"/>
      <c r="M113" s="74"/>
      <c r="N113" s="74"/>
      <c r="O113" s="74"/>
      <c r="P113" s="74"/>
      <c r="Q113" s="74"/>
      <c r="R113" s="74"/>
      <c r="S113" s="74"/>
      <c r="T113" s="74"/>
      <c r="U113" s="74"/>
      <c r="V113" s="74"/>
      <c r="W113" s="74"/>
      <c r="X113" s="74"/>
      <c r="Y113" s="74"/>
      <c r="Z113" s="74"/>
      <c r="AA113" s="74"/>
      <c r="AB113" s="74"/>
    </row>
    <row r="114" spans="1:28" ht="33.75" customHeight="1">
      <c r="A114" s="358" t="str">
        <f>HYPERLINK("https://www.funcionpublica.gov.co/eva/gestornormativo/norma.php?i=85373","Circular Externa 100-010")</f>
        <v>Circular Externa 100-010</v>
      </c>
      <c r="B114" s="359">
        <v>43021</v>
      </c>
      <c r="C114" s="158" t="s">
        <v>647</v>
      </c>
      <c r="D114" s="158" t="s">
        <v>3231</v>
      </c>
      <c r="E114" s="158" t="s">
        <v>41</v>
      </c>
      <c r="F114" s="158" t="s">
        <v>42</v>
      </c>
      <c r="G114" s="374"/>
      <c r="H114" s="375"/>
      <c r="I114" s="35"/>
      <c r="J114" s="74"/>
      <c r="K114" s="74"/>
      <c r="L114" s="74"/>
      <c r="M114" s="74"/>
      <c r="N114" s="74"/>
      <c r="O114" s="74"/>
      <c r="P114" s="74"/>
      <c r="Q114" s="74"/>
      <c r="R114" s="74"/>
      <c r="S114" s="74"/>
      <c r="T114" s="74"/>
      <c r="U114" s="74"/>
      <c r="V114" s="74"/>
      <c r="W114" s="74"/>
      <c r="X114" s="74"/>
      <c r="Y114" s="74"/>
      <c r="Z114" s="74"/>
      <c r="AA114" s="74"/>
      <c r="AB114" s="74"/>
    </row>
    <row r="115" spans="1:28" ht="40.5" customHeight="1">
      <c r="A115" s="358" t="str">
        <f>HYPERLINK("http://www.mintrabajo.gov.co/documents/20147/59864852/Circular+0027+de+2019.pdf/fc24c101-43f2-ab81-d9e5-7862710e808b","Circular 027")</f>
        <v>Circular 027</v>
      </c>
      <c r="B115" s="359">
        <v>43567</v>
      </c>
      <c r="C115" s="362" t="s">
        <v>566</v>
      </c>
      <c r="D115" s="158" t="s">
        <v>3232</v>
      </c>
      <c r="E115" s="158" t="s">
        <v>41</v>
      </c>
      <c r="F115" s="158" t="s">
        <v>42</v>
      </c>
      <c r="G115" s="374"/>
      <c r="H115" s="375"/>
      <c r="I115" s="35"/>
      <c r="J115" s="74"/>
      <c r="K115" s="74"/>
      <c r="L115" s="74"/>
      <c r="M115" s="74"/>
      <c r="N115" s="74"/>
      <c r="O115" s="74"/>
      <c r="P115" s="74"/>
      <c r="Q115" s="74"/>
      <c r="R115" s="74"/>
      <c r="S115" s="74"/>
      <c r="T115" s="74"/>
      <c r="U115" s="74"/>
      <c r="V115" s="74"/>
      <c r="W115" s="74"/>
      <c r="X115" s="74"/>
      <c r="Y115" s="74"/>
      <c r="Z115" s="74"/>
      <c r="AA115" s="74"/>
      <c r="AB115" s="74"/>
    </row>
    <row r="116" spans="1:28" ht="40.5" customHeight="1">
      <c r="A116" s="373" t="s">
        <v>3233</v>
      </c>
      <c r="B116" s="359">
        <v>43901</v>
      </c>
      <c r="C116" s="158" t="s">
        <v>856</v>
      </c>
      <c r="D116" s="158" t="s">
        <v>3234</v>
      </c>
      <c r="E116" s="158" t="s">
        <v>41</v>
      </c>
      <c r="F116" s="158" t="s">
        <v>42</v>
      </c>
      <c r="G116" s="374"/>
      <c r="H116" s="375"/>
      <c r="I116" s="35"/>
      <c r="J116" s="74"/>
      <c r="K116" s="74"/>
      <c r="L116" s="74"/>
      <c r="M116" s="74"/>
      <c r="N116" s="74"/>
      <c r="O116" s="74"/>
      <c r="P116" s="74"/>
      <c r="Q116" s="74"/>
      <c r="R116" s="74"/>
      <c r="S116" s="74"/>
      <c r="T116" s="74"/>
      <c r="U116" s="74"/>
      <c r="V116" s="74"/>
      <c r="W116" s="74"/>
      <c r="X116" s="74"/>
      <c r="Y116" s="74"/>
      <c r="Z116" s="74"/>
      <c r="AA116" s="74"/>
      <c r="AB116" s="74"/>
    </row>
    <row r="117" spans="1:28" ht="40.5" customHeight="1">
      <c r="A117" s="373" t="s">
        <v>3235</v>
      </c>
      <c r="B117" s="359">
        <v>43906</v>
      </c>
      <c r="C117" s="362" t="s">
        <v>856</v>
      </c>
      <c r="D117" s="158" t="s">
        <v>3236</v>
      </c>
      <c r="E117" s="158" t="s">
        <v>41</v>
      </c>
      <c r="F117" s="158" t="s">
        <v>42</v>
      </c>
      <c r="G117" s="374"/>
      <c r="H117" s="375"/>
      <c r="I117" s="35"/>
      <c r="J117" s="74"/>
      <c r="K117" s="74"/>
      <c r="L117" s="74"/>
      <c r="M117" s="74"/>
      <c r="N117" s="74"/>
      <c r="O117" s="74"/>
      <c r="P117" s="74"/>
      <c r="Q117" s="74"/>
      <c r="R117" s="74"/>
      <c r="S117" s="74"/>
      <c r="T117" s="74"/>
      <c r="U117" s="74"/>
      <c r="V117" s="74"/>
      <c r="W117" s="74"/>
      <c r="X117" s="74"/>
      <c r="Y117" s="74"/>
      <c r="Z117" s="74"/>
      <c r="AA117" s="74"/>
      <c r="AB117" s="74"/>
    </row>
    <row r="118" spans="1:28" ht="40.5" customHeight="1">
      <c r="A118" s="373" t="s">
        <v>3237</v>
      </c>
      <c r="B118" s="359">
        <v>43909</v>
      </c>
      <c r="C118" s="158" t="s">
        <v>856</v>
      </c>
      <c r="D118" s="158" t="s">
        <v>3238</v>
      </c>
      <c r="E118" s="158" t="s">
        <v>41</v>
      </c>
      <c r="F118" s="158" t="s">
        <v>42</v>
      </c>
      <c r="G118" s="374"/>
      <c r="H118" s="375"/>
      <c r="I118" s="35"/>
      <c r="J118" s="74"/>
      <c r="K118" s="74"/>
      <c r="L118" s="74"/>
      <c r="M118" s="74"/>
      <c r="N118" s="74"/>
      <c r="O118" s="74"/>
      <c r="P118" s="74"/>
      <c r="Q118" s="74"/>
      <c r="R118" s="74"/>
      <c r="S118" s="74"/>
      <c r="T118" s="74"/>
      <c r="U118" s="74"/>
      <c r="V118" s="74"/>
      <c r="W118" s="74"/>
      <c r="X118" s="74"/>
      <c r="Y118" s="74"/>
      <c r="Z118" s="74"/>
      <c r="AA118" s="74"/>
      <c r="AB118" s="74"/>
    </row>
    <row r="119" spans="1:28" ht="40.5" customHeight="1">
      <c r="A119" s="373" t="s">
        <v>3239</v>
      </c>
      <c r="B119" s="359">
        <v>43912</v>
      </c>
      <c r="C119" s="362" t="s">
        <v>856</v>
      </c>
      <c r="D119" s="158" t="s">
        <v>3240</v>
      </c>
      <c r="E119" s="158" t="s">
        <v>41</v>
      </c>
      <c r="F119" s="158" t="s">
        <v>42</v>
      </c>
      <c r="G119" s="374"/>
      <c r="H119" s="375"/>
      <c r="I119" s="35"/>
      <c r="J119" s="74"/>
      <c r="K119" s="74"/>
      <c r="L119" s="74"/>
      <c r="M119" s="74"/>
      <c r="N119" s="74"/>
      <c r="O119" s="74"/>
      <c r="P119" s="74"/>
      <c r="Q119" s="74"/>
      <c r="R119" s="74"/>
      <c r="S119" s="74"/>
      <c r="T119" s="74"/>
      <c r="U119" s="74"/>
      <c r="V119" s="74"/>
      <c r="W119" s="74"/>
      <c r="X119" s="74"/>
      <c r="Y119" s="74"/>
      <c r="Z119" s="74"/>
      <c r="AA119" s="74"/>
      <c r="AB119" s="74"/>
    </row>
    <row r="120" spans="1:28" ht="40.5" customHeight="1">
      <c r="A120" s="373" t="s">
        <v>3241</v>
      </c>
      <c r="B120" s="359">
        <v>43914</v>
      </c>
      <c r="C120" s="158" t="s">
        <v>856</v>
      </c>
      <c r="D120" s="158" t="s">
        <v>3242</v>
      </c>
      <c r="E120" s="158" t="s">
        <v>41</v>
      </c>
      <c r="F120" s="158" t="s">
        <v>42</v>
      </c>
      <c r="G120" s="374"/>
      <c r="H120" s="375"/>
      <c r="I120" s="35"/>
      <c r="J120" s="74"/>
      <c r="K120" s="74"/>
      <c r="L120" s="74"/>
      <c r="M120" s="74"/>
      <c r="N120" s="74"/>
      <c r="O120" s="74"/>
      <c r="P120" s="74"/>
      <c r="Q120" s="74"/>
      <c r="R120" s="74"/>
      <c r="S120" s="74"/>
      <c r="T120" s="74"/>
      <c r="U120" s="74"/>
      <c r="V120" s="74"/>
      <c r="W120" s="74"/>
      <c r="X120" s="74"/>
      <c r="Y120" s="74"/>
      <c r="Z120" s="74"/>
      <c r="AA120" s="74"/>
      <c r="AB120" s="74"/>
    </row>
    <row r="121" spans="1:28" ht="40.5" customHeight="1">
      <c r="A121" s="373" t="s">
        <v>3243</v>
      </c>
      <c r="B121" s="359">
        <v>43915</v>
      </c>
      <c r="C121" s="362" t="s">
        <v>856</v>
      </c>
      <c r="D121" s="158" t="s">
        <v>3244</v>
      </c>
      <c r="E121" s="158" t="s">
        <v>41</v>
      </c>
      <c r="F121" s="158" t="s">
        <v>42</v>
      </c>
      <c r="G121" s="374"/>
      <c r="H121" s="375"/>
      <c r="I121" s="35"/>
      <c r="J121" s="74"/>
      <c r="K121" s="74"/>
      <c r="L121" s="74"/>
      <c r="M121" s="74"/>
      <c r="N121" s="74"/>
      <c r="O121" s="74"/>
      <c r="P121" s="74"/>
      <c r="Q121" s="74"/>
      <c r="R121" s="74"/>
      <c r="S121" s="74"/>
      <c r="T121" s="74"/>
      <c r="U121" s="74"/>
      <c r="V121" s="74"/>
      <c r="W121" s="74"/>
      <c r="X121" s="74"/>
      <c r="Y121" s="74"/>
      <c r="Z121" s="74"/>
      <c r="AA121" s="74"/>
      <c r="AB121" s="74"/>
    </row>
    <row r="122" spans="1:28" ht="40.5" customHeight="1">
      <c r="A122" s="373" t="s">
        <v>3245</v>
      </c>
      <c r="B122" s="359">
        <v>43929</v>
      </c>
      <c r="C122" s="158" t="s">
        <v>856</v>
      </c>
      <c r="D122" s="158" t="s">
        <v>3246</v>
      </c>
      <c r="E122" s="158" t="s">
        <v>41</v>
      </c>
      <c r="F122" s="158" t="s">
        <v>42</v>
      </c>
      <c r="G122" s="374"/>
      <c r="H122" s="375"/>
      <c r="I122" s="35"/>
      <c r="J122" s="74"/>
      <c r="K122" s="74"/>
      <c r="L122" s="74"/>
      <c r="M122" s="74"/>
      <c r="N122" s="74"/>
      <c r="O122" s="74"/>
      <c r="P122" s="74"/>
      <c r="Q122" s="74"/>
      <c r="R122" s="74"/>
      <c r="S122" s="74"/>
      <c r="T122" s="74"/>
      <c r="U122" s="74"/>
      <c r="V122" s="74"/>
      <c r="W122" s="74"/>
      <c r="X122" s="74"/>
      <c r="Y122" s="74"/>
      <c r="Z122" s="74"/>
      <c r="AA122" s="74"/>
      <c r="AB122" s="74"/>
    </row>
    <row r="123" spans="1:28" ht="40.5" customHeight="1">
      <c r="A123" s="373" t="s">
        <v>3247</v>
      </c>
      <c r="B123" s="359">
        <v>43947</v>
      </c>
      <c r="C123" s="362" t="s">
        <v>856</v>
      </c>
      <c r="D123" s="158" t="s">
        <v>3248</v>
      </c>
      <c r="E123" s="158" t="s">
        <v>41</v>
      </c>
      <c r="F123" s="158" t="s">
        <v>42</v>
      </c>
      <c r="G123" s="374"/>
      <c r="H123" s="375"/>
      <c r="I123" s="35"/>
      <c r="J123" s="74"/>
      <c r="K123" s="74"/>
      <c r="L123" s="74"/>
      <c r="M123" s="74"/>
      <c r="N123" s="74"/>
      <c r="O123" s="74"/>
      <c r="P123" s="74"/>
      <c r="Q123" s="74"/>
      <c r="R123" s="74"/>
      <c r="S123" s="74"/>
      <c r="T123" s="74"/>
      <c r="U123" s="74"/>
      <c r="V123" s="74"/>
      <c r="W123" s="74"/>
      <c r="X123" s="74"/>
      <c r="Y123" s="74"/>
      <c r="Z123" s="74"/>
      <c r="AA123" s="74"/>
      <c r="AB123" s="74"/>
    </row>
    <row r="124" spans="1:28" ht="40.5" customHeight="1">
      <c r="A124" s="373" t="s">
        <v>3249</v>
      </c>
      <c r="B124" s="359">
        <v>43957</v>
      </c>
      <c r="C124" s="158" t="s">
        <v>856</v>
      </c>
      <c r="D124" s="158" t="s">
        <v>3250</v>
      </c>
      <c r="E124" s="158" t="s">
        <v>41</v>
      </c>
      <c r="F124" s="158" t="s">
        <v>42</v>
      </c>
      <c r="G124" s="374"/>
      <c r="H124" s="375"/>
      <c r="I124" s="35"/>
      <c r="J124" s="74"/>
      <c r="K124" s="74"/>
      <c r="L124" s="74"/>
      <c r="M124" s="74"/>
      <c r="N124" s="74"/>
      <c r="O124" s="74"/>
      <c r="P124" s="74"/>
      <c r="Q124" s="74"/>
      <c r="R124" s="74"/>
      <c r="S124" s="74"/>
      <c r="T124" s="74"/>
      <c r="U124" s="74"/>
      <c r="V124" s="74"/>
      <c r="W124" s="74"/>
      <c r="X124" s="74"/>
      <c r="Y124" s="74"/>
      <c r="Z124" s="74"/>
      <c r="AA124" s="74"/>
      <c r="AB124" s="74"/>
    </row>
    <row r="125" spans="1:28" ht="40.5" customHeight="1">
      <c r="A125" s="373" t="s">
        <v>3251</v>
      </c>
      <c r="B125" s="359">
        <v>43961</v>
      </c>
      <c r="C125" s="362" t="s">
        <v>856</v>
      </c>
      <c r="D125" s="158" t="s">
        <v>3252</v>
      </c>
      <c r="E125" s="158" t="s">
        <v>41</v>
      </c>
      <c r="F125" s="158" t="s">
        <v>42</v>
      </c>
      <c r="G125" s="374"/>
      <c r="H125" s="375"/>
      <c r="I125" s="35"/>
      <c r="J125" s="74"/>
      <c r="K125" s="74"/>
      <c r="L125" s="74"/>
      <c r="M125" s="74"/>
      <c r="N125" s="74"/>
      <c r="O125" s="74"/>
      <c r="P125" s="74"/>
      <c r="Q125" s="74"/>
      <c r="R125" s="74"/>
      <c r="S125" s="74"/>
      <c r="T125" s="74"/>
      <c r="U125" s="74"/>
      <c r="V125" s="74"/>
      <c r="W125" s="74"/>
      <c r="X125" s="74"/>
      <c r="Y125" s="74"/>
      <c r="Z125" s="74"/>
      <c r="AA125" s="74"/>
      <c r="AB125" s="74"/>
    </row>
    <row r="126" spans="1:28" ht="40.5" customHeight="1">
      <c r="A126" s="373" t="s">
        <v>3253</v>
      </c>
      <c r="B126" s="359">
        <v>43975</v>
      </c>
      <c r="C126" s="158" t="s">
        <v>856</v>
      </c>
      <c r="D126" s="158" t="s">
        <v>3254</v>
      </c>
      <c r="E126" s="158" t="s">
        <v>41</v>
      </c>
      <c r="F126" s="158" t="s">
        <v>42</v>
      </c>
      <c r="G126" s="374"/>
      <c r="H126" s="375"/>
      <c r="I126" s="35"/>
      <c r="J126" s="74"/>
      <c r="K126" s="74"/>
      <c r="L126" s="74"/>
      <c r="M126" s="74"/>
      <c r="N126" s="74"/>
      <c r="O126" s="74"/>
      <c r="P126" s="74"/>
      <c r="Q126" s="74"/>
      <c r="R126" s="74"/>
      <c r="S126" s="74"/>
      <c r="T126" s="74"/>
      <c r="U126" s="74"/>
      <c r="V126" s="74"/>
      <c r="W126" s="74"/>
      <c r="X126" s="74"/>
      <c r="Y126" s="74"/>
      <c r="Z126" s="74"/>
      <c r="AA126" s="74"/>
      <c r="AB126" s="74"/>
    </row>
    <row r="127" spans="1:28" ht="40.5" customHeight="1">
      <c r="A127" s="373" t="s">
        <v>3255</v>
      </c>
      <c r="B127" s="359">
        <v>43982</v>
      </c>
      <c r="C127" s="362" t="s">
        <v>856</v>
      </c>
      <c r="D127" s="158" t="s">
        <v>3256</v>
      </c>
      <c r="E127" s="158" t="s">
        <v>41</v>
      </c>
      <c r="F127" s="158" t="s">
        <v>42</v>
      </c>
      <c r="G127" s="374"/>
      <c r="H127" s="375"/>
      <c r="I127" s="35"/>
      <c r="J127" s="74"/>
      <c r="K127" s="74"/>
      <c r="L127" s="74"/>
      <c r="M127" s="74"/>
      <c r="N127" s="74"/>
      <c r="O127" s="74"/>
      <c r="P127" s="74"/>
      <c r="Q127" s="74"/>
      <c r="R127" s="74"/>
      <c r="S127" s="74"/>
      <c r="T127" s="74"/>
      <c r="U127" s="74"/>
      <c r="V127" s="74"/>
      <c r="W127" s="74"/>
      <c r="X127" s="74"/>
      <c r="Y127" s="74"/>
      <c r="Z127" s="74"/>
      <c r="AA127" s="74"/>
      <c r="AB127" s="74"/>
    </row>
    <row r="128" spans="1:28" ht="40.5" customHeight="1">
      <c r="A128" s="373" t="s">
        <v>3257</v>
      </c>
      <c r="B128" s="359">
        <v>43997</v>
      </c>
      <c r="C128" s="158" t="s">
        <v>856</v>
      </c>
      <c r="D128" s="158" t="s">
        <v>3258</v>
      </c>
      <c r="E128" s="158" t="s">
        <v>41</v>
      </c>
      <c r="F128" s="158" t="s">
        <v>42</v>
      </c>
      <c r="G128" s="374"/>
      <c r="H128" s="375"/>
      <c r="I128" s="35"/>
      <c r="J128" s="74"/>
      <c r="K128" s="74"/>
      <c r="L128" s="74"/>
      <c r="M128" s="74"/>
      <c r="N128" s="74"/>
      <c r="O128" s="74"/>
      <c r="P128" s="74"/>
      <c r="Q128" s="74"/>
      <c r="R128" s="74"/>
      <c r="S128" s="74"/>
      <c r="T128" s="74"/>
      <c r="U128" s="74"/>
      <c r="V128" s="74"/>
      <c r="W128" s="74"/>
      <c r="X128" s="74"/>
      <c r="Y128" s="74"/>
      <c r="Z128" s="74"/>
      <c r="AA128" s="74"/>
      <c r="AB128" s="74"/>
    </row>
    <row r="129" spans="1:28" ht="40.5" customHeight="1">
      <c r="A129" s="373" t="s">
        <v>3259</v>
      </c>
      <c r="B129" s="359">
        <v>43997</v>
      </c>
      <c r="C129" s="362" t="s">
        <v>856</v>
      </c>
      <c r="D129" s="158" t="s">
        <v>3260</v>
      </c>
      <c r="E129" s="158" t="s">
        <v>41</v>
      </c>
      <c r="F129" s="158" t="s">
        <v>42</v>
      </c>
      <c r="G129" s="374"/>
      <c r="H129" s="375"/>
      <c r="I129" s="35"/>
      <c r="J129" s="74"/>
      <c r="K129" s="74"/>
      <c r="L129" s="74"/>
      <c r="M129" s="74"/>
      <c r="N129" s="74"/>
      <c r="O129" s="74"/>
      <c r="P129" s="74"/>
      <c r="Q129" s="74"/>
      <c r="R129" s="74"/>
      <c r="S129" s="74"/>
      <c r="T129" s="74"/>
      <c r="U129" s="74"/>
      <c r="V129" s="74"/>
      <c r="W129" s="74"/>
      <c r="X129" s="74"/>
      <c r="Y129" s="74"/>
      <c r="Z129" s="74"/>
      <c r="AA129" s="74"/>
      <c r="AB129" s="74"/>
    </row>
    <row r="130" spans="1:28" ht="40.5" customHeight="1">
      <c r="A130" s="373" t="s">
        <v>3261</v>
      </c>
      <c r="B130" s="359">
        <v>44011</v>
      </c>
      <c r="C130" s="158" t="s">
        <v>856</v>
      </c>
      <c r="D130" s="158" t="s">
        <v>3262</v>
      </c>
      <c r="E130" s="158" t="s">
        <v>41</v>
      </c>
      <c r="F130" s="158" t="s">
        <v>42</v>
      </c>
      <c r="G130" s="374"/>
      <c r="H130" s="375"/>
      <c r="I130" s="35"/>
      <c r="J130" s="74"/>
      <c r="K130" s="74"/>
      <c r="L130" s="74"/>
      <c r="M130" s="74"/>
      <c r="N130" s="74"/>
      <c r="O130" s="74"/>
      <c r="P130" s="74"/>
      <c r="Q130" s="74"/>
      <c r="R130" s="74"/>
      <c r="S130" s="74"/>
      <c r="T130" s="74"/>
      <c r="U130" s="74"/>
      <c r="V130" s="74"/>
      <c r="W130" s="74"/>
      <c r="X130" s="74"/>
      <c r="Y130" s="74"/>
      <c r="Z130" s="74"/>
      <c r="AA130" s="74"/>
      <c r="AB130" s="74"/>
    </row>
    <row r="131" spans="1:28" ht="40.5" customHeight="1">
      <c r="A131" s="373" t="s">
        <v>3263</v>
      </c>
      <c r="B131" s="359">
        <v>44012</v>
      </c>
      <c r="C131" s="362" t="s">
        <v>856</v>
      </c>
      <c r="D131" s="158" t="s">
        <v>3264</v>
      </c>
      <c r="E131" s="158" t="s">
        <v>41</v>
      </c>
      <c r="F131" s="158" t="s">
        <v>42</v>
      </c>
      <c r="G131" s="374"/>
      <c r="H131" s="375"/>
      <c r="I131" s="35"/>
      <c r="J131" s="74"/>
      <c r="K131" s="74"/>
      <c r="L131" s="74"/>
      <c r="M131" s="74"/>
      <c r="N131" s="74"/>
      <c r="O131" s="74"/>
      <c r="P131" s="74"/>
      <c r="Q131" s="74"/>
      <c r="R131" s="74"/>
      <c r="S131" s="74"/>
      <c r="T131" s="74"/>
      <c r="U131" s="74"/>
      <c r="V131" s="74"/>
      <c r="W131" s="74"/>
      <c r="X131" s="74"/>
      <c r="Y131" s="74"/>
      <c r="Z131" s="74"/>
      <c r="AA131" s="74"/>
      <c r="AB131" s="74"/>
    </row>
    <row r="132" spans="1:28" ht="40.5" customHeight="1">
      <c r="A132" s="373" t="s">
        <v>3265</v>
      </c>
      <c r="B132" s="359">
        <v>44018</v>
      </c>
      <c r="C132" s="158" t="s">
        <v>856</v>
      </c>
      <c r="D132" s="158" t="s">
        <v>3266</v>
      </c>
      <c r="E132" s="158" t="s">
        <v>41</v>
      </c>
      <c r="F132" s="158" t="s">
        <v>42</v>
      </c>
      <c r="G132" s="374"/>
      <c r="H132" s="375"/>
      <c r="I132" s="35"/>
      <c r="J132" s="74"/>
      <c r="K132" s="74"/>
      <c r="L132" s="74"/>
      <c r="M132" s="74"/>
      <c r="N132" s="74"/>
      <c r="O132" s="74"/>
      <c r="P132" s="74"/>
      <c r="Q132" s="74"/>
      <c r="R132" s="74"/>
      <c r="S132" s="74"/>
      <c r="T132" s="74"/>
      <c r="U132" s="74"/>
      <c r="V132" s="74"/>
      <c r="W132" s="74"/>
      <c r="X132" s="74"/>
      <c r="Y132" s="74"/>
      <c r="Z132" s="74"/>
      <c r="AA132" s="74"/>
      <c r="AB132" s="74"/>
    </row>
    <row r="133" spans="1:28" ht="40.5" customHeight="1">
      <c r="A133" s="373" t="s">
        <v>3267</v>
      </c>
      <c r="B133" s="359">
        <v>44024</v>
      </c>
      <c r="C133" s="362" t="s">
        <v>856</v>
      </c>
      <c r="D133" s="158" t="s">
        <v>3268</v>
      </c>
      <c r="E133" s="158" t="s">
        <v>41</v>
      </c>
      <c r="F133" s="158" t="s">
        <v>42</v>
      </c>
      <c r="G133" s="374"/>
      <c r="H133" s="375"/>
      <c r="I133" s="35"/>
      <c r="J133" s="74"/>
      <c r="K133" s="74"/>
      <c r="L133" s="74"/>
      <c r="M133" s="74"/>
      <c r="N133" s="74"/>
      <c r="O133" s="74"/>
      <c r="P133" s="74"/>
      <c r="Q133" s="74"/>
      <c r="R133" s="74"/>
      <c r="S133" s="74"/>
      <c r="T133" s="74"/>
      <c r="U133" s="74"/>
      <c r="V133" s="74"/>
      <c r="W133" s="74"/>
      <c r="X133" s="74"/>
      <c r="Y133" s="74"/>
      <c r="Z133" s="74"/>
      <c r="AA133" s="74"/>
      <c r="AB133" s="74"/>
    </row>
    <row r="134" spans="1:28" ht="40.5" customHeight="1">
      <c r="A134" s="373" t="s">
        <v>3269</v>
      </c>
      <c r="B134" s="359">
        <v>44015</v>
      </c>
      <c r="C134" s="158" t="s">
        <v>3222</v>
      </c>
      <c r="D134" s="158" t="s">
        <v>3270</v>
      </c>
      <c r="E134" s="158" t="s">
        <v>41</v>
      </c>
      <c r="F134" s="158"/>
      <c r="G134" s="374"/>
      <c r="H134" s="375"/>
      <c r="I134" s="35"/>
      <c r="J134" s="74"/>
      <c r="K134" s="74"/>
      <c r="L134" s="74"/>
      <c r="M134" s="74"/>
      <c r="N134" s="74"/>
      <c r="O134" s="74"/>
      <c r="P134" s="74"/>
      <c r="Q134" s="74"/>
      <c r="R134" s="74"/>
      <c r="S134" s="74"/>
      <c r="T134" s="74"/>
      <c r="U134" s="74"/>
      <c r="V134" s="74"/>
      <c r="W134" s="74"/>
      <c r="X134" s="74"/>
      <c r="Y134" s="74"/>
      <c r="Z134" s="74"/>
      <c r="AA134" s="74"/>
      <c r="AB134" s="74"/>
    </row>
    <row r="135" spans="1:28" ht="40.5" customHeight="1">
      <c r="A135" s="373" t="s">
        <v>3271</v>
      </c>
      <c r="B135" s="359">
        <v>44031</v>
      </c>
      <c r="C135" s="362" t="s">
        <v>856</v>
      </c>
      <c r="D135" s="158" t="s">
        <v>3272</v>
      </c>
      <c r="E135" s="158" t="s">
        <v>41</v>
      </c>
      <c r="F135" s="158" t="s">
        <v>42</v>
      </c>
      <c r="G135" s="374"/>
      <c r="H135" s="375"/>
      <c r="I135" s="35"/>
      <c r="J135" s="74"/>
      <c r="K135" s="74"/>
      <c r="L135" s="74"/>
      <c r="M135" s="74"/>
      <c r="N135" s="74"/>
      <c r="O135" s="74"/>
      <c r="P135" s="74"/>
      <c r="Q135" s="74"/>
      <c r="R135" s="74"/>
      <c r="S135" s="74"/>
      <c r="T135" s="74"/>
      <c r="U135" s="74"/>
      <c r="V135" s="74"/>
      <c r="W135" s="74"/>
      <c r="X135" s="74"/>
      <c r="Y135" s="74"/>
      <c r="Z135" s="74"/>
      <c r="AA135" s="74"/>
      <c r="AB135" s="74"/>
    </row>
    <row r="136" spans="1:28" ht="40.5" customHeight="1">
      <c r="A136" s="373" t="s">
        <v>3273</v>
      </c>
      <c r="B136" s="359">
        <v>44034</v>
      </c>
      <c r="C136" s="158" t="s">
        <v>856</v>
      </c>
      <c r="D136" s="158" t="s">
        <v>3274</v>
      </c>
      <c r="E136" s="158" t="s">
        <v>41</v>
      </c>
      <c r="F136" s="158" t="s">
        <v>42</v>
      </c>
      <c r="G136" s="374"/>
      <c r="H136" s="375"/>
      <c r="I136" s="35"/>
      <c r="J136" s="74"/>
      <c r="K136" s="74"/>
      <c r="L136" s="74"/>
      <c r="M136" s="74"/>
      <c r="N136" s="74"/>
      <c r="O136" s="74"/>
      <c r="P136" s="74"/>
      <c r="Q136" s="74"/>
      <c r="R136" s="74"/>
      <c r="S136" s="74"/>
      <c r="T136" s="74"/>
      <c r="U136" s="74"/>
      <c r="V136" s="74"/>
      <c r="W136" s="74"/>
      <c r="X136" s="74"/>
      <c r="Y136" s="74"/>
      <c r="Z136" s="74"/>
      <c r="AA136" s="74"/>
      <c r="AB136" s="74"/>
    </row>
    <row r="137" spans="1:28" ht="40.5" customHeight="1">
      <c r="A137" s="373" t="s">
        <v>3275</v>
      </c>
      <c r="B137" s="359">
        <v>44039</v>
      </c>
      <c r="C137" s="362" t="s">
        <v>856</v>
      </c>
      <c r="D137" s="158" t="s">
        <v>3276</v>
      </c>
      <c r="E137" s="158" t="s">
        <v>41</v>
      </c>
      <c r="F137" s="158" t="s">
        <v>42</v>
      </c>
      <c r="G137" s="374"/>
      <c r="H137" s="375"/>
      <c r="I137" s="35"/>
      <c r="J137" s="74"/>
      <c r="K137" s="74"/>
      <c r="L137" s="74"/>
      <c r="M137" s="74"/>
      <c r="N137" s="74"/>
      <c r="O137" s="74"/>
      <c r="P137" s="74"/>
      <c r="Q137" s="74"/>
      <c r="R137" s="74"/>
      <c r="S137" s="74"/>
      <c r="T137" s="74"/>
      <c r="U137" s="74"/>
      <c r="V137" s="74"/>
      <c r="W137" s="74"/>
      <c r="X137" s="74"/>
      <c r="Y137" s="74"/>
      <c r="Z137" s="74"/>
      <c r="AA137" s="74"/>
      <c r="AB137" s="74"/>
    </row>
    <row r="138" spans="1:28" ht="40.5" customHeight="1">
      <c r="A138" s="373" t="s">
        <v>3277</v>
      </c>
      <c r="B138" s="359">
        <v>44043</v>
      </c>
      <c r="C138" s="158" t="s">
        <v>856</v>
      </c>
      <c r="D138" s="158" t="s">
        <v>3278</v>
      </c>
      <c r="E138" s="158" t="s">
        <v>41</v>
      </c>
      <c r="F138" s="158" t="s">
        <v>42</v>
      </c>
      <c r="G138" s="374"/>
      <c r="H138" s="375"/>
      <c r="I138" s="35"/>
      <c r="J138" s="74"/>
      <c r="K138" s="74"/>
      <c r="L138" s="74"/>
      <c r="M138" s="74"/>
      <c r="N138" s="74"/>
      <c r="O138" s="74"/>
      <c r="P138" s="74"/>
      <c r="Q138" s="74"/>
      <c r="R138" s="74"/>
      <c r="S138" s="74"/>
      <c r="T138" s="74"/>
      <c r="U138" s="74"/>
      <c r="V138" s="74"/>
      <c r="W138" s="74"/>
      <c r="X138" s="74"/>
      <c r="Y138" s="74"/>
      <c r="Z138" s="74"/>
      <c r="AA138" s="74"/>
      <c r="AB138" s="74"/>
    </row>
    <row r="139" spans="1:28" ht="40.5" customHeight="1">
      <c r="A139" s="373" t="s">
        <v>3279</v>
      </c>
      <c r="B139" s="359">
        <v>44058</v>
      </c>
      <c r="C139" s="362" t="s">
        <v>856</v>
      </c>
      <c r="D139" s="158" t="s">
        <v>3280</v>
      </c>
      <c r="E139" s="158" t="s">
        <v>41</v>
      </c>
      <c r="F139" s="158" t="s">
        <v>42</v>
      </c>
      <c r="G139" s="374"/>
      <c r="H139" s="375"/>
      <c r="I139" s="35"/>
      <c r="J139" s="74"/>
      <c r="K139" s="74"/>
      <c r="L139" s="74"/>
      <c r="M139" s="74"/>
      <c r="N139" s="74"/>
      <c r="O139" s="74"/>
      <c r="P139" s="74"/>
      <c r="Q139" s="74"/>
      <c r="R139" s="74"/>
      <c r="S139" s="74"/>
      <c r="T139" s="74"/>
      <c r="U139" s="74"/>
      <c r="V139" s="74"/>
      <c r="W139" s="74"/>
      <c r="X139" s="74"/>
      <c r="Y139" s="74"/>
      <c r="Z139" s="74"/>
      <c r="AA139" s="74"/>
      <c r="AB139" s="74"/>
    </row>
    <row r="140" spans="1:28" ht="40.5" customHeight="1">
      <c r="A140" s="373" t="s">
        <v>3281</v>
      </c>
      <c r="B140" s="359">
        <v>44068</v>
      </c>
      <c r="C140" s="158" t="s">
        <v>856</v>
      </c>
      <c r="D140" s="158" t="s">
        <v>3282</v>
      </c>
      <c r="E140" s="158" t="s">
        <v>41</v>
      </c>
      <c r="F140" s="158" t="s">
        <v>42</v>
      </c>
      <c r="G140" s="374"/>
      <c r="H140" s="375"/>
      <c r="I140" s="35"/>
      <c r="J140" s="74"/>
      <c r="K140" s="74"/>
      <c r="L140" s="74"/>
      <c r="M140" s="74"/>
      <c r="N140" s="74"/>
      <c r="O140" s="74"/>
      <c r="P140" s="74"/>
      <c r="Q140" s="74"/>
      <c r="R140" s="74"/>
      <c r="S140" s="74"/>
      <c r="T140" s="74"/>
      <c r="U140" s="74"/>
      <c r="V140" s="74"/>
      <c r="W140" s="74"/>
      <c r="X140" s="74"/>
      <c r="Y140" s="74"/>
      <c r="Z140" s="74"/>
      <c r="AA140" s="74"/>
      <c r="AB140" s="74"/>
    </row>
    <row r="141" spans="1:28" ht="40.5" customHeight="1">
      <c r="A141" s="373" t="s">
        <v>3283</v>
      </c>
      <c r="B141" s="359">
        <v>44069</v>
      </c>
      <c r="C141" s="362" t="s">
        <v>856</v>
      </c>
      <c r="D141" s="158" t="s">
        <v>3284</v>
      </c>
      <c r="E141" s="158" t="s">
        <v>41</v>
      </c>
      <c r="F141" s="158" t="s">
        <v>42</v>
      </c>
      <c r="G141" s="374"/>
      <c r="H141" s="375"/>
      <c r="I141" s="35"/>
      <c r="J141" s="74"/>
      <c r="K141" s="74"/>
      <c r="L141" s="74"/>
      <c r="M141" s="74"/>
      <c r="N141" s="74"/>
      <c r="O141" s="74"/>
      <c r="P141" s="74"/>
      <c r="Q141" s="74"/>
      <c r="R141" s="74"/>
      <c r="S141" s="74"/>
      <c r="T141" s="74"/>
      <c r="U141" s="74"/>
      <c r="V141" s="74"/>
      <c r="W141" s="74"/>
      <c r="X141" s="74"/>
      <c r="Y141" s="74"/>
      <c r="Z141" s="74"/>
      <c r="AA141" s="74"/>
      <c r="AB141" s="74"/>
    </row>
    <row r="142" spans="1:28" ht="40.5" customHeight="1">
      <c r="A142" s="373" t="s">
        <v>3285</v>
      </c>
      <c r="B142" s="359">
        <v>44095</v>
      </c>
      <c r="C142" s="158" t="s">
        <v>856</v>
      </c>
      <c r="D142" s="158" t="s">
        <v>3286</v>
      </c>
      <c r="E142" s="158" t="s">
        <v>41</v>
      </c>
      <c r="F142" s="158" t="s">
        <v>42</v>
      </c>
      <c r="G142" s="374"/>
      <c r="H142" s="375"/>
      <c r="I142" s="35"/>
      <c r="J142" s="74"/>
      <c r="K142" s="74"/>
      <c r="L142" s="74"/>
      <c r="M142" s="74"/>
      <c r="N142" s="74"/>
      <c r="O142" s="74"/>
      <c r="P142" s="74"/>
      <c r="Q142" s="74"/>
      <c r="R142" s="74"/>
      <c r="S142" s="74"/>
      <c r="T142" s="74"/>
      <c r="U142" s="74"/>
      <c r="V142" s="74"/>
      <c r="W142" s="74"/>
      <c r="X142" s="74"/>
      <c r="Y142" s="74"/>
      <c r="Z142" s="74"/>
      <c r="AA142" s="74"/>
      <c r="AB142" s="74"/>
    </row>
    <row r="143" spans="1:28" ht="40.5" customHeight="1">
      <c r="A143" s="373" t="s">
        <v>3287</v>
      </c>
      <c r="B143" s="359">
        <v>44095</v>
      </c>
      <c r="C143" s="362" t="s">
        <v>856</v>
      </c>
      <c r="D143" s="158" t="s">
        <v>3288</v>
      </c>
      <c r="E143" s="158" t="s">
        <v>41</v>
      </c>
      <c r="F143" s="158" t="s">
        <v>42</v>
      </c>
      <c r="G143" s="374"/>
      <c r="H143" s="375"/>
      <c r="I143" s="35"/>
      <c r="J143" s="74"/>
      <c r="K143" s="74"/>
      <c r="L143" s="74"/>
      <c r="M143" s="74"/>
      <c r="N143" s="74"/>
      <c r="O143" s="74"/>
      <c r="P143" s="74"/>
      <c r="Q143" s="74"/>
      <c r="R143" s="74"/>
      <c r="S143" s="74"/>
      <c r="T143" s="74"/>
      <c r="U143" s="74"/>
      <c r="V143" s="74"/>
      <c r="W143" s="74"/>
      <c r="X143" s="74"/>
      <c r="Y143" s="74"/>
      <c r="Z143" s="74"/>
      <c r="AA143" s="74"/>
      <c r="AB143" s="74"/>
    </row>
    <row r="144" spans="1:28" ht="40.5" customHeight="1">
      <c r="A144" s="373" t="s">
        <v>3289</v>
      </c>
      <c r="B144" s="359">
        <v>44104</v>
      </c>
      <c r="C144" s="158" t="s">
        <v>856</v>
      </c>
      <c r="D144" s="158" t="s">
        <v>3290</v>
      </c>
      <c r="E144" s="158" t="s">
        <v>41</v>
      </c>
      <c r="F144" s="158" t="s">
        <v>42</v>
      </c>
      <c r="G144" s="374"/>
      <c r="H144" s="375"/>
      <c r="I144" s="35"/>
      <c r="J144" s="74"/>
      <c r="K144" s="74"/>
      <c r="L144" s="74"/>
      <c r="M144" s="74"/>
      <c r="N144" s="74"/>
      <c r="O144" s="74"/>
      <c r="P144" s="74"/>
      <c r="Q144" s="74"/>
      <c r="R144" s="74"/>
      <c r="S144" s="74"/>
      <c r="T144" s="74"/>
      <c r="U144" s="74"/>
      <c r="V144" s="74"/>
      <c r="W144" s="74"/>
      <c r="X144" s="74"/>
      <c r="Y144" s="74"/>
      <c r="Z144" s="74"/>
      <c r="AA144" s="74"/>
      <c r="AB144" s="74"/>
    </row>
    <row r="145" spans="1:28" ht="40.5" customHeight="1">
      <c r="A145" s="373" t="s">
        <v>3291</v>
      </c>
      <c r="B145" s="359">
        <v>44135</v>
      </c>
      <c r="C145" s="362" t="s">
        <v>856</v>
      </c>
      <c r="D145" s="158" t="s">
        <v>3292</v>
      </c>
      <c r="E145" s="158" t="s">
        <v>41</v>
      </c>
      <c r="F145" s="158" t="s">
        <v>42</v>
      </c>
      <c r="G145" s="374"/>
      <c r="H145" s="375"/>
      <c r="I145" s="35"/>
      <c r="J145" s="74"/>
      <c r="K145" s="74"/>
      <c r="L145" s="74"/>
      <c r="M145" s="74"/>
      <c r="N145" s="74"/>
      <c r="O145" s="74"/>
      <c r="P145" s="74"/>
      <c r="Q145" s="74"/>
      <c r="R145" s="74"/>
      <c r="S145" s="74"/>
      <c r="T145" s="74"/>
      <c r="U145" s="74"/>
      <c r="V145" s="74"/>
      <c r="W145" s="74"/>
      <c r="X145" s="74"/>
      <c r="Y145" s="74"/>
      <c r="Z145" s="74"/>
      <c r="AA145" s="74"/>
      <c r="AB145" s="74"/>
    </row>
    <row r="146" spans="1:28" ht="40.5" customHeight="1">
      <c r="A146" s="373" t="s">
        <v>3293</v>
      </c>
      <c r="B146" s="359">
        <v>44165</v>
      </c>
      <c r="C146" s="158" t="s">
        <v>856</v>
      </c>
      <c r="D146" s="158" t="s">
        <v>3294</v>
      </c>
      <c r="E146" s="158" t="s">
        <v>41</v>
      </c>
      <c r="F146" s="158" t="s">
        <v>42</v>
      </c>
      <c r="G146" s="374"/>
      <c r="H146" s="375"/>
      <c r="I146" s="35"/>
      <c r="J146" s="74"/>
      <c r="K146" s="74"/>
      <c r="L146" s="74"/>
      <c r="M146" s="74"/>
      <c r="N146" s="74"/>
      <c r="O146" s="74"/>
      <c r="P146" s="74"/>
      <c r="Q146" s="74"/>
      <c r="R146" s="74"/>
      <c r="S146" s="74"/>
      <c r="T146" s="74"/>
      <c r="U146" s="74"/>
      <c r="V146" s="74"/>
      <c r="W146" s="74"/>
      <c r="X146" s="74"/>
      <c r="Y146" s="74"/>
      <c r="Z146" s="74"/>
      <c r="AA146" s="74"/>
      <c r="AB146" s="74"/>
    </row>
    <row r="147" spans="1:28" ht="40.5" customHeight="1">
      <c r="A147" s="373" t="s">
        <v>3295</v>
      </c>
      <c r="B147" s="359">
        <v>44166</v>
      </c>
      <c r="C147" s="362" t="s">
        <v>856</v>
      </c>
      <c r="D147" s="158" t="s">
        <v>3296</v>
      </c>
      <c r="E147" s="158" t="s">
        <v>41</v>
      </c>
      <c r="F147" s="158" t="s">
        <v>42</v>
      </c>
      <c r="G147" s="374"/>
      <c r="H147" s="375"/>
      <c r="I147" s="35"/>
      <c r="J147" s="74"/>
      <c r="K147" s="74"/>
      <c r="L147" s="74"/>
      <c r="M147" s="74"/>
      <c r="N147" s="74"/>
      <c r="O147" s="74"/>
      <c r="P147" s="74"/>
      <c r="Q147" s="74"/>
      <c r="R147" s="74"/>
      <c r="S147" s="74"/>
      <c r="T147" s="74"/>
      <c r="U147" s="74"/>
      <c r="V147" s="74"/>
      <c r="W147" s="74"/>
      <c r="X147" s="74"/>
      <c r="Y147" s="74"/>
      <c r="Z147" s="74"/>
      <c r="AA147" s="74"/>
      <c r="AB147" s="74"/>
    </row>
    <row r="148" spans="1:28" ht="40.5" customHeight="1">
      <c r="A148" s="373" t="s">
        <v>3297</v>
      </c>
      <c r="B148" s="359">
        <v>44185</v>
      </c>
      <c r="C148" s="158" t="s">
        <v>856</v>
      </c>
      <c r="D148" s="158" t="s">
        <v>3298</v>
      </c>
      <c r="E148" s="158" t="s">
        <v>41</v>
      </c>
      <c r="F148" s="158" t="s">
        <v>42</v>
      </c>
      <c r="G148" s="374"/>
      <c r="H148" s="375"/>
      <c r="I148" s="35"/>
      <c r="J148" s="74"/>
      <c r="K148" s="74"/>
      <c r="L148" s="74"/>
      <c r="M148" s="74"/>
      <c r="N148" s="74"/>
      <c r="O148" s="74"/>
      <c r="P148" s="74"/>
      <c r="Q148" s="74"/>
      <c r="R148" s="74"/>
      <c r="S148" s="74"/>
      <c r="T148" s="74"/>
      <c r="U148" s="74"/>
      <c r="V148" s="74"/>
      <c r="W148" s="74"/>
      <c r="X148" s="74"/>
      <c r="Y148" s="74"/>
      <c r="Z148" s="74"/>
      <c r="AA148" s="74"/>
      <c r="AB148" s="74"/>
    </row>
    <row r="149" spans="1:28" ht="40.5" customHeight="1">
      <c r="A149" s="373" t="s">
        <v>3299</v>
      </c>
      <c r="B149" s="359">
        <v>44200</v>
      </c>
      <c r="C149" s="362" t="s">
        <v>856</v>
      </c>
      <c r="D149" s="158" t="s">
        <v>3300</v>
      </c>
      <c r="E149" s="158" t="s">
        <v>41</v>
      </c>
      <c r="F149" s="158" t="s">
        <v>42</v>
      </c>
      <c r="G149" s="374"/>
      <c r="H149" s="375"/>
      <c r="I149" s="35"/>
      <c r="J149" s="74"/>
      <c r="K149" s="74"/>
      <c r="L149" s="74"/>
      <c r="M149" s="74"/>
      <c r="N149" s="74"/>
      <c r="O149" s="74"/>
      <c r="P149" s="74"/>
      <c r="Q149" s="74"/>
      <c r="R149" s="74"/>
      <c r="S149" s="74"/>
      <c r="T149" s="74"/>
      <c r="U149" s="74"/>
      <c r="V149" s="74"/>
      <c r="W149" s="74"/>
      <c r="X149" s="74"/>
      <c r="Y149" s="74"/>
      <c r="Z149" s="74"/>
      <c r="AA149" s="74"/>
      <c r="AB149" s="74"/>
    </row>
    <row r="150" spans="1:28" ht="40.5" customHeight="1">
      <c r="A150" s="373" t="s">
        <v>3301</v>
      </c>
      <c r="B150" s="359">
        <v>44203</v>
      </c>
      <c r="C150" s="158" t="s">
        <v>856</v>
      </c>
      <c r="D150" s="158" t="s">
        <v>3302</v>
      </c>
      <c r="E150" s="158" t="s">
        <v>41</v>
      </c>
      <c r="F150" s="158" t="s">
        <v>42</v>
      </c>
      <c r="G150" s="374"/>
      <c r="H150" s="375"/>
      <c r="I150" s="35"/>
      <c r="J150" s="74"/>
      <c r="K150" s="74"/>
      <c r="L150" s="74"/>
      <c r="M150" s="74"/>
      <c r="N150" s="74"/>
      <c r="O150" s="74"/>
      <c r="P150" s="74"/>
      <c r="Q150" s="74"/>
      <c r="R150" s="74"/>
      <c r="S150" s="74"/>
      <c r="T150" s="74"/>
      <c r="U150" s="74"/>
      <c r="V150" s="74"/>
      <c r="W150" s="74"/>
      <c r="X150" s="74"/>
      <c r="Y150" s="74"/>
      <c r="Z150" s="74"/>
      <c r="AA150" s="74"/>
      <c r="AB150" s="74"/>
    </row>
    <row r="151" spans="1:28" ht="40.5" customHeight="1">
      <c r="A151" s="373" t="s">
        <v>3303</v>
      </c>
      <c r="B151" s="359">
        <v>44210</v>
      </c>
      <c r="C151" s="362" t="s">
        <v>856</v>
      </c>
      <c r="D151" s="158" t="s">
        <v>3304</v>
      </c>
      <c r="E151" s="158" t="s">
        <v>41</v>
      </c>
      <c r="F151" s="158" t="s">
        <v>42</v>
      </c>
      <c r="G151" s="374"/>
      <c r="H151" s="375"/>
      <c r="I151" s="35"/>
      <c r="J151" s="74"/>
      <c r="K151" s="74"/>
      <c r="L151" s="74"/>
      <c r="M151" s="74"/>
      <c r="N151" s="74"/>
      <c r="O151" s="74"/>
      <c r="P151" s="74"/>
      <c r="Q151" s="74"/>
      <c r="R151" s="74"/>
      <c r="S151" s="74"/>
      <c r="T151" s="74"/>
      <c r="U151" s="74"/>
      <c r="V151" s="74"/>
      <c r="W151" s="74"/>
      <c r="X151" s="74"/>
      <c r="Y151" s="74"/>
      <c r="Z151" s="74"/>
      <c r="AA151" s="74"/>
      <c r="AB151" s="74"/>
    </row>
    <row r="152" spans="1:28" ht="40.5" customHeight="1">
      <c r="A152" s="373" t="s">
        <v>3305</v>
      </c>
      <c r="B152" s="359">
        <v>44211</v>
      </c>
      <c r="C152" s="158" t="s">
        <v>856</v>
      </c>
      <c r="D152" s="158" t="s">
        <v>3306</v>
      </c>
      <c r="E152" s="158" t="s">
        <v>41</v>
      </c>
      <c r="F152" s="158" t="s">
        <v>42</v>
      </c>
      <c r="G152" s="374"/>
      <c r="H152" s="375"/>
      <c r="I152" s="35"/>
      <c r="J152" s="74"/>
      <c r="K152" s="74"/>
      <c r="L152" s="74"/>
      <c r="M152" s="74"/>
      <c r="N152" s="74"/>
      <c r="O152" s="74"/>
      <c r="P152" s="74"/>
      <c r="Q152" s="74"/>
      <c r="R152" s="74"/>
      <c r="S152" s="74"/>
      <c r="T152" s="74"/>
      <c r="U152" s="74"/>
      <c r="V152" s="74"/>
      <c r="W152" s="74"/>
      <c r="X152" s="74"/>
      <c r="Y152" s="74"/>
      <c r="Z152" s="74"/>
      <c r="AA152" s="74"/>
      <c r="AB152" s="74"/>
    </row>
    <row r="153" spans="1:28" ht="40.5" customHeight="1">
      <c r="A153" s="373" t="s">
        <v>3307</v>
      </c>
      <c r="B153" s="359">
        <v>43918</v>
      </c>
      <c r="C153" s="362" t="s">
        <v>520</v>
      </c>
      <c r="D153" s="158" t="s">
        <v>3308</v>
      </c>
      <c r="E153" s="158" t="s">
        <v>3309</v>
      </c>
      <c r="F153" s="158"/>
      <c r="G153" s="374"/>
      <c r="H153" s="375"/>
      <c r="I153" s="35"/>
      <c r="J153" s="74"/>
      <c r="K153" s="74"/>
      <c r="L153" s="74"/>
      <c r="M153" s="74"/>
      <c r="N153" s="74"/>
      <c r="O153" s="74"/>
      <c r="P153" s="74"/>
      <c r="Q153" s="74"/>
      <c r="R153" s="74"/>
      <c r="S153" s="74"/>
      <c r="T153" s="74"/>
      <c r="U153" s="74"/>
      <c r="V153" s="74"/>
      <c r="W153" s="74"/>
      <c r="X153" s="74"/>
      <c r="Y153" s="74"/>
      <c r="Z153" s="74"/>
      <c r="AA153" s="74"/>
      <c r="AB153" s="74"/>
    </row>
    <row r="154" spans="1:28" ht="40.5" customHeight="1">
      <c r="A154" s="373" t="s">
        <v>3310</v>
      </c>
      <c r="B154" s="359">
        <v>44187</v>
      </c>
      <c r="C154" s="158" t="s">
        <v>2495</v>
      </c>
      <c r="D154" s="158" t="s">
        <v>3311</v>
      </c>
      <c r="E154" s="158" t="s">
        <v>3312</v>
      </c>
      <c r="F154" s="158"/>
      <c r="G154" s="374"/>
      <c r="H154" s="375"/>
      <c r="I154" s="35"/>
      <c r="J154" s="74"/>
      <c r="K154" s="74"/>
      <c r="L154" s="74"/>
      <c r="M154" s="74"/>
      <c r="N154" s="74"/>
      <c r="O154" s="74"/>
      <c r="P154" s="74"/>
      <c r="Q154" s="74"/>
      <c r="R154" s="74"/>
      <c r="S154" s="74"/>
      <c r="T154" s="74"/>
      <c r="U154" s="74"/>
      <c r="V154" s="74"/>
      <c r="W154" s="74"/>
      <c r="X154" s="74"/>
      <c r="Y154" s="74"/>
      <c r="Z154" s="74"/>
      <c r="AA154" s="74"/>
      <c r="AB154" s="74"/>
    </row>
    <row r="155" spans="1:28" ht="40.5" customHeight="1">
      <c r="A155" s="373" t="s">
        <v>3313</v>
      </c>
      <c r="B155" s="359">
        <v>44222</v>
      </c>
      <c r="C155" s="362" t="s">
        <v>3213</v>
      </c>
      <c r="D155" s="158" t="s">
        <v>3314</v>
      </c>
      <c r="E155" s="158" t="s">
        <v>657</v>
      </c>
      <c r="F155" s="158" t="s">
        <v>3315</v>
      </c>
      <c r="G155" s="374"/>
      <c r="H155" s="375"/>
      <c r="I155" s="35"/>
      <c r="J155" s="74"/>
      <c r="K155" s="74"/>
      <c r="L155" s="74"/>
      <c r="M155" s="74"/>
      <c r="N155" s="74"/>
      <c r="O155" s="74"/>
      <c r="P155" s="74"/>
      <c r="Q155" s="74"/>
      <c r="R155" s="74"/>
      <c r="S155" s="74"/>
      <c r="T155" s="74"/>
      <c r="U155" s="74"/>
      <c r="V155" s="74"/>
      <c r="W155" s="74"/>
      <c r="X155" s="74"/>
      <c r="Y155" s="74"/>
      <c r="Z155" s="74"/>
      <c r="AA155" s="74"/>
      <c r="AB155" s="74"/>
    </row>
    <row r="156" spans="1:28" ht="40.5" customHeight="1">
      <c r="A156" s="373" t="s">
        <v>3316</v>
      </c>
      <c r="B156" s="359">
        <v>44225</v>
      </c>
      <c r="C156" s="158" t="s">
        <v>1098</v>
      </c>
      <c r="D156" s="158" t="s">
        <v>3317</v>
      </c>
      <c r="E156" s="158" t="s">
        <v>3318</v>
      </c>
      <c r="F156" s="158" t="s">
        <v>3319</v>
      </c>
      <c r="G156" s="374"/>
      <c r="H156" s="375"/>
      <c r="I156" s="35"/>
      <c r="J156" s="74"/>
      <c r="K156" s="74"/>
      <c r="L156" s="74"/>
      <c r="M156" s="74"/>
      <c r="N156" s="74"/>
      <c r="O156" s="74"/>
      <c r="P156" s="74"/>
      <c r="Q156" s="74"/>
      <c r="R156" s="74"/>
      <c r="S156" s="74"/>
      <c r="T156" s="74"/>
      <c r="U156" s="74"/>
      <c r="V156" s="74"/>
      <c r="W156" s="74"/>
      <c r="X156" s="74"/>
      <c r="Y156" s="74"/>
      <c r="Z156" s="74"/>
      <c r="AA156" s="74"/>
      <c r="AB156" s="74"/>
    </row>
    <row r="157" spans="1:28" ht="40.5" customHeight="1">
      <c r="A157" s="373" t="s">
        <v>3316</v>
      </c>
      <c r="B157" s="359">
        <v>44225</v>
      </c>
      <c r="C157" s="362" t="s">
        <v>1098</v>
      </c>
      <c r="D157" s="158" t="s">
        <v>3320</v>
      </c>
      <c r="E157" s="158" t="s">
        <v>41</v>
      </c>
      <c r="F157" s="158" t="s">
        <v>3321</v>
      </c>
      <c r="G157" s="374"/>
      <c r="H157" s="375"/>
      <c r="I157" s="35"/>
      <c r="J157" s="74"/>
      <c r="K157" s="74"/>
      <c r="L157" s="74"/>
      <c r="M157" s="74"/>
      <c r="N157" s="74"/>
      <c r="O157" s="74"/>
      <c r="P157" s="74"/>
      <c r="Q157" s="74"/>
      <c r="R157" s="74"/>
      <c r="S157" s="74"/>
      <c r="T157" s="74"/>
      <c r="U157" s="74"/>
      <c r="V157" s="74"/>
      <c r="W157" s="74"/>
      <c r="X157" s="74"/>
      <c r="Y157" s="74"/>
      <c r="Z157" s="74"/>
      <c r="AA157" s="74"/>
      <c r="AB157" s="74"/>
    </row>
    <row r="158" spans="1:28" ht="40.5" customHeight="1">
      <c r="A158" s="373" t="s">
        <v>3322</v>
      </c>
      <c r="B158" s="359">
        <v>44224</v>
      </c>
      <c r="C158" s="158" t="s">
        <v>1098</v>
      </c>
      <c r="D158" s="158" t="s">
        <v>3323</v>
      </c>
      <c r="E158" s="158" t="s">
        <v>2884</v>
      </c>
      <c r="F158" s="158" t="s">
        <v>3324</v>
      </c>
      <c r="G158" s="374"/>
      <c r="H158" s="375"/>
      <c r="I158" s="35"/>
      <c r="J158" s="74"/>
      <c r="K158" s="74"/>
      <c r="L158" s="74"/>
      <c r="M158" s="74"/>
      <c r="N158" s="74"/>
      <c r="O158" s="74"/>
      <c r="P158" s="74"/>
      <c r="Q158" s="74"/>
      <c r="R158" s="74"/>
      <c r="S158" s="74"/>
      <c r="T158" s="74"/>
      <c r="U158" s="74"/>
      <c r="V158" s="74"/>
      <c r="W158" s="74"/>
      <c r="X158" s="74"/>
      <c r="Y158" s="74"/>
      <c r="Z158" s="74"/>
      <c r="AA158" s="74"/>
      <c r="AB158" s="74"/>
    </row>
    <row r="159" spans="1:28" ht="40.5" customHeight="1">
      <c r="A159" s="373" t="s">
        <v>3325</v>
      </c>
      <c r="B159" s="359">
        <v>44225</v>
      </c>
      <c r="C159" s="362" t="s">
        <v>1098</v>
      </c>
      <c r="D159" s="158" t="s">
        <v>3326</v>
      </c>
      <c r="E159" s="158" t="s">
        <v>2884</v>
      </c>
      <c r="F159" s="158" t="s">
        <v>3327</v>
      </c>
      <c r="G159" s="374"/>
      <c r="H159" s="375"/>
      <c r="I159" s="35"/>
      <c r="J159" s="74"/>
      <c r="K159" s="74"/>
      <c r="L159" s="74"/>
      <c r="M159" s="74"/>
      <c r="N159" s="74"/>
      <c r="O159" s="74"/>
      <c r="P159" s="74"/>
      <c r="Q159" s="74"/>
      <c r="R159" s="74"/>
      <c r="S159" s="74"/>
      <c r="T159" s="74"/>
      <c r="U159" s="74"/>
      <c r="V159" s="74"/>
      <c r="W159" s="74"/>
      <c r="X159" s="74"/>
      <c r="Y159" s="74"/>
      <c r="Z159" s="74"/>
      <c r="AA159" s="74"/>
      <c r="AB159" s="74"/>
    </row>
    <row r="160" spans="1:28" ht="40.5" customHeight="1">
      <c r="A160" s="373" t="s">
        <v>3328</v>
      </c>
      <c r="B160" s="359">
        <v>43098</v>
      </c>
      <c r="C160" s="158" t="s">
        <v>1596</v>
      </c>
      <c r="D160" s="158" t="s">
        <v>3329</v>
      </c>
      <c r="E160" s="158" t="s">
        <v>41</v>
      </c>
      <c r="F160" s="158" t="s">
        <v>42</v>
      </c>
      <c r="G160" s="374"/>
      <c r="H160" s="375"/>
      <c r="I160" s="35"/>
      <c r="J160" s="74"/>
      <c r="K160" s="74"/>
      <c r="L160" s="74"/>
      <c r="M160" s="74"/>
      <c r="N160" s="74"/>
      <c r="O160" s="74"/>
      <c r="P160" s="74"/>
      <c r="Q160" s="74"/>
      <c r="R160" s="74"/>
      <c r="S160" s="74"/>
      <c r="T160" s="74"/>
      <c r="U160" s="74"/>
      <c r="V160" s="74"/>
      <c r="W160" s="74"/>
      <c r="X160" s="74"/>
      <c r="Y160" s="74"/>
      <c r="Z160" s="74"/>
      <c r="AA160" s="74"/>
      <c r="AB160" s="74"/>
    </row>
    <row r="161" spans="1:28" ht="40.5" customHeight="1">
      <c r="A161" s="373" t="s">
        <v>3330</v>
      </c>
      <c r="B161" s="359">
        <v>43707</v>
      </c>
      <c r="C161" s="362" t="s">
        <v>566</v>
      </c>
      <c r="D161" s="158" t="s">
        <v>3331</v>
      </c>
      <c r="E161" s="158" t="s">
        <v>41</v>
      </c>
      <c r="F161" s="158" t="s">
        <v>42</v>
      </c>
      <c r="G161" s="374"/>
      <c r="H161" s="375"/>
      <c r="I161" s="35"/>
      <c r="J161" s="74"/>
      <c r="K161" s="74"/>
      <c r="L161" s="74"/>
      <c r="M161" s="74"/>
      <c r="N161" s="74"/>
      <c r="O161" s="74"/>
      <c r="P161" s="74"/>
      <c r="Q161" s="74"/>
      <c r="R161" s="74"/>
      <c r="S161" s="74"/>
      <c r="T161" s="74"/>
      <c r="U161" s="74"/>
      <c r="V161" s="74"/>
      <c r="W161" s="74"/>
      <c r="X161" s="74"/>
      <c r="Y161" s="74"/>
      <c r="Z161" s="74"/>
      <c r="AA161" s="74"/>
      <c r="AB161" s="74"/>
    </row>
    <row r="162" spans="1:28" ht="40.5" customHeight="1">
      <c r="A162" s="373" t="s">
        <v>3332</v>
      </c>
      <c r="B162" s="359">
        <v>44186</v>
      </c>
      <c r="C162" s="158" t="s">
        <v>1596</v>
      </c>
      <c r="D162" s="158" t="s">
        <v>3333</v>
      </c>
      <c r="E162" s="158" t="s">
        <v>41</v>
      </c>
      <c r="F162" s="158" t="s">
        <v>42</v>
      </c>
      <c r="G162" s="376"/>
      <c r="H162" s="377"/>
      <c r="I162" s="74"/>
      <c r="J162" s="74"/>
      <c r="K162" s="74"/>
      <c r="L162" s="74"/>
      <c r="M162" s="74"/>
      <c r="N162" s="74"/>
      <c r="O162" s="74"/>
      <c r="P162" s="74"/>
      <c r="Q162" s="74"/>
      <c r="R162" s="74"/>
      <c r="S162" s="74"/>
      <c r="T162" s="74"/>
      <c r="U162" s="74"/>
      <c r="V162" s="74"/>
      <c r="W162" s="74"/>
      <c r="X162" s="74"/>
      <c r="Y162" s="74"/>
      <c r="Z162" s="74"/>
      <c r="AA162" s="74"/>
      <c r="AB162" s="74"/>
    </row>
    <row r="163" spans="1:28" ht="40.5" customHeight="1">
      <c r="A163" s="373" t="s">
        <v>3334</v>
      </c>
      <c r="B163" s="359">
        <v>44328</v>
      </c>
      <c r="C163" s="158" t="s">
        <v>3335</v>
      </c>
      <c r="D163" s="158" t="s">
        <v>3336</v>
      </c>
      <c r="E163" s="158" t="s">
        <v>41</v>
      </c>
      <c r="F163" s="158" t="s">
        <v>42</v>
      </c>
      <c r="G163" s="376"/>
      <c r="H163" s="377"/>
      <c r="I163" s="74"/>
      <c r="J163" s="74"/>
      <c r="K163" s="74"/>
      <c r="L163" s="74"/>
      <c r="M163" s="74"/>
      <c r="N163" s="74"/>
      <c r="O163" s="74"/>
      <c r="P163" s="74"/>
      <c r="Q163" s="74"/>
      <c r="R163" s="74"/>
      <c r="S163" s="74"/>
      <c r="T163" s="74"/>
      <c r="U163" s="74"/>
      <c r="V163" s="74"/>
      <c r="W163" s="74"/>
      <c r="X163" s="74"/>
      <c r="Y163" s="74"/>
      <c r="Z163" s="74"/>
      <c r="AA163" s="74"/>
      <c r="AB163" s="74"/>
    </row>
    <row r="164" spans="1:28" ht="40.5" customHeight="1">
      <c r="A164" s="373" t="s">
        <v>3337</v>
      </c>
      <c r="B164" s="158" t="s">
        <v>3338</v>
      </c>
      <c r="C164" s="158" t="s">
        <v>856</v>
      </c>
      <c r="D164" s="158" t="s">
        <v>3339</v>
      </c>
      <c r="E164" s="158" t="s">
        <v>41</v>
      </c>
      <c r="F164" s="158" t="s">
        <v>42</v>
      </c>
      <c r="G164" s="378"/>
      <c r="H164" s="378"/>
      <c r="I164" s="379"/>
      <c r="J164" s="379"/>
      <c r="K164" s="379"/>
      <c r="L164" s="379"/>
      <c r="M164" s="74"/>
      <c r="N164" s="74"/>
      <c r="O164" s="74"/>
      <c r="P164" s="74"/>
      <c r="Q164" s="74"/>
      <c r="R164" s="74"/>
      <c r="S164" s="74"/>
      <c r="T164" s="74"/>
      <c r="U164" s="74"/>
      <c r="V164" s="74"/>
      <c r="W164" s="74"/>
      <c r="X164" s="74"/>
      <c r="Y164" s="74"/>
      <c r="Z164" s="74"/>
      <c r="AA164" s="74"/>
      <c r="AB164" s="74"/>
    </row>
    <row r="165" spans="1:28" ht="40.5" customHeight="1">
      <c r="A165" s="373" t="s">
        <v>3340</v>
      </c>
      <c r="B165" s="359">
        <v>44314</v>
      </c>
      <c r="C165" s="362" t="s">
        <v>856</v>
      </c>
      <c r="D165" s="158" t="s">
        <v>3341</v>
      </c>
      <c r="E165" s="158" t="s">
        <v>41</v>
      </c>
      <c r="F165" s="158" t="s">
        <v>42</v>
      </c>
      <c r="G165" s="378"/>
      <c r="H165" s="378"/>
      <c r="I165" s="379"/>
      <c r="J165" s="379"/>
      <c r="K165" s="379"/>
      <c r="L165" s="379"/>
      <c r="M165" s="74"/>
      <c r="N165" s="74"/>
      <c r="O165" s="74"/>
      <c r="P165" s="74"/>
      <c r="Q165" s="74"/>
      <c r="R165" s="74"/>
      <c r="S165" s="74"/>
      <c r="T165" s="74"/>
      <c r="U165" s="74"/>
      <c r="V165" s="74"/>
      <c r="W165" s="74"/>
      <c r="X165" s="74"/>
      <c r="Y165" s="74"/>
      <c r="Z165" s="74"/>
      <c r="AA165" s="74"/>
      <c r="AB165" s="74"/>
    </row>
    <row r="166" spans="1:28" ht="40.5" customHeight="1">
      <c r="A166" s="380" t="s">
        <v>624</v>
      </c>
      <c r="B166" s="381">
        <v>39676</v>
      </c>
      <c r="C166" s="382" t="s">
        <v>3335</v>
      </c>
      <c r="D166" s="382" t="s">
        <v>3342</v>
      </c>
      <c r="E166" s="382" t="s">
        <v>41</v>
      </c>
      <c r="F166" s="382" t="s">
        <v>42</v>
      </c>
      <c r="G166" s="383"/>
      <c r="H166" s="383"/>
      <c r="I166" s="383"/>
      <c r="J166" s="383"/>
      <c r="K166" s="383"/>
      <c r="L166" s="383"/>
      <c r="M166" s="384"/>
      <c r="N166" s="384"/>
      <c r="O166" s="384"/>
      <c r="P166" s="384"/>
      <c r="Q166" s="384"/>
      <c r="R166" s="384"/>
      <c r="S166" s="384"/>
      <c r="T166" s="384"/>
      <c r="U166" s="384"/>
      <c r="V166" s="384"/>
      <c r="W166" s="384"/>
      <c r="X166" s="384"/>
      <c r="Y166" s="384"/>
      <c r="Z166" s="384"/>
      <c r="AA166" s="384"/>
      <c r="AB166" s="384"/>
    </row>
    <row r="167" spans="1:28" ht="40.5" customHeight="1">
      <c r="A167" s="373" t="s">
        <v>3343</v>
      </c>
      <c r="B167" s="359">
        <v>41029</v>
      </c>
      <c r="C167" s="158" t="s">
        <v>3335</v>
      </c>
      <c r="D167" s="158" t="s">
        <v>3344</v>
      </c>
      <c r="E167" s="158" t="s">
        <v>41</v>
      </c>
      <c r="F167" s="158" t="s">
        <v>42</v>
      </c>
      <c r="G167" s="378"/>
      <c r="H167" s="378"/>
      <c r="I167" s="379"/>
      <c r="J167" s="379"/>
      <c r="K167" s="379"/>
      <c r="L167" s="379"/>
      <c r="M167" s="74"/>
      <c r="N167" s="74"/>
      <c r="O167" s="74"/>
      <c r="P167" s="74"/>
      <c r="Q167" s="74"/>
      <c r="R167" s="74"/>
      <c r="S167" s="74"/>
      <c r="T167" s="74"/>
      <c r="U167" s="74"/>
      <c r="V167" s="74"/>
      <c r="W167" s="74"/>
      <c r="X167" s="74"/>
      <c r="Y167" s="74"/>
      <c r="Z167" s="74"/>
      <c r="AA167" s="74"/>
      <c r="AB167" s="74"/>
    </row>
    <row r="168" spans="1:28" ht="40.5" customHeight="1">
      <c r="A168" s="373" t="s">
        <v>3345</v>
      </c>
      <c r="B168" s="359">
        <v>44406</v>
      </c>
      <c r="C168" s="158" t="s">
        <v>3335</v>
      </c>
      <c r="D168" s="158" t="s">
        <v>3346</v>
      </c>
      <c r="E168" s="158" t="s">
        <v>41</v>
      </c>
      <c r="F168" s="158" t="s">
        <v>42</v>
      </c>
      <c r="G168" s="378"/>
      <c r="H168" s="378"/>
      <c r="I168" s="379"/>
      <c r="J168" s="379"/>
      <c r="K168" s="379"/>
      <c r="L168" s="379"/>
      <c r="M168" s="74"/>
      <c r="N168" s="74"/>
      <c r="O168" s="74"/>
      <c r="P168" s="74"/>
      <c r="Q168" s="74"/>
      <c r="R168" s="74"/>
      <c r="S168" s="74"/>
      <c r="T168" s="74"/>
      <c r="U168" s="74"/>
      <c r="V168" s="74"/>
      <c r="W168" s="74"/>
      <c r="X168" s="74"/>
      <c r="Y168" s="74"/>
      <c r="Z168" s="74"/>
      <c r="AA168" s="74"/>
      <c r="AB168" s="74"/>
    </row>
    <row r="169" spans="1:28" ht="40.5" customHeight="1">
      <c r="A169" s="385" t="s">
        <v>3347</v>
      </c>
      <c r="B169" s="386">
        <v>44386</v>
      </c>
      <c r="C169" s="387" t="s">
        <v>3348</v>
      </c>
      <c r="D169" s="387" t="s">
        <v>3349</v>
      </c>
      <c r="E169" s="388" t="s">
        <v>41</v>
      </c>
      <c r="F169" s="388" t="s">
        <v>42</v>
      </c>
      <c r="G169" s="389"/>
      <c r="H169" s="379"/>
      <c r="I169" s="389"/>
      <c r="J169" s="389"/>
      <c r="K169" s="389"/>
      <c r="L169" s="389"/>
      <c r="M169" s="74"/>
      <c r="N169" s="74"/>
      <c r="O169" s="74"/>
      <c r="P169" s="74"/>
      <c r="Q169" s="74"/>
      <c r="R169" s="74"/>
      <c r="S169" s="74"/>
      <c r="T169" s="74"/>
      <c r="U169" s="74"/>
      <c r="V169" s="74"/>
      <c r="W169" s="74"/>
      <c r="X169" s="74"/>
      <c r="Y169" s="74"/>
      <c r="Z169" s="74"/>
      <c r="AA169" s="74"/>
      <c r="AB169" s="74"/>
    </row>
    <row r="170" spans="1:28" ht="40.5" customHeight="1">
      <c r="A170" s="385" t="s">
        <v>3350</v>
      </c>
      <c r="B170" s="386">
        <v>44411</v>
      </c>
      <c r="C170" s="387" t="s">
        <v>3335</v>
      </c>
      <c r="D170" s="387" t="s">
        <v>3351</v>
      </c>
      <c r="E170" s="388" t="s">
        <v>41</v>
      </c>
      <c r="F170" s="388" t="s">
        <v>42</v>
      </c>
      <c r="G170" s="389"/>
      <c r="H170" s="379"/>
      <c r="I170" s="389"/>
      <c r="J170" s="389"/>
      <c r="K170" s="389"/>
      <c r="L170" s="389"/>
      <c r="M170" s="74"/>
      <c r="N170" s="74"/>
      <c r="O170" s="74"/>
      <c r="P170" s="74"/>
      <c r="Q170" s="74"/>
      <c r="R170" s="74"/>
      <c r="S170" s="74"/>
      <c r="T170" s="74"/>
      <c r="U170" s="74"/>
      <c r="V170" s="74"/>
      <c r="W170" s="74"/>
      <c r="X170" s="74"/>
      <c r="Y170" s="74"/>
      <c r="Z170" s="74"/>
      <c r="AA170" s="74"/>
      <c r="AB170" s="74"/>
    </row>
    <row r="171" spans="1:28" ht="40.5" customHeight="1">
      <c r="A171" s="373" t="s">
        <v>3352</v>
      </c>
      <c r="B171" s="359">
        <v>44418</v>
      </c>
      <c r="C171" s="158" t="s">
        <v>3353</v>
      </c>
      <c r="D171" s="158" t="s">
        <v>3354</v>
      </c>
      <c r="E171" s="158" t="s">
        <v>41</v>
      </c>
      <c r="F171" s="158" t="s">
        <v>3355</v>
      </c>
      <c r="G171" s="379"/>
      <c r="H171" s="379"/>
      <c r="I171" s="379"/>
      <c r="J171" s="379"/>
      <c r="K171" s="379"/>
      <c r="L171" s="379"/>
      <c r="M171" s="74"/>
      <c r="N171" s="74"/>
      <c r="O171" s="74"/>
      <c r="P171" s="74"/>
      <c r="Q171" s="74"/>
      <c r="R171" s="74"/>
      <c r="S171" s="74"/>
      <c r="T171" s="74"/>
      <c r="U171" s="74"/>
      <c r="V171" s="74"/>
      <c r="W171" s="74"/>
      <c r="X171" s="74"/>
      <c r="Y171" s="74"/>
      <c r="Z171" s="74"/>
      <c r="AA171" s="74"/>
      <c r="AB171" s="74"/>
    </row>
    <row r="172" spans="1:28" ht="40.5" customHeight="1">
      <c r="A172" s="373" t="s">
        <v>3356</v>
      </c>
      <c r="B172" s="361">
        <v>44445</v>
      </c>
      <c r="C172" s="158" t="s">
        <v>3357</v>
      </c>
      <c r="D172" s="158" t="s">
        <v>3358</v>
      </c>
      <c r="E172" s="158" t="s">
        <v>41</v>
      </c>
      <c r="F172" s="158" t="s">
        <v>42</v>
      </c>
      <c r="G172" s="378"/>
      <c r="H172" s="378"/>
      <c r="I172" s="379"/>
      <c r="J172" s="379"/>
      <c r="K172" s="379"/>
      <c r="L172" s="379"/>
      <c r="M172" s="74"/>
      <c r="N172" s="74"/>
      <c r="O172" s="74"/>
      <c r="P172" s="74"/>
      <c r="Q172" s="74"/>
      <c r="R172" s="74"/>
      <c r="S172" s="74"/>
      <c r="T172" s="74"/>
      <c r="U172" s="74"/>
      <c r="V172" s="74"/>
      <c r="W172" s="74"/>
      <c r="X172" s="74"/>
      <c r="Y172" s="74"/>
      <c r="Z172" s="74"/>
      <c r="AA172" s="74"/>
      <c r="AB172" s="74"/>
    </row>
    <row r="173" spans="1:28" ht="40.5" customHeight="1">
      <c r="A173" s="373" t="s">
        <v>3359</v>
      </c>
      <c r="B173" s="361">
        <v>44446</v>
      </c>
      <c r="C173" s="158" t="s">
        <v>3360</v>
      </c>
      <c r="D173" s="158" t="s">
        <v>3361</v>
      </c>
      <c r="E173" s="158" t="s">
        <v>41</v>
      </c>
      <c r="F173" s="158" t="s">
        <v>42</v>
      </c>
      <c r="G173" s="378"/>
      <c r="H173" s="378"/>
      <c r="I173" s="379"/>
      <c r="J173" s="379"/>
      <c r="K173" s="379"/>
      <c r="L173" s="379"/>
      <c r="M173" s="74"/>
      <c r="N173" s="74"/>
      <c r="O173" s="74"/>
      <c r="P173" s="74"/>
      <c r="Q173" s="74"/>
      <c r="R173" s="74"/>
      <c r="S173" s="74"/>
      <c r="T173" s="74"/>
      <c r="U173" s="74"/>
      <c r="V173" s="74"/>
      <c r="W173" s="74"/>
      <c r="X173" s="74"/>
      <c r="Y173" s="74"/>
      <c r="Z173" s="74"/>
      <c r="AA173" s="74"/>
      <c r="AB173" s="74"/>
    </row>
    <row r="174" spans="1:28" ht="40.5" customHeight="1">
      <c r="A174" s="373" t="s">
        <v>3362</v>
      </c>
      <c r="B174" s="359">
        <v>44476</v>
      </c>
      <c r="C174" s="158" t="s">
        <v>566</v>
      </c>
      <c r="D174" s="158" t="s">
        <v>3363</v>
      </c>
      <c r="E174" s="158" t="s">
        <v>41</v>
      </c>
      <c r="F174" s="158" t="s">
        <v>42</v>
      </c>
      <c r="G174" s="378"/>
      <c r="H174" s="378"/>
      <c r="I174" s="379"/>
      <c r="J174" s="379"/>
      <c r="K174" s="379"/>
      <c r="L174" s="379"/>
      <c r="M174" s="74"/>
      <c r="N174" s="74"/>
      <c r="O174" s="74"/>
      <c r="P174" s="74"/>
      <c r="Q174" s="74"/>
      <c r="R174" s="74"/>
      <c r="S174" s="74"/>
      <c r="T174" s="74"/>
      <c r="U174" s="74"/>
      <c r="V174" s="74"/>
      <c r="W174" s="74"/>
      <c r="X174" s="74"/>
      <c r="Y174" s="74"/>
      <c r="Z174" s="74"/>
      <c r="AA174" s="74"/>
      <c r="AB174" s="74"/>
    </row>
    <row r="175" spans="1:28" ht="40.5" customHeight="1">
      <c r="A175" s="373" t="s">
        <v>3364</v>
      </c>
      <c r="B175" s="359">
        <v>44481</v>
      </c>
      <c r="C175" s="158" t="s">
        <v>3209</v>
      </c>
      <c r="D175" s="158" t="s">
        <v>3365</v>
      </c>
      <c r="E175" s="158" t="s">
        <v>41</v>
      </c>
      <c r="F175" s="158" t="s">
        <v>42</v>
      </c>
      <c r="G175" s="378"/>
      <c r="H175" s="378"/>
      <c r="I175" s="379"/>
      <c r="J175" s="379"/>
      <c r="K175" s="379"/>
      <c r="L175" s="379"/>
      <c r="M175" s="74"/>
      <c r="N175" s="74"/>
      <c r="O175" s="74"/>
      <c r="P175" s="74"/>
      <c r="Q175" s="74"/>
      <c r="R175" s="74"/>
      <c r="S175" s="74"/>
      <c r="T175" s="74"/>
      <c r="U175" s="74"/>
      <c r="V175" s="74"/>
      <c r="W175" s="74"/>
      <c r="X175" s="74"/>
      <c r="Y175" s="74"/>
      <c r="Z175" s="74"/>
      <c r="AA175" s="74"/>
      <c r="AB175" s="74"/>
    </row>
    <row r="176" spans="1:28" ht="40.5" customHeight="1">
      <c r="A176" s="373" t="s">
        <v>3366</v>
      </c>
      <c r="B176" s="359">
        <v>42360</v>
      </c>
      <c r="C176" s="158" t="s">
        <v>1098</v>
      </c>
      <c r="D176" s="158" t="s">
        <v>3367</v>
      </c>
      <c r="E176" s="158" t="s">
        <v>41</v>
      </c>
      <c r="F176" s="158" t="s">
        <v>42</v>
      </c>
      <c r="G176" s="378"/>
      <c r="H176" s="378"/>
      <c r="I176" s="379"/>
      <c r="J176" s="379"/>
      <c r="K176" s="379"/>
      <c r="L176" s="379"/>
      <c r="M176" s="74"/>
      <c r="N176" s="74"/>
      <c r="O176" s="74"/>
      <c r="P176" s="74"/>
      <c r="Q176" s="74"/>
      <c r="R176" s="74"/>
      <c r="S176" s="74"/>
      <c r="T176" s="74"/>
      <c r="U176" s="74"/>
      <c r="V176" s="74"/>
      <c r="W176" s="74"/>
      <c r="X176" s="74"/>
      <c r="Y176" s="74"/>
      <c r="Z176" s="74"/>
      <c r="AA176" s="74"/>
      <c r="AB176" s="74"/>
    </row>
    <row r="177" spans="1:28" ht="40.5" customHeight="1">
      <c r="A177" s="373" t="s">
        <v>3368</v>
      </c>
      <c r="B177" s="361">
        <v>41856</v>
      </c>
      <c r="C177" s="158" t="s">
        <v>1098</v>
      </c>
      <c r="D177" s="158" t="s">
        <v>3369</v>
      </c>
      <c r="E177" s="158" t="s">
        <v>41</v>
      </c>
      <c r="F177" s="158" t="s">
        <v>42</v>
      </c>
      <c r="G177" s="378"/>
      <c r="H177" s="378"/>
      <c r="I177" s="379"/>
      <c r="J177" s="379"/>
      <c r="K177" s="379"/>
      <c r="L177" s="379"/>
      <c r="M177" s="74"/>
      <c r="N177" s="74"/>
      <c r="O177" s="74"/>
      <c r="P177" s="74"/>
      <c r="Q177" s="74"/>
      <c r="R177" s="74"/>
      <c r="S177" s="74"/>
      <c r="T177" s="74"/>
      <c r="U177" s="74"/>
      <c r="V177" s="74"/>
      <c r="W177" s="74"/>
      <c r="X177" s="74"/>
      <c r="Y177" s="74"/>
      <c r="Z177" s="74"/>
      <c r="AA177" s="74"/>
      <c r="AB177" s="74"/>
    </row>
    <row r="178" spans="1:28" ht="40.5" customHeight="1">
      <c r="A178" s="373" t="s">
        <v>3370</v>
      </c>
      <c r="B178" s="359">
        <v>42004</v>
      </c>
      <c r="C178" s="158" t="s">
        <v>1098</v>
      </c>
      <c r="D178" s="158" t="s">
        <v>3371</v>
      </c>
      <c r="E178" s="158" t="s">
        <v>41</v>
      </c>
      <c r="F178" s="158" t="s">
        <v>42</v>
      </c>
      <c r="G178" s="378"/>
      <c r="H178" s="378"/>
      <c r="I178" s="379"/>
      <c r="J178" s="379"/>
      <c r="K178" s="379"/>
      <c r="L178" s="379"/>
      <c r="M178" s="74"/>
      <c r="N178" s="74"/>
      <c r="O178" s="74"/>
      <c r="P178" s="74"/>
      <c r="Q178" s="74"/>
      <c r="R178" s="74"/>
      <c r="S178" s="74"/>
      <c r="T178" s="74"/>
      <c r="U178" s="74"/>
      <c r="V178" s="74"/>
      <c r="W178" s="74"/>
      <c r="X178" s="74"/>
      <c r="Y178" s="74"/>
      <c r="Z178" s="74"/>
      <c r="AA178" s="74"/>
      <c r="AB178" s="74"/>
    </row>
    <row r="179" spans="1:28" ht="40.5" customHeight="1">
      <c r="A179" s="373" t="s">
        <v>3372</v>
      </c>
      <c r="B179" s="359">
        <v>34373</v>
      </c>
      <c r="C179" s="158" t="s">
        <v>1793</v>
      </c>
      <c r="D179" s="158" t="s">
        <v>3373</v>
      </c>
      <c r="E179" s="158" t="s">
        <v>41</v>
      </c>
      <c r="F179" s="158" t="s">
        <v>42</v>
      </c>
      <c r="G179" s="378"/>
      <c r="H179" s="378"/>
      <c r="I179" s="379"/>
      <c r="J179" s="379"/>
      <c r="K179" s="379"/>
      <c r="L179" s="379"/>
      <c r="M179" s="74"/>
      <c r="N179" s="74"/>
      <c r="O179" s="74"/>
      <c r="P179" s="74"/>
      <c r="Q179" s="74"/>
      <c r="R179" s="74"/>
      <c r="S179" s="74"/>
      <c r="T179" s="74"/>
      <c r="U179" s="74"/>
      <c r="V179" s="74"/>
      <c r="W179" s="74"/>
      <c r="X179" s="74"/>
      <c r="Y179" s="74"/>
      <c r="Z179" s="74"/>
      <c r="AA179" s="74"/>
      <c r="AB179" s="74"/>
    </row>
    <row r="180" spans="1:28" ht="40.5" customHeight="1">
      <c r="A180" s="373" t="s">
        <v>3374</v>
      </c>
      <c r="B180" s="359">
        <v>42018</v>
      </c>
      <c r="C180" s="158" t="s">
        <v>1596</v>
      </c>
      <c r="D180" s="158" t="s">
        <v>3375</v>
      </c>
      <c r="E180" s="158" t="s">
        <v>41</v>
      </c>
      <c r="F180" s="158" t="s">
        <v>42</v>
      </c>
      <c r="G180" s="378"/>
      <c r="H180" s="378"/>
      <c r="I180" s="379"/>
      <c r="J180" s="379"/>
      <c r="K180" s="379"/>
      <c r="L180" s="379"/>
      <c r="M180" s="74"/>
      <c r="N180" s="74"/>
      <c r="O180" s="74"/>
      <c r="P180" s="74"/>
      <c r="Q180" s="74"/>
      <c r="R180" s="74"/>
      <c r="S180" s="74"/>
      <c r="T180" s="74"/>
      <c r="U180" s="74"/>
      <c r="V180" s="74"/>
      <c r="W180" s="74"/>
      <c r="X180" s="74"/>
      <c r="Y180" s="74"/>
      <c r="Z180" s="74"/>
      <c r="AA180" s="74"/>
      <c r="AB180" s="74"/>
    </row>
    <row r="181" spans="1:28" ht="40.5" customHeight="1">
      <c r="A181" s="373" t="s">
        <v>3376</v>
      </c>
      <c r="B181" s="359">
        <v>40007</v>
      </c>
      <c r="C181" s="158" t="s">
        <v>3135</v>
      </c>
      <c r="D181" s="158" t="s">
        <v>3377</v>
      </c>
      <c r="E181" s="158" t="s">
        <v>41</v>
      </c>
      <c r="F181" s="158" t="s">
        <v>42</v>
      </c>
      <c r="G181" s="378"/>
      <c r="H181" s="378"/>
      <c r="I181" s="379"/>
      <c r="J181" s="379"/>
      <c r="K181" s="379"/>
      <c r="L181" s="379"/>
      <c r="M181" s="74"/>
      <c r="N181" s="74"/>
      <c r="O181" s="74"/>
      <c r="P181" s="74"/>
      <c r="Q181" s="74"/>
      <c r="R181" s="74"/>
      <c r="S181" s="74"/>
      <c r="T181" s="74"/>
      <c r="U181" s="74"/>
      <c r="V181" s="74"/>
      <c r="W181" s="74"/>
      <c r="X181" s="74"/>
      <c r="Y181" s="74"/>
      <c r="Z181" s="74"/>
      <c r="AA181" s="74"/>
      <c r="AB181" s="74"/>
    </row>
    <row r="182" spans="1:28" ht="40.5" customHeight="1">
      <c r="A182" s="373" t="s">
        <v>3378</v>
      </c>
      <c r="B182" s="163">
        <v>41101</v>
      </c>
      <c r="C182" s="158" t="s">
        <v>3135</v>
      </c>
      <c r="D182" s="158" t="s">
        <v>3379</v>
      </c>
      <c r="E182" s="158" t="s">
        <v>41</v>
      </c>
      <c r="F182" s="158" t="s">
        <v>42</v>
      </c>
      <c r="G182" s="378"/>
      <c r="H182" s="378"/>
      <c r="I182" s="379"/>
      <c r="J182" s="379"/>
      <c r="K182" s="379"/>
      <c r="L182" s="379"/>
      <c r="M182" s="74"/>
      <c r="N182" s="74"/>
      <c r="O182" s="74"/>
      <c r="P182" s="74"/>
      <c r="Q182" s="74"/>
      <c r="R182" s="74"/>
      <c r="S182" s="74"/>
      <c r="T182" s="74"/>
      <c r="U182" s="74"/>
      <c r="V182" s="74"/>
      <c r="W182" s="74"/>
      <c r="X182" s="74"/>
      <c r="Y182" s="74"/>
      <c r="Z182" s="74"/>
      <c r="AA182" s="74"/>
      <c r="AB182" s="74"/>
    </row>
    <row r="183" spans="1:28" ht="40.5" customHeight="1">
      <c r="A183" s="373" t="s">
        <v>3380</v>
      </c>
      <c r="B183" s="359">
        <v>33966</v>
      </c>
      <c r="C183" s="158" t="s">
        <v>3135</v>
      </c>
      <c r="D183" s="158" t="s">
        <v>3381</v>
      </c>
      <c r="E183" s="158" t="s">
        <v>41</v>
      </c>
      <c r="F183" s="158" t="s">
        <v>42</v>
      </c>
      <c r="G183" s="378"/>
      <c r="H183" s="378"/>
      <c r="I183" s="379"/>
      <c r="J183" s="379"/>
      <c r="K183" s="379"/>
      <c r="L183" s="379"/>
      <c r="M183" s="74"/>
      <c r="N183" s="74"/>
      <c r="O183" s="74"/>
      <c r="P183" s="74"/>
      <c r="Q183" s="74"/>
      <c r="R183" s="74"/>
      <c r="S183" s="74"/>
      <c r="T183" s="74"/>
      <c r="U183" s="74"/>
      <c r="V183" s="74"/>
      <c r="W183" s="74"/>
      <c r="X183" s="74"/>
      <c r="Y183" s="74"/>
      <c r="Z183" s="74"/>
      <c r="AA183" s="74"/>
      <c r="AB183" s="74"/>
    </row>
    <row r="184" spans="1:28" ht="40.5" customHeight="1">
      <c r="A184" s="390" t="s">
        <v>3382</v>
      </c>
      <c r="B184" s="361">
        <v>43315</v>
      </c>
      <c r="C184" s="362" t="s">
        <v>1330</v>
      </c>
      <c r="D184" s="158" t="s">
        <v>3383</v>
      </c>
      <c r="E184" s="158" t="s">
        <v>41</v>
      </c>
      <c r="F184" s="158" t="s">
        <v>42</v>
      </c>
      <c r="G184" s="378"/>
      <c r="H184" s="378"/>
      <c r="I184" s="379"/>
      <c r="J184" s="379"/>
      <c r="K184" s="379"/>
      <c r="L184" s="379"/>
      <c r="M184" s="74"/>
      <c r="N184" s="74"/>
      <c r="O184" s="74"/>
      <c r="P184" s="74"/>
      <c r="Q184" s="74"/>
      <c r="R184" s="74"/>
      <c r="S184" s="74"/>
      <c r="T184" s="74"/>
      <c r="U184" s="74"/>
      <c r="V184" s="74"/>
      <c r="W184" s="74"/>
      <c r="X184" s="74"/>
      <c r="Y184" s="74"/>
      <c r="Z184" s="74"/>
      <c r="AA184" s="74"/>
      <c r="AB184" s="74"/>
    </row>
    <row r="185" spans="1:28" ht="40.5" customHeight="1">
      <c r="A185" s="373" t="s">
        <v>3384</v>
      </c>
      <c r="B185" s="359">
        <v>43893</v>
      </c>
      <c r="C185" s="362" t="s">
        <v>1330</v>
      </c>
      <c r="D185" s="158" t="s">
        <v>3385</v>
      </c>
      <c r="E185" s="158" t="s">
        <v>41</v>
      </c>
      <c r="F185" s="158" t="s">
        <v>42</v>
      </c>
      <c r="G185" s="378"/>
      <c r="H185" s="378"/>
      <c r="I185" s="379"/>
      <c r="J185" s="379"/>
      <c r="K185" s="379"/>
      <c r="L185" s="379"/>
      <c r="M185" s="74"/>
      <c r="N185" s="74"/>
      <c r="O185" s="74"/>
      <c r="P185" s="74"/>
      <c r="Q185" s="74"/>
      <c r="R185" s="74"/>
      <c r="S185" s="74"/>
      <c r="T185" s="74"/>
      <c r="U185" s="74"/>
      <c r="V185" s="74"/>
      <c r="W185" s="74"/>
      <c r="X185" s="74"/>
      <c r="Y185" s="74"/>
      <c r="Z185" s="74"/>
      <c r="AA185" s="74"/>
      <c r="AB185" s="74"/>
    </row>
    <row r="186" spans="1:28" ht="40.5" customHeight="1">
      <c r="A186" s="373" t="s">
        <v>3386</v>
      </c>
      <c r="B186" s="359">
        <v>42492</v>
      </c>
      <c r="C186" s="158" t="s">
        <v>3135</v>
      </c>
      <c r="D186" s="158" t="s">
        <v>3387</v>
      </c>
      <c r="E186" s="158" t="s">
        <v>3388</v>
      </c>
      <c r="F186" s="158"/>
      <c r="G186" s="378"/>
      <c r="H186" s="378"/>
      <c r="I186" s="379"/>
      <c r="J186" s="379"/>
      <c r="K186" s="379"/>
      <c r="L186" s="379"/>
      <c r="M186" s="74"/>
      <c r="N186" s="74"/>
      <c r="O186" s="74"/>
      <c r="P186" s="74"/>
      <c r="Q186" s="74"/>
      <c r="R186" s="74"/>
      <c r="S186" s="74"/>
      <c r="T186" s="74"/>
      <c r="U186" s="74"/>
      <c r="V186" s="74"/>
      <c r="W186" s="74"/>
      <c r="X186" s="74"/>
      <c r="Y186" s="74"/>
      <c r="Z186" s="74"/>
      <c r="AA186" s="74"/>
      <c r="AB186" s="74"/>
    </row>
    <row r="187" spans="1:28" ht="40.5" customHeight="1">
      <c r="A187" s="373" t="s">
        <v>3389</v>
      </c>
      <c r="B187" s="359">
        <v>44039</v>
      </c>
      <c r="C187" s="158" t="s">
        <v>3135</v>
      </c>
      <c r="D187" s="158" t="s">
        <v>3390</v>
      </c>
      <c r="E187" s="158" t="s">
        <v>41</v>
      </c>
      <c r="F187" s="158" t="s">
        <v>42</v>
      </c>
      <c r="G187" s="378"/>
      <c r="H187" s="378"/>
      <c r="I187" s="379"/>
      <c r="J187" s="379"/>
      <c r="K187" s="379"/>
      <c r="L187" s="379"/>
      <c r="M187" s="74"/>
      <c r="N187" s="74"/>
      <c r="O187" s="74"/>
      <c r="P187" s="74"/>
      <c r="Q187" s="74"/>
      <c r="R187" s="74"/>
      <c r="S187" s="74"/>
      <c r="T187" s="74"/>
      <c r="U187" s="74"/>
      <c r="V187" s="74"/>
      <c r="W187" s="74"/>
      <c r="X187" s="74"/>
      <c r="Y187" s="74"/>
      <c r="Z187" s="74"/>
      <c r="AA187" s="74"/>
      <c r="AB187" s="74"/>
    </row>
    <row r="188" spans="1:28" ht="40.5" customHeight="1">
      <c r="A188" s="373" t="s">
        <v>3391</v>
      </c>
      <c r="B188" s="359">
        <v>44246</v>
      </c>
      <c r="C188" s="158" t="s">
        <v>3392</v>
      </c>
      <c r="D188" s="158" t="s">
        <v>3393</v>
      </c>
      <c r="E188" s="158" t="s">
        <v>41</v>
      </c>
      <c r="F188" s="158" t="s">
        <v>42</v>
      </c>
      <c r="G188" s="378"/>
      <c r="H188" s="378"/>
      <c r="I188" s="379"/>
      <c r="J188" s="379"/>
      <c r="K188" s="379"/>
      <c r="L188" s="379"/>
      <c r="M188" s="74"/>
      <c r="N188" s="74"/>
      <c r="O188" s="74"/>
      <c r="P188" s="74"/>
      <c r="Q188" s="74"/>
      <c r="R188" s="74"/>
      <c r="S188" s="74"/>
      <c r="T188" s="74"/>
      <c r="U188" s="74"/>
      <c r="V188" s="74"/>
      <c r="W188" s="74"/>
      <c r="X188" s="74"/>
      <c r="Y188" s="74"/>
      <c r="Z188" s="74"/>
      <c r="AA188" s="74"/>
      <c r="AB188" s="74"/>
    </row>
    <row r="189" spans="1:28" ht="40.5" customHeight="1">
      <c r="A189" s="373" t="s">
        <v>3394</v>
      </c>
      <c r="B189" s="359">
        <v>44462</v>
      </c>
      <c r="C189" s="158" t="s">
        <v>3395</v>
      </c>
      <c r="D189" s="158" t="s">
        <v>3396</v>
      </c>
      <c r="E189" s="158" t="s">
        <v>41</v>
      </c>
      <c r="F189" s="158" t="s">
        <v>42</v>
      </c>
      <c r="G189" s="378"/>
      <c r="H189" s="378"/>
      <c r="I189" s="379"/>
      <c r="J189" s="379"/>
      <c r="K189" s="379"/>
      <c r="L189" s="379"/>
      <c r="M189" s="74"/>
      <c r="N189" s="74"/>
      <c r="O189" s="74"/>
      <c r="P189" s="74"/>
      <c r="Q189" s="74"/>
      <c r="R189" s="74"/>
      <c r="S189" s="74"/>
      <c r="T189" s="74"/>
      <c r="U189" s="74"/>
      <c r="V189" s="74"/>
      <c r="W189" s="74"/>
      <c r="X189" s="74"/>
      <c r="Y189" s="74"/>
      <c r="Z189" s="74"/>
      <c r="AA189" s="74"/>
      <c r="AB189" s="74"/>
    </row>
    <row r="190" spans="1:28" ht="40.5" customHeight="1">
      <c r="A190" s="373" t="s">
        <v>3397</v>
      </c>
      <c r="B190" s="359">
        <v>44530</v>
      </c>
      <c r="C190" s="158" t="s">
        <v>566</v>
      </c>
      <c r="D190" s="158" t="s">
        <v>3398</v>
      </c>
      <c r="E190" s="158" t="s">
        <v>41</v>
      </c>
      <c r="F190" s="158" t="s">
        <v>42</v>
      </c>
      <c r="G190" s="378"/>
      <c r="H190" s="378"/>
      <c r="I190" s="379"/>
      <c r="J190" s="379"/>
      <c r="K190" s="379"/>
      <c r="L190" s="379"/>
      <c r="M190" s="74"/>
      <c r="N190" s="74"/>
      <c r="O190" s="74"/>
      <c r="P190" s="74"/>
      <c r="Q190" s="74"/>
      <c r="R190" s="74"/>
      <c r="S190" s="74"/>
      <c r="T190" s="74"/>
      <c r="U190" s="74"/>
      <c r="V190" s="74"/>
      <c r="W190" s="74"/>
      <c r="X190" s="74"/>
      <c r="Y190" s="74"/>
      <c r="Z190" s="74"/>
      <c r="AA190" s="74"/>
      <c r="AB190" s="74"/>
    </row>
    <row r="191" spans="1:28" ht="40.5" customHeight="1">
      <c r="A191" s="373" t="s">
        <v>3399</v>
      </c>
      <c r="B191" s="359">
        <v>44530</v>
      </c>
      <c r="C191" s="158" t="s">
        <v>3400</v>
      </c>
      <c r="D191" s="158" t="s">
        <v>3401</v>
      </c>
      <c r="E191" s="158" t="s">
        <v>41</v>
      </c>
      <c r="F191" s="158" t="s">
        <v>42</v>
      </c>
      <c r="G191" s="378"/>
      <c r="H191" s="378"/>
      <c r="I191" s="379"/>
      <c r="J191" s="379"/>
      <c r="K191" s="379"/>
      <c r="L191" s="379"/>
      <c r="M191" s="74"/>
      <c r="N191" s="74"/>
      <c r="O191" s="74"/>
      <c r="P191" s="74"/>
      <c r="Q191" s="74"/>
      <c r="R191" s="74"/>
      <c r="S191" s="74"/>
      <c r="T191" s="74"/>
      <c r="U191" s="74"/>
      <c r="V191" s="74"/>
      <c r="W191" s="74"/>
      <c r="X191" s="74"/>
      <c r="Y191" s="74"/>
      <c r="Z191" s="74"/>
      <c r="AA191" s="74"/>
      <c r="AB191" s="74"/>
    </row>
    <row r="192" spans="1:28" ht="40.5" customHeight="1">
      <c r="A192" s="373" t="s">
        <v>3402</v>
      </c>
      <c r="B192" s="359">
        <v>44536</v>
      </c>
      <c r="C192" s="158" t="s">
        <v>566</v>
      </c>
      <c r="D192" s="158" t="s">
        <v>3403</v>
      </c>
      <c r="E192" s="158" t="s">
        <v>41</v>
      </c>
      <c r="F192" s="158" t="s">
        <v>42</v>
      </c>
      <c r="G192" s="378"/>
      <c r="H192" s="378"/>
      <c r="I192" s="379"/>
      <c r="J192" s="379"/>
      <c r="K192" s="379"/>
      <c r="L192" s="379"/>
      <c r="M192" s="74"/>
      <c r="N192" s="74"/>
      <c r="O192" s="74"/>
      <c r="P192" s="74"/>
      <c r="Q192" s="74"/>
      <c r="R192" s="74"/>
      <c r="S192" s="74"/>
      <c r="T192" s="74"/>
      <c r="U192" s="74"/>
      <c r="V192" s="74"/>
      <c r="W192" s="74"/>
      <c r="X192" s="74"/>
      <c r="Y192" s="74"/>
      <c r="Z192" s="74"/>
      <c r="AA192" s="74"/>
      <c r="AB192" s="74"/>
    </row>
    <row r="193" spans="1:28" ht="40.5" customHeight="1">
      <c r="A193" s="390" t="s">
        <v>3404</v>
      </c>
      <c r="B193" s="359">
        <v>39715</v>
      </c>
      <c r="C193" s="158" t="s">
        <v>2333</v>
      </c>
      <c r="D193" s="158" t="s">
        <v>3405</v>
      </c>
      <c r="E193" s="158" t="s">
        <v>41</v>
      </c>
      <c r="F193" s="158" t="s">
        <v>42</v>
      </c>
      <c r="G193" s="378"/>
      <c r="H193" s="378"/>
      <c r="I193" s="379"/>
      <c r="J193" s="379"/>
      <c r="K193" s="379"/>
      <c r="L193" s="379"/>
      <c r="M193" s="74"/>
      <c r="N193" s="74"/>
      <c r="O193" s="74"/>
      <c r="P193" s="74"/>
      <c r="Q193" s="74"/>
      <c r="R193" s="74"/>
      <c r="S193" s="74"/>
      <c r="T193" s="74"/>
      <c r="U193" s="74"/>
      <c r="V193" s="74"/>
      <c r="W193" s="74"/>
      <c r="X193" s="74"/>
      <c r="Y193" s="74"/>
      <c r="Z193" s="74"/>
      <c r="AA193" s="74"/>
      <c r="AB193" s="74"/>
    </row>
    <row r="194" spans="1:28" ht="40.5" customHeight="1">
      <c r="A194" s="373" t="s">
        <v>3406</v>
      </c>
      <c r="B194" s="359">
        <v>41541</v>
      </c>
      <c r="C194" s="158" t="s">
        <v>223</v>
      </c>
      <c r="D194" s="391" t="s">
        <v>3407</v>
      </c>
      <c r="E194" s="158" t="s">
        <v>41</v>
      </c>
      <c r="F194" s="158" t="s">
        <v>42</v>
      </c>
      <c r="G194" s="378"/>
      <c r="H194" s="378"/>
      <c r="I194" s="379"/>
      <c r="J194" s="379"/>
      <c r="K194" s="379"/>
      <c r="L194" s="379"/>
      <c r="M194" s="74"/>
      <c r="N194" s="74"/>
      <c r="O194" s="74"/>
      <c r="P194" s="74"/>
      <c r="Q194" s="74"/>
      <c r="R194" s="74"/>
      <c r="S194" s="74"/>
      <c r="T194" s="74"/>
      <c r="U194" s="74"/>
      <c r="V194" s="74"/>
      <c r="W194" s="74"/>
      <c r="X194" s="74"/>
      <c r="Y194" s="74"/>
      <c r="Z194" s="74"/>
      <c r="AA194" s="74"/>
      <c r="AB194" s="74"/>
    </row>
    <row r="195" spans="1:28" ht="40.5" customHeight="1">
      <c r="A195" s="392" t="s">
        <v>3408</v>
      </c>
      <c r="B195" s="393">
        <v>44606</v>
      </c>
      <c r="C195" s="394" t="s">
        <v>3409</v>
      </c>
      <c r="D195" s="395" t="s">
        <v>3410</v>
      </c>
      <c r="E195" s="391" t="s">
        <v>41</v>
      </c>
      <c r="F195" s="391" t="s">
        <v>42</v>
      </c>
      <c r="G195" s="396"/>
      <c r="H195" s="397"/>
      <c r="I195" s="398"/>
      <c r="J195" s="379"/>
      <c r="K195" s="379"/>
      <c r="L195" s="379"/>
      <c r="M195" s="74"/>
      <c r="N195" s="74"/>
      <c r="O195" s="74"/>
      <c r="P195" s="74"/>
      <c r="Q195" s="74"/>
      <c r="R195" s="74"/>
      <c r="S195" s="74"/>
      <c r="T195" s="74"/>
      <c r="U195" s="74"/>
      <c r="V195" s="74"/>
      <c r="W195" s="74"/>
      <c r="X195" s="74"/>
      <c r="Y195" s="74"/>
      <c r="Z195" s="74"/>
      <c r="AA195" s="74"/>
      <c r="AB195" s="74"/>
    </row>
    <row r="196" spans="1:28" ht="40.5" customHeight="1">
      <c r="A196" s="373" t="s">
        <v>3411</v>
      </c>
      <c r="B196" s="359">
        <v>43707</v>
      </c>
      <c r="C196" s="158" t="s">
        <v>3412</v>
      </c>
      <c r="D196" s="395" t="s">
        <v>3413</v>
      </c>
      <c r="E196" s="391" t="s">
        <v>41</v>
      </c>
      <c r="F196" s="391" t="s">
        <v>42</v>
      </c>
      <c r="G196" s="399" t="s">
        <v>566</v>
      </c>
      <c r="H196" s="400" t="s">
        <v>3174</v>
      </c>
      <c r="I196" s="401"/>
      <c r="J196" s="401"/>
      <c r="K196" s="401"/>
      <c r="L196" s="401"/>
      <c r="M196" s="74"/>
      <c r="N196" s="74"/>
      <c r="O196" s="74"/>
      <c r="P196" s="74"/>
      <c r="Q196" s="74"/>
      <c r="R196" s="74"/>
      <c r="S196" s="74"/>
      <c r="T196" s="74"/>
      <c r="U196" s="74"/>
      <c r="V196" s="74"/>
      <c r="W196" s="74"/>
      <c r="X196" s="74"/>
      <c r="Y196" s="74"/>
      <c r="Z196" s="74"/>
      <c r="AA196" s="74"/>
      <c r="AB196" s="74"/>
    </row>
    <row r="197" spans="1:28" ht="40.5" customHeight="1">
      <c r="A197" s="402" t="s">
        <v>3414</v>
      </c>
      <c r="B197" s="393">
        <v>43493</v>
      </c>
      <c r="C197" s="403" t="s">
        <v>39</v>
      </c>
      <c r="D197" s="403" t="s">
        <v>3415</v>
      </c>
      <c r="E197" s="403" t="s">
        <v>41</v>
      </c>
      <c r="F197" s="403" t="s">
        <v>42</v>
      </c>
      <c r="G197" s="378"/>
      <c r="H197" s="378"/>
      <c r="I197" s="379"/>
      <c r="J197" s="379"/>
      <c r="K197" s="379"/>
      <c r="L197" s="379"/>
      <c r="M197" s="74"/>
      <c r="N197" s="74"/>
      <c r="O197" s="74"/>
      <c r="P197" s="74"/>
      <c r="Q197" s="74"/>
      <c r="R197" s="74"/>
      <c r="S197" s="74"/>
      <c r="T197" s="74"/>
      <c r="U197" s="74"/>
      <c r="V197" s="74"/>
      <c r="W197" s="74"/>
      <c r="X197" s="74"/>
      <c r="Y197" s="74"/>
      <c r="Z197" s="74"/>
      <c r="AA197" s="74"/>
      <c r="AB197" s="74"/>
    </row>
    <row r="198" spans="1:28" ht="40.5" customHeight="1">
      <c r="A198" s="404" t="s">
        <v>3416</v>
      </c>
      <c r="B198" s="393">
        <v>44376</v>
      </c>
      <c r="C198" s="403" t="s">
        <v>507</v>
      </c>
      <c r="D198" s="403" t="s">
        <v>3417</v>
      </c>
      <c r="E198" s="403" t="s">
        <v>41</v>
      </c>
      <c r="F198" s="403" t="s">
        <v>42</v>
      </c>
      <c r="G198" s="378"/>
      <c r="H198" s="378"/>
      <c r="I198" s="379"/>
      <c r="J198" s="379"/>
      <c r="K198" s="379"/>
      <c r="L198" s="379"/>
      <c r="M198" s="74"/>
      <c r="N198" s="74"/>
      <c r="O198" s="74"/>
      <c r="P198" s="74"/>
      <c r="Q198" s="74"/>
      <c r="R198" s="74"/>
      <c r="S198" s="74"/>
      <c r="T198" s="74"/>
      <c r="U198" s="74"/>
      <c r="V198" s="74"/>
      <c r="W198" s="74"/>
      <c r="X198" s="74"/>
      <c r="Y198" s="74"/>
      <c r="Z198" s="74"/>
      <c r="AA198" s="74"/>
      <c r="AB198" s="74"/>
    </row>
    <row r="199" spans="1:28" ht="40.5" customHeight="1">
      <c r="A199" s="405" t="s">
        <v>3418</v>
      </c>
      <c r="B199" s="406">
        <v>44567</v>
      </c>
      <c r="C199" s="407" t="s">
        <v>507</v>
      </c>
      <c r="D199" s="407" t="s">
        <v>3419</v>
      </c>
      <c r="E199" s="407" t="s">
        <v>41</v>
      </c>
      <c r="F199" s="407" t="s">
        <v>42</v>
      </c>
      <c r="G199" s="378"/>
      <c r="H199" s="378"/>
      <c r="I199" s="379"/>
      <c r="J199" s="379"/>
      <c r="K199" s="379"/>
      <c r="L199" s="379"/>
      <c r="M199" s="74"/>
      <c r="N199" s="74"/>
      <c r="O199" s="74"/>
      <c r="P199" s="74"/>
      <c r="Q199" s="74"/>
      <c r="R199" s="74"/>
      <c r="S199" s="74"/>
      <c r="T199" s="74"/>
      <c r="U199" s="74"/>
      <c r="V199" s="74"/>
      <c r="W199" s="74"/>
      <c r="X199" s="74"/>
      <c r="Y199" s="74"/>
      <c r="Z199" s="74"/>
      <c r="AA199" s="74"/>
      <c r="AB199" s="74"/>
    </row>
    <row r="200" spans="1:28" ht="40.5" customHeight="1">
      <c r="A200" s="404" t="s">
        <v>3420</v>
      </c>
      <c r="B200" s="393">
        <v>44292</v>
      </c>
      <c r="C200" s="408" t="s">
        <v>1330</v>
      </c>
      <c r="D200" s="335" t="s">
        <v>3421</v>
      </c>
      <c r="E200" s="403" t="s">
        <v>41</v>
      </c>
      <c r="F200" s="403" t="s">
        <v>42</v>
      </c>
      <c r="G200" s="378"/>
      <c r="H200" s="378"/>
      <c r="I200" s="379"/>
      <c r="J200" s="379"/>
      <c r="K200" s="379"/>
      <c r="L200" s="379"/>
      <c r="M200" s="74"/>
      <c r="N200" s="74"/>
      <c r="O200" s="74"/>
      <c r="P200" s="74"/>
      <c r="Q200" s="74"/>
      <c r="R200" s="74"/>
      <c r="S200" s="74"/>
      <c r="T200" s="74"/>
      <c r="U200" s="74"/>
      <c r="V200" s="74"/>
      <c r="W200" s="74"/>
      <c r="X200" s="74"/>
      <c r="Y200" s="74"/>
      <c r="Z200" s="74"/>
      <c r="AA200" s="74"/>
      <c r="AB200" s="74"/>
    </row>
    <row r="201" spans="1:28" ht="40.5" customHeight="1">
      <c r="A201" s="404" t="s">
        <v>3422</v>
      </c>
      <c r="B201" s="393">
        <v>44391</v>
      </c>
      <c r="C201" s="409" t="s">
        <v>430</v>
      </c>
      <c r="D201" s="391" t="s">
        <v>3423</v>
      </c>
      <c r="E201" s="403" t="s">
        <v>41</v>
      </c>
      <c r="F201" s="403" t="s">
        <v>42</v>
      </c>
      <c r="G201" s="378"/>
      <c r="H201" s="378"/>
      <c r="I201" s="379"/>
      <c r="J201" s="379"/>
      <c r="K201" s="379"/>
      <c r="L201" s="379"/>
      <c r="M201" s="74"/>
      <c r="N201" s="74"/>
      <c r="O201" s="74"/>
      <c r="P201" s="74"/>
      <c r="Q201" s="74"/>
      <c r="R201" s="74"/>
      <c r="S201" s="74"/>
      <c r="T201" s="74"/>
      <c r="U201" s="74"/>
      <c r="V201" s="74"/>
      <c r="W201" s="74"/>
      <c r="X201" s="74"/>
      <c r="Y201" s="74"/>
      <c r="Z201" s="74"/>
      <c r="AA201" s="74"/>
      <c r="AB201" s="74"/>
    </row>
    <row r="202" spans="1:28" ht="40.5" customHeight="1">
      <c r="A202" s="404" t="s">
        <v>3424</v>
      </c>
      <c r="B202" s="359">
        <v>40906</v>
      </c>
      <c r="C202" s="158" t="s">
        <v>39</v>
      </c>
      <c r="D202" s="158" t="s">
        <v>3425</v>
      </c>
      <c r="E202" s="403" t="s">
        <v>41</v>
      </c>
      <c r="F202" s="403" t="s">
        <v>42</v>
      </c>
      <c r="G202" s="378"/>
      <c r="H202" s="378"/>
      <c r="I202" s="379"/>
      <c r="J202" s="379"/>
      <c r="K202" s="379"/>
      <c r="L202" s="379"/>
      <c r="M202" s="74"/>
      <c r="N202" s="74"/>
      <c r="O202" s="74"/>
      <c r="P202" s="74"/>
      <c r="Q202" s="74"/>
      <c r="R202" s="74"/>
      <c r="S202" s="74"/>
      <c r="T202" s="74"/>
      <c r="U202" s="74"/>
      <c r="V202" s="74"/>
      <c r="W202" s="74"/>
      <c r="X202" s="74"/>
      <c r="Y202" s="74"/>
      <c r="Z202" s="74"/>
      <c r="AA202" s="74"/>
      <c r="AB202" s="74"/>
    </row>
    <row r="203" spans="1:28" ht="40.5" customHeight="1">
      <c r="A203" s="373" t="s">
        <v>3426</v>
      </c>
      <c r="B203" s="359">
        <v>41614</v>
      </c>
      <c r="C203" s="158" t="s">
        <v>2495</v>
      </c>
      <c r="D203" s="158" t="s">
        <v>3427</v>
      </c>
      <c r="E203" s="403" t="s">
        <v>41</v>
      </c>
      <c r="F203" s="403" t="s">
        <v>42</v>
      </c>
      <c r="G203" s="378"/>
      <c r="H203" s="378"/>
      <c r="I203" s="379"/>
      <c r="J203" s="379"/>
      <c r="K203" s="379"/>
      <c r="L203" s="379"/>
      <c r="M203" s="74"/>
      <c r="N203" s="74"/>
      <c r="O203" s="74"/>
      <c r="P203" s="74"/>
      <c r="Q203" s="74"/>
      <c r="R203" s="74"/>
      <c r="S203" s="74"/>
      <c r="T203" s="74"/>
      <c r="U203" s="74"/>
      <c r="V203" s="74"/>
      <c r="W203" s="74"/>
      <c r="X203" s="74"/>
      <c r="Y203" s="74"/>
      <c r="Z203" s="74"/>
      <c r="AA203" s="74"/>
      <c r="AB203" s="74"/>
    </row>
    <row r="204" spans="1:28" ht="40.5" customHeight="1">
      <c r="A204" s="373" t="s">
        <v>3428</v>
      </c>
      <c r="B204" s="359">
        <v>41796</v>
      </c>
      <c r="C204" s="158" t="s">
        <v>1800</v>
      </c>
      <c r="D204" s="158" t="s">
        <v>3429</v>
      </c>
      <c r="E204" s="403" t="s">
        <v>41</v>
      </c>
      <c r="F204" s="403" t="s">
        <v>42</v>
      </c>
      <c r="G204" s="378"/>
      <c r="H204" s="378"/>
      <c r="I204" s="379"/>
      <c r="J204" s="379"/>
      <c r="K204" s="379"/>
      <c r="L204" s="379"/>
      <c r="M204" s="74"/>
      <c r="N204" s="74"/>
      <c r="O204" s="74"/>
      <c r="P204" s="74"/>
      <c r="Q204" s="74"/>
      <c r="R204" s="74"/>
      <c r="S204" s="74"/>
      <c r="T204" s="74"/>
      <c r="U204" s="74"/>
      <c r="V204" s="74"/>
      <c r="W204" s="74"/>
      <c r="X204" s="74"/>
      <c r="Y204" s="74"/>
      <c r="Z204" s="74"/>
      <c r="AA204" s="74"/>
      <c r="AB204" s="74"/>
    </row>
    <row r="205" spans="1:28" ht="40.5" customHeight="1">
      <c r="A205" s="373" t="s">
        <v>3430</v>
      </c>
      <c r="B205" s="359">
        <v>44055</v>
      </c>
      <c r="C205" s="158" t="s">
        <v>39</v>
      </c>
      <c r="D205" s="158" t="s">
        <v>3431</v>
      </c>
      <c r="E205" s="403" t="s">
        <v>41</v>
      </c>
      <c r="F205" s="403" t="s">
        <v>42</v>
      </c>
      <c r="G205" s="378"/>
      <c r="H205" s="378"/>
      <c r="I205" s="379"/>
      <c r="J205" s="379"/>
      <c r="K205" s="379"/>
      <c r="L205" s="379"/>
      <c r="M205" s="74"/>
      <c r="N205" s="74"/>
      <c r="O205" s="74"/>
      <c r="P205" s="74"/>
      <c r="Q205" s="74"/>
      <c r="R205" s="74"/>
      <c r="S205" s="74"/>
      <c r="T205" s="74"/>
      <c r="U205" s="74"/>
      <c r="V205" s="74"/>
      <c r="W205" s="74"/>
      <c r="X205" s="74"/>
      <c r="Y205" s="74"/>
      <c r="Z205" s="74"/>
      <c r="AA205" s="74"/>
      <c r="AB205" s="74"/>
    </row>
    <row r="206" spans="1:28" ht="40.5" customHeight="1">
      <c r="A206" s="373" t="s">
        <v>3432</v>
      </c>
      <c r="B206" s="359">
        <v>43508</v>
      </c>
      <c r="C206" s="408" t="s">
        <v>1330</v>
      </c>
      <c r="D206" s="158" t="s">
        <v>3433</v>
      </c>
      <c r="E206" s="403" t="s">
        <v>41</v>
      </c>
      <c r="F206" s="403" t="s">
        <v>42</v>
      </c>
      <c r="G206" s="378"/>
      <c r="H206" s="378"/>
      <c r="I206" s="379"/>
      <c r="J206" s="379"/>
      <c r="K206" s="379"/>
      <c r="L206" s="379"/>
      <c r="M206" s="74"/>
      <c r="N206" s="74"/>
      <c r="O206" s="74"/>
      <c r="P206" s="74"/>
      <c r="Q206" s="74"/>
      <c r="R206" s="74"/>
      <c r="S206" s="74"/>
      <c r="T206" s="74"/>
      <c r="U206" s="74"/>
      <c r="V206" s="74"/>
      <c r="W206" s="74"/>
      <c r="X206" s="74"/>
      <c r="Y206" s="74"/>
      <c r="Z206" s="74"/>
      <c r="AA206" s="74"/>
      <c r="AB206" s="74"/>
    </row>
    <row r="207" spans="1:28" ht="40.5" customHeight="1">
      <c r="A207" s="373" t="s">
        <v>3434</v>
      </c>
      <c r="B207" s="410">
        <v>44582</v>
      </c>
      <c r="C207" s="411" t="s">
        <v>3435</v>
      </c>
      <c r="D207" s="412" t="s">
        <v>3436</v>
      </c>
      <c r="E207" s="411" t="s">
        <v>41</v>
      </c>
      <c r="F207" s="411" t="s">
        <v>42</v>
      </c>
      <c r="G207" s="378"/>
      <c r="H207" s="378"/>
      <c r="I207" s="379"/>
      <c r="J207" s="379"/>
      <c r="K207" s="379"/>
      <c r="L207" s="379"/>
      <c r="M207" s="74"/>
      <c r="N207" s="74"/>
      <c r="O207" s="74"/>
      <c r="P207" s="74"/>
      <c r="Q207" s="74"/>
      <c r="R207" s="74"/>
      <c r="S207" s="74"/>
      <c r="T207" s="74"/>
      <c r="U207" s="74"/>
      <c r="V207" s="74"/>
      <c r="W207" s="74"/>
      <c r="X207" s="74"/>
      <c r="Y207" s="74"/>
      <c r="Z207" s="74"/>
      <c r="AA207" s="74"/>
      <c r="AB207" s="74"/>
    </row>
    <row r="208" spans="1:28" ht="40.5" customHeight="1">
      <c r="A208" s="413" t="s">
        <v>3408</v>
      </c>
      <c r="B208" s="414">
        <v>44606</v>
      </c>
      <c r="C208" s="415" t="s">
        <v>3409</v>
      </c>
      <c r="D208" s="416" t="s">
        <v>3410</v>
      </c>
      <c r="E208" s="415" t="s">
        <v>41</v>
      </c>
      <c r="F208" s="415" t="s">
        <v>42</v>
      </c>
      <c r="G208" s="378"/>
      <c r="H208" s="378"/>
      <c r="I208" s="379"/>
      <c r="J208" s="379"/>
      <c r="K208" s="379"/>
      <c r="L208" s="379"/>
      <c r="M208" s="74"/>
      <c r="N208" s="74"/>
      <c r="O208" s="74"/>
      <c r="P208" s="74"/>
      <c r="Q208" s="74"/>
      <c r="R208" s="74"/>
      <c r="S208" s="74"/>
      <c r="T208" s="74"/>
      <c r="U208" s="74"/>
      <c r="V208" s="74"/>
      <c r="W208" s="74"/>
      <c r="X208" s="74"/>
      <c r="Y208" s="74"/>
      <c r="Z208" s="74"/>
      <c r="AA208" s="74"/>
      <c r="AB208" s="74"/>
    </row>
    <row r="209" spans="1:28" ht="40.5" customHeight="1">
      <c r="A209" s="413" t="s">
        <v>3437</v>
      </c>
      <c r="B209" s="414">
        <v>44615</v>
      </c>
      <c r="C209" s="415" t="s">
        <v>3438</v>
      </c>
      <c r="D209" s="416" t="s">
        <v>3439</v>
      </c>
      <c r="E209" s="415" t="s">
        <v>41</v>
      </c>
      <c r="F209" s="415" t="s">
        <v>42</v>
      </c>
      <c r="G209" s="378"/>
      <c r="H209" s="378"/>
      <c r="I209" s="379"/>
      <c r="J209" s="379"/>
      <c r="K209" s="379"/>
      <c r="L209" s="379"/>
      <c r="M209" s="74"/>
      <c r="N209" s="74"/>
      <c r="O209" s="74"/>
      <c r="P209" s="74"/>
      <c r="Q209" s="74"/>
      <c r="R209" s="74"/>
      <c r="S209" s="74"/>
      <c r="T209" s="74"/>
      <c r="U209" s="74"/>
      <c r="V209" s="74"/>
      <c r="W209" s="74"/>
      <c r="X209" s="74"/>
      <c r="Y209" s="74"/>
      <c r="Z209" s="74"/>
      <c r="AA209" s="74"/>
      <c r="AB209" s="74"/>
    </row>
    <row r="210" spans="1:28" ht="40.5" customHeight="1">
      <c r="A210" s="413" t="s">
        <v>3440</v>
      </c>
      <c r="B210" s="414">
        <v>44631</v>
      </c>
      <c r="C210" s="415" t="s">
        <v>3441</v>
      </c>
      <c r="D210" s="416" t="s">
        <v>3442</v>
      </c>
      <c r="E210" s="415" t="s">
        <v>41</v>
      </c>
      <c r="F210" s="415" t="s">
        <v>42</v>
      </c>
      <c r="G210" s="378"/>
      <c r="H210" s="378"/>
      <c r="I210" s="379"/>
      <c r="J210" s="379"/>
      <c r="K210" s="379"/>
      <c r="L210" s="379"/>
      <c r="M210" s="74"/>
      <c r="N210" s="74"/>
      <c r="O210" s="74"/>
      <c r="P210" s="74"/>
      <c r="Q210" s="74"/>
      <c r="R210" s="74"/>
      <c r="S210" s="74"/>
      <c r="T210" s="74"/>
      <c r="U210" s="74"/>
      <c r="V210" s="74"/>
      <c r="W210" s="74"/>
      <c r="X210" s="74"/>
      <c r="Y210" s="74"/>
      <c r="Z210" s="74"/>
      <c r="AA210" s="74"/>
      <c r="AB210" s="74"/>
    </row>
    <row r="211" spans="1:28" ht="40.5" customHeight="1">
      <c r="A211" s="413" t="s">
        <v>3443</v>
      </c>
      <c r="B211" s="414">
        <v>44656</v>
      </c>
      <c r="C211" s="416" t="s">
        <v>856</v>
      </c>
      <c r="D211" s="416" t="s">
        <v>3444</v>
      </c>
      <c r="E211" s="415" t="s">
        <v>41</v>
      </c>
      <c r="F211" s="415" t="s">
        <v>42</v>
      </c>
      <c r="G211" s="378"/>
      <c r="H211" s="378"/>
      <c r="I211" s="379"/>
      <c r="J211" s="379"/>
      <c r="K211" s="379"/>
      <c r="L211" s="379"/>
      <c r="M211" s="74"/>
      <c r="N211" s="74"/>
      <c r="O211" s="74"/>
      <c r="P211" s="74"/>
      <c r="Q211" s="74"/>
      <c r="R211" s="74"/>
      <c r="S211" s="74"/>
      <c r="T211" s="74"/>
      <c r="U211" s="74"/>
      <c r="V211" s="74"/>
      <c r="W211" s="74"/>
      <c r="X211" s="74"/>
      <c r="Y211" s="74"/>
      <c r="Z211" s="74"/>
      <c r="AA211" s="74"/>
      <c r="AB211" s="74"/>
    </row>
    <row r="212" spans="1:28" ht="40.5" customHeight="1">
      <c r="A212" s="413" t="s">
        <v>3445</v>
      </c>
      <c r="B212" s="414">
        <v>44660</v>
      </c>
      <c r="C212" s="416" t="s">
        <v>566</v>
      </c>
      <c r="D212" s="416" t="s">
        <v>3446</v>
      </c>
      <c r="E212" s="415" t="s">
        <v>41</v>
      </c>
      <c r="F212" s="415" t="s">
        <v>42</v>
      </c>
      <c r="G212" s="378"/>
      <c r="H212" s="378"/>
      <c r="I212" s="379"/>
      <c r="J212" s="379"/>
      <c r="K212" s="379"/>
      <c r="L212" s="379"/>
      <c r="M212" s="74"/>
      <c r="N212" s="74"/>
      <c r="O212" s="74"/>
      <c r="P212" s="74"/>
      <c r="Q212" s="74"/>
      <c r="R212" s="74"/>
      <c r="S212" s="74"/>
      <c r="T212" s="74"/>
      <c r="U212" s="74"/>
      <c r="V212" s="74"/>
      <c r="W212" s="74"/>
      <c r="X212" s="74"/>
      <c r="Y212" s="74"/>
      <c r="Z212" s="74"/>
      <c r="AA212" s="74"/>
      <c r="AB212" s="74"/>
    </row>
    <row r="213" spans="1:28" ht="40.5" customHeight="1">
      <c r="A213" s="413" t="s">
        <v>3447</v>
      </c>
      <c r="B213" s="414">
        <v>44678</v>
      </c>
      <c r="C213" s="416" t="s">
        <v>566</v>
      </c>
      <c r="D213" s="416" t="s">
        <v>3448</v>
      </c>
      <c r="E213" s="415" t="s">
        <v>41</v>
      </c>
      <c r="F213" s="415" t="s">
        <v>42</v>
      </c>
      <c r="G213" s="378"/>
      <c r="H213" s="378"/>
      <c r="I213" s="379"/>
      <c r="J213" s="379"/>
      <c r="K213" s="379"/>
      <c r="L213" s="379"/>
      <c r="M213" s="74"/>
      <c r="N213" s="74"/>
      <c r="O213" s="74"/>
      <c r="P213" s="74"/>
      <c r="Q213" s="74"/>
      <c r="R213" s="74"/>
      <c r="S213" s="74"/>
      <c r="T213" s="74"/>
      <c r="U213" s="74"/>
      <c r="V213" s="74"/>
      <c r="W213" s="74"/>
      <c r="X213" s="74"/>
      <c r="Y213" s="74"/>
      <c r="Z213" s="74"/>
      <c r="AA213" s="74"/>
      <c r="AB213" s="74"/>
    </row>
    <row r="214" spans="1:28" ht="40.5" customHeight="1">
      <c r="A214" s="413" t="s">
        <v>3449</v>
      </c>
      <c r="B214" s="414">
        <v>44697</v>
      </c>
      <c r="C214" s="416" t="s">
        <v>566</v>
      </c>
      <c r="D214" s="416" t="s">
        <v>3450</v>
      </c>
      <c r="E214" s="415" t="s">
        <v>41</v>
      </c>
      <c r="F214" s="415" t="s">
        <v>42</v>
      </c>
      <c r="G214" s="378"/>
      <c r="H214" s="378"/>
      <c r="I214" s="379"/>
      <c r="J214" s="379"/>
      <c r="K214" s="379"/>
      <c r="L214" s="379"/>
      <c r="M214" s="74"/>
      <c r="N214" s="74"/>
      <c r="O214" s="74"/>
      <c r="P214" s="74"/>
      <c r="Q214" s="74"/>
      <c r="R214" s="74"/>
      <c r="S214" s="74"/>
      <c r="T214" s="74"/>
      <c r="U214" s="74"/>
      <c r="V214" s="74"/>
      <c r="W214" s="74"/>
      <c r="X214" s="74"/>
      <c r="Y214" s="74"/>
      <c r="Z214" s="74"/>
      <c r="AA214" s="74"/>
      <c r="AB214" s="74"/>
    </row>
    <row r="215" spans="1:28" ht="40.5" customHeight="1">
      <c r="A215" s="413" t="s">
        <v>3451</v>
      </c>
      <c r="B215" s="414">
        <v>44698</v>
      </c>
      <c r="C215" s="416" t="s">
        <v>3353</v>
      </c>
      <c r="D215" s="416" t="s">
        <v>3452</v>
      </c>
      <c r="E215" s="415" t="s">
        <v>41</v>
      </c>
      <c r="F215" s="415" t="s">
        <v>42</v>
      </c>
      <c r="G215" s="378"/>
      <c r="H215" s="378"/>
      <c r="I215" s="379"/>
      <c r="J215" s="379"/>
      <c r="K215" s="379"/>
      <c r="L215" s="379"/>
      <c r="M215" s="74"/>
      <c r="N215" s="74"/>
      <c r="O215" s="74"/>
      <c r="P215" s="74"/>
      <c r="Q215" s="74"/>
      <c r="R215" s="74"/>
      <c r="S215" s="74"/>
      <c r="T215" s="74"/>
      <c r="U215" s="74"/>
      <c r="V215" s="74"/>
      <c r="W215" s="74"/>
      <c r="X215" s="74"/>
      <c r="Y215" s="74"/>
      <c r="Z215" s="74"/>
      <c r="AA215" s="74"/>
      <c r="AB215" s="74"/>
    </row>
    <row r="216" spans="1:28" ht="40.5" customHeight="1">
      <c r="A216" s="413" t="s">
        <v>3453</v>
      </c>
      <c r="B216" s="417">
        <v>44704</v>
      </c>
      <c r="C216" s="416" t="s">
        <v>3353</v>
      </c>
      <c r="D216" s="416" t="s">
        <v>3454</v>
      </c>
      <c r="E216" s="415" t="s">
        <v>41</v>
      </c>
      <c r="F216" s="415" t="s">
        <v>42</v>
      </c>
      <c r="G216" s="378"/>
      <c r="H216" s="378"/>
      <c r="I216" s="379"/>
      <c r="J216" s="379"/>
      <c r="K216" s="379"/>
      <c r="L216" s="379"/>
      <c r="M216" s="74"/>
      <c r="N216" s="74"/>
      <c r="O216" s="74"/>
      <c r="P216" s="74"/>
      <c r="Q216" s="74"/>
      <c r="R216" s="74"/>
      <c r="S216" s="74"/>
      <c r="T216" s="74"/>
      <c r="U216" s="74"/>
      <c r="V216" s="74"/>
      <c r="W216" s="74"/>
      <c r="X216" s="74"/>
      <c r="Y216" s="74"/>
      <c r="Z216" s="74"/>
      <c r="AA216" s="74"/>
      <c r="AB216" s="74"/>
    </row>
    <row r="217" spans="1:28" ht="40.5" customHeight="1">
      <c r="A217" s="413" t="s">
        <v>3455</v>
      </c>
      <c r="B217" s="417">
        <v>44348</v>
      </c>
      <c r="C217" s="416" t="s">
        <v>856</v>
      </c>
      <c r="D217" s="416" t="s">
        <v>3456</v>
      </c>
      <c r="E217" s="415" t="s">
        <v>41</v>
      </c>
      <c r="F217" s="415" t="s">
        <v>42</v>
      </c>
      <c r="G217" s="378"/>
      <c r="H217" s="378"/>
      <c r="I217" s="379"/>
      <c r="J217" s="379"/>
      <c r="K217" s="379"/>
      <c r="L217" s="379"/>
      <c r="M217" s="74"/>
      <c r="N217" s="74"/>
      <c r="O217" s="74"/>
      <c r="P217" s="74"/>
      <c r="Q217" s="74"/>
      <c r="R217" s="74"/>
      <c r="S217" s="74"/>
      <c r="T217" s="74"/>
      <c r="U217" s="74"/>
      <c r="V217" s="74"/>
      <c r="W217" s="74"/>
      <c r="X217" s="74"/>
      <c r="Y217" s="74"/>
      <c r="Z217" s="74"/>
      <c r="AA217" s="74"/>
      <c r="AB217" s="74"/>
    </row>
    <row r="218" spans="1:28" ht="40.5" customHeight="1">
      <c r="A218" s="418" t="s">
        <v>3457</v>
      </c>
      <c r="B218" s="419">
        <v>44743</v>
      </c>
      <c r="C218" s="420" t="s">
        <v>3458</v>
      </c>
      <c r="D218" s="421" t="s">
        <v>3459</v>
      </c>
      <c r="E218" s="422" t="s">
        <v>41</v>
      </c>
      <c r="F218" s="422" t="s">
        <v>42</v>
      </c>
      <c r="G218" s="378"/>
      <c r="H218" s="378"/>
      <c r="I218" s="423" t="s">
        <v>3460</v>
      </c>
      <c r="J218" s="379"/>
      <c r="K218" s="379"/>
      <c r="L218" s="379"/>
      <c r="M218" s="74"/>
      <c r="N218" s="74"/>
      <c r="O218" s="74"/>
      <c r="P218" s="74"/>
      <c r="Q218" s="74"/>
      <c r="R218" s="74"/>
      <c r="S218" s="74"/>
      <c r="T218" s="74"/>
      <c r="U218" s="74"/>
      <c r="V218" s="74"/>
      <c r="W218" s="74"/>
      <c r="X218" s="74"/>
      <c r="Y218" s="74"/>
      <c r="Z218" s="74"/>
      <c r="AA218" s="74"/>
      <c r="AB218" s="74"/>
    </row>
    <row r="219" spans="1:28" ht="40.5" customHeight="1">
      <c r="A219" s="424" t="s">
        <v>3461</v>
      </c>
      <c r="B219" s="425">
        <v>44754</v>
      </c>
      <c r="C219" s="426" t="s">
        <v>1800</v>
      </c>
      <c r="D219" s="427" t="s">
        <v>3462</v>
      </c>
      <c r="E219" s="428" t="s">
        <v>41</v>
      </c>
      <c r="F219" s="428" t="s">
        <v>42</v>
      </c>
      <c r="G219" s="378"/>
      <c r="H219" s="378"/>
      <c r="I219" s="423" t="s">
        <v>3463</v>
      </c>
      <c r="J219" s="379"/>
      <c r="K219" s="379"/>
      <c r="L219" s="379"/>
      <c r="M219" s="74"/>
      <c r="N219" s="74"/>
      <c r="O219" s="74"/>
      <c r="P219" s="74"/>
      <c r="Q219" s="74"/>
      <c r="R219" s="74"/>
      <c r="S219" s="74"/>
      <c r="T219" s="74"/>
      <c r="U219" s="74"/>
      <c r="V219" s="74"/>
      <c r="W219" s="74"/>
      <c r="X219" s="74"/>
      <c r="Y219" s="74"/>
      <c r="Z219" s="74"/>
      <c r="AA219" s="74"/>
      <c r="AB219" s="74"/>
    </row>
    <row r="220" spans="1:28" ht="40.5" customHeight="1">
      <c r="A220" s="424" t="s">
        <v>3464</v>
      </c>
      <c r="B220" s="425">
        <v>44760</v>
      </c>
      <c r="C220" s="426" t="s">
        <v>566</v>
      </c>
      <c r="D220" s="427" t="s">
        <v>3465</v>
      </c>
      <c r="E220" s="428" t="s">
        <v>41</v>
      </c>
      <c r="F220" s="428" t="s">
        <v>42</v>
      </c>
      <c r="G220" s="378"/>
      <c r="H220" s="378"/>
      <c r="I220" s="423" t="s">
        <v>3466</v>
      </c>
      <c r="J220" s="379"/>
      <c r="K220" s="379"/>
      <c r="L220" s="379"/>
      <c r="M220" s="74"/>
      <c r="N220" s="74"/>
      <c r="O220" s="74"/>
      <c r="P220" s="74"/>
      <c r="Q220" s="74"/>
      <c r="R220" s="74"/>
      <c r="S220" s="74"/>
      <c r="T220" s="74"/>
      <c r="U220" s="74"/>
      <c r="V220" s="74"/>
      <c r="W220" s="74"/>
      <c r="X220" s="74"/>
      <c r="Y220" s="74"/>
      <c r="Z220" s="74"/>
      <c r="AA220" s="74"/>
      <c r="AB220" s="74"/>
    </row>
    <row r="221" spans="1:28" ht="40.5" customHeight="1">
      <c r="A221" s="424" t="s">
        <v>3467</v>
      </c>
      <c r="B221" s="425">
        <v>44769</v>
      </c>
      <c r="C221" s="426" t="s">
        <v>566</v>
      </c>
      <c r="D221" s="427" t="s">
        <v>3468</v>
      </c>
      <c r="E221" s="428" t="s">
        <v>41</v>
      </c>
      <c r="F221" s="428" t="s">
        <v>42</v>
      </c>
      <c r="G221" s="378"/>
      <c r="H221" s="378"/>
      <c r="I221" s="423" t="s">
        <v>3469</v>
      </c>
      <c r="J221" s="379"/>
      <c r="K221" s="379"/>
      <c r="L221" s="379"/>
      <c r="M221" s="74"/>
      <c r="N221" s="74"/>
      <c r="O221" s="74"/>
      <c r="P221" s="74"/>
      <c r="Q221" s="74"/>
      <c r="R221" s="74"/>
      <c r="S221" s="74"/>
      <c r="T221" s="74"/>
      <c r="U221" s="74"/>
      <c r="V221" s="74"/>
      <c r="W221" s="74"/>
      <c r="X221" s="74"/>
      <c r="Y221" s="74"/>
      <c r="Z221" s="74"/>
      <c r="AA221" s="74"/>
      <c r="AB221" s="74"/>
    </row>
    <row r="222" spans="1:28" ht="40.5" customHeight="1">
      <c r="A222" s="424" t="s">
        <v>3470</v>
      </c>
      <c r="B222" s="425">
        <v>44770</v>
      </c>
      <c r="C222" s="426" t="s">
        <v>566</v>
      </c>
      <c r="D222" s="427" t="s">
        <v>3471</v>
      </c>
      <c r="E222" s="428" t="s">
        <v>41</v>
      </c>
      <c r="F222" s="428" t="s">
        <v>42</v>
      </c>
      <c r="G222" s="378"/>
      <c r="H222" s="378"/>
      <c r="I222" s="423" t="s">
        <v>3472</v>
      </c>
      <c r="J222" s="379"/>
      <c r="K222" s="379"/>
      <c r="L222" s="379"/>
      <c r="M222" s="74"/>
      <c r="N222" s="74"/>
      <c r="O222" s="74"/>
      <c r="P222" s="74"/>
      <c r="Q222" s="74"/>
      <c r="R222" s="74"/>
      <c r="S222" s="74"/>
      <c r="T222" s="74"/>
      <c r="U222" s="74"/>
      <c r="V222" s="74"/>
      <c r="W222" s="74"/>
      <c r="X222" s="74"/>
      <c r="Y222" s="74"/>
      <c r="Z222" s="74"/>
      <c r="AA222" s="74"/>
      <c r="AB222" s="74"/>
    </row>
    <row r="223" spans="1:28" ht="40.5" customHeight="1">
      <c r="A223" s="429"/>
      <c r="B223" s="359"/>
      <c r="C223" s="158"/>
      <c r="D223" s="158"/>
      <c r="E223" s="158"/>
      <c r="F223" s="158"/>
      <c r="G223" s="378"/>
      <c r="H223" s="378"/>
      <c r="I223" s="379"/>
      <c r="J223" s="379"/>
      <c r="K223" s="379"/>
      <c r="L223" s="379"/>
      <c r="M223" s="74"/>
      <c r="N223" s="74"/>
      <c r="O223" s="74"/>
      <c r="P223" s="74"/>
      <c r="Q223" s="74"/>
      <c r="R223" s="74"/>
      <c r="S223" s="74"/>
      <c r="T223" s="74"/>
      <c r="U223" s="74"/>
      <c r="V223" s="74"/>
      <c r="W223" s="74"/>
      <c r="X223" s="74"/>
      <c r="Y223" s="74"/>
      <c r="Z223" s="74"/>
      <c r="AA223" s="74"/>
      <c r="AB223" s="74"/>
    </row>
    <row r="224" spans="1:28" ht="40.5" customHeight="1">
      <c r="A224" s="429"/>
      <c r="B224" s="361"/>
      <c r="C224" s="158"/>
      <c r="D224" s="158"/>
      <c r="E224" s="158"/>
      <c r="F224" s="158"/>
      <c r="G224" s="378"/>
      <c r="H224" s="378"/>
      <c r="I224" s="379"/>
      <c r="J224" s="379"/>
      <c r="K224" s="379"/>
      <c r="L224" s="379"/>
      <c r="M224" s="74"/>
      <c r="N224" s="74"/>
      <c r="O224" s="74"/>
      <c r="P224" s="74"/>
      <c r="Q224" s="74"/>
      <c r="R224" s="74"/>
      <c r="S224" s="74"/>
      <c r="T224" s="74"/>
      <c r="U224" s="74"/>
      <c r="V224" s="74"/>
      <c r="W224" s="74"/>
      <c r="X224" s="74"/>
      <c r="Y224" s="74"/>
      <c r="Z224" s="74"/>
      <c r="AA224" s="74"/>
      <c r="AB224" s="74"/>
    </row>
    <row r="225" spans="1:28" ht="40.5" customHeight="1">
      <c r="A225" s="429"/>
      <c r="B225" s="359"/>
      <c r="C225" s="158"/>
      <c r="D225" s="158"/>
      <c r="E225" s="158"/>
      <c r="F225" s="158"/>
      <c r="G225" s="378"/>
      <c r="H225" s="378"/>
      <c r="I225" s="379"/>
      <c r="J225" s="379"/>
      <c r="K225" s="379"/>
      <c r="L225" s="379"/>
      <c r="M225" s="74"/>
      <c r="N225" s="74"/>
      <c r="O225" s="74"/>
      <c r="P225" s="74"/>
      <c r="Q225" s="74"/>
      <c r="R225" s="74"/>
      <c r="S225" s="74"/>
      <c r="T225" s="74"/>
      <c r="U225" s="74"/>
      <c r="V225" s="74"/>
      <c r="W225" s="74"/>
      <c r="X225" s="74"/>
      <c r="Y225" s="74"/>
      <c r="Z225" s="74"/>
      <c r="AA225" s="74"/>
      <c r="AB225" s="74"/>
    </row>
    <row r="226" spans="1:28" ht="40.5" customHeight="1">
      <c r="A226" s="429"/>
      <c r="B226" s="359"/>
      <c r="C226" s="362"/>
      <c r="D226" s="158"/>
      <c r="E226" s="158"/>
      <c r="F226" s="158"/>
      <c r="G226" s="378"/>
      <c r="H226" s="378"/>
      <c r="I226" s="379"/>
      <c r="J226" s="379"/>
      <c r="K226" s="379"/>
      <c r="L226" s="379"/>
      <c r="M226" s="74"/>
      <c r="N226" s="74"/>
      <c r="O226" s="74"/>
      <c r="P226" s="74"/>
      <c r="Q226" s="74"/>
      <c r="R226" s="74"/>
      <c r="S226" s="74"/>
      <c r="T226" s="74"/>
      <c r="U226" s="74"/>
      <c r="V226" s="74"/>
      <c r="W226" s="74"/>
      <c r="X226" s="74"/>
      <c r="Y226" s="74"/>
      <c r="Z226" s="74"/>
      <c r="AA226" s="74"/>
      <c r="AB226" s="74"/>
    </row>
    <row r="227" spans="1:28" ht="40.5" customHeight="1">
      <c r="A227" s="429"/>
      <c r="B227" s="359"/>
      <c r="C227" s="362"/>
      <c r="D227" s="158"/>
      <c r="E227" s="158"/>
      <c r="F227" s="158"/>
      <c r="G227" s="378"/>
      <c r="H227" s="378"/>
      <c r="I227" s="379"/>
      <c r="J227" s="379"/>
      <c r="K227" s="379"/>
      <c r="L227" s="379"/>
      <c r="M227" s="74"/>
      <c r="N227" s="74"/>
      <c r="O227" s="74"/>
      <c r="P227" s="74"/>
      <c r="Q227" s="74"/>
      <c r="R227" s="74"/>
      <c r="S227" s="74"/>
      <c r="T227" s="74"/>
      <c r="U227" s="74"/>
      <c r="V227" s="74"/>
      <c r="W227" s="74"/>
      <c r="X227" s="74"/>
      <c r="Y227" s="74"/>
      <c r="Z227" s="74"/>
      <c r="AA227" s="74"/>
      <c r="AB227" s="74"/>
    </row>
    <row r="228" spans="1:28" ht="40.5" customHeight="1">
      <c r="A228" s="429"/>
      <c r="B228" s="359"/>
      <c r="C228" s="362"/>
      <c r="D228" s="158"/>
      <c r="E228" s="158"/>
      <c r="F228" s="158"/>
      <c r="G228" s="378"/>
      <c r="H228" s="378"/>
      <c r="I228" s="379"/>
      <c r="J228" s="379"/>
      <c r="K228" s="379"/>
      <c r="L228" s="379"/>
      <c r="M228" s="74"/>
      <c r="N228" s="74"/>
      <c r="O228" s="74"/>
      <c r="P228" s="74"/>
      <c r="Q228" s="74"/>
      <c r="R228" s="74"/>
      <c r="S228" s="74"/>
      <c r="T228" s="74"/>
      <c r="U228" s="74"/>
      <c r="V228" s="74"/>
      <c r="W228" s="74"/>
      <c r="X228" s="74"/>
      <c r="Y228" s="74"/>
      <c r="Z228" s="74"/>
      <c r="AA228" s="74"/>
      <c r="AB228" s="74"/>
    </row>
    <row r="229" spans="1:28" ht="40.5" customHeight="1">
      <c r="A229" s="429"/>
      <c r="B229" s="359"/>
      <c r="C229" s="158"/>
      <c r="D229" s="158"/>
      <c r="E229" s="158"/>
      <c r="F229" s="158"/>
      <c r="G229" s="378"/>
      <c r="H229" s="378"/>
      <c r="I229" s="379"/>
      <c r="J229" s="379"/>
      <c r="K229" s="379"/>
      <c r="L229" s="379"/>
      <c r="M229" s="74"/>
      <c r="N229" s="74"/>
      <c r="O229" s="74"/>
      <c r="P229" s="74"/>
      <c r="Q229" s="74"/>
      <c r="R229" s="74"/>
      <c r="S229" s="74"/>
      <c r="T229" s="74"/>
      <c r="U229" s="74"/>
      <c r="V229" s="74"/>
      <c r="W229" s="74"/>
      <c r="X229" s="74"/>
      <c r="Y229" s="74"/>
      <c r="Z229" s="74"/>
      <c r="AA229" s="74"/>
      <c r="AB229" s="74"/>
    </row>
    <row r="230" spans="1:28" ht="40.5" customHeight="1">
      <c r="A230" s="429"/>
      <c r="B230" s="359"/>
      <c r="C230" s="362"/>
      <c r="D230" s="158"/>
      <c r="E230" s="158"/>
      <c r="F230" s="158"/>
      <c r="G230" s="378"/>
      <c r="H230" s="378"/>
      <c r="I230" s="379"/>
      <c r="J230" s="379"/>
      <c r="K230" s="379"/>
      <c r="L230" s="379"/>
      <c r="M230" s="74"/>
      <c r="N230" s="74"/>
      <c r="O230" s="74"/>
      <c r="P230" s="74"/>
      <c r="Q230" s="74"/>
      <c r="R230" s="74"/>
      <c r="S230" s="74"/>
      <c r="T230" s="74"/>
      <c r="U230" s="74"/>
      <c r="V230" s="74"/>
      <c r="W230" s="74"/>
      <c r="X230" s="74"/>
      <c r="Y230" s="74"/>
      <c r="Z230" s="74"/>
      <c r="AA230" s="74"/>
      <c r="AB230" s="74"/>
    </row>
    <row r="231" spans="1:28" ht="40.5" customHeight="1">
      <c r="A231" s="429"/>
      <c r="B231" s="359"/>
      <c r="C231" s="158"/>
      <c r="D231" s="158"/>
      <c r="E231" s="158"/>
      <c r="F231" s="158"/>
      <c r="G231" s="378"/>
      <c r="H231" s="378"/>
      <c r="I231" s="379"/>
      <c r="J231" s="379"/>
      <c r="K231" s="379"/>
      <c r="L231" s="379"/>
      <c r="M231" s="74"/>
      <c r="N231" s="74"/>
      <c r="O231" s="74"/>
      <c r="P231" s="74"/>
      <c r="Q231" s="74"/>
      <c r="R231" s="74"/>
      <c r="S231" s="74"/>
      <c r="T231" s="74"/>
      <c r="U231" s="74"/>
      <c r="V231" s="74"/>
      <c r="W231" s="74"/>
      <c r="X231" s="74"/>
      <c r="Y231" s="74"/>
      <c r="Z231" s="74"/>
      <c r="AA231" s="74"/>
      <c r="AB231" s="74"/>
    </row>
    <row r="232" spans="1:28" ht="40.5" customHeight="1">
      <c r="A232" s="429"/>
      <c r="B232" s="359"/>
      <c r="C232" s="362"/>
      <c r="D232" s="158"/>
      <c r="E232" s="158"/>
      <c r="F232" s="158"/>
      <c r="G232" s="378"/>
      <c r="H232" s="378"/>
      <c r="I232" s="379"/>
      <c r="J232" s="379"/>
      <c r="K232" s="379"/>
      <c r="L232" s="379"/>
      <c r="M232" s="74"/>
      <c r="N232" s="74"/>
      <c r="O232" s="74"/>
      <c r="P232" s="74"/>
      <c r="Q232" s="74"/>
      <c r="R232" s="74"/>
      <c r="S232" s="74"/>
      <c r="T232" s="74"/>
      <c r="U232" s="74"/>
      <c r="V232" s="74"/>
      <c r="W232" s="74"/>
      <c r="X232" s="74"/>
      <c r="Y232" s="74"/>
      <c r="Z232" s="74"/>
      <c r="AA232" s="74"/>
      <c r="AB232" s="74"/>
    </row>
    <row r="233" spans="1:28" ht="40.5" customHeight="1">
      <c r="A233" s="429"/>
      <c r="B233" s="359"/>
      <c r="C233" s="158"/>
      <c r="D233" s="158"/>
      <c r="E233" s="158"/>
      <c r="F233" s="158"/>
      <c r="G233" s="378"/>
      <c r="H233" s="378"/>
      <c r="I233" s="379"/>
      <c r="J233" s="379"/>
      <c r="K233" s="379"/>
      <c r="L233" s="379"/>
      <c r="M233" s="74"/>
      <c r="N233" s="74"/>
      <c r="O233" s="74"/>
      <c r="P233" s="74"/>
      <c r="Q233" s="74"/>
      <c r="R233" s="74"/>
      <c r="S233" s="74"/>
      <c r="T233" s="74"/>
      <c r="U233" s="74"/>
      <c r="V233" s="74"/>
      <c r="W233" s="74"/>
      <c r="X233" s="74"/>
      <c r="Y233" s="74"/>
      <c r="Z233" s="74"/>
      <c r="AA233" s="74"/>
      <c r="AB233" s="74"/>
    </row>
    <row r="234" spans="1:28" ht="40.5" customHeight="1">
      <c r="A234" s="429"/>
      <c r="B234" s="359"/>
      <c r="C234" s="362"/>
      <c r="D234" s="158"/>
      <c r="E234" s="158"/>
      <c r="F234" s="158"/>
      <c r="G234" s="378"/>
      <c r="H234" s="378"/>
      <c r="I234" s="379"/>
      <c r="J234" s="379"/>
      <c r="K234" s="379"/>
      <c r="L234" s="379"/>
      <c r="M234" s="74"/>
      <c r="N234" s="74"/>
      <c r="O234" s="74"/>
      <c r="P234" s="74"/>
      <c r="Q234" s="74"/>
      <c r="R234" s="74"/>
      <c r="S234" s="74"/>
      <c r="T234" s="74"/>
      <c r="U234" s="74"/>
      <c r="V234" s="74"/>
      <c r="W234" s="74"/>
      <c r="X234" s="74"/>
      <c r="Y234" s="74"/>
      <c r="Z234" s="74"/>
      <c r="AA234" s="74"/>
      <c r="AB234" s="74"/>
    </row>
    <row r="235" spans="1:28" ht="40.5" customHeight="1">
      <c r="A235" s="429"/>
      <c r="B235" s="359"/>
      <c r="C235" s="158"/>
      <c r="D235" s="158"/>
      <c r="E235" s="158"/>
      <c r="F235" s="158"/>
      <c r="G235" s="378"/>
      <c r="H235" s="378"/>
      <c r="I235" s="379"/>
      <c r="J235" s="379"/>
      <c r="K235" s="379"/>
      <c r="L235" s="379"/>
      <c r="M235" s="74"/>
      <c r="N235" s="74"/>
      <c r="O235" s="74"/>
      <c r="P235" s="74"/>
      <c r="Q235" s="74"/>
      <c r="R235" s="74"/>
      <c r="S235" s="74"/>
      <c r="T235" s="74"/>
      <c r="U235" s="74"/>
      <c r="V235" s="74"/>
      <c r="W235" s="74"/>
      <c r="X235" s="74"/>
      <c r="Y235" s="74"/>
      <c r="Z235" s="74"/>
      <c r="AA235" s="74"/>
      <c r="AB235" s="74"/>
    </row>
    <row r="236" spans="1:28" ht="40.5" customHeight="1">
      <c r="A236" s="429"/>
      <c r="B236" s="359"/>
      <c r="C236" s="362"/>
      <c r="D236" s="158"/>
      <c r="E236" s="158"/>
      <c r="F236" s="158"/>
      <c r="G236" s="378"/>
      <c r="H236" s="378"/>
      <c r="I236" s="379"/>
      <c r="J236" s="379"/>
      <c r="K236" s="379"/>
      <c r="L236" s="379"/>
      <c r="M236" s="74"/>
      <c r="N236" s="74"/>
      <c r="O236" s="74"/>
      <c r="P236" s="74"/>
      <c r="Q236" s="74"/>
      <c r="R236" s="74"/>
      <c r="S236" s="74"/>
      <c r="T236" s="74"/>
      <c r="U236" s="74"/>
      <c r="V236" s="74"/>
      <c r="W236" s="74"/>
      <c r="X236" s="74"/>
      <c r="Y236" s="74"/>
      <c r="Z236" s="74"/>
      <c r="AA236" s="74"/>
      <c r="AB236" s="74"/>
    </row>
    <row r="237" spans="1:28" ht="40.5" customHeight="1">
      <c r="A237" s="429"/>
      <c r="B237" s="359"/>
      <c r="C237" s="158"/>
      <c r="D237" s="158"/>
      <c r="E237" s="158"/>
      <c r="F237" s="158"/>
      <c r="G237" s="378"/>
      <c r="H237" s="378"/>
      <c r="I237" s="379"/>
      <c r="J237" s="379"/>
      <c r="K237" s="379"/>
      <c r="L237" s="379"/>
      <c r="M237" s="74"/>
      <c r="N237" s="74"/>
      <c r="O237" s="74"/>
      <c r="P237" s="74"/>
      <c r="Q237" s="74"/>
      <c r="R237" s="74"/>
      <c r="S237" s="74"/>
      <c r="T237" s="74"/>
      <c r="U237" s="74"/>
      <c r="V237" s="74"/>
      <c r="W237" s="74"/>
      <c r="X237" s="74"/>
      <c r="Y237" s="74"/>
      <c r="Z237" s="74"/>
      <c r="AA237" s="74"/>
      <c r="AB237" s="74"/>
    </row>
    <row r="238" spans="1:28" ht="40.5" customHeight="1">
      <c r="A238" s="429"/>
      <c r="B238" s="359"/>
      <c r="C238" s="362"/>
      <c r="D238" s="158"/>
      <c r="E238" s="158"/>
      <c r="F238" s="158"/>
      <c r="G238" s="378"/>
      <c r="H238" s="378"/>
      <c r="I238" s="379"/>
      <c r="J238" s="379"/>
      <c r="K238" s="379"/>
      <c r="L238" s="379"/>
      <c r="M238" s="74"/>
      <c r="N238" s="74"/>
      <c r="O238" s="74"/>
      <c r="P238" s="74"/>
      <c r="Q238" s="74"/>
      <c r="R238" s="74"/>
      <c r="S238" s="74"/>
      <c r="T238" s="74"/>
      <c r="U238" s="74"/>
      <c r="V238" s="74"/>
      <c r="W238" s="74"/>
      <c r="X238" s="74"/>
      <c r="Y238" s="74"/>
      <c r="Z238" s="74"/>
      <c r="AA238" s="74"/>
      <c r="AB238" s="74"/>
    </row>
    <row r="239" spans="1:28" ht="40.5" customHeight="1">
      <c r="A239" s="429"/>
      <c r="B239" s="359"/>
      <c r="C239" s="158"/>
      <c r="D239" s="158"/>
      <c r="E239" s="158"/>
      <c r="F239" s="158"/>
      <c r="G239" s="378"/>
      <c r="H239" s="378"/>
      <c r="I239" s="379"/>
      <c r="J239" s="379"/>
      <c r="K239" s="379"/>
      <c r="L239" s="379"/>
      <c r="M239" s="74"/>
      <c r="N239" s="74"/>
      <c r="O239" s="74"/>
      <c r="P239" s="74"/>
      <c r="Q239" s="74"/>
      <c r="R239" s="74"/>
      <c r="S239" s="74"/>
      <c r="T239" s="74"/>
      <c r="U239" s="74"/>
      <c r="V239" s="74"/>
      <c r="W239" s="74"/>
      <c r="X239" s="74"/>
      <c r="Y239" s="74"/>
      <c r="Z239" s="74"/>
      <c r="AA239" s="74"/>
      <c r="AB239" s="74"/>
    </row>
    <row r="240" spans="1:28" ht="40.5" customHeight="1">
      <c r="A240" s="429"/>
      <c r="B240" s="359"/>
      <c r="C240" s="362"/>
      <c r="D240" s="158"/>
      <c r="E240" s="158"/>
      <c r="F240" s="158"/>
      <c r="G240" s="378"/>
      <c r="H240" s="378"/>
      <c r="I240" s="379"/>
      <c r="J240" s="379"/>
      <c r="K240" s="379"/>
      <c r="L240" s="379"/>
      <c r="M240" s="74"/>
      <c r="N240" s="74"/>
      <c r="O240" s="74"/>
      <c r="P240" s="74"/>
      <c r="Q240" s="74"/>
      <c r="R240" s="74"/>
      <c r="S240" s="74"/>
      <c r="T240" s="74"/>
      <c r="U240" s="74"/>
      <c r="V240" s="74"/>
      <c r="W240" s="74"/>
      <c r="X240" s="74"/>
      <c r="Y240" s="74"/>
      <c r="Z240" s="74"/>
      <c r="AA240" s="74"/>
      <c r="AB240" s="74"/>
    </row>
    <row r="241" spans="1:28" ht="40.5" customHeight="1">
      <c r="A241" s="429"/>
      <c r="B241" s="359"/>
      <c r="C241" s="158"/>
      <c r="D241" s="158"/>
      <c r="E241" s="158"/>
      <c r="F241" s="158"/>
      <c r="G241" s="378"/>
      <c r="H241" s="378"/>
      <c r="I241" s="379"/>
      <c r="J241" s="379"/>
      <c r="K241" s="379"/>
      <c r="L241" s="379"/>
      <c r="M241" s="74"/>
      <c r="N241" s="74"/>
      <c r="O241" s="74"/>
      <c r="P241" s="74"/>
      <c r="Q241" s="74"/>
      <c r="R241" s="74"/>
      <c r="S241" s="74"/>
      <c r="T241" s="74"/>
      <c r="U241" s="74"/>
      <c r="V241" s="74"/>
      <c r="W241" s="74"/>
      <c r="X241" s="74"/>
      <c r="Y241" s="74"/>
      <c r="Z241" s="74"/>
      <c r="AA241" s="74"/>
      <c r="AB241" s="74"/>
    </row>
    <row r="242" spans="1:28" ht="40.5" customHeight="1">
      <c r="A242" s="429"/>
      <c r="B242" s="359"/>
      <c r="C242" s="362"/>
      <c r="D242" s="158"/>
      <c r="E242" s="158"/>
      <c r="F242" s="158"/>
      <c r="G242" s="378"/>
      <c r="H242" s="378"/>
      <c r="I242" s="379"/>
      <c r="J242" s="379"/>
      <c r="K242" s="379"/>
      <c r="L242" s="379"/>
      <c r="M242" s="74"/>
      <c r="N242" s="74"/>
      <c r="O242" s="74"/>
      <c r="P242" s="74"/>
      <c r="Q242" s="74"/>
      <c r="R242" s="74"/>
      <c r="S242" s="74"/>
      <c r="T242" s="74"/>
      <c r="U242" s="74"/>
      <c r="V242" s="74"/>
      <c r="W242" s="74"/>
      <c r="X242" s="74"/>
      <c r="Y242" s="74"/>
      <c r="Z242" s="74"/>
      <c r="AA242" s="74"/>
      <c r="AB242" s="74"/>
    </row>
    <row r="243" spans="1:28" ht="40.5" customHeight="1">
      <c r="A243" s="429"/>
      <c r="B243" s="359"/>
      <c r="C243" s="158"/>
      <c r="D243" s="158"/>
      <c r="E243" s="158"/>
      <c r="F243" s="158"/>
      <c r="G243" s="378"/>
      <c r="H243" s="378"/>
      <c r="I243" s="379"/>
      <c r="J243" s="379"/>
      <c r="K243" s="379"/>
      <c r="L243" s="379"/>
      <c r="M243" s="74"/>
      <c r="N243" s="74"/>
      <c r="O243" s="74"/>
      <c r="P243" s="74"/>
      <c r="Q243" s="74"/>
      <c r="R243" s="74"/>
      <c r="S243" s="74"/>
      <c r="T243" s="74"/>
      <c r="U243" s="74"/>
      <c r="V243" s="74"/>
      <c r="W243" s="74"/>
      <c r="X243" s="74"/>
      <c r="Y243" s="74"/>
      <c r="Z243" s="74"/>
      <c r="AA243" s="74"/>
      <c r="AB243" s="74"/>
    </row>
    <row r="244" spans="1:28" ht="40.5" customHeight="1">
      <c r="A244" s="429"/>
      <c r="B244" s="359"/>
      <c r="C244" s="362"/>
      <c r="D244" s="158"/>
      <c r="E244" s="158"/>
      <c r="F244" s="158"/>
      <c r="G244" s="378"/>
      <c r="H244" s="378"/>
      <c r="I244" s="379"/>
      <c r="J244" s="379"/>
      <c r="K244" s="379"/>
      <c r="L244" s="379"/>
      <c r="M244" s="74"/>
      <c r="N244" s="74"/>
      <c r="O244" s="74"/>
      <c r="P244" s="74"/>
      <c r="Q244" s="74"/>
      <c r="R244" s="74"/>
      <c r="S244" s="74"/>
      <c r="T244" s="74"/>
      <c r="U244" s="74"/>
      <c r="V244" s="74"/>
      <c r="W244" s="74"/>
      <c r="X244" s="74"/>
      <c r="Y244" s="74"/>
      <c r="Z244" s="74"/>
      <c r="AA244" s="74"/>
      <c r="AB244" s="74"/>
    </row>
    <row r="245" spans="1:28" ht="40.5" customHeight="1">
      <c r="A245" s="429"/>
      <c r="B245" s="359"/>
      <c r="C245" s="158"/>
      <c r="D245" s="158"/>
      <c r="E245" s="158"/>
      <c r="F245" s="158"/>
      <c r="G245" s="378"/>
      <c r="H245" s="378"/>
      <c r="I245" s="379"/>
      <c r="J245" s="379"/>
      <c r="K245" s="379"/>
      <c r="L245" s="379"/>
      <c r="M245" s="74"/>
      <c r="N245" s="74"/>
      <c r="O245" s="74"/>
      <c r="P245" s="74"/>
      <c r="Q245" s="74"/>
      <c r="R245" s="74"/>
      <c r="S245" s="74"/>
      <c r="T245" s="74"/>
      <c r="U245" s="74"/>
      <c r="V245" s="74"/>
      <c r="W245" s="74"/>
      <c r="X245" s="74"/>
      <c r="Y245" s="74"/>
      <c r="Z245" s="74"/>
      <c r="AA245" s="74"/>
      <c r="AB245" s="74"/>
    </row>
    <row r="246" spans="1:28" ht="40.5" customHeight="1">
      <c r="A246" s="429"/>
      <c r="B246" s="359"/>
      <c r="C246" s="362"/>
      <c r="D246" s="158"/>
      <c r="E246" s="158"/>
      <c r="F246" s="158"/>
      <c r="G246" s="378"/>
      <c r="H246" s="378"/>
      <c r="I246" s="379"/>
      <c r="J246" s="379"/>
      <c r="K246" s="379"/>
      <c r="L246" s="379"/>
      <c r="M246" s="74"/>
      <c r="N246" s="74"/>
      <c r="O246" s="74"/>
      <c r="P246" s="74"/>
      <c r="Q246" s="74"/>
      <c r="R246" s="74"/>
      <c r="S246" s="74"/>
      <c r="T246" s="74"/>
      <c r="U246" s="74"/>
      <c r="V246" s="74"/>
      <c r="W246" s="74"/>
      <c r="X246" s="74"/>
      <c r="Y246" s="74"/>
      <c r="Z246" s="74"/>
      <c r="AA246" s="74"/>
      <c r="AB246" s="74"/>
    </row>
    <row r="247" spans="1:28" ht="40.5" customHeight="1">
      <c r="A247" s="429"/>
      <c r="B247" s="359"/>
      <c r="C247" s="158"/>
      <c r="D247" s="158"/>
      <c r="E247" s="158"/>
      <c r="F247" s="158"/>
      <c r="G247" s="378"/>
      <c r="H247" s="378"/>
      <c r="I247" s="379"/>
      <c r="J247" s="379"/>
      <c r="K247" s="379"/>
      <c r="L247" s="379"/>
      <c r="M247" s="74"/>
      <c r="N247" s="74"/>
      <c r="O247" s="74"/>
      <c r="P247" s="74"/>
      <c r="Q247" s="74"/>
      <c r="R247" s="74"/>
      <c r="S247" s="74"/>
      <c r="T247" s="74"/>
      <c r="U247" s="74"/>
      <c r="V247" s="74"/>
      <c r="W247" s="74"/>
      <c r="X247" s="74"/>
      <c r="Y247" s="74"/>
      <c r="Z247" s="74"/>
      <c r="AA247" s="74"/>
      <c r="AB247" s="74"/>
    </row>
    <row r="248" spans="1:28" ht="40.5" customHeight="1">
      <c r="A248" s="429"/>
      <c r="B248" s="359"/>
      <c r="C248" s="362"/>
      <c r="D248" s="158"/>
      <c r="E248" s="158"/>
      <c r="F248" s="158"/>
      <c r="G248" s="378"/>
      <c r="H248" s="378"/>
      <c r="I248" s="379"/>
      <c r="J248" s="379"/>
      <c r="K248" s="379"/>
      <c r="L248" s="379"/>
      <c r="M248" s="74"/>
      <c r="N248" s="74"/>
      <c r="O248" s="74"/>
      <c r="P248" s="74"/>
      <c r="Q248" s="74"/>
      <c r="R248" s="74"/>
      <c r="S248" s="74"/>
      <c r="T248" s="74"/>
      <c r="U248" s="74"/>
      <c r="V248" s="74"/>
      <c r="W248" s="74"/>
      <c r="X248" s="74"/>
      <c r="Y248" s="74"/>
      <c r="Z248" s="74"/>
      <c r="AA248" s="74"/>
      <c r="AB248" s="74"/>
    </row>
    <row r="249" spans="1:28" ht="40.5" customHeight="1">
      <c r="A249" s="429"/>
      <c r="B249" s="359"/>
      <c r="C249" s="158"/>
      <c r="D249" s="158"/>
      <c r="E249" s="158"/>
      <c r="F249" s="158"/>
      <c r="G249" s="378"/>
      <c r="H249" s="378"/>
      <c r="I249" s="379"/>
      <c r="J249" s="379"/>
      <c r="K249" s="379"/>
      <c r="L249" s="379"/>
      <c r="M249" s="74"/>
      <c r="N249" s="74"/>
      <c r="O249" s="74"/>
      <c r="P249" s="74"/>
      <c r="Q249" s="74"/>
      <c r="R249" s="74"/>
      <c r="S249" s="74"/>
      <c r="T249" s="74"/>
      <c r="U249" s="74"/>
      <c r="V249" s="74"/>
      <c r="W249" s="74"/>
      <c r="X249" s="74"/>
      <c r="Y249" s="74"/>
      <c r="Z249" s="74"/>
      <c r="AA249" s="74"/>
      <c r="AB249" s="74"/>
    </row>
    <row r="250" spans="1:28" ht="40.5" customHeight="1">
      <c r="A250" s="429"/>
      <c r="B250" s="359"/>
      <c r="C250" s="362"/>
      <c r="D250" s="158"/>
      <c r="E250" s="158"/>
      <c r="F250" s="158"/>
      <c r="G250" s="378"/>
      <c r="H250" s="378"/>
      <c r="I250" s="379"/>
      <c r="J250" s="379"/>
      <c r="K250" s="379"/>
      <c r="L250" s="379"/>
      <c r="M250" s="74"/>
      <c r="N250" s="74"/>
      <c r="O250" s="74"/>
      <c r="P250" s="74"/>
      <c r="Q250" s="74"/>
      <c r="R250" s="74"/>
      <c r="S250" s="74"/>
      <c r="T250" s="74"/>
      <c r="U250" s="74"/>
      <c r="V250" s="74"/>
      <c r="W250" s="74"/>
      <c r="X250" s="74"/>
      <c r="Y250" s="74"/>
      <c r="Z250" s="74"/>
      <c r="AA250" s="74"/>
      <c r="AB250" s="74"/>
    </row>
    <row r="251" spans="1:28" ht="40.5" customHeight="1">
      <c r="A251" s="429"/>
      <c r="B251" s="359"/>
      <c r="C251" s="158"/>
      <c r="D251" s="158"/>
      <c r="E251" s="158"/>
      <c r="F251" s="158"/>
      <c r="G251" s="378"/>
      <c r="H251" s="378"/>
      <c r="I251" s="379"/>
      <c r="J251" s="379"/>
      <c r="K251" s="379"/>
      <c r="L251" s="379"/>
      <c r="M251" s="74"/>
      <c r="N251" s="74"/>
      <c r="O251" s="74"/>
      <c r="P251" s="74"/>
      <c r="Q251" s="74"/>
      <c r="R251" s="74"/>
      <c r="S251" s="74"/>
      <c r="T251" s="74"/>
      <c r="U251" s="74"/>
      <c r="V251" s="74"/>
      <c r="W251" s="74"/>
      <c r="X251" s="74"/>
      <c r="Y251" s="74"/>
      <c r="Z251" s="74"/>
      <c r="AA251" s="74"/>
      <c r="AB251" s="74"/>
    </row>
    <row r="252" spans="1:28" ht="40.5" customHeight="1">
      <c r="A252" s="429"/>
      <c r="B252" s="359"/>
      <c r="C252" s="362"/>
      <c r="D252" s="158"/>
      <c r="E252" s="158"/>
      <c r="F252" s="158"/>
      <c r="G252" s="378"/>
      <c r="H252" s="378"/>
      <c r="I252" s="379"/>
      <c r="J252" s="379"/>
      <c r="K252" s="379"/>
      <c r="L252" s="379"/>
      <c r="M252" s="74"/>
      <c r="N252" s="74"/>
      <c r="O252" s="74"/>
      <c r="P252" s="74"/>
      <c r="Q252" s="74"/>
      <c r="R252" s="74"/>
      <c r="S252" s="74"/>
      <c r="T252" s="74"/>
      <c r="U252" s="74"/>
      <c r="V252" s="74"/>
      <c r="W252" s="74"/>
      <c r="X252" s="74"/>
      <c r="Y252" s="74"/>
      <c r="Z252" s="74"/>
      <c r="AA252" s="74"/>
      <c r="AB252" s="74"/>
    </row>
    <row r="253" spans="1:28" ht="40.5" customHeight="1">
      <c r="A253" s="429"/>
      <c r="B253" s="359"/>
      <c r="C253" s="158"/>
      <c r="D253" s="158"/>
      <c r="E253" s="158"/>
      <c r="F253" s="158"/>
      <c r="G253" s="378"/>
      <c r="H253" s="378"/>
      <c r="I253" s="379"/>
      <c r="J253" s="379"/>
      <c r="K253" s="379"/>
      <c r="L253" s="379"/>
      <c r="M253" s="74"/>
      <c r="N253" s="74"/>
      <c r="O253" s="74"/>
      <c r="P253" s="74"/>
      <c r="Q253" s="74"/>
      <c r="R253" s="74"/>
      <c r="S253" s="74"/>
      <c r="T253" s="74"/>
      <c r="U253" s="74"/>
      <c r="V253" s="74"/>
      <c r="W253" s="74"/>
      <c r="X253" s="74"/>
      <c r="Y253" s="74"/>
      <c r="Z253" s="74"/>
      <c r="AA253" s="74"/>
      <c r="AB253" s="74"/>
    </row>
    <row r="254" spans="1:28" ht="40.5" customHeight="1">
      <c r="A254" s="429"/>
      <c r="B254" s="359"/>
      <c r="C254" s="430"/>
      <c r="D254" s="158"/>
      <c r="E254" s="158"/>
      <c r="F254" s="158"/>
      <c r="G254" s="378"/>
      <c r="H254" s="378"/>
      <c r="I254" s="379"/>
      <c r="J254" s="379"/>
      <c r="K254" s="379"/>
      <c r="L254" s="379"/>
      <c r="M254" s="74"/>
      <c r="N254" s="74"/>
      <c r="O254" s="74"/>
      <c r="P254" s="74"/>
      <c r="Q254" s="74"/>
      <c r="R254" s="74"/>
      <c r="S254" s="74"/>
      <c r="T254" s="74"/>
      <c r="U254" s="74"/>
      <c r="V254" s="74"/>
      <c r="W254" s="74"/>
      <c r="X254" s="74"/>
      <c r="Y254" s="74"/>
      <c r="Z254" s="74"/>
      <c r="AA254" s="74"/>
      <c r="AB254" s="74"/>
    </row>
    <row r="255" spans="1:28" ht="40.5" customHeight="1">
      <c r="A255" s="429"/>
      <c r="B255" s="359"/>
      <c r="C255" s="158"/>
      <c r="D255" s="158"/>
      <c r="E255" s="158"/>
      <c r="F255" s="158"/>
      <c r="G255" s="378"/>
      <c r="H255" s="378"/>
      <c r="I255" s="379"/>
      <c r="J255" s="379"/>
      <c r="K255" s="379"/>
      <c r="L255" s="379"/>
      <c r="M255" s="74"/>
      <c r="N255" s="74"/>
      <c r="O255" s="74"/>
      <c r="P255" s="74"/>
      <c r="Q255" s="74"/>
      <c r="R255" s="74"/>
      <c r="S255" s="74"/>
      <c r="T255" s="74"/>
      <c r="U255" s="74"/>
      <c r="V255" s="74"/>
      <c r="W255" s="74"/>
      <c r="X255" s="74"/>
      <c r="Y255" s="74"/>
      <c r="Z255" s="74"/>
      <c r="AA255" s="74"/>
      <c r="AB255" s="74"/>
    </row>
    <row r="256" spans="1:28" ht="40.5" customHeight="1">
      <c r="A256" s="429"/>
      <c r="B256" s="359"/>
      <c r="C256" s="430"/>
      <c r="D256" s="158"/>
      <c r="E256" s="158"/>
      <c r="F256" s="158"/>
      <c r="G256" s="378"/>
      <c r="H256" s="378"/>
      <c r="I256" s="379"/>
      <c r="J256" s="379"/>
      <c r="K256" s="379"/>
      <c r="L256" s="379"/>
      <c r="M256" s="74"/>
      <c r="N256" s="74"/>
      <c r="O256" s="74"/>
      <c r="P256" s="74"/>
      <c r="Q256" s="74"/>
      <c r="R256" s="74"/>
      <c r="S256" s="74"/>
      <c r="T256" s="74"/>
      <c r="U256" s="74"/>
      <c r="V256" s="74"/>
      <c r="W256" s="74"/>
      <c r="X256" s="74"/>
      <c r="Y256" s="74"/>
      <c r="Z256" s="74"/>
      <c r="AA256" s="74"/>
      <c r="AB256" s="74"/>
    </row>
    <row r="257" spans="1:28" ht="40.5" customHeight="1">
      <c r="A257" s="429"/>
      <c r="B257" s="359"/>
      <c r="C257" s="158"/>
      <c r="D257" s="158"/>
      <c r="E257" s="158"/>
      <c r="F257" s="158"/>
      <c r="G257" s="378"/>
      <c r="H257" s="378"/>
      <c r="I257" s="379"/>
      <c r="J257" s="379"/>
      <c r="K257" s="379"/>
      <c r="L257" s="379"/>
      <c r="M257" s="74"/>
      <c r="N257" s="74"/>
      <c r="O257" s="74"/>
      <c r="P257" s="74"/>
      <c r="Q257" s="74"/>
      <c r="R257" s="74"/>
      <c r="S257" s="74"/>
      <c r="T257" s="74"/>
      <c r="U257" s="74"/>
      <c r="V257" s="74"/>
      <c r="W257" s="74"/>
      <c r="X257" s="74"/>
      <c r="Y257" s="74"/>
      <c r="Z257" s="74"/>
      <c r="AA257" s="74"/>
      <c r="AB257" s="74"/>
    </row>
    <row r="258" spans="1:28" ht="40.5" customHeight="1">
      <c r="A258" s="429"/>
      <c r="B258" s="359"/>
      <c r="C258" s="430"/>
      <c r="D258" s="158"/>
      <c r="E258" s="158"/>
      <c r="F258" s="158"/>
      <c r="G258" s="378"/>
      <c r="H258" s="378"/>
      <c r="I258" s="379"/>
      <c r="J258" s="379"/>
      <c r="K258" s="379"/>
      <c r="L258" s="379"/>
      <c r="M258" s="74"/>
      <c r="N258" s="74"/>
      <c r="O258" s="74"/>
      <c r="P258" s="74"/>
      <c r="Q258" s="74"/>
      <c r="R258" s="74"/>
      <c r="S258" s="74"/>
      <c r="T258" s="74"/>
      <c r="U258" s="74"/>
      <c r="V258" s="74"/>
      <c r="W258" s="74"/>
      <c r="X258" s="74"/>
      <c r="Y258" s="74"/>
      <c r="Z258" s="74"/>
      <c r="AA258" s="74"/>
      <c r="AB258" s="74"/>
    </row>
    <row r="259" spans="1:28" ht="40.5" customHeight="1">
      <c r="A259" s="429"/>
      <c r="B259" s="359"/>
      <c r="C259" s="158"/>
      <c r="D259" s="158"/>
      <c r="E259" s="158"/>
      <c r="F259" s="158"/>
      <c r="G259" s="378"/>
      <c r="H259" s="378"/>
      <c r="I259" s="379"/>
      <c r="J259" s="379"/>
      <c r="K259" s="379"/>
      <c r="L259" s="379"/>
      <c r="M259" s="74"/>
      <c r="N259" s="74"/>
      <c r="O259" s="74"/>
      <c r="P259" s="74"/>
      <c r="Q259" s="74"/>
      <c r="R259" s="74"/>
      <c r="S259" s="74"/>
      <c r="T259" s="74"/>
      <c r="U259" s="74"/>
      <c r="V259" s="74"/>
      <c r="W259" s="74"/>
      <c r="X259" s="74"/>
      <c r="Y259" s="74"/>
      <c r="Z259" s="74"/>
      <c r="AA259" s="74"/>
      <c r="AB259" s="74"/>
    </row>
    <row r="260" spans="1:28" ht="40.5" customHeight="1">
      <c r="A260" s="429"/>
      <c r="B260" s="359"/>
      <c r="C260" s="430"/>
      <c r="D260" s="158"/>
      <c r="E260" s="158"/>
      <c r="F260" s="158"/>
      <c r="G260" s="378"/>
      <c r="H260" s="378"/>
      <c r="I260" s="379"/>
      <c r="J260" s="379"/>
      <c r="K260" s="379"/>
      <c r="L260" s="379"/>
      <c r="M260" s="74"/>
      <c r="N260" s="74"/>
      <c r="O260" s="74"/>
      <c r="P260" s="74"/>
      <c r="Q260" s="74"/>
      <c r="R260" s="74"/>
      <c r="S260" s="74"/>
      <c r="T260" s="74"/>
      <c r="U260" s="74"/>
      <c r="V260" s="74"/>
      <c r="W260" s="74"/>
      <c r="X260" s="74"/>
      <c r="Y260" s="74"/>
      <c r="Z260" s="74"/>
      <c r="AA260" s="74"/>
      <c r="AB260" s="74"/>
    </row>
    <row r="261" spans="1:28" ht="40.5" customHeight="1">
      <c r="A261" s="429"/>
      <c r="B261" s="359"/>
      <c r="C261" s="158"/>
      <c r="D261" s="158"/>
      <c r="E261" s="158"/>
      <c r="F261" s="158"/>
      <c r="G261" s="378"/>
      <c r="H261" s="378"/>
      <c r="I261" s="379"/>
      <c r="J261" s="379"/>
      <c r="K261" s="379"/>
      <c r="L261" s="379"/>
      <c r="M261" s="74"/>
      <c r="N261" s="74"/>
      <c r="O261" s="74"/>
      <c r="P261" s="74"/>
      <c r="Q261" s="74"/>
      <c r="R261" s="74"/>
      <c r="S261" s="74"/>
      <c r="T261" s="74"/>
      <c r="U261" s="74"/>
      <c r="V261" s="74"/>
      <c r="W261" s="74"/>
      <c r="X261" s="74"/>
      <c r="Y261" s="74"/>
      <c r="Z261" s="74"/>
      <c r="AA261" s="74"/>
      <c r="AB261" s="74"/>
    </row>
    <row r="262" spans="1:28" ht="40.5" customHeight="1">
      <c r="A262" s="429"/>
      <c r="B262" s="359"/>
      <c r="C262" s="430"/>
      <c r="D262" s="158"/>
      <c r="E262" s="158"/>
      <c r="F262" s="158"/>
      <c r="G262" s="378"/>
      <c r="H262" s="378"/>
      <c r="I262" s="379"/>
      <c r="J262" s="379"/>
      <c r="K262" s="379"/>
      <c r="L262" s="379"/>
      <c r="M262" s="74"/>
      <c r="N262" s="74"/>
      <c r="O262" s="74"/>
      <c r="P262" s="74"/>
      <c r="Q262" s="74"/>
      <c r="R262" s="74"/>
      <c r="S262" s="74"/>
      <c r="T262" s="74"/>
      <c r="U262" s="74"/>
      <c r="V262" s="74"/>
      <c r="W262" s="74"/>
      <c r="X262" s="74"/>
      <c r="Y262" s="74"/>
      <c r="Z262" s="74"/>
      <c r="AA262" s="74"/>
      <c r="AB262" s="74"/>
    </row>
    <row r="263" spans="1:28" ht="40.5" customHeight="1">
      <c r="A263" s="429"/>
      <c r="B263" s="359"/>
      <c r="C263" s="158"/>
      <c r="D263" s="158"/>
      <c r="E263" s="158"/>
      <c r="F263" s="158"/>
      <c r="G263" s="378"/>
      <c r="H263" s="378"/>
      <c r="I263" s="379"/>
      <c r="J263" s="379"/>
      <c r="K263" s="379"/>
      <c r="L263" s="379"/>
      <c r="M263" s="74"/>
      <c r="N263" s="74"/>
      <c r="O263" s="74"/>
      <c r="P263" s="74"/>
      <c r="Q263" s="74"/>
      <c r="R263" s="74"/>
      <c r="S263" s="74"/>
      <c r="T263" s="74"/>
      <c r="U263" s="74"/>
      <c r="V263" s="74"/>
      <c r="W263" s="74"/>
      <c r="X263" s="74"/>
      <c r="Y263" s="74"/>
      <c r="Z263" s="74"/>
      <c r="AA263" s="74"/>
      <c r="AB263" s="74"/>
    </row>
    <row r="264" spans="1:28" ht="40.5" customHeight="1">
      <c r="A264" s="429"/>
      <c r="B264" s="359"/>
      <c r="C264" s="430"/>
      <c r="D264" s="158"/>
      <c r="E264" s="158"/>
      <c r="F264" s="158"/>
      <c r="G264" s="378"/>
      <c r="H264" s="378"/>
      <c r="I264" s="379"/>
      <c r="J264" s="379"/>
      <c r="K264" s="379"/>
      <c r="L264" s="379"/>
      <c r="M264" s="74"/>
      <c r="N264" s="74"/>
      <c r="O264" s="74"/>
      <c r="P264" s="74"/>
      <c r="Q264" s="74"/>
      <c r="R264" s="74"/>
      <c r="S264" s="74"/>
      <c r="T264" s="74"/>
      <c r="U264" s="74"/>
      <c r="V264" s="74"/>
      <c r="W264" s="74"/>
      <c r="X264" s="74"/>
      <c r="Y264" s="74"/>
      <c r="Z264" s="74"/>
      <c r="AA264" s="74"/>
      <c r="AB264" s="74"/>
    </row>
    <row r="265" spans="1:28" ht="40.5" customHeight="1">
      <c r="A265" s="429"/>
      <c r="B265" s="359"/>
      <c r="C265" s="158"/>
      <c r="D265" s="158"/>
      <c r="E265" s="158"/>
      <c r="F265" s="158"/>
      <c r="G265" s="378"/>
      <c r="H265" s="378"/>
      <c r="I265" s="379"/>
      <c r="J265" s="379"/>
      <c r="K265" s="379"/>
      <c r="L265" s="379"/>
      <c r="M265" s="74"/>
      <c r="N265" s="74"/>
      <c r="O265" s="74"/>
      <c r="P265" s="74"/>
      <c r="Q265" s="74"/>
      <c r="R265" s="74"/>
      <c r="S265" s="74"/>
      <c r="T265" s="74"/>
      <c r="U265" s="74"/>
      <c r="V265" s="74"/>
      <c r="W265" s="74"/>
      <c r="X265" s="74"/>
      <c r="Y265" s="74"/>
      <c r="Z265" s="74"/>
      <c r="AA265" s="74"/>
      <c r="AB265" s="74"/>
    </row>
    <row r="266" spans="1:28" ht="40.5" customHeight="1">
      <c r="A266" s="429"/>
      <c r="B266" s="359"/>
      <c r="C266" s="430"/>
      <c r="D266" s="158"/>
      <c r="E266" s="158"/>
      <c r="F266" s="158"/>
      <c r="G266" s="378"/>
      <c r="H266" s="378"/>
      <c r="I266" s="379"/>
      <c r="J266" s="379"/>
      <c r="K266" s="379"/>
      <c r="L266" s="379"/>
      <c r="M266" s="74"/>
      <c r="N266" s="74"/>
      <c r="O266" s="74"/>
      <c r="P266" s="74"/>
      <c r="Q266" s="74"/>
      <c r="R266" s="74"/>
      <c r="S266" s="74"/>
      <c r="T266" s="74"/>
      <c r="U266" s="74"/>
      <c r="V266" s="74"/>
      <c r="W266" s="74"/>
      <c r="X266" s="74"/>
      <c r="Y266" s="74"/>
      <c r="Z266" s="74"/>
      <c r="AA266" s="74"/>
      <c r="AB266" s="74"/>
    </row>
    <row r="267" spans="1:28" ht="40.5" customHeight="1">
      <c r="A267" s="429"/>
      <c r="B267" s="359"/>
      <c r="C267" s="158"/>
      <c r="D267" s="158"/>
      <c r="E267" s="158"/>
      <c r="F267" s="158"/>
      <c r="G267" s="378"/>
      <c r="H267" s="378"/>
      <c r="I267" s="379"/>
      <c r="J267" s="379"/>
      <c r="K267" s="379"/>
      <c r="L267" s="379"/>
      <c r="M267" s="74"/>
      <c r="N267" s="74"/>
      <c r="O267" s="74"/>
      <c r="P267" s="74"/>
      <c r="Q267" s="74"/>
      <c r="R267" s="74"/>
      <c r="S267" s="74"/>
      <c r="T267" s="74"/>
      <c r="U267" s="74"/>
      <c r="V267" s="74"/>
      <c r="W267" s="74"/>
      <c r="X267" s="74"/>
      <c r="Y267" s="74"/>
      <c r="Z267" s="74"/>
      <c r="AA267" s="74"/>
      <c r="AB267" s="74"/>
    </row>
    <row r="268" spans="1:28" ht="40.5" customHeight="1">
      <c r="A268" s="429"/>
      <c r="B268" s="359"/>
      <c r="C268" s="430"/>
      <c r="D268" s="158"/>
      <c r="E268" s="158"/>
      <c r="F268" s="158"/>
      <c r="G268" s="378"/>
      <c r="H268" s="378"/>
      <c r="I268" s="379"/>
      <c r="J268" s="379"/>
      <c r="K268" s="379"/>
      <c r="L268" s="379"/>
      <c r="M268" s="74"/>
      <c r="N268" s="74"/>
      <c r="O268" s="74"/>
      <c r="P268" s="74"/>
      <c r="Q268" s="74"/>
      <c r="R268" s="74"/>
      <c r="S268" s="74"/>
      <c r="T268" s="74"/>
      <c r="U268" s="74"/>
      <c r="V268" s="74"/>
      <c r="W268" s="74"/>
      <c r="X268" s="74"/>
      <c r="Y268" s="74"/>
      <c r="Z268" s="74"/>
      <c r="AA268" s="74"/>
      <c r="AB268" s="74"/>
    </row>
    <row r="269" spans="1:28" ht="40.5" customHeight="1">
      <c r="A269" s="429"/>
      <c r="B269" s="359"/>
      <c r="C269" s="158"/>
      <c r="D269" s="158"/>
      <c r="E269" s="158"/>
      <c r="F269" s="158"/>
      <c r="G269" s="378"/>
      <c r="H269" s="378"/>
      <c r="I269" s="379"/>
      <c r="J269" s="379"/>
      <c r="K269" s="379"/>
      <c r="L269" s="379"/>
      <c r="M269" s="74"/>
      <c r="N269" s="74"/>
      <c r="O269" s="74"/>
      <c r="P269" s="74"/>
      <c r="Q269" s="74"/>
      <c r="R269" s="74"/>
      <c r="S269" s="74"/>
      <c r="T269" s="74"/>
      <c r="U269" s="74"/>
      <c r="V269" s="74"/>
      <c r="W269" s="74"/>
      <c r="X269" s="74"/>
      <c r="Y269" s="74"/>
      <c r="Z269" s="74"/>
      <c r="AA269" s="74"/>
      <c r="AB269" s="74"/>
    </row>
    <row r="270" spans="1:28" ht="40.5" customHeight="1">
      <c r="A270" s="429"/>
      <c r="B270" s="359"/>
      <c r="C270" s="430"/>
      <c r="D270" s="158"/>
      <c r="E270" s="158"/>
      <c r="F270" s="158"/>
      <c r="G270" s="378"/>
      <c r="H270" s="378"/>
      <c r="I270" s="379"/>
      <c r="J270" s="379"/>
      <c r="K270" s="379"/>
      <c r="L270" s="379"/>
      <c r="M270" s="74"/>
      <c r="N270" s="74"/>
      <c r="O270" s="74"/>
      <c r="P270" s="74"/>
      <c r="Q270" s="74"/>
      <c r="R270" s="74"/>
      <c r="S270" s="74"/>
      <c r="T270" s="74"/>
      <c r="U270" s="74"/>
      <c r="V270" s="74"/>
      <c r="W270" s="74"/>
      <c r="X270" s="74"/>
      <c r="Y270" s="74"/>
      <c r="Z270" s="74"/>
      <c r="AA270" s="74"/>
      <c r="AB270" s="74"/>
    </row>
    <row r="271" spans="1:28" ht="40.5" customHeight="1">
      <c r="A271" s="429"/>
      <c r="B271" s="359"/>
      <c r="C271" s="158"/>
      <c r="D271" s="158"/>
      <c r="E271" s="158"/>
      <c r="F271" s="158"/>
      <c r="G271" s="378"/>
      <c r="H271" s="378"/>
      <c r="I271" s="379"/>
      <c r="J271" s="379"/>
      <c r="K271" s="379"/>
      <c r="L271" s="379"/>
      <c r="M271" s="74"/>
      <c r="N271" s="74"/>
      <c r="O271" s="74"/>
      <c r="P271" s="74"/>
      <c r="Q271" s="74"/>
      <c r="R271" s="74"/>
      <c r="S271" s="74"/>
      <c r="T271" s="74"/>
      <c r="U271" s="74"/>
      <c r="V271" s="74"/>
      <c r="W271" s="74"/>
      <c r="X271" s="74"/>
      <c r="Y271" s="74"/>
      <c r="Z271" s="74"/>
      <c r="AA271" s="74"/>
      <c r="AB271" s="74"/>
    </row>
    <row r="272" spans="1:28" ht="40.5" customHeight="1">
      <c r="A272" s="429"/>
      <c r="B272" s="359"/>
      <c r="C272" s="430"/>
      <c r="D272" s="158"/>
      <c r="E272" s="158"/>
      <c r="F272" s="158"/>
      <c r="G272" s="378"/>
      <c r="H272" s="378"/>
      <c r="I272" s="379"/>
      <c r="J272" s="379"/>
      <c r="K272" s="379"/>
      <c r="L272" s="379"/>
      <c r="M272" s="74"/>
      <c r="N272" s="74"/>
      <c r="O272" s="74"/>
      <c r="P272" s="74"/>
      <c r="Q272" s="74"/>
      <c r="R272" s="74"/>
      <c r="S272" s="74"/>
      <c r="T272" s="74"/>
      <c r="U272" s="74"/>
      <c r="V272" s="74"/>
      <c r="W272" s="74"/>
      <c r="X272" s="74"/>
      <c r="Y272" s="74"/>
      <c r="Z272" s="74"/>
      <c r="AA272" s="74"/>
      <c r="AB272" s="74"/>
    </row>
    <row r="273" spans="1:28" ht="40.5" customHeight="1">
      <c r="A273" s="429"/>
      <c r="B273" s="359"/>
      <c r="C273" s="158"/>
      <c r="D273" s="158"/>
      <c r="E273" s="158"/>
      <c r="F273" s="158"/>
      <c r="G273" s="378"/>
      <c r="H273" s="378"/>
      <c r="I273" s="379"/>
      <c r="J273" s="379"/>
      <c r="K273" s="379"/>
      <c r="L273" s="379"/>
      <c r="M273" s="74"/>
      <c r="N273" s="74"/>
      <c r="O273" s="74"/>
      <c r="P273" s="74"/>
      <c r="Q273" s="74"/>
      <c r="R273" s="74"/>
      <c r="S273" s="74"/>
      <c r="T273" s="74"/>
      <c r="U273" s="74"/>
      <c r="V273" s="74"/>
      <c r="W273" s="74"/>
      <c r="X273" s="74"/>
      <c r="Y273" s="74"/>
      <c r="Z273" s="74"/>
      <c r="AA273" s="74"/>
      <c r="AB273" s="74"/>
    </row>
    <row r="274" spans="1:28" ht="40.5" customHeight="1">
      <c r="A274" s="429"/>
      <c r="B274" s="359"/>
      <c r="C274" s="430"/>
      <c r="D274" s="158"/>
      <c r="E274" s="158"/>
      <c r="F274" s="158"/>
      <c r="G274" s="378"/>
      <c r="H274" s="378"/>
      <c r="I274" s="379"/>
      <c r="J274" s="379"/>
      <c r="K274" s="379"/>
      <c r="L274" s="379"/>
      <c r="M274" s="74"/>
      <c r="N274" s="74"/>
      <c r="O274" s="74"/>
      <c r="P274" s="74"/>
      <c r="Q274" s="74"/>
      <c r="R274" s="74"/>
      <c r="S274" s="74"/>
      <c r="T274" s="74"/>
      <c r="U274" s="74"/>
      <c r="V274" s="74"/>
      <c r="W274" s="74"/>
      <c r="X274" s="74"/>
      <c r="Y274" s="74"/>
      <c r="Z274" s="74"/>
      <c r="AA274" s="74"/>
      <c r="AB274" s="74"/>
    </row>
    <row r="275" spans="1:28" ht="40.5" customHeight="1">
      <c r="A275" s="429"/>
      <c r="B275" s="359"/>
      <c r="C275" s="158"/>
      <c r="D275" s="158"/>
      <c r="E275" s="158"/>
      <c r="F275" s="158"/>
      <c r="G275" s="378"/>
      <c r="H275" s="378"/>
      <c r="I275" s="379"/>
      <c r="J275" s="379"/>
      <c r="K275" s="379"/>
      <c r="L275" s="379"/>
      <c r="M275" s="74"/>
      <c r="N275" s="74"/>
      <c r="O275" s="74"/>
      <c r="P275" s="74"/>
      <c r="Q275" s="74"/>
      <c r="R275" s="74"/>
      <c r="S275" s="74"/>
      <c r="T275" s="74"/>
      <c r="U275" s="74"/>
      <c r="V275" s="74"/>
      <c r="W275" s="74"/>
      <c r="X275" s="74"/>
      <c r="Y275" s="74"/>
      <c r="Z275" s="74"/>
      <c r="AA275" s="74"/>
      <c r="AB275" s="74"/>
    </row>
    <row r="276" spans="1:28" ht="40.5" customHeight="1">
      <c r="A276" s="429"/>
      <c r="B276" s="359"/>
      <c r="C276" s="430"/>
      <c r="D276" s="158"/>
      <c r="E276" s="158"/>
      <c r="F276" s="158"/>
      <c r="G276" s="378"/>
      <c r="H276" s="378"/>
      <c r="I276" s="379"/>
      <c r="J276" s="379"/>
      <c r="K276" s="379"/>
      <c r="L276" s="379"/>
      <c r="M276" s="74"/>
      <c r="N276" s="74"/>
      <c r="O276" s="74"/>
      <c r="P276" s="74"/>
      <c r="Q276" s="74"/>
      <c r="R276" s="74"/>
      <c r="S276" s="74"/>
      <c r="T276" s="74"/>
      <c r="U276" s="74"/>
      <c r="V276" s="74"/>
      <c r="W276" s="74"/>
      <c r="X276" s="74"/>
      <c r="Y276" s="74"/>
      <c r="Z276" s="74"/>
      <c r="AA276" s="74"/>
      <c r="AB276" s="74"/>
    </row>
    <row r="277" spans="1:28" ht="40.5" customHeight="1">
      <c r="A277" s="429"/>
      <c r="B277" s="359"/>
      <c r="C277" s="158"/>
      <c r="D277" s="158"/>
      <c r="E277" s="158"/>
      <c r="F277" s="158"/>
      <c r="G277" s="378"/>
      <c r="H277" s="378"/>
      <c r="I277" s="379"/>
      <c r="J277" s="379"/>
      <c r="K277" s="379"/>
      <c r="L277" s="379"/>
      <c r="M277" s="74"/>
      <c r="N277" s="74"/>
      <c r="O277" s="74"/>
      <c r="P277" s="74"/>
      <c r="Q277" s="74"/>
      <c r="R277" s="74"/>
      <c r="S277" s="74"/>
      <c r="T277" s="74"/>
      <c r="U277" s="74"/>
      <c r="V277" s="74"/>
      <c r="W277" s="74"/>
      <c r="X277" s="74"/>
      <c r="Y277" s="74"/>
      <c r="Z277" s="74"/>
      <c r="AA277" s="74"/>
      <c r="AB277" s="74"/>
    </row>
    <row r="278" spans="1:28" ht="40.5" customHeight="1">
      <c r="A278" s="429"/>
      <c r="B278" s="359"/>
      <c r="C278" s="430"/>
      <c r="D278" s="158"/>
      <c r="E278" s="158"/>
      <c r="F278" s="158"/>
      <c r="G278" s="378"/>
      <c r="H278" s="378"/>
      <c r="I278" s="379"/>
      <c r="J278" s="379"/>
      <c r="K278" s="379"/>
      <c r="L278" s="379"/>
      <c r="M278" s="74"/>
      <c r="N278" s="74"/>
      <c r="O278" s="74"/>
      <c r="P278" s="74"/>
      <c r="Q278" s="74"/>
      <c r="R278" s="74"/>
      <c r="S278" s="74"/>
      <c r="T278" s="74"/>
      <c r="U278" s="74"/>
      <c r="V278" s="74"/>
      <c r="W278" s="74"/>
      <c r="X278" s="74"/>
      <c r="Y278" s="74"/>
      <c r="Z278" s="74"/>
      <c r="AA278" s="74"/>
      <c r="AB278" s="74"/>
    </row>
    <row r="279" spans="1:28" ht="40.5" customHeight="1">
      <c r="A279" s="429"/>
      <c r="B279" s="359"/>
      <c r="C279" s="158"/>
      <c r="D279" s="158"/>
      <c r="E279" s="158"/>
      <c r="F279" s="158"/>
      <c r="G279" s="378"/>
      <c r="H279" s="378"/>
      <c r="I279" s="379"/>
      <c r="J279" s="379"/>
      <c r="K279" s="379"/>
      <c r="L279" s="379"/>
      <c r="M279" s="74"/>
      <c r="N279" s="74"/>
      <c r="O279" s="74"/>
      <c r="P279" s="74"/>
      <c r="Q279" s="74"/>
      <c r="R279" s="74"/>
      <c r="S279" s="74"/>
      <c r="T279" s="74"/>
      <c r="U279" s="74"/>
      <c r="V279" s="74"/>
      <c r="W279" s="74"/>
      <c r="X279" s="74"/>
      <c r="Y279" s="74"/>
      <c r="Z279" s="74"/>
      <c r="AA279" s="74"/>
      <c r="AB279" s="74"/>
    </row>
    <row r="280" spans="1:28" ht="40.5" customHeight="1">
      <c r="A280" s="429"/>
      <c r="B280" s="359"/>
      <c r="C280" s="430"/>
      <c r="D280" s="158"/>
      <c r="E280" s="158"/>
      <c r="F280" s="158"/>
      <c r="G280" s="378"/>
      <c r="H280" s="378"/>
      <c r="I280" s="379"/>
      <c r="J280" s="379"/>
      <c r="K280" s="379"/>
      <c r="L280" s="379"/>
      <c r="M280" s="74"/>
      <c r="N280" s="74"/>
      <c r="O280" s="74"/>
      <c r="P280" s="74"/>
      <c r="Q280" s="74"/>
      <c r="R280" s="74"/>
      <c r="S280" s="74"/>
      <c r="T280" s="74"/>
      <c r="U280" s="74"/>
      <c r="V280" s="74"/>
      <c r="W280" s="74"/>
      <c r="X280" s="74"/>
      <c r="Y280" s="74"/>
      <c r="Z280" s="74"/>
      <c r="AA280" s="74"/>
      <c r="AB280" s="74"/>
    </row>
    <row r="281" spans="1:28" ht="40.5" customHeight="1">
      <c r="A281" s="429"/>
      <c r="B281" s="359"/>
      <c r="C281" s="158"/>
      <c r="D281" s="158"/>
      <c r="E281" s="158"/>
      <c r="F281" s="158"/>
      <c r="G281" s="378"/>
      <c r="H281" s="378"/>
      <c r="I281" s="379"/>
      <c r="J281" s="379"/>
      <c r="K281" s="379"/>
      <c r="L281" s="379"/>
      <c r="M281" s="74"/>
      <c r="N281" s="74"/>
      <c r="O281" s="74"/>
      <c r="P281" s="74"/>
      <c r="Q281" s="74"/>
      <c r="R281" s="74"/>
      <c r="S281" s="74"/>
      <c r="T281" s="74"/>
      <c r="U281" s="74"/>
      <c r="V281" s="74"/>
      <c r="W281" s="74"/>
      <c r="X281" s="74"/>
      <c r="Y281" s="74"/>
      <c r="Z281" s="74"/>
      <c r="AA281" s="74"/>
      <c r="AB281" s="74"/>
    </row>
    <row r="282" spans="1:28" ht="40.5" customHeight="1">
      <c r="A282" s="429"/>
      <c r="B282" s="359"/>
      <c r="C282" s="430"/>
      <c r="D282" s="158"/>
      <c r="E282" s="158"/>
      <c r="F282" s="158"/>
      <c r="G282" s="378"/>
      <c r="H282" s="378"/>
      <c r="I282" s="379"/>
      <c r="J282" s="379"/>
      <c r="K282" s="379"/>
      <c r="L282" s="379"/>
      <c r="M282" s="74"/>
      <c r="N282" s="74"/>
      <c r="O282" s="74"/>
      <c r="P282" s="74"/>
      <c r="Q282" s="74"/>
      <c r="R282" s="74"/>
      <c r="S282" s="74"/>
      <c r="T282" s="74"/>
      <c r="U282" s="74"/>
      <c r="V282" s="74"/>
      <c r="W282" s="74"/>
      <c r="X282" s="74"/>
      <c r="Y282" s="74"/>
      <c r="Z282" s="74"/>
      <c r="AA282" s="74"/>
      <c r="AB282" s="74"/>
    </row>
    <row r="283" spans="1:28" ht="40.5" customHeight="1">
      <c r="A283" s="429"/>
      <c r="B283" s="359"/>
      <c r="C283" s="158"/>
      <c r="D283" s="158"/>
      <c r="E283" s="158"/>
      <c r="F283" s="158"/>
      <c r="G283" s="378"/>
      <c r="H283" s="378"/>
      <c r="I283" s="379"/>
      <c r="J283" s="379"/>
      <c r="K283" s="379"/>
      <c r="L283" s="379"/>
      <c r="M283" s="74"/>
      <c r="N283" s="74"/>
      <c r="O283" s="74"/>
      <c r="P283" s="74"/>
      <c r="Q283" s="74"/>
      <c r="R283" s="74"/>
      <c r="S283" s="74"/>
      <c r="T283" s="74"/>
      <c r="U283" s="74"/>
      <c r="V283" s="74"/>
      <c r="W283" s="74"/>
      <c r="X283" s="74"/>
      <c r="Y283" s="74"/>
      <c r="Z283" s="74"/>
      <c r="AA283" s="74"/>
      <c r="AB283" s="74"/>
    </row>
    <row r="284" spans="1:28" ht="40.5" customHeight="1">
      <c r="A284" s="429"/>
      <c r="B284" s="359"/>
      <c r="C284" s="430"/>
      <c r="D284" s="158"/>
      <c r="E284" s="158"/>
      <c r="F284" s="158"/>
      <c r="G284" s="378"/>
      <c r="H284" s="378"/>
      <c r="I284" s="379"/>
      <c r="J284" s="379"/>
      <c r="K284" s="379"/>
      <c r="L284" s="379"/>
      <c r="M284" s="74"/>
      <c r="N284" s="74"/>
      <c r="O284" s="74"/>
      <c r="P284" s="74"/>
      <c r="Q284" s="74"/>
      <c r="R284" s="74"/>
      <c r="S284" s="74"/>
      <c r="T284" s="74"/>
      <c r="U284" s="74"/>
      <c r="V284" s="74"/>
      <c r="W284" s="74"/>
      <c r="X284" s="74"/>
      <c r="Y284" s="74"/>
      <c r="Z284" s="74"/>
      <c r="AA284" s="74"/>
      <c r="AB284" s="74"/>
    </row>
    <row r="285" spans="1:28" ht="40.5" customHeight="1">
      <c r="A285" s="429"/>
      <c r="B285" s="359"/>
      <c r="C285" s="158"/>
      <c r="D285" s="158"/>
      <c r="E285" s="158"/>
      <c r="F285" s="158"/>
      <c r="G285" s="378"/>
      <c r="H285" s="378"/>
      <c r="I285" s="379"/>
      <c r="J285" s="379"/>
      <c r="K285" s="379"/>
      <c r="L285" s="379"/>
      <c r="M285" s="74"/>
      <c r="N285" s="74"/>
      <c r="O285" s="74"/>
      <c r="P285" s="74"/>
      <c r="Q285" s="74"/>
      <c r="R285" s="74"/>
      <c r="S285" s="74"/>
      <c r="T285" s="74"/>
      <c r="U285" s="74"/>
      <c r="V285" s="74"/>
      <c r="W285" s="74"/>
      <c r="X285" s="74"/>
      <c r="Y285" s="74"/>
      <c r="Z285" s="74"/>
      <c r="AA285" s="74"/>
      <c r="AB285" s="74"/>
    </row>
    <row r="286" spans="1:28" ht="40.5" customHeight="1">
      <c r="A286" s="429"/>
      <c r="B286" s="359"/>
      <c r="C286" s="430"/>
      <c r="D286" s="158"/>
      <c r="E286" s="158"/>
      <c r="F286" s="158"/>
      <c r="G286" s="378"/>
      <c r="H286" s="378"/>
      <c r="I286" s="379"/>
      <c r="J286" s="379"/>
      <c r="K286" s="379"/>
      <c r="L286" s="379"/>
      <c r="M286" s="74"/>
      <c r="N286" s="74"/>
      <c r="O286" s="74"/>
      <c r="P286" s="74"/>
      <c r="Q286" s="74"/>
      <c r="R286" s="74"/>
      <c r="S286" s="74"/>
      <c r="T286" s="74"/>
      <c r="U286" s="74"/>
      <c r="V286" s="74"/>
      <c r="W286" s="74"/>
      <c r="X286" s="74"/>
      <c r="Y286" s="74"/>
      <c r="Z286" s="74"/>
      <c r="AA286" s="74"/>
      <c r="AB286" s="74"/>
    </row>
    <row r="287" spans="1:28" ht="40.5" customHeight="1">
      <c r="A287" s="429"/>
      <c r="B287" s="359"/>
      <c r="C287" s="158"/>
      <c r="D287" s="158"/>
      <c r="E287" s="158"/>
      <c r="F287" s="158"/>
      <c r="G287" s="378"/>
      <c r="H287" s="378"/>
      <c r="I287" s="379"/>
      <c r="J287" s="379"/>
      <c r="K287" s="379"/>
      <c r="L287" s="379"/>
      <c r="M287" s="74"/>
      <c r="N287" s="74"/>
      <c r="O287" s="74"/>
      <c r="P287" s="74"/>
      <c r="Q287" s="74"/>
      <c r="R287" s="74"/>
      <c r="S287" s="74"/>
      <c r="T287" s="74"/>
      <c r="U287" s="74"/>
      <c r="V287" s="74"/>
      <c r="W287" s="74"/>
      <c r="X287" s="74"/>
      <c r="Y287" s="74"/>
      <c r="Z287" s="74"/>
      <c r="AA287" s="74"/>
      <c r="AB287" s="74"/>
    </row>
    <row r="288" spans="1:28" ht="40.5" customHeight="1">
      <c r="A288" s="429"/>
      <c r="B288" s="359"/>
      <c r="C288" s="430"/>
      <c r="D288" s="158"/>
      <c r="E288" s="158"/>
      <c r="F288" s="158"/>
      <c r="G288" s="378"/>
      <c r="H288" s="378"/>
      <c r="I288" s="379"/>
      <c r="J288" s="379"/>
      <c r="K288" s="379"/>
      <c r="L288" s="379"/>
      <c r="M288" s="74"/>
      <c r="N288" s="74"/>
      <c r="O288" s="74"/>
      <c r="P288" s="74"/>
      <c r="Q288" s="74"/>
      <c r="R288" s="74"/>
      <c r="S288" s="74"/>
      <c r="T288" s="74"/>
      <c r="U288" s="74"/>
      <c r="V288" s="74"/>
      <c r="W288" s="74"/>
      <c r="X288" s="74"/>
      <c r="Y288" s="74"/>
      <c r="Z288" s="74"/>
      <c r="AA288" s="74"/>
      <c r="AB288" s="74"/>
    </row>
    <row r="289" spans="1:28" ht="40.5" customHeight="1">
      <c r="A289" s="429"/>
      <c r="B289" s="359"/>
      <c r="C289" s="158"/>
      <c r="D289" s="158"/>
      <c r="E289" s="158"/>
      <c r="F289" s="158"/>
      <c r="G289" s="378"/>
      <c r="H289" s="378"/>
      <c r="I289" s="379"/>
      <c r="J289" s="379"/>
      <c r="K289" s="379"/>
      <c r="L289" s="379"/>
      <c r="M289" s="74"/>
      <c r="N289" s="74"/>
      <c r="O289" s="74"/>
      <c r="P289" s="74"/>
      <c r="Q289" s="74"/>
      <c r="R289" s="74"/>
      <c r="S289" s="74"/>
      <c r="T289" s="74"/>
      <c r="U289" s="74"/>
      <c r="V289" s="74"/>
      <c r="W289" s="74"/>
      <c r="X289" s="74"/>
      <c r="Y289" s="74"/>
      <c r="Z289" s="74"/>
      <c r="AA289" s="74"/>
      <c r="AB289" s="74"/>
    </row>
    <row r="290" spans="1:28" ht="40.5" customHeight="1">
      <c r="A290" s="429"/>
      <c r="B290" s="359"/>
      <c r="C290" s="430"/>
      <c r="D290" s="158"/>
      <c r="E290" s="158"/>
      <c r="F290" s="158"/>
      <c r="G290" s="378"/>
      <c r="H290" s="378"/>
      <c r="I290" s="379"/>
      <c r="J290" s="379"/>
      <c r="K290" s="379"/>
      <c r="L290" s="379"/>
      <c r="M290" s="74"/>
      <c r="N290" s="74"/>
      <c r="O290" s="74"/>
      <c r="P290" s="74"/>
      <c r="Q290" s="74"/>
      <c r="R290" s="74"/>
      <c r="S290" s="74"/>
      <c r="T290" s="74"/>
      <c r="U290" s="74"/>
      <c r="V290" s="74"/>
      <c r="W290" s="74"/>
      <c r="X290" s="74"/>
      <c r="Y290" s="74"/>
      <c r="Z290" s="74"/>
      <c r="AA290" s="74"/>
      <c r="AB290" s="74"/>
    </row>
    <row r="291" spans="1:28" ht="40.5" customHeight="1">
      <c r="A291" s="429"/>
      <c r="B291" s="359"/>
      <c r="C291" s="158"/>
      <c r="D291" s="158"/>
      <c r="E291" s="158"/>
      <c r="F291" s="158"/>
      <c r="G291" s="378"/>
      <c r="H291" s="378"/>
      <c r="I291" s="379"/>
      <c r="J291" s="379"/>
      <c r="K291" s="379"/>
      <c r="L291" s="379"/>
      <c r="M291" s="74"/>
      <c r="N291" s="74"/>
      <c r="O291" s="74"/>
      <c r="P291" s="74"/>
      <c r="Q291" s="74"/>
      <c r="R291" s="74"/>
      <c r="S291" s="74"/>
      <c r="T291" s="74"/>
      <c r="U291" s="74"/>
      <c r="V291" s="74"/>
      <c r="W291" s="74"/>
      <c r="X291" s="74"/>
      <c r="Y291" s="74"/>
      <c r="Z291" s="74"/>
      <c r="AA291" s="74"/>
      <c r="AB291" s="74"/>
    </row>
    <row r="292" spans="1:28" ht="40.5" customHeight="1">
      <c r="A292" s="429"/>
      <c r="B292" s="359"/>
      <c r="C292" s="430"/>
      <c r="D292" s="158"/>
      <c r="E292" s="158"/>
      <c r="F292" s="158"/>
      <c r="G292" s="378"/>
      <c r="H292" s="378"/>
      <c r="I292" s="379"/>
      <c r="J292" s="379"/>
      <c r="K292" s="379"/>
      <c r="L292" s="379"/>
      <c r="M292" s="74"/>
      <c r="N292" s="74"/>
      <c r="O292" s="74"/>
      <c r="P292" s="74"/>
      <c r="Q292" s="74"/>
      <c r="R292" s="74"/>
      <c r="S292" s="74"/>
      <c r="T292" s="74"/>
      <c r="U292" s="74"/>
      <c r="V292" s="74"/>
      <c r="W292" s="74"/>
      <c r="X292" s="74"/>
      <c r="Y292" s="74"/>
      <c r="Z292" s="74"/>
      <c r="AA292" s="74"/>
      <c r="AB292" s="74"/>
    </row>
    <row r="293" spans="1:28" ht="40.5" customHeight="1">
      <c r="A293" s="429"/>
      <c r="B293" s="359"/>
      <c r="C293" s="158"/>
      <c r="D293" s="158"/>
      <c r="E293" s="158"/>
      <c r="F293" s="158"/>
      <c r="G293" s="378"/>
      <c r="H293" s="378"/>
      <c r="I293" s="379"/>
      <c r="J293" s="379"/>
      <c r="K293" s="379"/>
      <c r="L293" s="379"/>
      <c r="M293" s="74"/>
      <c r="N293" s="74"/>
      <c r="O293" s="74"/>
      <c r="P293" s="74"/>
      <c r="Q293" s="74"/>
      <c r="R293" s="74"/>
      <c r="S293" s="74"/>
      <c r="T293" s="74"/>
      <c r="U293" s="74"/>
      <c r="V293" s="74"/>
      <c r="W293" s="74"/>
      <c r="X293" s="74"/>
      <c r="Y293" s="74"/>
      <c r="Z293" s="74"/>
      <c r="AA293" s="74"/>
      <c r="AB293" s="74"/>
    </row>
    <row r="294" spans="1:28" ht="40.5" customHeight="1">
      <c r="A294" s="429"/>
      <c r="B294" s="359"/>
      <c r="C294" s="430"/>
      <c r="D294" s="158"/>
      <c r="E294" s="158"/>
      <c r="F294" s="158"/>
      <c r="G294" s="378"/>
      <c r="H294" s="378"/>
      <c r="I294" s="379"/>
      <c r="J294" s="379"/>
      <c r="K294" s="379"/>
      <c r="L294" s="379"/>
      <c r="M294" s="74"/>
      <c r="N294" s="74"/>
      <c r="O294" s="74"/>
      <c r="P294" s="74"/>
      <c r="Q294" s="74"/>
      <c r="R294" s="74"/>
      <c r="S294" s="74"/>
      <c r="T294" s="74"/>
      <c r="U294" s="74"/>
      <c r="V294" s="74"/>
      <c r="W294" s="74"/>
      <c r="X294" s="74"/>
      <c r="Y294" s="74"/>
      <c r="Z294" s="74"/>
      <c r="AA294" s="74"/>
      <c r="AB294" s="74"/>
    </row>
    <row r="295" spans="1:28" ht="40.5" customHeight="1">
      <c r="A295" s="429"/>
      <c r="B295" s="359"/>
      <c r="C295" s="158"/>
      <c r="D295" s="158"/>
      <c r="E295" s="158"/>
      <c r="F295" s="158"/>
      <c r="G295" s="378"/>
      <c r="H295" s="378"/>
      <c r="I295" s="379"/>
      <c r="J295" s="379"/>
      <c r="K295" s="379"/>
      <c r="L295" s="379"/>
      <c r="M295" s="74"/>
      <c r="N295" s="74"/>
      <c r="O295" s="74"/>
      <c r="P295" s="74"/>
      <c r="Q295" s="74"/>
      <c r="R295" s="74"/>
      <c r="S295" s="74"/>
      <c r="T295" s="74"/>
      <c r="U295" s="74"/>
      <c r="V295" s="74"/>
      <c r="W295" s="74"/>
      <c r="X295" s="74"/>
      <c r="Y295" s="74"/>
      <c r="Z295" s="74"/>
      <c r="AA295" s="74"/>
      <c r="AB295" s="74"/>
    </row>
    <row r="296" spans="1:28" ht="40.5" customHeight="1">
      <c r="A296" s="429"/>
      <c r="B296" s="359"/>
      <c r="C296" s="430"/>
      <c r="D296" s="158"/>
      <c r="E296" s="158"/>
      <c r="F296" s="158"/>
      <c r="G296" s="378"/>
      <c r="H296" s="378"/>
      <c r="I296" s="379"/>
      <c r="J296" s="379"/>
      <c r="K296" s="379"/>
      <c r="L296" s="379"/>
      <c r="M296" s="74"/>
      <c r="N296" s="74"/>
      <c r="O296" s="74"/>
      <c r="P296" s="74"/>
      <c r="Q296" s="74"/>
      <c r="R296" s="74"/>
      <c r="S296" s="74"/>
      <c r="T296" s="74"/>
      <c r="U296" s="74"/>
      <c r="V296" s="74"/>
      <c r="W296" s="74"/>
      <c r="X296" s="74"/>
      <c r="Y296" s="74"/>
      <c r="Z296" s="74"/>
      <c r="AA296" s="74"/>
      <c r="AB296" s="74"/>
    </row>
    <row r="297" spans="1:28" ht="40.5" customHeight="1">
      <c r="A297" s="429"/>
      <c r="B297" s="359"/>
      <c r="C297" s="158"/>
      <c r="D297" s="158"/>
      <c r="E297" s="158"/>
      <c r="F297" s="158"/>
      <c r="G297" s="378"/>
      <c r="H297" s="378"/>
      <c r="I297" s="379"/>
      <c r="J297" s="379"/>
      <c r="K297" s="379"/>
      <c r="L297" s="379"/>
      <c r="M297" s="74"/>
      <c r="N297" s="74"/>
      <c r="O297" s="74"/>
      <c r="P297" s="74"/>
      <c r="Q297" s="74"/>
      <c r="R297" s="74"/>
      <c r="S297" s="74"/>
      <c r="T297" s="74"/>
      <c r="U297" s="74"/>
      <c r="V297" s="74"/>
      <c r="W297" s="74"/>
      <c r="X297" s="74"/>
      <c r="Y297" s="74"/>
      <c r="Z297" s="74"/>
      <c r="AA297" s="74"/>
      <c r="AB297" s="74"/>
    </row>
    <row r="298" spans="1:28" ht="40.5" customHeight="1">
      <c r="A298" s="429"/>
      <c r="B298" s="359"/>
      <c r="C298" s="430"/>
      <c r="D298" s="158"/>
      <c r="E298" s="158"/>
      <c r="F298" s="158"/>
      <c r="G298" s="378"/>
      <c r="H298" s="378"/>
      <c r="I298" s="379"/>
      <c r="J298" s="379"/>
      <c r="K298" s="379"/>
      <c r="L298" s="379"/>
      <c r="M298" s="74"/>
      <c r="N298" s="74"/>
      <c r="O298" s="74"/>
      <c r="P298" s="74"/>
      <c r="Q298" s="74"/>
      <c r="R298" s="74"/>
      <c r="S298" s="74"/>
      <c r="T298" s="74"/>
      <c r="U298" s="74"/>
      <c r="V298" s="74"/>
      <c r="W298" s="74"/>
      <c r="X298" s="74"/>
      <c r="Y298" s="74"/>
      <c r="Z298" s="74"/>
      <c r="AA298" s="74"/>
      <c r="AB298" s="74"/>
    </row>
    <row r="299" spans="1:28" ht="40.5" customHeight="1">
      <c r="A299" s="429"/>
      <c r="B299" s="359"/>
      <c r="C299" s="158"/>
      <c r="D299" s="158"/>
      <c r="E299" s="158"/>
      <c r="F299" s="158"/>
      <c r="G299" s="378"/>
      <c r="H299" s="378"/>
      <c r="I299" s="379"/>
      <c r="J299" s="379"/>
      <c r="K299" s="379"/>
      <c r="L299" s="379"/>
      <c r="M299" s="74"/>
      <c r="N299" s="74"/>
      <c r="O299" s="74"/>
      <c r="P299" s="74"/>
      <c r="Q299" s="74"/>
      <c r="R299" s="74"/>
      <c r="S299" s="74"/>
      <c r="T299" s="74"/>
      <c r="U299" s="74"/>
      <c r="V299" s="74"/>
      <c r="W299" s="74"/>
      <c r="X299" s="74"/>
      <c r="Y299" s="74"/>
      <c r="Z299" s="74"/>
      <c r="AA299" s="74"/>
      <c r="AB299" s="74"/>
    </row>
    <row r="300" spans="1:28" ht="40.5" customHeight="1">
      <c r="A300" s="429"/>
      <c r="B300" s="359"/>
      <c r="C300" s="430"/>
      <c r="D300" s="158"/>
      <c r="E300" s="158"/>
      <c r="F300" s="158"/>
      <c r="G300" s="378"/>
      <c r="H300" s="378"/>
      <c r="I300" s="379"/>
      <c r="J300" s="379"/>
      <c r="K300" s="379"/>
      <c r="L300" s="379"/>
      <c r="M300" s="74"/>
      <c r="N300" s="74"/>
      <c r="O300" s="74"/>
      <c r="P300" s="74"/>
      <c r="Q300" s="74"/>
      <c r="R300" s="74"/>
      <c r="S300" s="74"/>
      <c r="T300" s="74"/>
      <c r="U300" s="74"/>
      <c r="V300" s="74"/>
      <c r="W300" s="74"/>
      <c r="X300" s="74"/>
      <c r="Y300" s="74"/>
      <c r="Z300" s="74"/>
      <c r="AA300" s="74"/>
      <c r="AB300" s="74"/>
    </row>
    <row r="301" spans="1:28" ht="40.5" customHeight="1">
      <c r="A301" s="429"/>
      <c r="B301" s="359"/>
      <c r="C301" s="158"/>
      <c r="D301" s="158"/>
      <c r="E301" s="158"/>
      <c r="F301" s="158"/>
      <c r="G301" s="378"/>
      <c r="H301" s="378"/>
      <c r="I301" s="379"/>
      <c r="J301" s="379"/>
      <c r="K301" s="379"/>
      <c r="L301" s="379"/>
      <c r="M301" s="74"/>
      <c r="N301" s="74"/>
      <c r="O301" s="74"/>
      <c r="P301" s="74"/>
      <c r="Q301" s="74"/>
      <c r="R301" s="74"/>
      <c r="S301" s="74"/>
      <c r="T301" s="74"/>
      <c r="U301" s="74"/>
      <c r="V301" s="74"/>
      <c r="W301" s="74"/>
      <c r="X301" s="74"/>
      <c r="Y301" s="74"/>
      <c r="Z301" s="74"/>
      <c r="AA301" s="74"/>
      <c r="AB301" s="74"/>
    </row>
    <row r="302" spans="1:28" ht="40.5" customHeight="1">
      <c r="A302" s="429"/>
      <c r="B302" s="359"/>
      <c r="C302" s="430"/>
      <c r="D302" s="158"/>
      <c r="E302" s="158"/>
      <c r="F302" s="158"/>
      <c r="G302" s="378"/>
      <c r="H302" s="378"/>
      <c r="I302" s="379"/>
      <c r="J302" s="379"/>
      <c r="K302" s="379"/>
      <c r="L302" s="379"/>
      <c r="M302" s="74"/>
      <c r="N302" s="74"/>
      <c r="O302" s="74"/>
      <c r="P302" s="74"/>
      <c r="Q302" s="74"/>
      <c r="R302" s="74"/>
      <c r="S302" s="74"/>
      <c r="T302" s="74"/>
      <c r="U302" s="74"/>
      <c r="V302" s="74"/>
      <c r="W302" s="74"/>
      <c r="X302" s="74"/>
      <c r="Y302" s="74"/>
      <c r="Z302" s="74"/>
      <c r="AA302" s="74"/>
      <c r="AB302" s="74"/>
    </row>
    <row r="303" spans="1:28" ht="40.5" customHeight="1">
      <c r="A303" s="429"/>
      <c r="B303" s="359"/>
      <c r="C303" s="158"/>
      <c r="D303" s="158"/>
      <c r="E303" s="158"/>
      <c r="F303" s="158"/>
      <c r="G303" s="378"/>
      <c r="H303" s="378"/>
      <c r="I303" s="379"/>
      <c r="J303" s="379"/>
      <c r="K303" s="379"/>
      <c r="L303" s="379"/>
      <c r="M303" s="74"/>
      <c r="N303" s="74"/>
      <c r="O303" s="74"/>
      <c r="P303" s="74"/>
      <c r="Q303" s="74"/>
      <c r="R303" s="74"/>
      <c r="S303" s="74"/>
      <c r="T303" s="74"/>
      <c r="U303" s="74"/>
      <c r="V303" s="74"/>
      <c r="W303" s="74"/>
      <c r="X303" s="74"/>
      <c r="Y303" s="74"/>
      <c r="Z303" s="74"/>
      <c r="AA303" s="74"/>
      <c r="AB303" s="74"/>
    </row>
    <row r="304" spans="1:28" ht="40.5" customHeight="1">
      <c r="A304" s="429"/>
      <c r="B304" s="359"/>
      <c r="C304" s="430"/>
      <c r="D304" s="158"/>
      <c r="E304" s="158"/>
      <c r="F304" s="158"/>
      <c r="G304" s="378"/>
      <c r="H304" s="378"/>
      <c r="I304" s="379"/>
      <c r="J304" s="379"/>
      <c r="K304" s="379"/>
      <c r="L304" s="379"/>
      <c r="M304" s="74"/>
      <c r="N304" s="74"/>
      <c r="O304" s="74"/>
      <c r="P304" s="74"/>
      <c r="Q304" s="74"/>
      <c r="R304" s="74"/>
      <c r="S304" s="74"/>
      <c r="T304" s="74"/>
      <c r="U304" s="74"/>
      <c r="V304" s="74"/>
      <c r="W304" s="74"/>
      <c r="X304" s="74"/>
      <c r="Y304" s="74"/>
      <c r="Z304" s="74"/>
      <c r="AA304" s="74"/>
      <c r="AB304" s="74"/>
    </row>
    <row r="305" spans="1:28" ht="40.5" customHeight="1">
      <c r="A305" s="429"/>
      <c r="B305" s="359"/>
      <c r="C305" s="158"/>
      <c r="D305" s="158"/>
      <c r="E305" s="158"/>
      <c r="F305" s="158"/>
      <c r="G305" s="378"/>
      <c r="H305" s="378"/>
      <c r="I305" s="379"/>
      <c r="J305" s="379"/>
      <c r="K305" s="379"/>
      <c r="L305" s="379"/>
      <c r="M305" s="74"/>
      <c r="N305" s="74"/>
      <c r="O305" s="74"/>
      <c r="P305" s="74"/>
      <c r="Q305" s="74"/>
      <c r="R305" s="74"/>
      <c r="S305" s="74"/>
      <c r="T305" s="74"/>
      <c r="U305" s="74"/>
      <c r="V305" s="74"/>
      <c r="W305" s="74"/>
      <c r="X305" s="74"/>
      <c r="Y305" s="74"/>
      <c r="Z305" s="74"/>
      <c r="AA305" s="74"/>
      <c r="AB305" s="74"/>
    </row>
    <row r="306" spans="1:28" ht="40.5" customHeight="1">
      <c r="A306" s="429"/>
      <c r="B306" s="359"/>
      <c r="C306" s="430"/>
      <c r="D306" s="158"/>
      <c r="E306" s="158"/>
      <c r="F306" s="158"/>
      <c r="G306" s="378"/>
      <c r="H306" s="378"/>
      <c r="I306" s="379"/>
      <c r="J306" s="379"/>
      <c r="K306" s="379"/>
      <c r="L306" s="379"/>
      <c r="M306" s="74"/>
      <c r="N306" s="74"/>
      <c r="O306" s="74"/>
      <c r="P306" s="74"/>
      <c r="Q306" s="74"/>
      <c r="R306" s="74"/>
      <c r="S306" s="74"/>
      <c r="T306" s="74"/>
      <c r="U306" s="74"/>
      <c r="V306" s="74"/>
      <c r="W306" s="74"/>
      <c r="X306" s="74"/>
      <c r="Y306" s="74"/>
      <c r="Z306" s="74"/>
      <c r="AA306" s="74"/>
      <c r="AB306" s="74"/>
    </row>
    <row r="307" spans="1:28" ht="40.5" customHeight="1">
      <c r="A307" s="429"/>
      <c r="B307" s="359"/>
      <c r="C307" s="158"/>
      <c r="D307" s="158"/>
      <c r="E307" s="158"/>
      <c r="F307" s="158"/>
      <c r="G307" s="378"/>
      <c r="H307" s="378"/>
      <c r="I307" s="379"/>
      <c r="J307" s="379"/>
      <c r="K307" s="379"/>
      <c r="L307" s="379"/>
      <c r="M307" s="74"/>
      <c r="N307" s="74"/>
      <c r="O307" s="74"/>
      <c r="P307" s="74"/>
      <c r="Q307" s="74"/>
      <c r="R307" s="74"/>
      <c r="S307" s="74"/>
      <c r="T307" s="74"/>
      <c r="U307" s="74"/>
      <c r="V307" s="74"/>
      <c r="W307" s="74"/>
      <c r="X307" s="74"/>
      <c r="Y307" s="74"/>
      <c r="Z307" s="74"/>
      <c r="AA307" s="74"/>
      <c r="AB307" s="74"/>
    </row>
    <row r="308" spans="1:28" ht="40.5" customHeight="1">
      <c r="A308" s="429"/>
      <c r="B308" s="359"/>
      <c r="C308" s="430"/>
      <c r="D308" s="158"/>
      <c r="E308" s="158"/>
      <c r="F308" s="158"/>
      <c r="G308" s="378"/>
      <c r="H308" s="378"/>
      <c r="I308" s="379"/>
      <c r="J308" s="379"/>
      <c r="K308" s="379"/>
      <c r="L308" s="379"/>
      <c r="M308" s="74"/>
      <c r="N308" s="74"/>
      <c r="O308" s="74"/>
      <c r="P308" s="74"/>
      <c r="Q308" s="74"/>
      <c r="R308" s="74"/>
      <c r="S308" s="74"/>
      <c r="T308" s="74"/>
      <c r="U308" s="74"/>
      <c r="V308" s="74"/>
      <c r="W308" s="74"/>
      <c r="X308" s="74"/>
      <c r="Y308" s="74"/>
      <c r="Z308" s="74"/>
      <c r="AA308" s="74"/>
      <c r="AB308" s="74"/>
    </row>
    <row r="309" spans="1:28" ht="40.5" customHeight="1">
      <c r="A309" s="429"/>
      <c r="B309" s="359"/>
      <c r="C309" s="158"/>
      <c r="D309" s="158"/>
      <c r="E309" s="158"/>
      <c r="F309" s="158"/>
      <c r="G309" s="378"/>
      <c r="H309" s="378"/>
      <c r="I309" s="379"/>
      <c r="J309" s="379"/>
      <c r="K309" s="379"/>
      <c r="L309" s="379"/>
      <c r="M309" s="74"/>
      <c r="N309" s="74"/>
      <c r="O309" s="74"/>
      <c r="P309" s="74"/>
      <c r="Q309" s="74"/>
      <c r="R309" s="74"/>
      <c r="S309" s="74"/>
      <c r="T309" s="74"/>
      <c r="U309" s="74"/>
      <c r="V309" s="74"/>
      <c r="W309" s="74"/>
      <c r="X309" s="74"/>
      <c r="Y309" s="74"/>
      <c r="Z309" s="74"/>
      <c r="AA309" s="74"/>
      <c r="AB309" s="74"/>
    </row>
    <row r="310" spans="1:28" ht="40.5" customHeight="1">
      <c r="A310" s="429"/>
      <c r="B310" s="359"/>
      <c r="C310" s="430"/>
      <c r="D310" s="158"/>
      <c r="E310" s="158"/>
      <c r="F310" s="158"/>
      <c r="G310" s="378"/>
      <c r="H310" s="378"/>
      <c r="I310" s="379"/>
      <c r="J310" s="379"/>
      <c r="K310" s="379"/>
      <c r="L310" s="379"/>
      <c r="M310" s="74"/>
      <c r="N310" s="74"/>
      <c r="O310" s="74"/>
      <c r="P310" s="74"/>
      <c r="Q310" s="74"/>
      <c r="R310" s="74"/>
      <c r="S310" s="74"/>
      <c r="T310" s="74"/>
      <c r="U310" s="74"/>
      <c r="V310" s="74"/>
      <c r="W310" s="74"/>
      <c r="X310" s="74"/>
      <c r="Y310" s="74"/>
      <c r="Z310" s="74"/>
      <c r="AA310" s="74"/>
      <c r="AB310" s="74"/>
    </row>
    <row r="311" spans="1:28" ht="40.5" customHeight="1">
      <c r="A311" s="429"/>
      <c r="B311" s="359"/>
      <c r="C311" s="158"/>
      <c r="D311" s="158"/>
      <c r="E311" s="158"/>
      <c r="F311" s="158"/>
      <c r="G311" s="378"/>
      <c r="H311" s="378"/>
      <c r="I311" s="379"/>
      <c r="J311" s="379"/>
      <c r="K311" s="379"/>
      <c r="L311" s="379"/>
      <c r="M311" s="74"/>
      <c r="N311" s="74"/>
      <c r="O311" s="74"/>
      <c r="P311" s="74"/>
      <c r="Q311" s="74"/>
      <c r="R311" s="74"/>
      <c r="S311" s="74"/>
      <c r="T311" s="74"/>
      <c r="U311" s="74"/>
      <c r="V311" s="74"/>
      <c r="W311" s="74"/>
      <c r="X311" s="74"/>
      <c r="Y311" s="74"/>
      <c r="Z311" s="74"/>
      <c r="AA311" s="74"/>
      <c r="AB311" s="74"/>
    </row>
    <row r="312" spans="1:28" ht="40.5" customHeight="1">
      <c r="A312" s="429"/>
      <c r="B312" s="359"/>
      <c r="C312" s="430"/>
      <c r="D312" s="158"/>
      <c r="E312" s="158"/>
      <c r="F312" s="158"/>
      <c r="G312" s="378"/>
      <c r="H312" s="378"/>
      <c r="I312" s="379"/>
      <c r="J312" s="379"/>
      <c r="K312" s="379"/>
      <c r="L312" s="379"/>
      <c r="M312" s="74"/>
      <c r="N312" s="74"/>
      <c r="O312" s="74"/>
      <c r="P312" s="74"/>
      <c r="Q312" s="74"/>
      <c r="R312" s="74"/>
      <c r="S312" s="74"/>
      <c r="T312" s="74"/>
      <c r="U312" s="74"/>
      <c r="V312" s="74"/>
      <c r="W312" s="74"/>
      <c r="X312" s="74"/>
      <c r="Y312" s="74"/>
      <c r="Z312" s="74"/>
      <c r="AA312" s="74"/>
      <c r="AB312" s="74"/>
    </row>
    <row r="313" spans="1:28" ht="40.5" customHeight="1">
      <c r="A313" s="429"/>
      <c r="B313" s="359"/>
      <c r="C313" s="158"/>
      <c r="D313" s="158"/>
      <c r="E313" s="158"/>
      <c r="F313" s="158"/>
      <c r="G313" s="378"/>
      <c r="H313" s="378"/>
      <c r="I313" s="379"/>
      <c r="J313" s="379"/>
      <c r="K313" s="379"/>
      <c r="L313" s="379"/>
      <c r="M313" s="74"/>
      <c r="N313" s="74"/>
      <c r="O313" s="74"/>
      <c r="P313" s="74"/>
      <c r="Q313" s="74"/>
      <c r="R313" s="74"/>
      <c r="S313" s="74"/>
      <c r="T313" s="74"/>
      <c r="U313" s="74"/>
      <c r="V313" s="74"/>
      <c r="W313" s="74"/>
      <c r="X313" s="74"/>
      <c r="Y313" s="74"/>
      <c r="Z313" s="74"/>
      <c r="AA313" s="74"/>
      <c r="AB313" s="74"/>
    </row>
    <row r="314" spans="1:28" ht="40.5" customHeight="1">
      <c r="A314" s="429"/>
      <c r="B314" s="359"/>
      <c r="C314" s="430"/>
      <c r="D314" s="158"/>
      <c r="E314" s="158"/>
      <c r="F314" s="158"/>
      <c r="G314" s="378"/>
      <c r="H314" s="378"/>
      <c r="I314" s="379"/>
      <c r="J314" s="379"/>
      <c r="K314" s="379"/>
      <c r="L314" s="379"/>
      <c r="M314" s="74"/>
      <c r="N314" s="74"/>
      <c r="O314" s="74"/>
      <c r="P314" s="74"/>
      <c r="Q314" s="74"/>
      <c r="R314" s="74"/>
      <c r="S314" s="74"/>
      <c r="T314" s="74"/>
      <c r="U314" s="74"/>
      <c r="V314" s="74"/>
      <c r="W314" s="74"/>
      <c r="X314" s="74"/>
      <c r="Y314" s="74"/>
      <c r="Z314" s="74"/>
      <c r="AA314" s="74"/>
      <c r="AB314" s="74"/>
    </row>
    <row r="315" spans="1:28" ht="40.5" customHeight="1">
      <c r="A315" s="429"/>
      <c r="B315" s="359"/>
      <c r="C315" s="158"/>
      <c r="D315" s="158"/>
      <c r="E315" s="158"/>
      <c r="F315" s="158"/>
      <c r="G315" s="378"/>
      <c r="H315" s="378"/>
      <c r="I315" s="379"/>
      <c r="J315" s="379"/>
      <c r="K315" s="379"/>
      <c r="L315" s="379"/>
      <c r="M315" s="74"/>
      <c r="N315" s="74"/>
      <c r="O315" s="74"/>
      <c r="P315" s="74"/>
      <c r="Q315" s="74"/>
      <c r="R315" s="74"/>
      <c r="S315" s="74"/>
      <c r="T315" s="74"/>
      <c r="U315" s="74"/>
      <c r="V315" s="74"/>
      <c r="W315" s="74"/>
      <c r="X315" s="74"/>
      <c r="Y315" s="74"/>
      <c r="Z315" s="74"/>
      <c r="AA315" s="74"/>
      <c r="AB315" s="74"/>
    </row>
    <row r="316" spans="1:28" ht="40.5" customHeight="1">
      <c r="A316" s="429"/>
      <c r="B316" s="359"/>
      <c r="C316" s="430"/>
      <c r="D316" s="158"/>
      <c r="E316" s="158"/>
      <c r="F316" s="158"/>
      <c r="G316" s="378"/>
      <c r="H316" s="378"/>
      <c r="I316" s="379"/>
      <c r="J316" s="379"/>
      <c r="K316" s="379"/>
      <c r="L316" s="379"/>
      <c r="M316" s="74"/>
      <c r="N316" s="74"/>
      <c r="O316" s="74"/>
      <c r="P316" s="74"/>
      <c r="Q316" s="74"/>
      <c r="R316" s="74"/>
      <c r="S316" s="74"/>
      <c r="T316" s="74"/>
      <c r="U316" s="74"/>
      <c r="V316" s="74"/>
      <c r="W316" s="74"/>
      <c r="X316" s="74"/>
      <c r="Y316" s="74"/>
      <c r="Z316" s="74"/>
      <c r="AA316" s="74"/>
      <c r="AB316" s="74"/>
    </row>
    <row r="317" spans="1:28" ht="40.5" customHeight="1">
      <c r="A317" s="429"/>
      <c r="B317" s="359"/>
      <c r="C317" s="158"/>
      <c r="D317" s="158"/>
      <c r="E317" s="158"/>
      <c r="F317" s="158"/>
      <c r="G317" s="378"/>
      <c r="H317" s="378"/>
      <c r="I317" s="379"/>
      <c r="J317" s="379"/>
      <c r="K317" s="379"/>
      <c r="L317" s="379"/>
      <c r="M317" s="74"/>
      <c r="N317" s="74"/>
      <c r="O317" s="74"/>
      <c r="P317" s="74"/>
      <c r="Q317" s="74"/>
      <c r="R317" s="74"/>
      <c r="S317" s="74"/>
      <c r="T317" s="74"/>
      <c r="U317" s="74"/>
      <c r="V317" s="74"/>
      <c r="W317" s="74"/>
      <c r="X317" s="74"/>
      <c r="Y317" s="74"/>
      <c r="Z317" s="74"/>
      <c r="AA317" s="74"/>
      <c r="AB317" s="74"/>
    </row>
    <row r="318" spans="1:28" ht="40.5" customHeight="1">
      <c r="A318" s="429"/>
      <c r="B318" s="359"/>
      <c r="C318" s="430"/>
      <c r="D318" s="158"/>
      <c r="E318" s="158"/>
      <c r="F318" s="158"/>
      <c r="G318" s="378"/>
      <c r="H318" s="378"/>
      <c r="I318" s="379"/>
      <c r="J318" s="379"/>
      <c r="K318" s="379"/>
      <c r="L318" s="379"/>
      <c r="M318" s="74"/>
      <c r="N318" s="74"/>
      <c r="O318" s="74"/>
      <c r="P318" s="74"/>
      <c r="Q318" s="74"/>
      <c r="R318" s="74"/>
      <c r="S318" s="74"/>
      <c r="T318" s="74"/>
      <c r="U318" s="74"/>
      <c r="V318" s="74"/>
      <c r="W318" s="74"/>
      <c r="X318" s="74"/>
      <c r="Y318" s="74"/>
      <c r="Z318" s="74"/>
      <c r="AA318" s="74"/>
      <c r="AB318" s="74"/>
    </row>
    <row r="319" spans="1:28" ht="40.5" customHeight="1">
      <c r="A319" s="429"/>
      <c r="B319" s="359"/>
      <c r="C319" s="158"/>
      <c r="D319" s="158"/>
      <c r="E319" s="158"/>
      <c r="F319" s="158"/>
      <c r="G319" s="378"/>
      <c r="H319" s="378"/>
      <c r="I319" s="379"/>
      <c r="J319" s="379"/>
      <c r="K319" s="379"/>
      <c r="L319" s="379"/>
      <c r="M319" s="74"/>
      <c r="N319" s="74"/>
      <c r="O319" s="74"/>
      <c r="P319" s="74"/>
      <c r="Q319" s="74"/>
      <c r="R319" s="74"/>
      <c r="S319" s="74"/>
      <c r="T319" s="74"/>
      <c r="U319" s="74"/>
      <c r="V319" s="74"/>
      <c r="W319" s="74"/>
      <c r="X319" s="74"/>
      <c r="Y319" s="74"/>
      <c r="Z319" s="74"/>
      <c r="AA319" s="74"/>
      <c r="AB319" s="74"/>
    </row>
    <row r="320" spans="1:28" ht="40.5" customHeight="1">
      <c r="A320" s="429"/>
      <c r="B320" s="359"/>
      <c r="C320" s="430"/>
      <c r="D320" s="158"/>
      <c r="E320" s="158"/>
      <c r="F320" s="158"/>
      <c r="G320" s="378"/>
      <c r="H320" s="378"/>
      <c r="I320" s="379"/>
      <c r="J320" s="379"/>
      <c r="K320" s="379"/>
      <c r="L320" s="379"/>
      <c r="M320" s="74"/>
      <c r="N320" s="74"/>
      <c r="O320" s="74"/>
      <c r="P320" s="74"/>
      <c r="Q320" s="74"/>
      <c r="R320" s="74"/>
      <c r="S320" s="74"/>
      <c r="T320" s="74"/>
      <c r="U320" s="74"/>
      <c r="V320" s="74"/>
      <c r="W320" s="74"/>
      <c r="X320" s="74"/>
      <c r="Y320" s="74"/>
      <c r="Z320" s="74"/>
      <c r="AA320" s="74"/>
      <c r="AB320" s="74"/>
    </row>
    <row r="321" spans="1:28" ht="40.5" customHeight="1">
      <c r="A321" s="429"/>
      <c r="B321" s="359"/>
      <c r="C321" s="158"/>
      <c r="D321" s="158"/>
      <c r="E321" s="158"/>
      <c r="F321" s="158"/>
      <c r="G321" s="378"/>
      <c r="H321" s="378"/>
      <c r="I321" s="379"/>
      <c r="J321" s="379"/>
      <c r="K321" s="379"/>
      <c r="L321" s="379"/>
      <c r="M321" s="74"/>
      <c r="N321" s="74"/>
      <c r="O321" s="74"/>
      <c r="P321" s="74"/>
      <c r="Q321" s="74"/>
      <c r="R321" s="74"/>
      <c r="S321" s="74"/>
      <c r="T321" s="74"/>
      <c r="U321" s="74"/>
      <c r="V321" s="74"/>
      <c r="W321" s="74"/>
      <c r="X321" s="74"/>
      <c r="Y321" s="74"/>
      <c r="Z321" s="74"/>
      <c r="AA321" s="74"/>
      <c r="AB321" s="74"/>
    </row>
    <row r="322" spans="1:28" ht="40.5" customHeight="1">
      <c r="A322" s="429"/>
      <c r="B322" s="359"/>
      <c r="C322" s="430"/>
      <c r="D322" s="158"/>
      <c r="E322" s="158"/>
      <c r="F322" s="158"/>
      <c r="G322" s="378"/>
      <c r="H322" s="378"/>
      <c r="I322" s="379"/>
      <c r="J322" s="379"/>
      <c r="K322" s="379"/>
      <c r="L322" s="379"/>
      <c r="M322" s="74"/>
      <c r="N322" s="74"/>
      <c r="O322" s="74"/>
      <c r="P322" s="74"/>
      <c r="Q322" s="74"/>
      <c r="R322" s="74"/>
      <c r="S322" s="74"/>
      <c r="T322" s="74"/>
      <c r="U322" s="74"/>
      <c r="V322" s="74"/>
      <c r="W322" s="74"/>
      <c r="X322" s="74"/>
      <c r="Y322" s="74"/>
      <c r="Z322" s="74"/>
      <c r="AA322" s="74"/>
      <c r="AB322" s="74"/>
    </row>
    <row r="323" spans="1:28" ht="40.5" customHeight="1">
      <c r="A323" s="429"/>
      <c r="B323" s="359"/>
      <c r="C323" s="158"/>
      <c r="D323" s="158"/>
      <c r="E323" s="158"/>
      <c r="F323" s="158"/>
      <c r="G323" s="378"/>
      <c r="H323" s="378"/>
      <c r="I323" s="379"/>
      <c r="J323" s="379"/>
      <c r="K323" s="379"/>
      <c r="L323" s="379"/>
      <c r="M323" s="74"/>
      <c r="N323" s="74"/>
      <c r="O323" s="74"/>
      <c r="P323" s="74"/>
      <c r="Q323" s="74"/>
      <c r="R323" s="74"/>
      <c r="S323" s="74"/>
      <c r="T323" s="74"/>
      <c r="U323" s="74"/>
      <c r="V323" s="74"/>
      <c r="W323" s="74"/>
      <c r="X323" s="74"/>
      <c r="Y323" s="74"/>
      <c r="Z323" s="74"/>
      <c r="AA323" s="74"/>
      <c r="AB323" s="74"/>
    </row>
    <row r="324" spans="1:28" ht="40.5" customHeight="1">
      <c r="A324" s="429"/>
      <c r="B324" s="359"/>
      <c r="C324" s="430"/>
      <c r="D324" s="158"/>
      <c r="E324" s="158"/>
      <c r="F324" s="158"/>
      <c r="G324" s="378"/>
      <c r="H324" s="378"/>
      <c r="I324" s="379"/>
      <c r="J324" s="379"/>
      <c r="K324" s="379"/>
      <c r="L324" s="379"/>
      <c r="M324" s="74"/>
      <c r="N324" s="74"/>
      <c r="O324" s="74"/>
      <c r="P324" s="74"/>
      <c r="Q324" s="74"/>
      <c r="R324" s="74"/>
      <c r="S324" s="74"/>
      <c r="T324" s="74"/>
      <c r="U324" s="74"/>
      <c r="V324" s="74"/>
      <c r="W324" s="74"/>
      <c r="X324" s="74"/>
      <c r="Y324" s="74"/>
      <c r="Z324" s="74"/>
      <c r="AA324" s="74"/>
      <c r="AB324" s="74"/>
    </row>
    <row r="325" spans="1:28" ht="40.5" customHeight="1">
      <c r="A325" s="429"/>
      <c r="B325" s="359"/>
      <c r="C325" s="158"/>
      <c r="D325" s="158"/>
      <c r="E325" s="158"/>
      <c r="F325" s="158"/>
      <c r="G325" s="378"/>
      <c r="H325" s="378"/>
      <c r="I325" s="379"/>
      <c r="J325" s="379"/>
      <c r="K325" s="379"/>
      <c r="L325" s="379"/>
      <c r="M325" s="74"/>
      <c r="N325" s="74"/>
      <c r="O325" s="74"/>
      <c r="P325" s="74"/>
      <c r="Q325" s="74"/>
      <c r="R325" s="74"/>
      <c r="S325" s="74"/>
      <c r="T325" s="74"/>
      <c r="U325" s="74"/>
      <c r="V325" s="74"/>
      <c r="W325" s="74"/>
      <c r="X325" s="74"/>
      <c r="Y325" s="74"/>
      <c r="Z325" s="74"/>
      <c r="AA325" s="74"/>
      <c r="AB325" s="74"/>
    </row>
    <row r="326" spans="1:28" ht="40.5" customHeight="1">
      <c r="A326" s="429"/>
      <c r="B326" s="359"/>
      <c r="C326" s="430"/>
      <c r="D326" s="158"/>
      <c r="E326" s="158"/>
      <c r="F326" s="158"/>
      <c r="G326" s="378"/>
      <c r="H326" s="378"/>
      <c r="I326" s="379"/>
      <c r="J326" s="379"/>
      <c r="K326" s="379"/>
      <c r="L326" s="379"/>
      <c r="M326" s="74"/>
      <c r="N326" s="74"/>
      <c r="O326" s="74"/>
      <c r="P326" s="74"/>
      <c r="Q326" s="74"/>
      <c r="R326" s="74"/>
      <c r="S326" s="74"/>
      <c r="T326" s="74"/>
      <c r="U326" s="74"/>
      <c r="V326" s="74"/>
      <c r="W326" s="74"/>
      <c r="X326" s="74"/>
      <c r="Y326" s="74"/>
      <c r="Z326" s="74"/>
      <c r="AA326" s="74"/>
      <c r="AB326" s="74"/>
    </row>
    <row r="327" spans="1:28" ht="40.5" customHeight="1">
      <c r="A327" s="429"/>
      <c r="B327" s="359"/>
      <c r="C327" s="158"/>
      <c r="D327" s="158"/>
      <c r="E327" s="158"/>
      <c r="F327" s="158"/>
      <c r="G327" s="378"/>
      <c r="H327" s="378"/>
      <c r="I327" s="379"/>
      <c r="J327" s="379"/>
      <c r="K327" s="379"/>
      <c r="L327" s="379"/>
      <c r="M327" s="74"/>
      <c r="N327" s="74"/>
      <c r="O327" s="74"/>
      <c r="P327" s="74"/>
      <c r="Q327" s="74"/>
      <c r="R327" s="74"/>
      <c r="S327" s="74"/>
      <c r="T327" s="74"/>
      <c r="U327" s="74"/>
      <c r="V327" s="74"/>
      <c r="W327" s="74"/>
      <c r="X327" s="74"/>
      <c r="Y327" s="74"/>
      <c r="Z327" s="74"/>
      <c r="AA327" s="74"/>
      <c r="AB327" s="74"/>
    </row>
    <row r="328" spans="1:28" ht="40.5" customHeight="1">
      <c r="A328" s="429"/>
      <c r="B328" s="359"/>
      <c r="C328" s="158"/>
      <c r="D328" s="158"/>
      <c r="E328" s="158"/>
      <c r="F328" s="158"/>
      <c r="G328" s="378"/>
      <c r="H328" s="378"/>
      <c r="I328" s="379"/>
      <c r="J328" s="379"/>
      <c r="K328" s="379"/>
      <c r="L328" s="379"/>
      <c r="M328" s="74"/>
      <c r="N328" s="74"/>
      <c r="O328" s="74"/>
      <c r="P328" s="74"/>
      <c r="Q328" s="74"/>
      <c r="R328" s="74"/>
      <c r="S328" s="74"/>
      <c r="T328" s="74"/>
      <c r="U328" s="74"/>
      <c r="V328" s="74"/>
      <c r="W328" s="74"/>
      <c r="X328" s="74"/>
      <c r="Y328" s="74"/>
      <c r="Z328" s="74"/>
      <c r="AA328" s="74"/>
      <c r="AB328" s="74"/>
    </row>
    <row r="329" spans="1:28" ht="40.5" customHeight="1">
      <c r="A329" s="429"/>
      <c r="B329" s="158"/>
      <c r="C329" s="158"/>
      <c r="D329" s="158"/>
      <c r="E329" s="158"/>
      <c r="F329" s="158"/>
      <c r="G329" s="378"/>
      <c r="H329" s="378"/>
      <c r="I329" s="379"/>
      <c r="J329" s="379"/>
      <c r="K329" s="379"/>
      <c r="L329" s="379"/>
      <c r="M329" s="74"/>
      <c r="N329" s="74"/>
      <c r="O329" s="74"/>
      <c r="P329" s="74"/>
      <c r="Q329" s="74"/>
      <c r="R329" s="74"/>
      <c r="S329" s="74"/>
      <c r="T329" s="74"/>
      <c r="U329" s="74"/>
      <c r="V329" s="74"/>
      <c r="W329" s="74"/>
      <c r="X329" s="74"/>
      <c r="Y329" s="74"/>
      <c r="Z329" s="74"/>
      <c r="AA329" s="74"/>
      <c r="AB329" s="74"/>
    </row>
    <row r="330" spans="1:28" ht="40.5" customHeight="1">
      <c r="A330" s="429"/>
      <c r="B330" s="359"/>
      <c r="C330" s="362"/>
      <c r="D330" s="158"/>
      <c r="E330" s="158"/>
      <c r="F330" s="158"/>
      <c r="G330" s="378"/>
      <c r="H330" s="378"/>
      <c r="I330" s="379"/>
      <c r="J330" s="379"/>
      <c r="K330" s="379"/>
      <c r="L330" s="379"/>
      <c r="M330" s="74"/>
      <c r="N330" s="74"/>
      <c r="O330" s="74"/>
      <c r="P330" s="74"/>
      <c r="Q330" s="74"/>
      <c r="R330" s="74"/>
      <c r="S330" s="74"/>
      <c r="T330" s="74"/>
      <c r="U330" s="74"/>
      <c r="V330" s="74"/>
      <c r="W330" s="74"/>
      <c r="X330" s="74"/>
      <c r="Y330" s="74"/>
      <c r="Z330" s="74"/>
      <c r="AA330" s="74"/>
      <c r="AB330" s="74"/>
    </row>
    <row r="331" spans="1:28" ht="40.5" customHeight="1">
      <c r="A331" s="429"/>
      <c r="B331" s="359"/>
      <c r="C331" s="158"/>
      <c r="D331" s="158"/>
      <c r="E331" s="158"/>
      <c r="F331" s="158"/>
      <c r="G331" s="378"/>
      <c r="H331" s="378"/>
      <c r="I331" s="379"/>
      <c r="J331" s="379"/>
      <c r="K331" s="379"/>
      <c r="L331" s="379"/>
      <c r="M331" s="74"/>
      <c r="N331" s="74"/>
      <c r="O331" s="74"/>
      <c r="P331" s="74"/>
      <c r="Q331" s="74"/>
      <c r="R331" s="74"/>
      <c r="S331" s="74"/>
      <c r="T331" s="74"/>
      <c r="U331" s="74"/>
      <c r="V331" s="74"/>
      <c r="W331" s="74"/>
      <c r="X331" s="74"/>
      <c r="Y331" s="74"/>
      <c r="Z331" s="74"/>
      <c r="AA331" s="74"/>
      <c r="AB331" s="74"/>
    </row>
    <row r="332" spans="1:28" ht="40.5" customHeight="1">
      <c r="A332" s="429"/>
      <c r="B332" s="359"/>
      <c r="C332" s="158"/>
      <c r="D332" s="158"/>
      <c r="E332" s="158"/>
      <c r="F332" s="158"/>
      <c r="G332" s="378"/>
      <c r="H332" s="378"/>
      <c r="I332" s="379"/>
      <c r="J332" s="379"/>
      <c r="K332" s="379"/>
      <c r="L332" s="379"/>
      <c r="M332" s="74"/>
      <c r="N332" s="74"/>
      <c r="O332" s="74"/>
      <c r="P332" s="74"/>
      <c r="Q332" s="74"/>
      <c r="R332" s="74"/>
      <c r="S332" s="74"/>
      <c r="T332" s="74"/>
      <c r="U332" s="74"/>
      <c r="V332" s="74"/>
      <c r="W332" s="74"/>
      <c r="X332" s="74"/>
      <c r="Y332" s="74"/>
      <c r="Z332" s="74"/>
      <c r="AA332" s="74"/>
      <c r="AB332" s="74"/>
    </row>
    <row r="333" spans="1:28" ht="40.5" customHeight="1">
      <c r="A333" s="373"/>
      <c r="B333" s="359"/>
      <c r="C333" s="158"/>
      <c r="D333" s="158"/>
      <c r="E333" s="158"/>
      <c r="F333" s="158"/>
      <c r="G333" s="378"/>
      <c r="H333" s="378"/>
      <c r="I333" s="379"/>
      <c r="J333" s="379"/>
      <c r="K333" s="379"/>
      <c r="L333" s="379"/>
      <c r="M333" s="74"/>
      <c r="N333" s="74"/>
      <c r="O333" s="74"/>
      <c r="P333" s="74"/>
      <c r="Q333" s="74"/>
      <c r="R333" s="74"/>
      <c r="S333" s="74"/>
      <c r="T333" s="74"/>
      <c r="U333" s="74"/>
      <c r="V333" s="74"/>
      <c r="W333" s="74"/>
      <c r="X333" s="74"/>
      <c r="Y333" s="74"/>
      <c r="Z333" s="74"/>
      <c r="AA333" s="74"/>
      <c r="AB333" s="74"/>
    </row>
    <row r="334" spans="1:28" ht="40.5" customHeight="1">
      <c r="A334" s="431"/>
      <c r="B334" s="432"/>
      <c r="C334" s="387"/>
      <c r="D334" s="387"/>
      <c r="E334" s="388"/>
      <c r="F334" s="388"/>
      <c r="G334" s="433"/>
      <c r="H334" s="378"/>
      <c r="I334" s="389"/>
      <c r="J334" s="389"/>
      <c r="K334" s="389"/>
      <c r="L334" s="389"/>
      <c r="M334" s="74"/>
      <c r="N334" s="74"/>
      <c r="O334" s="74"/>
      <c r="P334" s="74"/>
      <c r="Q334" s="74"/>
      <c r="R334" s="74"/>
      <c r="S334" s="74"/>
      <c r="T334" s="74"/>
      <c r="U334" s="74"/>
      <c r="V334" s="74"/>
      <c r="W334" s="74"/>
      <c r="X334" s="74"/>
      <c r="Y334" s="74"/>
      <c r="Z334" s="74"/>
      <c r="AA334" s="74"/>
      <c r="AB334" s="74"/>
    </row>
    <row r="335" spans="1:28" ht="40.5" customHeight="1">
      <c r="A335" s="431"/>
      <c r="B335" s="432"/>
      <c r="C335" s="387"/>
      <c r="D335" s="387"/>
      <c r="E335" s="388"/>
      <c r="F335" s="388"/>
      <c r="G335" s="433"/>
      <c r="H335" s="378"/>
      <c r="I335" s="389"/>
      <c r="J335" s="389"/>
      <c r="K335" s="389"/>
      <c r="L335" s="389"/>
      <c r="M335" s="74"/>
      <c r="N335" s="74"/>
      <c r="O335" s="74"/>
      <c r="P335" s="74"/>
      <c r="Q335" s="74"/>
      <c r="R335" s="74"/>
      <c r="S335" s="74"/>
      <c r="T335" s="74"/>
      <c r="U335" s="74"/>
      <c r="V335" s="74"/>
      <c r="W335" s="74"/>
      <c r="X335" s="74"/>
      <c r="Y335" s="74"/>
      <c r="Z335" s="74"/>
      <c r="AA335" s="74"/>
      <c r="AB335" s="74"/>
    </row>
    <row r="336" spans="1:28" ht="40.5" customHeight="1">
      <c r="A336" s="434"/>
      <c r="B336" s="435"/>
      <c r="C336" s="369"/>
      <c r="D336" s="369"/>
      <c r="E336" s="369"/>
      <c r="F336" s="369"/>
      <c r="G336" s="374"/>
      <c r="H336" s="375"/>
      <c r="I336" s="74"/>
      <c r="J336" s="74"/>
      <c r="K336" s="74"/>
      <c r="L336" s="74"/>
      <c r="M336" s="74"/>
      <c r="N336" s="74"/>
      <c r="O336" s="74"/>
      <c r="P336" s="74"/>
      <c r="Q336" s="74"/>
      <c r="R336" s="74"/>
      <c r="S336" s="74"/>
      <c r="T336" s="74"/>
      <c r="U336" s="74"/>
      <c r="V336" s="74"/>
      <c r="W336" s="74"/>
      <c r="X336" s="74"/>
      <c r="Y336" s="74"/>
      <c r="Z336" s="74"/>
      <c r="AA336" s="74"/>
      <c r="AB336" s="74"/>
    </row>
    <row r="337" spans="1:28" ht="40.5" customHeight="1">
      <c r="A337" s="434"/>
      <c r="B337" s="435"/>
      <c r="C337" s="369"/>
      <c r="D337" s="369"/>
      <c r="E337" s="369"/>
      <c r="F337" s="369"/>
      <c r="G337" s="374"/>
      <c r="H337" s="375"/>
      <c r="I337" s="74"/>
      <c r="J337" s="74"/>
      <c r="K337" s="74"/>
      <c r="L337" s="74"/>
      <c r="M337" s="74"/>
      <c r="N337" s="74"/>
      <c r="O337" s="74"/>
      <c r="P337" s="74"/>
      <c r="Q337" s="74"/>
      <c r="R337" s="74"/>
      <c r="S337" s="74"/>
      <c r="T337" s="74"/>
      <c r="U337" s="74"/>
      <c r="V337" s="74"/>
      <c r="W337" s="74"/>
      <c r="X337" s="74"/>
      <c r="Y337" s="74"/>
      <c r="Z337" s="74"/>
      <c r="AA337" s="74"/>
      <c r="AB337" s="74"/>
    </row>
    <row r="338" spans="1:28" ht="40.5" customHeight="1">
      <c r="A338" s="434"/>
      <c r="B338" s="435"/>
      <c r="C338" s="369"/>
      <c r="D338" s="369"/>
      <c r="E338" s="369"/>
      <c r="F338" s="369"/>
      <c r="G338" s="374"/>
      <c r="H338" s="375"/>
      <c r="I338" s="74"/>
      <c r="J338" s="74"/>
      <c r="K338" s="74"/>
      <c r="L338" s="74"/>
      <c r="M338" s="74"/>
      <c r="N338" s="74"/>
      <c r="O338" s="74"/>
      <c r="P338" s="74"/>
      <c r="Q338" s="74"/>
      <c r="R338" s="74"/>
      <c r="S338" s="74"/>
      <c r="T338" s="74"/>
      <c r="U338" s="74"/>
      <c r="V338" s="74"/>
      <c r="W338" s="74"/>
      <c r="X338" s="74"/>
      <c r="Y338" s="74"/>
      <c r="Z338" s="74"/>
      <c r="AA338" s="74"/>
      <c r="AB338" s="74"/>
    </row>
    <row r="339" spans="1:28" ht="40.5" customHeight="1">
      <c r="A339" s="434"/>
      <c r="B339" s="435"/>
      <c r="C339" s="369"/>
      <c r="D339" s="369"/>
      <c r="E339" s="369"/>
      <c r="F339" s="369"/>
      <c r="G339" s="374"/>
      <c r="H339" s="375"/>
      <c r="I339" s="74"/>
      <c r="J339" s="74"/>
      <c r="K339" s="74"/>
      <c r="L339" s="74"/>
      <c r="M339" s="74"/>
      <c r="N339" s="74"/>
      <c r="O339" s="74"/>
      <c r="P339" s="74"/>
      <c r="Q339" s="74"/>
      <c r="R339" s="74"/>
      <c r="S339" s="74"/>
      <c r="T339" s="74"/>
      <c r="U339" s="74"/>
      <c r="V339" s="74"/>
      <c r="W339" s="74"/>
      <c r="X339" s="74"/>
      <c r="Y339" s="74"/>
      <c r="Z339" s="74"/>
      <c r="AA339" s="74"/>
      <c r="AB339" s="74"/>
    </row>
    <row r="340" spans="1:28" ht="40.5" customHeight="1">
      <c r="A340" s="434"/>
      <c r="B340" s="435"/>
      <c r="C340" s="369"/>
      <c r="D340" s="369"/>
      <c r="E340" s="369"/>
      <c r="F340" s="369"/>
      <c r="G340" s="374"/>
      <c r="H340" s="375"/>
      <c r="I340" s="74"/>
      <c r="J340" s="74"/>
      <c r="K340" s="74"/>
      <c r="L340" s="74"/>
      <c r="M340" s="74"/>
      <c r="N340" s="74"/>
      <c r="O340" s="74"/>
      <c r="P340" s="74"/>
      <c r="Q340" s="74"/>
      <c r="R340" s="74"/>
      <c r="S340" s="74"/>
      <c r="T340" s="74"/>
      <c r="U340" s="74"/>
      <c r="V340" s="74"/>
      <c r="W340" s="74"/>
      <c r="X340" s="74"/>
      <c r="Y340" s="74"/>
      <c r="Z340" s="74"/>
      <c r="AA340" s="74"/>
      <c r="AB340" s="74"/>
    </row>
    <row r="341" spans="1:28" ht="40.5" customHeight="1">
      <c r="A341" s="434"/>
      <c r="B341" s="435"/>
      <c r="C341" s="369"/>
      <c r="D341" s="369"/>
      <c r="E341" s="369"/>
      <c r="F341" s="369"/>
      <c r="G341" s="374"/>
      <c r="H341" s="375"/>
      <c r="I341" s="74"/>
      <c r="J341" s="74"/>
      <c r="K341" s="74"/>
      <c r="L341" s="74"/>
      <c r="M341" s="74"/>
      <c r="N341" s="74"/>
      <c r="O341" s="74"/>
      <c r="P341" s="74"/>
      <c r="Q341" s="74"/>
      <c r="R341" s="74"/>
      <c r="S341" s="74"/>
      <c r="T341" s="74"/>
      <c r="U341" s="74"/>
      <c r="V341" s="74"/>
      <c r="W341" s="74"/>
      <c r="X341" s="74"/>
      <c r="Y341" s="74"/>
      <c r="Z341" s="74"/>
      <c r="AA341" s="74"/>
      <c r="AB341" s="74"/>
    </row>
    <row r="342" spans="1:28" ht="40.5" customHeight="1">
      <c r="A342" s="434"/>
      <c r="B342" s="435"/>
      <c r="C342" s="369"/>
      <c r="D342" s="369"/>
      <c r="E342" s="369"/>
      <c r="F342" s="369"/>
      <c r="G342" s="374"/>
      <c r="H342" s="375"/>
      <c r="I342" s="74"/>
      <c r="J342" s="74"/>
      <c r="K342" s="74"/>
      <c r="L342" s="74"/>
      <c r="M342" s="74"/>
      <c r="N342" s="74"/>
      <c r="O342" s="74"/>
      <c r="P342" s="74"/>
      <c r="Q342" s="74"/>
      <c r="R342" s="74"/>
      <c r="S342" s="74"/>
      <c r="T342" s="74"/>
      <c r="U342" s="74"/>
      <c r="V342" s="74"/>
      <c r="W342" s="74"/>
      <c r="X342" s="74"/>
      <c r="Y342" s="74"/>
      <c r="Z342" s="74"/>
      <c r="AA342" s="74"/>
      <c r="AB342" s="74"/>
    </row>
    <row r="343" spans="1:28" ht="40.5" customHeight="1">
      <c r="A343" s="434"/>
      <c r="B343" s="435"/>
      <c r="C343" s="369"/>
      <c r="D343" s="369"/>
      <c r="E343" s="369"/>
      <c r="F343" s="369"/>
      <c r="G343" s="374"/>
      <c r="H343" s="375"/>
      <c r="I343" s="74"/>
      <c r="J343" s="74"/>
      <c r="K343" s="74"/>
      <c r="L343" s="74"/>
      <c r="M343" s="74"/>
      <c r="N343" s="74"/>
      <c r="O343" s="74"/>
      <c r="P343" s="74"/>
      <c r="Q343" s="74"/>
      <c r="R343" s="74"/>
      <c r="S343" s="74"/>
      <c r="T343" s="74"/>
      <c r="U343" s="74"/>
      <c r="V343" s="74"/>
      <c r="W343" s="74"/>
      <c r="X343" s="74"/>
      <c r="Y343" s="74"/>
      <c r="Z343" s="74"/>
      <c r="AA343" s="74"/>
      <c r="AB343" s="74"/>
    </row>
    <row r="344" spans="1:28" ht="40.5" customHeight="1">
      <c r="A344" s="434"/>
      <c r="B344" s="435"/>
      <c r="C344" s="369"/>
      <c r="D344" s="369"/>
      <c r="E344" s="369"/>
      <c r="F344" s="369"/>
      <c r="G344" s="374"/>
      <c r="H344" s="375"/>
      <c r="I344" s="74"/>
      <c r="J344" s="74"/>
      <c r="K344" s="74"/>
      <c r="L344" s="74"/>
      <c r="M344" s="74"/>
      <c r="N344" s="74"/>
      <c r="O344" s="74"/>
      <c r="P344" s="74"/>
      <c r="Q344" s="74"/>
      <c r="R344" s="74"/>
      <c r="S344" s="74"/>
      <c r="T344" s="74"/>
      <c r="U344" s="74"/>
      <c r="V344" s="74"/>
      <c r="W344" s="74"/>
      <c r="X344" s="74"/>
      <c r="Y344" s="74"/>
      <c r="Z344" s="74"/>
      <c r="AA344" s="74"/>
      <c r="AB344" s="74"/>
    </row>
    <row r="345" spans="1:28" ht="40.5" customHeight="1">
      <c r="A345" s="434"/>
      <c r="B345" s="435"/>
      <c r="C345" s="369"/>
      <c r="D345" s="369"/>
      <c r="E345" s="369"/>
      <c r="F345" s="369"/>
      <c r="G345" s="374"/>
      <c r="H345" s="375"/>
      <c r="I345" s="74"/>
      <c r="J345" s="74"/>
      <c r="K345" s="74"/>
      <c r="L345" s="74"/>
      <c r="M345" s="74"/>
      <c r="N345" s="74"/>
      <c r="O345" s="74"/>
      <c r="P345" s="74"/>
      <c r="Q345" s="74"/>
      <c r="R345" s="74"/>
      <c r="S345" s="74"/>
      <c r="T345" s="74"/>
      <c r="U345" s="74"/>
      <c r="V345" s="74"/>
      <c r="W345" s="74"/>
      <c r="X345" s="74"/>
      <c r="Y345" s="74"/>
      <c r="Z345" s="74"/>
      <c r="AA345" s="74"/>
      <c r="AB345" s="74"/>
    </row>
    <row r="346" spans="1:28" ht="40.5" customHeight="1">
      <c r="A346" s="434"/>
      <c r="B346" s="435"/>
      <c r="C346" s="369"/>
      <c r="D346" s="369"/>
      <c r="E346" s="369"/>
      <c r="F346" s="369"/>
      <c r="G346" s="374"/>
      <c r="H346" s="375"/>
      <c r="I346" s="74"/>
      <c r="J346" s="74"/>
      <c r="K346" s="74"/>
      <c r="L346" s="74"/>
      <c r="M346" s="74"/>
      <c r="N346" s="74"/>
      <c r="O346" s="74"/>
      <c r="P346" s="74"/>
      <c r="Q346" s="74"/>
      <c r="R346" s="74"/>
      <c r="S346" s="74"/>
      <c r="T346" s="74"/>
      <c r="U346" s="74"/>
      <c r="V346" s="74"/>
      <c r="W346" s="74"/>
      <c r="X346" s="74"/>
      <c r="Y346" s="74"/>
      <c r="Z346" s="74"/>
      <c r="AA346" s="74"/>
      <c r="AB346" s="74"/>
    </row>
    <row r="347" spans="1:28" ht="40.5" customHeight="1">
      <c r="A347" s="434"/>
      <c r="B347" s="435"/>
      <c r="C347" s="369"/>
      <c r="D347" s="369"/>
      <c r="E347" s="369"/>
      <c r="F347" s="369"/>
      <c r="G347" s="374"/>
      <c r="H347" s="375"/>
      <c r="I347" s="74"/>
      <c r="J347" s="74"/>
      <c r="K347" s="74"/>
      <c r="L347" s="74"/>
      <c r="M347" s="74"/>
      <c r="N347" s="74"/>
      <c r="O347" s="74"/>
      <c r="P347" s="74"/>
      <c r="Q347" s="74"/>
      <c r="R347" s="74"/>
      <c r="S347" s="74"/>
      <c r="T347" s="74"/>
      <c r="U347" s="74"/>
      <c r="V347" s="74"/>
      <c r="W347" s="74"/>
      <c r="X347" s="74"/>
      <c r="Y347" s="74"/>
      <c r="Z347" s="74"/>
      <c r="AA347" s="74"/>
      <c r="AB347" s="74"/>
    </row>
    <row r="348" spans="1:28" ht="40.5" customHeight="1">
      <c r="A348" s="434"/>
      <c r="B348" s="435"/>
      <c r="C348" s="369"/>
      <c r="D348" s="369"/>
      <c r="E348" s="369"/>
      <c r="F348" s="369"/>
      <c r="G348" s="374"/>
      <c r="H348" s="375"/>
      <c r="I348" s="74"/>
      <c r="J348" s="74"/>
      <c r="K348" s="74"/>
      <c r="L348" s="74"/>
      <c r="M348" s="74"/>
      <c r="N348" s="74"/>
      <c r="O348" s="74"/>
      <c r="P348" s="74"/>
      <c r="Q348" s="74"/>
      <c r="R348" s="74"/>
      <c r="S348" s="74"/>
      <c r="T348" s="74"/>
      <c r="U348" s="74"/>
      <c r="V348" s="74"/>
      <c r="W348" s="74"/>
      <c r="X348" s="74"/>
      <c r="Y348" s="74"/>
      <c r="Z348" s="74"/>
      <c r="AA348" s="74"/>
      <c r="AB348" s="74"/>
    </row>
    <row r="349" spans="1:28" ht="40.5" customHeight="1">
      <c r="A349" s="434"/>
      <c r="B349" s="435"/>
      <c r="C349" s="369"/>
      <c r="D349" s="369"/>
      <c r="E349" s="369"/>
      <c r="F349" s="369"/>
      <c r="G349" s="374"/>
      <c r="H349" s="375"/>
      <c r="I349" s="74"/>
      <c r="J349" s="74"/>
      <c r="K349" s="74"/>
      <c r="L349" s="74"/>
      <c r="M349" s="74"/>
      <c r="N349" s="74"/>
      <c r="O349" s="74"/>
      <c r="P349" s="74"/>
      <c r="Q349" s="74"/>
      <c r="R349" s="74"/>
      <c r="S349" s="74"/>
      <c r="T349" s="74"/>
      <c r="U349" s="74"/>
      <c r="V349" s="74"/>
      <c r="W349" s="74"/>
      <c r="X349" s="74"/>
      <c r="Y349" s="74"/>
      <c r="Z349" s="74"/>
      <c r="AA349" s="74"/>
      <c r="AB349" s="74"/>
    </row>
    <row r="350" spans="1:28" ht="40.5" customHeight="1">
      <c r="A350" s="434"/>
      <c r="B350" s="435"/>
      <c r="C350" s="369"/>
      <c r="D350" s="369"/>
      <c r="E350" s="369"/>
      <c r="F350" s="369"/>
      <c r="G350" s="374"/>
      <c r="H350" s="375"/>
      <c r="I350" s="74"/>
      <c r="J350" s="74"/>
      <c r="K350" s="74"/>
      <c r="L350" s="74"/>
      <c r="M350" s="74"/>
      <c r="N350" s="74"/>
      <c r="O350" s="74"/>
      <c r="P350" s="74"/>
      <c r="Q350" s="74"/>
      <c r="R350" s="74"/>
      <c r="S350" s="74"/>
      <c r="T350" s="74"/>
      <c r="U350" s="74"/>
      <c r="V350" s="74"/>
      <c r="W350" s="74"/>
      <c r="X350" s="74"/>
      <c r="Y350" s="74"/>
      <c r="Z350" s="74"/>
      <c r="AA350" s="74"/>
      <c r="AB350" s="74"/>
    </row>
    <row r="351" spans="1:28" ht="40.5" customHeight="1">
      <c r="A351" s="434"/>
      <c r="B351" s="435"/>
      <c r="C351" s="369"/>
      <c r="D351" s="369"/>
      <c r="E351" s="369"/>
      <c r="F351" s="369"/>
      <c r="G351" s="374"/>
      <c r="H351" s="375"/>
      <c r="I351" s="74"/>
      <c r="J351" s="74"/>
      <c r="K351" s="74"/>
      <c r="L351" s="74"/>
      <c r="M351" s="74"/>
      <c r="N351" s="74"/>
      <c r="O351" s="74"/>
      <c r="P351" s="74"/>
      <c r="Q351" s="74"/>
      <c r="R351" s="74"/>
      <c r="S351" s="74"/>
      <c r="T351" s="74"/>
      <c r="U351" s="74"/>
      <c r="V351" s="74"/>
      <c r="W351" s="74"/>
      <c r="X351" s="74"/>
      <c r="Y351" s="74"/>
      <c r="Z351" s="74"/>
      <c r="AA351" s="74"/>
      <c r="AB351" s="74"/>
    </row>
    <row r="352" spans="1:28" ht="40.5" customHeight="1">
      <c r="A352" s="434"/>
      <c r="B352" s="435"/>
      <c r="C352" s="369"/>
      <c r="D352" s="369"/>
      <c r="E352" s="369"/>
      <c r="F352" s="369"/>
      <c r="G352" s="374"/>
      <c r="H352" s="375"/>
      <c r="I352" s="74"/>
      <c r="J352" s="74"/>
      <c r="K352" s="74"/>
      <c r="L352" s="74"/>
      <c r="M352" s="74"/>
      <c r="N352" s="74"/>
      <c r="O352" s="74"/>
      <c r="P352" s="74"/>
      <c r="Q352" s="74"/>
      <c r="R352" s="74"/>
      <c r="S352" s="74"/>
      <c r="T352" s="74"/>
      <c r="U352" s="74"/>
      <c r="V352" s="74"/>
      <c r="W352" s="74"/>
      <c r="X352" s="74"/>
      <c r="Y352" s="74"/>
      <c r="Z352" s="74"/>
      <c r="AA352" s="74"/>
      <c r="AB352" s="74"/>
    </row>
    <row r="353" spans="1:28" ht="40.5" customHeight="1">
      <c r="A353" s="434"/>
      <c r="B353" s="435"/>
      <c r="C353" s="369"/>
      <c r="D353" s="369"/>
      <c r="E353" s="369"/>
      <c r="F353" s="369"/>
      <c r="G353" s="374"/>
      <c r="H353" s="375"/>
      <c r="I353" s="74"/>
      <c r="J353" s="74"/>
      <c r="K353" s="74"/>
      <c r="L353" s="74"/>
      <c r="M353" s="74"/>
      <c r="N353" s="74"/>
      <c r="O353" s="74"/>
      <c r="P353" s="74"/>
      <c r="Q353" s="74"/>
      <c r="R353" s="74"/>
      <c r="S353" s="74"/>
      <c r="T353" s="74"/>
      <c r="U353" s="74"/>
      <c r="V353" s="74"/>
      <c r="W353" s="74"/>
      <c r="X353" s="74"/>
      <c r="Y353" s="74"/>
      <c r="Z353" s="74"/>
      <c r="AA353" s="74"/>
      <c r="AB353" s="74"/>
    </row>
    <row r="354" spans="1:28" ht="40.5" customHeight="1">
      <c r="A354" s="434"/>
      <c r="B354" s="435"/>
      <c r="C354" s="369"/>
      <c r="D354" s="369"/>
      <c r="E354" s="369"/>
      <c r="F354" s="369"/>
      <c r="G354" s="374"/>
      <c r="H354" s="375"/>
      <c r="I354" s="74"/>
      <c r="J354" s="74"/>
      <c r="K354" s="74"/>
      <c r="L354" s="74"/>
      <c r="M354" s="74"/>
      <c r="N354" s="74"/>
      <c r="O354" s="74"/>
      <c r="P354" s="74"/>
      <c r="Q354" s="74"/>
      <c r="R354" s="74"/>
      <c r="S354" s="74"/>
      <c r="T354" s="74"/>
      <c r="U354" s="74"/>
      <c r="V354" s="74"/>
      <c r="W354" s="74"/>
      <c r="X354" s="74"/>
      <c r="Y354" s="74"/>
      <c r="Z354" s="74"/>
      <c r="AA354" s="74"/>
      <c r="AB354" s="74"/>
    </row>
    <row r="355" spans="1:28" ht="40.5" customHeight="1">
      <c r="A355" s="434"/>
      <c r="B355" s="435"/>
      <c r="C355" s="369"/>
      <c r="D355" s="369"/>
      <c r="E355" s="369"/>
      <c r="F355" s="369"/>
      <c r="G355" s="374"/>
      <c r="H355" s="375"/>
      <c r="I355" s="74"/>
      <c r="J355" s="74"/>
      <c r="K355" s="74"/>
      <c r="L355" s="74"/>
      <c r="M355" s="74"/>
      <c r="N355" s="74"/>
      <c r="O355" s="74"/>
      <c r="P355" s="74"/>
      <c r="Q355" s="74"/>
      <c r="R355" s="74"/>
      <c r="S355" s="74"/>
      <c r="T355" s="74"/>
      <c r="U355" s="74"/>
      <c r="V355" s="74"/>
      <c r="W355" s="74"/>
      <c r="X355" s="74"/>
      <c r="Y355" s="74"/>
      <c r="Z355" s="74"/>
      <c r="AA355" s="74"/>
      <c r="AB355" s="74"/>
    </row>
    <row r="356" spans="1:28" ht="40.5" customHeight="1">
      <c r="A356" s="434"/>
      <c r="B356" s="435"/>
      <c r="C356" s="369"/>
      <c r="D356" s="369"/>
      <c r="E356" s="369"/>
      <c r="F356" s="369"/>
      <c r="G356" s="374"/>
      <c r="H356" s="375"/>
      <c r="I356" s="35"/>
      <c r="J356" s="74"/>
      <c r="K356" s="74"/>
      <c r="L356" s="74"/>
      <c r="M356" s="74"/>
      <c r="N356" s="74"/>
      <c r="O356" s="74"/>
      <c r="P356" s="74"/>
      <c r="Q356" s="74"/>
      <c r="R356" s="74"/>
      <c r="S356" s="74"/>
      <c r="T356" s="74"/>
      <c r="U356" s="74"/>
      <c r="V356" s="74"/>
      <c r="W356" s="74"/>
      <c r="X356" s="74"/>
      <c r="Y356" s="74"/>
      <c r="Z356" s="74"/>
      <c r="AA356" s="74"/>
      <c r="AB356" s="74"/>
    </row>
    <row r="357" spans="1:28" ht="40.5" customHeight="1">
      <c r="A357" s="434"/>
      <c r="B357" s="435"/>
      <c r="C357" s="369"/>
      <c r="D357" s="369"/>
      <c r="E357" s="369"/>
      <c r="F357" s="369"/>
      <c r="G357" s="374"/>
      <c r="H357" s="375"/>
      <c r="I357" s="35"/>
      <c r="J357" s="74"/>
      <c r="K357" s="74"/>
      <c r="L357" s="74"/>
      <c r="M357" s="74"/>
      <c r="N357" s="74"/>
      <c r="O357" s="74"/>
      <c r="P357" s="74"/>
      <c r="Q357" s="74"/>
      <c r="R357" s="74"/>
      <c r="S357" s="74"/>
      <c r="T357" s="74"/>
      <c r="U357" s="74"/>
      <c r="V357" s="74"/>
      <c r="W357" s="74"/>
      <c r="X357" s="74"/>
      <c r="Y357" s="74"/>
      <c r="Z357" s="74"/>
      <c r="AA357" s="74"/>
      <c r="AB357" s="74"/>
    </row>
    <row r="358" spans="1:28" ht="40.5" customHeight="1">
      <c r="A358" s="434"/>
      <c r="B358" s="435"/>
      <c r="C358" s="369"/>
      <c r="D358" s="369"/>
      <c r="E358" s="369"/>
      <c r="F358" s="369"/>
      <c r="G358" s="374"/>
      <c r="H358" s="375"/>
      <c r="I358" s="35"/>
      <c r="J358" s="74"/>
      <c r="K358" s="74"/>
      <c r="L358" s="74"/>
      <c r="M358" s="74"/>
      <c r="N358" s="74"/>
      <c r="O358" s="74"/>
      <c r="P358" s="74"/>
      <c r="Q358" s="74"/>
      <c r="R358" s="74"/>
      <c r="S358" s="74"/>
      <c r="T358" s="74"/>
      <c r="U358" s="74"/>
      <c r="V358" s="74"/>
      <c r="W358" s="74"/>
      <c r="X358" s="74"/>
      <c r="Y358" s="74"/>
      <c r="Z358" s="74"/>
      <c r="AA358" s="74"/>
      <c r="AB358" s="74"/>
    </row>
    <row r="359" spans="1:28" ht="40.5" customHeight="1">
      <c r="A359" s="434"/>
      <c r="B359" s="435"/>
      <c r="C359" s="369"/>
      <c r="D359" s="369"/>
      <c r="E359" s="369"/>
      <c r="F359" s="369"/>
      <c r="G359" s="374"/>
      <c r="H359" s="375"/>
      <c r="I359" s="35"/>
      <c r="J359" s="74"/>
      <c r="K359" s="74"/>
      <c r="L359" s="74"/>
      <c r="M359" s="74"/>
      <c r="N359" s="74"/>
      <c r="O359" s="74"/>
      <c r="P359" s="74"/>
      <c r="Q359" s="74"/>
      <c r="R359" s="74"/>
      <c r="S359" s="74"/>
      <c r="T359" s="74"/>
      <c r="U359" s="74"/>
      <c r="V359" s="74"/>
      <c r="W359" s="74"/>
      <c r="X359" s="74"/>
      <c r="Y359" s="74"/>
      <c r="Z359" s="74"/>
      <c r="AA359" s="74"/>
      <c r="AB359" s="74"/>
    </row>
    <row r="360" spans="1:28" ht="40.5" customHeight="1">
      <c r="A360" s="434"/>
      <c r="B360" s="435"/>
      <c r="C360" s="369"/>
      <c r="D360" s="369"/>
      <c r="E360" s="369"/>
      <c r="F360" s="369"/>
      <c r="G360" s="374"/>
      <c r="H360" s="375"/>
      <c r="I360" s="35"/>
      <c r="J360" s="74"/>
      <c r="K360" s="74"/>
      <c r="L360" s="74"/>
      <c r="M360" s="74"/>
      <c r="N360" s="74"/>
      <c r="O360" s="74"/>
      <c r="P360" s="74"/>
      <c r="Q360" s="74"/>
      <c r="R360" s="74"/>
      <c r="S360" s="74"/>
      <c r="T360" s="74"/>
      <c r="U360" s="74"/>
      <c r="V360" s="74"/>
      <c r="W360" s="74"/>
      <c r="X360" s="74"/>
      <c r="Y360" s="74"/>
      <c r="Z360" s="74"/>
      <c r="AA360" s="74"/>
      <c r="AB360" s="74"/>
    </row>
    <row r="361" spans="1:28" ht="40.5" customHeight="1">
      <c r="A361" s="434"/>
      <c r="B361" s="435"/>
      <c r="C361" s="369"/>
      <c r="D361" s="369"/>
      <c r="E361" s="369"/>
      <c r="F361" s="369"/>
      <c r="G361" s="374"/>
      <c r="H361" s="375"/>
      <c r="I361" s="35"/>
      <c r="J361" s="74"/>
      <c r="K361" s="74"/>
      <c r="L361" s="74"/>
      <c r="M361" s="74"/>
      <c r="N361" s="74"/>
      <c r="O361" s="74"/>
      <c r="P361" s="74"/>
      <c r="Q361" s="74"/>
      <c r="R361" s="74"/>
      <c r="S361" s="74"/>
      <c r="T361" s="74"/>
      <c r="U361" s="74"/>
      <c r="V361" s="74"/>
      <c r="W361" s="74"/>
      <c r="X361" s="74"/>
      <c r="Y361" s="74"/>
      <c r="Z361" s="74"/>
      <c r="AA361" s="74"/>
      <c r="AB361" s="74"/>
    </row>
    <row r="362" spans="1:28" ht="40.5" customHeight="1">
      <c r="A362" s="434"/>
      <c r="B362" s="435"/>
      <c r="C362" s="369"/>
      <c r="D362" s="369"/>
      <c r="E362" s="369"/>
      <c r="F362" s="369"/>
      <c r="G362" s="374"/>
      <c r="H362" s="375"/>
      <c r="I362" s="35"/>
      <c r="J362" s="74"/>
      <c r="K362" s="74"/>
      <c r="L362" s="74"/>
      <c r="M362" s="74"/>
      <c r="N362" s="74"/>
      <c r="O362" s="74"/>
      <c r="P362" s="74"/>
      <c r="Q362" s="74"/>
      <c r="R362" s="74"/>
      <c r="S362" s="74"/>
      <c r="T362" s="74"/>
      <c r="U362" s="74"/>
      <c r="V362" s="74"/>
      <c r="W362" s="74"/>
      <c r="X362" s="74"/>
      <c r="Y362" s="74"/>
      <c r="Z362" s="74"/>
      <c r="AA362" s="74"/>
      <c r="AB362" s="74"/>
    </row>
    <row r="363" spans="1:28" ht="40.5" customHeight="1">
      <c r="A363" s="434"/>
      <c r="B363" s="435"/>
      <c r="C363" s="369"/>
      <c r="D363" s="369"/>
      <c r="E363" s="369"/>
      <c r="F363" s="369"/>
      <c r="G363" s="374"/>
      <c r="H363" s="375"/>
      <c r="I363" s="35"/>
      <c r="J363" s="74"/>
      <c r="K363" s="74"/>
      <c r="L363" s="74"/>
      <c r="M363" s="74"/>
      <c r="N363" s="74"/>
      <c r="O363" s="74"/>
      <c r="P363" s="74"/>
      <c r="Q363" s="74"/>
      <c r="R363" s="74"/>
      <c r="S363" s="74"/>
      <c r="T363" s="74"/>
      <c r="U363" s="74"/>
      <c r="V363" s="74"/>
      <c r="W363" s="74"/>
      <c r="X363" s="74"/>
      <c r="Y363" s="74"/>
      <c r="Z363" s="74"/>
      <c r="AA363" s="74"/>
      <c r="AB363" s="74"/>
    </row>
    <row r="364" spans="1:28" ht="40.5" customHeight="1">
      <c r="A364" s="434"/>
      <c r="B364" s="435"/>
      <c r="C364" s="369"/>
      <c r="D364" s="369"/>
      <c r="E364" s="369"/>
      <c r="F364" s="369"/>
      <c r="G364" s="374"/>
      <c r="H364" s="375"/>
      <c r="I364" s="35"/>
      <c r="J364" s="74"/>
      <c r="K364" s="74"/>
      <c r="L364" s="74"/>
      <c r="M364" s="74"/>
      <c r="N364" s="74"/>
      <c r="O364" s="74"/>
      <c r="P364" s="74"/>
      <c r="Q364" s="74"/>
      <c r="R364" s="74"/>
      <c r="S364" s="74"/>
      <c r="T364" s="74"/>
      <c r="U364" s="74"/>
      <c r="V364" s="74"/>
      <c r="W364" s="74"/>
      <c r="X364" s="74"/>
      <c r="Y364" s="74"/>
      <c r="Z364" s="74"/>
      <c r="AA364" s="74"/>
      <c r="AB364" s="74"/>
    </row>
    <row r="365" spans="1:28" ht="40.5" customHeight="1">
      <c r="A365" s="434"/>
      <c r="B365" s="435"/>
      <c r="C365" s="369"/>
      <c r="D365" s="369"/>
      <c r="E365" s="369"/>
      <c r="F365" s="369"/>
      <c r="G365" s="374"/>
      <c r="H365" s="375"/>
      <c r="I365" s="35"/>
      <c r="J365" s="74"/>
      <c r="K365" s="74"/>
      <c r="L365" s="74"/>
      <c r="M365" s="74"/>
      <c r="N365" s="74"/>
      <c r="O365" s="74"/>
      <c r="P365" s="74"/>
      <c r="Q365" s="74"/>
      <c r="R365" s="74"/>
      <c r="S365" s="74"/>
      <c r="T365" s="74"/>
      <c r="U365" s="74"/>
      <c r="V365" s="74"/>
      <c r="W365" s="74"/>
      <c r="X365" s="74"/>
      <c r="Y365" s="74"/>
      <c r="Z365" s="74"/>
      <c r="AA365" s="74"/>
      <c r="AB365" s="74"/>
    </row>
    <row r="366" spans="1:28" ht="40.5" customHeight="1">
      <c r="A366" s="434"/>
      <c r="B366" s="435"/>
      <c r="C366" s="369"/>
      <c r="D366" s="369"/>
      <c r="E366" s="369"/>
      <c r="F366" s="369"/>
      <c r="G366" s="374"/>
      <c r="H366" s="375"/>
      <c r="I366" s="35"/>
      <c r="J366" s="74"/>
      <c r="K366" s="74"/>
      <c r="L366" s="74"/>
      <c r="M366" s="74"/>
      <c r="N366" s="74"/>
      <c r="O366" s="74"/>
      <c r="P366" s="74"/>
      <c r="Q366" s="74"/>
      <c r="R366" s="74"/>
      <c r="S366" s="74"/>
      <c r="T366" s="74"/>
      <c r="U366" s="74"/>
      <c r="V366" s="74"/>
      <c r="W366" s="74"/>
      <c r="X366" s="74"/>
      <c r="Y366" s="74"/>
      <c r="Z366" s="74"/>
      <c r="AA366" s="74"/>
      <c r="AB366" s="74"/>
    </row>
    <row r="367" spans="1:28" ht="40.5" customHeight="1">
      <c r="A367" s="434"/>
      <c r="B367" s="435"/>
      <c r="C367" s="369"/>
      <c r="D367" s="369"/>
      <c r="E367" s="369"/>
      <c r="F367" s="369"/>
      <c r="G367" s="374"/>
      <c r="H367" s="375"/>
      <c r="I367" s="35"/>
      <c r="J367" s="74"/>
      <c r="K367" s="74"/>
      <c r="L367" s="74"/>
      <c r="M367" s="74"/>
      <c r="N367" s="74"/>
      <c r="O367" s="74"/>
      <c r="P367" s="74"/>
      <c r="Q367" s="74"/>
      <c r="R367" s="74"/>
      <c r="S367" s="74"/>
      <c r="T367" s="74"/>
      <c r="U367" s="74"/>
      <c r="V367" s="74"/>
      <c r="W367" s="74"/>
      <c r="X367" s="74"/>
      <c r="Y367" s="74"/>
      <c r="Z367" s="74"/>
      <c r="AA367" s="74"/>
      <c r="AB367" s="74"/>
    </row>
    <row r="368" spans="1:28" ht="40.5" customHeight="1">
      <c r="A368" s="434"/>
      <c r="B368" s="435"/>
      <c r="C368" s="369"/>
      <c r="D368" s="369"/>
      <c r="E368" s="369"/>
      <c r="F368" s="369"/>
      <c r="G368" s="374"/>
      <c r="H368" s="375"/>
      <c r="I368" s="35"/>
      <c r="J368" s="74"/>
      <c r="K368" s="74"/>
      <c r="L368" s="74"/>
      <c r="M368" s="74"/>
      <c r="N368" s="74"/>
      <c r="O368" s="74"/>
      <c r="P368" s="74"/>
      <c r="Q368" s="74"/>
      <c r="R368" s="74"/>
      <c r="S368" s="74"/>
      <c r="T368" s="74"/>
      <c r="U368" s="74"/>
      <c r="V368" s="74"/>
      <c r="W368" s="74"/>
      <c r="X368" s="74"/>
      <c r="Y368" s="74"/>
      <c r="Z368" s="74"/>
      <c r="AA368" s="74"/>
      <c r="AB368" s="74"/>
    </row>
    <row r="369" spans="1:28" ht="40.5" customHeight="1">
      <c r="A369" s="434"/>
      <c r="B369" s="435"/>
      <c r="C369" s="369"/>
      <c r="D369" s="369"/>
      <c r="E369" s="369"/>
      <c r="F369" s="369"/>
      <c r="G369" s="374"/>
      <c r="H369" s="375"/>
      <c r="I369" s="35"/>
      <c r="J369" s="74"/>
      <c r="K369" s="74"/>
      <c r="L369" s="74"/>
      <c r="M369" s="74"/>
      <c r="N369" s="74"/>
      <c r="O369" s="74"/>
      <c r="P369" s="74"/>
      <c r="Q369" s="74"/>
      <c r="R369" s="74"/>
      <c r="S369" s="74"/>
      <c r="T369" s="74"/>
      <c r="U369" s="74"/>
      <c r="V369" s="74"/>
      <c r="W369" s="74"/>
      <c r="X369" s="74"/>
      <c r="Y369" s="74"/>
      <c r="Z369" s="74"/>
      <c r="AA369" s="74"/>
      <c r="AB369" s="74"/>
    </row>
    <row r="370" spans="1:28" ht="40.5" customHeight="1">
      <c r="A370" s="434"/>
      <c r="B370" s="435"/>
      <c r="C370" s="369"/>
      <c r="D370" s="369"/>
      <c r="E370" s="369"/>
      <c r="F370" s="369"/>
      <c r="G370" s="374"/>
      <c r="H370" s="375"/>
      <c r="I370" s="35"/>
      <c r="J370" s="74"/>
      <c r="K370" s="74"/>
      <c r="L370" s="74"/>
      <c r="M370" s="74"/>
      <c r="N370" s="74"/>
      <c r="O370" s="74"/>
      <c r="P370" s="74"/>
      <c r="Q370" s="74"/>
      <c r="R370" s="74"/>
      <c r="S370" s="74"/>
      <c r="T370" s="74"/>
      <c r="U370" s="74"/>
      <c r="V370" s="74"/>
      <c r="W370" s="74"/>
      <c r="X370" s="74"/>
      <c r="Y370" s="74"/>
      <c r="Z370" s="74"/>
      <c r="AA370" s="74"/>
      <c r="AB370" s="74"/>
    </row>
    <row r="371" spans="1:28" ht="40.5" customHeight="1">
      <c r="A371" s="434"/>
      <c r="B371" s="435"/>
      <c r="C371" s="369"/>
      <c r="D371" s="369"/>
      <c r="E371" s="369"/>
      <c r="F371" s="369"/>
      <c r="G371" s="374"/>
      <c r="H371" s="375"/>
      <c r="I371" s="35"/>
      <c r="J371" s="74"/>
      <c r="K371" s="74"/>
      <c r="L371" s="74"/>
      <c r="M371" s="74"/>
      <c r="N371" s="74"/>
      <c r="O371" s="74"/>
      <c r="P371" s="74"/>
      <c r="Q371" s="74"/>
      <c r="R371" s="74"/>
      <c r="S371" s="74"/>
      <c r="T371" s="74"/>
      <c r="U371" s="74"/>
      <c r="V371" s="74"/>
      <c r="W371" s="74"/>
      <c r="X371" s="74"/>
      <c r="Y371" s="74"/>
      <c r="Z371" s="74"/>
      <c r="AA371" s="74"/>
      <c r="AB371" s="74"/>
    </row>
    <row r="372" spans="1:28" ht="40.5" customHeight="1">
      <c r="A372" s="434"/>
      <c r="B372" s="435"/>
      <c r="C372" s="369"/>
      <c r="D372" s="369"/>
      <c r="E372" s="369"/>
      <c r="F372" s="369"/>
      <c r="G372" s="374"/>
      <c r="H372" s="375"/>
      <c r="I372" s="35"/>
      <c r="J372" s="74"/>
      <c r="K372" s="74"/>
      <c r="L372" s="74"/>
      <c r="M372" s="74"/>
      <c r="N372" s="74"/>
      <c r="O372" s="74"/>
      <c r="P372" s="74"/>
      <c r="Q372" s="74"/>
      <c r="R372" s="74"/>
      <c r="S372" s="74"/>
      <c r="T372" s="74"/>
      <c r="U372" s="74"/>
      <c r="V372" s="74"/>
      <c r="W372" s="74"/>
      <c r="X372" s="74"/>
      <c r="Y372" s="74"/>
      <c r="Z372" s="74"/>
      <c r="AA372" s="74"/>
      <c r="AB372" s="74"/>
    </row>
    <row r="373" spans="1:28" ht="40.5" customHeight="1">
      <c r="A373" s="434"/>
      <c r="B373" s="435"/>
      <c r="C373" s="369"/>
      <c r="D373" s="369"/>
      <c r="E373" s="369"/>
      <c r="F373" s="369"/>
      <c r="G373" s="374"/>
      <c r="H373" s="375"/>
      <c r="I373" s="35"/>
      <c r="J373" s="74"/>
      <c r="K373" s="74"/>
      <c r="L373" s="74"/>
      <c r="M373" s="74"/>
      <c r="N373" s="74"/>
      <c r="O373" s="74"/>
      <c r="P373" s="74"/>
      <c r="Q373" s="74"/>
      <c r="R373" s="74"/>
      <c r="S373" s="74"/>
      <c r="T373" s="74"/>
      <c r="U373" s="74"/>
      <c r="V373" s="74"/>
      <c r="W373" s="74"/>
      <c r="X373" s="74"/>
      <c r="Y373" s="74"/>
      <c r="Z373" s="74"/>
      <c r="AA373" s="74"/>
      <c r="AB373" s="74"/>
    </row>
    <row r="374" spans="1:28" ht="40.5" customHeight="1">
      <c r="A374" s="434"/>
      <c r="B374" s="435"/>
      <c r="C374" s="369"/>
      <c r="D374" s="369"/>
      <c r="E374" s="369"/>
      <c r="F374" s="369"/>
      <c r="G374" s="374"/>
      <c r="H374" s="375"/>
      <c r="I374" s="35"/>
      <c r="J374" s="74"/>
      <c r="K374" s="74"/>
      <c r="L374" s="74"/>
      <c r="M374" s="74"/>
      <c r="N374" s="74"/>
      <c r="O374" s="74"/>
      <c r="P374" s="74"/>
      <c r="Q374" s="74"/>
      <c r="R374" s="74"/>
      <c r="S374" s="74"/>
      <c r="T374" s="74"/>
      <c r="U374" s="74"/>
      <c r="V374" s="74"/>
      <c r="W374" s="74"/>
      <c r="X374" s="74"/>
      <c r="Y374" s="74"/>
      <c r="Z374" s="74"/>
      <c r="AA374" s="74"/>
      <c r="AB374" s="74"/>
    </row>
    <row r="375" spans="1:28" ht="40.5" customHeight="1">
      <c r="A375" s="434"/>
      <c r="B375" s="435"/>
      <c r="C375" s="369"/>
      <c r="D375" s="369"/>
      <c r="E375" s="369"/>
      <c r="F375" s="369"/>
      <c r="G375" s="374"/>
      <c r="H375" s="375"/>
      <c r="I375" s="35"/>
      <c r="J375" s="74"/>
      <c r="K375" s="74"/>
      <c r="L375" s="74"/>
      <c r="M375" s="74"/>
      <c r="N375" s="74"/>
      <c r="O375" s="74"/>
      <c r="P375" s="74"/>
      <c r="Q375" s="74"/>
      <c r="R375" s="74"/>
      <c r="S375" s="74"/>
      <c r="T375" s="74"/>
      <c r="U375" s="74"/>
      <c r="V375" s="74"/>
      <c r="W375" s="74"/>
      <c r="X375" s="74"/>
      <c r="Y375" s="74"/>
      <c r="Z375" s="74"/>
      <c r="AA375" s="74"/>
      <c r="AB375" s="74"/>
    </row>
    <row r="376" spans="1:28" ht="40.5" customHeight="1">
      <c r="A376" s="434"/>
      <c r="B376" s="435"/>
      <c r="C376" s="369"/>
      <c r="D376" s="369"/>
      <c r="E376" s="369"/>
      <c r="F376" s="369"/>
      <c r="G376" s="374"/>
      <c r="H376" s="375"/>
      <c r="I376" s="35"/>
      <c r="J376" s="74"/>
      <c r="K376" s="74"/>
      <c r="L376" s="74"/>
      <c r="M376" s="74"/>
      <c r="N376" s="74"/>
      <c r="O376" s="74"/>
      <c r="P376" s="74"/>
      <c r="Q376" s="74"/>
      <c r="R376" s="74"/>
      <c r="S376" s="74"/>
      <c r="T376" s="74"/>
      <c r="U376" s="74"/>
      <c r="V376" s="74"/>
      <c r="W376" s="74"/>
      <c r="X376" s="74"/>
      <c r="Y376" s="74"/>
      <c r="Z376" s="74"/>
      <c r="AA376" s="74"/>
      <c r="AB376" s="74"/>
    </row>
    <row r="377" spans="1:28" ht="40.5" customHeight="1">
      <c r="A377" s="434"/>
      <c r="B377" s="435"/>
      <c r="C377" s="369"/>
      <c r="D377" s="369"/>
      <c r="E377" s="369"/>
      <c r="F377" s="369"/>
      <c r="G377" s="374"/>
      <c r="H377" s="375"/>
      <c r="I377" s="35"/>
      <c r="J377" s="74"/>
      <c r="K377" s="74"/>
      <c r="L377" s="74"/>
      <c r="M377" s="74"/>
      <c r="N377" s="74"/>
      <c r="O377" s="74"/>
      <c r="P377" s="74"/>
      <c r="Q377" s="74"/>
      <c r="R377" s="74"/>
      <c r="S377" s="74"/>
      <c r="T377" s="74"/>
      <c r="U377" s="74"/>
      <c r="V377" s="74"/>
      <c r="W377" s="74"/>
      <c r="X377" s="74"/>
      <c r="Y377" s="74"/>
      <c r="Z377" s="74"/>
      <c r="AA377" s="74"/>
      <c r="AB377" s="74"/>
    </row>
    <row r="378" spans="1:28" ht="40.5" customHeight="1">
      <c r="A378" s="434"/>
      <c r="B378" s="435"/>
      <c r="C378" s="369"/>
      <c r="D378" s="369"/>
      <c r="E378" s="369"/>
      <c r="F378" s="369"/>
      <c r="G378" s="374"/>
      <c r="H378" s="375"/>
      <c r="I378" s="35"/>
      <c r="J378" s="74"/>
      <c r="K378" s="74"/>
      <c r="L378" s="74"/>
      <c r="M378" s="74"/>
      <c r="N378" s="74"/>
      <c r="O378" s="74"/>
      <c r="P378" s="74"/>
      <c r="Q378" s="74"/>
      <c r="R378" s="74"/>
      <c r="S378" s="74"/>
      <c r="T378" s="74"/>
      <c r="U378" s="74"/>
      <c r="V378" s="74"/>
      <c r="W378" s="74"/>
      <c r="X378" s="74"/>
      <c r="Y378" s="74"/>
      <c r="Z378" s="74"/>
      <c r="AA378" s="74"/>
      <c r="AB378" s="74"/>
    </row>
    <row r="379" spans="1:28" ht="40.5" customHeight="1">
      <c r="A379" s="434"/>
      <c r="B379" s="435"/>
      <c r="C379" s="369"/>
      <c r="D379" s="369"/>
      <c r="E379" s="369"/>
      <c r="F379" s="369"/>
      <c r="G379" s="374"/>
      <c r="H379" s="375"/>
      <c r="I379" s="35"/>
      <c r="J379" s="74"/>
      <c r="K379" s="74"/>
      <c r="L379" s="74"/>
      <c r="M379" s="74"/>
      <c r="N379" s="74"/>
      <c r="O379" s="74"/>
      <c r="P379" s="74"/>
      <c r="Q379" s="74"/>
      <c r="R379" s="74"/>
      <c r="S379" s="74"/>
      <c r="T379" s="74"/>
      <c r="U379" s="74"/>
      <c r="V379" s="74"/>
      <c r="W379" s="74"/>
      <c r="X379" s="74"/>
      <c r="Y379" s="74"/>
      <c r="Z379" s="74"/>
      <c r="AA379" s="74"/>
      <c r="AB379" s="74"/>
    </row>
    <row r="380" spans="1:28" ht="40.5" customHeight="1">
      <c r="A380" s="434"/>
      <c r="B380" s="435"/>
      <c r="C380" s="369"/>
      <c r="D380" s="369"/>
      <c r="E380" s="369"/>
      <c r="F380" s="369"/>
      <c r="G380" s="374"/>
      <c r="H380" s="375"/>
      <c r="I380" s="35"/>
      <c r="J380" s="74"/>
      <c r="K380" s="74"/>
      <c r="L380" s="74"/>
      <c r="M380" s="74"/>
      <c r="N380" s="74"/>
      <c r="O380" s="74"/>
      <c r="P380" s="74"/>
      <c r="Q380" s="74"/>
      <c r="R380" s="74"/>
      <c r="S380" s="74"/>
      <c r="T380" s="74"/>
      <c r="U380" s="74"/>
      <c r="V380" s="74"/>
      <c r="W380" s="74"/>
      <c r="X380" s="74"/>
      <c r="Y380" s="74"/>
      <c r="Z380" s="74"/>
      <c r="AA380" s="74"/>
      <c r="AB380" s="74"/>
    </row>
    <row r="381" spans="1:28" ht="40.5" customHeight="1">
      <c r="A381" s="434"/>
      <c r="B381" s="435"/>
      <c r="C381" s="369"/>
      <c r="D381" s="369"/>
      <c r="E381" s="369"/>
      <c r="F381" s="369"/>
      <c r="G381" s="374"/>
      <c r="H381" s="375"/>
      <c r="I381" s="35"/>
      <c r="J381" s="74"/>
      <c r="K381" s="74"/>
      <c r="L381" s="74"/>
      <c r="M381" s="74"/>
      <c r="N381" s="74"/>
      <c r="O381" s="74"/>
      <c r="P381" s="74"/>
      <c r="Q381" s="74"/>
      <c r="R381" s="74"/>
      <c r="S381" s="74"/>
      <c r="T381" s="74"/>
      <c r="U381" s="74"/>
      <c r="V381" s="74"/>
      <c r="W381" s="74"/>
      <c r="X381" s="74"/>
      <c r="Y381" s="74"/>
      <c r="Z381" s="74"/>
      <c r="AA381" s="74"/>
      <c r="AB381" s="74"/>
    </row>
    <row r="382" spans="1:28" ht="40.5" customHeight="1">
      <c r="A382" s="434"/>
      <c r="B382" s="435"/>
      <c r="C382" s="369"/>
      <c r="D382" s="369"/>
      <c r="E382" s="369"/>
      <c r="F382" s="369"/>
      <c r="G382" s="374"/>
      <c r="H382" s="375"/>
      <c r="I382" s="35"/>
      <c r="J382" s="74"/>
      <c r="K382" s="74"/>
      <c r="L382" s="74"/>
      <c r="M382" s="74"/>
      <c r="N382" s="74"/>
      <c r="O382" s="74"/>
      <c r="P382" s="74"/>
      <c r="Q382" s="74"/>
      <c r="R382" s="74"/>
      <c r="S382" s="74"/>
      <c r="T382" s="74"/>
      <c r="U382" s="74"/>
      <c r="V382" s="74"/>
      <c r="W382" s="74"/>
      <c r="X382" s="74"/>
      <c r="Y382" s="74"/>
      <c r="Z382" s="74"/>
      <c r="AA382" s="74"/>
      <c r="AB382" s="74"/>
    </row>
    <row r="383" spans="1:28" ht="40.5" customHeight="1">
      <c r="A383" s="434"/>
      <c r="B383" s="435"/>
      <c r="C383" s="369"/>
      <c r="D383" s="369"/>
      <c r="E383" s="369"/>
      <c r="F383" s="369"/>
      <c r="G383" s="374"/>
      <c r="H383" s="375"/>
      <c r="I383" s="35"/>
      <c r="J383" s="74"/>
      <c r="K383" s="74"/>
      <c r="L383" s="74"/>
      <c r="M383" s="74"/>
      <c r="N383" s="74"/>
      <c r="O383" s="74"/>
      <c r="P383" s="74"/>
      <c r="Q383" s="74"/>
      <c r="R383" s="74"/>
      <c r="S383" s="74"/>
      <c r="T383" s="74"/>
      <c r="U383" s="74"/>
      <c r="V383" s="74"/>
      <c r="W383" s="74"/>
      <c r="X383" s="74"/>
      <c r="Y383" s="74"/>
      <c r="Z383" s="74"/>
      <c r="AA383" s="74"/>
      <c r="AB383" s="74"/>
    </row>
    <row r="384" spans="1:28" ht="40.5" customHeight="1">
      <c r="A384" s="434"/>
      <c r="B384" s="435"/>
      <c r="C384" s="369"/>
      <c r="D384" s="369"/>
      <c r="E384" s="369"/>
      <c r="F384" s="369"/>
      <c r="G384" s="374"/>
      <c r="H384" s="375"/>
      <c r="I384" s="35"/>
      <c r="J384" s="74"/>
      <c r="K384" s="74"/>
      <c r="L384" s="74"/>
      <c r="M384" s="74"/>
      <c r="N384" s="74"/>
      <c r="O384" s="74"/>
      <c r="P384" s="74"/>
      <c r="Q384" s="74"/>
      <c r="R384" s="74"/>
      <c r="S384" s="74"/>
      <c r="T384" s="74"/>
      <c r="U384" s="74"/>
      <c r="V384" s="74"/>
      <c r="W384" s="74"/>
      <c r="X384" s="74"/>
      <c r="Y384" s="74"/>
      <c r="Z384" s="74"/>
      <c r="AA384" s="74"/>
      <c r="AB384" s="74"/>
    </row>
    <row r="385" spans="1:28" ht="40.5" customHeight="1">
      <c r="A385" s="434"/>
      <c r="B385" s="435"/>
      <c r="C385" s="369"/>
      <c r="D385" s="369"/>
      <c r="E385" s="369"/>
      <c r="F385" s="369"/>
      <c r="G385" s="374"/>
      <c r="H385" s="375"/>
      <c r="I385" s="35"/>
      <c r="J385" s="74"/>
      <c r="K385" s="74"/>
      <c r="L385" s="74"/>
      <c r="M385" s="74"/>
      <c r="N385" s="74"/>
      <c r="O385" s="74"/>
      <c r="P385" s="74"/>
      <c r="Q385" s="74"/>
      <c r="R385" s="74"/>
      <c r="S385" s="74"/>
      <c r="T385" s="74"/>
      <c r="U385" s="74"/>
      <c r="V385" s="74"/>
      <c r="W385" s="74"/>
      <c r="X385" s="74"/>
      <c r="Y385" s="74"/>
      <c r="Z385" s="74"/>
      <c r="AA385" s="74"/>
      <c r="AB385" s="74"/>
    </row>
    <row r="386" spans="1:28" ht="40.5" customHeight="1">
      <c r="A386" s="434"/>
      <c r="B386" s="435"/>
      <c r="C386" s="369"/>
      <c r="D386" s="369"/>
      <c r="E386" s="369"/>
      <c r="F386" s="369"/>
      <c r="G386" s="374"/>
      <c r="H386" s="375"/>
      <c r="I386" s="35"/>
      <c r="J386" s="74"/>
      <c r="K386" s="74"/>
      <c r="L386" s="74"/>
      <c r="M386" s="74"/>
      <c r="N386" s="74"/>
      <c r="O386" s="74"/>
      <c r="P386" s="74"/>
      <c r="Q386" s="74"/>
      <c r="R386" s="74"/>
      <c r="S386" s="74"/>
      <c r="T386" s="74"/>
      <c r="U386" s="74"/>
      <c r="V386" s="74"/>
      <c r="W386" s="74"/>
      <c r="X386" s="74"/>
      <c r="Y386" s="74"/>
      <c r="Z386" s="74"/>
      <c r="AA386" s="74"/>
      <c r="AB386" s="74"/>
    </row>
    <row r="387" spans="1:28" ht="40.5" customHeight="1">
      <c r="A387" s="434"/>
      <c r="B387" s="435"/>
      <c r="C387" s="369"/>
      <c r="D387" s="369"/>
      <c r="E387" s="369"/>
      <c r="F387" s="369"/>
      <c r="G387" s="374"/>
      <c r="H387" s="375"/>
      <c r="I387" s="35"/>
      <c r="J387" s="74"/>
      <c r="K387" s="74"/>
      <c r="L387" s="74"/>
      <c r="M387" s="74"/>
      <c r="N387" s="74"/>
      <c r="O387" s="74"/>
      <c r="P387" s="74"/>
      <c r="Q387" s="74"/>
      <c r="R387" s="74"/>
      <c r="S387" s="74"/>
      <c r="T387" s="74"/>
      <c r="U387" s="74"/>
      <c r="V387" s="74"/>
      <c r="W387" s="74"/>
      <c r="X387" s="74"/>
      <c r="Y387" s="74"/>
      <c r="Z387" s="74"/>
      <c r="AA387" s="74"/>
      <c r="AB387" s="74"/>
    </row>
    <row r="388" spans="1:28" ht="40.5" customHeight="1">
      <c r="A388" s="434"/>
      <c r="B388" s="435"/>
      <c r="C388" s="369"/>
      <c r="D388" s="369"/>
      <c r="E388" s="369"/>
      <c r="F388" s="369"/>
      <c r="G388" s="374"/>
      <c r="H388" s="375"/>
      <c r="I388" s="35"/>
      <c r="J388" s="74"/>
      <c r="K388" s="74"/>
      <c r="L388" s="74"/>
      <c r="M388" s="74"/>
      <c r="N388" s="74"/>
      <c r="O388" s="74"/>
      <c r="P388" s="74"/>
      <c r="Q388" s="74"/>
      <c r="R388" s="74"/>
      <c r="S388" s="74"/>
      <c r="T388" s="74"/>
      <c r="U388" s="74"/>
      <c r="V388" s="74"/>
      <c r="W388" s="74"/>
      <c r="X388" s="74"/>
      <c r="Y388" s="74"/>
      <c r="Z388" s="74"/>
      <c r="AA388" s="74"/>
      <c r="AB388" s="74"/>
    </row>
    <row r="389" spans="1:28" ht="40.5" customHeight="1">
      <c r="A389" s="434"/>
      <c r="B389" s="435"/>
      <c r="C389" s="369"/>
      <c r="D389" s="369"/>
      <c r="E389" s="369"/>
      <c r="F389" s="369"/>
      <c r="G389" s="374"/>
      <c r="H389" s="375"/>
      <c r="I389" s="35"/>
      <c r="J389" s="74"/>
      <c r="K389" s="74"/>
      <c r="L389" s="74"/>
      <c r="M389" s="74"/>
      <c r="N389" s="74"/>
      <c r="O389" s="74"/>
      <c r="P389" s="74"/>
      <c r="Q389" s="74"/>
      <c r="R389" s="74"/>
      <c r="S389" s="74"/>
      <c r="T389" s="74"/>
      <c r="U389" s="74"/>
      <c r="V389" s="74"/>
      <c r="W389" s="74"/>
      <c r="X389" s="74"/>
      <c r="Y389" s="74"/>
      <c r="Z389" s="74"/>
      <c r="AA389" s="74"/>
      <c r="AB389" s="74"/>
    </row>
    <row r="390" spans="1:28" ht="40.5" customHeight="1">
      <c r="A390" s="434"/>
      <c r="B390" s="435"/>
      <c r="C390" s="369"/>
      <c r="D390" s="369"/>
      <c r="E390" s="369"/>
      <c r="F390" s="369"/>
      <c r="G390" s="374"/>
      <c r="H390" s="375"/>
      <c r="I390" s="35"/>
      <c r="J390" s="74"/>
      <c r="K390" s="74"/>
      <c r="L390" s="74"/>
      <c r="M390" s="74"/>
      <c r="N390" s="74"/>
      <c r="O390" s="74"/>
      <c r="P390" s="74"/>
      <c r="Q390" s="74"/>
      <c r="R390" s="74"/>
      <c r="S390" s="74"/>
      <c r="T390" s="74"/>
      <c r="U390" s="74"/>
      <c r="V390" s="74"/>
      <c r="W390" s="74"/>
      <c r="X390" s="74"/>
      <c r="Y390" s="74"/>
      <c r="Z390" s="74"/>
      <c r="AA390" s="74"/>
      <c r="AB390" s="74"/>
    </row>
    <row r="391" spans="1:28" ht="40.5" customHeight="1">
      <c r="A391" s="434"/>
      <c r="B391" s="435"/>
      <c r="C391" s="369"/>
      <c r="D391" s="369"/>
      <c r="E391" s="369"/>
      <c r="F391" s="369"/>
      <c r="G391" s="374"/>
      <c r="H391" s="375"/>
      <c r="I391" s="35"/>
      <c r="J391" s="74"/>
      <c r="K391" s="74"/>
      <c r="L391" s="74"/>
      <c r="M391" s="74"/>
      <c r="N391" s="74"/>
      <c r="O391" s="74"/>
      <c r="P391" s="74"/>
      <c r="Q391" s="74"/>
      <c r="R391" s="74"/>
      <c r="S391" s="74"/>
      <c r="T391" s="74"/>
      <c r="U391" s="74"/>
      <c r="V391" s="74"/>
      <c r="W391" s="74"/>
      <c r="X391" s="74"/>
      <c r="Y391" s="74"/>
      <c r="Z391" s="74"/>
      <c r="AA391" s="74"/>
      <c r="AB391" s="74"/>
    </row>
    <row r="392" spans="1:28" ht="40.5" customHeight="1">
      <c r="A392" s="434"/>
      <c r="B392" s="435"/>
      <c r="C392" s="369"/>
      <c r="D392" s="369"/>
      <c r="E392" s="369"/>
      <c r="F392" s="369"/>
      <c r="G392" s="374"/>
      <c r="H392" s="375"/>
      <c r="I392" s="35"/>
      <c r="J392" s="74"/>
      <c r="K392" s="74"/>
      <c r="L392" s="74"/>
      <c r="M392" s="74"/>
      <c r="N392" s="74"/>
      <c r="O392" s="74"/>
      <c r="P392" s="74"/>
      <c r="Q392" s="74"/>
      <c r="R392" s="74"/>
      <c r="S392" s="74"/>
      <c r="T392" s="74"/>
      <c r="U392" s="74"/>
      <c r="V392" s="74"/>
      <c r="W392" s="74"/>
      <c r="X392" s="74"/>
      <c r="Y392" s="74"/>
      <c r="Z392" s="74"/>
      <c r="AA392" s="74"/>
      <c r="AB392" s="74"/>
    </row>
    <row r="393" spans="1:28" ht="40.5" customHeight="1">
      <c r="A393" s="434"/>
      <c r="B393" s="435"/>
      <c r="C393" s="369"/>
      <c r="D393" s="369"/>
      <c r="E393" s="369"/>
      <c r="F393" s="369"/>
      <c r="G393" s="374"/>
      <c r="H393" s="375"/>
      <c r="I393" s="35"/>
      <c r="J393" s="74"/>
      <c r="K393" s="74"/>
      <c r="L393" s="74"/>
      <c r="M393" s="74"/>
      <c r="N393" s="74"/>
      <c r="O393" s="74"/>
      <c r="P393" s="74"/>
      <c r="Q393" s="74"/>
      <c r="R393" s="74"/>
      <c r="S393" s="74"/>
      <c r="T393" s="74"/>
      <c r="U393" s="74"/>
      <c r="V393" s="74"/>
      <c r="W393" s="74"/>
      <c r="X393" s="74"/>
      <c r="Y393" s="74"/>
      <c r="Z393" s="74"/>
      <c r="AA393" s="74"/>
      <c r="AB393" s="74"/>
    </row>
    <row r="394" spans="1:28" ht="40.5" customHeight="1">
      <c r="A394" s="434"/>
      <c r="B394" s="435"/>
      <c r="C394" s="369"/>
      <c r="D394" s="369"/>
      <c r="E394" s="369"/>
      <c r="F394" s="369"/>
      <c r="G394" s="374"/>
      <c r="H394" s="375"/>
      <c r="I394" s="35"/>
      <c r="J394" s="74"/>
      <c r="K394" s="74"/>
      <c r="L394" s="74"/>
      <c r="M394" s="74"/>
      <c r="N394" s="74"/>
      <c r="O394" s="74"/>
      <c r="P394" s="74"/>
      <c r="Q394" s="74"/>
      <c r="R394" s="74"/>
      <c r="S394" s="74"/>
      <c r="T394" s="74"/>
      <c r="U394" s="74"/>
      <c r="V394" s="74"/>
      <c r="W394" s="74"/>
      <c r="X394" s="74"/>
      <c r="Y394" s="74"/>
      <c r="Z394" s="74"/>
      <c r="AA394" s="74"/>
      <c r="AB394" s="74"/>
    </row>
    <row r="395" spans="1:28" ht="40.5" customHeight="1">
      <c r="A395" s="434"/>
      <c r="B395" s="435"/>
      <c r="C395" s="369"/>
      <c r="D395" s="369"/>
      <c r="E395" s="369"/>
      <c r="F395" s="369"/>
      <c r="G395" s="374"/>
      <c r="H395" s="375"/>
      <c r="I395" s="35"/>
      <c r="J395" s="74"/>
      <c r="K395" s="74"/>
      <c r="L395" s="74"/>
      <c r="M395" s="74"/>
      <c r="N395" s="74"/>
      <c r="O395" s="74"/>
      <c r="P395" s="74"/>
      <c r="Q395" s="74"/>
      <c r="R395" s="74"/>
      <c r="S395" s="74"/>
      <c r="T395" s="74"/>
      <c r="U395" s="74"/>
      <c r="V395" s="74"/>
      <c r="W395" s="74"/>
      <c r="X395" s="74"/>
      <c r="Y395" s="74"/>
      <c r="Z395" s="74"/>
      <c r="AA395" s="74"/>
      <c r="AB395" s="74"/>
    </row>
    <row r="396" spans="1:28" ht="40.5" customHeight="1">
      <c r="A396" s="434"/>
      <c r="B396" s="435"/>
      <c r="C396" s="369"/>
      <c r="D396" s="369"/>
      <c r="E396" s="369"/>
      <c r="F396" s="369"/>
      <c r="G396" s="374"/>
      <c r="H396" s="375"/>
      <c r="I396" s="35"/>
      <c r="J396" s="74"/>
      <c r="K396" s="74"/>
      <c r="L396" s="74"/>
      <c r="M396" s="74"/>
      <c r="N396" s="74"/>
      <c r="O396" s="74"/>
      <c r="P396" s="74"/>
      <c r="Q396" s="74"/>
      <c r="R396" s="74"/>
      <c r="S396" s="74"/>
      <c r="T396" s="74"/>
      <c r="U396" s="74"/>
      <c r="V396" s="74"/>
      <c r="W396" s="74"/>
      <c r="X396" s="74"/>
      <c r="Y396" s="74"/>
      <c r="Z396" s="74"/>
      <c r="AA396" s="74"/>
      <c r="AB396" s="74"/>
    </row>
    <row r="397" spans="1:28" ht="40.5" customHeight="1">
      <c r="A397" s="434"/>
      <c r="B397" s="435"/>
      <c r="C397" s="369"/>
      <c r="D397" s="369"/>
      <c r="E397" s="369"/>
      <c r="F397" s="369"/>
      <c r="G397" s="374"/>
      <c r="H397" s="375"/>
      <c r="I397" s="35"/>
      <c r="J397" s="74"/>
      <c r="K397" s="74"/>
      <c r="L397" s="74"/>
      <c r="M397" s="74"/>
      <c r="N397" s="74"/>
      <c r="O397" s="74"/>
      <c r="P397" s="74"/>
      <c r="Q397" s="74"/>
      <c r="R397" s="74"/>
      <c r="S397" s="74"/>
      <c r="T397" s="74"/>
      <c r="U397" s="74"/>
      <c r="V397" s="74"/>
      <c r="W397" s="74"/>
      <c r="X397" s="74"/>
      <c r="Y397" s="74"/>
      <c r="Z397" s="74"/>
      <c r="AA397" s="74"/>
      <c r="AB397" s="74"/>
    </row>
    <row r="398" spans="1:28" ht="40.5" customHeight="1">
      <c r="A398" s="434"/>
      <c r="B398" s="435"/>
      <c r="C398" s="369"/>
      <c r="D398" s="369"/>
      <c r="E398" s="369"/>
      <c r="F398" s="369"/>
      <c r="G398" s="374"/>
      <c r="H398" s="375"/>
      <c r="I398" s="35"/>
      <c r="J398" s="74"/>
      <c r="K398" s="74"/>
      <c r="L398" s="74"/>
      <c r="M398" s="74"/>
      <c r="N398" s="74"/>
      <c r="O398" s="74"/>
      <c r="P398" s="74"/>
      <c r="Q398" s="74"/>
      <c r="R398" s="74"/>
      <c r="S398" s="74"/>
      <c r="T398" s="74"/>
      <c r="U398" s="74"/>
      <c r="V398" s="74"/>
      <c r="W398" s="74"/>
      <c r="X398" s="74"/>
      <c r="Y398" s="74"/>
      <c r="Z398" s="74"/>
      <c r="AA398" s="74"/>
      <c r="AB398" s="74"/>
    </row>
    <row r="399" spans="1:28" ht="40.5" customHeight="1">
      <c r="A399" s="434"/>
      <c r="B399" s="435"/>
      <c r="C399" s="369"/>
      <c r="D399" s="369"/>
      <c r="E399" s="369"/>
      <c r="F399" s="369"/>
      <c r="G399" s="374"/>
      <c r="H399" s="375"/>
      <c r="I399" s="35"/>
      <c r="J399" s="74"/>
      <c r="K399" s="74"/>
      <c r="L399" s="74"/>
      <c r="M399" s="74"/>
      <c r="N399" s="74"/>
      <c r="O399" s="74"/>
      <c r="P399" s="74"/>
      <c r="Q399" s="74"/>
      <c r="R399" s="74"/>
      <c r="S399" s="74"/>
      <c r="T399" s="74"/>
      <c r="U399" s="74"/>
      <c r="V399" s="74"/>
      <c r="W399" s="74"/>
      <c r="X399" s="74"/>
      <c r="Y399" s="74"/>
      <c r="Z399" s="74"/>
      <c r="AA399" s="74"/>
      <c r="AB399" s="74"/>
    </row>
    <row r="400" spans="1:28" ht="40.5" customHeight="1">
      <c r="A400" s="434"/>
      <c r="B400" s="435"/>
      <c r="C400" s="369"/>
      <c r="D400" s="369"/>
      <c r="E400" s="369"/>
      <c r="F400" s="369"/>
      <c r="G400" s="374"/>
      <c r="H400" s="375"/>
      <c r="I400" s="35"/>
      <c r="J400" s="74"/>
      <c r="K400" s="74"/>
      <c r="L400" s="74"/>
      <c r="M400" s="74"/>
      <c r="N400" s="74"/>
      <c r="O400" s="74"/>
      <c r="P400" s="74"/>
      <c r="Q400" s="74"/>
      <c r="R400" s="74"/>
      <c r="S400" s="74"/>
      <c r="T400" s="74"/>
      <c r="U400" s="74"/>
      <c r="V400" s="74"/>
      <c r="W400" s="74"/>
      <c r="X400" s="74"/>
      <c r="Y400" s="74"/>
      <c r="Z400" s="74"/>
      <c r="AA400" s="74"/>
      <c r="AB400" s="74"/>
    </row>
    <row r="401" spans="1:28" ht="40.5" customHeight="1">
      <c r="A401" s="434"/>
      <c r="B401" s="435"/>
      <c r="C401" s="369"/>
      <c r="D401" s="369"/>
      <c r="E401" s="369"/>
      <c r="F401" s="369"/>
      <c r="G401" s="374"/>
      <c r="H401" s="375"/>
      <c r="I401" s="35"/>
      <c r="J401" s="74"/>
      <c r="K401" s="74"/>
      <c r="L401" s="74"/>
      <c r="M401" s="74"/>
      <c r="N401" s="74"/>
      <c r="O401" s="74"/>
      <c r="P401" s="74"/>
      <c r="Q401" s="74"/>
      <c r="R401" s="74"/>
      <c r="S401" s="74"/>
      <c r="T401" s="74"/>
      <c r="U401" s="74"/>
      <c r="V401" s="74"/>
      <c r="W401" s="74"/>
      <c r="X401" s="74"/>
      <c r="Y401" s="74"/>
      <c r="Z401" s="74"/>
      <c r="AA401" s="74"/>
      <c r="AB401" s="74"/>
    </row>
    <row r="402" spans="1:28" ht="40.5" customHeight="1">
      <c r="A402" s="434"/>
      <c r="B402" s="435"/>
      <c r="C402" s="369"/>
      <c r="D402" s="369"/>
      <c r="E402" s="369"/>
      <c r="F402" s="369"/>
      <c r="G402" s="374"/>
      <c r="H402" s="375"/>
      <c r="I402" s="35"/>
      <c r="J402" s="74"/>
      <c r="K402" s="74"/>
      <c r="L402" s="74"/>
      <c r="M402" s="74"/>
      <c r="N402" s="74"/>
      <c r="O402" s="74"/>
      <c r="P402" s="74"/>
      <c r="Q402" s="74"/>
      <c r="R402" s="74"/>
      <c r="S402" s="74"/>
      <c r="T402" s="74"/>
      <c r="U402" s="74"/>
      <c r="V402" s="74"/>
      <c r="W402" s="74"/>
      <c r="X402" s="74"/>
      <c r="Y402" s="74"/>
      <c r="Z402" s="74"/>
      <c r="AA402" s="74"/>
      <c r="AB402" s="74"/>
    </row>
    <row r="403" spans="1:28" ht="40.5" customHeight="1">
      <c r="A403" s="434"/>
      <c r="B403" s="435"/>
      <c r="C403" s="369"/>
      <c r="D403" s="369"/>
      <c r="E403" s="369"/>
      <c r="F403" s="369"/>
      <c r="G403" s="374"/>
      <c r="H403" s="375"/>
      <c r="I403" s="35"/>
      <c r="J403" s="74"/>
      <c r="K403" s="74"/>
      <c r="L403" s="74"/>
      <c r="M403" s="74"/>
      <c r="N403" s="74"/>
      <c r="O403" s="74"/>
      <c r="P403" s="74"/>
      <c r="Q403" s="74"/>
      <c r="R403" s="74"/>
      <c r="S403" s="74"/>
      <c r="T403" s="74"/>
      <c r="U403" s="74"/>
      <c r="V403" s="74"/>
      <c r="W403" s="74"/>
      <c r="X403" s="74"/>
      <c r="Y403" s="74"/>
      <c r="Z403" s="74"/>
      <c r="AA403" s="74"/>
      <c r="AB403" s="74"/>
    </row>
    <row r="404" spans="1:28" ht="40.5" customHeight="1">
      <c r="A404" s="434"/>
      <c r="B404" s="435"/>
      <c r="C404" s="369"/>
      <c r="D404" s="369"/>
      <c r="E404" s="369"/>
      <c r="F404" s="369"/>
      <c r="G404" s="374"/>
      <c r="H404" s="375"/>
      <c r="I404" s="35"/>
      <c r="J404" s="74"/>
      <c r="K404" s="74"/>
      <c r="L404" s="74"/>
      <c r="M404" s="74"/>
      <c r="N404" s="74"/>
      <c r="O404" s="74"/>
      <c r="P404" s="74"/>
      <c r="Q404" s="74"/>
      <c r="R404" s="74"/>
      <c r="S404" s="74"/>
      <c r="T404" s="74"/>
      <c r="U404" s="74"/>
      <c r="V404" s="74"/>
      <c r="W404" s="74"/>
      <c r="X404" s="74"/>
      <c r="Y404" s="74"/>
      <c r="Z404" s="74"/>
      <c r="AA404" s="74"/>
      <c r="AB404" s="74"/>
    </row>
    <row r="405" spans="1:28" ht="40.5" customHeight="1">
      <c r="A405" s="434"/>
      <c r="B405" s="435"/>
      <c r="C405" s="369"/>
      <c r="D405" s="369"/>
      <c r="E405" s="369"/>
      <c r="F405" s="369"/>
      <c r="G405" s="374"/>
      <c r="H405" s="375"/>
      <c r="I405" s="35"/>
      <c r="J405" s="74"/>
      <c r="K405" s="74"/>
      <c r="L405" s="74"/>
      <c r="M405" s="74"/>
      <c r="N405" s="74"/>
      <c r="O405" s="74"/>
      <c r="P405" s="74"/>
      <c r="Q405" s="74"/>
      <c r="R405" s="74"/>
      <c r="S405" s="74"/>
      <c r="T405" s="74"/>
      <c r="U405" s="74"/>
      <c r="V405" s="74"/>
      <c r="W405" s="74"/>
      <c r="X405" s="74"/>
      <c r="Y405" s="74"/>
      <c r="Z405" s="74"/>
      <c r="AA405" s="74"/>
      <c r="AB405" s="74"/>
    </row>
    <row r="406" spans="1:28" ht="40.5" customHeight="1">
      <c r="A406" s="434"/>
      <c r="B406" s="435"/>
      <c r="C406" s="369"/>
      <c r="D406" s="369"/>
      <c r="E406" s="369"/>
      <c r="F406" s="369"/>
      <c r="G406" s="374"/>
      <c r="H406" s="375"/>
      <c r="I406" s="35"/>
      <c r="J406" s="74"/>
      <c r="K406" s="74"/>
      <c r="L406" s="74"/>
      <c r="M406" s="74"/>
      <c r="N406" s="74"/>
      <c r="O406" s="74"/>
      <c r="P406" s="74"/>
      <c r="Q406" s="74"/>
      <c r="R406" s="74"/>
      <c r="S406" s="74"/>
      <c r="T406" s="74"/>
      <c r="U406" s="74"/>
      <c r="V406" s="74"/>
      <c r="W406" s="74"/>
      <c r="X406" s="74"/>
      <c r="Y406" s="74"/>
      <c r="Z406" s="74"/>
      <c r="AA406" s="74"/>
      <c r="AB406" s="74"/>
    </row>
    <row r="407" spans="1:28" ht="40.5" customHeight="1">
      <c r="A407" s="434"/>
      <c r="B407" s="435"/>
      <c r="C407" s="369"/>
      <c r="D407" s="369"/>
      <c r="E407" s="369"/>
      <c r="F407" s="369"/>
      <c r="G407" s="374"/>
      <c r="H407" s="375"/>
      <c r="I407" s="35"/>
      <c r="J407" s="74"/>
      <c r="K407" s="74"/>
      <c r="L407" s="74"/>
      <c r="M407" s="74"/>
      <c r="N407" s="74"/>
      <c r="O407" s="74"/>
      <c r="P407" s="74"/>
      <c r="Q407" s="74"/>
      <c r="R407" s="74"/>
      <c r="S407" s="74"/>
      <c r="T407" s="74"/>
      <c r="U407" s="74"/>
      <c r="V407" s="74"/>
      <c r="W407" s="74"/>
      <c r="X407" s="74"/>
      <c r="Y407" s="74"/>
      <c r="Z407" s="74"/>
      <c r="AA407" s="74"/>
      <c r="AB407" s="74"/>
    </row>
    <row r="408" spans="1:28" ht="40.5" customHeight="1">
      <c r="A408" s="434"/>
      <c r="B408" s="435"/>
      <c r="C408" s="369"/>
      <c r="D408" s="369"/>
      <c r="E408" s="369"/>
      <c r="F408" s="369"/>
      <c r="G408" s="374"/>
      <c r="H408" s="375"/>
      <c r="I408" s="35"/>
      <c r="J408" s="74"/>
      <c r="K408" s="74"/>
      <c r="L408" s="74"/>
      <c r="M408" s="74"/>
      <c r="N408" s="74"/>
      <c r="O408" s="74"/>
      <c r="P408" s="74"/>
      <c r="Q408" s="74"/>
      <c r="R408" s="74"/>
      <c r="S408" s="74"/>
      <c r="T408" s="74"/>
      <c r="U408" s="74"/>
      <c r="V408" s="74"/>
      <c r="W408" s="74"/>
      <c r="X408" s="74"/>
      <c r="Y408" s="74"/>
      <c r="Z408" s="74"/>
      <c r="AA408" s="74"/>
      <c r="AB408" s="74"/>
    </row>
    <row r="409" spans="1:28" ht="40.5" customHeight="1">
      <c r="A409" s="434"/>
      <c r="B409" s="435"/>
      <c r="C409" s="369"/>
      <c r="D409" s="369"/>
      <c r="E409" s="369"/>
      <c r="F409" s="369"/>
      <c r="G409" s="374"/>
      <c r="H409" s="375"/>
      <c r="I409" s="35"/>
      <c r="J409" s="74"/>
      <c r="K409" s="74"/>
      <c r="L409" s="74"/>
      <c r="M409" s="74"/>
      <c r="N409" s="74"/>
      <c r="O409" s="74"/>
      <c r="P409" s="74"/>
      <c r="Q409" s="74"/>
      <c r="R409" s="74"/>
      <c r="S409" s="74"/>
      <c r="T409" s="74"/>
      <c r="U409" s="74"/>
      <c r="V409" s="74"/>
      <c r="W409" s="74"/>
      <c r="X409" s="74"/>
      <c r="Y409" s="74"/>
      <c r="Z409" s="74"/>
      <c r="AA409" s="74"/>
      <c r="AB409" s="74"/>
    </row>
    <row r="410" spans="1:28" ht="40.5" customHeight="1">
      <c r="A410" s="434"/>
      <c r="B410" s="435"/>
      <c r="C410" s="369"/>
      <c r="D410" s="369"/>
      <c r="E410" s="369"/>
      <c r="F410" s="369"/>
      <c r="G410" s="374"/>
      <c r="H410" s="375"/>
      <c r="I410" s="35"/>
      <c r="J410" s="74"/>
      <c r="K410" s="74"/>
      <c r="L410" s="74"/>
      <c r="M410" s="74"/>
      <c r="N410" s="74"/>
      <c r="O410" s="74"/>
      <c r="P410" s="74"/>
      <c r="Q410" s="74"/>
      <c r="R410" s="74"/>
      <c r="S410" s="74"/>
      <c r="T410" s="74"/>
      <c r="U410" s="74"/>
      <c r="V410" s="74"/>
      <c r="W410" s="74"/>
      <c r="X410" s="74"/>
      <c r="Y410" s="74"/>
      <c r="Z410" s="74"/>
      <c r="AA410" s="74"/>
      <c r="AB410" s="74"/>
    </row>
    <row r="411" spans="1:28" ht="40.5" customHeight="1">
      <c r="A411" s="434"/>
      <c r="B411" s="435"/>
      <c r="C411" s="369"/>
      <c r="D411" s="369"/>
      <c r="E411" s="369"/>
      <c r="F411" s="369"/>
      <c r="G411" s="374"/>
      <c r="H411" s="375"/>
      <c r="I411" s="35"/>
      <c r="J411" s="74"/>
      <c r="K411" s="74"/>
      <c r="L411" s="74"/>
      <c r="M411" s="74"/>
      <c r="N411" s="74"/>
      <c r="O411" s="74"/>
      <c r="P411" s="74"/>
      <c r="Q411" s="74"/>
      <c r="R411" s="74"/>
      <c r="S411" s="74"/>
      <c r="T411" s="74"/>
      <c r="U411" s="74"/>
      <c r="V411" s="74"/>
      <c r="W411" s="74"/>
      <c r="X411" s="74"/>
      <c r="Y411" s="74"/>
      <c r="Z411" s="74"/>
      <c r="AA411" s="74"/>
      <c r="AB411" s="74"/>
    </row>
    <row r="412" spans="1:28" ht="40.5" customHeight="1">
      <c r="A412" s="434"/>
      <c r="B412" s="435"/>
      <c r="C412" s="369"/>
      <c r="D412" s="369"/>
      <c r="E412" s="369"/>
      <c r="F412" s="369"/>
      <c r="G412" s="374"/>
      <c r="H412" s="375"/>
      <c r="I412" s="35"/>
      <c r="J412" s="74"/>
      <c r="K412" s="74"/>
      <c r="L412" s="74"/>
      <c r="M412" s="74"/>
      <c r="N412" s="74"/>
      <c r="O412" s="74"/>
      <c r="P412" s="74"/>
      <c r="Q412" s="74"/>
      <c r="R412" s="74"/>
      <c r="S412" s="74"/>
      <c r="T412" s="74"/>
      <c r="U412" s="74"/>
      <c r="V412" s="74"/>
      <c r="W412" s="74"/>
      <c r="X412" s="74"/>
      <c r="Y412" s="74"/>
      <c r="Z412" s="74"/>
      <c r="AA412" s="74"/>
      <c r="AB412" s="74"/>
    </row>
    <row r="413" spans="1:28" ht="40.5" customHeight="1">
      <c r="A413" s="434"/>
      <c r="B413" s="435"/>
      <c r="C413" s="369"/>
      <c r="D413" s="369"/>
      <c r="E413" s="369"/>
      <c r="F413" s="369"/>
      <c r="G413" s="374"/>
      <c r="H413" s="375"/>
      <c r="I413" s="35"/>
      <c r="J413" s="74"/>
      <c r="K413" s="74"/>
      <c r="L413" s="74"/>
      <c r="M413" s="74"/>
      <c r="N413" s="74"/>
      <c r="O413" s="74"/>
      <c r="P413" s="74"/>
      <c r="Q413" s="74"/>
      <c r="R413" s="74"/>
      <c r="S413" s="74"/>
      <c r="T413" s="74"/>
      <c r="U413" s="74"/>
      <c r="V413" s="74"/>
      <c r="W413" s="74"/>
      <c r="X413" s="74"/>
      <c r="Y413" s="74"/>
      <c r="Z413" s="74"/>
      <c r="AA413" s="74"/>
      <c r="AB413" s="74"/>
    </row>
    <row r="414" spans="1:28" ht="40.5" customHeight="1">
      <c r="A414" s="434"/>
      <c r="B414" s="435"/>
      <c r="C414" s="369"/>
      <c r="D414" s="369"/>
      <c r="E414" s="369"/>
      <c r="F414" s="369"/>
      <c r="G414" s="374"/>
      <c r="H414" s="375"/>
      <c r="I414" s="35"/>
      <c r="J414" s="74"/>
      <c r="K414" s="74"/>
      <c r="L414" s="74"/>
      <c r="M414" s="74"/>
      <c r="N414" s="74"/>
      <c r="O414" s="74"/>
      <c r="P414" s="74"/>
      <c r="Q414" s="74"/>
      <c r="R414" s="74"/>
      <c r="S414" s="74"/>
      <c r="T414" s="74"/>
      <c r="U414" s="74"/>
      <c r="V414" s="74"/>
      <c r="W414" s="74"/>
      <c r="X414" s="74"/>
      <c r="Y414" s="74"/>
      <c r="Z414" s="74"/>
      <c r="AA414" s="74"/>
      <c r="AB414" s="74"/>
    </row>
    <row r="415" spans="1:28" ht="40.5" customHeight="1">
      <c r="A415" s="434"/>
      <c r="B415" s="435"/>
      <c r="C415" s="369"/>
      <c r="D415" s="369"/>
      <c r="E415" s="369"/>
      <c r="F415" s="369"/>
      <c r="G415" s="374"/>
      <c r="H415" s="375"/>
      <c r="I415" s="35"/>
      <c r="J415" s="74"/>
      <c r="K415" s="74"/>
      <c r="L415" s="74"/>
      <c r="M415" s="74"/>
      <c r="N415" s="74"/>
      <c r="O415" s="74"/>
      <c r="P415" s="74"/>
      <c r="Q415" s="74"/>
      <c r="R415" s="74"/>
      <c r="S415" s="74"/>
      <c r="T415" s="74"/>
      <c r="U415" s="74"/>
      <c r="V415" s="74"/>
      <c r="W415" s="74"/>
      <c r="X415" s="74"/>
      <c r="Y415" s="74"/>
      <c r="Z415" s="74"/>
      <c r="AA415" s="74"/>
      <c r="AB415" s="74"/>
    </row>
    <row r="416" spans="1:28" ht="40.5" customHeight="1">
      <c r="A416" s="434"/>
      <c r="B416" s="435"/>
      <c r="C416" s="369"/>
      <c r="D416" s="369"/>
      <c r="E416" s="369"/>
      <c r="F416" s="369"/>
      <c r="G416" s="374"/>
      <c r="H416" s="375"/>
      <c r="I416" s="35"/>
      <c r="J416" s="74"/>
      <c r="K416" s="74"/>
      <c r="L416" s="74"/>
      <c r="M416" s="74"/>
      <c r="N416" s="74"/>
      <c r="O416" s="74"/>
      <c r="P416" s="74"/>
      <c r="Q416" s="74"/>
      <c r="R416" s="74"/>
      <c r="S416" s="74"/>
      <c r="T416" s="74"/>
      <c r="U416" s="74"/>
      <c r="V416" s="74"/>
      <c r="W416" s="74"/>
      <c r="X416" s="74"/>
      <c r="Y416" s="74"/>
      <c r="Z416" s="74"/>
      <c r="AA416" s="74"/>
      <c r="AB416" s="74"/>
    </row>
    <row r="417" spans="1:28" ht="40.5" customHeight="1">
      <c r="A417" s="434"/>
      <c r="B417" s="435"/>
      <c r="C417" s="369"/>
      <c r="D417" s="369"/>
      <c r="E417" s="369"/>
      <c r="F417" s="369"/>
      <c r="G417" s="374"/>
      <c r="H417" s="375"/>
      <c r="I417" s="35"/>
      <c r="J417" s="74"/>
      <c r="K417" s="74"/>
      <c r="L417" s="74"/>
      <c r="M417" s="74"/>
      <c r="N417" s="74"/>
      <c r="O417" s="74"/>
      <c r="P417" s="74"/>
      <c r="Q417" s="74"/>
      <c r="R417" s="74"/>
      <c r="S417" s="74"/>
      <c r="T417" s="74"/>
      <c r="U417" s="74"/>
      <c r="V417" s="74"/>
      <c r="W417" s="74"/>
      <c r="X417" s="74"/>
      <c r="Y417" s="74"/>
      <c r="Z417" s="74"/>
      <c r="AA417" s="74"/>
      <c r="AB417" s="74"/>
    </row>
    <row r="418" spans="1:28" ht="40.5" customHeight="1">
      <c r="A418" s="434"/>
      <c r="B418" s="435"/>
      <c r="C418" s="369"/>
      <c r="D418" s="369"/>
      <c r="E418" s="369"/>
      <c r="F418" s="369"/>
      <c r="G418" s="374"/>
      <c r="H418" s="375"/>
      <c r="I418" s="35"/>
      <c r="J418" s="74"/>
      <c r="K418" s="74"/>
      <c r="L418" s="74"/>
      <c r="M418" s="74"/>
      <c r="N418" s="74"/>
      <c r="O418" s="74"/>
      <c r="P418" s="74"/>
      <c r="Q418" s="74"/>
      <c r="R418" s="74"/>
      <c r="S418" s="74"/>
      <c r="T418" s="74"/>
      <c r="U418" s="74"/>
      <c r="V418" s="74"/>
      <c r="W418" s="74"/>
      <c r="X418" s="74"/>
      <c r="Y418" s="74"/>
      <c r="Z418" s="74"/>
      <c r="AA418" s="74"/>
      <c r="AB418" s="74"/>
    </row>
    <row r="419" spans="1:28" ht="40.5" customHeight="1">
      <c r="A419" s="434"/>
      <c r="B419" s="435"/>
      <c r="C419" s="369"/>
      <c r="D419" s="369"/>
      <c r="E419" s="369"/>
      <c r="F419" s="369"/>
      <c r="G419" s="374"/>
      <c r="H419" s="375"/>
      <c r="I419" s="35"/>
      <c r="J419" s="74"/>
      <c r="K419" s="74"/>
      <c r="L419" s="74"/>
      <c r="M419" s="74"/>
      <c r="N419" s="74"/>
      <c r="O419" s="74"/>
      <c r="P419" s="74"/>
      <c r="Q419" s="74"/>
      <c r="R419" s="74"/>
      <c r="S419" s="74"/>
      <c r="T419" s="74"/>
      <c r="U419" s="74"/>
      <c r="V419" s="74"/>
      <c r="W419" s="74"/>
      <c r="X419" s="74"/>
      <c r="Y419" s="74"/>
      <c r="Z419" s="74"/>
      <c r="AA419" s="74"/>
      <c r="AB419" s="74"/>
    </row>
    <row r="420" spans="1:28" ht="40.5" customHeight="1">
      <c r="A420" s="434"/>
      <c r="B420" s="435"/>
      <c r="C420" s="369"/>
      <c r="D420" s="369"/>
      <c r="E420" s="369"/>
      <c r="F420" s="369"/>
      <c r="G420" s="374"/>
      <c r="H420" s="375"/>
      <c r="I420" s="35"/>
      <c r="J420" s="74"/>
      <c r="K420" s="74"/>
      <c r="L420" s="74"/>
      <c r="M420" s="74"/>
      <c r="N420" s="74"/>
      <c r="O420" s="74"/>
      <c r="P420" s="74"/>
      <c r="Q420" s="74"/>
      <c r="R420" s="74"/>
      <c r="S420" s="74"/>
      <c r="T420" s="74"/>
      <c r="U420" s="74"/>
      <c r="V420" s="74"/>
      <c r="W420" s="74"/>
      <c r="X420" s="74"/>
      <c r="Y420" s="74"/>
      <c r="Z420" s="74"/>
      <c r="AA420" s="74"/>
      <c r="AB420" s="74"/>
    </row>
    <row r="421" spans="1:28" ht="40.5" customHeight="1">
      <c r="A421" s="434"/>
      <c r="B421" s="435"/>
      <c r="C421" s="369"/>
      <c r="D421" s="369"/>
      <c r="E421" s="369"/>
      <c r="F421" s="369"/>
      <c r="G421" s="374"/>
      <c r="H421" s="375"/>
      <c r="I421" s="35"/>
      <c r="J421" s="74"/>
      <c r="K421" s="74"/>
      <c r="L421" s="74"/>
      <c r="M421" s="74"/>
      <c r="N421" s="74"/>
      <c r="O421" s="74"/>
      <c r="P421" s="74"/>
      <c r="Q421" s="74"/>
      <c r="R421" s="74"/>
      <c r="S421" s="74"/>
      <c r="T421" s="74"/>
      <c r="U421" s="74"/>
      <c r="V421" s="74"/>
      <c r="W421" s="74"/>
      <c r="X421" s="74"/>
      <c r="Y421" s="74"/>
      <c r="Z421" s="74"/>
      <c r="AA421" s="74"/>
      <c r="AB421" s="74"/>
    </row>
    <row r="422" spans="1:28" ht="40.5" customHeight="1">
      <c r="A422" s="434"/>
      <c r="B422" s="435"/>
      <c r="C422" s="369"/>
      <c r="D422" s="369"/>
      <c r="E422" s="369"/>
      <c r="F422" s="369"/>
      <c r="G422" s="374"/>
      <c r="H422" s="375"/>
      <c r="I422" s="35"/>
      <c r="J422" s="74"/>
      <c r="K422" s="74"/>
      <c r="L422" s="74"/>
      <c r="M422" s="74"/>
      <c r="N422" s="74"/>
      <c r="O422" s="74"/>
      <c r="P422" s="74"/>
      <c r="Q422" s="74"/>
      <c r="R422" s="74"/>
      <c r="S422" s="74"/>
      <c r="T422" s="74"/>
      <c r="U422" s="74"/>
      <c r="V422" s="74"/>
      <c r="W422" s="74"/>
      <c r="X422" s="74"/>
      <c r="Y422" s="74"/>
      <c r="Z422" s="74"/>
      <c r="AA422" s="74"/>
      <c r="AB422" s="74"/>
    </row>
    <row r="423" spans="1:28" ht="40.5" customHeight="1">
      <c r="A423" s="434"/>
      <c r="B423" s="435"/>
      <c r="C423" s="369"/>
      <c r="D423" s="369"/>
      <c r="E423" s="369"/>
      <c r="F423" s="369"/>
      <c r="G423" s="374"/>
      <c r="H423" s="375"/>
      <c r="I423" s="35"/>
      <c r="J423" s="74"/>
      <c r="K423" s="74"/>
      <c r="L423" s="74"/>
      <c r="M423" s="74"/>
      <c r="N423" s="74"/>
      <c r="O423" s="74"/>
      <c r="P423" s="74"/>
      <c r="Q423" s="74"/>
      <c r="R423" s="74"/>
      <c r="S423" s="74"/>
      <c r="T423" s="74"/>
      <c r="U423" s="74"/>
      <c r="V423" s="74"/>
      <c r="W423" s="74"/>
      <c r="X423" s="74"/>
      <c r="Y423" s="74"/>
      <c r="Z423" s="74"/>
      <c r="AA423" s="74"/>
      <c r="AB423" s="74"/>
    </row>
    <row r="424" spans="1:28" ht="40.5" customHeight="1">
      <c r="A424" s="434"/>
      <c r="B424" s="435"/>
      <c r="C424" s="369"/>
      <c r="D424" s="369"/>
      <c r="E424" s="369"/>
      <c r="F424" s="369"/>
      <c r="G424" s="374"/>
      <c r="H424" s="375"/>
      <c r="I424" s="35"/>
      <c r="J424" s="74"/>
      <c r="K424" s="74"/>
      <c r="L424" s="74"/>
      <c r="M424" s="74"/>
      <c r="N424" s="74"/>
      <c r="O424" s="74"/>
      <c r="P424" s="74"/>
      <c r="Q424" s="74"/>
      <c r="R424" s="74"/>
      <c r="S424" s="74"/>
      <c r="T424" s="74"/>
      <c r="U424" s="74"/>
      <c r="V424" s="74"/>
      <c r="W424" s="74"/>
      <c r="X424" s="74"/>
      <c r="Y424" s="74"/>
      <c r="Z424" s="74"/>
      <c r="AA424" s="74"/>
      <c r="AB424" s="74"/>
    </row>
    <row r="425" spans="1:28" ht="40.5" customHeight="1">
      <c r="A425" s="434"/>
      <c r="B425" s="435"/>
      <c r="C425" s="369"/>
      <c r="D425" s="369"/>
      <c r="E425" s="369"/>
      <c r="F425" s="369"/>
      <c r="G425" s="374"/>
      <c r="H425" s="375"/>
      <c r="I425" s="35"/>
      <c r="J425" s="74"/>
      <c r="K425" s="74"/>
      <c r="L425" s="74"/>
      <c r="M425" s="74"/>
      <c r="N425" s="74"/>
      <c r="O425" s="74"/>
      <c r="P425" s="74"/>
      <c r="Q425" s="74"/>
      <c r="R425" s="74"/>
      <c r="S425" s="74"/>
      <c r="T425" s="74"/>
      <c r="U425" s="74"/>
      <c r="V425" s="74"/>
      <c r="W425" s="74"/>
      <c r="X425" s="74"/>
      <c r="Y425" s="74"/>
      <c r="Z425" s="74"/>
      <c r="AA425" s="74"/>
      <c r="AB425" s="74"/>
    </row>
    <row r="426" spans="1:28" ht="40.5" customHeight="1">
      <c r="A426" s="434"/>
      <c r="B426" s="435"/>
      <c r="C426" s="369"/>
      <c r="D426" s="369"/>
      <c r="E426" s="369"/>
      <c r="F426" s="369"/>
      <c r="G426" s="374"/>
      <c r="H426" s="375"/>
      <c r="I426" s="35"/>
      <c r="J426" s="74"/>
      <c r="K426" s="74"/>
      <c r="L426" s="74"/>
      <c r="M426" s="74"/>
      <c r="N426" s="74"/>
      <c r="O426" s="74"/>
      <c r="P426" s="74"/>
      <c r="Q426" s="74"/>
      <c r="R426" s="74"/>
      <c r="S426" s="74"/>
      <c r="T426" s="74"/>
      <c r="U426" s="74"/>
      <c r="V426" s="74"/>
      <c r="W426" s="74"/>
      <c r="X426" s="74"/>
      <c r="Y426" s="74"/>
      <c r="Z426" s="74"/>
      <c r="AA426" s="74"/>
      <c r="AB426" s="74"/>
    </row>
    <row r="427" spans="1:28" ht="40.5" customHeight="1">
      <c r="A427" s="434"/>
      <c r="B427" s="435"/>
      <c r="C427" s="369"/>
      <c r="D427" s="369"/>
      <c r="E427" s="369"/>
      <c r="F427" s="369"/>
      <c r="G427" s="374"/>
      <c r="H427" s="375"/>
      <c r="I427" s="35"/>
      <c r="J427" s="74"/>
      <c r="K427" s="74"/>
      <c r="L427" s="74"/>
      <c r="M427" s="74"/>
      <c r="N427" s="74"/>
      <c r="O427" s="74"/>
      <c r="P427" s="74"/>
      <c r="Q427" s="74"/>
      <c r="R427" s="74"/>
      <c r="S427" s="74"/>
      <c r="T427" s="74"/>
      <c r="U427" s="74"/>
      <c r="V427" s="74"/>
      <c r="W427" s="74"/>
      <c r="X427" s="74"/>
      <c r="Y427" s="74"/>
      <c r="Z427" s="74"/>
      <c r="AA427" s="74"/>
      <c r="AB427" s="74"/>
    </row>
    <row r="428" spans="1:28" ht="40.5" customHeight="1">
      <c r="A428" s="434"/>
      <c r="B428" s="435"/>
      <c r="C428" s="369"/>
      <c r="D428" s="369"/>
      <c r="E428" s="369"/>
      <c r="F428" s="369"/>
      <c r="G428" s="374"/>
      <c r="H428" s="375"/>
      <c r="I428" s="35"/>
      <c r="J428" s="74"/>
      <c r="K428" s="74"/>
      <c r="L428" s="74"/>
      <c r="M428" s="74"/>
      <c r="N428" s="74"/>
      <c r="O428" s="74"/>
      <c r="P428" s="74"/>
      <c r="Q428" s="74"/>
      <c r="R428" s="74"/>
      <c r="S428" s="74"/>
      <c r="T428" s="74"/>
      <c r="U428" s="74"/>
      <c r="V428" s="74"/>
      <c r="W428" s="74"/>
      <c r="X428" s="74"/>
      <c r="Y428" s="74"/>
      <c r="Z428" s="74"/>
      <c r="AA428" s="74"/>
      <c r="AB428" s="74"/>
    </row>
    <row r="429" spans="1:28" ht="40.5" customHeight="1">
      <c r="A429" s="434"/>
      <c r="B429" s="435"/>
      <c r="C429" s="369"/>
      <c r="D429" s="369"/>
      <c r="E429" s="369"/>
      <c r="F429" s="369"/>
      <c r="G429" s="374"/>
      <c r="H429" s="375"/>
      <c r="I429" s="35"/>
      <c r="J429" s="74"/>
      <c r="K429" s="74"/>
      <c r="L429" s="74"/>
      <c r="M429" s="74"/>
      <c r="N429" s="74"/>
      <c r="O429" s="74"/>
      <c r="P429" s="74"/>
      <c r="Q429" s="74"/>
      <c r="R429" s="74"/>
      <c r="S429" s="74"/>
      <c r="T429" s="74"/>
      <c r="U429" s="74"/>
      <c r="V429" s="74"/>
      <c r="W429" s="74"/>
      <c r="X429" s="74"/>
      <c r="Y429" s="74"/>
      <c r="Z429" s="74"/>
      <c r="AA429" s="74"/>
      <c r="AB429" s="74"/>
    </row>
    <row r="430" spans="1:28" ht="40.5" customHeight="1">
      <c r="A430" s="434"/>
      <c r="B430" s="435"/>
      <c r="C430" s="369"/>
      <c r="D430" s="369"/>
      <c r="E430" s="369"/>
      <c r="F430" s="369"/>
      <c r="G430" s="374"/>
      <c r="H430" s="375"/>
      <c r="I430" s="35"/>
      <c r="J430" s="74"/>
      <c r="K430" s="74"/>
      <c r="L430" s="74"/>
      <c r="M430" s="74"/>
      <c r="N430" s="74"/>
      <c r="O430" s="74"/>
      <c r="P430" s="74"/>
      <c r="Q430" s="74"/>
      <c r="R430" s="74"/>
      <c r="S430" s="74"/>
      <c r="T430" s="74"/>
      <c r="U430" s="74"/>
      <c r="V430" s="74"/>
      <c r="W430" s="74"/>
      <c r="X430" s="74"/>
      <c r="Y430" s="74"/>
      <c r="Z430" s="74"/>
      <c r="AA430" s="74"/>
      <c r="AB430" s="74"/>
    </row>
    <row r="431" spans="1:28" ht="40.5" customHeight="1">
      <c r="A431" s="434"/>
      <c r="B431" s="435"/>
      <c r="C431" s="369"/>
      <c r="D431" s="369"/>
      <c r="E431" s="369"/>
      <c r="F431" s="369"/>
      <c r="G431" s="374"/>
      <c r="H431" s="375"/>
      <c r="I431" s="35"/>
      <c r="J431" s="74"/>
      <c r="K431" s="74"/>
      <c r="L431" s="74"/>
      <c r="M431" s="74"/>
      <c r="N431" s="74"/>
      <c r="O431" s="74"/>
      <c r="P431" s="74"/>
      <c r="Q431" s="74"/>
      <c r="R431" s="74"/>
      <c r="S431" s="74"/>
      <c r="T431" s="74"/>
      <c r="U431" s="74"/>
      <c r="V431" s="74"/>
      <c r="W431" s="74"/>
      <c r="X431" s="74"/>
      <c r="Y431" s="74"/>
      <c r="Z431" s="74"/>
      <c r="AA431" s="74"/>
      <c r="AB431" s="74"/>
    </row>
    <row r="432" spans="1:28" ht="40.5" customHeight="1">
      <c r="A432" s="434"/>
      <c r="B432" s="435"/>
      <c r="C432" s="369"/>
      <c r="D432" s="369"/>
      <c r="E432" s="369"/>
      <c r="F432" s="369"/>
      <c r="G432" s="374"/>
      <c r="H432" s="375"/>
      <c r="I432" s="35"/>
      <c r="J432" s="74"/>
      <c r="K432" s="74"/>
      <c r="L432" s="74"/>
      <c r="M432" s="74"/>
      <c r="N432" s="74"/>
      <c r="O432" s="74"/>
      <c r="P432" s="74"/>
      <c r="Q432" s="74"/>
      <c r="R432" s="74"/>
      <c r="S432" s="74"/>
      <c r="T432" s="74"/>
      <c r="U432" s="74"/>
      <c r="V432" s="74"/>
      <c r="W432" s="74"/>
      <c r="X432" s="74"/>
      <c r="Y432" s="74"/>
      <c r="Z432" s="74"/>
      <c r="AA432" s="74"/>
      <c r="AB432" s="74"/>
    </row>
    <row r="433" spans="1:28" ht="40.5" customHeight="1">
      <c r="A433" s="434"/>
      <c r="B433" s="435"/>
      <c r="C433" s="369"/>
      <c r="D433" s="369"/>
      <c r="E433" s="369"/>
      <c r="F433" s="369"/>
      <c r="G433" s="374"/>
      <c r="H433" s="375"/>
      <c r="I433" s="35"/>
      <c r="J433" s="74"/>
      <c r="K433" s="74"/>
      <c r="L433" s="74"/>
      <c r="M433" s="74"/>
      <c r="N433" s="74"/>
      <c r="O433" s="74"/>
      <c r="P433" s="74"/>
      <c r="Q433" s="74"/>
      <c r="R433" s="74"/>
      <c r="S433" s="74"/>
      <c r="T433" s="74"/>
      <c r="U433" s="74"/>
      <c r="V433" s="74"/>
      <c r="W433" s="74"/>
      <c r="X433" s="74"/>
      <c r="Y433" s="74"/>
      <c r="Z433" s="74"/>
      <c r="AA433" s="74"/>
      <c r="AB433" s="74"/>
    </row>
    <row r="434" spans="1:28" ht="40.5" customHeight="1">
      <c r="A434" s="434"/>
      <c r="B434" s="435"/>
      <c r="C434" s="369"/>
      <c r="D434" s="369"/>
      <c r="E434" s="369"/>
      <c r="F434" s="369"/>
      <c r="G434" s="374"/>
      <c r="H434" s="375"/>
      <c r="I434" s="35"/>
      <c r="J434" s="74"/>
      <c r="K434" s="74"/>
      <c r="L434" s="74"/>
      <c r="M434" s="74"/>
      <c r="N434" s="74"/>
      <c r="O434" s="74"/>
      <c r="P434" s="74"/>
      <c r="Q434" s="74"/>
      <c r="R434" s="74"/>
      <c r="S434" s="74"/>
      <c r="T434" s="74"/>
      <c r="U434" s="74"/>
      <c r="V434" s="74"/>
      <c r="W434" s="74"/>
      <c r="X434" s="74"/>
      <c r="Y434" s="74"/>
      <c r="Z434" s="74"/>
      <c r="AA434" s="74"/>
      <c r="AB434" s="74"/>
    </row>
    <row r="435" spans="1:28" ht="40.5" customHeight="1">
      <c r="A435" s="434"/>
      <c r="B435" s="435"/>
      <c r="C435" s="369"/>
      <c r="D435" s="369"/>
      <c r="E435" s="369"/>
      <c r="F435" s="369"/>
      <c r="G435" s="374"/>
      <c r="H435" s="375"/>
      <c r="I435" s="35"/>
      <c r="J435" s="74"/>
      <c r="K435" s="74"/>
      <c r="L435" s="74"/>
      <c r="M435" s="74"/>
      <c r="N435" s="74"/>
      <c r="O435" s="74"/>
      <c r="P435" s="74"/>
      <c r="Q435" s="74"/>
      <c r="R435" s="74"/>
      <c r="S435" s="74"/>
      <c r="T435" s="74"/>
      <c r="U435" s="74"/>
      <c r="V435" s="74"/>
      <c r="W435" s="74"/>
      <c r="X435" s="74"/>
      <c r="Y435" s="74"/>
      <c r="Z435" s="74"/>
      <c r="AA435" s="74"/>
      <c r="AB435" s="74"/>
    </row>
    <row r="436" spans="1:28" ht="40.5" customHeight="1">
      <c r="A436" s="434"/>
      <c r="B436" s="435"/>
      <c r="C436" s="369"/>
      <c r="D436" s="369"/>
      <c r="E436" s="369"/>
      <c r="F436" s="369"/>
      <c r="G436" s="374"/>
      <c r="H436" s="375"/>
      <c r="I436" s="35"/>
      <c r="J436" s="74"/>
      <c r="K436" s="74"/>
      <c r="L436" s="74"/>
      <c r="M436" s="74"/>
      <c r="N436" s="74"/>
      <c r="O436" s="74"/>
      <c r="P436" s="74"/>
      <c r="Q436" s="74"/>
      <c r="R436" s="74"/>
      <c r="S436" s="74"/>
      <c r="T436" s="74"/>
      <c r="U436" s="74"/>
      <c r="V436" s="74"/>
      <c r="W436" s="74"/>
      <c r="X436" s="74"/>
      <c r="Y436" s="74"/>
      <c r="Z436" s="74"/>
      <c r="AA436" s="74"/>
      <c r="AB436" s="74"/>
    </row>
    <row r="437" spans="1:28" ht="40.5" customHeight="1">
      <c r="A437" s="434"/>
      <c r="B437" s="435"/>
      <c r="C437" s="369"/>
      <c r="D437" s="369"/>
      <c r="E437" s="369"/>
      <c r="F437" s="369"/>
      <c r="G437" s="374"/>
      <c r="H437" s="375"/>
      <c r="I437" s="35"/>
      <c r="J437" s="74"/>
      <c r="K437" s="74"/>
      <c r="L437" s="74"/>
      <c r="M437" s="74"/>
      <c r="N437" s="74"/>
      <c r="O437" s="74"/>
      <c r="P437" s="74"/>
      <c r="Q437" s="74"/>
      <c r="R437" s="74"/>
      <c r="S437" s="74"/>
      <c r="T437" s="74"/>
      <c r="U437" s="74"/>
      <c r="V437" s="74"/>
      <c r="W437" s="74"/>
      <c r="X437" s="74"/>
      <c r="Y437" s="74"/>
      <c r="Z437" s="74"/>
      <c r="AA437" s="74"/>
      <c r="AB437" s="74"/>
    </row>
    <row r="438" spans="1:28" ht="40.5" customHeight="1">
      <c r="A438" s="434"/>
      <c r="B438" s="435"/>
      <c r="C438" s="369"/>
      <c r="D438" s="369"/>
      <c r="E438" s="369"/>
      <c r="F438" s="369"/>
      <c r="G438" s="374"/>
      <c r="H438" s="375"/>
      <c r="I438" s="35"/>
      <c r="J438" s="74"/>
      <c r="K438" s="74"/>
      <c r="L438" s="74"/>
      <c r="M438" s="74"/>
      <c r="N438" s="74"/>
      <c r="O438" s="74"/>
      <c r="P438" s="74"/>
      <c r="Q438" s="74"/>
      <c r="R438" s="74"/>
      <c r="S438" s="74"/>
      <c r="T438" s="74"/>
      <c r="U438" s="74"/>
      <c r="V438" s="74"/>
      <c r="W438" s="74"/>
      <c r="X438" s="74"/>
      <c r="Y438" s="74"/>
      <c r="Z438" s="74"/>
      <c r="AA438" s="74"/>
      <c r="AB438" s="74"/>
    </row>
    <row r="439" spans="1:28" ht="40.5" customHeight="1">
      <c r="A439" s="434"/>
      <c r="B439" s="435"/>
      <c r="C439" s="369"/>
      <c r="D439" s="369"/>
      <c r="E439" s="369"/>
      <c r="F439" s="369"/>
      <c r="G439" s="374"/>
      <c r="H439" s="375"/>
      <c r="I439" s="35"/>
      <c r="J439" s="74"/>
      <c r="K439" s="74"/>
      <c r="L439" s="74"/>
      <c r="M439" s="74"/>
      <c r="N439" s="74"/>
      <c r="O439" s="74"/>
      <c r="P439" s="74"/>
      <c r="Q439" s="74"/>
      <c r="R439" s="74"/>
      <c r="S439" s="74"/>
      <c r="T439" s="74"/>
      <c r="U439" s="74"/>
      <c r="V439" s="74"/>
      <c r="W439" s="74"/>
      <c r="X439" s="74"/>
      <c r="Y439" s="74"/>
      <c r="Z439" s="74"/>
      <c r="AA439" s="74"/>
      <c r="AB439" s="74"/>
    </row>
    <row r="440" spans="1:28" ht="40.5" customHeight="1">
      <c r="A440" s="434"/>
      <c r="B440" s="435"/>
      <c r="C440" s="369"/>
      <c r="D440" s="369"/>
      <c r="E440" s="369"/>
      <c r="F440" s="369"/>
      <c r="G440" s="374"/>
      <c r="H440" s="375"/>
      <c r="I440" s="35"/>
      <c r="J440" s="74"/>
      <c r="K440" s="74"/>
      <c r="L440" s="74"/>
      <c r="M440" s="74"/>
      <c r="N440" s="74"/>
      <c r="O440" s="74"/>
      <c r="P440" s="74"/>
      <c r="Q440" s="74"/>
      <c r="R440" s="74"/>
      <c r="S440" s="74"/>
      <c r="T440" s="74"/>
      <c r="U440" s="74"/>
      <c r="V440" s="74"/>
      <c r="W440" s="74"/>
      <c r="X440" s="74"/>
      <c r="Y440" s="74"/>
      <c r="Z440" s="74"/>
      <c r="AA440" s="74"/>
      <c r="AB440" s="74"/>
    </row>
    <row r="441" spans="1:28" ht="40.5" customHeight="1">
      <c r="A441" s="434"/>
      <c r="B441" s="435"/>
      <c r="C441" s="369"/>
      <c r="D441" s="369"/>
      <c r="E441" s="369"/>
      <c r="F441" s="369"/>
      <c r="G441" s="374"/>
      <c r="H441" s="375"/>
      <c r="I441" s="35"/>
      <c r="J441" s="74"/>
      <c r="K441" s="74"/>
      <c r="L441" s="74"/>
      <c r="M441" s="74"/>
      <c r="N441" s="74"/>
      <c r="O441" s="74"/>
      <c r="P441" s="74"/>
      <c r="Q441" s="74"/>
      <c r="R441" s="74"/>
      <c r="S441" s="74"/>
      <c r="T441" s="74"/>
      <c r="U441" s="74"/>
      <c r="V441" s="74"/>
      <c r="W441" s="74"/>
      <c r="X441" s="74"/>
      <c r="Y441" s="74"/>
      <c r="Z441" s="74"/>
      <c r="AA441" s="74"/>
      <c r="AB441" s="74"/>
    </row>
    <row r="442" spans="1:28" ht="40.5" customHeight="1">
      <c r="A442" s="434"/>
      <c r="B442" s="435"/>
      <c r="C442" s="369"/>
      <c r="D442" s="369"/>
      <c r="E442" s="369"/>
      <c r="F442" s="369"/>
      <c r="G442" s="374"/>
      <c r="H442" s="375"/>
      <c r="I442" s="35"/>
      <c r="J442" s="74"/>
      <c r="K442" s="74"/>
      <c r="L442" s="74"/>
      <c r="M442" s="74"/>
      <c r="N442" s="74"/>
      <c r="O442" s="74"/>
      <c r="P442" s="74"/>
      <c r="Q442" s="74"/>
      <c r="R442" s="74"/>
      <c r="S442" s="74"/>
      <c r="T442" s="74"/>
      <c r="U442" s="74"/>
      <c r="V442" s="74"/>
      <c r="W442" s="74"/>
      <c r="X442" s="74"/>
      <c r="Y442" s="74"/>
      <c r="Z442" s="74"/>
      <c r="AA442" s="74"/>
      <c r="AB442" s="74"/>
    </row>
    <row r="443" spans="1:28" ht="40.5" customHeight="1">
      <c r="A443" s="434"/>
      <c r="B443" s="435"/>
      <c r="C443" s="369"/>
      <c r="D443" s="369"/>
      <c r="E443" s="369"/>
      <c r="F443" s="369"/>
      <c r="G443" s="374"/>
      <c r="H443" s="375"/>
      <c r="I443" s="35"/>
      <c r="J443" s="74"/>
      <c r="K443" s="74"/>
      <c r="L443" s="74"/>
      <c r="M443" s="74"/>
      <c r="N443" s="74"/>
      <c r="O443" s="74"/>
      <c r="P443" s="74"/>
      <c r="Q443" s="74"/>
      <c r="R443" s="74"/>
      <c r="S443" s="74"/>
      <c r="T443" s="74"/>
      <c r="U443" s="74"/>
      <c r="V443" s="74"/>
      <c r="W443" s="74"/>
      <c r="X443" s="74"/>
      <c r="Y443" s="74"/>
      <c r="Z443" s="74"/>
      <c r="AA443" s="74"/>
      <c r="AB443" s="74"/>
    </row>
    <row r="444" spans="1:28" ht="40.5" customHeight="1">
      <c r="A444" s="434"/>
      <c r="B444" s="435"/>
      <c r="C444" s="369"/>
      <c r="D444" s="369"/>
      <c r="E444" s="369"/>
      <c r="F444" s="369"/>
      <c r="G444" s="374"/>
      <c r="H444" s="375"/>
      <c r="I444" s="35"/>
      <c r="J444" s="74"/>
      <c r="K444" s="74"/>
      <c r="L444" s="74"/>
      <c r="M444" s="74"/>
      <c r="N444" s="74"/>
      <c r="O444" s="74"/>
      <c r="P444" s="74"/>
      <c r="Q444" s="74"/>
      <c r="R444" s="74"/>
      <c r="S444" s="74"/>
      <c r="T444" s="74"/>
      <c r="U444" s="74"/>
      <c r="V444" s="74"/>
      <c r="W444" s="74"/>
      <c r="X444" s="74"/>
      <c r="Y444" s="74"/>
      <c r="Z444" s="74"/>
      <c r="AA444" s="74"/>
      <c r="AB444" s="74"/>
    </row>
    <row r="445" spans="1:28" ht="40.5" customHeight="1">
      <c r="A445" s="434"/>
      <c r="B445" s="435"/>
      <c r="C445" s="369"/>
      <c r="D445" s="369"/>
      <c r="E445" s="369"/>
      <c r="F445" s="369"/>
      <c r="G445" s="374"/>
      <c r="H445" s="375"/>
      <c r="I445" s="35"/>
      <c r="J445" s="74"/>
      <c r="K445" s="74"/>
      <c r="L445" s="74"/>
      <c r="M445" s="74"/>
      <c r="N445" s="74"/>
      <c r="O445" s="74"/>
      <c r="P445" s="74"/>
      <c r="Q445" s="74"/>
      <c r="R445" s="74"/>
      <c r="S445" s="74"/>
      <c r="T445" s="74"/>
      <c r="U445" s="74"/>
      <c r="V445" s="74"/>
      <c r="W445" s="74"/>
      <c r="X445" s="74"/>
      <c r="Y445" s="74"/>
      <c r="Z445" s="74"/>
      <c r="AA445" s="74"/>
      <c r="AB445" s="74"/>
    </row>
    <row r="446" spans="1:28" ht="40.5" customHeight="1">
      <c r="A446" s="434"/>
      <c r="B446" s="435"/>
      <c r="C446" s="369"/>
      <c r="D446" s="369"/>
      <c r="E446" s="369"/>
      <c r="F446" s="369"/>
      <c r="G446" s="374"/>
      <c r="H446" s="375"/>
      <c r="I446" s="35"/>
      <c r="J446" s="74"/>
      <c r="K446" s="74"/>
      <c r="L446" s="74"/>
      <c r="M446" s="74"/>
      <c r="N446" s="74"/>
      <c r="O446" s="74"/>
      <c r="P446" s="74"/>
      <c r="Q446" s="74"/>
      <c r="R446" s="74"/>
      <c r="S446" s="74"/>
      <c r="T446" s="74"/>
      <c r="U446" s="74"/>
      <c r="V446" s="74"/>
      <c r="W446" s="74"/>
      <c r="X446" s="74"/>
      <c r="Y446" s="74"/>
      <c r="Z446" s="74"/>
      <c r="AA446" s="74"/>
      <c r="AB446" s="74"/>
    </row>
    <row r="447" spans="1:28" ht="40.5" customHeight="1">
      <c r="A447" s="434"/>
      <c r="B447" s="435"/>
      <c r="C447" s="369"/>
      <c r="D447" s="369"/>
      <c r="E447" s="369"/>
      <c r="F447" s="369"/>
      <c r="G447" s="374"/>
      <c r="H447" s="375"/>
      <c r="I447" s="35"/>
      <c r="J447" s="74"/>
      <c r="K447" s="74"/>
      <c r="L447" s="74"/>
      <c r="M447" s="74"/>
      <c r="N447" s="74"/>
      <c r="O447" s="74"/>
      <c r="P447" s="74"/>
      <c r="Q447" s="74"/>
      <c r="R447" s="74"/>
      <c r="S447" s="74"/>
      <c r="T447" s="74"/>
      <c r="U447" s="74"/>
      <c r="V447" s="74"/>
      <c r="W447" s="74"/>
      <c r="X447" s="74"/>
      <c r="Y447" s="74"/>
      <c r="Z447" s="74"/>
      <c r="AA447" s="74"/>
      <c r="AB447" s="74"/>
    </row>
    <row r="448" spans="1:28" ht="40.5" customHeight="1">
      <c r="A448" s="434"/>
      <c r="B448" s="435"/>
      <c r="C448" s="369"/>
      <c r="D448" s="369"/>
      <c r="E448" s="369"/>
      <c r="F448" s="369"/>
      <c r="G448" s="374"/>
      <c r="H448" s="375"/>
      <c r="I448" s="35"/>
      <c r="J448" s="74"/>
      <c r="K448" s="74"/>
      <c r="L448" s="74"/>
      <c r="M448" s="74"/>
      <c r="N448" s="74"/>
      <c r="O448" s="74"/>
      <c r="P448" s="74"/>
      <c r="Q448" s="74"/>
      <c r="R448" s="74"/>
      <c r="S448" s="74"/>
      <c r="T448" s="74"/>
      <c r="U448" s="74"/>
      <c r="V448" s="74"/>
      <c r="W448" s="74"/>
      <c r="X448" s="74"/>
      <c r="Y448" s="74"/>
      <c r="Z448" s="74"/>
      <c r="AA448" s="74"/>
      <c r="AB448" s="74"/>
    </row>
    <row r="449" spans="1:28" ht="40.5" customHeight="1">
      <c r="A449" s="434"/>
      <c r="B449" s="435"/>
      <c r="C449" s="369"/>
      <c r="D449" s="369"/>
      <c r="E449" s="369"/>
      <c r="F449" s="369"/>
      <c r="G449" s="374"/>
      <c r="H449" s="375"/>
      <c r="I449" s="35"/>
      <c r="J449" s="74"/>
      <c r="K449" s="74"/>
      <c r="L449" s="74"/>
      <c r="M449" s="74"/>
      <c r="N449" s="74"/>
      <c r="O449" s="74"/>
      <c r="P449" s="74"/>
      <c r="Q449" s="74"/>
      <c r="R449" s="74"/>
      <c r="S449" s="74"/>
      <c r="T449" s="74"/>
      <c r="U449" s="74"/>
      <c r="V449" s="74"/>
      <c r="W449" s="74"/>
      <c r="X449" s="74"/>
      <c r="Y449" s="74"/>
      <c r="Z449" s="74"/>
      <c r="AA449" s="74"/>
      <c r="AB449" s="74"/>
    </row>
    <row r="450" spans="1:28" ht="40.5" customHeight="1">
      <c r="A450" s="434"/>
      <c r="B450" s="435"/>
      <c r="C450" s="369"/>
      <c r="D450" s="369"/>
      <c r="E450" s="369"/>
      <c r="F450" s="369"/>
      <c r="G450" s="374"/>
      <c r="H450" s="375"/>
      <c r="I450" s="35"/>
      <c r="J450" s="74"/>
      <c r="K450" s="74"/>
      <c r="L450" s="74"/>
      <c r="M450" s="74"/>
      <c r="N450" s="74"/>
      <c r="O450" s="74"/>
      <c r="P450" s="74"/>
      <c r="Q450" s="74"/>
      <c r="R450" s="74"/>
      <c r="S450" s="74"/>
      <c r="T450" s="74"/>
      <c r="U450" s="74"/>
      <c r="V450" s="74"/>
      <c r="W450" s="74"/>
      <c r="X450" s="74"/>
      <c r="Y450" s="74"/>
      <c r="Z450" s="74"/>
      <c r="AA450" s="74"/>
      <c r="AB450" s="74"/>
    </row>
    <row r="451" spans="1:28" ht="40.5" customHeight="1">
      <c r="A451" s="434"/>
      <c r="B451" s="435"/>
      <c r="C451" s="369"/>
      <c r="D451" s="369"/>
      <c r="E451" s="369"/>
      <c r="F451" s="369"/>
      <c r="G451" s="374"/>
      <c r="H451" s="375"/>
      <c r="I451" s="35"/>
      <c r="J451" s="74"/>
      <c r="K451" s="74"/>
      <c r="L451" s="74"/>
      <c r="M451" s="74"/>
      <c r="N451" s="74"/>
      <c r="O451" s="74"/>
      <c r="P451" s="74"/>
      <c r="Q451" s="74"/>
      <c r="R451" s="74"/>
      <c r="S451" s="74"/>
      <c r="T451" s="74"/>
      <c r="U451" s="74"/>
      <c r="V451" s="74"/>
      <c r="W451" s="74"/>
      <c r="X451" s="74"/>
      <c r="Y451" s="74"/>
      <c r="Z451" s="74"/>
      <c r="AA451" s="74"/>
      <c r="AB451" s="74"/>
    </row>
    <row r="452" spans="1:28" ht="40.5" customHeight="1">
      <c r="A452" s="434"/>
      <c r="B452" s="435"/>
      <c r="C452" s="369"/>
      <c r="D452" s="369"/>
      <c r="E452" s="369"/>
      <c r="F452" s="369"/>
      <c r="G452" s="374"/>
      <c r="H452" s="375"/>
      <c r="I452" s="35"/>
      <c r="J452" s="74"/>
      <c r="K452" s="74"/>
      <c r="L452" s="74"/>
      <c r="M452" s="74"/>
      <c r="N452" s="74"/>
      <c r="O452" s="74"/>
      <c r="P452" s="74"/>
      <c r="Q452" s="74"/>
      <c r="R452" s="74"/>
      <c r="S452" s="74"/>
      <c r="T452" s="74"/>
      <c r="U452" s="74"/>
      <c r="V452" s="74"/>
      <c r="W452" s="74"/>
      <c r="X452" s="74"/>
      <c r="Y452" s="74"/>
      <c r="Z452" s="74"/>
      <c r="AA452" s="74"/>
      <c r="AB452" s="74"/>
    </row>
    <row r="453" spans="1:28" ht="40.5" customHeight="1">
      <c r="A453" s="434"/>
      <c r="B453" s="435"/>
      <c r="C453" s="369"/>
      <c r="D453" s="369"/>
      <c r="E453" s="369"/>
      <c r="F453" s="369"/>
      <c r="G453" s="374"/>
      <c r="H453" s="375"/>
      <c r="I453" s="35"/>
      <c r="J453" s="74"/>
      <c r="K453" s="74"/>
      <c r="L453" s="74"/>
      <c r="M453" s="74"/>
      <c r="N453" s="74"/>
      <c r="O453" s="74"/>
      <c r="P453" s="74"/>
      <c r="Q453" s="74"/>
      <c r="R453" s="74"/>
      <c r="S453" s="74"/>
      <c r="T453" s="74"/>
      <c r="U453" s="74"/>
      <c r="V453" s="74"/>
      <c r="W453" s="74"/>
      <c r="X453" s="74"/>
      <c r="Y453" s="74"/>
      <c r="Z453" s="74"/>
      <c r="AA453" s="74"/>
      <c r="AB453" s="74"/>
    </row>
    <row r="454" spans="1:28" ht="40.5" customHeight="1">
      <c r="A454" s="434"/>
      <c r="B454" s="435"/>
      <c r="C454" s="369"/>
      <c r="D454" s="369"/>
      <c r="E454" s="369"/>
      <c r="F454" s="369"/>
      <c r="G454" s="374"/>
      <c r="H454" s="375"/>
      <c r="I454" s="35"/>
      <c r="J454" s="74"/>
      <c r="K454" s="74"/>
      <c r="L454" s="74"/>
      <c r="M454" s="74"/>
      <c r="N454" s="74"/>
      <c r="O454" s="74"/>
      <c r="P454" s="74"/>
      <c r="Q454" s="74"/>
      <c r="R454" s="74"/>
      <c r="S454" s="74"/>
      <c r="T454" s="74"/>
      <c r="U454" s="74"/>
      <c r="V454" s="74"/>
      <c r="W454" s="74"/>
      <c r="X454" s="74"/>
      <c r="Y454" s="74"/>
      <c r="Z454" s="74"/>
      <c r="AA454" s="74"/>
      <c r="AB454" s="74"/>
    </row>
    <row r="455" spans="1:28" ht="40.5" customHeight="1">
      <c r="A455" s="434"/>
      <c r="B455" s="435"/>
      <c r="C455" s="369"/>
      <c r="D455" s="369"/>
      <c r="E455" s="369"/>
      <c r="F455" s="369"/>
      <c r="G455" s="374"/>
      <c r="H455" s="375"/>
      <c r="I455" s="35"/>
      <c r="J455" s="74"/>
      <c r="K455" s="74"/>
      <c r="L455" s="74"/>
      <c r="M455" s="74"/>
      <c r="N455" s="74"/>
      <c r="O455" s="74"/>
      <c r="P455" s="74"/>
      <c r="Q455" s="74"/>
      <c r="R455" s="74"/>
      <c r="S455" s="74"/>
      <c r="T455" s="74"/>
      <c r="U455" s="74"/>
      <c r="V455" s="74"/>
      <c r="W455" s="74"/>
      <c r="X455" s="74"/>
      <c r="Y455" s="74"/>
      <c r="Z455" s="74"/>
      <c r="AA455" s="74"/>
      <c r="AB455" s="74"/>
    </row>
    <row r="456" spans="1:28" ht="40.5" customHeight="1">
      <c r="A456" s="434"/>
      <c r="B456" s="435"/>
      <c r="C456" s="369"/>
      <c r="D456" s="369"/>
      <c r="E456" s="369"/>
      <c r="F456" s="369"/>
      <c r="G456" s="374"/>
      <c r="H456" s="375"/>
      <c r="I456" s="35"/>
      <c r="J456" s="74"/>
      <c r="K456" s="74"/>
      <c r="L456" s="74"/>
      <c r="M456" s="74"/>
      <c r="N456" s="74"/>
      <c r="O456" s="74"/>
      <c r="P456" s="74"/>
      <c r="Q456" s="74"/>
      <c r="R456" s="74"/>
      <c r="S456" s="74"/>
      <c r="T456" s="74"/>
      <c r="U456" s="74"/>
      <c r="V456" s="74"/>
      <c r="W456" s="74"/>
      <c r="X456" s="74"/>
      <c r="Y456" s="74"/>
      <c r="Z456" s="74"/>
      <c r="AA456" s="74"/>
      <c r="AB456" s="74"/>
    </row>
    <row r="457" spans="1:28" ht="40.5" customHeight="1">
      <c r="A457" s="434"/>
      <c r="B457" s="435"/>
      <c r="C457" s="369"/>
      <c r="D457" s="369"/>
      <c r="E457" s="369"/>
      <c r="F457" s="369"/>
      <c r="G457" s="374"/>
      <c r="H457" s="375"/>
      <c r="I457" s="35"/>
      <c r="J457" s="74"/>
      <c r="K457" s="74"/>
      <c r="L457" s="74"/>
      <c r="M457" s="74"/>
      <c r="N457" s="74"/>
      <c r="O457" s="74"/>
      <c r="P457" s="74"/>
      <c r="Q457" s="74"/>
      <c r="R457" s="74"/>
      <c r="S457" s="74"/>
      <c r="T457" s="74"/>
      <c r="U457" s="74"/>
      <c r="V457" s="74"/>
      <c r="W457" s="74"/>
      <c r="X457" s="74"/>
      <c r="Y457" s="74"/>
      <c r="Z457" s="74"/>
      <c r="AA457" s="74"/>
      <c r="AB457" s="74"/>
    </row>
    <row r="458" spans="1:28" ht="40.5" customHeight="1">
      <c r="A458" s="434"/>
      <c r="B458" s="435"/>
      <c r="C458" s="369"/>
      <c r="D458" s="369"/>
      <c r="E458" s="369"/>
      <c r="F458" s="369"/>
      <c r="G458" s="374"/>
      <c r="H458" s="375"/>
      <c r="I458" s="35"/>
      <c r="J458" s="74"/>
      <c r="K458" s="74"/>
      <c r="L458" s="74"/>
      <c r="M458" s="74"/>
      <c r="N458" s="74"/>
      <c r="O458" s="74"/>
      <c r="P458" s="74"/>
      <c r="Q458" s="74"/>
      <c r="R458" s="74"/>
      <c r="S458" s="74"/>
      <c r="T458" s="74"/>
      <c r="U458" s="74"/>
      <c r="V458" s="74"/>
      <c r="W458" s="74"/>
      <c r="X458" s="74"/>
      <c r="Y458" s="74"/>
      <c r="Z458" s="74"/>
      <c r="AA458" s="74"/>
      <c r="AB458" s="74"/>
    </row>
    <row r="459" spans="1:28" ht="40.5" customHeight="1">
      <c r="A459" s="434"/>
      <c r="B459" s="435"/>
      <c r="C459" s="369"/>
      <c r="D459" s="369"/>
      <c r="E459" s="369"/>
      <c r="F459" s="369"/>
      <c r="G459" s="374"/>
      <c r="H459" s="375"/>
      <c r="I459" s="35"/>
      <c r="J459" s="74"/>
      <c r="K459" s="74"/>
      <c r="L459" s="74"/>
      <c r="M459" s="74"/>
      <c r="N459" s="74"/>
      <c r="O459" s="74"/>
      <c r="P459" s="74"/>
      <c r="Q459" s="74"/>
      <c r="R459" s="74"/>
      <c r="S459" s="74"/>
      <c r="T459" s="74"/>
      <c r="U459" s="74"/>
      <c r="V459" s="74"/>
      <c r="W459" s="74"/>
      <c r="X459" s="74"/>
      <c r="Y459" s="74"/>
      <c r="Z459" s="74"/>
      <c r="AA459" s="74"/>
      <c r="AB459" s="74"/>
    </row>
    <row r="460" spans="1:28" ht="40.5" customHeight="1">
      <c r="A460" s="434"/>
      <c r="B460" s="435"/>
      <c r="C460" s="369"/>
      <c r="D460" s="369"/>
      <c r="E460" s="369"/>
      <c r="F460" s="369"/>
      <c r="G460" s="374"/>
      <c r="H460" s="375"/>
      <c r="I460" s="35"/>
      <c r="J460" s="74"/>
      <c r="K460" s="74"/>
      <c r="L460" s="74"/>
      <c r="M460" s="74"/>
      <c r="N460" s="74"/>
      <c r="O460" s="74"/>
      <c r="P460" s="74"/>
      <c r="Q460" s="74"/>
      <c r="R460" s="74"/>
      <c r="S460" s="74"/>
      <c r="T460" s="74"/>
      <c r="U460" s="74"/>
      <c r="V460" s="74"/>
      <c r="W460" s="74"/>
      <c r="X460" s="74"/>
      <c r="Y460" s="74"/>
      <c r="Z460" s="74"/>
      <c r="AA460" s="74"/>
      <c r="AB460" s="74"/>
    </row>
    <row r="461" spans="1:28" ht="40.5" customHeight="1">
      <c r="A461" s="434"/>
      <c r="B461" s="435"/>
      <c r="C461" s="369"/>
      <c r="D461" s="369"/>
      <c r="E461" s="369"/>
      <c r="F461" s="369"/>
      <c r="G461" s="374"/>
      <c r="H461" s="375"/>
      <c r="I461" s="35"/>
      <c r="J461" s="74"/>
      <c r="K461" s="74"/>
      <c r="L461" s="74"/>
      <c r="M461" s="74"/>
      <c r="N461" s="74"/>
      <c r="O461" s="74"/>
      <c r="P461" s="74"/>
      <c r="Q461" s="74"/>
      <c r="R461" s="74"/>
      <c r="S461" s="74"/>
      <c r="T461" s="74"/>
      <c r="U461" s="74"/>
      <c r="V461" s="74"/>
      <c r="W461" s="74"/>
      <c r="X461" s="74"/>
      <c r="Y461" s="74"/>
      <c r="Z461" s="74"/>
      <c r="AA461" s="74"/>
      <c r="AB461" s="74"/>
    </row>
    <row r="462" spans="1:28" ht="40.5" customHeight="1">
      <c r="A462" s="434"/>
      <c r="B462" s="435"/>
      <c r="C462" s="369"/>
      <c r="D462" s="369"/>
      <c r="E462" s="369"/>
      <c r="F462" s="369"/>
      <c r="G462" s="374"/>
      <c r="H462" s="375"/>
      <c r="I462" s="35"/>
      <c r="J462" s="74"/>
      <c r="K462" s="74"/>
      <c r="L462" s="74"/>
      <c r="M462" s="74"/>
      <c r="N462" s="74"/>
      <c r="O462" s="74"/>
      <c r="P462" s="74"/>
      <c r="Q462" s="74"/>
      <c r="R462" s="74"/>
      <c r="S462" s="74"/>
      <c r="T462" s="74"/>
      <c r="U462" s="74"/>
      <c r="V462" s="74"/>
      <c r="W462" s="74"/>
      <c r="X462" s="74"/>
      <c r="Y462" s="74"/>
      <c r="Z462" s="74"/>
      <c r="AA462" s="74"/>
      <c r="AB462" s="74"/>
    </row>
    <row r="463" spans="1:28" ht="40.5" customHeight="1">
      <c r="A463" s="434"/>
      <c r="B463" s="435"/>
      <c r="C463" s="369"/>
      <c r="D463" s="369"/>
      <c r="E463" s="369"/>
      <c r="F463" s="369"/>
      <c r="G463" s="374"/>
      <c r="H463" s="375"/>
      <c r="I463" s="35"/>
      <c r="J463" s="74"/>
      <c r="K463" s="74"/>
      <c r="L463" s="74"/>
      <c r="M463" s="74"/>
      <c r="N463" s="74"/>
      <c r="O463" s="74"/>
      <c r="P463" s="74"/>
      <c r="Q463" s="74"/>
      <c r="R463" s="74"/>
      <c r="S463" s="74"/>
      <c r="T463" s="74"/>
      <c r="U463" s="74"/>
      <c r="V463" s="74"/>
      <c r="W463" s="74"/>
      <c r="X463" s="74"/>
      <c r="Y463" s="74"/>
      <c r="Z463" s="74"/>
      <c r="AA463" s="74"/>
      <c r="AB463" s="74"/>
    </row>
    <row r="464" spans="1:28" ht="40.5" customHeight="1">
      <c r="A464" s="434"/>
      <c r="B464" s="435"/>
      <c r="C464" s="369"/>
      <c r="D464" s="369"/>
      <c r="E464" s="369"/>
      <c r="F464" s="369"/>
      <c r="G464" s="374"/>
      <c r="H464" s="375"/>
      <c r="I464" s="35"/>
      <c r="J464" s="74"/>
      <c r="K464" s="74"/>
      <c r="L464" s="74"/>
      <c r="M464" s="74"/>
      <c r="N464" s="74"/>
      <c r="O464" s="74"/>
      <c r="P464" s="74"/>
      <c r="Q464" s="74"/>
      <c r="R464" s="74"/>
      <c r="S464" s="74"/>
      <c r="T464" s="74"/>
      <c r="U464" s="74"/>
      <c r="V464" s="74"/>
      <c r="W464" s="74"/>
      <c r="X464" s="74"/>
      <c r="Y464" s="74"/>
      <c r="Z464" s="74"/>
      <c r="AA464" s="74"/>
      <c r="AB464" s="74"/>
    </row>
    <row r="465" spans="1:28" ht="40.5" customHeight="1">
      <c r="A465" s="434"/>
      <c r="B465" s="435"/>
      <c r="C465" s="369"/>
      <c r="D465" s="369"/>
      <c r="E465" s="369"/>
      <c r="F465" s="369"/>
      <c r="G465" s="374"/>
      <c r="H465" s="375"/>
      <c r="I465" s="35"/>
      <c r="J465" s="74"/>
      <c r="K465" s="74"/>
      <c r="L465" s="74"/>
      <c r="M465" s="74"/>
      <c r="N465" s="74"/>
      <c r="O465" s="74"/>
      <c r="P465" s="74"/>
      <c r="Q465" s="74"/>
      <c r="R465" s="74"/>
      <c r="S465" s="74"/>
      <c r="T465" s="74"/>
      <c r="U465" s="74"/>
      <c r="V465" s="74"/>
      <c r="W465" s="74"/>
      <c r="X465" s="74"/>
      <c r="Y465" s="74"/>
      <c r="Z465" s="74"/>
      <c r="AA465" s="74"/>
      <c r="AB465" s="74"/>
    </row>
    <row r="466" spans="1:28" ht="40.5" customHeight="1">
      <c r="A466" s="434"/>
      <c r="B466" s="435"/>
      <c r="C466" s="369"/>
      <c r="D466" s="369"/>
      <c r="E466" s="369"/>
      <c r="F466" s="369"/>
      <c r="G466" s="374"/>
      <c r="H466" s="375"/>
      <c r="I466" s="35"/>
      <c r="J466" s="74"/>
      <c r="K466" s="74"/>
      <c r="L466" s="74"/>
      <c r="M466" s="74"/>
      <c r="N466" s="74"/>
      <c r="O466" s="74"/>
      <c r="P466" s="74"/>
      <c r="Q466" s="74"/>
      <c r="R466" s="74"/>
      <c r="S466" s="74"/>
      <c r="T466" s="74"/>
      <c r="U466" s="74"/>
      <c r="V466" s="74"/>
      <c r="W466" s="74"/>
      <c r="X466" s="74"/>
      <c r="Y466" s="74"/>
      <c r="Z466" s="74"/>
      <c r="AA466" s="74"/>
      <c r="AB466" s="74"/>
    </row>
    <row r="467" spans="1:28" ht="40.5" customHeight="1">
      <c r="A467" s="434"/>
      <c r="B467" s="435"/>
      <c r="C467" s="369"/>
      <c r="D467" s="369"/>
      <c r="E467" s="369"/>
      <c r="F467" s="369"/>
      <c r="G467" s="374"/>
      <c r="H467" s="375"/>
      <c r="I467" s="35"/>
      <c r="J467" s="74"/>
      <c r="K467" s="74"/>
      <c r="L467" s="74"/>
      <c r="M467" s="74"/>
      <c r="N467" s="74"/>
      <c r="O467" s="74"/>
      <c r="P467" s="74"/>
      <c r="Q467" s="74"/>
      <c r="R467" s="74"/>
      <c r="S467" s="74"/>
      <c r="T467" s="74"/>
      <c r="U467" s="74"/>
      <c r="V467" s="74"/>
      <c r="W467" s="74"/>
      <c r="X467" s="74"/>
      <c r="Y467" s="74"/>
      <c r="Z467" s="74"/>
      <c r="AA467" s="74"/>
      <c r="AB467" s="74"/>
    </row>
    <row r="468" spans="1:28" ht="40.5" customHeight="1">
      <c r="A468" s="434"/>
      <c r="B468" s="435"/>
      <c r="C468" s="369"/>
      <c r="D468" s="369"/>
      <c r="E468" s="369"/>
      <c r="F468" s="369"/>
      <c r="G468" s="374"/>
      <c r="H468" s="375"/>
      <c r="I468" s="35"/>
      <c r="J468" s="74"/>
      <c r="K468" s="74"/>
      <c r="L468" s="74"/>
      <c r="M468" s="74"/>
      <c r="N468" s="74"/>
      <c r="O468" s="74"/>
      <c r="P468" s="74"/>
      <c r="Q468" s="74"/>
      <c r="R468" s="74"/>
      <c r="S468" s="74"/>
      <c r="T468" s="74"/>
      <c r="U468" s="74"/>
      <c r="V468" s="74"/>
      <c r="W468" s="74"/>
      <c r="X468" s="74"/>
      <c r="Y468" s="74"/>
      <c r="Z468" s="74"/>
      <c r="AA468" s="74"/>
      <c r="AB468" s="74"/>
    </row>
    <row r="469" spans="1:28" ht="40.5" customHeight="1">
      <c r="A469" s="434"/>
      <c r="B469" s="435"/>
      <c r="C469" s="369"/>
      <c r="D469" s="369"/>
      <c r="E469" s="369"/>
      <c r="F469" s="369"/>
      <c r="G469" s="374"/>
      <c r="H469" s="375"/>
      <c r="I469" s="35"/>
      <c r="J469" s="74"/>
      <c r="K469" s="74"/>
      <c r="L469" s="74"/>
      <c r="M469" s="74"/>
      <c r="N469" s="74"/>
      <c r="O469" s="74"/>
      <c r="P469" s="74"/>
      <c r="Q469" s="74"/>
      <c r="R469" s="74"/>
      <c r="S469" s="74"/>
      <c r="T469" s="74"/>
      <c r="U469" s="74"/>
      <c r="V469" s="74"/>
      <c r="W469" s="74"/>
      <c r="X469" s="74"/>
      <c r="Y469" s="74"/>
      <c r="Z469" s="74"/>
      <c r="AA469" s="74"/>
      <c r="AB469" s="74"/>
    </row>
    <row r="470" spans="1:28" ht="40.5" customHeight="1">
      <c r="A470" s="434"/>
      <c r="B470" s="435"/>
      <c r="C470" s="369"/>
      <c r="D470" s="369"/>
      <c r="E470" s="369"/>
      <c r="F470" s="369"/>
      <c r="G470" s="374"/>
      <c r="H470" s="375"/>
      <c r="I470" s="35"/>
      <c r="J470" s="74"/>
      <c r="K470" s="74"/>
      <c r="L470" s="74"/>
      <c r="M470" s="74"/>
      <c r="N470" s="74"/>
      <c r="O470" s="74"/>
      <c r="P470" s="74"/>
      <c r="Q470" s="74"/>
      <c r="R470" s="74"/>
      <c r="S470" s="74"/>
      <c r="T470" s="74"/>
      <c r="U470" s="74"/>
      <c r="V470" s="74"/>
      <c r="W470" s="74"/>
      <c r="X470" s="74"/>
      <c r="Y470" s="74"/>
      <c r="Z470" s="74"/>
      <c r="AA470" s="74"/>
      <c r="AB470" s="74"/>
    </row>
    <row r="471" spans="1:28" ht="40.5" customHeight="1">
      <c r="A471" s="434"/>
      <c r="B471" s="435"/>
      <c r="C471" s="369"/>
      <c r="D471" s="369"/>
      <c r="E471" s="369"/>
      <c r="F471" s="369"/>
      <c r="G471" s="374"/>
      <c r="H471" s="375"/>
      <c r="I471" s="35"/>
      <c r="J471" s="74"/>
      <c r="K471" s="74"/>
      <c r="L471" s="74"/>
      <c r="M471" s="74"/>
      <c r="N471" s="74"/>
      <c r="O471" s="74"/>
      <c r="P471" s="74"/>
      <c r="Q471" s="74"/>
      <c r="R471" s="74"/>
      <c r="S471" s="74"/>
      <c r="T471" s="74"/>
      <c r="U471" s="74"/>
      <c r="V471" s="74"/>
      <c r="W471" s="74"/>
      <c r="X471" s="74"/>
      <c r="Y471" s="74"/>
      <c r="Z471" s="74"/>
      <c r="AA471" s="74"/>
      <c r="AB471" s="74"/>
    </row>
    <row r="472" spans="1:28" ht="40.5" customHeight="1">
      <c r="A472" s="434"/>
      <c r="B472" s="435"/>
      <c r="C472" s="369"/>
      <c r="D472" s="369"/>
      <c r="E472" s="369"/>
      <c r="F472" s="369"/>
      <c r="G472" s="374"/>
      <c r="H472" s="375"/>
      <c r="I472" s="35"/>
      <c r="J472" s="74"/>
      <c r="K472" s="74"/>
      <c r="L472" s="74"/>
      <c r="M472" s="74"/>
      <c r="N472" s="74"/>
      <c r="O472" s="74"/>
      <c r="P472" s="74"/>
      <c r="Q472" s="74"/>
      <c r="R472" s="74"/>
      <c r="S472" s="74"/>
      <c r="T472" s="74"/>
      <c r="U472" s="74"/>
      <c r="V472" s="74"/>
      <c r="W472" s="74"/>
      <c r="X472" s="74"/>
      <c r="Y472" s="74"/>
      <c r="Z472" s="74"/>
      <c r="AA472" s="74"/>
      <c r="AB472" s="74"/>
    </row>
    <row r="473" spans="1:28" ht="40.5" customHeight="1">
      <c r="A473" s="434"/>
      <c r="B473" s="435"/>
      <c r="C473" s="369"/>
      <c r="D473" s="369"/>
      <c r="E473" s="369"/>
      <c r="F473" s="369"/>
      <c r="G473" s="374"/>
      <c r="H473" s="375"/>
      <c r="I473" s="35"/>
      <c r="J473" s="74"/>
      <c r="K473" s="74"/>
      <c r="L473" s="74"/>
      <c r="M473" s="74"/>
      <c r="N473" s="74"/>
      <c r="O473" s="74"/>
      <c r="P473" s="74"/>
      <c r="Q473" s="74"/>
      <c r="R473" s="74"/>
      <c r="S473" s="74"/>
      <c r="T473" s="74"/>
      <c r="U473" s="74"/>
      <c r="V473" s="74"/>
      <c r="W473" s="74"/>
      <c r="X473" s="74"/>
      <c r="Y473" s="74"/>
      <c r="Z473" s="74"/>
      <c r="AA473" s="74"/>
      <c r="AB473" s="74"/>
    </row>
    <row r="474" spans="1:28" ht="40.5" customHeight="1">
      <c r="A474" s="434"/>
      <c r="B474" s="435"/>
      <c r="C474" s="369"/>
      <c r="D474" s="369"/>
      <c r="E474" s="369"/>
      <c r="F474" s="369"/>
      <c r="G474" s="374"/>
      <c r="H474" s="375"/>
      <c r="I474" s="35"/>
      <c r="J474" s="74"/>
      <c r="K474" s="74"/>
      <c r="L474" s="74"/>
      <c r="M474" s="74"/>
      <c r="N474" s="74"/>
      <c r="O474" s="74"/>
      <c r="P474" s="74"/>
      <c r="Q474" s="74"/>
      <c r="R474" s="74"/>
      <c r="S474" s="74"/>
      <c r="T474" s="74"/>
      <c r="U474" s="74"/>
      <c r="V474" s="74"/>
      <c r="W474" s="74"/>
      <c r="X474" s="74"/>
      <c r="Y474" s="74"/>
      <c r="Z474" s="74"/>
      <c r="AA474" s="74"/>
      <c r="AB474" s="74"/>
    </row>
    <row r="475" spans="1:28" ht="40.5" customHeight="1">
      <c r="A475" s="434"/>
      <c r="B475" s="435"/>
      <c r="C475" s="369"/>
      <c r="D475" s="369"/>
      <c r="E475" s="369"/>
      <c r="F475" s="369"/>
      <c r="G475" s="374"/>
      <c r="H475" s="375"/>
      <c r="I475" s="35"/>
      <c r="J475" s="74"/>
      <c r="K475" s="74"/>
      <c r="L475" s="74"/>
      <c r="M475" s="74"/>
      <c r="N475" s="74"/>
      <c r="O475" s="74"/>
      <c r="P475" s="74"/>
      <c r="Q475" s="74"/>
      <c r="R475" s="74"/>
      <c r="S475" s="74"/>
      <c r="T475" s="74"/>
      <c r="U475" s="74"/>
      <c r="V475" s="74"/>
      <c r="W475" s="74"/>
      <c r="X475" s="74"/>
      <c r="Y475" s="74"/>
      <c r="Z475" s="74"/>
      <c r="AA475" s="74"/>
      <c r="AB475" s="74"/>
    </row>
    <row r="476" spans="1:28" ht="40.5" customHeight="1">
      <c r="A476" s="434"/>
      <c r="B476" s="435"/>
      <c r="C476" s="369"/>
      <c r="D476" s="369"/>
      <c r="E476" s="369"/>
      <c r="F476" s="369"/>
      <c r="G476" s="374"/>
      <c r="H476" s="375"/>
      <c r="I476" s="35"/>
      <c r="J476" s="74"/>
      <c r="K476" s="74"/>
      <c r="L476" s="74"/>
      <c r="M476" s="74"/>
      <c r="N476" s="74"/>
      <c r="O476" s="74"/>
      <c r="P476" s="74"/>
      <c r="Q476" s="74"/>
      <c r="R476" s="74"/>
      <c r="S476" s="74"/>
      <c r="T476" s="74"/>
      <c r="U476" s="74"/>
      <c r="V476" s="74"/>
      <c r="W476" s="74"/>
      <c r="X476" s="74"/>
      <c r="Y476" s="74"/>
      <c r="Z476" s="74"/>
      <c r="AA476" s="74"/>
      <c r="AB476" s="74"/>
    </row>
    <row r="477" spans="1:28" ht="40.5" customHeight="1">
      <c r="A477" s="434"/>
      <c r="B477" s="435"/>
      <c r="C477" s="369"/>
      <c r="D477" s="369"/>
      <c r="E477" s="369"/>
      <c r="F477" s="369"/>
      <c r="G477" s="374"/>
      <c r="H477" s="375"/>
      <c r="I477" s="35"/>
      <c r="J477" s="74"/>
      <c r="K477" s="74"/>
      <c r="L477" s="74"/>
      <c r="M477" s="74"/>
      <c r="N477" s="74"/>
      <c r="O477" s="74"/>
      <c r="P477" s="74"/>
      <c r="Q477" s="74"/>
      <c r="R477" s="74"/>
      <c r="S477" s="74"/>
      <c r="T477" s="74"/>
      <c r="U477" s="74"/>
      <c r="V477" s="74"/>
      <c r="W477" s="74"/>
      <c r="X477" s="74"/>
      <c r="Y477" s="74"/>
      <c r="Z477" s="74"/>
      <c r="AA477" s="74"/>
      <c r="AB477" s="74"/>
    </row>
    <row r="478" spans="1:28" ht="40.5" customHeight="1">
      <c r="A478" s="434"/>
      <c r="B478" s="435"/>
      <c r="C478" s="369"/>
      <c r="D478" s="369"/>
      <c r="E478" s="369"/>
      <c r="F478" s="369"/>
      <c r="G478" s="374"/>
      <c r="H478" s="375"/>
      <c r="I478" s="35"/>
      <c r="J478" s="74"/>
      <c r="K478" s="74"/>
      <c r="L478" s="74"/>
      <c r="M478" s="74"/>
      <c r="N478" s="74"/>
      <c r="O478" s="74"/>
      <c r="P478" s="74"/>
      <c r="Q478" s="74"/>
      <c r="R478" s="74"/>
      <c r="S478" s="74"/>
      <c r="T478" s="74"/>
      <c r="U478" s="74"/>
      <c r="V478" s="74"/>
      <c r="W478" s="74"/>
      <c r="X478" s="74"/>
      <c r="Y478" s="74"/>
      <c r="Z478" s="74"/>
      <c r="AA478" s="74"/>
      <c r="AB478" s="74"/>
    </row>
    <row r="479" spans="1:28" ht="40.5" customHeight="1">
      <c r="A479" s="434"/>
      <c r="B479" s="435"/>
      <c r="C479" s="369"/>
      <c r="D479" s="369"/>
      <c r="E479" s="369"/>
      <c r="F479" s="369"/>
      <c r="G479" s="374"/>
      <c r="H479" s="375"/>
      <c r="I479" s="35"/>
      <c r="J479" s="74"/>
      <c r="K479" s="74"/>
      <c r="L479" s="74"/>
      <c r="M479" s="74"/>
      <c r="N479" s="74"/>
      <c r="O479" s="74"/>
      <c r="P479" s="74"/>
      <c r="Q479" s="74"/>
      <c r="R479" s="74"/>
      <c r="S479" s="74"/>
      <c r="T479" s="74"/>
      <c r="U479" s="74"/>
      <c r="V479" s="74"/>
      <c r="W479" s="74"/>
      <c r="X479" s="74"/>
      <c r="Y479" s="74"/>
      <c r="Z479" s="74"/>
      <c r="AA479" s="74"/>
      <c r="AB479" s="74"/>
    </row>
    <row r="480" spans="1:28" ht="40.5" customHeight="1">
      <c r="A480" s="434"/>
      <c r="B480" s="435"/>
      <c r="C480" s="369"/>
      <c r="D480" s="369"/>
      <c r="E480" s="369"/>
      <c r="F480" s="369"/>
      <c r="G480" s="374"/>
      <c r="H480" s="375"/>
      <c r="I480" s="35"/>
      <c r="J480" s="74"/>
      <c r="K480" s="74"/>
      <c r="L480" s="74"/>
      <c r="M480" s="74"/>
      <c r="N480" s="74"/>
      <c r="O480" s="74"/>
      <c r="P480" s="74"/>
      <c r="Q480" s="74"/>
      <c r="R480" s="74"/>
      <c r="S480" s="74"/>
      <c r="T480" s="74"/>
      <c r="U480" s="74"/>
      <c r="V480" s="74"/>
      <c r="W480" s="74"/>
      <c r="X480" s="74"/>
      <c r="Y480" s="74"/>
      <c r="Z480" s="74"/>
      <c r="AA480" s="74"/>
      <c r="AB480" s="74"/>
    </row>
    <row r="481" spans="1:28" ht="40.5" customHeight="1">
      <c r="A481" s="434"/>
      <c r="B481" s="435"/>
      <c r="C481" s="369"/>
      <c r="D481" s="369"/>
      <c r="E481" s="369"/>
      <c r="F481" s="369"/>
      <c r="G481" s="374"/>
      <c r="H481" s="375"/>
      <c r="I481" s="35"/>
      <c r="J481" s="74"/>
      <c r="K481" s="74"/>
      <c r="L481" s="74"/>
      <c r="M481" s="74"/>
      <c r="N481" s="74"/>
      <c r="O481" s="74"/>
      <c r="P481" s="74"/>
      <c r="Q481" s="74"/>
      <c r="R481" s="74"/>
      <c r="S481" s="74"/>
      <c r="T481" s="74"/>
      <c r="U481" s="74"/>
      <c r="V481" s="74"/>
      <c r="W481" s="74"/>
      <c r="X481" s="74"/>
      <c r="Y481" s="74"/>
      <c r="Z481" s="74"/>
      <c r="AA481" s="74"/>
      <c r="AB481" s="74"/>
    </row>
    <row r="482" spans="1:28" ht="40.5" customHeight="1">
      <c r="A482" s="434"/>
      <c r="B482" s="435"/>
      <c r="C482" s="369"/>
      <c r="D482" s="369"/>
      <c r="E482" s="369"/>
      <c r="F482" s="369"/>
      <c r="G482" s="374"/>
      <c r="H482" s="375"/>
      <c r="I482" s="35"/>
      <c r="J482" s="74"/>
      <c r="K482" s="74"/>
      <c r="L482" s="74"/>
      <c r="M482" s="74"/>
      <c r="N482" s="74"/>
      <c r="O482" s="74"/>
      <c r="P482" s="74"/>
      <c r="Q482" s="74"/>
      <c r="R482" s="74"/>
      <c r="S482" s="74"/>
      <c r="T482" s="74"/>
      <c r="U482" s="74"/>
      <c r="V482" s="74"/>
      <c r="W482" s="74"/>
      <c r="X482" s="74"/>
      <c r="Y482" s="74"/>
      <c r="Z482" s="74"/>
      <c r="AA482" s="74"/>
      <c r="AB482" s="74"/>
    </row>
    <row r="483" spans="1:28" ht="40.5" customHeight="1">
      <c r="A483" s="434"/>
      <c r="B483" s="435"/>
      <c r="C483" s="369"/>
      <c r="D483" s="369"/>
      <c r="E483" s="369"/>
      <c r="F483" s="369"/>
      <c r="G483" s="374"/>
      <c r="H483" s="375"/>
      <c r="I483" s="35"/>
      <c r="J483" s="74"/>
      <c r="K483" s="74"/>
      <c r="L483" s="74"/>
      <c r="M483" s="74"/>
      <c r="N483" s="74"/>
      <c r="O483" s="74"/>
      <c r="P483" s="74"/>
      <c r="Q483" s="74"/>
      <c r="R483" s="74"/>
      <c r="S483" s="74"/>
      <c r="T483" s="74"/>
      <c r="U483" s="74"/>
      <c r="V483" s="74"/>
      <c r="W483" s="74"/>
      <c r="X483" s="74"/>
      <c r="Y483" s="74"/>
      <c r="Z483" s="74"/>
      <c r="AA483" s="74"/>
      <c r="AB483" s="74"/>
    </row>
    <row r="484" spans="1:28" ht="40.5" customHeight="1">
      <c r="A484" s="434"/>
      <c r="B484" s="435"/>
      <c r="C484" s="369"/>
      <c r="D484" s="369"/>
      <c r="E484" s="369"/>
      <c r="F484" s="369"/>
      <c r="G484" s="374"/>
      <c r="H484" s="375"/>
      <c r="I484" s="35"/>
      <c r="J484" s="74"/>
      <c r="K484" s="74"/>
      <c r="L484" s="74"/>
      <c r="M484" s="74"/>
      <c r="N484" s="74"/>
      <c r="O484" s="74"/>
      <c r="P484" s="74"/>
      <c r="Q484" s="74"/>
      <c r="R484" s="74"/>
      <c r="S484" s="74"/>
      <c r="T484" s="74"/>
      <c r="U484" s="74"/>
      <c r="V484" s="74"/>
      <c r="W484" s="74"/>
      <c r="X484" s="74"/>
      <c r="Y484" s="74"/>
      <c r="Z484" s="74"/>
      <c r="AA484" s="74"/>
      <c r="AB484" s="74"/>
    </row>
    <row r="485" spans="1:28" ht="40.5" customHeight="1">
      <c r="A485" s="434"/>
      <c r="B485" s="435"/>
      <c r="C485" s="369"/>
      <c r="D485" s="369"/>
      <c r="E485" s="369"/>
      <c r="F485" s="369"/>
      <c r="G485" s="374"/>
      <c r="H485" s="375"/>
      <c r="I485" s="35"/>
      <c r="J485" s="74"/>
      <c r="K485" s="74"/>
      <c r="L485" s="74"/>
      <c r="M485" s="74"/>
      <c r="N485" s="74"/>
      <c r="O485" s="74"/>
      <c r="P485" s="74"/>
      <c r="Q485" s="74"/>
      <c r="R485" s="74"/>
      <c r="S485" s="74"/>
      <c r="T485" s="74"/>
      <c r="U485" s="74"/>
      <c r="V485" s="74"/>
      <c r="W485" s="74"/>
      <c r="X485" s="74"/>
      <c r="Y485" s="74"/>
      <c r="Z485" s="74"/>
      <c r="AA485" s="74"/>
      <c r="AB485" s="74"/>
    </row>
    <row r="486" spans="1:28" ht="40.5" customHeight="1">
      <c r="A486" s="434"/>
      <c r="B486" s="435"/>
      <c r="C486" s="369"/>
      <c r="D486" s="369"/>
      <c r="E486" s="369"/>
      <c r="F486" s="369"/>
      <c r="G486" s="374"/>
      <c r="H486" s="375"/>
      <c r="I486" s="35"/>
      <c r="J486" s="74"/>
      <c r="K486" s="74"/>
      <c r="L486" s="74"/>
      <c r="M486" s="74"/>
      <c r="N486" s="74"/>
      <c r="O486" s="74"/>
      <c r="P486" s="74"/>
      <c r="Q486" s="74"/>
      <c r="R486" s="74"/>
      <c r="S486" s="74"/>
      <c r="T486" s="74"/>
      <c r="U486" s="74"/>
      <c r="V486" s="74"/>
      <c r="W486" s="74"/>
      <c r="X486" s="74"/>
      <c r="Y486" s="74"/>
      <c r="Z486" s="74"/>
      <c r="AA486" s="74"/>
      <c r="AB486" s="74"/>
    </row>
    <row r="487" spans="1:28" ht="40.5" customHeight="1">
      <c r="A487" s="434"/>
      <c r="B487" s="435"/>
      <c r="C487" s="369"/>
      <c r="D487" s="369"/>
      <c r="E487" s="369"/>
      <c r="F487" s="369"/>
      <c r="G487" s="374"/>
      <c r="H487" s="375"/>
      <c r="I487" s="35"/>
      <c r="J487" s="74"/>
      <c r="K487" s="74"/>
      <c r="L487" s="74"/>
      <c r="M487" s="74"/>
      <c r="N487" s="74"/>
      <c r="O487" s="74"/>
      <c r="P487" s="74"/>
      <c r="Q487" s="74"/>
      <c r="R487" s="74"/>
      <c r="S487" s="74"/>
      <c r="T487" s="74"/>
      <c r="U487" s="74"/>
      <c r="V487" s="74"/>
      <c r="W487" s="74"/>
      <c r="X487" s="74"/>
      <c r="Y487" s="74"/>
      <c r="Z487" s="74"/>
      <c r="AA487" s="74"/>
      <c r="AB487" s="74"/>
    </row>
    <row r="488" spans="1:28" ht="40.5" customHeight="1">
      <c r="A488" s="434"/>
      <c r="B488" s="435"/>
      <c r="C488" s="369"/>
      <c r="D488" s="369"/>
      <c r="E488" s="369"/>
      <c r="F488" s="369"/>
      <c r="G488" s="374"/>
      <c r="H488" s="375"/>
      <c r="I488" s="35"/>
      <c r="J488" s="74"/>
      <c r="K488" s="74"/>
      <c r="L488" s="74"/>
      <c r="M488" s="74"/>
      <c r="N488" s="74"/>
      <c r="O488" s="74"/>
      <c r="P488" s="74"/>
      <c r="Q488" s="74"/>
      <c r="R488" s="74"/>
      <c r="S488" s="74"/>
      <c r="T488" s="74"/>
      <c r="U488" s="74"/>
      <c r="V488" s="74"/>
      <c r="W488" s="74"/>
      <c r="X488" s="74"/>
      <c r="Y488" s="74"/>
      <c r="Z488" s="74"/>
      <c r="AA488" s="74"/>
      <c r="AB488" s="74"/>
    </row>
    <row r="489" spans="1:28" ht="40.5" customHeight="1">
      <c r="A489" s="434"/>
      <c r="B489" s="435"/>
      <c r="C489" s="369"/>
      <c r="D489" s="369"/>
      <c r="E489" s="369"/>
      <c r="F489" s="369"/>
      <c r="G489" s="374"/>
      <c r="H489" s="375"/>
      <c r="I489" s="35"/>
      <c r="J489" s="74"/>
      <c r="K489" s="74"/>
      <c r="L489" s="74"/>
      <c r="M489" s="74"/>
      <c r="N489" s="74"/>
      <c r="O489" s="74"/>
      <c r="P489" s="74"/>
      <c r="Q489" s="74"/>
      <c r="R489" s="74"/>
      <c r="S489" s="74"/>
      <c r="T489" s="74"/>
      <c r="U489" s="74"/>
      <c r="V489" s="74"/>
      <c r="W489" s="74"/>
      <c r="X489" s="74"/>
      <c r="Y489" s="74"/>
      <c r="Z489" s="74"/>
      <c r="AA489" s="74"/>
      <c r="AB489" s="74"/>
    </row>
    <row r="490" spans="1:28" ht="40.5" customHeight="1">
      <c r="A490" s="434"/>
      <c r="B490" s="435"/>
      <c r="C490" s="369"/>
      <c r="D490" s="369"/>
      <c r="E490" s="369"/>
      <c r="F490" s="369"/>
      <c r="G490" s="374"/>
      <c r="H490" s="375"/>
      <c r="I490" s="35"/>
      <c r="J490" s="74"/>
      <c r="K490" s="74"/>
      <c r="L490" s="74"/>
      <c r="M490" s="74"/>
      <c r="N490" s="74"/>
      <c r="O490" s="74"/>
      <c r="P490" s="74"/>
      <c r="Q490" s="74"/>
      <c r="R490" s="74"/>
      <c r="S490" s="74"/>
      <c r="T490" s="74"/>
      <c r="U490" s="74"/>
      <c r="V490" s="74"/>
      <c r="W490" s="74"/>
      <c r="X490" s="74"/>
      <c r="Y490" s="74"/>
      <c r="Z490" s="74"/>
      <c r="AA490" s="74"/>
      <c r="AB490" s="74"/>
    </row>
    <row r="491" spans="1:28" ht="40.5" customHeight="1">
      <c r="A491" s="434"/>
      <c r="B491" s="435"/>
      <c r="C491" s="369"/>
      <c r="D491" s="369"/>
      <c r="E491" s="369"/>
      <c r="F491" s="369"/>
      <c r="G491" s="374"/>
      <c r="H491" s="375"/>
      <c r="I491" s="35"/>
      <c r="J491" s="74"/>
      <c r="K491" s="74"/>
      <c r="L491" s="74"/>
      <c r="M491" s="74"/>
      <c r="N491" s="74"/>
      <c r="O491" s="74"/>
      <c r="P491" s="74"/>
      <c r="Q491" s="74"/>
      <c r="R491" s="74"/>
      <c r="S491" s="74"/>
      <c r="T491" s="74"/>
      <c r="U491" s="74"/>
      <c r="V491" s="74"/>
      <c r="W491" s="74"/>
      <c r="X491" s="74"/>
      <c r="Y491" s="74"/>
      <c r="Z491" s="74"/>
      <c r="AA491" s="74"/>
      <c r="AB491" s="74"/>
    </row>
    <row r="492" spans="1:28" ht="40.5" customHeight="1">
      <c r="A492" s="434"/>
      <c r="B492" s="435"/>
      <c r="C492" s="369"/>
      <c r="D492" s="369"/>
      <c r="E492" s="369"/>
      <c r="F492" s="369"/>
      <c r="G492" s="374"/>
      <c r="H492" s="375"/>
      <c r="I492" s="35"/>
      <c r="J492" s="74"/>
      <c r="K492" s="74"/>
      <c r="L492" s="74"/>
      <c r="M492" s="74"/>
      <c r="N492" s="74"/>
      <c r="O492" s="74"/>
      <c r="P492" s="74"/>
      <c r="Q492" s="74"/>
      <c r="R492" s="74"/>
      <c r="S492" s="74"/>
      <c r="T492" s="74"/>
      <c r="U492" s="74"/>
      <c r="V492" s="74"/>
      <c r="W492" s="74"/>
      <c r="X492" s="74"/>
      <c r="Y492" s="74"/>
      <c r="Z492" s="74"/>
      <c r="AA492" s="74"/>
      <c r="AB492" s="74"/>
    </row>
    <row r="493" spans="1:28" ht="40.5" customHeight="1">
      <c r="A493" s="434"/>
      <c r="B493" s="435"/>
      <c r="C493" s="369"/>
      <c r="D493" s="369"/>
      <c r="E493" s="369"/>
      <c r="F493" s="369"/>
      <c r="G493" s="374"/>
      <c r="H493" s="375"/>
      <c r="I493" s="35"/>
      <c r="J493" s="74"/>
      <c r="K493" s="74"/>
      <c r="L493" s="74"/>
      <c r="M493" s="74"/>
      <c r="N493" s="74"/>
      <c r="O493" s="74"/>
      <c r="P493" s="74"/>
      <c r="Q493" s="74"/>
      <c r="R493" s="74"/>
      <c r="S493" s="74"/>
      <c r="T493" s="74"/>
      <c r="U493" s="74"/>
      <c r="V493" s="74"/>
      <c r="W493" s="74"/>
      <c r="X493" s="74"/>
      <c r="Y493" s="74"/>
      <c r="Z493" s="74"/>
      <c r="AA493" s="74"/>
      <c r="AB493" s="74"/>
    </row>
    <row r="494" spans="1:28" ht="40.5" customHeight="1">
      <c r="A494" s="434"/>
      <c r="B494" s="435"/>
      <c r="C494" s="369"/>
      <c r="D494" s="369"/>
      <c r="E494" s="369"/>
      <c r="F494" s="369"/>
      <c r="G494" s="374"/>
      <c r="H494" s="375"/>
      <c r="I494" s="35"/>
      <c r="J494" s="74"/>
      <c r="K494" s="74"/>
      <c r="L494" s="74"/>
      <c r="M494" s="74"/>
      <c r="N494" s="74"/>
      <c r="O494" s="74"/>
      <c r="P494" s="74"/>
      <c r="Q494" s="74"/>
      <c r="R494" s="74"/>
      <c r="S494" s="74"/>
      <c r="T494" s="74"/>
      <c r="U494" s="74"/>
      <c r="V494" s="74"/>
      <c r="W494" s="74"/>
      <c r="X494" s="74"/>
      <c r="Y494" s="74"/>
      <c r="Z494" s="74"/>
      <c r="AA494" s="74"/>
      <c r="AB494" s="74"/>
    </row>
    <row r="495" spans="1:28" ht="40.5" customHeight="1">
      <c r="A495" s="434"/>
      <c r="B495" s="435"/>
      <c r="C495" s="369"/>
      <c r="D495" s="369"/>
      <c r="E495" s="369"/>
      <c r="F495" s="369"/>
      <c r="G495" s="374"/>
      <c r="H495" s="375"/>
      <c r="I495" s="35"/>
      <c r="J495" s="74"/>
      <c r="K495" s="74"/>
      <c r="L495" s="74"/>
      <c r="M495" s="74"/>
      <c r="N495" s="74"/>
      <c r="O495" s="74"/>
      <c r="P495" s="74"/>
      <c r="Q495" s="74"/>
      <c r="R495" s="74"/>
      <c r="S495" s="74"/>
      <c r="T495" s="74"/>
      <c r="U495" s="74"/>
      <c r="V495" s="74"/>
      <c r="W495" s="74"/>
      <c r="X495" s="74"/>
      <c r="Y495" s="74"/>
      <c r="Z495" s="74"/>
      <c r="AA495" s="74"/>
      <c r="AB495" s="74"/>
    </row>
    <row r="496" spans="1:28" ht="40.5" customHeight="1">
      <c r="A496" s="434"/>
      <c r="B496" s="435"/>
      <c r="C496" s="369"/>
      <c r="D496" s="369"/>
      <c r="E496" s="369"/>
      <c r="F496" s="369"/>
      <c r="G496" s="374"/>
      <c r="H496" s="375"/>
      <c r="I496" s="35"/>
      <c r="J496" s="74"/>
      <c r="K496" s="74"/>
      <c r="L496" s="74"/>
      <c r="M496" s="74"/>
      <c r="N496" s="74"/>
      <c r="O496" s="74"/>
      <c r="P496" s="74"/>
      <c r="Q496" s="74"/>
      <c r="R496" s="74"/>
      <c r="S496" s="74"/>
      <c r="T496" s="74"/>
      <c r="U496" s="74"/>
      <c r="V496" s="74"/>
      <c r="W496" s="74"/>
      <c r="X496" s="74"/>
      <c r="Y496" s="74"/>
      <c r="Z496" s="74"/>
      <c r="AA496" s="74"/>
      <c r="AB496" s="74"/>
    </row>
    <row r="497" spans="1:28" ht="40.5" customHeight="1">
      <c r="A497" s="434"/>
      <c r="B497" s="435"/>
      <c r="C497" s="369"/>
      <c r="D497" s="369"/>
      <c r="E497" s="369"/>
      <c r="F497" s="369"/>
      <c r="G497" s="374"/>
      <c r="H497" s="375"/>
      <c r="I497" s="35"/>
      <c r="J497" s="74"/>
      <c r="K497" s="74"/>
      <c r="L497" s="74"/>
      <c r="M497" s="74"/>
      <c r="N497" s="74"/>
      <c r="O497" s="74"/>
      <c r="P497" s="74"/>
      <c r="Q497" s="74"/>
      <c r="R497" s="74"/>
      <c r="S497" s="74"/>
      <c r="T497" s="74"/>
      <c r="U497" s="74"/>
      <c r="V497" s="74"/>
      <c r="W497" s="74"/>
      <c r="X497" s="74"/>
      <c r="Y497" s="74"/>
      <c r="Z497" s="74"/>
      <c r="AA497" s="74"/>
      <c r="AB497" s="74"/>
    </row>
    <row r="498" spans="1:28" ht="40.5" customHeight="1">
      <c r="A498" s="434"/>
      <c r="B498" s="435"/>
      <c r="C498" s="369"/>
      <c r="D498" s="369"/>
      <c r="E498" s="369"/>
      <c r="F498" s="369"/>
      <c r="G498" s="374"/>
      <c r="H498" s="375"/>
      <c r="I498" s="35"/>
      <c r="J498" s="74"/>
      <c r="K498" s="74"/>
      <c r="L498" s="74"/>
      <c r="M498" s="74"/>
      <c r="N498" s="74"/>
      <c r="O498" s="74"/>
      <c r="P498" s="74"/>
      <c r="Q498" s="74"/>
      <c r="R498" s="74"/>
      <c r="S498" s="74"/>
      <c r="T498" s="74"/>
      <c r="U498" s="74"/>
      <c r="V498" s="74"/>
      <c r="W498" s="74"/>
      <c r="X498" s="74"/>
      <c r="Y498" s="74"/>
      <c r="Z498" s="74"/>
      <c r="AA498" s="74"/>
      <c r="AB498" s="74"/>
    </row>
    <row r="499" spans="1:28" ht="40.5" customHeight="1">
      <c r="A499" s="434"/>
      <c r="B499" s="435"/>
      <c r="C499" s="369"/>
      <c r="D499" s="369"/>
      <c r="E499" s="369"/>
      <c r="F499" s="369"/>
      <c r="G499" s="374"/>
      <c r="H499" s="375"/>
      <c r="I499" s="35"/>
      <c r="J499" s="74"/>
      <c r="K499" s="74"/>
      <c r="L499" s="74"/>
      <c r="M499" s="74"/>
      <c r="N499" s="74"/>
      <c r="O499" s="74"/>
      <c r="P499" s="74"/>
      <c r="Q499" s="74"/>
      <c r="R499" s="74"/>
      <c r="S499" s="74"/>
      <c r="T499" s="74"/>
      <c r="U499" s="74"/>
      <c r="V499" s="74"/>
      <c r="W499" s="74"/>
      <c r="X499" s="74"/>
      <c r="Y499" s="74"/>
      <c r="Z499" s="74"/>
      <c r="AA499" s="74"/>
      <c r="AB499" s="74"/>
    </row>
    <row r="500" spans="1:28" ht="40.5" customHeight="1">
      <c r="A500" s="434"/>
      <c r="B500" s="435"/>
      <c r="C500" s="369"/>
      <c r="D500" s="369"/>
      <c r="E500" s="369"/>
      <c r="F500" s="369"/>
      <c r="G500" s="374"/>
      <c r="H500" s="375"/>
      <c r="I500" s="35"/>
      <c r="J500" s="74"/>
      <c r="K500" s="74"/>
      <c r="L500" s="74"/>
      <c r="M500" s="74"/>
      <c r="N500" s="74"/>
      <c r="O500" s="74"/>
      <c r="P500" s="74"/>
      <c r="Q500" s="74"/>
      <c r="R500" s="74"/>
      <c r="S500" s="74"/>
      <c r="T500" s="74"/>
      <c r="U500" s="74"/>
      <c r="V500" s="74"/>
      <c r="W500" s="74"/>
      <c r="X500" s="74"/>
      <c r="Y500" s="74"/>
      <c r="Z500" s="74"/>
      <c r="AA500" s="74"/>
      <c r="AB500" s="74"/>
    </row>
    <row r="501" spans="1:28" ht="40.5" customHeight="1">
      <c r="A501" s="434"/>
      <c r="B501" s="435"/>
      <c r="C501" s="369"/>
      <c r="D501" s="369"/>
      <c r="E501" s="369"/>
      <c r="F501" s="369"/>
      <c r="G501" s="374"/>
      <c r="H501" s="375"/>
      <c r="I501" s="35"/>
      <c r="J501" s="74"/>
      <c r="K501" s="74"/>
      <c r="L501" s="74"/>
      <c r="M501" s="74"/>
      <c r="N501" s="74"/>
      <c r="O501" s="74"/>
      <c r="P501" s="74"/>
      <c r="Q501" s="74"/>
      <c r="R501" s="74"/>
      <c r="S501" s="74"/>
      <c r="T501" s="74"/>
      <c r="U501" s="74"/>
      <c r="V501" s="74"/>
      <c r="W501" s="74"/>
      <c r="X501" s="74"/>
      <c r="Y501" s="74"/>
      <c r="Z501" s="74"/>
      <c r="AA501" s="74"/>
      <c r="AB501" s="74"/>
    </row>
    <row r="502" spans="1:28" ht="40.5" customHeight="1">
      <c r="A502" s="434"/>
      <c r="B502" s="435"/>
      <c r="C502" s="369"/>
      <c r="D502" s="369"/>
      <c r="E502" s="369"/>
      <c r="F502" s="369"/>
      <c r="G502" s="374"/>
      <c r="H502" s="375"/>
      <c r="I502" s="35"/>
      <c r="J502" s="74"/>
      <c r="K502" s="74"/>
      <c r="L502" s="74"/>
      <c r="M502" s="74"/>
      <c r="N502" s="74"/>
      <c r="O502" s="74"/>
      <c r="P502" s="74"/>
      <c r="Q502" s="74"/>
      <c r="R502" s="74"/>
      <c r="S502" s="74"/>
      <c r="T502" s="74"/>
      <c r="U502" s="74"/>
      <c r="V502" s="74"/>
      <c r="W502" s="74"/>
      <c r="X502" s="74"/>
      <c r="Y502" s="74"/>
      <c r="Z502" s="74"/>
      <c r="AA502" s="74"/>
      <c r="AB502" s="74"/>
    </row>
    <row r="503" spans="1:28" ht="40.5" customHeight="1">
      <c r="A503" s="434"/>
      <c r="B503" s="435"/>
      <c r="C503" s="369"/>
      <c r="D503" s="369"/>
      <c r="E503" s="369"/>
      <c r="F503" s="369"/>
      <c r="G503" s="374"/>
      <c r="H503" s="375"/>
      <c r="I503" s="35"/>
      <c r="J503" s="74"/>
      <c r="K503" s="74"/>
      <c r="L503" s="74"/>
      <c r="M503" s="74"/>
      <c r="N503" s="74"/>
      <c r="O503" s="74"/>
      <c r="P503" s="74"/>
      <c r="Q503" s="74"/>
      <c r="R503" s="74"/>
      <c r="S503" s="74"/>
      <c r="T503" s="74"/>
      <c r="U503" s="74"/>
      <c r="V503" s="74"/>
      <c r="W503" s="74"/>
      <c r="X503" s="74"/>
      <c r="Y503" s="74"/>
      <c r="Z503" s="74"/>
      <c r="AA503" s="74"/>
      <c r="AB503" s="74"/>
    </row>
    <row r="504" spans="1:28" ht="40.5" customHeight="1">
      <c r="A504" s="434"/>
      <c r="B504" s="435"/>
      <c r="C504" s="369"/>
      <c r="D504" s="369"/>
      <c r="E504" s="369"/>
      <c r="F504" s="369"/>
      <c r="G504" s="374"/>
      <c r="H504" s="375"/>
      <c r="I504" s="35"/>
      <c r="J504" s="74"/>
      <c r="K504" s="74"/>
      <c r="L504" s="74"/>
      <c r="M504" s="74"/>
      <c r="N504" s="74"/>
      <c r="O504" s="74"/>
      <c r="P504" s="74"/>
      <c r="Q504" s="74"/>
      <c r="R504" s="74"/>
      <c r="S504" s="74"/>
      <c r="T504" s="74"/>
      <c r="U504" s="74"/>
      <c r="V504" s="74"/>
      <c r="W504" s="74"/>
      <c r="X504" s="74"/>
      <c r="Y504" s="74"/>
      <c r="Z504" s="74"/>
      <c r="AA504" s="74"/>
      <c r="AB504" s="74"/>
    </row>
    <row r="505" spans="1:28" ht="40.5" customHeight="1">
      <c r="A505" s="434"/>
      <c r="B505" s="435"/>
      <c r="C505" s="369"/>
      <c r="D505" s="369"/>
      <c r="E505" s="369"/>
      <c r="F505" s="369"/>
      <c r="G505" s="374"/>
      <c r="H505" s="375"/>
      <c r="I505" s="35"/>
      <c r="J505" s="74"/>
      <c r="K505" s="74"/>
      <c r="L505" s="74"/>
      <c r="M505" s="74"/>
      <c r="N505" s="74"/>
      <c r="O505" s="74"/>
      <c r="P505" s="74"/>
      <c r="Q505" s="74"/>
      <c r="R505" s="74"/>
      <c r="S505" s="74"/>
      <c r="T505" s="74"/>
      <c r="U505" s="74"/>
      <c r="V505" s="74"/>
      <c r="W505" s="74"/>
      <c r="X505" s="74"/>
      <c r="Y505" s="74"/>
      <c r="Z505" s="74"/>
      <c r="AA505" s="74"/>
      <c r="AB505" s="74"/>
    </row>
    <row r="506" spans="1:28" ht="40.5" customHeight="1">
      <c r="A506" s="434"/>
      <c r="B506" s="435"/>
      <c r="C506" s="369"/>
      <c r="D506" s="369"/>
      <c r="E506" s="369"/>
      <c r="F506" s="369"/>
      <c r="G506" s="374"/>
      <c r="H506" s="375"/>
      <c r="I506" s="35"/>
      <c r="J506" s="74"/>
      <c r="K506" s="74"/>
      <c r="L506" s="74"/>
      <c r="M506" s="74"/>
      <c r="N506" s="74"/>
      <c r="O506" s="74"/>
      <c r="P506" s="74"/>
      <c r="Q506" s="74"/>
      <c r="R506" s="74"/>
      <c r="S506" s="74"/>
      <c r="T506" s="74"/>
      <c r="U506" s="74"/>
      <c r="V506" s="74"/>
      <c r="W506" s="74"/>
      <c r="X506" s="74"/>
      <c r="Y506" s="74"/>
      <c r="Z506" s="74"/>
      <c r="AA506" s="74"/>
      <c r="AB506" s="74"/>
    </row>
    <row r="507" spans="1:28" ht="40.5" customHeight="1">
      <c r="A507" s="434"/>
      <c r="B507" s="435"/>
      <c r="C507" s="369"/>
      <c r="D507" s="369"/>
      <c r="E507" s="369"/>
      <c r="F507" s="369"/>
      <c r="G507" s="374"/>
      <c r="H507" s="375"/>
      <c r="I507" s="35"/>
      <c r="J507" s="74"/>
      <c r="K507" s="74"/>
      <c r="L507" s="74"/>
      <c r="M507" s="74"/>
      <c r="N507" s="74"/>
      <c r="O507" s="74"/>
      <c r="P507" s="74"/>
      <c r="Q507" s="74"/>
      <c r="R507" s="74"/>
      <c r="S507" s="74"/>
      <c r="T507" s="74"/>
      <c r="U507" s="74"/>
      <c r="V507" s="74"/>
      <c r="W507" s="74"/>
      <c r="X507" s="74"/>
      <c r="Y507" s="74"/>
      <c r="Z507" s="74"/>
      <c r="AA507" s="74"/>
      <c r="AB507" s="74"/>
    </row>
    <row r="508" spans="1:28" ht="40.5" customHeight="1">
      <c r="A508" s="434"/>
      <c r="B508" s="435"/>
      <c r="C508" s="369"/>
      <c r="D508" s="369"/>
      <c r="E508" s="369"/>
      <c r="F508" s="369"/>
      <c r="G508" s="374"/>
      <c r="H508" s="375"/>
      <c r="I508" s="35"/>
      <c r="J508" s="74"/>
      <c r="K508" s="74"/>
      <c r="L508" s="74"/>
      <c r="M508" s="74"/>
      <c r="N508" s="74"/>
      <c r="O508" s="74"/>
      <c r="P508" s="74"/>
      <c r="Q508" s="74"/>
      <c r="R508" s="74"/>
      <c r="S508" s="74"/>
      <c r="T508" s="74"/>
      <c r="U508" s="74"/>
      <c r="V508" s="74"/>
      <c r="W508" s="74"/>
      <c r="X508" s="74"/>
      <c r="Y508" s="74"/>
      <c r="Z508" s="74"/>
      <c r="AA508" s="74"/>
      <c r="AB508" s="74"/>
    </row>
    <row r="509" spans="1:28" ht="40.5" customHeight="1">
      <c r="A509" s="434"/>
      <c r="B509" s="435"/>
      <c r="C509" s="369"/>
      <c r="D509" s="369"/>
      <c r="E509" s="369"/>
      <c r="F509" s="369"/>
      <c r="G509" s="374"/>
      <c r="H509" s="375"/>
      <c r="I509" s="35"/>
      <c r="J509" s="74"/>
      <c r="K509" s="74"/>
      <c r="L509" s="74"/>
      <c r="M509" s="74"/>
      <c r="N509" s="74"/>
      <c r="O509" s="74"/>
      <c r="P509" s="74"/>
      <c r="Q509" s="74"/>
      <c r="R509" s="74"/>
      <c r="S509" s="74"/>
      <c r="T509" s="74"/>
      <c r="U509" s="74"/>
      <c r="V509" s="74"/>
      <c r="W509" s="74"/>
      <c r="X509" s="74"/>
      <c r="Y509" s="74"/>
      <c r="Z509" s="74"/>
      <c r="AA509" s="74"/>
      <c r="AB509" s="74"/>
    </row>
    <row r="510" spans="1:28" ht="40.5" customHeight="1">
      <c r="A510" s="434"/>
      <c r="B510" s="435"/>
      <c r="C510" s="369"/>
      <c r="D510" s="369"/>
      <c r="E510" s="369"/>
      <c r="F510" s="369"/>
      <c r="G510" s="374"/>
      <c r="H510" s="375"/>
      <c r="I510" s="35"/>
      <c r="J510" s="74"/>
      <c r="K510" s="74"/>
      <c r="L510" s="74"/>
      <c r="M510" s="74"/>
      <c r="N510" s="74"/>
      <c r="O510" s="74"/>
      <c r="P510" s="74"/>
      <c r="Q510" s="74"/>
      <c r="R510" s="74"/>
      <c r="S510" s="74"/>
      <c r="T510" s="74"/>
      <c r="U510" s="74"/>
      <c r="V510" s="74"/>
      <c r="W510" s="74"/>
      <c r="X510" s="74"/>
      <c r="Y510" s="74"/>
      <c r="Z510" s="74"/>
      <c r="AA510" s="74"/>
      <c r="AB510" s="74"/>
    </row>
    <row r="511" spans="1:28" ht="40.5" customHeight="1">
      <c r="A511" s="434"/>
      <c r="B511" s="435"/>
      <c r="C511" s="369"/>
      <c r="D511" s="369"/>
      <c r="E511" s="369"/>
      <c r="F511" s="369"/>
      <c r="G511" s="374"/>
      <c r="H511" s="375"/>
      <c r="I511" s="35"/>
      <c r="J511" s="74"/>
      <c r="K511" s="74"/>
      <c r="L511" s="74"/>
      <c r="M511" s="74"/>
      <c r="N511" s="74"/>
      <c r="O511" s="74"/>
      <c r="P511" s="74"/>
      <c r="Q511" s="74"/>
      <c r="R511" s="74"/>
      <c r="S511" s="74"/>
      <c r="T511" s="74"/>
      <c r="U511" s="74"/>
      <c r="V511" s="74"/>
      <c r="W511" s="74"/>
      <c r="X511" s="74"/>
      <c r="Y511" s="74"/>
      <c r="Z511" s="74"/>
      <c r="AA511" s="74"/>
      <c r="AB511" s="74"/>
    </row>
    <row r="512" spans="1:28" ht="40.5" customHeight="1">
      <c r="A512" s="434"/>
      <c r="B512" s="435"/>
      <c r="C512" s="369"/>
      <c r="D512" s="369"/>
      <c r="E512" s="369"/>
      <c r="F512" s="369"/>
      <c r="G512" s="374"/>
      <c r="H512" s="375"/>
      <c r="I512" s="35"/>
      <c r="J512" s="74"/>
      <c r="K512" s="74"/>
      <c r="L512" s="74"/>
      <c r="M512" s="74"/>
      <c r="N512" s="74"/>
      <c r="O512" s="74"/>
      <c r="P512" s="74"/>
      <c r="Q512" s="74"/>
      <c r="R512" s="74"/>
      <c r="S512" s="74"/>
      <c r="T512" s="74"/>
      <c r="U512" s="74"/>
      <c r="V512" s="74"/>
      <c r="W512" s="74"/>
      <c r="X512" s="74"/>
      <c r="Y512" s="74"/>
      <c r="Z512" s="74"/>
      <c r="AA512" s="74"/>
      <c r="AB512" s="74"/>
    </row>
    <row r="513" spans="1:28" ht="40.5" customHeight="1">
      <c r="A513" s="434"/>
      <c r="B513" s="435"/>
      <c r="C513" s="369"/>
      <c r="D513" s="369"/>
      <c r="E513" s="369"/>
      <c r="F513" s="369"/>
      <c r="G513" s="374"/>
      <c r="H513" s="375"/>
      <c r="I513" s="35"/>
      <c r="J513" s="74"/>
      <c r="K513" s="74"/>
      <c r="L513" s="74"/>
      <c r="M513" s="74"/>
      <c r="N513" s="74"/>
      <c r="O513" s="74"/>
      <c r="P513" s="74"/>
      <c r="Q513" s="74"/>
      <c r="R513" s="74"/>
      <c r="S513" s="74"/>
      <c r="T513" s="74"/>
      <c r="U513" s="74"/>
      <c r="V513" s="74"/>
      <c r="W513" s="74"/>
      <c r="X513" s="74"/>
      <c r="Y513" s="74"/>
      <c r="Z513" s="74"/>
      <c r="AA513" s="74"/>
      <c r="AB513" s="74"/>
    </row>
    <row r="514" spans="1:28" ht="40.5" customHeight="1">
      <c r="A514" s="434"/>
      <c r="B514" s="435"/>
      <c r="C514" s="369"/>
      <c r="D514" s="369"/>
      <c r="E514" s="369"/>
      <c r="F514" s="369"/>
      <c r="G514" s="374"/>
      <c r="H514" s="375"/>
      <c r="I514" s="35"/>
      <c r="J514" s="74"/>
      <c r="K514" s="74"/>
      <c r="L514" s="74"/>
      <c r="M514" s="74"/>
      <c r="N514" s="74"/>
      <c r="O514" s="74"/>
      <c r="P514" s="74"/>
      <c r="Q514" s="74"/>
      <c r="R514" s="74"/>
      <c r="S514" s="74"/>
      <c r="T514" s="74"/>
      <c r="U514" s="74"/>
      <c r="V514" s="74"/>
      <c r="W514" s="74"/>
      <c r="X514" s="74"/>
      <c r="Y514" s="74"/>
      <c r="Z514" s="74"/>
      <c r="AA514" s="74"/>
      <c r="AB514" s="74"/>
    </row>
    <row r="515" spans="1:28" ht="40.5" customHeight="1">
      <c r="A515" s="434"/>
      <c r="B515" s="435"/>
      <c r="C515" s="369"/>
      <c r="D515" s="369"/>
      <c r="E515" s="369"/>
      <c r="F515" s="369"/>
      <c r="G515" s="374"/>
      <c r="H515" s="375"/>
      <c r="I515" s="35"/>
      <c r="J515" s="74"/>
      <c r="K515" s="74"/>
      <c r="L515" s="74"/>
      <c r="M515" s="74"/>
      <c r="N515" s="74"/>
      <c r="O515" s="74"/>
      <c r="P515" s="74"/>
      <c r="Q515" s="74"/>
      <c r="R515" s="74"/>
      <c r="S515" s="74"/>
      <c r="T515" s="74"/>
      <c r="U515" s="74"/>
      <c r="V515" s="74"/>
      <c r="W515" s="74"/>
      <c r="X515" s="74"/>
      <c r="Y515" s="74"/>
      <c r="Z515" s="74"/>
      <c r="AA515" s="74"/>
      <c r="AB515" s="74"/>
    </row>
    <row r="516" spans="1:28" ht="40.5" customHeight="1">
      <c r="A516" s="434"/>
      <c r="B516" s="435"/>
      <c r="C516" s="369"/>
      <c r="D516" s="369"/>
      <c r="E516" s="369"/>
      <c r="F516" s="369"/>
      <c r="G516" s="374"/>
      <c r="H516" s="375"/>
      <c r="I516" s="35"/>
      <c r="J516" s="74"/>
      <c r="K516" s="74"/>
      <c r="L516" s="74"/>
      <c r="M516" s="74"/>
      <c r="N516" s="74"/>
      <c r="O516" s="74"/>
      <c r="P516" s="74"/>
      <c r="Q516" s="74"/>
      <c r="R516" s="74"/>
      <c r="S516" s="74"/>
      <c r="T516" s="74"/>
      <c r="U516" s="74"/>
      <c r="V516" s="74"/>
      <c r="W516" s="74"/>
      <c r="X516" s="74"/>
      <c r="Y516" s="74"/>
      <c r="Z516" s="74"/>
      <c r="AA516" s="74"/>
      <c r="AB516" s="74"/>
    </row>
    <row r="517" spans="1:28" ht="40.5" customHeight="1">
      <c r="A517" s="434"/>
      <c r="B517" s="435"/>
      <c r="C517" s="369"/>
      <c r="D517" s="369"/>
      <c r="E517" s="369"/>
      <c r="F517" s="369"/>
      <c r="G517" s="374"/>
      <c r="H517" s="375"/>
      <c r="I517" s="35"/>
      <c r="J517" s="74"/>
      <c r="K517" s="74"/>
      <c r="L517" s="74"/>
      <c r="M517" s="74"/>
      <c r="N517" s="74"/>
      <c r="O517" s="74"/>
      <c r="P517" s="74"/>
      <c r="Q517" s="74"/>
      <c r="R517" s="74"/>
      <c r="S517" s="74"/>
      <c r="T517" s="74"/>
      <c r="U517" s="74"/>
      <c r="V517" s="74"/>
      <c r="W517" s="74"/>
      <c r="X517" s="74"/>
      <c r="Y517" s="74"/>
      <c r="Z517" s="74"/>
      <c r="AA517" s="74"/>
      <c r="AB517" s="74"/>
    </row>
    <row r="518" spans="1:28" ht="40.5" customHeight="1">
      <c r="A518" s="434"/>
      <c r="B518" s="435"/>
      <c r="C518" s="369"/>
      <c r="D518" s="369"/>
      <c r="E518" s="369"/>
      <c r="F518" s="369"/>
      <c r="G518" s="374"/>
      <c r="H518" s="375"/>
      <c r="I518" s="35"/>
      <c r="J518" s="74"/>
      <c r="K518" s="74"/>
      <c r="L518" s="74"/>
      <c r="M518" s="74"/>
      <c r="N518" s="74"/>
      <c r="O518" s="74"/>
      <c r="P518" s="74"/>
      <c r="Q518" s="74"/>
      <c r="R518" s="74"/>
      <c r="S518" s="74"/>
      <c r="T518" s="74"/>
      <c r="U518" s="74"/>
      <c r="V518" s="74"/>
      <c r="W518" s="74"/>
      <c r="X518" s="74"/>
      <c r="Y518" s="74"/>
      <c r="Z518" s="74"/>
      <c r="AA518" s="74"/>
      <c r="AB518" s="74"/>
    </row>
    <row r="519" spans="1:28" ht="40.5" customHeight="1">
      <c r="A519" s="434"/>
      <c r="B519" s="435"/>
      <c r="C519" s="369"/>
      <c r="D519" s="369"/>
      <c r="E519" s="369"/>
      <c r="F519" s="369"/>
      <c r="G519" s="374"/>
      <c r="H519" s="375"/>
      <c r="I519" s="35"/>
      <c r="J519" s="74"/>
      <c r="K519" s="74"/>
      <c r="L519" s="74"/>
      <c r="M519" s="74"/>
      <c r="N519" s="74"/>
      <c r="O519" s="74"/>
      <c r="P519" s="74"/>
      <c r="Q519" s="74"/>
      <c r="R519" s="74"/>
      <c r="S519" s="74"/>
      <c r="T519" s="74"/>
      <c r="U519" s="74"/>
      <c r="V519" s="74"/>
      <c r="W519" s="74"/>
      <c r="X519" s="74"/>
      <c r="Y519" s="74"/>
      <c r="Z519" s="74"/>
      <c r="AA519" s="74"/>
      <c r="AB519" s="74"/>
    </row>
    <row r="520" spans="1:28" ht="40.5" customHeight="1">
      <c r="A520" s="434"/>
      <c r="B520" s="435"/>
      <c r="C520" s="369"/>
      <c r="D520" s="369"/>
      <c r="E520" s="369"/>
      <c r="F520" s="369"/>
      <c r="G520" s="374"/>
      <c r="H520" s="375"/>
      <c r="I520" s="35"/>
      <c r="J520" s="74"/>
      <c r="K520" s="74"/>
      <c r="L520" s="74"/>
      <c r="M520" s="74"/>
      <c r="N520" s="74"/>
      <c r="O520" s="74"/>
      <c r="P520" s="74"/>
      <c r="Q520" s="74"/>
      <c r="R520" s="74"/>
      <c r="S520" s="74"/>
      <c r="T520" s="74"/>
      <c r="U520" s="74"/>
      <c r="V520" s="74"/>
      <c r="W520" s="74"/>
      <c r="X520" s="74"/>
      <c r="Y520" s="74"/>
      <c r="Z520" s="74"/>
      <c r="AA520" s="74"/>
      <c r="AB520" s="74"/>
    </row>
    <row r="521" spans="1:28" ht="40.5" customHeight="1">
      <c r="A521" s="434"/>
      <c r="B521" s="435"/>
      <c r="C521" s="369"/>
      <c r="D521" s="369"/>
      <c r="E521" s="369"/>
      <c r="F521" s="369"/>
      <c r="G521" s="374"/>
      <c r="H521" s="375"/>
      <c r="I521" s="35"/>
      <c r="J521" s="74"/>
      <c r="K521" s="74"/>
      <c r="L521" s="74"/>
      <c r="M521" s="74"/>
      <c r="N521" s="74"/>
      <c r="O521" s="74"/>
      <c r="P521" s="74"/>
      <c r="Q521" s="74"/>
      <c r="R521" s="74"/>
      <c r="S521" s="74"/>
      <c r="T521" s="74"/>
      <c r="U521" s="74"/>
      <c r="V521" s="74"/>
      <c r="W521" s="74"/>
      <c r="X521" s="74"/>
      <c r="Y521" s="74"/>
      <c r="Z521" s="74"/>
      <c r="AA521" s="74"/>
      <c r="AB521" s="74"/>
    </row>
    <row r="522" spans="1:28" ht="40.5" customHeight="1">
      <c r="A522" s="434"/>
      <c r="B522" s="435"/>
      <c r="C522" s="369"/>
      <c r="D522" s="369"/>
      <c r="E522" s="369"/>
      <c r="F522" s="369"/>
      <c r="G522" s="374"/>
      <c r="H522" s="375"/>
      <c r="I522" s="35"/>
      <c r="J522" s="74"/>
      <c r="K522" s="74"/>
      <c r="L522" s="74"/>
      <c r="M522" s="74"/>
      <c r="N522" s="74"/>
      <c r="O522" s="74"/>
      <c r="P522" s="74"/>
      <c r="Q522" s="74"/>
      <c r="R522" s="74"/>
      <c r="S522" s="74"/>
      <c r="T522" s="74"/>
      <c r="U522" s="74"/>
      <c r="V522" s="74"/>
      <c r="W522" s="74"/>
      <c r="X522" s="74"/>
      <c r="Y522" s="74"/>
      <c r="Z522" s="74"/>
      <c r="AA522" s="74"/>
      <c r="AB522" s="74"/>
    </row>
    <row r="523" spans="1:28" ht="40.5" customHeight="1">
      <c r="A523" s="434"/>
      <c r="B523" s="435"/>
      <c r="C523" s="369"/>
      <c r="D523" s="369"/>
      <c r="E523" s="369"/>
      <c r="F523" s="369"/>
      <c r="G523" s="374"/>
      <c r="H523" s="375"/>
      <c r="I523" s="35"/>
      <c r="J523" s="74"/>
      <c r="K523" s="74"/>
      <c r="L523" s="74"/>
      <c r="M523" s="74"/>
      <c r="N523" s="74"/>
      <c r="O523" s="74"/>
      <c r="P523" s="74"/>
      <c r="Q523" s="74"/>
      <c r="R523" s="74"/>
      <c r="S523" s="74"/>
      <c r="T523" s="74"/>
      <c r="U523" s="74"/>
      <c r="V523" s="74"/>
      <c r="W523" s="74"/>
      <c r="X523" s="74"/>
      <c r="Y523" s="74"/>
      <c r="Z523" s="74"/>
      <c r="AA523" s="74"/>
      <c r="AB523" s="74"/>
    </row>
    <row r="524" spans="1:28" ht="40.5" customHeight="1">
      <c r="A524" s="434"/>
      <c r="B524" s="435"/>
      <c r="C524" s="369"/>
      <c r="D524" s="369"/>
      <c r="E524" s="369"/>
      <c r="F524" s="369"/>
      <c r="G524" s="374"/>
      <c r="H524" s="375"/>
      <c r="I524" s="35"/>
      <c r="J524" s="74"/>
      <c r="K524" s="74"/>
      <c r="L524" s="74"/>
      <c r="M524" s="74"/>
      <c r="N524" s="74"/>
      <c r="O524" s="74"/>
      <c r="P524" s="74"/>
      <c r="Q524" s="74"/>
      <c r="R524" s="74"/>
      <c r="S524" s="74"/>
      <c r="T524" s="74"/>
      <c r="U524" s="74"/>
      <c r="V524" s="74"/>
      <c r="W524" s="74"/>
      <c r="X524" s="74"/>
      <c r="Y524" s="74"/>
      <c r="Z524" s="74"/>
      <c r="AA524" s="74"/>
      <c r="AB524" s="74"/>
    </row>
    <row r="525" spans="1:28" ht="40.5" customHeight="1">
      <c r="A525" s="434"/>
      <c r="B525" s="435"/>
      <c r="C525" s="369"/>
      <c r="D525" s="369"/>
      <c r="E525" s="369"/>
      <c r="F525" s="369"/>
      <c r="G525" s="374"/>
      <c r="H525" s="375"/>
      <c r="I525" s="35"/>
      <c r="J525" s="74"/>
      <c r="K525" s="74"/>
      <c r="L525" s="74"/>
      <c r="M525" s="74"/>
      <c r="N525" s="74"/>
      <c r="O525" s="74"/>
      <c r="P525" s="74"/>
      <c r="Q525" s="74"/>
      <c r="R525" s="74"/>
      <c r="S525" s="74"/>
      <c r="T525" s="74"/>
      <c r="U525" s="74"/>
      <c r="V525" s="74"/>
      <c r="W525" s="74"/>
      <c r="X525" s="74"/>
      <c r="Y525" s="74"/>
      <c r="Z525" s="74"/>
      <c r="AA525" s="74"/>
      <c r="AB525" s="74"/>
    </row>
    <row r="526" spans="1:28" ht="40.5" customHeight="1">
      <c r="A526" s="434"/>
      <c r="B526" s="435"/>
      <c r="C526" s="369"/>
      <c r="D526" s="369"/>
      <c r="E526" s="369"/>
      <c r="F526" s="369"/>
      <c r="G526" s="374"/>
      <c r="H526" s="375"/>
      <c r="I526" s="35"/>
      <c r="J526" s="74"/>
      <c r="K526" s="74"/>
      <c r="L526" s="74"/>
      <c r="M526" s="74"/>
      <c r="N526" s="74"/>
      <c r="O526" s="74"/>
      <c r="P526" s="74"/>
      <c r="Q526" s="74"/>
      <c r="R526" s="74"/>
      <c r="S526" s="74"/>
      <c r="T526" s="74"/>
      <c r="U526" s="74"/>
      <c r="V526" s="74"/>
      <c r="W526" s="74"/>
      <c r="X526" s="74"/>
      <c r="Y526" s="74"/>
      <c r="Z526" s="74"/>
      <c r="AA526" s="74"/>
      <c r="AB526" s="74"/>
    </row>
    <row r="527" spans="1:28" ht="40.5" customHeight="1">
      <c r="A527" s="434"/>
      <c r="B527" s="435"/>
      <c r="C527" s="369"/>
      <c r="D527" s="369"/>
      <c r="E527" s="369"/>
      <c r="F527" s="369"/>
      <c r="G527" s="374"/>
      <c r="H527" s="375"/>
      <c r="I527" s="35"/>
      <c r="J527" s="74"/>
      <c r="K527" s="74"/>
      <c r="L527" s="74"/>
      <c r="M527" s="74"/>
      <c r="N527" s="74"/>
      <c r="O527" s="74"/>
      <c r="P527" s="74"/>
      <c r="Q527" s="74"/>
      <c r="R527" s="74"/>
      <c r="S527" s="74"/>
      <c r="T527" s="74"/>
      <c r="U527" s="74"/>
      <c r="V527" s="74"/>
      <c r="W527" s="74"/>
      <c r="X527" s="74"/>
      <c r="Y527" s="74"/>
      <c r="Z527" s="74"/>
      <c r="AA527" s="74"/>
      <c r="AB527" s="74"/>
    </row>
    <row r="528" spans="1:28" ht="40.5" customHeight="1">
      <c r="A528" s="434"/>
      <c r="B528" s="435"/>
      <c r="C528" s="369"/>
      <c r="D528" s="369"/>
      <c r="E528" s="369"/>
      <c r="F528" s="369"/>
      <c r="G528" s="374"/>
      <c r="H528" s="375"/>
      <c r="I528" s="35"/>
      <c r="J528" s="74"/>
      <c r="K528" s="74"/>
      <c r="L528" s="74"/>
      <c r="M528" s="74"/>
      <c r="N528" s="74"/>
      <c r="O528" s="74"/>
      <c r="P528" s="74"/>
      <c r="Q528" s="74"/>
      <c r="R528" s="74"/>
      <c r="S528" s="74"/>
      <c r="T528" s="74"/>
      <c r="U528" s="74"/>
      <c r="V528" s="74"/>
      <c r="W528" s="74"/>
      <c r="X528" s="74"/>
      <c r="Y528" s="74"/>
      <c r="Z528" s="74"/>
      <c r="AA528" s="74"/>
      <c r="AB528" s="74"/>
    </row>
    <row r="529" spans="1:28" ht="40.5" customHeight="1">
      <c r="A529" s="434"/>
      <c r="B529" s="435"/>
      <c r="C529" s="369"/>
      <c r="D529" s="369"/>
      <c r="E529" s="369"/>
      <c r="F529" s="369"/>
      <c r="G529" s="374"/>
      <c r="H529" s="375"/>
      <c r="I529" s="35"/>
      <c r="J529" s="74"/>
      <c r="K529" s="74"/>
      <c r="L529" s="74"/>
      <c r="M529" s="74"/>
      <c r="N529" s="74"/>
      <c r="O529" s="74"/>
      <c r="P529" s="74"/>
      <c r="Q529" s="74"/>
      <c r="R529" s="74"/>
      <c r="S529" s="74"/>
      <c r="T529" s="74"/>
      <c r="U529" s="74"/>
      <c r="V529" s="74"/>
      <c r="W529" s="74"/>
      <c r="X529" s="74"/>
      <c r="Y529" s="74"/>
      <c r="Z529" s="74"/>
      <c r="AA529" s="74"/>
      <c r="AB529" s="74"/>
    </row>
    <row r="530" spans="1:28" ht="40.5" customHeight="1">
      <c r="A530" s="434"/>
      <c r="B530" s="435"/>
      <c r="C530" s="369"/>
      <c r="D530" s="369"/>
      <c r="E530" s="369"/>
      <c r="F530" s="369"/>
      <c r="G530" s="374"/>
      <c r="H530" s="375"/>
      <c r="I530" s="35"/>
      <c r="J530" s="74"/>
      <c r="K530" s="74"/>
      <c r="L530" s="74"/>
      <c r="M530" s="74"/>
      <c r="N530" s="74"/>
      <c r="O530" s="74"/>
      <c r="P530" s="74"/>
      <c r="Q530" s="74"/>
      <c r="R530" s="74"/>
      <c r="S530" s="74"/>
      <c r="T530" s="74"/>
      <c r="U530" s="74"/>
      <c r="V530" s="74"/>
      <c r="W530" s="74"/>
      <c r="X530" s="74"/>
      <c r="Y530" s="74"/>
      <c r="Z530" s="74"/>
      <c r="AA530" s="74"/>
      <c r="AB530" s="74"/>
    </row>
    <row r="531" spans="1:28" ht="40.5" customHeight="1">
      <c r="A531" s="434"/>
      <c r="B531" s="435"/>
      <c r="C531" s="369"/>
      <c r="D531" s="369"/>
      <c r="E531" s="369"/>
      <c r="F531" s="369"/>
      <c r="G531" s="374"/>
      <c r="H531" s="375"/>
      <c r="I531" s="35"/>
      <c r="J531" s="74"/>
      <c r="K531" s="74"/>
      <c r="L531" s="74"/>
      <c r="M531" s="74"/>
      <c r="N531" s="74"/>
      <c r="O531" s="74"/>
      <c r="P531" s="74"/>
      <c r="Q531" s="74"/>
      <c r="R531" s="74"/>
      <c r="S531" s="74"/>
      <c r="T531" s="74"/>
      <c r="U531" s="74"/>
      <c r="V531" s="74"/>
      <c r="W531" s="74"/>
      <c r="X531" s="74"/>
      <c r="Y531" s="74"/>
      <c r="Z531" s="74"/>
      <c r="AA531" s="74"/>
      <c r="AB531" s="74"/>
    </row>
    <row r="532" spans="1:28" ht="40.5" customHeight="1">
      <c r="A532" s="434"/>
      <c r="B532" s="435"/>
      <c r="C532" s="369"/>
      <c r="D532" s="369"/>
      <c r="E532" s="369"/>
      <c r="F532" s="369"/>
      <c r="G532" s="374"/>
      <c r="H532" s="375"/>
      <c r="I532" s="35"/>
      <c r="J532" s="74"/>
      <c r="K532" s="74"/>
      <c r="L532" s="74"/>
      <c r="M532" s="74"/>
      <c r="N532" s="74"/>
      <c r="O532" s="74"/>
      <c r="P532" s="74"/>
      <c r="Q532" s="74"/>
      <c r="R532" s="74"/>
      <c r="S532" s="74"/>
      <c r="T532" s="74"/>
      <c r="U532" s="74"/>
      <c r="V532" s="74"/>
      <c r="W532" s="74"/>
      <c r="X532" s="74"/>
      <c r="Y532" s="74"/>
      <c r="Z532" s="74"/>
      <c r="AA532" s="74"/>
      <c r="AB532" s="74"/>
    </row>
    <row r="533" spans="1:28" ht="40.5" customHeight="1">
      <c r="A533" s="434"/>
      <c r="B533" s="435"/>
      <c r="C533" s="369"/>
      <c r="D533" s="369"/>
      <c r="E533" s="369"/>
      <c r="F533" s="369"/>
      <c r="G533" s="374"/>
      <c r="H533" s="375"/>
      <c r="I533" s="35"/>
      <c r="J533" s="74"/>
      <c r="K533" s="74"/>
      <c r="L533" s="74"/>
      <c r="M533" s="74"/>
      <c r="N533" s="74"/>
      <c r="O533" s="74"/>
      <c r="P533" s="74"/>
      <c r="Q533" s="74"/>
      <c r="R533" s="74"/>
      <c r="S533" s="74"/>
      <c r="T533" s="74"/>
      <c r="U533" s="74"/>
      <c r="V533" s="74"/>
      <c r="W533" s="74"/>
      <c r="X533" s="74"/>
      <c r="Y533" s="74"/>
      <c r="Z533" s="74"/>
      <c r="AA533" s="74"/>
      <c r="AB533" s="74"/>
    </row>
    <row r="534" spans="1:28" ht="40.5" customHeight="1">
      <c r="A534" s="434"/>
      <c r="B534" s="435"/>
      <c r="C534" s="369"/>
      <c r="D534" s="369"/>
      <c r="E534" s="369"/>
      <c r="F534" s="369"/>
      <c r="G534" s="374"/>
      <c r="H534" s="375"/>
      <c r="I534" s="35"/>
      <c r="J534" s="74"/>
      <c r="K534" s="74"/>
      <c r="L534" s="74"/>
      <c r="M534" s="74"/>
      <c r="N534" s="74"/>
      <c r="O534" s="74"/>
      <c r="P534" s="74"/>
      <c r="Q534" s="74"/>
      <c r="R534" s="74"/>
      <c r="S534" s="74"/>
      <c r="T534" s="74"/>
      <c r="U534" s="74"/>
      <c r="V534" s="74"/>
      <c r="W534" s="74"/>
      <c r="X534" s="74"/>
      <c r="Y534" s="74"/>
      <c r="Z534" s="74"/>
      <c r="AA534" s="74"/>
      <c r="AB534" s="74"/>
    </row>
    <row r="535" spans="1:28" ht="40.5" customHeight="1">
      <c r="A535" s="434"/>
      <c r="B535" s="435"/>
      <c r="C535" s="369"/>
      <c r="D535" s="369"/>
      <c r="E535" s="369"/>
      <c r="F535" s="369"/>
      <c r="G535" s="374"/>
      <c r="H535" s="375"/>
      <c r="I535" s="35"/>
      <c r="J535" s="74"/>
      <c r="K535" s="74"/>
      <c r="L535" s="74"/>
      <c r="M535" s="74"/>
      <c r="N535" s="74"/>
      <c r="O535" s="74"/>
      <c r="P535" s="74"/>
      <c r="Q535" s="74"/>
      <c r="R535" s="74"/>
      <c r="S535" s="74"/>
      <c r="T535" s="74"/>
      <c r="U535" s="74"/>
      <c r="V535" s="74"/>
      <c r="W535" s="74"/>
      <c r="X535" s="74"/>
      <c r="Y535" s="74"/>
      <c r="Z535" s="74"/>
      <c r="AA535" s="74"/>
      <c r="AB535" s="74"/>
    </row>
    <row r="536" spans="1:28" ht="40.5" customHeight="1">
      <c r="A536" s="434"/>
      <c r="B536" s="435"/>
      <c r="C536" s="369"/>
      <c r="D536" s="369"/>
      <c r="E536" s="369"/>
      <c r="F536" s="369"/>
      <c r="G536" s="374"/>
      <c r="H536" s="375"/>
      <c r="I536" s="35"/>
      <c r="J536" s="74"/>
      <c r="K536" s="74"/>
      <c r="L536" s="74"/>
      <c r="M536" s="74"/>
      <c r="N536" s="74"/>
      <c r="O536" s="74"/>
      <c r="P536" s="74"/>
      <c r="Q536" s="74"/>
      <c r="R536" s="74"/>
      <c r="S536" s="74"/>
      <c r="T536" s="74"/>
      <c r="U536" s="74"/>
      <c r="V536" s="74"/>
      <c r="W536" s="74"/>
      <c r="X536" s="74"/>
      <c r="Y536" s="74"/>
      <c r="Z536" s="74"/>
      <c r="AA536" s="74"/>
      <c r="AB536" s="74"/>
    </row>
    <row r="537" spans="1:28" ht="40.5" customHeight="1">
      <c r="A537" s="434"/>
      <c r="B537" s="435"/>
      <c r="C537" s="369"/>
      <c r="D537" s="369"/>
      <c r="E537" s="369"/>
      <c r="F537" s="369"/>
      <c r="G537" s="374"/>
      <c r="H537" s="375"/>
      <c r="I537" s="35"/>
      <c r="J537" s="74"/>
      <c r="K537" s="74"/>
      <c r="L537" s="74"/>
      <c r="M537" s="74"/>
      <c r="N537" s="74"/>
      <c r="O537" s="74"/>
      <c r="P537" s="74"/>
      <c r="Q537" s="74"/>
      <c r="R537" s="74"/>
      <c r="S537" s="74"/>
      <c r="T537" s="74"/>
      <c r="U537" s="74"/>
      <c r="V537" s="74"/>
      <c r="W537" s="74"/>
      <c r="X537" s="74"/>
      <c r="Y537" s="74"/>
      <c r="Z537" s="74"/>
      <c r="AA537" s="74"/>
      <c r="AB537" s="74"/>
    </row>
    <row r="538" spans="1:28" ht="40.5" customHeight="1">
      <c r="A538" s="434"/>
      <c r="B538" s="435"/>
      <c r="C538" s="369"/>
      <c r="D538" s="369"/>
      <c r="E538" s="369"/>
      <c r="F538" s="369"/>
      <c r="G538" s="374"/>
      <c r="H538" s="375"/>
      <c r="I538" s="35"/>
      <c r="J538" s="74"/>
      <c r="K538" s="74"/>
      <c r="L538" s="74"/>
      <c r="M538" s="74"/>
      <c r="N538" s="74"/>
      <c r="O538" s="74"/>
      <c r="P538" s="74"/>
      <c r="Q538" s="74"/>
      <c r="R538" s="74"/>
      <c r="S538" s="74"/>
      <c r="T538" s="74"/>
      <c r="U538" s="74"/>
      <c r="V538" s="74"/>
      <c r="W538" s="74"/>
      <c r="X538" s="74"/>
      <c r="Y538" s="74"/>
      <c r="Z538" s="74"/>
      <c r="AA538" s="74"/>
      <c r="AB538" s="74"/>
    </row>
    <row r="539" spans="1:28" ht="40.5" customHeight="1">
      <c r="A539" s="434"/>
      <c r="B539" s="435"/>
      <c r="C539" s="369"/>
      <c r="D539" s="369"/>
      <c r="E539" s="369"/>
      <c r="F539" s="369"/>
      <c r="G539" s="374"/>
      <c r="H539" s="375"/>
      <c r="I539" s="35"/>
      <c r="J539" s="74"/>
      <c r="K539" s="74"/>
      <c r="L539" s="74"/>
      <c r="M539" s="74"/>
      <c r="N539" s="74"/>
      <c r="O539" s="74"/>
      <c r="P539" s="74"/>
      <c r="Q539" s="74"/>
      <c r="R539" s="74"/>
      <c r="S539" s="74"/>
      <c r="T539" s="74"/>
      <c r="U539" s="74"/>
      <c r="V539" s="74"/>
      <c r="W539" s="74"/>
      <c r="X539" s="74"/>
      <c r="Y539" s="74"/>
      <c r="Z539" s="74"/>
      <c r="AA539" s="74"/>
      <c r="AB539" s="74"/>
    </row>
    <row r="540" spans="1:28" ht="40.5" customHeight="1">
      <c r="A540" s="434"/>
      <c r="B540" s="435"/>
      <c r="C540" s="369"/>
      <c r="D540" s="369"/>
      <c r="E540" s="369"/>
      <c r="F540" s="369"/>
      <c r="G540" s="374"/>
      <c r="H540" s="375"/>
      <c r="I540" s="35"/>
      <c r="J540" s="74"/>
      <c r="K540" s="74"/>
      <c r="L540" s="74"/>
      <c r="M540" s="74"/>
      <c r="N540" s="74"/>
      <c r="O540" s="74"/>
      <c r="P540" s="74"/>
      <c r="Q540" s="74"/>
      <c r="R540" s="74"/>
      <c r="S540" s="74"/>
      <c r="T540" s="74"/>
      <c r="U540" s="74"/>
      <c r="V540" s="74"/>
      <c r="W540" s="74"/>
      <c r="X540" s="74"/>
      <c r="Y540" s="74"/>
      <c r="Z540" s="74"/>
      <c r="AA540" s="74"/>
      <c r="AB540" s="74"/>
    </row>
    <row r="541" spans="1:28" ht="40.5" customHeight="1">
      <c r="A541" s="434"/>
      <c r="B541" s="435"/>
      <c r="C541" s="369"/>
      <c r="D541" s="369"/>
      <c r="E541" s="369"/>
      <c r="F541" s="369"/>
      <c r="G541" s="374"/>
      <c r="H541" s="375"/>
      <c r="I541" s="35"/>
      <c r="J541" s="74"/>
      <c r="K541" s="74"/>
      <c r="L541" s="74"/>
      <c r="M541" s="74"/>
      <c r="N541" s="74"/>
      <c r="O541" s="74"/>
      <c r="P541" s="74"/>
      <c r="Q541" s="74"/>
      <c r="R541" s="74"/>
      <c r="S541" s="74"/>
      <c r="T541" s="74"/>
      <c r="U541" s="74"/>
      <c r="V541" s="74"/>
      <c r="W541" s="74"/>
      <c r="X541" s="74"/>
      <c r="Y541" s="74"/>
      <c r="Z541" s="74"/>
      <c r="AA541" s="74"/>
      <c r="AB541" s="74"/>
    </row>
    <row r="542" spans="1:28" ht="40.5" customHeight="1">
      <c r="A542" s="434"/>
      <c r="B542" s="435"/>
      <c r="C542" s="369"/>
      <c r="D542" s="369"/>
      <c r="E542" s="369"/>
      <c r="F542" s="369"/>
      <c r="G542" s="374"/>
      <c r="H542" s="375"/>
      <c r="I542" s="35"/>
      <c r="J542" s="74"/>
      <c r="K542" s="74"/>
      <c r="L542" s="74"/>
      <c r="M542" s="74"/>
      <c r="N542" s="74"/>
      <c r="O542" s="74"/>
      <c r="P542" s="74"/>
      <c r="Q542" s="74"/>
      <c r="R542" s="74"/>
      <c r="S542" s="74"/>
      <c r="T542" s="74"/>
      <c r="U542" s="74"/>
      <c r="V542" s="74"/>
      <c r="W542" s="74"/>
      <c r="X542" s="74"/>
      <c r="Y542" s="74"/>
      <c r="Z542" s="74"/>
      <c r="AA542" s="74"/>
      <c r="AB542" s="74"/>
    </row>
    <row r="543" spans="1:28" ht="40.5" customHeight="1">
      <c r="A543" s="434"/>
      <c r="B543" s="435"/>
      <c r="C543" s="369"/>
      <c r="D543" s="369"/>
      <c r="E543" s="369"/>
      <c r="F543" s="369"/>
      <c r="G543" s="374"/>
      <c r="H543" s="375"/>
      <c r="I543" s="35"/>
      <c r="J543" s="74"/>
      <c r="K543" s="74"/>
      <c r="L543" s="74"/>
      <c r="M543" s="74"/>
      <c r="N543" s="74"/>
      <c r="O543" s="74"/>
      <c r="P543" s="74"/>
      <c r="Q543" s="74"/>
      <c r="R543" s="74"/>
      <c r="S543" s="74"/>
      <c r="T543" s="74"/>
      <c r="U543" s="74"/>
      <c r="V543" s="74"/>
      <c r="W543" s="74"/>
      <c r="X543" s="74"/>
      <c r="Y543" s="74"/>
      <c r="Z543" s="74"/>
      <c r="AA543" s="74"/>
      <c r="AB543" s="74"/>
    </row>
    <row r="544" spans="1:28" ht="40.5" customHeight="1">
      <c r="A544" s="434"/>
      <c r="B544" s="435"/>
      <c r="C544" s="369"/>
      <c r="D544" s="369"/>
      <c r="E544" s="369"/>
      <c r="F544" s="369"/>
      <c r="G544" s="374"/>
      <c r="H544" s="375"/>
      <c r="I544" s="35"/>
      <c r="J544" s="74"/>
      <c r="K544" s="74"/>
      <c r="L544" s="74"/>
      <c r="M544" s="74"/>
      <c r="N544" s="74"/>
      <c r="O544" s="74"/>
      <c r="P544" s="74"/>
      <c r="Q544" s="74"/>
      <c r="R544" s="74"/>
      <c r="S544" s="74"/>
      <c r="T544" s="74"/>
      <c r="U544" s="74"/>
      <c r="V544" s="74"/>
      <c r="W544" s="74"/>
      <c r="X544" s="74"/>
      <c r="Y544" s="74"/>
      <c r="Z544" s="74"/>
      <c r="AA544" s="74"/>
      <c r="AB544" s="74"/>
    </row>
    <row r="545" spans="1:28" ht="40.5" customHeight="1">
      <c r="A545" s="434"/>
      <c r="B545" s="435"/>
      <c r="C545" s="369"/>
      <c r="D545" s="369"/>
      <c r="E545" s="369"/>
      <c r="F545" s="369"/>
      <c r="G545" s="374"/>
      <c r="H545" s="375"/>
      <c r="I545" s="35"/>
      <c r="J545" s="74"/>
      <c r="K545" s="74"/>
      <c r="L545" s="74"/>
      <c r="M545" s="74"/>
      <c r="N545" s="74"/>
      <c r="O545" s="74"/>
      <c r="P545" s="74"/>
      <c r="Q545" s="74"/>
      <c r="R545" s="74"/>
      <c r="S545" s="74"/>
      <c r="T545" s="74"/>
      <c r="U545" s="74"/>
      <c r="V545" s="74"/>
      <c r="W545" s="74"/>
      <c r="X545" s="74"/>
      <c r="Y545" s="74"/>
      <c r="Z545" s="74"/>
      <c r="AA545" s="74"/>
      <c r="AB545" s="74"/>
    </row>
    <row r="546" spans="1:28" ht="40.5" customHeight="1">
      <c r="A546" s="434"/>
      <c r="B546" s="435"/>
      <c r="C546" s="369"/>
      <c r="D546" s="369"/>
      <c r="E546" s="369"/>
      <c r="F546" s="369"/>
      <c r="G546" s="374"/>
      <c r="H546" s="375"/>
      <c r="I546" s="35"/>
      <c r="J546" s="74"/>
      <c r="K546" s="74"/>
      <c r="L546" s="74"/>
      <c r="M546" s="74"/>
      <c r="N546" s="74"/>
      <c r="O546" s="74"/>
      <c r="P546" s="74"/>
      <c r="Q546" s="74"/>
      <c r="R546" s="74"/>
      <c r="S546" s="74"/>
      <c r="T546" s="74"/>
      <c r="U546" s="74"/>
      <c r="V546" s="74"/>
      <c r="W546" s="74"/>
      <c r="X546" s="74"/>
      <c r="Y546" s="74"/>
      <c r="Z546" s="74"/>
      <c r="AA546" s="74"/>
      <c r="AB546" s="74"/>
    </row>
    <row r="547" spans="1:28" ht="40.5" customHeight="1">
      <c r="A547" s="434"/>
      <c r="B547" s="435"/>
      <c r="C547" s="369"/>
      <c r="D547" s="369"/>
      <c r="E547" s="369"/>
      <c r="F547" s="369"/>
      <c r="G547" s="374"/>
      <c r="H547" s="375"/>
      <c r="I547" s="35"/>
      <c r="J547" s="74"/>
      <c r="K547" s="74"/>
      <c r="L547" s="74"/>
      <c r="M547" s="74"/>
      <c r="N547" s="74"/>
      <c r="O547" s="74"/>
      <c r="P547" s="74"/>
      <c r="Q547" s="74"/>
      <c r="R547" s="74"/>
      <c r="S547" s="74"/>
      <c r="T547" s="74"/>
      <c r="U547" s="74"/>
      <c r="V547" s="74"/>
      <c r="W547" s="74"/>
      <c r="X547" s="74"/>
      <c r="Y547" s="74"/>
      <c r="Z547" s="74"/>
      <c r="AA547" s="74"/>
      <c r="AB547" s="74"/>
    </row>
    <row r="548" spans="1:28" ht="40.5" customHeight="1">
      <c r="A548" s="434"/>
      <c r="B548" s="435"/>
      <c r="C548" s="369"/>
      <c r="D548" s="369"/>
      <c r="E548" s="369"/>
      <c r="F548" s="369"/>
      <c r="G548" s="374"/>
      <c r="H548" s="375"/>
      <c r="I548" s="35"/>
      <c r="J548" s="74"/>
      <c r="K548" s="74"/>
      <c r="L548" s="74"/>
      <c r="M548" s="74"/>
      <c r="N548" s="74"/>
      <c r="O548" s="74"/>
      <c r="P548" s="74"/>
      <c r="Q548" s="74"/>
      <c r="R548" s="74"/>
      <c r="S548" s="74"/>
      <c r="T548" s="74"/>
      <c r="U548" s="74"/>
      <c r="V548" s="74"/>
      <c r="W548" s="74"/>
      <c r="X548" s="74"/>
      <c r="Y548" s="74"/>
      <c r="Z548" s="74"/>
      <c r="AA548" s="74"/>
      <c r="AB548" s="74"/>
    </row>
    <row r="549" spans="1:28" ht="40.5" customHeight="1">
      <c r="A549" s="434"/>
      <c r="B549" s="435"/>
      <c r="C549" s="369"/>
      <c r="D549" s="369"/>
      <c r="E549" s="369"/>
      <c r="F549" s="369"/>
      <c r="G549" s="374"/>
      <c r="H549" s="375"/>
      <c r="I549" s="35"/>
      <c r="J549" s="74"/>
      <c r="K549" s="74"/>
      <c r="L549" s="74"/>
      <c r="M549" s="74"/>
      <c r="N549" s="74"/>
      <c r="O549" s="74"/>
      <c r="P549" s="74"/>
      <c r="Q549" s="74"/>
      <c r="R549" s="74"/>
      <c r="S549" s="74"/>
      <c r="T549" s="74"/>
      <c r="U549" s="74"/>
      <c r="V549" s="74"/>
      <c r="W549" s="74"/>
      <c r="X549" s="74"/>
      <c r="Y549" s="74"/>
      <c r="Z549" s="74"/>
      <c r="AA549" s="74"/>
      <c r="AB549" s="74"/>
    </row>
    <row r="550" spans="1:28" ht="40.5" customHeight="1">
      <c r="A550" s="434"/>
      <c r="B550" s="435"/>
      <c r="C550" s="369"/>
      <c r="D550" s="369"/>
      <c r="E550" s="369"/>
      <c r="F550" s="369"/>
      <c r="G550" s="374"/>
      <c r="H550" s="375"/>
      <c r="I550" s="35"/>
      <c r="J550" s="74"/>
      <c r="K550" s="74"/>
      <c r="L550" s="74"/>
      <c r="M550" s="74"/>
      <c r="N550" s="74"/>
      <c r="O550" s="74"/>
      <c r="P550" s="74"/>
      <c r="Q550" s="74"/>
      <c r="R550" s="74"/>
      <c r="S550" s="74"/>
      <c r="T550" s="74"/>
      <c r="U550" s="74"/>
      <c r="V550" s="74"/>
      <c r="W550" s="74"/>
      <c r="X550" s="74"/>
      <c r="Y550" s="74"/>
      <c r="Z550" s="74"/>
      <c r="AA550" s="74"/>
      <c r="AB550" s="74"/>
    </row>
    <row r="551" spans="1:28" ht="40.5" customHeight="1">
      <c r="A551" s="434"/>
      <c r="B551" s="435"/>
      <c r="C551" s="369"/>
      <c r="D551" s="369"/>
      <c r="E551" s="369"/>
      <c r="F551" s="369"/>
      <c r="G551" s="374"/>
      <c r="H551" s="375"/>
      <c r="I551" s="35"/>
      <c r="J551" s="74"/>
      <c r="K551" s="74"/>
      <c r="L551" s="74"/>
      <c r="M551" s="74"/>
      <c r="N551" s="74"/>
      <c r="O551" s="74"/>
      <c r="P551" s="74"/>
      <c r="Q551" s="74"/>
      <c r="R551" s="74"/>
      <c r="S551" s="74"/>
      <c r="T551" s="74"/>
      <c r="U551" s="74"/>
      <c r="V551" s="74"/>
      <c r="W551" s="74"/>
      <c r="X551" s="74"/>
      <c r="Y551" s="74"/>
      <c r="Z551" s="74"/>
      <c r="AA551" s="74"/>
      <c r="AB551" s="74"/>
    </row>
    <row r="552" spans="1:28" ht="40.5" customHeight="1">
      <c r="A552" s="434"/>
      <c r="B552" s="435"/>
      <c r="C552" s="369"/>
      <c r="D552" s="369"/>
      <c r="E552" s="369"/>
      <c r="F552" s="369"/>
      <c r="G552" s="374"/>
      <c r="H552" s="375"/>
      <c r="I552" s="35"/>
      <c r="J552" s="74"/>
      <c r="K552" s="74"/>
      <c r="L552" s="74"/>
      <c r="M552" s="74"/>
      <c r="N552" s="74"/>
      <c r="O552" s="74"/>
      <c r="P552" s="74"/>
      <c r="Q552" s="74"/>
      <c r="R552" s="74"/>
      <c r="S552" s="74"/>
      <c r="T552" s="74"/>
      <c r="U552" s="74"/>
      <c r="V552" s="74"/>
      <c r="W552" s="74"/>
      <c r="X552" s="74"/>
      <c r="Y552" s="74"/>
      <c r="Z552" s="74"/>
      <c r="AA552" s="74"/>
      <c r="AB552" s="74"/>
    </row>
    <row r="553" spans="1:28" ht="40.5" customHeight="1">
      <c r="A553" s="434"/>
      <c r="B553" s="435"/>
      <c r="C553" s="369"/>
      <c r="D553" s="369"/>
      <c r="E553" s="369"/>
      <c r="F553" s="369"/>
      <c r="G553" s="374"/>
      <c r="H553" s="375"/>
      <c r="I553" s="35"/>
      <c r="J553" s="74"/>
      <c r="K553" s="74"/>
      <c r="L553" s="74"/>
      <c r="M553" s="74"/>
      <c r="N553" s="74"/>
      <c r="O553" s="74"/>
      <c r="P553" s="74"/>
      <c r="Q553" s="74"/>
      <c r="R553" s="74"/>
      <c r="S553" s="74"/>
      <c r="T553" s="74"/>
      <c r="U553" s="74"/>
      <c r="V553" s="74"/>
      <c r="W553" s="74"/>
      <c r="X553" s="74"/>
      <c r="Y553" s="74"/>
      <c r="Z553" s="74"/>
      <c r="AA553" s="74"/>
      <c r="AB553" s="74"/>
    </row>
    <row r="554" spans="1:28" ht="40.5" customHeight="1">
      <c r="A554" s="434"/>
      <c r="B554" s="435"/>
      <c r="C554" s="369"/>
      <c r="D554" s="369"/>
      <c r="E554" s="369"/>
      <c r="F554" s="369"/>
      <c r="G554" s="374"/>
      <c r="H554" s="375"/>
      <c r="I554" s="35"/>
      <c r="J554" s="74"/>
      <c r="K554" s="74"/>
      <c r="L554" s="74"/>
      <c r="M554" s="74"/>
      <c r="N554" s="74"/>
      <c r="O554" s="74"/>
      <c r="P554" s="74"/>
      <c r="Q554" s="74"/>
      <c r="R554" s="74"/>
      <c r="S554" s="74"/>
      <c r="T554" s="74"/>
      <c r="U554" s="74"/>
      <c r="V554" s="74"/>
      <c r="W554" s="74"/>
      <c r="X554" s="74"/>
      <c r="Y554" s="74"/>
      <c r="Z554" s="74"/>
      <c r="AA554" s="74"/>
      <c r="AB554" s="74"/>
    </row>
    <row r="555" spans="1:28" ht="40.5" customHeight="1">
      <c r="A555" s="434"/>
      <c r="B555" s="435"/>
      <c r="C555" s="369"/>
      <c r="D555" s="369"/>
      <c r="E555" s="369"/>
      <c r="F555" s="369"/>
      <c r="G555" s="374"/>
      <c r="H555" s="375"/>
      <c r="I555" s="35"/>
      <c r="J555" s="74"/>
      <c r="K555" s="74"/>
      <c r="L555" s="74"/>
      <c r="M555" s="74"/>
      <c r="N555" s="74"/>
      <c r="O555" s="74"/>
      <c r="P555" s="74"/>
      <c r="Q555" s="74"/>
      <c r="R555" s="74"/>
      <c r="S555" s="74"/>
      <c r="T555" s="74"/>
      <c r="U555" s="74"/>
      <c r="V555" s="74"/>
      <c r="W555" s="74"/>
      <c r="X555" s="74"/>
      <c r="Y555" s="74"/>
      <c r="Z555" s="74"/>
      <c r="AA555" s="74"/>
      <c r="AB555" s="74"/>
    </row>
    <row r="556" spans="1:28" ht="40.5" customHeight="1">
      <c r="A556" s="434"/>
      <c r="B556" s="435"/>
      <c r="C556" s="369"/>
      <c r="D556" s="369"/>
      <c r="E556" s="369"/>
      <c r="F556" s="369"/>
      <c r="G556" s="374"/>
      <c r="H556" s="375"/>
      <c r="I556" s="35"/>
      <c r="J556" s="74"/>
      <c r="K556" s="74"/>
      <c r="L556" s="74"/>
      <c r="M556" s="74"/>
      <c r="N556" s="74"/>
      <c r="O556" s="74"/>
      <c r="P556" s="74"/>
      <c r="Q556" s="74"/>
      <c r="R556" s="74"/>
      <c r="S556" s="74"/>
      <c r="T556" s="74"/>
      <c r="U556" s="74"/>
      <c r="V556" s="74"/>
      <c r="W556" s="74"/>
      <c r="X556" s="74"/>
      <c r="Y556" s="74"/>
      <c r="Z556" s="74"/>
      <c r="AA556" s="74"/>
      <c r="AB556" s="74"/>
    </row>
    <row r="557" spans="1:28" ht="40.5" customHeight="1">
      <c r="A557" s="434"/>
      <c r="B557" s="435"/>
      <c r="C557" s="369"/>
      <c r="D557" s="369"/>
      <c r="E557" s="369"/>
      <c r="F557" s="369"/>
      <c r="G557" s="374"/>
      <c r="H557" s="375"/>
      <c r="I557" s="35"/>
      <c r="J557" s="74"/>
      <c r="K557" s="74"/>
      <c r="L557" s="74"/>
      <c r="M557" s="74"/>
      <c r="N557" s="74"/>
      <c r="O557" s="74"/>
      <c r="P557" s="74"/>
      <c r="Q557" s="74"/>
      <c r="R557" s="74"/>
      <c r="S557" s="74"/>
      <c r="T557" s="74"/>
      <c r="U557" s="74"/>
      <c r="V557" s="74"/>
      <c r="W557" s="74"/>
      <c r="X557" s="74"/>
      <c r="Y557" s="74"/>
      <c r="Z557" s="74"/>
      <c r="AA557" s="74"/>
      <c r="AB557" s="74"/>
    </row>
    <row r="558" spans="1:28" ht="40.5" customHeight="1">
      <c r="A558" s="434"/>
      <c r="B558" s="435"/>
      <c r="C558" s="369"/>
      <c r="D558" s="369"/>
      <c r="E558" s="369"/>
      <c r="F558" s="369"/>
      <c r="G558" s="374"/>
      <c r="H558" s="375"/>
      <c r="I558" s="35"/>
      <c r="J558" s="74"/>
      <c r="K558" s="74"/>
      <c r="L558" s="74"/>
      <c r="M558" s="74"/>
      <c r="N558" s="74"/>
      <c r="O558" s="74"/>
      <c r="P558" s="74"/>
      <c r="Q558" s="74"/>
      <c r="R558" s="74"/>
      <c r="S558" s="74"/>
      <c r="T558" s="74"/>
      <c r="U558" s="74"/>
      <c r="V558" s="74"/>
      <c r="W558" s="74"/>
      <c r="X558" s="74"/>
      <c r="Y558" s="74"/>
      <c r="Z558" s="74"/>
      <c r="AA558" s="74"/>
      <c r="AB558" s="74"/>
    </row>
    <row r="559" spans="1:28" ht="40.5" customHeight="1">
      <c r="A559" s="434"/>
      <c r="B559" s="435"/>
      <c r="C559" s="369"/>
      <c r="D559" s="369"/>
      <c r="E559" s="369"/>
      <c r="F559" s="369"/>
      <c r="G559" s="374"/>
      <c r="H559" s="375"/>
      <c r="I559" s="35"/>
      <c r="J559" s="74"/>
      <c r="K559" s="74"/>
      <c r="L559" s="74"/>
      <c r="M559" s="74"/>
      <c r="N559" s="74"/>
      <c r="O559" s="74"/>
      <c r="P559" s="74"/>
      <c r="Q559" s="74"/>
      <c r="R559" s="74"/>
      <c r="S559" s="74"/>
      <c r="T559" s="74"/>
      <c r="U559" s="74"/>
      <c r="V559" s="74"/>
      <c r="W559" s="74"/>
      <c r="X559" s="74"/>
      <c r="Y559" s="74"/>
      <c r="Z559" s="74"/>
      <c r="AA559" s="74"/>
      <c r="AB559" s="74"/>
    </row>
    <row r="560" spans="1:28" ht="40.5" customHeight="1">
      <c r="A560" s="434"/>
      <c r="B560" s="435"/>
      <c r="C560" s="369"/>
      <c r="D560" s="369"/>
      <c r="E560" s="369"/>
      <c r="F560" s="369"/>
      <c r="G560" s="374"/>
      <c r="H560" s="375"/>
      <c r="I560" s="35"/>
      <c r="J560" s="74"/>
      <c r="K560" s="74"/>
      <c r="L560" s="74"/>
      <c r="M560" s="74"/>
      <c r="N560" s="74"/>
      <c r="O560" s="74"/>
      <c r="P560" s="74"/>
      <c r="Q560" s="74"/>
      <c r="R560" s="74"/>
      <c r="S560" s="74"/>
      <c r="T560" s="74"/>
      <c r="U560" s="74"/>
      <c r="V560" s="74"/>
      <c r="W560" s="74"/>
      <c r="X560" s="74"/>
      <c r="Y560" s="74"/>
      <c r="Z560" s="74"/>
      <c r="AA560" s="74"/>
      <c r="AB560" s="74"/>
    </row>
    <row r="561" spans="1:28" ht="40.5" customHeight="1">
      <c r="A561" s="434"/>
      <c r="B561" s="435"/>
      <c r="C561" s="369"/>
      <c r="D561" s="369"/>
      <c r="E561" s="369"/>
      <c r="F561" s="369"/>
      <c r="G561" s="374"/>
      <c r="H561" s="375"/>
      <c r="I561" s="35"/>
      <c r="J561" s="74"/>
      <c r="K561" s="74"/>
      <c r="L561" s="74"/>
      <c r="M561" s="74"/>
      <c r="N561" s="74"/>
      <c r="O561" s="74"/>
      <c r="P561" s="74"/>
      <c r="Q561" s="74"/>
      <c r="R561" s="74"/>
      <c r="S561" s="74"/>
      <c r="T561" s="74"/>
      <c r="U561" s="74"/>
      <c r="V561" s="74"/>
      <c r="W561" s="74"/>
      <c r="X561" s="74"/>
      <c r="Y561" s="74"/>
      <c r="Z561" s="74"/>
      <c r="AA561" s="74"/>
      <c r="AB561" s="74"/>
    </row>
    <row r="562" spans="1:28" ht="40.5" customHeight="1">
      <c r="A562" s="434"/>
      <c r="B562" s="435"/>
      <c r="C562" s="369"/>
      <c r="D562" s="369"/>
      <c r="E562" s="369"/>
      <c r="F562" s="369"/>
      <c r="G562" s="374"/>
      <c r="H562" s="375"/>
      <c r="I562" s="35"/>
      <c r="J562" s="74"/>
      <c r="K562" s="74"/>
      <c r="L562" s="74"/>
      <c r="M562" s="74"/>
      <c r="N562" s="74"/>
      <c r="O562" s="74"/>
      <c r="P562" s="74"/>
      <c r="Q562" s="74"/>
      <c r="R562" s="74"/>
      <c r="S562" s="74"/>
      <c r="T562" s="74"/>
      <c r="U562" s="74"/>
      <c r="V562" s="74"/>
      <c r="W562" s="74"/>
      <c r="X562" s="74"/>
      <c r="Y562" s="74"/>
      <c r="Z562" s="74"/>
      <c r="AA562" s="74"/>
      <c r="AB562" s="74"/>
    </row>
    <row r="563" spans="1:28" ht="40.5" customHeight="1">
      <c r="A563" s="434"/>
      <c r="B563" s="435"/>
      <c r="C563" s="369"/>
      <c r="D563" s="369"/>
      <c r="E563" s="369"/>
      <c r="F563" s="369"/>
      <c r="G563" s="374"/>
      <c r="H563" s="375"/>
      <c r="I563" s="35"/>
      <c r="J563" s="74"/>
      <c r="K563" s="74"/>
      <c r="L563" s="74"/>
      <c r="M563" s="74"/>
      <c r="N563" s="74"/>
      <c r="O563" s="74"/>
      <c r="P563" s="74"/>
      <c r="Q563" s="74"/>
      <c r="R563" s="74"/>
      <c r="S563" s="74"/>
      <c r="T563" s="74"/>
      <c r="U563" s="74"/>
      <c r="V563" s="74"/>
      <c r="W563" s="74"/>
      <c r="X563" s="74"/>
      <c r="Y563" s="74"/>
      <c r="Z563" s="74"/>
      <c r="AA563" s="74"/>
      <c r="AB563" s="74"/>
    </row>
    <row r="564" spans="1:28" ht="40.5" customHeight="1">
      <c r="A564" s="434"/>
      <c r="B564" s="435"/>
      <c r="C564" s="369"/>
      <c r="D564" s="369"/>
      <c r="E564" s="369"/>
      <c r="F564" s="369"/>
      <c r="G564" s="374"/>
      <c r="H564" s="375"/>
      <c r="I564" s="35"/>
      <c r="J564" s="74"/>
      <c r="K564" s="74"/>
      <c r="L564" s="74"/>
      <c r="M564" s="74"/>
      <c r="N564" s="74"/>
      <c r="O564" s="74"/>
      <c r="P564" s="74"/>
      <c r="Q564" s="74"/>
      <c r="R564" s="74"/>
      <c r="S564" s="74"/>
      <c r="T564" s="74"/>
      <c r="U564" s="74"/>
      <c r="V564" s="74"/>
      <c r="W564" s="74"/>
      <c r="X564" s="74"/>
      <c r="Y564" s="74"/>
      <c r="Z564" s="74"/>
      <c r="AA564" s="74"/>
      <c r="AB564" s="74"/>
    </row>
    <row r="565" spans="1:28" ht="40.5" customHeight="1">
      <c r="A565" s="434"/>
      <c r="B565" s="435"/>
      <c r="C565" s="369"/>
      <c r="D565" s="369"/>
      <c r="E565" s="369"/>
      <c r="F565" s="369"/>
      <c r="G565" s="374"/>
      <c r="H565" s="375"/>
      <c r="I565" s="35"/>
      <c r="J565" s="74"/>
      <c r="K565" s="74"/>
      <c r="L565" s="74"/>
      <c r="M565" s="74"/>
      <c r="N565" s="74"/>
      <c r="O565" s="74"/>
      <c r="P565" s="74"/>
      <c r="Q565" s="74"/>
      <c r="R565" s="74"/>
      <c r="S565" s="74"/>
      <c r="T565" s="74"/>
      <c r="U565" s="74"/>
      <c r="V565" s="74"/>
      <c r="W565" s="74"/>
      <c r="X565" s="74"/>
      <c r="Y565" s="74"/>
      <c r="Z565" s="74"/>
      <c r="AA565" s="74"/>
      <c r="AB565" s="74"/>
    </row>
    <row r="566" spans="1:28" ht="40.5" customHeight="1">
      <c r="A566" s="434"/>
      <c r="B566" s="435"/>
      <c r="C566" s="369"/>
      <c r="D566" s="369"/>
      <c r="E566" s="369"/>
      <c r="F566" s="369"/>
      <c r="G566" s="374"/>
      <c r="H566" s="375"/>
      <c r="I566" s="35"/>
      <c r="J566" s="74"/>
      <c r="K566" s="74"/>
      <c r="L566" s="74"/>
      <c r="M566" s="74"/>
      <c r="N566" s="74"/>
      <c r="O566" s="74"/>
      <c r="P566" s="74"/>
      <c r="Q566" s="74"/>
      <c r="R566" s="74"/>
      <c r="S566" s="74"/>
      <c r="T566" s="74"/>
      <c r="U566" s="74"/>
      <c r="V566" s="74"/>
      <c r="W566" s="74"/>
      <c r="X566" s="74"/>
      <c r="Y566" s="74"/>
      <c r="Z566" s="74"/>
      <c r="AA566" s="74"/>
      <c r="AB566" s="74"/>
    </row>
    <row r="567" spans="1:28" ht="40.5" customHeight="1">
      <c r="A567" s="434"/>
      <c r="B567" s="435"/>
      <c r="C567" s="369"/>
      <c r="D567" s="369"/>
      <c r="E567" s="369"/>
      <c r="F567" s="369"/>
      <c r="G567" s="374"/>
      <c r="H567" s="375"/>
      <c r="I567" s="35"/>
      <c r="J567" s="74"/>
      <c r="K567" s="74"/>
      <c r="L567" s="74"/>
      <c r="M567" s="74"/>
      <c r="N567" s="74"/>
      <c r="O567" s="74"/>
      <c r="P567" s="74"/>
      <c r="Q567" s="74"/>
      <c r="R567" s="74"/>
      <c r="S567" s="74"/>
      <c r="T567" s="74"/>
      <c r="U567" s="74"/>
      <c r="V567" s="74"/>
      <c r="W567" s="74"/>
      <c r="X567" s="74"/>
      <c r="Y567" s="74"/>
      <c r="Z567" s="74"/>
      <c r="AA567" s="74"/>
      <c r="AB567" s="74"/>
    </row>
    <row r="568" spans="1:28" ht="40.5" customHeight="1">
      <c r="A568" s="434"/>
      <c r="B568" s="435"/>
      <c r="C568" s="369"/>
      <c r="D568" s="369"/>
      <c r="E568" s="369"/>
      <c r="F568" s="369"/>
      <c r="G568" s="374"/>
      <c r="H568" s="375"/>
      <c r="I568" s="35"/>
      <c r="J568" s="74"/>
      <c r="K568" s="74"/>
      <c r="L568" s="74"/>
      <c r="M568" s="74"/>
      <c r="N568" s="74"/>
      <c r="O568" s="74"/>
      <c r="P568" s="74"/>
      <c r="Q568" s="74"/>
      <c r="R568" s="74"/>
      <c r="S568" s="74"/>
      <c r="T568" s="74"/>
      <c r="U568" s="74"/>
      <c r="V568" s="74"/>
      <c r="W568" s="74"/>
      <c r="X568" s="74"/>
      <c r="Y568" s="74"/>
      <c r="Z568" s="74"/>
      <c r="AA568" s="74"/>
      <c r="AB568" s="74"/>
    </row>
    <row r="569" spans="1:28" ht="40.5" customHeight="1">
      <c r="A569" s="434"/>
      <c r="B569" s="435"/>
      <c r="C569" s="369"/>
      <c r="D569" s="369"/>
      <c r="E569" s="369"/>
      <c r="F569" s="369"/>
      <c r="G569" s="374"/>
      <c r="H569" s="375"/>
      <c r="I569" s="35"/>
      <c r="J569" s="74"/>
      <c r="K569" s="74"/>
      <c r="L569" s="74"/>
      <c r="M569" s="74"/>
      <c r="N569" s="74"/>
      <c r="O569" s="74"/>
      <c r="P569" s="74"/>
      <c r="Q569" s="74"/>
      <c r="R569" s="74"/>
      <c r="S569" s="74"/>
      <c r="T569" s="74"/>
      <c r="U569" s="74"/>
      <c r="V569" s="74"/>
      <c r="W569" s="74"/>
      <c r="X569" s="74"/>
      <c r="Y569" s="74"/>
      <c r="Z569" s="74"/>
      <c r="AA569" s="74"/>
      <c r="AB569" s="74"/>
    </row>
    <row r="570" spans="1:28" ht="40.5" customHeight="1">
      <c r="A570" s="434"/>
      <c r="B570" s="435"/>
      <c r="C570" s="369"/>
      <c r="D570" s="369"/>
      <c r="E570" s="369"/>
      <c r="F570" s="369"/>
      <c r="G570" s="374"/>
      <c r="H570" s="375"/>
      <c r="I570" s="35"/>
      <c r="J570" s="74"/>
      <c r="K570" s="74"/>
      <c r="L570" s="74"/>
      <c r="M570" s="74"/>
      <c r="N570" s="74"/>
      <c r="O570" s="74"/>
      <c r="P570" s="74"/>
      <c r="Q570" s="74"/>
      <c r="R570" s="74"/>
      <c r="S570" s="74"/>
      <c r="T570" s="74"/>
      <c r="U570" s="74"/>
      <c r="V570" s="74"/>
      <c r="W570" s="74"/>
      <c r="X570" s="74"/>
      <c r="Y570" s="74"/>
      <c r="Z570" s="74"/>
      <c r="AA570" s="74"/>
      <c r="AB570" s="74"/>
    </row>
    <row r="571" spans="1:28" ht="40.5" customHeight="1">
      <c r="A571" s="434"/>
      <c r="B571" s="435"/>
      <c r="C571" s="369"/>
      <c r="D571" s="369"/>
      <c r="E571" s="369"/>
      <c r="F571" s="369"/>
      <c r="G571" s="374"/>
      <c r="H571" s="375"/>
      <c r="I571" s="35"/>
      <c r="J571" s="74"/>
      <c r="K571" s="74"/>
      <c r="L571" s="74"/>
      <c r="M571" s="74"/>
      <c r="N571" s="74"/>
      <c r="O571" s="74"/>
      <c r="P571" s="74"/>
      <c r="Q571" s="74"/>
      <c r="R571" s="74"/>
      <c r="S571" s="74"/>
      <c r="T571" s="74"/>
      <c r="U571" s="74"/>
      <c r="V571" s="74"/>
      <c r="W571" s="74"/>
      <c r="X571" s="74"/>
      <c r="Y571" s="74"/>
      <c r="Z571" s="74"/>
      <c r="AA571" s="74"/>
      <c r="AB571" s="74"/>
    </row>
    <row r="572" spans="1:28" ht="40.5" customHeight="1">
      <c r="A572" s="434"/>
      <c r="B572" s="435"/>
      <c r="C572" s="369"/>
      <c r="D572" s="369"/>
      <c r="E572" s="369"/>
      <c r="F572" s="369"/>
      <c r="G572" s="374"/>
      <c r="H572" s="375"/>
      <c r="I572" s="35"/>
      <c r="J572" s="74"/>
      <c r="K572" s="74"/>
      <c r="L572" s="74"/>
      <c r="M572" s="74"/>
      <c r="N572" s="74"/>
      <c r="O572" s="74"/>
      <c r="P572" s="74"/>
      <c r="Q572" s="74"/>
      <c r="R572" s="74"/>
      <c r="S572" s="74"/>
      <c r="T572" s="74"/>
      <c r="U572" s="74"/>
      <c r="V572" s="74"/>
      <c r="W572" s="74"/>
      <c r="X572" s="74"/>
      <c r="Y572" s="74"/>
      <c r="Z572" s="74"/>
      <c r="AA572" s="74"/>
      <c r="AB572" s="74"/>
    </row>
    <row r="573" spans="1:28" ht="40.5" customHeight="1">
      <c r="A573" s="434"/>
      <c r="B573" s="435"/>
      <c r="C573" s="369"/>
      <c r="D573" s="369"/>
      <c r="E573" s="369"/>
      <c r="F573" s="369"/>
      <c r="G573" s="374"/>
      <c r="H573" s="375"/>
      <c r="I573" s="35"/>
      <c r="J573" s="74"/>
      <c r="K573" s="74"/>
      <c r="L573" s="74"/>
      <c r="M573" s="74"/>
      <c r="N573" s="74"/>
      <c r="O573" s="74"/>
      <c r="P573" s="74"/>
      <c r="Q573" s="74"/>
      <c r="R573" s="74"/>
      <c r="S573" s="74"/>
      <c r="T573" s="74"/>
      <c r="U573" s="74"/>
      <c r="V573" s="74"/>
      <c r="W573" s="74"/>
      <c r="X573" s="74"/>
      <c r="Y573" s="74"/>
      <c r="Z573" s="74"/>
      <c r="AA573" s="74"/>
      <c r="AB573" s="74"/>
    </row>
    <row r="574" spans="1:28" ht="40.5" customHeight="1">
      <c r="A574" s="434"/>
      <c r="B574" s="435"/>
      <c r="C574" s="369"/>
      <c r="D574" s="369"/>
      <c r="E574" s="369"/>
      <c r="F574" s="369"/>
      <c r="G574" s="374"/>
      <c r="H574" s="375"/>
      <c r="I574" s="35"/>
      <c r="J574" s="74"/>
      <c r="K574" s="74"/>
      <c r="L574" s="74"/>
      <c r="M574" s="74"/>
      <c r="N574" s="74"/>
      <c r="O574" s="74"/>
      <c r="P574" s="74"/>
      <c r="Q574" s="74"/>
      <c r="R574" s="74"/>
      <c r="S574" s="74"/>
      <c r="T574" s="74"/>
      <c r="U574" s="74"/>
      <c r="V574" s="74"/>
      <c r="W574" s="74"/>
      <c r="X574" s="74"/>
      <c r="Y574" s="74"/>
      <c r="Z574" s="74"/>
      <c r="AA574" s="74"/>
      <c r="AB574" s="74"/>
    </row>
    <row r="575" spans="1:28" ht="40.5" customHeight="1">
      <c r="A575" s="434"/>
      <c r="B575" s="435"/>
      <c r="C575" s="369"/>
      <c r="D575" s="369"/>
      <c r="E575" s="369"/>
      <c r="F575" s="369"/>
      <c r="G575" s="374"/>
      <c r="H575" s="375"/>
      <c r="I575" s="35"/>
      <c r="J575" s="74"/>
      <c r="K575" s="74"/>
      <c r="L575" s="74"/>
      <c r="M575" s="74"/>
      <c r="N575" s="74"/>
      <c r="O575" s="74"/>
      <c r="P575" s="74"/>
      <c r="Q575" s="74"/>
      <c r="R575" s="74"/>
      <c r="S575" s="74"/>
      <c r="T575" s="74"/>
      <c r="U575" s="74"/>
      <c r="V575" s="74"/>
      <c r="W575" s="74"/>
      <c r="X575" s="74"/>
      <c r="Y575" s="74"/>
      <c r="Z575" s="74"/>
      <c r="AA575" s="74"/>
      <c r="AB575" s="74"/>
    </row>
    <row r="576" spans="1:28" ht="40.5" customHeight="1">
      <c r="A576" s="434"/>
      <c r="B576" s="435"/>
      <c r="C576" s="369"/>
      <c r="D576" s="369"/>
      <c r="E576" s="369"/>
      <c r="F576" s="369"/>
      <c r="G576" s="374"/>
      <c r="H576" s="375"/>
      <c r="I576" s="35"/>
      <c r="J576" s="74"/>
      <c r="K576" s="74"/>
      <c r="L576" s="74"/>
      <c r="M576" s="74"/>
      <c r="N576" s="74"/>
      <c r="O576" s="74"/>
      <c r="P576" s="74"/>
      <c r="Q576" s="74"/>
      <c r="R576" s="74"/>
      <c r="S576" s="74"/>
      <c r="T576" s="74"/>
      <c r="U576" s="74"/>
      <c r="V576" s="74"/>
      <c r="W576" s="74"/>
      <c r="X576" s="74"/>
      <c r="Y576" s="74"/>
      <c r="Z576" s="74"/>
      <c r="AA576" s="74"/>
      <c r="AB576" s="74"/>
    </row>
    <row r="577" spans="1:28" ht="40.5" customHeight="1">
      <c r="A577" s="434"/>
      <c r="B577" s="435"/>
      <c r="C577" s="369"/>
      <c r="D577" s="369"/>
      <c r="E577" s="369"/>
      <c r="F577" s="369"/>
      <c r="G577" s="374"/>
      <c r="H577" s="375"/>
      <c r="I577" s="35"/>
      <c r="J577" s="74"/>
      <c r="K577" s="74"/>
      <c r="L577" s="74"/>
      <c r="M577" s="74"/>
      <c r="N577" s="74"/>
      <c r="O577" s="74"/>
      <c r="P577" s="74"/>
      <c r="Q577" s="74"/>
      <c r="R577" s="74"/>
      <c r="S577" s="74"/>
      <c r="T577" s="74"/>
      <c r="U577" s="74"/>
      <c r="V577" s="74"/>
      <c r="W577" s="74"/>
      <c r="X577" s="74"/>
      <c r="Y577" s="74"/>
      <c r="Z577" s="74"/>
      <c r="AA577" s="74"/>
      <c r="AB577" s="74"/>
    </row>
    <row r="578" spans="1:28" ht="40.5" customHeight="1">
      <c r="A578" s="434"/>
      <c r="B578" s="435"/>
      <c r="C578" s="369"/>
      <c r="D578" s="369"/>
      <c r="E578" s="369"/>
      <c r="F578" s="369"/>
      <c r="G578" s="374"/>
      <c r="H578" s="375"/>
      <c r="I578" s="35"/>
      <c r="J578" s="74"/>
      <c r="K578" s="74"/>
      <c r="L578" s="74"/>
      <c r="M578" s="74"/>
      <c r="N578" s="74"/>
      <c r="O578" s="74"/>
      <c r="P578" s="74"/>
      <c r="Q578" s="74"/>
      <c r="R578" s="74"/>
      <c r="S578" s="74"/>
      <c r="T578" s="74"/>
      <c r="U578" s="74"/>
      <c r="V578" s="74"/>
      <c r="W578" s="74"/>
      <c r="X578" s="74"/>
      <c r="Y578" s="74"/>
      <c r="Z578" s="74"/>
      <c r="AA578" s="74"/>
      <c r="AB578" s="74"/>
    </row>
    <row r="579" spans="1:28" ht="40.5" customHeight="1">
      <c r="A579" s="434"/>
      <c r="B579" s="435"/>
      <c r="C579" s="369"/>
      <c r="D579" s="369"/>
      <c r="E579" s="369"/>
      <c r="F579" s="369"/>
      <c r="G579" s="374"/>
      <c r="H579" s="375"/>
      <c r="I579" s="35"/>
      <c r="J579" s="74"/>
      <c r="K579" s="74"/>
      <c r="L579" s="74"/>
      <c r="M579" s="74"/>
      <c r="N579" s="74"/>
      <c r="O579" s="74"/>
      <c r="P579" s="74"/>
      <c r="Q579" s="74"/>
      <c r="R579" s="74"/>
      <c r="S579" s="74"/>
      <c r="T579" s="74"/>
      <c r="U579" s="74"/>
      <c r="V579" s="74"/>
      <c r="W579" s="74"/>
      <c r="X579" s="74"/>
      <c r="Y579" s="74"/>
      <c r="Z579" s="74"/>
      <c r="AA579" s="74"/>
      <c r="AB579" s="74"/>
    </row>
    <row r="580" spans="1:28" ht="40.5" customHeight="1">
      <c r="A580" s="434"/>
      <c r="B580" s="435"/>
      <c r="C580" s="369"/>
      <c r="D580" s="369"/>
      <c r="E580" s="369"/>
      <c r="F580" s="369"/>
      <c r="G580" s="374"/>
      <c r="H580" s="375"/>
      <c r="I580" s="35"/>
      <c r="J580" s="74"/>
      <c r="K580" s="74"/>
      <c r="L580" s="74"/>
      <c r="M580" s="74"/>
      <c r="N580" s="74"/>
      <c r="O580" s="74"/>
      <c r="P580" s="74"/>
      <c r="Q580" s="74"/>
      <c r="R580" s="74"/>
      <c r="S580" s="74"/>
      <c r="T580" s="74"/>
      <c r="U580" s="74"/>
      <c r="V580" s="74"/>
      <c r="W580" s="74"/>
      <c r="X580" s="74"/>
      <c r="Y580" s="74"/>
      <c r="Z580" s="74"/>
      <c r="AA580" s="74"/>
      <c r="AB580" s="74"/>
    </row>
    <row r="581" spans="1:28" ht="40.5" customHeight="1">
      <c r="A581" s="434"/>
      <c r="B581" s="435"/>
      <c r="C581" s="369"/>
      <c r="D581" s="369"/>
      <c r="E581" s="369"/>
      <c r="F581" s="369"/>
      <c r="G581" s="374"/>
      <c r="H581" s="375"/>
      <c r="I581" s="35"/>
      <c r="J581" s="74"/>
      <c r="K581" s="74"/>
      <c r="L581" s="74"/>
      <c r="M581" s="74"/>
      <c r="N581" s="74"/>
      <c r="O581" s="74"/>
      <c r="P581" s="74"/>
      <c r="Q581" s="74"/>
      <c r="R581" s="74"/>
      <c r="S581" s="74"/>
      <c r="T581" s="74"/>
      <c r="U581" s="74"/>
      <c r="V581" s="74"/>
      <c r="W581" s="74"/>
      <c r="X581" s="74"/>
      <c r="Y581" s="74"/>
      <c r="Z581" s="74"/>
      <c r="AA581" s="74"/>
      <c r="AB581" s="74"/>
    </row>
    <row r="582" spans="1:28" ht="40.5" customHeight="1">
      <c r="A582" s="434"/>
      <c r="B582" s="435"/>
      <c r="C582" s="369"/>
      <c r="D582" s="369"/>
      <c r="E582" s="369"/>
      <c r="F582" s="369"/>
      <c r="G582" s="374"/>
      <c r="H582" s="375"/>
      <c r="I582" s="35"/>
      <c r="J582" s="74"/>
      <c r="K582" s="74"/>
      <c r="L582" s="74"/>
      <c r="M582" s="74"/>
      <c r="N582" s="74"/>
      <c r="O582" s="74"/>
      <c r="P582" s="74"/>
      <c r="Q582" s="74"/>
      <c r="R582" s="74"/>
      <c r="S582" s="74"/>
      <c r="T582" s="74"/>
      <c r="U582" s="74"/>
      <c r="V582" s="74"/>
      <c r="W582" s="74"/>
      <c r="X582" s="74"/>
      <c r="Y582" s="74"/>
      <c r="Z582" s="74"/>
      <c r="AA582" s="74"/>
      <c r="AB582" s="74"/>
    </row>
    <row r="583" spans="1:28" ht="40.5" customHeight="1">
      <c r="A583" s="434"/>
      <c r="B583" s="435"/>
      <c r="C583" s="369"/>
      <c r="D583" s="369"/>
      <c r="E583" s="369"/>
      <c r="F583" s="369"/>
      <c r="G583" s="374"/>
      <c r="H583" s="375"/>
      <c r="I583" s="35"/>
      <c r="J583" s="74"/>
      <c r="K583" s="74"/>
      <c r="L583" s="74"/>
      <c r="M583" s="74"/>
      <c r="N583" s="74"/>
      <c r="O583" s="74"/>
      <c r="P583" s="74"/>
      <c r="Q583" s="74"/>
      <c r="R583" s="74"/>
      <c r="S583" s="74"/>
      <c r="T583" s="74"/>
      <c r="U583" s="74"/>
      <c r="V583" s="74"/>
      <c r="W583" s="74"/>
      <c r="X583" s="74"/>
      <c r="Y583" s="74"/>
      <c r="Z583" s="74"/>
      <c r="AA583" s="74"/>
      <c r="AB583" s="74"/>
    </row>
    <row r="584" spans="1:28" ht="40.5" customHeight="1">
      <c r="A584" s="434"/>
      <c r="B584" s="435"/>
      <c r="C584" s="369"/>
      <c r="D584" s="369"/>
      <c r="E584" s="369"/>
      <c r="F584" s="369"/>
      <c r="G584" s="374"/>
      <c r="H584" s="375"/>
      <c r="I584" s="35"/>
      <c r="J584" s="74"/>
      <c r="K584" s="74"/>
      <c r="L584" s="74"/>
      <c r="M584" s="74"/>
      <c r="N584" s="74"/>
      <c r="O584" s="74"/>
      <c r="P584" s="74"/>
      <c r="Q584" s="74"/>
      <c r="R584" s="74"/>
      <c r="S584" s="74"/>
      <c r="T584" s="74"/>
      <c r="U584" s="74"/>
      <c r="V584" s="74"/>
      <c r="W584" s="74"/>
      <c r="X584" s="74"/>
      <c r="Y584" s="74"/>
      <c r="Z584" s="74"/>
      <c r="AA584" s="74"/>
      <c r="AB584" s="74"/>
    </row>
    <row r="585" spans="1:28" ht="40.5" customHeight="1">
      <c r="A585" s="434"/>
      <c r="B585" s="435"/>
      <c r="C585" s="369"/>
      <c r="D585" s="369"/>
      <c r="E585" s="369"/>
      <c r="F585" s="369"/>
      <c r="G585" s="374"/>
      <c r="H585" s="375"/>
      <c r="I585" s="35"/>
      <c r="J585" s="74"/>
      <c r="K585" s="74"/>
      <c r="L585" s="74"/>
      <c r="M585" s="74"/>
      <c r="N585" s="74"/>
      <c r="O585" s="74"/>
      <c r="P585" s="74"/>
      <c r="Q585" s="74"/>
      <c r="R585" s="74"/>
      <c r="S585" s="74"/>
      <c r="T585" s="74"/>
      <c r="U585" s="74"/>
      <c r="V585" s="74"/>
      <c r="W585" s="74"/>
      <c r="X585" s="74"/>
      <c r="Y585" s="74"/>
      <c r="Z585" s="74"/>
      <c r="AA585" s="74"/>
      <c r="AB585" s="74"/>
    </row>
    <row r="586" spans="1:28" ht="40.5" customHeight="1">
      <c r="A586" s="434"/>
      <c r="B586" s="435"/>
      <c r="C586" s="369"/>
      <c r="D586" s="369"/>
      <c r="E586" s="369"/>
      <c r="F586" s="369"/>
      <c r="G586" s="374"/>
      <c r="H586" s="375"/>
      <c r="I586" s="35"/>
      <c r="J586" s="74"/>
      <c r="K586" s="74"/>
      <c r="L586" s="74"/>
      <c r="M586" s="74"/>
      <c r="N586" s="74"/>
      <c r="O586" s="74"/>
      <c r="P586" s="74"/>
      <c r="Q586" s="74"/>
      <c r="R586" s="74"/>
      <c r="S586" s="74"/>
      <c r="T586" s="74"/>
      <c r="U586" s="74"/>
      <c r="V586" s="74"/>
      <c r="W586" s="74"/>
      <c r="X586" s="74"/>
      <c r="Y586" s="74"/>
      <c r="Z586" s="74"/>
      <c r="AA586" s="74"/>
      <c r="AB586" s="74"/>
    </row>
    <row r="587" spans="1:28" ht="40.5" customHeight="1">
      <c r="A587" s="434"/>
      <c r="B587" s="435"/>
      <c r="C587" s="369"/>
      <c r="D587" s="369"/>
      <c r="E587" s="369"/>
      <c r="F587" s="369"/>
      <c r="G587" s="374"/>
      <c r="H587" s="375"/>
      <c r="I587" s="35"/>
      <c r="J587" s="74"/>
      <c r="K587" s="74"/>
      <c r="L587" s="74"/>
      <c r="M587" s="74"/>
      <c r="N587" s="74"/>
      <c r="O587" s="74"/>
      <c r="P587" s="74"/>
      <c r="Q587" s="74"/>
      <c r="R587" s="74"/>
      <c r="S587" s="74"/>
      <c r="T587" s="74"/>
      <c r="U587" s="74"/>
      <c r="V587" s="74"/>
      <c r="W587" s="74"/>
      <c r="X587" s="74"/>
      <c r="Y587" s="74"/>
      <c r="Z587" s="74"/>
      <c r="AA587" s="74"/>
      <c r="AB587" s="74"/>
    </row>
    <row r="588" spans="1:28" ht="40.5" customHeight="1">
      <c r="A588" s="434"/>
      <c r="B588" s="435"/>
      <c r="C588" s="369"/>
      <c r="D588" s="369"/>
      <c r="E588" s="369"/>
      <c r="F588" s="369"/>
      <c r="G588" s="374"/>
      <c r="H588" s="375"/>
      <c r="I588" s="35"/>
      <c r="J588" s="74"/>
      <c r="K588" s="74"/>
      <c r="L588" s="74"/>
      <c r="M588" s="74"/>
      <c r="N588" s="74"/>
      <c r="O588" s="74"/>
      <c r="P588" s="74"/>
      <c r="Q588" s="74"/>
      <c r="R588" s="74"/>
      <c r="S588" s="74"/>
      <c r="T588" s="74"/>
      <c r="U588" s="74"/>
      <c r="V588" s="74"/>
      <c r="W588" s="74"/>
      <c r="X588" s="74"/>
      <c r="Y588" s="74"/>
      <c r="Z588" s="74"/>
      <c r="AA588" s="74"/>
      <c r="AB588" s="74"/>
    </row>
    <row r="589" spans="1:28" ht="40.5" customHeight="1">
      <c r="A589" s="434"/>
      <c r="B589" s="435"/>
      <c r="C589" s="369"/>
      <c r="D589" s="369"/>
      <c r="E589" s="369"/>
      <c r="F589" s="369"/>
      <c r="G589" s="374"/>
      <c r="H589" s="375"/>
      <c r="I589" s="35"/>
      <c r="J589" s="74"/>
      <c r="K589" s="74"/>
      <c r="L589" s="74"/>
      <c r="M589" s="74"/>
      <c r="N589" s="74"/>
      <c r="O589" s="74"/>
      <c r="P589" s="74"/>
      <c r="Q589" s="74"/>
      <c r="R589" s="74"/>
      <c r="S589" s="74"/>
      <c r="T589" s="74"/>
      <c r="U589" s="74"/>
      <c r="V589" s="74"/>
      <c r="W589" s="74"/>
      <c r="X589" s="74"/>
      <c r="Y589" s="74"/>
      <c r="Z589" s="74"/>
      <c r="AA589" s="74"/>
      <c r="AB589" s="74"/>
    </row>
    <row r="590" spans="1:28" ht="40.5" customHeight="1">
      <c r="A590" s="434"/>
      <c r="B590" s="435"/>
      <c r="C590" s="369"/>
      <c r="D590" s="369"/>
      <c r="E590" s="369"/>
      <c r="F590" s="369"/>
      <c r="G590" s="374"/>
      <c r="H590" s="375"/>
      <c r="I590" s="35"/>
      <c r="J590" s="74"/>
      <c r="K590" s="74"/>
      <c r="L590" s="74"/>
      <c r="M590" s="74"/>
      <c r="N590" s="74"/>
      <c r="O590" s="74"/>
      <c r="P590" s="74"/>
      <c r="Q590" s="74"/>
      <c r="R590" s="74"/>
      <c r="S590" s="74"/>
      <c r="T590" s="74"/>
      <c r="U590" s="74"/>
      <c r="V590" s="74"/>
      <c r="W590" s="74"/>
      <c r="X590" s="74"/>
      <c r="Y590" s="74"/>
      <c r="Z590" s="74"/>
      <c r="AA590" s="74"/>
      <c r="AB590" s="74"/>
    </row>
    <row r="591" spans="1:28" ht="40.5" customHeight="1">
      <c r="A591" s="434"/>
      <c r="B591" s="435"/>
      <c r="C591" s="369"/>
      <c r="D591" s="369"/>
      <c r="E591" s="369"/>
      <c r="F591" s="369"/>
      <c r="G591" s="374"/>
      <c r="H591" s="375"/>
      <c r="I591" s="35"/>
      <c r="J591" s="74"/>
      <c r="K591" s="74"/>
      <c r="L591" s="74"/>
      <c r="M591" s="74"/>
      <c r="N591" s="74"/>
      <c r="O591" s="74"/>
      <c r="P591" s="74"/>
      <c r="Q591" s="74"/>
      <c r="R591" s="74"/>
      <c r="S591" s="74"/>
      <c r="T591" s="74"/>
      <c r="U591" s="74"/>
      <c r="V591" s="74"/>
      <c r="W591" s="74"/>
      <c r="X591" s="74"/>
      <c r="Y591" s="74"/>
      <c r="Z591" s="74"/>
      <c r="AA591" s="74"/>
      <c r="AB591" s="74"/>
    </row>
    <row r="592" spans="1:28" ht="40.5" customHeight="1">
      <c r="A592" s="434"/>
      <c r="B592" s="435"/>
      <c r="C592" s="369"/>
      <c r="D592" s="369"/>
      <c r="E592" s="369"/>
      <c r="F592" s="369"/>
      <c r="G592" s="374"/>
      <c r="H592" s="375"/>
      <c r="I592" s="35"/>
      <c r="J592" s="74"/>
      <c r="K592" s="74"/>
      <c r="L592" s="74"/>
      <c r="M592" s="74"/>
      <c r="N592" s="74"/>
      <c r="O592" s="74"/>
      <c r="P592" s="74"/>
      <c r="Q592" s="74"/>
      <c r="R592" s="74"/>
      <c r="S592" s="74"/>
      <c r="T592" s="74"/>
      <c r="U592" s="74"/>
      <c r="V592" s="74"/>
      <c r="W592" s="74"/>
      <c r="X592" s="74"/>
      <c r="Y592" s="74"/>
      <c r="Z592" s="74"/>
      <c r="AA592" s="74"/>
      <c r="AB592" s="74"/>
    </row>
    <row r="593" spans="1:28" ht="40.5" customHeight="1">
      <c r="A593" s="434"/>
      <c r="B593" s="435"/>
      <c r="C593" s="369"/>
      <c r="D593" s="369"/>
      <c r="E593" s="369"/>
      <c r="F593" s="369"/>
      <c r="G593" s="374"/>
      <c r="H593" s="375"/>
      <c r="I593" s="35"/>
      <c r="J593" s="74"/>
      <c r="K593" s="74"/>
      <c r="L593" s="74"/>
      <c r="M593" s="74"/>
      <c r="N593" s="74"/>
      <c r="O593" s="74"/>
      <c r="P593" s="74"/>
      <c r="Q593" s="74"/>
      <c r="R593" s="74"/>
      <c r="S593" s="74"/>
      <c r="T593" s="74"/>
      <c r="U593" s="74"/>
      <c r="V593" s="74"/>
      <c r="W593" s="74"/>
      <c r="X593" s="74"/>
      <c r="Y593" s="74"/>
      <c r="Z593" s="74"/>
      <c r="AA593" s="74"/>
      <c r="AB593" s="74"/>
    </row>
    <row r="594" spans="1:28" ht="40.5" customHeight="1">
      <c r="A594" s="434"/>
      <c r="B594" s="435"/>
      <c r="C594" s="369"/>
      <c r="D594" s="369"/>
      <c r="E594" s="369"/>
      <c r="F594" s="369"/>
      <c r="G594" s="374"/>
      <c r="H594" s="375"/>
      <c r="I594" s="35"/>
      <c r="J594" s="74"/>
      <c r="K594" s="74"/>
      <c r="L594" s="74"/>
      <c r="M594" s="74"/>
      <c r="N594" s="74"/>
      <c r="O594" s="74"/>
      <c r="P594" s="74"/>
      <c r="Q594" s="74"/>
      <c r="R594" s="74"/>
      <c r="S594" s="74"/>
      <c r="T594" s="74"/>
      <c r="U594" s="74"/>
      <c r="V594" s="74"/>
      <c r="W594" s="74"/>
      <c r="X594" s="74"/>
      <c r="Y594" s="74"/>
      <c r="Z594" s="74"/>
      <c r="AA594" s="74"/>
      <c r="AB594" s="74"/>
    </row>
    <row r="595" spans="1:28" ht="40.5" customHeight="1">
      <c r="A595" s="434"/>
      <c r="B595" s="435"/>
      <c r="C595" s="369"/>
      <c r="D595" s="369"/>
      <c r="E595" s="369"/>
      <c r="F595" s="369"/>
      <c r="G595" s="374"/>
      <c r="H595" s="375"/>
      <c r="I595" s="35"/>
      <c r="J595" s="74"/>
      <c r="K595" s="74"/>
      <c r="L595" s="74"/>
      <c r="M595" s="74"/>
      <c r="N595" s="74"/>
      <c r="O595" s="74"/>
      <c r="P595" s="74"/>
      <c r="Q595" s="74"/>
      <c r="R595" s="74"/>
      <c r="S595" s="74"/>
      <c r="T595" s="74"/>
      <c r="U595" s="74"/>
      <c r="V595" s="74"/>
      <c r="W595" s="74"/>
      <c r="X595" s="74"/>
      <c r="Y595" s="74"/>
      <c r="Z595" s="74"/>
      <c r="AA595" s="74"/>
      <c r="AB595" s="74"/>
    </row>
    <row r="596" spans="1:28" ht="40.5" customHeight="1">
      <c r="A596" s="434"/>
      <c r="B596" s="435"/>
      <c r="C596" s="369"/>
      <c r="D596" s="369"/>
      <c r="E596" s="369"/>
      <c r="F596" s="369"/>
      <c r="G596" s="374"/>
      <c r="H596" s="375"/>
      <c r="I596" s="35"/>
      <c r="J596" s="74"/>
      <c r="K596" s="74"/>
      <c r="L596" s="74"/>
      <c r="M596" s="74"/>
      <c r="N596" s="74"/>
      <c r="O596" s="74"/>
      <c r="P596" s="74"/>
      <c r="Q596" s="74"/>
      <c r="R596" s="74"/>
      <c r="S596" s="74"/>
      <c r="T596" s="74"/>
      <c r="U596" s="74"/>
      <c r="V596" s="74"/>
      <c r="W596" s="74"/>
      <c r="X596" s="74"/>
      <c r="Y596" s="74"/>
      <c r="Z596" s="74"/>
      <c r="AA596" s="74"/>
      <c r="AB596" s="74"/>
    </row>
    <row r="597" spans="1:28" ht="40.5" customHeight="1">
      <c r="A597" s="434"/>
      <c r="B597" s="435"/>
      <c r="C597" s="369"/>
      <c r="D597" s="369"/>
      <c r="E597" s="369"/>
      <c r="F597" s="369"/>
      <c r="G597" s="374"/>
      <c r="H597" s="375"/>
      <c r="I597" s="35"/>
      <c r="J597" s="74"/>
      <c r="K597" s="74"/>
      <c r="L597" s="74"/>
      <c r="M597" s="74"/>
      <c r="N597" s="74"/>
      <c r="O597" s="74"/>
      <c r="P597" s="74"/>
      <c r="Q597" s="74"/>
      <c r="R597" s="74"/>
      <c r="S597" s="74"/>
      <c r="T597" s="74"/>
      <c r="U597" s="74"/>
      <c r="V597" s="74"/>
      <c r="W597" s="74"/>
      <c r="X597" s="74"/>
      <c r="Y597" s="74"/>
      <c r="Z597" s="74"/>
      <c r="AA597" s="74"/>
      <c r="AB597" s="74"/>
    </row>
    <row r="598" spans="1:28" ht="40.5" customHeight="1">
      <c r="A598" s="434"/>
      <c r="B598" s="435"/>
      <c r="C598" s="369"/>
      <c r="D598" s="369"/>
      <c r="E598" s="369"/>
      <c r="F598" s="369"/>
      <c r="G598" s="374"/>
      <c r="H598" s="375"/>
      <c r="I598" s="35"/>
      <c r="J598" s="74"/>
      <c r="K598" s="74"/>
      <c r="L598" s="74"/>
      <c r="M598" s="74"/>
      <c r="N598" s="74"/>
      <c r="O598" s="74"/>
      <c r="P598" s="74"/>
      <c r="Q598" s="74"/>
      <c r="R598" s="74"/>
      <c r="S598" s="74"/>
      <c r="T598" s="74"/>
      <c r="U598" s="74"/>
      <c r="V598" s="74"/>
      <c r="W598" s="74"/>
      <c r="X598" s="74"/>
      <c r="Y598" s="74"/>
      <c r="Z598" s="74"/>
      <c r="AA598" s="74"/>
      <c r="AB598" s="74"/>
    </row>
    <row r="599" spans="1:28" ht="40.5" customHeight="1">
      <c r="A599" s="434"/>
      <c r="B599" s="435"/>
      <c r="C599" s="369"/>
      <c r="D599" s="369"/>
      <c r="E599" s="369"/>
      <c r="F599" s="369"/>
      <c r="G599" s="374"/>
      <c r="H599" s="375"/>
      <c r="I599" s="35"/>
      <c r="J599" s="74"/>
      <c r="K599" s="74"/>
      <c r="L599" s="74"/>
      <c r="M599" s="74"/>
      <c r="N599" s="74"/>
      <c r="O599" s="74"/>
      <c r="P599" s="74"/>
      <c r="Q599" s="74"/>
      <c r="R599" s="74"/>
      <c r="S599" s="74"/>
      <c r="T599" s="74"/>
      <c r="U599" s="74"/>
      <c r="V599" s="74"/>
      <c r="W599" s="74"/>
      <c r="X599" s="74"/>
      <c r="Y599" s="74"/>
      <c r="Z599" s="74"/>
      <c r="AA599" s="74"/>
      <c r="AB599" s="74"/>
    </row>
    <row r="600" spans="1:28" ht="40.5" customHeight="1">
      <c r="A600" s="434"/>
      <c r="B600" s="435"/>
      <c r="C600" s="369"/>
      <c r="D600" s="369"/>
      <c r="E600" s="369"/>
      <c r="F600" s="369"/>
      <c r="G600" s="374"/>
      <c r="H600" s="375"/>
      <c r="I600" s="35"/>
      <c r="J600" s="74"/>
      <c r="K600" s="74"/>
      <c r="L600" s="74"/>
      <c r="M600" s="74"/>
      <c r="N600" s="74"/>
      <c r="O600" s="74"/>
      <c r="P600" s="74"/>
      <c r="Q600" s="74"/>
      <c r="R600" s="74"/>
      <c r="S600" s="74"/>
      <c r="T600" s="74"/>
      <c r="U600" s="74"/>
      <c r="V600" s="74"/>
      <c r="W600" s="74"/>
      <c r="X600" s="74"/>
      <c r="Y600" s="74"/>
      <c r="Z600" s="74"/>
      <c r="AA600" s="74"/>
      <c r="AB600" s="74"/>
    </row>
    <row r="601" spans="1:28" ht="40.5" customHeight="1">
      <c r="A601" s="434"/>
      <c r="B601" s="435"/>
      <c r="C601" s="369"/>
      <c r="D601" s="369"/>
      <c r="E601" s="369"/>
      <c r="F601" s="369"/>
      <c r="G601" s="374"/>
      <c r="H601" s="375"/>
      <c r="I601" s="35"/>
      <c r="J601" s="74"/>
      <c r="K601" s="74"/>
      <c r="L601" s="74"/>
      <c r="M601" s="74"/>
      <c r="N601" s="74"/>
      <c r="O601" s="74"/>
      <c r="P601" s="74"/>
      <c r="Q601" s="74"/>
      <c r="R601" s="74"/>
      <c r="S601" s="74"/>
      <c r="T601" s="74"/>
      <c r="U601" s="74"/>
      <c r="V601" s="74"/>
      <c r="W601" s="74"/>
      <c r="X601" s="74"/>
      <c r="Y601" s="74"/>
      <c r="Z601" s="74"/>
      <c r="AA601" s="74"/>
      <c r="AB601" s="74"/>
    </row>
    <row r="602" spans="1:28" ht="40.5" customHeight="1">
      <c r="A602" s="434"/>
      <c r="B602" s="435"/>
      <c r="C602" s="369"/>
      <c r="D602" s="369"/>
      <c r="E602" s="369"/>
      <c r="F602" s="369"/>
      <c r="G602" s="374"/>
      <c r="H602" s="375"/>
      <c r="I602" s="35"/>
      <c r="J602" s="74"/>
      <c r="K602" s="74"/>
      <c r="L602" s="74"/>
      <c r="M602" s="74"/>
      <c r="N602" s="74"/>
      <c r="O602" s="74"/>
      <c r="P602" s="74"/>
      <c r="Q602" s="74"/>
      <c r="R602" s="74"/>
      <c r="S602" s="74"/>
      <c r="T602" s="74"/>
      <c r="U602" s="74"/>
      <c r="V602" s="74"/>
      <c r="W602" s="74"/>
      <c r="X602" s="74"/>
      <c r="Y602" s="74"/>
      <c r="Z602" s="74"/>
      <c r="AA602" s="74"/>
      <c r="AB602" s="74"/>
    </row>
    <row r="603" spans="1:28" ht="40.5" customHeight="1">
      <c r="A603" s="434"/>
      <c r="B603" s="435"/>
      <c r="C603" s="369"/>
      <c r="D603" s="369"/>
      <c r="E603" s="369"/>
      <c r="F603" s="369"/>
      <c r="G603" s="374"/>
      <c r="H603" s="375"/>
      <c r="I603" s="35"/>
      <c r="J603" s="74"/>
      <c r="K603" s="74"/>
      <c r="L603" s="74"/>
      <c r="M603" s="74"/>
      <c r="N603" s="74"/>
      <c r="O603" s="74"/>
      <c r="P603" s="74"/>
      <c r="Q603" s="74"/>
      <c r="R603" s="74"/>
      <c r="S603" s="74"/>
      <c r="T603" s="74"/>
      <c r="U603" s="74"/>
      <c r="V603" s="74"/>
      <c r="W603" s="74"/>
      <c r="X603" s="74"/>
      <c r="Y603" s="74"/>
      <c r="Z603" s="74"/>
      <c r="AA603" s="74"/>
      <c r="AB603" s="74"/>
    </row>
    <row r="604" spans="1:28" ht="40.5" customHeight="1">
      <c r="A604" s="434"/>
      <c r="B604" s="435"/>
      <c r="C604" s="369"/>
      <c r="D604" s="369"/>
      <c r="E604" s="369"/>
      <c r="F604" s="369"/>
      <c r="G604" s="374"/>
      <c r="H604" s="375"/>
      <c r="I604" s="35"/>
      <c r="J604" s="74"/>
      <c r="K604" s="74"/>
      <c r="L604" s="74"/>
      <c r="M604" s="74"/>
      <c r="N604" s="74"/>
      <c r="O604" s="74"/>
      <c r="P604" s="74"/>
      <c r="Q604" s="74"/>
      <c r="R604" s="74"/>
      <c r="S604" s="74"/>
      <c r="T604" s="74"/>
      <c r="U604" s="74"/>
      <c r="V604" s="74"/>
      <c r="W604" s="74"/>
      <c r="X604" s="74"/>
      <c r="Y604" s="74"/>
      <c r="Z604" s="74"/>
      <c r="AA604" s="74"/>
      <c r="AB604" s="74"/>
    </row>
    <row r="605" spans="1:28" ht="40.5" customHeight="1">
      <c r="A605" s="434"/>
      <c r="B605" s="435"/>
      <c r="C605" s="369"/>
      <c r="D605" s="369"/>
      <c r="E605" s="369"/>
      <c r="F605" s="369"/>
      <c r="G605" s="374"/>
      <c r="H605" s="375"/>
      <c r="I605" s="35"/>
      <c r="J605" s="74"/>
      <c r="K605" s="74"/>
      <c r="L605" s="74"/>
      <c r="M605" s="74"/>
      <c r="N605" s="74"/>
      <c r="O605" s="74"/>
      <c r="P605" s="74"/>
      <c r="Q605" s="74"/>
      <c r="R605" s="74"/>
      <c r="S605" s="74"/>
      <c r="T605" s="74"/>
      <c r="U605" s="74"/>
      <c r="V605" s="74"/>
      <c r="W605" s="74"/>
      <c r="X605" s="74"/>
      <c r="Y605" s="74"/>
      <c r="Z605" s="74"/>
      <c r="AA605" s="74"/>
      <c r="AB605" s="74"/>
    </row>
    <row r="606" spans="1:28" ht="40.5" customHeight="1">
      <c r="A606" s="434"/>
      <c r="B606" s="435"/>
      <c r="C606" s="369"/>
      <c r="D606" s="369"/>
      <c r="E606" s="369"/>
      <c r="F606" s="369"/>
      <c r="G606" s="374"/>
      <c r="H606" s="375"/>
      <c r="I606" s="35"/>
      <c r="J606" s="74"/>
      <c r="K606" s="74"/>
      <c r="L606" s="74"/>
      <c r="M606" s="74"/>
      <c r="N606" s="74"/>
      <c r="O606" s="74"/>
      <c r="P606" s="74"/>
      <c r="Q606" s="74"/>
      <c r="R606" s="74"/>
      <c r="S606" s="74"/>
      <c r="T606" s="74"/>
      <c r="U606" s="74"/>
      <c r="V606" s="74"/>
      <c r="W606" s="74"/>
      <c r="X606" s="74"/>
      <c r="Y606" s="74"/>
      <c r="Z606" s="74"/>
      <c r="AA606" s="74"/>
      <c r="AB606" s="74"/>
    </row>
    <row r="607" spans="1:28" ht="40.5" customHeight="1">
      <c r="A607" s="434"/>
      <c r="B607" s="435"/>
      <c r="C607" s="369"/>
      <c r="D607" s="369"/>
      <c r="E607" s="369"/>
      <c r="F607" s="369"/>
      <c r="G607" s="374"/>
      <c r="H607" s="375"/>
      <c r="I607" s="35"/>
      <c r="J607" s="74"/>
      <c r="K607" s="74"/>
      <c r="L607" s="74"/>
      <c r="M607" s="74"/>
      <c r="N607" s="74"/>
      <c r="O607" s="74"/>
      <c r="P607" s="74"/>
      <c r="Q607" s="74"/>
      <c r="R607" s="74"/>
      <c r="S607" s="74"/>
      <c r="T607" s="74"/>
      <c r="U607" s="74"/>
      <c r="V607" s="74"/>
      <c r="W607" s="74"/>
      <c r="X607" s="74"/>
      <c r="Y607" s="74"/>
      <c r="Z607" s="74"/>
      <c r="AA607" s="74"/>
      <c r="AB607" s="74"/>
    </row>
    <row r="608" spans="1:28" ht="40.5" customHeight="1">
      <c r="A608" s="434"/>
      <c r="B608" s="435"/>
      <c r="C608" s="369"/>
      <c r="D608" s="369"/>
      <c r="E608" s="369"/>
      <c r="F608" s="369"/>
      <c r="G608" s="374"/>
      <c r="H608" s="375"/>
      <c r="I608" s="35"/>
      <c r="J608" s="74"/>
      <c r="K608" s="74"/>
      <c r="L608" s="74"/>
      <c r="M608" s="74"/>
      <c r="N608" s="74"/>
      <c r="O608" s="74"/>
      <c r="P608" s="74"/>
      <c r="Q608" s="74"/>
      <c r="R608" s="74"/>
      <c r="S608" s="74"/>
      <c r="T608" s="74"/>
      <c r="U608" s="74"/>
      <c r="V608" s="74"/>
      <c r="W608" s="74"/>
      <c r="X608" s="74"/>
      <c r="Y608" s="74"/>
      <c r="Z608" s="74"/>
      <c r="AA608" s="74"/>
      <c r="AB608" s="74"/>
    </row>
    <row r="609" spans="1:28" ht="40.5" customHeight="1">
      <c r="A609" s="434"/>
      <c r="B609" s="435"/>
      <c r="C609" s="369"/>
      <c r="D609" s="369"/>
      <c r="E609" s="369"/>
      <c r="F609" s="369"/>
      <c r="G609" s="374"/>
      <c r="H609" s="375"/>
      <c r="I609" s="35"/>
      <c r="J609" s="74"/>
      <c r="K609" s="74"/>
      <c r="L609" s="74"/>
      <c r="M609" s="74"/>
      <c r="N609" s="74"/>
      <c r="O609" s="74"/>
      <c r="P609" s="74"/>
      <c r="Q609" s="74"/>
      <c r="R609" s="74"/>
      <c r="S609" s="74"/>
      <c r="T609" s="74"/>
      <c r="U609" s="74"/>
      <c r="V609" s="74"/>
      <c r="W609" s="74"/>
      <c r="X609" s="74"/>
      <c r="Y609" s="74"/>
      <c r="Z609" s="74"/>
      <c r="AA609" s="74"/>
      <c r="AB609" s="74"/>
    </row>
    <row r="610" spans="1:28" ht="40.5" customHeight="1">
      <c r="A610" s="434"/>
      <c r="B610" s="435"/>
      <c r="C610" s="369"/>
      <c r="D610" s="369"/>
      <c r="E610" s="369"/>
      <c r="F610" s="369"/>
      <c r="G610" s="374"/>
      <c r="H610" s="375"/>
      <c r="I610" s="35"/>
      <c r="J610" s="74"/>
      <c r="K610" s="74"/>
      <c r="L610" s="74"/>
      <c r="M610" s="74"/>
      <c r="N610" s="74"/>
      <c r="O610" s="74"/>
      <c r="P610" s="74"/>
      <c r="Q610" s="74"/>
      <c r="R610" s="74"/>
      <c r="S610" s="74"/>
      <c r="T610" s="74"/>
      <c r="U610" s="74"/>
      <c r="V610" s="74"/>
      <c r="W610" s="74"/>
      <c r="X610" s="74"/>
      <c r="Y610" s="74"/>
      <c r="Z610" s="74"/>
      <c r="AA610" s="74"/>
      <c r="AB610" s="74"/>
    </row>
    <row r="611" spans="1:28" ht="40.5" customHeight="1">
      <c r="A611" s="434"/>
      <c r="B611" s="435"/>
      <c r="C611" s="369"/>
      <c r="D611" s="369"/>
      <c r="E611" s="369"/>
      <c r="F611" s="369"/>
      <c r="G611" s="374"/>
      <c r="H611" s="375"/>
      <c r="I611" s="35"/>
      <c r="J611" s="74"/>
      <c r="K611" s="74"/>
      <c r="L611" s="74"/>
      <c r="M611" s="74"/>
      <c r="N611" s="74"/>
      <c r="O611" s="74"/>
      <c r="P611" s="74"/>
      <c r="Q611" s="74"/>
      <c r="R611" s="74"/>
      <c r="S611" s="74"/>
      <c r="T611" s="74"/>
      <c r="U611" s="74"/>
      <c r="V611" s="74"/>
      <c r="W611" s="74"/>
      <c r="X611" s="74"/>
      <c r="Y611" s="74"/>
      <c r="Z611" s="74"/>
      <c r="AA611" s="74"/>
      <c r="AB611" s="74"/>
    </row>
    <row r="612" spans="1:28" ht="40.5" customHeight="1">
      <c r="A612" s="434"/>
      <c r="B612" s="435"/>
      <c r="C612" s="369"/>
      <c r="D612" s="369"/>
      <c r="E612" s="369"/>
      <c r="F612" s="369"/>
      <c r="G612" s="374"/>
      <c r="H612" s="375"/>
      <c r="I612" s="35"/>
      <c r="J612" s="74"/>
      <c r="K612" s="74"/>
      <c r="L612" s="74"/>
      <c r="M612" s="74"/>
      <c r="N612" s="74"/>
      <c r="O612" s="74"/>
      <c r="P612" s="74"/>
      <c r="Q612" s="74"/>
      <c r="R612" s="74"/>
      <c r="S612" s="74"/>
      <c r="T612" s="74"/>
      <c r="U612" s="74"/>
      <c r="V612" s="74"/>
      <c r="W612" s="74"/>
      <c r="X612" s="74"/>
      <c r="Y612" s="74"/>
      <c r="Z612" s="74"/>
      <c r="AA612" s="74"/>
      <c r="AB612" s="74"/>
    </row>
    <row r="613" spans="1:28" ht="40.5" customHeight="1">
      <c r="A613" s="434"/>
      <c r="B613" s="435"/>
      <c r="C613" s="369"/>
      <c r="D613" s="369"/>
      <c r="E613" s="369"/>
      <c r="F613" s="369"/>
      <c r="G613" s="374"/>
      <c r="H613" s="375"/>
      <c r="I613" s="35"/>
      <c r="J613" s="74"/>
      <c r="K613" s="74"/>
      <c r="L613" s="74"/>
      <c r="M613" s="74"/>
      <c r="N613" s="74"/>
      <c r="O613" s="74"/>
      <c r="P613" s="74"/>
      <c r="Q613" s="74"/>
      <c r="R613" s="74"/>
      <c r="S613" s="74"/>
      <c r="T613" s="74"/>
      <c r="U613" s="74"/>
      <c r="V613" s="74"/>
      <c r="W613" s="74"/>
      <c r="X613" s="74"/>
      <c r="Y613" s="74"/>
      <c r="Z613" s="74"/>
      <c r="AA613" s="74"/>
      <c r="AB613" s="74"/>
    </row>
    <row r="614" spans="1:28" ht="40.5" customHeight="1">
      <c r="A614" s="434"/>
      <c r="B614" s="435"/>
      <c r="C614" s="369"/>
      <c r="D614" s="369"/>
      <c r="E614" s="369"/>
      <c r="F614" s="369"/>
      <c r="G614" s="374"/>
      <c r="H614" s="375"/>
      <c r="I614" s="35"/>
      <c r="J614" s="74"/>
      <c r="K614" s="74"/>
      <c r="L614" s="74"/>
      <c r="M614" s="74"/>
      <c r="N614" s="74"/>
      <c r="O614" s="74"/>
      <c r="P614" s="74"/>
      <c r="Q614" s="74"/>
      <c r="R614" s="74"/>
      <c r="S614" s="74"/>
      <c r="T614" s="74"/>
      <c r="U614" s="74"/>
      <c r="V614" s="74"/>
      <c r="W614" s="74"/>
      <c r="X614" s="74"/>
      <c r="Y614" s="74"/>
      <c r="Z614" s="74"/>
      <c r="AA614" s="74"/>
      <c r="AB614" s="74"/>
    </row>
    <row r="615" spans="1:28" ht="40.5" customHeight="1">
      <c r="A615" s="434"/>
      <c r="B615" s="435"/>
      <c r="C615" s="369"/>
      <c r="D615" s="369"/>
      <c r="E615" s="369"/>
      <c r="F615" s="369"/>
      <c r="G615" s="374"/>
      <c r="H615" s="375"/>
      <c r="I615" s="35"/>
      <c r="J615" s="74"/>
      <c r="K615" s="74"/>
      <c r="L615" s="74"/>
      <c r="M615" s="74"/>
      <c r="N615" s="74"/>
      <c r="O615" s="74"/>
      <c r="P615" s="74"/>
      <c r="Q615" s="74"/>
      <c r="R615" s="74"/>
      <c r="S615" s="74"/>
      <c r="T615" s="74"/>
      <c r="U615" s="74"/>
      <c r="V615" s="74"/>
      <c r="W615" s="74"/>
      <c r="X615" s="74"/>
      <c r="Y615" s="74"/>
      <c r="Z615" s="74"/>
      <c r="AA615" s="74"/>
      <c r="AB615" s="74"/>
    </row>
    <row r="616" spans="1:28" ht="40.5" customHeight="1">
      <c r="A616" s="434"/>
      <c r="B616" s="435"/>
      <c r="C616" s="369"/>
      <c r="D616" s="369"/>
      <c r="E616" s="369"/>
      <c r="F616" s="369"/>
      <c r="G616" s="374"/>
      <c r="H616" s="375"/>
      <c r="I616" s="35"/>
      <c r="J616" s="74"/>
      <c r="K616" s="74"/>
      <c r="L616" s="74"/>
      <c r="M616" s="74"/>
      <c r="N616" s="74"/>
      <c r="O616" s="74"/>
      <c r="P616" s="74"/>
      <c r="Q616" s="74"/>
      <c r="R616" s="74"/>
      <c r="S616" s="74"/>
      <c r="T616" s="74"/>
      <c r="U616" s="74"/>
      <c r="V616" s="74"/>
      <c r="W616" s="74"/>
      <c r="X616" s="74"/>
      <c r="Y616" s="74"/>
      <c r="Z616" s="74"/>
      <c r="AA616" s="74"/>
      <c r="AB616" s="74"/>
    </row>
    <row r="617" spans="1:28" ht="40.5" customHeight="1">
      <c r="A617" s="434"/>
      <c r="B617" s="435"/>
      <c r="C617" s="369"/>
      <c r="D617" s="369"/>
      <c r="E617" s="369"/>
      <c r="F617" s="369"/>
      <c r="G617" s="374"/>
      <c r="H617" s="375"/>
      <c r="I617" s="35"/>
      <c r="J617" s="74"/>
      <c r="K617" s="74"/>
      <c r="L617" s="74"/>
      <c r="M617" s="74"/>
      <c r="N617" s="74"/>
      <c r="O617" s="74"/>
      <c r="P617" s="74"/>
      <c r="Q617" s="74"/>
      <c r="R617" s="74"/>
      <c r="S617" s="74"/>
      <c r="T617" s="74"/>
      <c r="U617" s="74"/>
      <c r="V617" s="74"/>
      <c r="W617" s="74"/>
      <c r="X617" s="74"/>
      <c r="Y617" s="74"/>
      <c r="Z617" s="74"/>
      <c r="AA617" s="74"/>
      <c r="AB617" s="74"/>
    </row>
    <row r="618" spans="1:28" ht="40.5" customHeight="1">
      <c r="A618" s="434"/>
      <c r="B618" s="435"/>
      <c r="C618" s="369"/>
      <c r="D618" s="369"/>
      <c r="E618" s="369"/>
      <c r="F618" s="369"/>
      <c r="G618" s="374"/>
      <c r="H618" s="375"/>
      <c r="I618" s="35"/>
      <c r="J618" s="74"/>
      <c r="K618" s="74"/>
      <c r="L618" s="74"/>
      <c r="M618" s="74"/>
      <c r="N618" s="74"/>
      <c r="O618" s="74"/>
      <c r="P618" s="74"/>
      <c r="Q618" s="74"/>
      <c r="R618" s="74"/>
      <c r="S618" s="74"/>
      <c r="T618" s="74"/>
      <c r="U618" s="74"/>
      <c r="V618" s="74"/>
      <c r="W618" s="74"/>
      <c r="X618" s="74"/>
      <c r="Y618" s="74"/>
      <c r="Z618" s="74"/>
      <c r="AA618" s="74"/>
      <c r="AB618" s="74"/>
    </row>
    <row r="619" spans="1:28" ht="40.5" customHeight="1">
      <c r="A619" s="434"/>
      <c r="B619" s="435"/>
      <c r="C619" s="369"/>
      <c r="D619" s="369"/>
      <c r="E619" s="369"/>
      <c r="F619" s="369"/>
      <c r="G619" s="374"/>
      <c r="H619" s="375"/>
      <c r="I619" s="35"/>
      <c r="J619" s="74"/>
      <c r="K619" s="74"/>
      <c r="L619" s="74"/>
      <c r="M619" s="74"/>
      <c r="N619" s="74"/>
      <c r="O619" s="74"/>
      <c r="P619" s="74"/>
      <c r="Q619" s="74"/>
      <c r="R619" s="74"/>
      <c r="S619" s="74"/>
      <c r="T619" s="74"/>
      <c r="U619" s="74"/>
      <c r="V619" s="74"/>
      <c r="W619" s="74"/>
      <c r="X619" s="74"/>
      <c r="Y619" s="74"/>
      <c r="Z619" s="74"/>
      <c r="AA619" s="74"/>
      <c r="AB619" s="74"/>
    </row>
    <row r="620" spans="1:28" ht="40.5" customHeight="1">
      <c r="A620" s="434"/>
      <c r="B620" s="435"/>
      <c r="C620" s="369"/>
      <c r="D620" s="369"/>
      <c r="E620" s="369"/>
      <c r="F620" s="369"/>
      <c r="G620" s="374"/>
      <c r="H620" s="375"/>
      <c r="I620" s="35"/>
      <c r="J620" s="74"/>
      <c r="K620" s="74"/>
      <c r="L620" s="74"/>
      <c r="M620" s="74"/>
      <c r="N620" s="74"/>
      <c r="O620" s="74"/>
      <c r="P620" s="74"/>
      <c r="Q620" s="74"/>
      <c r="R620" s="74"/>
      <c r="S620" s="74"/>
      <c r="T620" s="74"/>
      <c r="U620" s="74"/>
      <c r="V620" s="74"/>
      <c r="W620" s="74"/>
      <c r="X620" s="74"/>
      <c r="Y620" s="74"/>
      <c r="Z620" s="74"/>
      <c r="AA620" s="74"/>
      <c r="AB620" s="74"/>
    </row>
    <row r="621" spans="1:28" ht="40.5" customHeight="1">
      <c r="A621" s="434"/>
      <c r="B621" s="435"/>
      <c r="C621" s="369"/>
      <c r="D621" s="369"/>
      <c r="E621" s="369"/>
      <c r="F621" s="369"/>
      <c r="G621" s="374"/>
      <c r="H621" s="375"/>
      <c r="I621" s="35"/>
      <c r="J621" s="74"/>
      <c r="K621" s="74"/>
      <c r="L621" s="74"/>
      <c r="M621" s="74"/>
      <c r="N621" s="74"/>
      <c r="O621" s="74"/>
      <c r="P621" s="74"/>
      <c r="Q621" s="74"/>
      <c r="R621" s="74"/>
      <c r="S621" s="74"/>
      <c r="T621" s="74"/>
      <c r="U621" s="74"/>
      <c r="V621" s="74"/>
      <c r="W621" s="74"/>
      <c r="X621" s="74"/>
      <c r="Y621" s="74"/>
      <c r="Z621" s="74"/>
      <c r="AA621" s="74"/>
      <c r="AB621" s="74"/>
    </row>
    <row r="622" spans="1:28" ht="40.5" customHeight="1">
      <c r="A622" s="434"/>
      <c r="B622" s="435"/>
      <c r="C622" s="369"/>
      <c r="D622" s="369"/>
      <c r="E622" s="369"/>
      <c r="F622" s="369"/>
      <c r="G622" s="374"/>
      <c r="H622" s="375"/>
      <c r="I622" s="35"/>
      <c r="J622" s="74"/>
      <c r="K622" s="74"/>
      <c r="L622" s="74"/>
      <c r="M622" s="74"/>
      <c r="N622" s="74"/>
      <c r="O622" s="74"/>
      <c r="P622" s="74"/>
      <c r="Q622" s="74"/>
      <c r="R622" s="74"/>
      <c r="S622" s="74"/>
      <c r="T622" s="74"/>
      <c r="U622" s="74"/>
      <c r="V622" s="74"/>
      <c r="W622" s="74"/>
      <c r="X622" s="74"/>
      <c r="Y622" s="74"/>
      <c r="Z622" s="74"/>
      <c r="AA622" s="74"/>
      <c r="AB622" s="74"/>
    </row>
    <row r="623" spans="1:28" ht="40.5" customHeight="1">
      <c r="A623" s="434"/>
      <c r="B623" s="435"/>
      <c r="C623" s="369"/>
      <c r="D623" s="369"/>
      <c r="E623" s="369"/>
      <c r="F623" s="369"/>
      <c r="G623" s="374"/>
      <c r="H623" s="375"/>
      <c r="I623" s="35"/>
      <c r="J623" s="74"/>
      <c r="K623" s="74"/>
      <c r="L623" s="74"/>
      <c r="M623" s="74"/>
      <c r="N623" s="74"/>
      <c r="O623" s="74"/>
      <c r="P623" s="74"/>
      <c r="Q623" s="74"/>
      <c r="R623" s="74"/>
      <c r="S623" s="74"/>
      <c r="T623" s="74"/>
      <c r="U623" s="74"/>
      <c r="V623" s="74"/>
      <c r="W623" s="74"/>
      <c r="X623" s="74"/>
      <c r="Y623" s="74"/>
      <c r="Z623" s="74"/>
      <c r="AA623" s="74"/>
      <c r="AB623" s="74"/>
    </row>
    <row r="624" spans="1:28" ht="40.5" customHeight="1">
      <c r="A624" s="434"/>
      <c r="B624" s="435"/>
      <c r="C624" s="369"/>
      <c r="D624" s="369"/>
      <c r="E624" s="369"/>
      <c r="F624" s="369"/>
      <c r="G624" s="374"/>
      <c r="H624" s="375"/>
      <c r="I624" s="35"/>
      <c r="J624" s="74"/>
      <c r="K624" s="74"/>
      <c r="L624" s="74"/>
      <c r="M624" s="74"/>
      <c r="N624" s="74"/>
      <c r="O624" s="74"/>
      <c r="P624" s="74"/>
      <c r="Q624" s="74"/>
      <c r="R624" s="74"/>
      <c r="S624" s="74"/>
      <c r="T624" s="74"/>
      <c r="U624" s="74"/>
      <c r="V624" s="74"/>
      <c r="W624" s="74"/>
      <c r="X624" s="74"/>
      <c r="Y624" s="74"/>
      <c r="Z624" s="74"/>
      <c r="AA624" s="74"/>
      <c r="AB624" s="74"/>
    </row>
    <row r="625" spans="1:28" ht="40.5" customHeight="1">
      <c r="A625" s="434"/>
      <c r="B625" s="435"/>
      <c r="C625" s="369"/>
      <c r="D625" s="369"/>
      <c r="E625" s="369"/>
      <c r="F625" s="369"/>
      <c r="G625" s="374"/>
      <c r="H625" s="375"/>
      <c r="I625" s="35"/>
      <c r="J625" s="74"/>
      <c r="K625" s="74"/>
      <c r="L625" s="74"/>
      <c r="M625" s="74"/>
      <c r="N625" s="74"/>
      <c r="O625" s="74"/>
      <c r="P625" s="74"/>
      <c r="Q625" s="74"/>
      <c r="R625" s="74"/>
      <c r="S625" s="74"/>
      <c r="T625" s="74"/>
      <c r="U625" s="74"/>
      <c r="V625" s="74"/>
      <c r="W625" s="74"/>
      <c r="X625" s="74"/>
      <c r="Y625" s="74"/>
      <c r="Z625" s="74"/>
      <c r="AA625" s="74"/>
      <c r="AB625" s="74"/>
    </row>
    <row r="626" spans="1:28" ht="40.5" customHeight="1">
      <c r="A626" s="434"/>
      <c r="B626" s="435"/>
      <c r="C626" s="369"/>
      <c r="D626" s="369"/>
      <c r="E626" s="369"/>
      <c r="F626" s="369"/>
      <c r="G626" s="374"/>
      <c r="H626" s="375"/>
      <c r="I626" s="35"/>
      <c r="J626" s="74"/>
      <c r="K626" s="74"/>
      <c r="L626" s="74"/>
      <c r="M626" s="74"/>
      <c r="N626" s="74"/>
      <c r="O626" s="74"/>
      <c r="P626" s="74"/>
      <c r="Q626" s="74"/>
      <c r="R626" s="74"/>
      <c r="S626" s="74"/>
      <c r="T626" s="74"/>
      <c r="U626" s="74"/>
      <c r="V626" s="74"/>
      <c r="W626" s="74"/>
      <c r="X626" s="74"/>
      <c r="Y626" s="74"/>
      <c r="Z626" s="74"/>
      <c r="AA626" s="74"/>
      <c r="AB626" s="74"/>
    </row>
    <row r="627" spans="1:28" ht="40.5" customHeight="1">
      <c r="A627" s="434"/>
      <c r="B627" s="435"/>
      <c r="C627" s="369"/>
      <c r="D627" s="369"/>
      <c r="E627" s="369"/>
      <c r="F627" s="369"/>
      <c r="G627" s="374"/>
      <c r="H627" s="375"/>
      <c r="I627" s="35"/>
      <c r="J627" s="74"/>
      <c r="K627" s="74"/>
      <c r="L627" s="74"/>
      <c r="M627" s="74"/>
      <c r="N627" s="74"/>
      <c r="O627" s="74"/>
      <c r="P627" s="74"/>
      <c r="Q627" s="74"/>
      <c r="R627" s="74"/>
      <c r="S627" s="74"/>
      <c r="T627" s="74"/>
      <c r="U627" s="74"/>
      <c r="V627" s="74"/>
      <c r="W627" s="74"/>
      <c r="X627" s="74"/>
      <c r="Y627" s="74"/>
      <c r="Z627" s="74"/>
      <c r="AA627" s="74"/>
      <c r="AB627" s="74"/>
    </row>
    <row r="628" spans="1:28" ht="40.5" customHeight="1">
      <c r="A628" s="434"/>
      <c r="B628" s="435"/>
      <c r="C628" s="369"/>
      <c r="D628" s="369"/>
      <c r="E628" s="369"/>
      <c r="F628" s="369"/>
      <c r="G628" s="374"/>
      <c r="H628" s="375"/>
      <c r="I628" s="35"/>
      <c r="J628" s="74"/>
      <c r="K628" s="74"/>
      <c r="L628" s="74"/>
      <c r="M628" s="74"/>
      <c r="N628" s="74"/>
      <c r="O628" s="74"/>
      <c r="P628" s="74"/>
      <c r="Q628" s="74"/>
      <c r="R628" s="74"/>
      <c r="S628" s="74"/>
      <c r="T628" s="74"/>
      <c r="U628" s="74"/>
      <c r="V628" s="74"/>
      <c r="W628" s="74"/>
      <c r="X628" s="74"/>
      <c r="Y628" s="74"/>
      <c r="Z628" s="74"/>
      <c r="AA628" s="74"/>
      <c r="AB628" s="74"/>
    </row>
    <row r="629" spans="1:28" ht="40.5" customHeight="1">
      <c r="A629" s="434"/>
      <c r="B629" s="435"/>
      <c r="C629" s="369"/>
      <c r="D629" s="369"/>
      <c r="E629" s="369"/>
      <c r="F629" s="369"/>
      <c r="G629" s="374"/>
      <c r="H629" s="375"/>
      <c r="I629" s="35"/>
      <c r="J629" s="74"/>
      <c r="K629" s="74"/>
      <c r="L629" s="74"/>
      <c r="M629" s="74"/>
      <c r="N629" s="74"/>
      <c r="O629" s="74"/>
      <c r="P629" s="74"/>
      <c r="Q629" s="74"/>
      <c r="R629" s="74"/>
      <c r="S629" s="74"/>
      <c r="T629" s="74"/>
      <c r="U629" s="74"/>
      <c r="V629" s="74"/>
      <c r="W629" s="74"/>
      <c r="X629" s="74"/>
      <c r="Y629" s="74"/>
      <c r="Z629" s="74"/>
      <c r="AA629" s="74"/>
      <c r="AB629" s="74"/>
    </row>
    <row r="630" spans="1:28" ht="40.5" customHeight="1">
      <c r="A630" s="434"/>
      <c r="B630" s="435"/>
      <c r="C630" s="369"/>
      <c r="D630" s="369"/>
      <c r="E630" s="369"/>
      <c r="F630" s="369"/>
      <c r="G630" s="374"/>
      <c r="H630" s="375"/>
      <c r="I630" s="35"/>
      <c r="J630" s="74"/>
      <c r="K630" s="74"/>
      <c r="L630" s="74"/>
      <c r="M630" s="74"/>
      <c r="N630" s="74"/>
      <c r="O630" s="74"/>
      <c r="P630" s="74"/>
      <c r="Q630" s="74"/>
      <c r="R630" s="74"/>
      <c r="S630" s="74"/>
      <c r="T630" s="74"/>
      <c r="U630" s="74"/>
      <c r="V630" s="74"/>
      <c r="W630" s="74"/>
      <c r="X630" s="74"/>
      <c r="Y630" s="74"/>
      <c r="Z630" s="74"/>
      <c r="AA630" s="74"/>
      <c r="AB630" s="74"/>
    </row>
    <row r="631" spans="1:28" ht="40.5" customHeight="1">
      <c r="A631" s="434"/>
      <c r="B631" s="435"/>
      <c r="C631" s="369"/>
      <c r="D631" s="369"/>
      <c r="E631" s="369"/>
      <c r="F631" s="369"/>
      <c r="G631" s="374"/>
      <c r="H631" s="375"/>
      <c r="I631" s="35"/>
      <c r="J631" s="74"/>
      <c r="K631" s="74"/>
      <c r="L631" s="74"/>
      <c r="M631" s="74"/>
      <c r="N631" s="74"/>
      <c r="O631" s="74"/>
      <c r="P631" s="74"/>
      <c r="Q631" s="74"/>
      <c r="R631" s="74"/>
      <c r="S631" s="74"/>
      <c r="T631" s="74"/>
      <c r="U631" s="74"/>
      <c r="V631" s="74"/>
      <c r="W631" s="74"/>
      <c r="X631" s="74"/>
      <c r="Y631" s="74"/>
      <c r="Z631" s="74"/>
      <c r="AA631" s="74"/>
      <c r="AB631" s="74"/>
    </row>
    <row r="632" spans="1:28" ht="40.5" customHeight="1">
      <c r="A632" s="434"/>
      <c r="B632" s="435"/>
      <c r="C632" s="369"/>
      <c r="D632" s="369"/>
      <c r="E632" s="369"/>
      <c r="F632" s="369"/>
      <c r="G632" s="374"/>
      <c r="H632" s="375"/>
      <c r="I632" s="35"/>
      <c r="J632" s="74"/>
      <c r="K632" s="74"/>
      <c r="L632" s="74"/>
      <c r="M632" s="74"/>
      <c r="N632" s="74"/>
      <c r="O632" s="74"/>
      <c r="P632" s="74"/>
      <c r="Q632" s="74"/>
      <c r="R632" s="74"/>
      <c r="S632" s="74"/>
      <c r="T632" s="74"/>
      <c r="U632" s="74"/>
      <c r="V632" s="74"/>
      <c r="W632" s="74"/>
      <c r="X632" s="74"/>
      <c r="Y632" s="74"/>
      <c r="Z632" s="74"/>
      <c r="AA632" s="74"/>
      <c r="AB632" s="74"/>
    </row>
    <row r="633" spans="1:28" ht="40.5" customHeight="1">
      <c r="A633" s="434"/>
      <c r="B633" s="435"/>
      <c r="C633" s="369"/>
      <c r="D633" s="369"/>
      <c r="E633" s="369"/>
      <c r="F633" s="369"/>
      <c r="G633" s="374"/>
      <c r="H633" s="375"/>
      <c r="I633" s="35"/>
      <c r="J633" s="74"/>
      <c r="K633" s="74"/>
      <c r="L633" s="74"/>
      <c r="M633" s="74"/>
      <c r="N633" s="74"/>
      <c r="O633" s="74"/>
      <c r="P633" s="74"/>
      <c r="Q633" s="74"/>
      <c r="R633" s="74"/>
      <c r="S633" s="74"/>
      <c r="T633" s="74"/>
      <c r="U633" s="74"/>
      <c r="V633" s="74"/>
      <c r="W633" s="74"/>
      <c r="X633" s="74"/>
      <c r="Y633" s="74"/>
      <c r="Z633" s="74"/>
      <c r="AA633" s="74"/>
      <c r="AB633" s="74"/>
    </row>
    <row r="634" spans="1:28" ht="40.5" customHeight="1">
      <c r="A634" s="434"/>
      <c r="B634" s="435"/>
      <c r="C634" s="369"/>
      <c r="D634" s="369"/>
      <c r="E634" s="369"/>
      <c r="F634" s="369"/>
      <c r="G634" s="374"/>
      <c r="H634" s="375"/>
      <c r="I634" s="35"/>
      <c r="J634" s="74"/>
      <c r="K634" s="74"/>
      <c r="L634" s="74"/>
      <c r="M634" s="74"/>
      <c r="N634" s="74"/>
      <c r="O634" s="74"/>
      <c r="P634" s="74"/>
      <c r="Q634" s="74"/>
      <c r="R634" s="74"/>
      <c r="S634" s="74"/>
      <c r="T634" s="74"/>
      <c r="U634" s="74"/>
      <c r="V634" s="74"/>
      <c r="W634" s="74"/>
      <c r="X634" s="74"/>
      <c r="Y634" s="74"/>
      <c r="Z634" s="74"/>
      <c r="AA634" s="74"/>
      <c r="AB634" s="74"/>
    </row>
    <row r="635" spans="1:28" ht="40.5" customHeight="1">
      <c r="A635" s="434"/>
      <c r="B635" s="435"/>
      <c r="C635" s="369"/>
      <c r="D635" s="369"/>
      <c r="E635" s="369"/>
      <c r="F635" s="369"/>
      <c r="G635" s="374"/>
      <c r="H635" s="375"/>
      <c r="I635" s="35"/>
      <c r="J635" s="74"/>
      <c r="K635" s="74"/>
      <c r="L635" s="74"/>
      <c r="M635" s="74"/>
      <c r="N635" s="74"/>
      <c r="O635" s="74"/>
      <c r="P635" s="74"/>
      <c r="Q635" s="74"/>
      <c r="R635" s="74"/>
      <c r="S635" s="74"/>
      <c r="T635" s="74"/>
      <c r="U635" s="74"/>
      <c r="V635" s="74"/>
      <c r="W635" s="74"/>
      <c r="X635" s="74"/>
      <c r="Y635" s="74"/>
      <c r="Z635" s="74"/>
      <c r="AA635" s="74"/>
      <c r="AB635" s="74"/>
    </row>
    <row r="636" spans="1:28" ht="40.5" customHeight="1">
      <c r="A636" s="434"/>
      <c r="B636" s="435"/>
      <c r="C636" s="369"/>
      <c r="D636" s="369"/>
      <c r="E636" s="369"/>
      <c r="F636" s="369"/>
      <c r="G636" s="374"/>
      <c r="H636" s="375"/>
      <c r="I636" s="35"/>
      <c r="J636" s="74"/>
      <c r="K636" s="74"/>
      <c r="L636" s="74"/>
      <c r="M636" s="74"/>
      <c r="N636" s="74"/>
      <c r="O636" s="74"/>
      <c r="P636" s="74"/>
      <c r="Q636" s="74"/>
      <c r="R636" s="74"/>
      <c r="S636" s="74"/>
      <c r="T636" s="74"/>
      <c r="U636" s="74"/>
      <c r="V636" s="74"/>
      <c r="W636" s="74"/>
      <c r="X636" s="74"/>
      <c r="Y636" s="74"/>
      <c r="Z636" s="74"/>
      <c r="AA636" s="74"/>
      <c r="AB636" s="74"/>
    </row>
    <row r="637" spans="1:28" ht="40.5" customHeight="1">
      <c r="A637" s="434"/>
      <c r="B637" s="435"/>
      <c r="C637" s="369"/>
      <c r="D637" s="369"/>
      <c r="E637" s="369"/>
      <c r="F637" s="369"/>
      <c r="G637" s="374"/>
      <c r="H637" s="375"/>
      <c r="I637" s="35"/>
      <c r="J637" s="74"/>
      <c r="K637" s="74"/>
      <c r="L637" s="74"/>
      <c r="M637" s="74"/>
      <c r="N637" s="74"/>
      <c r="O637" s="74"/>
      <c r="P637" s="74"/>
      <c r="Q637" s="74"/>
      <c r="R637" s="74"/>
      <c r="S637" s="74"/>
      <c r="T637" s="74"/>
      <c r="U637" s="74"/>
      <c r="V637" s="74"/>
      <c r="W637" s="74"/>
      <c r="X637" s="74"/>
      <c r="Y637" s="74"/>
      <c r="Z637" s="74"/>
      <c r="AA637" s="74"/>
      <c r="AB637" s="74"/>
    </row>
    <row r="638" spans="1:28" ht="40.5" customHeight="1">
      <c r="A638" s="434"/>
      <c r="B638" s="435"/>
      <c r="C638" s="369"/>
      <c r="D638" s="369"/>
      <c r="E638" s="369"/>
      <c r="F638" s="369"/>
      <c r="G638" s="374"/>
      <c r="H638" s="375"/>
      <c r="I638" s="35"/>
      <c r="J638" s="74"/>
      <c r="K638" s="74"/>
      <c r="L638" s="74"/>
      <c r="M638" s="74"/>
      <c r="N638" s="74"/>
      <c r="O638" s="74"/>
      <c r="P638" s="74"/>
      <c r="Q638" s="74"/>
      <c r="R638" s="74"/>
      <c r="S638" s="74"/>
      <c r="T638" s="74"/>
      <c r="U638" s="74"/>
      <c r="V638" s="74"/>
      <c r="W638" s="74"/>
      <c r="X638" s="74"/>
      <c r="Y638" s="74"/>
      <c r="Z638" s="74"/>
      <c r="AA638" s="74"/>
      <c r="AB638" s="74"/>
    </row>
    <row r="639" spans="1:28" ht="40.5" customHeight="1">
      <c r="A639" s="434"/>
      <c r="B639" s="435"/>
      <c r="C639" s="369"/>
      <c r="D639" s="369"/>
      <c r="E639" s="369"/>
      <c r="F639" s="369"/>
      <c r="G639" s="374"/>
      <c r="H639" s="375"/>
      <c r="I639" s="35"/>
      <c r="J639" s="74"/>
      <c r="K639" s="74"/>
      <c r="L639" s="74"/>
      <c r="M639" s="74"/>
      <c r="N639" s="74"/>
      <c r="O639" s="74"/>
      <c r="P639" s="74"/>
      <c r="Q639" s="74"/>
      <c r="R639" s="74"/>
      <c r="S639" s="74"/>
      <c r="T639" s="74"/>
      <c r="U639" s="74"/>
      <c r="V639" s="74"/>
      <c r="W639" s="74"/>
      <c r="X639" s="74"/>
      <c r="Y639" s="74"/>
      <c r="Z639" s="74"/>
      <c r="AA639" s="74"/>
      <c r="AB639" s="74"/>
    </row>
    <row r="640" spans="1:28" ht="40.5" customHeight="1">
      <c r="A640" s="434"/>
      <c r="B640" s="435"/>
      <c r="C640" s="369"/>
      <c r="D640" s="369"/>
      <c r="E640" s="369"/>
      <c r="F640" s="369"/>
      <c r="G640" s="374"/>
      <c r="H640" s="375"/>
      <c r="I640" s="35"/>
      <c r="J640" s="74"/>
      <c r="K640" s="74"/>
      <c r="L640" s="74"/>
      <c r="M640" s="74"/>
      <c r="N640" s="74"/>
      <c r="O640" s="74"/>
      <c r="P640" s="74"/>
      <c r="Q640" s="74"/>
      <c r="R640" s="74"/>
      <c r="S640" s="74"/>
      <c r="T640" s="74"/>
      <c r="U640" s="74"/>
      <c r="V640" s="74"/>
      <c r="W640" s="74"/>
      <c r="X640" s="74"/>
      <c r="Y640" s="74"/>
      <c r="Z640" s="74"/>
      <c r="AA640" s="74"/>
      <c r="AB640" s="74"/>
    </row>
    <row r="641" spans="1:28" ht="40.5" customHeight="1">
      <c r="A641" s="434"/>
      <c r="B641" s="435"/>
      <c r="C641" s="369"/>
      <c r="D641" s="369"/>
      <c r="E641" s="369"/>
      <c r="F641" s="369"/>
      <c r="G641" s="374"/>
      <c r="H641" s="375"/>
      <c r="I641" s="35"/>
      <c r="J641" s="74"/>
      <c r="K641" s="74"/>
      <c r="L641" s="74"/>
      <c r="M641" s="74"/>
      <c r="N641" s="74"/>
      <c r="O641" s="74"/>
      <c r="P641" s="74"/>
      <c r="Q641" s="74"/>
      <c r="R641" s="74"/>
      <c r="S641" s="74"/>
      <c r="T641" s="74"/>
      <c r="U641" s="74"/>
      <c r="V641" s="74"/>
      <c r="W641" s="74"/>
      <c r="X641" s="74"/>
      <c r="Y641" s="74"/>
      <c r="Z641" s="74"/>
      <c r="AA641" s="74"/>
      <c r="AB641" s="74"/>
    </row>
    <row r="642" spans="1:28" ht="40.5" customHeight="1">
      <c r="A642" s="434"/>
      <c r="B642" s="435"/>
      <c r="C642" s="369"/>
      <c r="D642" s="369"/>
      <c r="E642" s="369"/>
      <c r="F642" s="369"/>
      <c r="G642" s="374"/>
      <c r="H642" s="375"/>
      <c r="I642" s="35"/>
      <c r="J642" s="74"/>
      <c r="K642" s="74"/>
      <c r="L642" s="74"/>
      <c r="M642" s="74"/>
      <c r="N642" s="74"/>
      <c r="O642" s="74"/>
      <c r="P642" s="74"/>
      <c r="Q642" s="74"/>
      <c r="R642" s="74"/>
      <c r="S642" s="74"/>
      <c r="T642" s="74"/>
      <c r="U642" s="74"/>
      <c r="V642" s="74"/>
      <c r="W642" s="74"/>
      <c r="X642" s="74"/>
      <c r="Y642" s="74"/>
      <c r="Z642" s="74"/>
      <c r="AA642" s="74"/>
      <c r="AB642" s="74"/>
    </row>
    <row r="643" spans="1:28" ht="40.5" customHeight="1">
      <c r="A643" s="434"/>
      <c r="B643" s="435"/>
      <c r="C643" s="369"/>
      <c r="D643" s="369"/>
      <c r="E643" s="369"/>
      <c r="F643" s="369"/>
      <c r="G643" s="374"/>
      <c r="H643" s="375"/>
      <c r="I643" s="35"/>
      <c r="J643" s="74"/>
      <c r="K643" s="74"/>
      <c r="L643" s="74"/>
      <c r="M643" s="74"/>
      <c r="N643" s="74"/>
      <c r="O643" s="74"/>
      <c r="P643" s="74"/>
      <c r="Q643" s="74"/>
      <c r="R643" s="74"/>
      <c r="S643" s="74"/>
      <c r="T643" s="74"/>
      <c r="U643" s="74"/>
      <c r="V643" s="74"/>
      <c r="W643" s="74"/>
      <c r="X643" s="74"/>
      <c r="Y643" s="74"/>
      <c r="Z643" s="74"/>
      <c r="AA643" s="74"/>
      <c r="AB643" s="74"/>
    </row>
    <row r="644" spans="1:28" ht="40.5" customHeight="1">
      <c r="A644" s="434"/>
      <c r="B644" s="435"/>
      <c r="C644" s="369"/>
      <c r="D644" s="369"/>
      <c r="E644" s="369"/>
      <c r="F644" s="369"/>
      <c r="G644" s="374"/>
      <c r="H644" s="375"/>
      <c r="I644" s="35"/>
      <c r="J644" s="74"/>
      <c r="K644" s="74"/>
      <c r="L644" s="74"/>
      <c r="M644" s="74"/>
      <c r="N644" s="74"/>
      <c r="O644" s="74"/>
      <c r="P644" s="74"/>
      <c r="Q644" s="74"/>
      <c r="R644" s="74"/>
      <c r="S644" s="74"/>
      <c r="T644" s="74"/>
      <c r="U644" s="74"/>
      <c r="V644" s="74"/>
      <c r="W644" s="74"/>
      <c r="X644" s="74"/>
      <c r="Y644" s="74"/>
      <c r="Z644" s="74"/>
      <c r="AA644" s="74"/>
      <c r="AB644" s="74"/>
    </row>
    <row r="645" spans="1:28" ht="40.5" customHeight="1">
      <c r="A645" s="434"/>
      <c r="B645" s="435"/>
      <c r="C645" s="369"/>
      <c r="D645" s="369"/>
      <c r="E645" s="369"/>
      <c r="F645" s="369"/>
      <c r="G645" s="374"/>
      <c r="H645" s="375"/>
      <c r="I645" s="35"/>
      <c r="J645" s="74"/>
      <c r="K645" s="74"/>
      <c r="L645" s="74"/>
      <c r="M645" s="74"/>
      <c r="N645" s="74"/>
      <c r="O645" s="74"/>
      <c r="P645" s="74"/>
      <c r="Q645" s="74"/>
      <c r="R645" s="74"/>
      <c r="S645" s="74"/>
      <c r="T645" s="74"/>
      <c r="U645" s="74"/>
      <c r="V645" s="74"/>
      <c r="W645" s="74"/>
      <c r="X645" s="74"/>
      <c r="Y645" s="74"/>
      <c r="Z645" s="74"/>
      <c r="AA645" s="74"/>
      <c r="AB645" s="74"/>
    </row>
    <row r="646" spans="1:28" ht="40.5" customHeight="1">
      <c r="A646" s="434"/>
      <c r="B646" s="435"/>
      <c r="C646" s="369"/>
      <c r="D646" s="369"/>
      <c r="E646" s="369"/>
      <c r="F646" s="369"/>
      <c r="G646" s="374"/>
      <c r="H646" s="375"/>
      <c r="I646" s="35"/>
      <c r="J646" s="74"/>
      <c r="K646" s="74"/>
      <c r="L646" s="74"/>
      <c r="M646" s="74"/>
      <c r="N646" s="74"/>
      <c r="O646" s="74"/>
      <c r="P646" s="74"/>
      <c r="Q646" s="74"/>
      <c r="R646" s="74"/>
      <c r="S646" s="74"/>
      <c r="T646" s="74"/>
      <c r="U646" s="74"/>
      <c r="V646" s="74"/>
      <c r="W646" s="74"/>
      <c r="X646" s="74"/>
      <c r="Y646" s="74"/>
      <c r="Z646" s="74"/>
      <c r="AA646" s="74"/>
      <c r="AB646" s="74"/>
    </row>
    <row r="647" spans="1:28" ht="40.5" customHeight="1">
      <c r="A647" s="434"/>
      <c r="B647" s="435"/>
      <c r="C647" s="369"/>
      <c r="D647" s="369"/>
      <c r="E647" s="369"/>
      <c r="F647" s="369"/>
      <c r="G647" s="374"/>
      <c r="H647" s="375"/>
      <c r="I647" s="35"/>
      <c r="J647" s="74"/>
      <c r="K647" s="74"/>
      <c r="L647" s="74"/>
      <c r="M647" s="74"/>
      <c r="N647" s="74"/>
      <c r="O647" s="74"/>
      <c r="P647" s="74"/>
      <c r="Q647" s="74"/>
      <c r="R647" s="74"/>
      <c r="S647" s="74"/>
      <c r="T647" s="74"/>
      <c r="U647" s="74"/>
      <c r="V647" s="74"/>
      <c r="W647" s="74"/>
      <c r="X647" s="74"/>
      <c r="Y647" s="74"/>
      <c r="Z647" s="74"/>
      <c r="AA647" s="74"/>
      <c r="AB647" s="74"/>
    </row>
    <row r="648" spans="1:28" ht="40.5" customHeight="1">
      <c r="A648" s="434"/>
      <c r="B648" s="435"/>
      <c r="C648" s="369"/>
      <c r="D648" s="369"/>
      <c r="E648" s="369"/>
      <c r="F648" s="369"/>
      <c r="G648" s="374"/>
      <c r="H648" s="375"/>
      <c r="I648" s="35"/>
      <c r="J648" s="74"/>
      <c r="K648" s="74"/>
      <c r="L648" s="74"/>
      <c r="M648" s="74"/>
      <c r="N648" s="74"/>
      <c r="O648" s="74"/>
      <c r="P648" s="74"/>
      <c r="Q648" s="74"/>
      <c r="R648" s="74"/>
      <c r="S648" s="74"/>
      <c r="T648" s="74"/>
      <c r="U648" s="74"/>
      <c r="V648" s="74"/>
      <c r="W648" s="74"/>
      <c r="X648" s="74"/>
      <c r="Y648" s="74"/>
      <c r="Z648" s="74"/>
      <c r="AA648" s="74"/>
      <c r="AB648" s="74"/>
    </row>
    <row r="649" spans="1:28" ht="40.5" customHeight="1">
      <c r="A649" s="434"/>
      <c r="B649" s="435"/>
      <c r="C649" s="369"/>
      <c r="D649" s="369"/>
      <c r="E649" s="369"/>
      <c r="F649" s="369"/>
      <c r="G649" s="374"/>
      <c r="H649" s="375"/>
      <c r="I649" s="35"/>
      <c r="J649" s="74"/>
      <c r="K649" s="74"/>
      <c r="L649" s="74"/>
      <c r="M649" s="74"/>
      <c r="N649" s="74"/>
      <c r="O649" s="74"/>
      <c r="P649" s="74"/>
      <c r="Q649" s="74"/>
      <c r="R649" s="74"/>
      <c r="S649" s="74"/>
      <c r="T649" s="74"/>
      <c r="U649" s="74"/>
      <c r="V649" s="74"/>
      <c r="W649" s="74"/>
      <c r="X649" s="74"/>
      <c r="Y649" s="74"/>
      <c r="Z649" s="74"/>
      <c r="AA649" s="74"/>
      <c r="AB649" s="74"/>
    </row>
    <row r="650" spans="1:28" ht="40.5" customHeight="1">
      <c r="A650" s="434"/>
      <c r="B650" s="435"/>
      <c r="C650" s="369"/>
      <c r="D650" s="369"/>
      <c r="E650" s="369"/>
      <c r="F650" s="369"/>
      <c r="G650" s="374"/>
      <c r="H650" s="375"/>
      <c r="I650" s="35"/>
      <c r="J650" s="74"/>
      <c r="K650" s="74"/>
      <c r="L650" s="74"/>
      <c r="M650" s="74"/>
      <c r="N650" s="74"/>
      <c r="O650" s="74"/>
      <c r="P650" s="74"/>
      <c r="Q650" s="74"/>
      <c r="R650" s="74"/>
      <c r="S650" s="74"/>
      <c r="T650" s="74"/>
      <c r="U650" s="74"/>
      <c r="V650" s="74"/>
      <c r="W650" s="74"/>
      <c r="X650" s="74"/>
      <c r="Y650" s="74"/>
      <c r="Z650" s="74"/>
      <c r="AA650" s="74"/>
      <c r="AB650" s="74"/>
    </row>
    <row r="651" spans="1:28" ht="40.5" customHeight="1">
      <c r="A651" s="434"/>
      <c r="B651" s="435"/>
      <c r="C651" s="369"/>
      <c r="D651" s="369"/>
      <c r="E651" s="369"/>
      <c r="F651" s="369"/>
      <c r="G651" s="374"/>
      <c r="H651" s="375"/>
      <c r="I651" s="35"/>
      <c r="J651" s="74"/>
      <c r="K651" s="74"/>
      <c r="L651" s="74"/>
      <c r="M651" s="74"/>
      <c r="N651" s="74"/>
      <c r="O651" s="74"/>
      <c r="P651" s="74"/>
      <c r="Q651" s="74"/>
      <c r="R651" s="74"/>
      <c r="S651" s="74"/>
      <c r="T651" s="74"/>
      <c r="U651" s="74"/>
      <c r="V651" s="74"/>
      <c r="W651" s="74"/>
      <c r="X651" s="74"/>
      <c r="Y651" s="74"/>
      <c r="Z651" s="74"/>
      <c r="AA651" s="74"/>
      <c r="AB651" s="74"/>
    </row>
    <row r="652" spans="1:28" ht="40.5" customHeight="1">
      <c r="A652" s="434"/>
      <c r="B652" s="435"/>
      <c r="C652" s="369"/>
      <c r="D652" s="369"/>
      <c r="E652" s="369"/>
      <c r="F652" s="369"/>
      <c r="G652" s="374"/>
      <c r="H652" s="375"/>
      <c r="I652" s="35"/>
      <c r="J652" s="74"/>
      <c r="K652" s="74"/>
      <c r="L652" s="74"/>
      <c r="M652" s="74"/>
      <c r="N652" s="74"/>
      <c r="O652" s="74"/>
      <c r="P652" s="74"/>
      <c r="Q652" s="74"/>
      <c r="R652" s="74"/>
      <c r="S652" s="74"/>
      <c r="T652" s="74"/>
      <c r="U652" s="74"/>
      <c r="V652" s="74"/>
      <c r="W652" s="74"/>
      <c r="X652" s="74"/>
      <c r="Y652" s="74"/>
      <c r="Z652" s="74"/>
      <c r="AA652" s="74"/>
      <c r="AB652" s="74"/>
    </row>
    <row r="653" spans="1:28" ht="40.5" customHeight="1">
      <c r="A653" s="434"/>
      <c r="B653" s="435"/>
      <c r="C653" s="369"/>
      <c r="D653" s="369"/>
      <c r="E653" s="369"/>
      <c r="F653" s="369"/>
      <c r="G653" s="374"/>
      <c r="H653" s="375"/>
      <c r="I653" s="35"/>
      <c r="J653" s="74"/>
      <c r="K653" s="74"/>
      <c r="L653" s="74"/>
      <c r="M653" s="74"/>
      <c r="N653" s="74"/>
      <c r="O653" s="74"/>
      <c r="P653" s="74"/>
      <c r="Q653" s="74"/>
      <c r="R653" s="74"/>
      <c r="S653" s="74"/>
      <c r="T653" s="74"/>
      <c r="U653" s="74"/>
      <c r="V653" s="74"/>
      <c r="W653" s="74"/>
      <c r="X653" s="74"/>
      <c r="Y653" s="74"/>
      <c r="Z653" s="74"/>
      <c r="AA653" s="74"/>
      <c r="AB653" s="74"/>
    </row>
    <row r="654" spans="1:28" ht="40.5" customHeight="1">
      <c r="A654" s="434"/>
      <c r="B654" s="435"/>
      <c r="C654" s="369"/>
      <c r="D654" s="369"/>
      <c r="E654" s="369"/>
      <c r="F654" s="369"/>
      <c r="G654" s="374"/>
      <c r="H654" s="375"/>
      <c r="I654" s="35"/>
      <c r="J654" s="74"/>
      <c r="K654" s="74"/>
      <c r="L654" s="74"/>
      <c r="M654" s="74"/>
      <c r="N654" s="74"/>
      <c r="O654" s="74"/>
      <c r="P654" s="74"/>
      <c r="Q654" s="74"/>
      <c r="R654" s="74"/>
      <c r="S654" s="74"/>
      <c r="T654" s="74"/>
      <c r="U654" s="74"/>
      <c r="V654" s="74"/>
      <c r="W654" s="74"/>
      <c r="X654" s="74"/>
      <c r="Y654" s="74"/>
      <c r="Z654" s="74"/>
      <c r="AA654" s="74"/>
      <c r="AB654" s="74"/>
    </row>
    <row r="655" spans="1:28" ht="40.5" customHeight="1">
      <c r="A655" s="434"/>
      <c r="B655" s="435"/>
      <c r="C655" s="369"/>
      <c r="D655" s="369"/>
      <c r="E655" s="369"/>
      <c r="F655" s="369"/>
      <c r="G655" s="374"/>
      <c r="H655" s="375"/>
      <c r="I655" s="35"/>
      <c r="J655" s="74"/>
      <c r="K655" s="74"/>
      <c r="L655" s="74"/>
      <c r="M655" s="74"/>
      <c r="N655" s="74"/>
      <c r="O655" s="74"/>
      <c r="P655" s="74"/>
      <c r="Q655" s="74"/>
      <c r="R655" s="74"/>
      <c r="S655" s="74"/>
      <c r="T655" s="74"/>
      <c r="U655" s="74"/>
      <c r="V655" s="74"/>
      <c r="W655" s="74"/>
      <c r="X655" s="74"/>
      <c r="Y655" s="74"/>
      <c r="Z655" s="74"/>
      <c r="AA655" s="74"/>
      <c r="AB655" s="74"/>
    </row>
    <row r="656" spans="1:28" ht="40.5" customHeight="1">
      <c r="A656" s="434"/>
      <c r="B656" s="435"/>
      <c r="C656" s="369"/>
      <c r="D656" s="369"/>
      <c r="E656" s="369"/>
      <c r="F656" s="369"/>
      <c r="G656" s="374"/>
      <c r="H656" s="375"/>
      <c r="I656" s="35"/>
      <c r="J656" s="74"/>
      <c r="K656" s="74"/>
      <c r="L656" s="74"/>
      <c r="M656" s="74"/>
      <c r="N656" s="74"/>
      <c r="O656" s="74"/>
      <c r="P656" s="74"/>
      <c r="Q656" s="74"/>
      <c r="R656" s="74"/>
      <c r="S656" s="74"/>
      <c r="T656" s="74"/>
      <c r="U656" s="74"/>
      <c r="V656" s="74"/>
      <c r="W656" s="74"/>
      <c r="X656" s="74"/>
      <c r="Y656" s="74"/>
      <c r="Z656" s="74"/>
      <c r="AA656" s="74"/>
      <c r="AB656" s="74"/>
    </row>
    <row r="657" spans="1:28" ht="40.5" customHeight="1">
      <c r="A657" s="434"/>
      <c r="B657" s="435"/>
      <c r="C657" s="369"/>
      <c r="D657" s="369"/>
      <c r="E657" s="369"/>
      <c r="F657" s="369"/>
      <c r="G657" s="374"/>
      <c r="H657" s="375"/>
      <c r="I657" s="35"/>
      <c r="J657" s="74"/>
      <c r="K657" s="74"/>
      <c r="L657" s="74"/>
      <c r="M657" s="74"/>
      <c r="N657" s="74"/>
      <c r="O657" s="74"/>
      <c r="P657" s="74"/>
      <c r="Q657" s="74"/>
      <c r="R657" s="74"/>
      <c r="S657" s="74"/>
      <c r="T657" s="74"/>
      <c r="U657" s="74"/>
      <c r="V657" s="74"/>
      <c r="W657" s="74"/>
      <c r="X657" s="74"/>
      <c r="Y657" s="74"/>
      <c r="Z657" s="74"/>
      <c r="AA657" s="74"/>
      <c r="AB657" s="74"/>
    </row>
    <row r="658" spans="1:28" ht="40.5" customHeight="1">
      <c r="A658" s="434"/>
      <c r="B658" s="435"/>
      <c r="C658" s="369"/>
      <c r="D658" s="369"/>
      <c r="E658" s="369"/>
      <c r="F658" s="369"/>
      <c r="G658" s="374"/>
      <c r="H658" s="375"/>
      <c r="I658" s="35"/>
      <c r="J658" s="74"/>
      <c r="K658" s="74"/>
      <c r="L658" s="74"/>
      <c r="M658" s="74"/>
      <c r="N658" s="74"/>
      <c r="O658" s="74"/>
      <c r="P658" s="74"/>
      <c r="Q658" s="74"/>
      <c r="R658" s="74"/>
      <c r="S658" s="74"/>
      <c r="T658" s="74"/>
      <c r="U658" s="74"/>
      <c r="V658" s="74"/>
      <c r="W658" s="74"/>
      <c r="X658" s="74"/>
      <c r="Y658" s="74"/>
      <c r="Z658" s="74"/>
      <c r="AA658" s="74"/>
      <c r="AB658" s="74"/>
    </row>
    <row r="659" spans="1:28" ht="40.5" customHeight="1">
      <c r="A659" s="434"/>
      <c r="B659" s="435"/>
      <c r="C659" s="369"/>
      <c r="D659" s="369"/>
      <c r="E659" s="369"/>
      <c r="F659" s="369"/>
      <c r="G659" s="374"/>
      <c r="H659" s="375"/>
      <c r="I659" s="35"/>
      <c r="J659" s="74"/>
      <c r="K659" s="74"/>
      <c r="L659" s="74"/>
      <c r="M659" s="74"/>
      <c r="N659" s="74"/>
      <c r="O659" s="74"/>
      <c r="P659" s="74"/>
      <c r="Q659" s="74"/>
      <c r="R659" s="74"/>
      <c r="S659" s="74"/>
      <c r="T659" s="74"/>
      <c r="U659" s="74"/>
      <c r="V659" s="74"/>
      <c r="W659" s="74"/>
      <c r="X659" s="74"/>
      <c r="Y659" s="74"/>
      <c r="Z659" s="74"/>
      <c r="AA659" s="74"/>
      <c r="AB659" s="74"/>
    </row>
    <row r="660" spans="1:28" ht="40.5" customHeight="1">
      <c r="A660" s="434"/>
      <c r="B660" s="435"/>
      <c r="C660" s="369"/>
      <c r="D660" s="369"/>
      <c r="E660" s="369"/>
      <c r="F660" s="369"/>
      <c r="G660" s="374"/>
      <c r="H660" s="375"/>
      <c r="I660" s="35"/>
      <c r="J660" s="74"/>
      <c r="K660" s="74"/>
      <c r="L660" s="74"/>
      <c r="M660" s="74"/>
      <c r="N660" s="74"/>
      <c r="O660" s="74"/>
      <c r="P660" s="74"/>
      <c r="Q660" s="74"/>
      <c r="R660" s="74"/>
      <c r="S660" s="74"/>
      <c r="T660" s="74"/>
      <c r="U660" s="74"/>
      <c r="V660" s="74"/>
      <c r="W660" s="74"/>
      <c r="X660" s="74"/>
      <c r="Y660" s="74"/>
      <c r="Z660" s="74"/>
      <c r="AA660" s="74"/>
      <c r="AB660" s="74"/>
    </row>
    <row r="661" spans="1:28" ht="40.5" customHeight="1">
      <c r="A661" s="434"/>
      <c r="B661" s="435"/>
      <c r="C661" s="369"/>
      <c r="D661" s="369"/>
      <c r="E661" s="369"/>
      <c r="F661" s="369"/>
      <c r="G661" s="374"/>
      <c r="H661" s="375"/>
      <c r="I661" s="35"/>
      <c r="J661" s="74"/>
      <c r="K661" s="74"/>
      <c r="L661" s="74"/>
      <c r="M661" s="74"/>
      <c r="N661" s="74"/>
      <c r="O661" s="74"/>
      <c r="P661" s="74"/>
      <c r="Q661" s="74"/>
      <c r="R661" s="74"/>
      <c r="S661" s="74"/>
      <c r="T661" s="74"/>
      <c r="U661" s="74"/>
      <c r="V661" s="74"/>
      <c r="W661" s="74"/>
      <c r="X661" s="74"/>
      <c r="Y661" s="74"/>
      <c r="Z661" s="74"/>
      <c r="AA661" s="74"/>
      <c r="AB661" s="74"/>
    </row>
    <row r="662" spans="1:28" ht="40.5" customHeight="1">
      <c r="A662" s="434"/>
      <c r="B662" s="435"/>
      <c r="C662" s="369"/>
      <c r="D662" s="369"/>
      <c r="E662" s="369"/>
      <c r="F662" s="369"/>
      <c r="G662" s="374"/>
      <c r="H662" s="375"/>
      <c r="I662" s="35"/>
      <c r="J662" s="74"/>
      <c r="K662" s="74"/>
      <c r="L662" s="74"/>
      <c r="M662" s="74"/>
      <c r="N662" s="74"/>
      <c r="O662" s="74"/>
      <c r="P662" s="74"/>
      <c r="Q662" s="74"/>
      <c r="R662" s="74"/>
      <c r="S662" s="74"/>
      <c r="T662" s="74"/>
      <c r="U662" s="74"/>
      <c r="V662" s="74"/>
      <c r="W662" s="74"/>
      <c r="X662" s="74"/>
      <c r="Y662" s="74"/>
      <c r="Z662" s="74"/>
      <c r="AA662" s="74"/>
      <c r="AB662" s="74"/>
    </row>
    <row r="663" spans="1:28" ht="40.5" customHeight="1">
      <c r="A663" s="434"/>
      <c r="B663" s="435"/>
      <c r="C663" s="369"/>
      <c r="D663" s="369"/>
      <c r="E663" s="369"/>
      <c r="F663" s="369"/>
      <c r="G663" s="374"/>
      <c r="H663" s="375"/>
      <c r="I663" s="35"/>
      <c r="J663" s="74"/>
      <c r="K663" s="74"/>
      <c r="L663" s="74"/>
      <c r="M663" s="74"/>
      <c r="N663" s="74"/>
      <c r="O663" s="74"/>
      <c r="P663" s="74"/>
      <c r="Q663" s="74"/>
      <c r="R663" s="74"/>
      <c r="S663" s="74"/>
      <c r="T663" s="74"/>
      <c r="U663" s="74"/>
      <c r="V663" s="74"/>
      <c r="W663" s="74"/>
      <c r="X663" s="74"/>
      <c r="Y663" s="74"/>
      <c r="Z663" s="74"/>
      <c r="AA663" s="74"/>
      <c r="AB663" s="74"/>
    </row>
    <row r="664" spans="1:28" ht="40.5" customHeight="1">
      <c r="A664" s="434"/>
      <c r="B664" s="435"/>
      <c r="C664" s="369"/>
      <c r="D664" s="369"/>
      <c r="E664" s="369"/>
      <c r="F664" s="369"/>
      <c r="G664" s="374"/>
      <c r="H664" s="375"/>
      <c r="I664" s="35"/>
      <c r="J664" s="74"/>
      <c r="K664" s="74"/>
      <c r="L664" s="74"/>
      <c r="M664" s="74"/>
      <c r="N664" s="74"/>
      <c r="O664" s="74"/>
      <c r="P664" s="74"/>
      <c r="Q664" s="74"/>
      <c r="R664" s="74"/>
      <c r="S664" s="74"/>
      <c r="T664" s="74"/>
      <c r="U664" s="74"/>
      <c r="V664" s="74"/>
      <c r="W664" s="74"/>
      <c r="X664" s="74"/>
      <c r="Y664" s="74"/>
      <c r="Z664" s="74"/>
      <c r="AA664" s="74"/>
      <c r="AB664" s="74"/>
    </row>
    <row r="665" spans="1:28" ht="40.5" customHeight="1">
      <c r="A665" s="434"/>
      <c r="B665" s="435"/>
      <c r="C665" s="369"/>
      <c r="D665" s="369"/>
      <c r="E665" s="369"/>
      <c r="F665" s="369"/>
      <c r="G665" s="374"/>
      <c r="H665" s="375"/>
      <c r="I665" s="35"/>
      <c r="J665" s="74"/>
      <c r="K665" s="74"/>
      <c r="L665" s="74"/>
      <c r="M665" s="74"/>
      <c r="N665" s="74"/>
      <c r="O665" s="74"/>
      <c r="P665" s="74"/>
      <c r="Q665" s="74"/>
      <c r="R665" s="74"/>
      <c r="S665" s="74"/>
      <c r="T665" s="74"/>
      <c r="U665" s="74"/>
      <c r="V665" s="74"/>
      <c r="W665" s="74"/>
      <c r="X665" s="74"/>
      <c r="Y665" s="74"/>
      <c r="Z665" s="74"/>
      <c r="AA665" s="74"/>
      <c r="AB665" s="74"/>
    </row>
    <row r="666" spans="1:28" ht="40.5" customHeight="1">
      <c r="A666" s="434"/>
      <c r="B666" s="435"/>
      <c r="C666" s="369"/>
      <c r="D666" s="369"/>
      <c r="E666" s="369"/>
      <c r="F666" s="369"/>
      <c r="G666" s="374"/>
      <c r="H666" s="375"/>
      <c r="I666" s="35"/>
      <c r="J666" s="74"/>
      <c r="K666" s="74"/>
      <c r="L666" s="74"/>
      <c r="M666" s="74"/>
      <c r="N666" s="74"/>
      <c r="O666" s="74"/>
      <c r="P666" s="74"/>
      <c r="Q666" s="74"/>
      <c r="R666" s="74"/>
      <c r="S666" s="74"/>
      <c r="T666" s="74"/>
      <c r="U666" s="74"/>
      <c r="V666" s="74"/>
      <c r="W666" s="74"/>
      <c r="X666" s="74"/>
      <c r="Y666" s="74"/>
      <c r="Z666" s="74"/>
      <c r="AA666" s="74"/>
      <c r="AB666" s="74"/>
    </row>
    <row r="667" spans="1:28" ht="40.5" customHeight="1">
      <c r="A667" s="434"/>
      <c r="B667" s="435"/>
      <c r="C667" s="369"/>
      <c r="D667" s="369"/>
      <c r="E667" s="369"/>
      <c r="F667" s="369"/>
      <c r="G667" s="374"/>
      <c r="H667" s="375"/>
      <c r="I667" s="35"/>
      <c r="J667" s="74"/>
      <c r="K667" s="74"/>
      <c r="L667" s="74"/>
      <c r="M667" s="74"/>
      <c r="N667" s="74"/>
      <c r="O667" s="74"/>
      <c r="P667" s="74"/>
      <c r="Q667" s="74"/>
      <c r="R667" s="74"/>
      <c r="S667" s="74"/>
      <c r="T667" s="74"/>
      <c r="U667" s="74"/>
      <c r="V667" s="74"/>
      <c r="W667" s="74"/>
      <c r="X667" s="74"/>
      <c r="Y667" s="74"/>
      <c r="Z667" s="74"/>
      <c r="AA667" s="74"/>
      <c r="AB667" s="74"/>
    </row>
    <row r="668" spans="1:28" ht="40.5" customHeight="1">
      <c r="A668" s="434"/>
      <c r="B668" s="435"/>
      <c r="C668" s="369"/>
      <c r="D668" s="369"/>
      <c r="E668" s="369"/>
      <c r="F668" s="369"/>
      <c r="G668" s="374"/>
      <c r="H668" s="375"/>
      <c r="I668" s="35"/>
      <c r="J668" s="74"/>
      <c r="K668" s="74"/>
      <c r="L668" s="74"/>
      <c r="M668" s="74"/>
      <c r="N668" s="74"/>
      <c r="O668" s="74"/>
      <c r="P668" s="74"/>
      <c r="Q668" s="74"/>
      <c r="R668" s="74"/>
      <c r="S668" s="74"/>
      <c r="T668" s="74"/>
      <c r="U668" s="74"/>
      <c r="V668" s="74"/>
      <c r="W668" s="74"/>
      <c r="X668" s="74"/>
      <c r="Y668" s="74"/>
      <c r="Z668" s="74"/>
      <c r="AA668" s="74"/>
      <c r="AB668" s="74"/>
    </row>
    <row r="669" spans="1:28" ht="40.5" customHeight="1">
      <c r="A669" s="434"/>
      <c r="B669" s="435"/>
      <c r="C669" s="369"/>
      <c r="D669" s="369"/>
      <c r="E669" s="369"/>
      <c r="F669" s="369"/>
      <c r="G669" s="374"/>
      <c r="H669" s="375"/>
      <c r="I669" s="35"/>
      <c r="J669" s="74"/>
      <c r="K669" s="74"/>
      <c r="L669" s="74"/>
      <c r="M669" s="74"/>
      <c r="N669" s="74"/>
      <c r="O669" s="74"/>
      <c r="P669" s="74"/>
      <c r="Q669" s="74"/>
      <c r="R669" s="74"/>
      <c r="S669" s="74"/>
      <c r="T669" s="74"/>
      <c r="U669" s="74"/>
      <c r="V669" s="74"/>
      <c r="W669" s="74"/>
      <c r="X669" s="74"/>
      <c r="Y669" s="74"/>
      <c r="Z669" s="74"/>
      <c r="AA669" s="74"/>
      <c r="AB669" s="74"/>
    </row>
    <row r="670" spans="1:28" ht="40.5" customHeight="1">
      <c r="A670" s="434"/>
      <c r="B670" s="435"/>
      <c r="C670" s="369"/>
      <c r="D670" s="369"/>
      <c r="E670" s="369"/>
      <c r="F670" s="369"/>
      <c r="G670" s="374"/>
      <c r="H670" s="375"/>
      <c r="I670" s="35"/>
      <c r="J670" s="74"/>
      <c r="K670" s="74"/>
      <c r="L670" s="74"/>
      <c r="M670" s="74"/>
      <c r="N670" s="74"/>
      <c r="O670" s="74"/>
      <c r="P670" s="74"/>
      <c r="Q670" s="74"/>
      <c r="R670" s="74"/>
      <c r="S670" s="74"/>
      <c r="T670" s="74"/>
      <c r="U670" s="74"/>
      <c r="V670" s="74"/>
      <c r="W670" s="74"/>
      <c r="X670" s="74"/>
      <c r="Y670" s="74"/>
      <c r="Z670" s="74"/>
      <c r="AA670" s="74"/>
      <c r="AB670" s="74"/>
    </row>
    <row r="671" spans="1:28" ht="40.5" customHeight="1">
      <c r="A671" s="434"/>
      <c r="B671" s="435"/>
      <c r="C671" s="369"/>
      <c r="D671" s="369"/>
      <c r="E671" s="369"/>
      <c r="F671" s="369"/>
      <c r="G671" s="374"/>
      <c r="H671" s="375"/>
      <c r="I671" s="35"/>
      <c r="J671" s="74"/>
      <c r="K671" s="74"/>
      <c r="L671" s="74"/>
      <c r="M671" s="74"/>
      <c r="N671" s="74"/>
      <c r="O671" s="74"/>
      <c r="P671" s="74"/>
      <c r="Q671" s="74"/>
      <c r="R671" s="74"/>
      <c r="S671" s="74"/>
      <c r="T671" s="74"/>
      <c r="U671" s="74"/>
      <c r="V671" s="74"/>
      <c r="W671" s="74"/>
      <c r="X671" s="74"/>
      <c r="Y671" s="74"/>
      <c r="Z671" s="74"/>
      <c r="AA671" s="74"/>
      <c r="AB671" s="74"/>
    </row>
    <row r="672" spans="1:28" ht="40.5" customHeight="1">
      <c r="A672" s="434"/>
      <c r="B672" s="435"/>
      <c r="C672" s="369"/>
      <c r="D672" s="369"/>
      <c r="E672" s="369"/>
      <c r="F672" s="369"/>
      <c r="G672" s="374"/>
      <c r="H672" s="375"/>
      <c r="I672" s="35"/>
      <c r="J672" s="74"/>
      <c r="K672" s="74"/>
      <c r="L672" s="74"/>
      <c r="M672" s="74"/>
      <c r="N672" s="74"/>
      <c r="O672" s="74"/>
      <c r="P672" s="74"/>
      <c r="Q672" s="74"/>
      <c r="R672" s="74"/>
      <c r="S672" s="74"/>
      <c r="T672" s="74"/>
      <c r="U672" s="74"/>
      <c r="V672" s="74"/>
      <c r="W672" s="74"/>
      <c r="X672" s="74"/>
      <c r="Y672" s="74"/>
      <c r="Z672" s="74"/>
      <c r="AA672" s="74"/>
      <c r="AB672" s="74"/>
    </row>
    <row r="673" spans="1:28" ht="40.5" customHeight="1">
      <c r="A673" s="434"/>
      <c r="B673" s="435"/>
      <c r="C673" s="369"/>
      <c r="D673" s="369"/>
      <c r="E673" s="369"/>
      <c r="F673" s="369"/>
      <c r="G673" s="374"/>
      <c r="H673" s="375"/>
      <c r="I673" s="35"/>
      <c r="J673" s="74"/>
      <c r="K673" s="74"/>
      <c r="L673" s="74"/>
      <c r="M673" s="74"/>
      <c r="N673" s="74"/>
      <c r="O673" s="74"/>
      <c r="P673" s="74"/>
      <c r="Q673" s="74"/>
      <c r="R673" s="74"/>
      <c r="S673" s="74"/>
      <c r="T673" s="74"/>
      <c r="U673" s="74"/>
      <c r="V673" s="74"/>
      <c r="W673" s="74"/>
      <c r="X673" s="74"/>
      <c r="Y673" s="74"/>
      <c r="Z673" s="74"/>
      <c r="AA673" s="74"/>
      <c r="AB673" s="74"/>
    </row>
    <row r="674" spans="1:28" ht="40.5" customHeight="1">
      <c r="A674" s="434"/>
      <c r="B674" s="435"/>
      <c r="C674" s="369"/>
      <c r="D674" s="369"/>
      <c r="E674" s="369"/>
      <c r="F674" s="369"/>
      <c r="G674" s="374"/>
      <c r="H674" s="375"/>
      <c r="I674" s="35"/>
      <c r="J674" s="74"/>
      <c r="K674" s="74"/>
      <c r="L674" s="74"/>
      <c r="M674" s="74"/>
      <c r="N674" s="74"/>
      <c r="O674" s="74"/>
      <c r="P674" s="74"/>
      <c r="Q674" s="74"/>
      <c r="R674" s="74"/>
      <c r="S674" s="74"/>
      <c r="T674" s="74"/>
      <c r="U674" s="74"/>
      <c r="V674" s="74"/>
      <c r="W674" s="74"/>
      <c r="X674" s="74"/>
      <c r="Y674" s="74"/>
      <c r="Z674" s="74"/>
      <c r="AA674" s="74"/>
      <c r="AB674" s="74"/>
    </row>
    <row r="675" spans="1:28" ht="40.5" customHeight="1">
      <c r="A675" s="434"/>
      <c r="B675" s="435"/>
      <c r="C675" s="369"/>
      <c r="D675" s="369"/>
      <c r="E675" s="369"/>
      <c r="F675" s="369"/>
      <c r="G675" s="374"/>
      <c r="H675" s="375"/>
      <c r="I675" s="35"/>
      <c r="J675" s="74"/>
      <c r="K675" s="74"/>
      <c r="L675" s="74"/>
      <c r="M675" s="74"/>
      <c r="N675" s="74"/>
      <c r="O675" s="74"/>
      <c r="P675" s="74"/>
      <c r="Q675" s="74"/>
      <c r="R675" s="74"/>
      <c r="S675" s="74"/>
      <c r="T675" s="74"/>
      <c r="U675" s="74"/>
      <c r="V675" s="74"/>
      <c r="W675" s="74"/>
      <c r="X675" s="74"/>
      <c r="Y675" s="74"/>
      <c r="Z675" s="74"/>
      <c r="AA675" s="74"/>
      <c r="AB675" s="74"/>
    </row>
    <row r="676" spans="1:28" ht="40.5" customHeight="1">
      <c r="A676" s="434"/>
      <c r="B676" s="435"/>
      <c r="C676" s="369"/>
      <c r="D676" s="369"/>
      <c r="E676" s="369"/>
      <c r="F676" s="369"/>
      <c r="G676" s="374"/>
      <c r="H676" s="375"/>
      <c r="I676" s="35"/>
      <c r="J676" s="74"/>
      <c r="K676" s="74"/>
      <c r="L676" s="74"/>
      <c r="M676" s="74"/>
      <c r="N676" s="74"/>
      <c r="O676" s="74"/>
      <c r="P676" s="74"/>
      <c r="Q676" s="74"/>
      <c r="R676" s="74"/>
      <c r="S676" s="74"/>
      <c r="T676" s="74"/>
      <c r="U676" s="74"/>
      <c r="V676" s="74"/>
      <c r="W676" s="74"/>
      <c r="X676" s="74"/>
      <c r="Y676" s="74"/>
      <c r="Z676" s="74"/>
      <c r="AA676" s="74"/>
      <c r="AB676" s="74"/>
    </row>
    <row r="677" spans="1:28" ht="40.5" customHeight="1">
      <c r="A677" s="434"/>
      <c r="B677" s="435"/>
      <c r="C677" s="369"/>
      <c r="D677" s="369"/>
      <c r="E677" s="369"/>
      <c r="F677" s="369"/>
      <c r="G677" s="374"/>
      <c r="H677" s="375"/>
      <c r="I677" s="35"/>
      <c r="J677" s="74"/>
      <c r="K677" s="74"/>
      <c r="L677" s="74"/>
      <c r="M677" s="74"/>
      <c r="N677" s="74"/>
      <c r="O677" s="74"/>
      <c r="P677" s="74"/>
      <c r="Q677" s="74"/>
      <c r="R677" s="74"/>
      <c r="S677" s="74"/>
      <c r="T677" s="74"/>
      <c r="U677" s="74"/>
      <c r="V677" s="74"/>
      <c r="W677" s="74"/>
      <c r="X677" s="74"/>
      <c r="Y677" s="74"/>
      <c r="Z677" s="74"/>
      <c r="AA677" s="74"/>
      <c r="AB677" s="74"/>
    </row>
    <row r="678" spans="1:28" ht="40.5" customHeight="1">
      <c r="A678" s="434"/>
      <c r="B678" s="435"/>
      <c r="C678" s="369"/>
      <c r="D678" s="369"/>
      <c r="E678" s="369"/>
      <c r="F678" s="369"/>
      <c r="G678" s="374"/>
      <c r="H678" s="375"/>
      <c r="I678" s="35"/>
      <c r="J678" s="74"/>
      <c r="K678" s="74"/>
      <c r="L678" s="74"/>
      <c r="M678" s="74"/>
      <c r="N678" s="74"/>
      <c r="O678" s="74"/>
      <c r="P678" s="74"/>
      <c r="Q678" s="74"/>
      <c r="R678" s="74"/>
      <c r="S678" s="74"/>
      <c r="T678" s="74"/>
      <c r="U678" s="74"/>
      <c r="V678" s="74"/>
      <c r="W678" s="74"/>
      <c r="X678" s="74"/>
      <c r="Y678" s="74"/>
      <c r="Z678" s="74"/>
      <c r="AA678" s="74"/>
      <c r="AB678" s="74"/>
    </row>
    <row r="679" spans="1:28" ht="40.5" customHeight="1">
      <c r="A679" s="434"/>
      <c r="B679" s="435"/>
      <c r="C679" s="369"/>
      <c r="D679" s="369"/>
      <c r="E679" s="369"/>
      <c r="F679" s="369"/>
      <c r="G679" s="374"/>
      <c r="H679" s="375"/>
      <c r="I679" s="35"/>
      <c r="J679" s="74"/>
      <c r="K679" s="74"/>
      <c r="L679" s="74"/>
      <c r="M679" s="74"/>
      <c r="N679" s="74"/>
      <c r="O679" s="74"/>
      <c r="P679" s="74"/>
      <c r="Q679" s="74"/>
      <c r="R679" s="74"/>
      <c r="S679" s="74"/>
      <c r="T679" s="74"/>
      <c r="U679" s="74"/>
      <c r="V679" s="74"/>
      <c r="W679" s="74"/>
      <c r="X679" s="74"/>
      <c r="Y679" s="74"/>
      <c r="Z679" s="74"/>
      <c r="AA679" s="74"/>
      <c r="AB679" s="74"/>
    </row>
    <row r="680" spans="1:28" ht="40.5" customHeight="1">
      <c r="A680" s="434"/>
      <c r="B680" s="435"/>
      <c r="C680" s="369"/>
      <c r="D680" s="369"/>
      <c r="E680" s="369"/>
      <c r="F680" s="369"/>
      <c r="G680" s="374"/>
      <c r="H680" s="375"/>
      <c r="I680" s="35"/>
      <c r="J680" s="74"/>
      <c r="K680" s="74"/>
      <c r="L680" s="74"/>
      <c r="M680" s="74"/>
      <c r="N680" s="74"/>
      <c r="O680" s="74"/>
      <c r="P680" s="74"/>
      <c r="Q680" s="74"/>
      <c r="R680" s="74"/>
      <c r="S680" s="74"/>
      <c r="T680" s="74"/>
      <c r="U680" s="74"/>
      <c r="V680" s="74"/>
      <c r="W680" s="74"/>
      <c r="X680" s="74"/>
      <c r="Y680" s="74"/>
      <c r="Z680" s="74"/>
      <c r="AA680" s="74"/>
      <c r="AB680" s="74"/>
    </row>
    <row r="681" spans="1:28" ht="40.5" customHeight="1">
      <c r="A681" s="434"/>
      <c r="B681" s="435"/>
      <c r="C681" s="369"/>
      <c r="D681" s="369"/>
      <c r="E681" s="369"/>
      <c r="F681" s="369"/>
      <c r="G681" s="374"/>
      <c r="H681" s="375"/>
      <c r="I681" s="35"/>
      <c r="J681" s="74"/>
      <c r="K681" s="74"/>
      <c r="L681" s="74"/>
      <c r="M681" s="74"/>
      <c r="N681" s="74"/>
      <c r="O681" s="74"/>
      <c r="P681" s="74"/>
      <c r="Q681" s="74"/>
      <c r="R681" s="74"/>
      <c r="S681" s="74"/>
      <c r="T681" s="74"/>
      <c r="U681" s="74"/>
      <c r="V681" s="74"/>
      <c r="W681" s="74"/>
      <c r="X681" s="74"/>
      <c r="Y681" s="74"/>
      <c r="Z681" s="74"/>
      <c r="AA681" s="74"/>
      <c r="AB681" s="74"/>
    </row>
    <row r="682" spans="1:28" ht="40.5" customHeight="1">
      <c r="A682" s="434"/>
      <c r="B682" s="435"/>
      <c r="C682" s="369"/>
      <c r="D682" s="369"/>
      <c r="E682" s="369"/>
      <c r="F682" s="369"/>
      <c r="G682" s="374"/>
      <c r="H682" s="375"/>
      <c r="I682" s="35"/>
      <c r="J682" s="74"/>
      <c r="K682" s="74"/>
      <c r="L682" s="74"/>
      <c r="M682" s="74"/>
      <c r="N682" s="74"/>
      <c r="O682" s="74"/>
      <c r="P682" s="74"/>
      <c r="Q682" s="74"/>
      <c r="R682" s="74"/>
      <c r="S682" s="74"/>
      <c r="T682" s="74"/>
      <c r="U682" s="74"/>
      <c r="V682" s="74"/>
      <c r="W682" s="74"/>
      <c r="X682" s="74"/>
      <c r="Y682" s="74"/>
      <c r="Z682" s="74"/>
      <c r="AA682" s="74"/>
      <c r="AB682" s="74"/>
    </row>
    <row r="683" spans="1:28" ht="40.5" customHeight="1">
      <c r="A683" s="434"/>
      <c r="B683" s="435"/>
      <c r="C683" s="369"/>
      <c r="D683" s="369"/>
      <c r="E683" s="369"/>
      <c r="F683" s="369"/>
      <c r="G683" s="374"/>
      <c r="H683" s="375"/>
      <c r="I683" s="35"/>
      <c r="J683" s="74"/>
      <c r="K683" s="74"/>
      <c r="L683" s="74"/>
      <c r="M683" s="74"/>
      <c r="N683" s="74"/>
      <c r="O683" s="74"/>
      <c r="P683" s="74"/>
      <c r="Q683" s="74"/>
      <c r="R683" s="74"/>
      <c r="S683" s="74"/>
      <c r="T683" s="74"/>
      <c r="U683" s="74"/>
      <c r="V683" s="74"/>
      <c r="W683" s="74"/>
      <c r="X683" s="74"/>
      <c r="Y683" s="74"/>
      <c r="Z683" s="74"/>
      <c r="AA683" s="74"/>
      <c r="AB683" s="74"/>
    </row>
    <row r="684" spans="1:28" ht="40.5" customHeight="1">
      <c r="A684" s="434"/>
      <c r="B684" s="435"/>
      <c r="C684" s="369"/>
      <c r="D684" s="369"/>
      <c r="E684" s="369"/>
      <c r="F684" s="369"/>
      <c r="G684" s="374"/>
      <c r="H684" s="375"/>
      <c r="I684" s="35"/>
      <c r="J684" s="74"/>
      <c r="K684" s="74"/>
      <c r="L684" s="74"/>
      <c r="M684" s="74"/>
      <c r="N684" s="74"/>
      <c r="O684" s="74"/>
      <c r="P684" s="74"/>
      <c r="Q684" s="74"/>
      <c r="R684" s="74"/>
      <c r="S684" s="74"/>
      <c r="T684" s="74"/>
      <c r="U684" s="74"/>
      <c r="V684" s="74"/>
      <c r="W684" s="74"/>
      <c r="X684" s="74"/>
      <c r="Y684" s="74"/>
      <c r="Z684" s="74"/>
      <c r="AA684" s="74"/>
      <c r="AB684" s="74"/>
    </row>
    <row r="685" spans="1:28" ht="40.5" customHeight="1">
      <c r="A685" s="434"/>
      <c r="B685" s="435"/>
      <c r="C685" s="369"/>
      <c r="D685" s="369"/>
      <c r="E685" s="369"/>
      <c r="F685" s="369"/>
      <c r="G685" s="374"/>
      <c r="H685" s="375"/>
      <c r="I685" s="35"/>
      <c r="J685" s="74"/>
      <c r="K685" s="74"/>
      <c r="L685" s="74"/>
      <c r="M685" s="74"/>
      <c r="N685" s="74"/>
      <c r="O685" s="74"/>
      <c r="P685" s="74"/>
      <c r="Q685" s="74"/>
      <c r="R685" s="74"/>
      <c r="S685" s="74"/>
      <c r="T685" s="74"/>
      <c r="U685" s="74"/>
      <c r="V685" s="74"/>
      <c r="W685" s="74"/>
      <c r="X685" s="74"/>
      <c r="Y685" s="74"/>
      <c r="Z685" s="74"/>
      <c r="AA685" s="74"/>
      <c r="AB685" s="74"/>
    </row>
    <row r="686" spans="1:28" ht="40.5" customHeight="1">
      <c r="A686" s="434"/>
      <c r="B686" s="435"/>
      <c r="C686" s="369"/>
      <c r="D686" s="369"/>
      <c r="E686" s="369"/>
      <c r="F686" s="369"/>
      <c r="G686" s="374"/>
      <c r="H686" s="375"/>
      <c r="I686" s="35"/>
      <c r="J686" s="74"/>
      <c r="K686" s="74"/>
      <c r="L686" s="74"/>
      <c r="M686" s="74"/>
      <c r="N686" s="74"/>
      <c r="O686" s="74"/>
      <c r="P686" s="74"/>
      <c r="Q686" s="74"/>
      <c r="R686" s="74"/>
      <c r="S686" s="74"/>
      <c r="T686" s="74"/>
      <c r="U686" s="74"/>
      <c r="V686" s="74"/>
      <c r="W686" s="74"/>
      <c r="X686" s="74"/>
      <c r="Y686" s="74"/>
      <c r="Z686" s="74"/>
      <c r="AA686" s="74"/>
      <c r="AB686" s="74"/>
    </row>
    <row r="687" spans="1:28" ht="40.5" customHeight="1">
      <c r="A687" s="434"/>
      <c r="B687" s="435"/>
      <c r="C687" s="369"/>
      <c r="D687" s="369"/>
      <c r="E687" s="369"/>
      <c r="F687" s="369"/>
      <c r="G687" s="374"/>
      <c r="H687" s="375"/>
      <c r="I687" s="35"/>
      <c r="J687" s="74"/>
      <c r="K687" s="74"/>
      <c r="L687" s="74"/>
      <c r="M687" s="74"/>
      <c r="N687" s="74"/>
      <c r="O687" s="74"/>
      <c r="P687" s="74"/>
      <c r="Q687" s="74"/>
      <c r="R687" s="74"/>
      <c r="S687" s="74"/>
      <c r="T687" s="74"/>
      <c r="U687" s="74"/>
      <c r="V687" s="74"/>
      <c r="W687" s="74"/>
      <c r="X687" s="74"/>
      <c r="Y687" s="74"/>
      <c r="Z687" s="74"/>
      <c r="AA687" s="74"/>
      <c r="AB687" s="74"/>
    </row>
    <row r="688" spans="1:28" ht="40.5" customHeight="1">
      <c r="A688" s="434"/>
      <c r="B688" s="435"/>
      <c r="C688" s="369"/>
      <c r="D688" s="369"/>
      <c r="E688" s="369"/>
      <c r="F688" s="369"/>
      <c r="G688" s="374"/>
      <c r="H688" s="375"/>
      <c r="I688" s="35"/>
      <c r="J688" s="74"/>
      <c r="K688" s="74"/>
      <c r="L688" s="74"/>
      <c r="M688" s="74"/>
      <c r="N688" s="74"/>
      <c r="O688" s="74"/>
      <c r="P688" s="74"/>
      <c r="Q688" s="74"/>
      <c r="R688" s="74"/>
      <c r="S688" s="74"/>
      <c r="T688" s="74"/>
      <c r="U688" s="74"/>
      <c r="V688" s="74"/>
      <c r="W688" s="74"/>
      <c r="X688" s="74"/>
      <c r="Y688" s="74"/>
      <c r="Z688" s="74"/>
      <c r="AA688" s="74"/>
      <c r="AB688" s="74"/>
    </row>
    <row r="689" spans="1:28" ht="40.5" customHeight="1">
      <c r="A689" s="434"/>
      <c r="B689" s="435"/>
      <c r="C689" s="369"/>
      <c r="D689" s="369"/>
      <c r="E689" s="369"/>
      <c r="F689" s="369"/>
      <c r="G689" s="374"/>
      <c r="H689" s="375"/>
      <c r="I689" s="35"/>
      <c r="J689" s="74"/>
      <c r="K689" s="74"/>
      <c r="L689" s="74"/>
      <c r="M689" s="74"/>
      <c r="N689" s="74"/>
      <c r="O689" s="74"/>
      <c r="P689" s="74"/>
      <c r="Q689" s="74"/>
      <c r="R689" s="74"/>
      <c r="S689" s="74"/>
      <c r="T689" s="74"/>
      <c r="U689" s="74"/>
      <c r="V689" s="74"/>
      <c r="W689" s="74"/>
      <c r="X689" s="74"/>
      <c r="Y689" s="74"/>
      <c r="Z689" s="74"/>
      <c r="AA689" s="74"/>
      <c r="AB689" s="74"/>
    </row>
    <row r="690" spans="1:28" ht="40.5" customHeight="1">
      <c r="A690" s="434"/>
      <c r="B690" s="435"/>
      <c r="C690" s="369"/>
      <c r="D690" s="369"/>
      <c r="E690" s="369"/>
      <c r="F690" s="369"/>
      <c r="G690" s="374"/>
      <c r="H690" s="375"/>
      <c r="I690" s="35"/>
      <c r="J690" s="74"/>
      <c r="K690" s="74"/>
      <c r="L690" s="74"/>
      <c r="M690" s="74"/>
      <c r="N690" s="74"/>
      <c r="O690" s="74"/>
      <c r="P690" s="74"/>
      <c r="Q690" s="74"/>
      <c r="R690" s="74"/>
      <c r="S690" s="74"/>
      <c r="T690" s="74"/>
      <c r="U690" s="74"/>
      <c r="V690" s="74"/>
      <c r="W690" s="74"/>
      <c r="X690" s="74"/>
      <c r="Y690" s="74"/>
      <c r="Z690" s="74"/>
      <c r="AA690" s="74"/>
      <c r="AB690" s="74"/>
    </row>
    <row r="691" spans="1:28" ht="40.5" customHeight="1">
      <c r="A691" s="434"/>
      <c r="B691" s="435"/>
      <c r="C691" s="369"/>
      <c r="D691" s="369"/>
      <c r="E691" s="369"/>
      <c r="F691" s="369"/>
      <c r="G691" s="374"/>
      <c r="H691" s="375"/>
      <c r="I691" s="35"/>
      <c r="J691" s="74"/>
      <c r="K691" s="74"/>
      <c r="L691" s="74"/>
      <c r="M691" s="74"/>
      <c r="N691" s="74"/>
      <c r="O691" s="74"/>
      <c r="P691" s="74"/>
      <c r="Q691" s="74"/>
      <c r="R691" s="74"/>
      <c r="S691" s="74"/>
      <c r="T691" s="74"/>
      <c r="U691" s="74"/>
      <c r="V691" s="74"/>
      <c r="W691" s="74"/>
      <c r="X691" s="74"/>
      <c r="Y691" s="74"/>
      <c r="Z691" s="74"/>
      <c r="AA691" s="74"/>
      <c r="AB691" s="74"/>
    </row>
    <row r="692" spans="1:28" ht="40.5" customHeight="1">
      <c r="A692" s="434"/>
      <c r="B692" s="435"/>
      <c r="C692" s="369"/>
      <c r="D692" s="369"/>
      <c r="E692" s="369"/>
      <c r="F692" s="369"/>
      <c r="G692" s="374"/>
      <c r="H692" s="375"/>
      <c r="I692" s="35"/>
      <c r="J692" s="74"/>
      <c r="K692" s="74"/>
      <c r="L692" s="74"/>
      <c r="M692" s="74"/>
      <c r="N692" s="74"/>
      <c r="O692" s="74"/>
      <c r="P692" s="74"/>
      <c r="Q692" s="74"/>
      <c r="R692" s="74"/>
      <c r="S692" s="74"/>
      <c r="T692" s="74"/>
      <c r="U692" s="74"/>
      <c r="V692" s="74"/>
      <c r="W692" s="74"/>
      <c r="X692" s="74"/>
      <c r="Y692" s="74"/>
      <c r="Z692" s="74"/>
      <c r="AA692" s="74"/>
      <c r="AB692" s="74"/>
    </row>
    <row r="693" spans="1:28" ht="40.5" customHeight="1">
      <c r="A693" s="434"/>
      <c r="B693" s="435"/>
      <c r="C693" s="369"/>
      <c r="D693" s="369"/>
      <c r="E693" s="369"/>
      <c r="F693" s="369"/>
      <c r="G693" s="374"/>
      <c r="H693" s="375"/>
      <c r="I693" s="35"/>
      <c r="J693" s="74"/>
      <c r="K693" s="74"/>
      <c r="L693" s="74"/>
      <c r="M693" s="74"/>
      <c r="N693" s="74"/>
      <c r="O693" s="74"/>
      <c r="P693" s="74"/>
      <c r="Q693" s="74"/>
      <c r="R693" s="74"/>
      <c r="S693" s="74"/>
      <c r="T693" s="74"/>
      <c r="U693" s="74"/>
      <c r="V693" s="74"/>
      <c r="W693" s="74"/>
      <c r="X693" s="74"/>
      <c r="Y693" s="74"/>
      <c r="Z693" s="74"/>
      <c r="AA693" s="74"/>
      <c r="AB693" s="74"/>
    </row>
    <row r="694" spans="1:28" ht="40.5" customHeight="1">
      <c r="A694" s="434"/>
      <c r="B694" s="435"/>
      <c r="C694" s="369"/>
      <c r="D694" s="369"/>
      <c r="E694" s="369"/>
      <c r="F694" s="369"/>
      <c r="G694" s="374"/>
      <c r="H694" s="375"/>
      <c r="I694" s="35"/>
      <c r="J694" s="74"/>
      <c r="K694" s="74"/>
      <c r="L694" s="74"/>
      <c r="M694" s="74"/>
      <c r="N694" s="74"/>
      <c r="O694" s="74"/>
      <c r="P694" s="74"/>
      <c r="Q694" s="74"/>
      <c r="R694" s="74"/>
      <c r="S694" s="74"/>
      <c r="T694" s="74"/>
      <c r="U694" s="74"/>
      <c r="V694" s="74"/>
      <c r="W694" s="74"/>
      <c r="X694" s="74"/>
      <c r="Y694" s="74"/>
      <c r="Z694" s="74"/>
      <c r="AA694" s="74"/>
      <c r="AB694" s="74"/>
    </row>
    <row r="695" spans="1:28" ht="40.5" customHeight="1">
      <c r="A695" s="434"/>
      <c r="B695" s="435"/>
      <c r="C695" s="369"/>
      <c r="D695" s="369"/>
      <c r="E695" s="369"/>
      <c r="F695" s="369"/>
      <c r="G695" s="374"/>
      <c r="H695" s="375"/>
      <c r="I695" s="35"/>
      <c r="J695" s="74"/>
      <c r="K695" s="74"/>
      <c r="L695" s="74"/>
      <c r="M695" s="74"/>
      <c r="N695" s="74"/>
      <c r="O695" s="74"/>
      <c r="P695" s="74"/>
      <c r="Q695" s="74"/>
      <c r="R695" s="74"/>
      <c r="S695" s="74"/>
      <c r="T695" s="74"/>
      <c r="U695" s="74"/>
      <c r="V695" s="74"/>
      <c r="W695" s="74"/>
      <c r="X695" s="74"/>
      <c r="Y695" s="74"/>
      <c r="Z695" s="74"/>
      <c r="AA695" s="74"/>
      <c r="AB695" s="74"/>
    </row>
    <row r="696" spans="1:28" ht="40.5" customHeight="1">
      <c r="A696" s="434"/>
      <c r="B696" s="435"/>
      <c r="C696" s="369"/>
      <c r="D696" s="369"/>
      <c r="E696" s="369"/>
      <c r="F696" s="369"/>
      <c r="G696" s="374"/>
      <c r="H696" s="375"/>
      <c r="I696" s="35"/>
      <c r="J696" s="74"/>
      <c r="K696" s="74"/>
      <c r="L696" s="74"/>
      <c r="M696" s="74"/>
      <c r="N696" s="74"/>
      <c r="O696" s="74"/>
      <c r="P696" s="74"/>
      <c r="Q696" s="74"/>
      <c r="R696" s="74"/>
      <c r="S696" s="74"/>
      <c r="T696" s="74"/>
      <c r="U696" s="74"/>
      <c r="V696" s="74"/>
      <c r="W696" s="74"/>
      <c r="X696" s="74"/>
      <c r="Y696" s="74"/>
      <c r="Z696" s="74"/>
      <c r="AA696" s="74"/>
      <c r="AB696" s="74"/>
    </row>
    <row r="697" spans="1:28" ht="40.5" customHeight="1">
      <c r="A697" s="434"/>
      <c r="B697" s="435"/>
      <c r="C697" s="369"/>
      <c r="D697" s="369"/>
      <c r="E697" s="369"/>
      <c r="F697" s="369"/>
      <c r="G697" s="374"/>
      <c r="H697" s="375"/>
      <c r="I697" s="35"/>
      <c r="J697" s="74"/>
      <c r="K697" s="74"/>
      <c r="L697" s="74"/>
      <c r="M697" s="74"/>
      <c r="N697" s="74"/>
      <c r="O697" s="74"/>
      <c r="P697" s="74"/>
      <c r="Q697" s="74"/>
      <c r="R697" s="74"/>
      <c r="S697" s="74"/>
      <c r="T697" s="74"/>
      <c r="U697" s="74"/>
      <c r="V697" s="74"/>
      <c r="W697" s="74"/>
      <c r="X697" s="74"/>
      <c r="Y697" s="74"/>
      <c r="Z697" s="74"/>
      <c r="AA697" s="74"/>
      <c r="AB697" s="74"/>
    </row>
    <row r="698" spans="1:28" ht="40.5" customHeight="1">
      <c r="A698" s="434"/>
      <c r="B698" s="435"/>
      <c r="C698" s="369"/>
      <c r="D698" s="369"/>
      <c r="E698" s="369"/>
      <c r="F698" s="369"/>
      <c r="G698" s="374"/>
      <c r="H698" s="375"/>
      <c r="I698" s="35"/>
      <c r="J698" s="74"/>
      <c r="K698" s="74"/>
      <c r="L698" s="74"/>
      <c r="M698" s="74"/>
      <c r="N698" s="74"/>
      <c r="O698" s="74"/>
      <c r="P698" s="74"/>
      <c r="Q698" s="74"/>
      <c r="R698" s="74"/>
      <c r="S698" s="74"/>
      <c r="T698" s="74"/>
      <c r="U698" s="74"/>
      <c r="V698" s="74"/>
      <c r="W698" s="74"/>
      <c r="X698" s="74"/>
      <c r="Y698" s="74"/>
      <c r="Z698" s="74"/>
      <c r="AA698" s="74"/>
      <c r="AB698" s="74"/>
    </row>
    <row r="699" spans="1:28" ht="40.5" customHeight="1">
      <c r="A699" s="434"/>
      <c r="B699" s="435"/>
      <c r="C699" s="369"/>
      <c r="D699" s="369"/>
      <c r="E699" s="369"/>
      <c r="F699" s="369"/>
      <c r="G699" s="374"/>
      <c r="H699" s="375"/>
      <c r="I699" s="35"/>
      <c r="J699" s="74"/>
      <c r="K699" s="74"/>
      <c r="L699" s="74"/>
      <c r="M699" s="74"/>
      <c r="N699" s="74"/>
      <c r="O699" s="74"/>
      <c r="P699" s="74"/>
      <c r="Q699" s="74"/>
      <c r="R699" s="74"/>
      <c r="S699" s="74"/>
      <c r="T699" s="74"/>
      <c r="U699" s="74"/>
      <c r="V699" s="74"/>
      <c r="W699" s="74"/>
      <c r="X699" s="74"/>
      <c r="Y699" s="74"/>
      <c r="Z699" s="74"/>
      <c r="AA699" s="74"/>
      <c r="AB699" s="74"/>
    </row>
    <row r="700" spans="1:28" ht="40.5" customHeight="1">
      <c r="A700" s="434"/>
      <c r="B700" s="435"/>
      <c r="C700" s="369"/>
      <c r="D700" s="369"/>
      <c r="E700" s="369"/>
      <c r="F700" s="369"/>
      <c r="G700" s="374"/>
      <c r="H700" s="375"/>
      <c r="I700" s="35"/>
      <c r="J700" s="74"/>
      <c r="K700" s="74"/>
      <c r="L700" s="74"/>
      <c r="M700" s="74"/>
      <c r="N700" s="74"/>
      <c r="O700" s="74"/>
      <c r="P700" s="74"/>
      <c r="Q700" s="74"/>
      <c r="R700" s="74"/>
      <c r="S700" s="74"/>
      <c r="T700" s="74"/>
      <c r="U700" s="74"/>
      <c r="V700" s="74"/>
      <c r="W700" s="74"/>
      <c r="X700" s="74"/>
      <c r="Y700" s="74"/>
      <c r="Z700" s="74"/>
      <c r="AA700" s="74"/>
      <c r="AB700" s="74"/>
    </row>
    <row r="701" spans="1:28" ht="40.5" customHeight="1">
      <c r="A701" s="434"/>
      <c r="B701" s="435"/>
      <c r="C701" s="369"/>
      <c r="D701" s="369"/>
      <c r="E701" s="369"/>
      <c r="F701" s="369"/>
      <c r="G701" s="374"/>
      <c r="H701" s="375"/>
      <c r="I701" s="35"/>
      <c r="J701" s="74"/>
      <c r="K701" s="74"/>
      <c r="L701" s="74"/>
      <c r="M701" s="74"/>
      <c r="N701" s="74"/>
      <c r="O701" s="74"/>
      <c r="P701" s="74"/>
      <c r="Q701" s="74"/>
      <c r="R701" s="74"/>
      <c r="S701" s="74"/>
      <c r="T701" s="74"/>
      <c r="U701" s="74"/>
      <c r="V701" s="74"/>
      <c r="W701" s="74"/>
      <c r="X701" s="74"/>
      <c r="Y701" s="74"/>
      <c r="Z701" s="74"/>
      <c r="AA701" s="74"/>
      <c r="AB701" s="74"/>
    </row>
    <row r="702" spans="1:28" ht="40.5" customHeight="1">
      <c r="A702" s="434"/>
      <c r="B702" s="435"/>
      <c r="C702" s="369"/>
      <c r="D702" s="369"/>
      <c r="E702" s="369"/>
      <c r="F702" s="369"/>
      <c r="G702" s="374"/>
      <c r="H702" s="375"/>
      <c r="I702" s="35"/>
      <c r="J702" s="74"/>
      <c r="K702" s="74"/>
      <c r="L702" s="74"/>
      <c r="M702" s="74"/>
      <c r="N702" s="74"/>
      <c r="O702" s="74"/>
      <c r="P702" s="74"/>
      <c r="Q702" s="74"/>
      <c r="R702" s="74"/>
      <c r="S702" s="74"/>
      <c r="T702" s="74"/>
      <c r="U702" s="74"/>
      <c r="V702" s="74"/>
      <c r="W702" s="74"/>
      <c r="X702" s="74"/>
      <c r="Y702" s="74"/>
      <c r="Z702" s="74"/>
      <c r="AA702" s="74"/>
      <c r="AB702" s="74"/>
    </row>
    <row r="703" spans="1:28" ht="40.5" customHeight="1">
      <c r="A703" s="434"/>
      <c r="B703" s="435"/>
      <c r="C703" s="369"/>
      <c r="D703" s="369"/>
      <c r="E703" s="369"/>
      <c r="F703" s="369"/>
      <c r="G703" s="374"/>
      <c r="H703" s="375"/>
      <c r="I703" s="35"/>
      <c r="J703" s="74"/>
      <c r="K703" s="74"/>
      <c r="L703" s="74"/>
      <c r="M703" s="74"/>
      <c r="N703" s="74"/>
      <c r="O703" s="74"/>
      <c r="P703" s="74"/>
      <c r="Q703" s="74"/>
      <c r="R703" s="74"/>
      <c r="S703" s="74"/>
      <c r="T703" s="74"/>
      <c r="U703" s="74"/>
      <c r="V703" s="74"/>
      <c r="W703" s="74"/>
      <c r="X703" s="74"/>
      <c r="Y703" s="74"/>
      <c r="Z703" s="74"/>
      <c r="AA703" s="74"/>
      <c r="AB703" s="74"/>
    </row>
    <row r="704" spans="1:28" ht="40.5" customHeight="1">
      <c r="A704" s="434"/>
      <c r="B704" s="435"/>
      <c r="C704" s="369"/>
      <c r="D704" s="369"/>
      <c r="E704" s="369"/>
      <c r="F704" s="369"/>
      <c r="G704" s="374"/>
      <c r="H704" s="375"/>
      <c r="I704" s="35"/>
      <c r="J704" s="74"/>
      <c r="K704" s="74"/>
      <c r="L704" s="74"/>
      <c r="M704" s="74"/>
      <c r="N704" s="74"/>
      <c r="O704" s="74"/>
      <c r="P704" s="74"/>
      <c r="Q704" s="74"/>
      <c r="R704" s="74"/>
      <c r="S704" s="74"/>
      <c r="T704" s="74"/>
      <c r="U704" s="74"/>
      <c r="V704" s="74"/>
      <c r="W704" s="74"/>
      <c r="X704" s="74"/>
      <c r="Y704" s="74"/>
      <c r="Z704" s="74"/>
      <c r="AA704" s="74"/>
      <c r="AB704" s="74"/>
    </row>
    <row r="705" spans="1:28" ht="40.5" customHeight="1">
      <c r="A705" s="434"/>
      <c r="B705" s="435"/>
      <c r="C705" s="369"/>
      <c r="D705" s="369"/>
      <c r="E705" s="369"/>
      <c r="F705" s="369"/>
      <c r="G705" s="374"/>
      <c r="H705" s="375"/>
      <c r="I705" s="35"/>
      <c r="J705" s="74"/>
      <c r="K705" s="74"/>
      <c r="L705" s="74"/>
      <c r="M705" s="74"/>
      <c r="N705" s="74"/>
      <c r="O705" s="74"/>
      <c r="P705" s="74"/>
      <c r="Q705" s="74"/>
      <c r="R705" s="74"/>
      <c r="S705" s="74"/>
      <c r="T705" s="74"/>
      <c r="U705" s="74"/>
      <c r="V705" s="74"/>
      <c r="W705" s="74"/>
      <c r="X705" s="74"/>
      <c r="Y705" s="74"/>
      <c r="Z705" s="74"/>
      <c r="AA705" s="74"/>
      <c r="AB705" s="74"/>
    </row>
    <row r="706" spans="1:28" ht="40.5" customHeight="1">
      <c r="A706" s="434"/>
      <c r="B706" s="435"/>
      <c r="C706" s="369"/>
      <c r="D706" s="369"/>
      <c r="E706" s="369"/>
      <c r="F706" s="369"/>
      <c r="G706" s="374"/>
      <c r="H706" s="375"/>
      <c r="I706" s="35"/>
      <c r="J706" s="74"/>
      <c r="K706" s="74"/>
      <c r="L706" s="74"/>
      <c r="M706" s="74"/>
      <c r="N706" s="74"/>
      <c r="O706" s="74"/>
      <c r="P706" s="74"/>
      <c r="Q706" s="74"/>
      <c r="R706" s="74"/>
      <c r="S706" s="74"/>
      <c r="T706" s="74"/>
      <c r="U706" s="74"/>
      <c r="V706" s="74"/>
      <c r="W706" s="74"/>
      <c r="X706" s="74"/>
      <c r="Y706" s="74"/>
      <c r="Z706" s="74"/>
      <c r="AA706" s="74"/>
      <c r="AB706" s="74"/>
    </row>
    <row r="707" spans="1:28" ht="40.5" customHeight="1">
      <c r="A707" s="434"/>
      <c r="B707" s="435"/>
      <c r="C707" s="369"/>
      <c r="D707" s="369"/>
      <c r="E707" s="369"/>
      <c r="F707" s="369"/>
      <c r="G707" s="374"/>
      <c r="H707" s="375"/>
      <c r="I707" s="35"/>
      <c r="J707" s="74"/>
      <c r="K707" s="74"/>
      <c r="L707" s="74"/>
      <c r="M707" s="74"/>
      <c r="N707" s="74"/>
      <c r="O707" s="74"/>
      <c r="P707" s="74"/>
      <c r="Q707" s="74"/>
      <c r="R707" s="74"/>
      <c r="S707" s="74"/>
      <c r="T707" s="74"/>
      <c r="U707" s="74"/>
      <c r="V707" s="74"/>
      <c r="W707" s="74"/>
      <c r="X707" s="74"/>
      <c r="Y707" s="74"/>
      <c r="Z707" s="74"/>
      <c r="AA707" s="74"/>
      <c r="AB707" s="74"/>
    </row>
    <row r="708" spans="1:28" ht="40.5" customHeight="1">
      <c r="A708" s="434"/>
      <c r="B708" s="435"/>
      <c r="C708" s="369"/>
      <c r="D708" s="369"/>
      <c r="E708" s="369"/>
      <c r="F708" s="369"/>
      <c r="G708" s="374"/>
      <c r="H708" s="375"/>
      <c r="I708" s="35"/>
      <c r="J708" s="74"/>
      <c r="K708" s="74"/>
      <c r="L708" s="74"/>
      <c r="M708" s="74"/>
      <c r="N708" s="74"/>
      <c r="O708" s="74"/>
      <c r="P708" s="74"/>
      <c r="Q708" s="74"/>
      <c r="R708" s="74"/>
      <c r="S708" s="74"/>
      <c r="T708" s="74"/>
      <c r="U708" s="74"/>
      <c r="V708" s="74"/>
      <c r="W708" s="74"/>
      <c r="X708" s="74"/>
      <c r="Y708" s="74"/>
      <c r="Z708" s="74"/>
      <c r="AA708" s="74"/>
      <c r="AB708" s="74"/>
    </row>
    <row r="709" spans="1:28" ht="40.5" customHeight="1">
      <c r="A709" s="434"/>
      <c r="B709" s="435"/>
      <c r="C709" s="369"/>
      <c r="D709" s="369"/>
      <c r="E709" s="369"/>
      <c r="F709" s="369"/>
      <c r="G709" s="374"/>
      <c r="H709" s="375"/>
      <c r="I709" s="35"/>
      <c r="J709" s="74"/>
      <c r="K709" s="74"/>
      <c r="L709" s="74"/>
      <c r="M709" s="74"/>
      <c r="N709" s="74"/>
      <c r="O709" s="74"/>
      <c r="P709" s="74"/>
      <c r="Q709" s="74"/>
      <c r="R709" s="74"/>
      <c r="S709" s="74"/>
      <c r="T709" s="74"/>
      <c r="U709" s="74"/>
      <c r="V709" s="74"/>
      <c r="W709" s="74"/>
      <c r="X709" s="74"/>
      <c r="Y709" s="74"/>
      <c r="Z709" s="74"/>
      <c r="AA709" s="74"/>
      <c r="AB709" s="74"/>
    </row>
    <row r="710" spans="1:28" ht="40.5" customHeight="1">
      <c r="A710" s="434"/>
      <c r="B710" s="435"/>
      <c r="C710" s="369"/>
      <c r="D710" s="369"/>
      <c r="E710" s="369"/>
      <c r="F710" s="369"/>
      <c r="G710" s="374"/>
      <c r="H710" s="375"/>
      <c r="I710" s="35"/>
      <c r="J710" s="74"/>
      <c r="K710" s="74"/>
      <c r="L710" s="74"/>
      <c r="M710" s="74"/>
      <c r="N710" s="74"/>
      <c r="O710" s="74"/>
      <c r="P710" s="74"/>
      <c r="Q710" s="74"/>
      <c r="R710" s="74"/>
      <c r="S710" s="74"/>
      <c r="T710" s="74"/>
      <c r="U710" s="74"/>
      <c r="V710" s="74"/>
      <c r="W710" s="74"/>
      <c r="X710" s="74"/>
      <c r="Y710" s="74"/>
      <c r="Z710" s="74"/>
      <c r="AA710" s="74"/>
      <c r="AB710" s="74"/>
    </row>
    <row r="711" spans="1:28" ht="40.5" customHeight="1">
      <c r="A711" s="434"/>
      <c r="B711" s="435"/>
      <c r="C711" s="369"/>
      <c r="D711" s="369"/>
      <c r="E711" s="369"/>
      <c r="F711" s="369"/>
      <c r="G711" s="374"/>
      <c r="H711" s="375"/>
      <c r="I711" s="35"/>
      <c r="J711" s="74"/>
      <c r="K711" s="74"/>
      <c r="L711" s="74"/>
      <c r="M711" s="74"/>
      <c r="N711" s="74"/>
      <c r="O711" s="74"/>
      <c r="P711" s="74"/>
      <c r="Q711" s="74"/>
      <c r="R711" s="74"/>
      <c r="S711" s="74"/>
      <c r="T711" s="74"/>
      <c r="U711" s="74"/>
      <c r="V711" s="74"/>
      <c r="W711" s="74"/>
      <c r="X711" s="74"/>
      <c r="Y711" s="74"/>
      <c r="Z711" s="74"/>
      <c r="AA711" s="74"/>
      <c r="AB711" s="74"/>
    </row>
    <row r="712" spans="1:28" ht="40.5" customHeight="1">
      <c r="A712" s="434"/>
      <c r="B712" s="435"/>
      <c r="C712" s="369"/>
      <c r="D712" s="369"/>
      <c r="E712" s="369"/>
      <c r="F712" s="369"/>
      <c r="G712" s="374"/>
      <c r="H712" s="375"/>
      <c r="I712" s="35"/>
      <c r="J712" s="74"/>
      <c r="K712" s="74"/>
      <c r="L712" s="74"/>
      <c r="M712" s="74"/>
      <c r="N712" s="74"/>
      <c r="O712" s="74"/>
      <c r="P712" s="74"/>
      <c r="Q712" s="74"/>
      <c r="R712" s="74"/>
      <c r="S712" s="74"/>
      <c r="T712" s="74"/>
      <c r="U712" s="74"/>
      <c r="V712" s="74"/>
      <c r="W712" s="74"/>
      <c r="X712" s="74"/>
      <c r="Y712" s="74"/>
      <c r="Z712" s="74"/>
      <c r="AA712" s="74"/>
      <c r="AB712" s="74"/>
    </row>
    <row r="713" spans="1:28" ht="40.5" customHeight="1">
      <c r="A713" s="434"/>
      <c r="B713" s="435"/>
      <c r="C713" s="369"/>
      <c r="D713" s="369"/>
      <c r="E713" s="369"/>
      <c r="F713" s="369"/>
      <c r="G713" s="374"/>
      <c r="H713" s="375"/>
      <c r="I713" s="35"/>
      <c r="J713" s="74"/>
      <c r="K713" s="74"/>
      <c r="L713" s="74"/>
      <c r="M713" s="74"/>
      <c r="N713" s="74"/>
      <c r="O713" s="74"/>
      <c r="P713" s="74"/>
      <c r="Q713" s="74"/>
      <c r="R713" s="74"/>
      <c r="S713" s="74"/>
      <c r="T713" s="74"/>
      <c r="U713" s="74"/>
      <c r="V713" s="74"/>
      <c r="W713" s="74"/>
      <c r="X713" s="74"/>
      <c r="Y713" s="74"/>
      <c r="Z713" s="74"/>
      <c r="AA713" s="74"/>
      <c r="AB713" s="74"/>
    </row>
    <row r="714" spans="1:28" ht="40.5" customHeight="1">
      <c r="A714" s="434"/>
      <c r="B714" s="435"/>
      <c r="C714" s="369"/>
      <c r="D714" s="369"/>
      <c r="E714" s="369"/>
      <c r="F714" s="369"/>
      <c r="G714" s="374"/>
      <c r="H714" s="375"/>
      <c r="I714" s="35"/>
      <c r="J714" s="74"/>
      <c r="K714" s="74"/>
      <c r="L714" s="74"/>
      <c r="M714" s="74"/>
      <c r="N714" s="74"/>
      <c r="O714" s="74"/>
      <c r="P714" s="74"/>
      <c r="Q714" s="74"/>
      <c r="R714" s="74"/>
      <c r="S714" s="74"/>
      <c r="T714" s="74"/>
      <c r="U714" s="74"/>
      <c r="V714" s="74"/>
      <c r="W714" s="74"/>
      <c r="X714" s="74"/>
      <c r="Y714" s="74"/>
      <c r="Z714" s="74"/>
      <c r="AA714" s="74"/>
      <c r="AB714" s="74"/>
    </row>
    <row r="715" spans="1:28" ht="40.5" customHeight="1">
      <c r="A715" s="434"/>
      <c r="B715" s="435"/>
      <c r="C715" s="369"/>
      <c r="D715" s="369"/>
      <c r="E715" s="369"/>
      <c r="F715" s="369"/>
      <c r="G715" s="374"/>
      <c r="H715" s="375"/>
      <c r="I715" s="35"/>
      <c r="J715" s="74"/>
      <c r="K715" s="74"/>
      <c r="L715" s="74"/>
      <c r="M715" s="74"/>
      <c r="N715" s="74"/>
      <c r="O715" s="74"/>
      <c r="P715" s="74"/>
      <c r="Q715" s="74"/>
      <c r="R715" s="74"/>
      <c r="S715" s="74"/>
      <c r="T715" s="74"/>
      <c r="U715" s="74"/>
      <c r="V715" s="74"/>
      <c r="W715" s="74"/>
      <c r="X715" s="74"/>
      <c r="Y715" s="74"/>
      <c r="Z715" s="74"/>
      <c r="AA715" s="74"/>
      <c r="AB715" s="74"/>
    </row>
    <row r="716" spans="1:28" ht="40.5" customHeight="1">
      <c r="A716" s="434"/>
      <c r="B716" s="435"/>
      <c r="C716" s="369"/>
      <c r="D716" s="369"/>
      <c r="E716" s="369"/>
      <c r="F716" s="369"/>
      <c r="G716" s="374"/>
      <c r="H716" s="375"/>
      <c r="I716" s="35"/>
      <c r="J716" s="74"/>
      <c r="K716" s="74"/>
      <c r="L716" s="74"/>
      <c r="M716" s="74"/>
      <c r="N716" s="74"/>
      <c r="O716" s="74"/>
      <c r="P716" s="74"/>
      <c r="Q716" s="74"/>
      <c r="R716" s="74"/>
      <c r="S716" s="74"/>
      <c r="T716" s="74"/>
      <c r="U716" s="74"/>
      <c r="V716" s="74"/>
      <c r="W716" s="74"/>
      <c r="X716" s="74"/>
      <c r="Y716" s="74"/>
      <c r="Z716" s="74"/>
      <c r="AA716" s="74"/>
      <c r="AB716" s="74"/>
    </row>
    <row r="717" spans="1:28" ht="40.5" customHeight="1">
      <c r="A717" s="434"/>
      <c r="B717" s="435"/>
      <c r="C717" s="369"/>
      <c r="D717" s="369"/>
      <c r="E717" s="369"/>
      <c r="F717" s="369"/>
      <c r="G717" s="374"/>
      <c r="H717" s="375"/>
      <c r="I717" s="35"/>
      <c r="J717" s="74"/>
      <c r="K717" s="74"/>
      <c r="L717" s="74"/>
      <c r="M717" s="74"/>
      <c r="N717" s="74"/>
      <c r="O717" s="74"/>
      <c r="P717" s="74"/>
      <c r="Q717" s="74"/>
      <c r="R717" s="74"/>
      <c r="S717" s="74"/>
      <c r="T717" s="74"/>
      <c r="U717" s="74"/>
      <c r="V717" s="74"/>
      <c r="W717" s="74"/>
      <c r="X717" s="74"/>
      <c r="Y717" s="74"/>
      <c r="Z717" s="74"/>
      <c r="AA717" s="74"/>
      <c r="AB717" s="74"/>
    </row>
    <row r="718" spans="1:28" ht="40.5" customHeight="1">
      <c r="A718" s="434"/>
      <c r="B718" s="435"/>
      <c r="C718" s="369"/>
      <c r="D718" s="369"/>
      <c r="E718" s="369"/>
      <c r="F718" s="369"/>
      <c r="G718" s="374"/>
      <c r="H718" s="375"/>
      <c r="I718" s="35"/>
      <c r="J718" s="74"/>
      <c r="K718" s="74"/>
      <c r="L718" s="74"/>
      <c r="M718" s="74"/>
      <c r="N718" s="74"/>
      <c r="O718" s="74"/>
      <c r="P718" s="74"/>
      <c r="Q718" s="74"/>
      <c r="R718" s="74"/>
      <c r="S718" s="74"/>
      <c r="T718" s="74"/>
      <c r="U718" s="74"/>
      <c r="V718" s="74"/>
      <c r="W718" s="74"/>
      <c r="X718" s="74"/>
      <c r="Y718" s="74"/>
      <c r="Z718" s="74"/>
      <c r="AA718" s="74"/>
      <c r="AB718" s="74"/>
    </row>
    <row r="719" spans="1:28" ht="40.5" customHeight="1">
      <c r="A719" s="434"/>
      <c r="B719" s="435"/>
      <c r="C719" s="369"/>
      <c r="D719" s="369"/>
      <c r="E719" s="369"/>
      <c r="F719" s="369"/>
      <c r="G719" s="374"/>
      <c r="H719" s="375"/>
      <c r="I719" s="35"/>
      <c r="J719" s="74"/>
      <c r="K719" s="74"/>
      <c r="L719" s="74"/>
      <c r="M719" s="74"/>
      <c r="N719" s="74"/>
      <c r="O719" s="74"/>
      <c r="P719" s="74"/>
      <c r="Q719" s="74"/>
      <c r="R719" s="74"/>
      <c r="S719" s="74"/>
      <c r="T719" s="74"/>
      <c r="U719" s="74"/>
      <c r="V719" s="74"/>
      <c r="W719" s="74"/>
      <c r="X719" s="74"/>
      <c r="Y719" s="74"/>
      <c r="Z719" s="74"/>
      <c r="AA719" s="74"/>
      <c r="AB719" s="74"/>
    </row>
    <row r="720" spans="1:28" ht="40.5" customHeight="1">
      <c r="A720" s="434"/>
      <c r="B720" s="435"/>
      <c r="C720" s="369"/>
      <c r="D720" s="369"/>
      <c r="E720" s="369"/>
      <c r="F720" s="369"/>
      <c r="G720" s="374"/>
      <c r="H720" s="375"/>
      <c r="I720" s="35"/>
      <c r="J720" s="74"/>
      <c r="K720" s="74"/>
      <c r="L720" s="74"/>
      <c r="M720" s="74"/>
      <c r="N720" s="74"/>
      <c r="O720" s="74"/>
      <c r="P720" s="74"/>
      <c r="Q720" s="74"/>
      <c r="R720" s="74"/>
      <c r="S720" s="74"/>
      <c r="T720" s="74"/>
      <c r="U720" s="74"/>
      <c r="V720" s="74"/>
      <c r="W720" s="74"/>
      <c r="X720" s="74"/>
      <c r="Y720" s="74"/>
      <c r="Z720" s="74"/>
      <c r="AA720" s="74"/>
      <c r="AB720" s="74"/>
    </row>
    <row r="721" spans="1:28" ht="40.5" customHeight="1">
      <c r="A721" s="434"/>
      <c r="B721" s="435"/>
      <c r="C721" s="369"/>
      <c r="D721" s="369"/>
      <c r="E721" s="369"/>
      <c r="F721" s="369"/>
      <c r="G721" s="374"/>
      <c r="H721" s="375"/>
      <c r="I721" s="35"/>
      <c r="J721" s="74"/>
      <c r="K721" s="74"/>
      <c r="L721" s="74"/>
      <c r="M721" s="74"/>
      <c r="N721" s="74"/>
      <c r="O721" s="74"/>
      <c r="P721" s="74"/>
      <c r="Q721" s="74"/>
      <c r="R721" s="74"/>
      <c r="S721" s="74"/>
      <c r="T721" s="74"/>
      <c r="U721" s="74"/>
      <c r="V721" s="74"/>
      <c r="W721" s="74"/>
      <c r="X721" s="74"/>
      <c r="Y721" s="74"/>
      <c r="Z721" s="74"/>
      <c r="AA721" s="74"/>
      <c r="AB721" s="74"/>
    </row>
    <row r="722" spans="1:28" ht="40.5" customHeight="1">
      <c r="A722" s="434"/>
      <c r="B722" s="435"/>
      <c r="C722" s="369"/>
      <c r="D722" s="369"/>
      <c r="E722" s="369"/>
      <c r="F722" s="369"/>
      <c r="G722" s="374"/>
      <c r="H722" s="375"/>
      <c r="I722" s="35"/>
      <c r="J722" s="74"/>
      <c r="K722" s="74"/>
      <c r="L722" s="74"/>
      <c r="M722" s="74"/>
      <c r="N722" s="74"/>
      <c r="O722" s="74"/>
      <c r="P722" s="74"/>
      <c r="Q722" s="74"/>
      <c r="R722" s="74"/>
      <c r="S722" s="74"/>
      <c r="T722" s="74"/>
      <c r="U722" s="74"/>
      <c r="V722" s="74"/>
      <c r="W722" s="74"/>
      <c r="X722" s="74"/>
      <c r="Y722" s="74"/>
      <c r="Z722" s="74"/>
      <c r="AA722" s="74"/>
      <c r="AB722" s="74"/>
    </row>
    <row r="723" spans="1:28" ht="40.5" customHeight="1">
      <c r="A723" s="434"/>
      <c r="B723" s="435"/>
      <c r="C723" s="369"/>
      <c r="D723" s="369"/>
      <c r="E723" s="369"/>
      <c r="F723" s="369"/>
      <c r="G723" s="374"/>
      <c r="H723" s="375"/>
      <c r="I723" s="35"/>
      <c r="J723" s="74"/>
      <c r="K723" s="74"/>
      <c r="L723" s="74"/>
      <c r="M723" s="74"/>
      <c r="N723" s="74"/>
      <c r="O723" s="74"/>
      <c r="P723" s="74"/>
      <c r="Q723" s="74"/>
      <c r="R723" s="74"/>
      <c r="S723" s="74"/>
      <c r="T723" s="74"/>
      <c r="U723" s="74"/>
      <c r="V723" s="74"/>
      <c r="W723" s="74"/>
      <c r="X723" s="74"/>
      <c r="Y723" s="74"/>
      <c r="Z723" s="74"/>
      <c r="AA723" s="74"/>
      <c r="AB723" s="74"/>
    </row>
    <row r="724" spans="1:28" ht="40.5" customHeight="1">
      <c r="A724" s="434"/>
      <c r="B724" s="435"/>
      <c r="C724" s="369"/>
      <c r="D724" s="369"/>
      <c r="E724" s="369"/>
      <c r="F724" s="369"/>
      <c r="G724" s="374"/>
      <c r="H724" s="375"/>
      <c r="I724" s="35"/>
      <c r="J724" s="74"/>
      <c r="K724" s="74"/>
      <c r="L724" s="74"/>
      <c r="M724" s="74"/>
      <c r="N724" s="74"/>
      <c r="O724" s="74"/>
      <c r="P724" s="74"/>
      <c r="Q724" s="74"/>
      <c r="R724" s="74"/>
      <c r="S724" s="74"/>
      <c r="T724" s="74"/>
      <c r="U724" s="74"/>
      <c r="V724" s="74"/>
      <c r="W724" s="74"/>
      <c r="X724" s="74"/>
      <c r="Y724" s="74"/>
      <c r="Z724" s="74"/>
      <c r="AA724" s="74"/>
      <c r="AB724" s="74"/>
    </row>
    <row r="725" spans="1:28" ht="40.5" customHeight="1">
      <c r="A725" s="434"/>
      <c r="B725" s="435"/>
      <c r="C725" s="369"/>
      <c r="D725" s="369"/>
      <c r="E725" s="369"/>
      <c r="F725" s="369"/>
      <c r="G725" s="374"/>
      <c r="H725" s="375"/>
      <c r="I725" s="35"/>
      <c r="J725" s="74"/>
      <c r="K725" s="74"/>
      <c r="L725" s="74"/>
      <c r="M725" s="74"/>
      <c r="N725" s="74"/>
      <c r="O725" s="74"/>
      <c r="P725" s="74"/>
      <c r="Q725" s="74"/>
      <c r="R725" s="74"/>
      <c r="S725" s="74"/>
      <c r="T725" s="74"/>
      <c r="U725" s="74"/>
      <c r="V725" s="74"/>
      <c r="W725" s="74"/>
      <c r="X725" s="74"/>
      <c r="Y725" s="74"/>
      <c r="Z725" s="74"/>
      <c r="AA725" s="74"/>
      <c r="AB725" s="74"/>
    </row>
    <row r="726" spans="1:28" ht="40.5" customHeight="1">
      <c r="A726" s="434"/>
      <c r="B726" s="435"/>
      <c r="C726" s="369"/>
      <c r="D726" s="369"/>
      <c r="E726" s="369"/>
      <c r="F726" s="369"/>
      <c r="G726" s="374"/>
      <c r="H726" s="375"/>
      <c r="I726" s="35"/>
      <c r="J726" s="74"/>
      <c r="K726" s="74"/>
      <c r="L726" s="74"/>
      <c r="M726" s="74"/>
      <c r="N726" s="74"/>
      <c r="O726" s="74"/>
      <c r="P726" s="74"/>
      <c r="Q726" s="74"/>
      <c r="R726" s="74"/>
      <c r="S726" s="74"/>
      <c r="T726" s="74"/>
      <c r="U726" s="74"/>
      <c r="V726" s="74"/>
      <c r="W726" s="74"/>
      <c r="X726" s="74"/>
      <c r="Y726" s="74"/>
      <c r="Z726" s="74"/>
      <c r="AA726" s="74"/>
      <c r="AB726" s="74"/>
    </row>
    <row r="727" spans="1:28" ht="40.5" customHeight="1">
      <c r="A727" s="434"/>
      <c r="B727" s="435"/>
      <c r="C727" s="369"/>
      <c r="D727" s="369"/>
      <c r="E727" s="369"/>
      <c r="F727" s="369"/>
      <c r="G727" s="374"/>
      <c r="H727" s="375"/>
      <c r="I727" s="35"/>
      <c r="J727" s="74"/>
      <c r="K727" s="74"/>
      <c r="L727" s="74"/>
      <c r="M727" s="74"/>
      <c r="N727" s="74"/>
      <c r="O727" s="74"/>
      <c r="P727" s="74"/>
      <c r="Q727" s="74"/>
      <c r="R727" s="74"/>
      <c r="S727" s="74"/>
      <c r="T727" s="74"/>
      <c r="U727" s="74"/>
      <c r="V727" s="74"/>
      <c r="W727" s="74"/>
      <c r="X727" s="74"/>
      <c r="Y727" s="74"/>
      <c r="Z727" s="74"/>
      <c r="AA727" s="74"/>
      <c r="AB727" s="74"/>
    </row>
    <row r="728" spans="1:28" ht="40.5" customHeight="1">
      <c r="A728" s="434"/>
      <c r="B728" s="435"/>
      <c r="C728" s="369"/>
      <c r="D728" s="369"/>
      <c r="E728" s="369"/>
      <c r="F728" s="369"/>
      <c r="G728" s="374"/>
      <c r="H728" s="375"/>
      <c r="I728" s="35"/>
      <c r="J728" s="74"/>
      <c r="K728" s="74"/>
      <c r="L728" s="74"/>
      <c r="M728" s="74"/>
      <c r="N728" s="74"/>
      <c r="O728" s="74"/>
      <c r="P728" s="74"/>
      <c r="Q728" s="74"/>
      <c r="R728" s="74"/>
      <c r="S728" s="74"/>
      <c r="T728" s="74"/>
      <c r="U728" s="74"/>
      <c r="V728" s="74"/>
      <c r="W728" s="74"/>
      <c r="X728" s="74"/>
      <c r="Y728" s="74"/>
      <c r="Z728" s="74"/>
      <c r="AA728" s="74"/>
      <c r="AB728" s="74"/>
    </row>
    <row r="729" spans="1:28" ht="40.5" customHeight="1">
      <c r="A729" s="434"/>
      <c r="B729" s="435"/>
      <c r="C729" s="369"/>
      <c r="D729" s="369"/>
      <c r="E729" s="369"/>
      <c r="F729" s="369"/>
      <c r="G729" s="374"/>
      <c r="H729" s="375"/>
      <c r="I729" s="35"/>
      <c r="J729" s="74"/>
      <c r="K729" s="74"/>
      <c r="L729" s="74"/>
      <c r="M729" s="74"/>
      <c r="N729" s="74"/>
      <c r="O729" s="74"/>
      <c r="P729" s="74"/>
      <c r="Q729" s="74"/>
      <c r="R729" s="74"/>
      <c r="S729" s="74"/>
      <c r="T729" s="74"/>
      <c r="U729" s="74"/>
      <c r="V729" s="74"/>
      <c r="W729" s="74"/>
      <c r="X729" s="74"/>
      <c r="Y729" s="74"/>
      <c r="Z729" s="74"/>
      <c r="AA729" s="74"/>
      <c r="AB729" s="74"/>
    </row>
    <row r="730" spans="1:28" ht="40.5" customHeight="1">
      <c r="A730" s="434"/>
      <c r="B730" s="435"/>
      <c r="C730" s="369"/>
      <c r="D730" s="369"/>
      <c r="E730" s="369"/>
      <c r="F730" s="369"/>
      <c r="G730" s="374"/>
      <c r="H730" s="375"/>
      <c r="I730" s="35"/>
      <c r="J730" s="74"/>
      <c r="K730" s="74"/>
      <c r="L730" s="74"/>
      <c r="M730" s="74"/>
      <c r="N730" s="74"/>
      <c r="O730" s="74"/>
      <c r="P730" s="74"/>
      <c r="Q730" s="74"/>
      <c r="R730" s="74"/>
      <c r="S730" s="74"/>
      <c r="T730" s="74"/>
      <c r="U730" s="74"/>
      <c r="V730" s="74"/>
      <c r="W730" s="74"/>
      <c r="X730" s="74"/>
      <c r="Y730" s="74"/>
      <c r="Z730" s="74"/>
      <c r="AA730" s="74"/>
      <c r="AB730" s="74"/>
    </row>
    <row r="731" spans="1:28" ht="40.5" customHeight="1">
      <c r="A731" s="434"/>
      <c r="B731" s="435"/>
      <c r="C731" s="369"/>
      <c r="D731" s="369"/>
      <c r="E731" s="369"/>
      <c r="F731" s="369"/>
      <c r="G731" s="374"/>
      <c r="H731" s="375"/>
      <c r="I731" s="35"/>
      <c r="J731" s="74"/>
      <c r="K731" s="74"/>
      <c r="L731" s="74"/>
      <c r="M731" s="74"/>
      <c r="N731" s="74"/>
      <c r="O731" s="74"/>
      <c r="P731" s="74"/>
      <c r="Q731" s="74"/>
      <c r="R731" s="74"/>
      <c r="S731" s="74"/>
      <c r="T731" s="74"/>
      <c r="U731" s="74"/>
      <c r="V731" s="74"/>
      <c r="W731" s="74"/>
      <c r="X731" s="74"/>
      <c r="Y731" s="74"/>
      <c r="Z731" s="74"/>
      <c r="AA731" s="74"/>
      <c r="AB731" s="74"/>
    </row>
    <row r="732" spans="1:28" ht="40.5" customHeight="1">
      <c r="A732" s="434"/>
      <c r="B732" s="435"/>
      <c r="C732" s="369"/>
      <c r="D732" s="369"/>
      <c r="E732" s="369"/>
      <c r="F732" s="369"/>
      <c r="G732" s="374"/>
      <c r="H732" s="375"/>
      <c r="I732" s="35"/>
      <c r="J732" s="74"/>
      <c r="K732" s="74"/>
      <c r="L732" s="74"/>
      <c r="M732" s="74"/>
      <c r="N732" s="74"/>
      <c r="O732" s="74"/>
      <c r="P732" s="74"/>
      <c r="Q732" s="74"/>
      <c r="R732" s="74"/>
      <c r="S732" s="74"/>
      <c r="T732" s="74"/>
      <c r="U732" s="74"/>
      <c r="V732" s="74"/>
      <c r="W732" s="74"/>
      <c r="X732" s="74"/>
      <c r="Y732" s="74"/>
      <c r="Z732" s="74"/>
      <c r="AA732" s="74"/>
      <c r="AB732" s="74"/>
    </row>
    <row r="733" spans="1:28" ht="40.5" customHeight="1">
      <c r="A733" s="434"/>
      <c r="B733" s="435"/>
      <c r="C733" s="369"/>
      <c r="D733" s="369"/>
      <c r="E733" s="369"/>
      <c r="F733" s="369"/>
      <c r="G733" s="374"/>
      <c r="H733" s="375"/>
      <c r="I733" s="35"/>
      <c r="J733" s="74"/>
      <c r="K733" s="74"/>
      <c r="L733" s="74"/>
      <c r="M733" s="74"/>
      <c r="N733" s="74"/>
      <c r="O733" s="74"/>
      <c r="P733" s="74"/>
      <c r="Q733" s="74"/>
      <c r="R733" s="74"/>
      <c r="S733" s="74"/>
      <c r="T733" s="74"/>
      <c r="U733" s="74"/>
      <c r="V733" s="74"/>
      <c r="W733" s="74"/>
      <c r="X733" s="74"/>
      <c r="Y733" s="74"/>
      <c r="Z733" s="74"/>
      <c r="AA733" s="74"/>
      <c r="AB733" s="74"/>
    </row>
    <row r="734" spans="1:28" ht="40.5" customHeight="1">
      <c r="A734" s="434"/>
      <c r="B734" s="435"/>
      <c r="C734" s="369"/>
      <c r="D734" s="369"/>
      <c r="E734" s="369"/>
      <c r="F734" s="369"/>
      <c r="G734" s="374"/>
      <c r="H734" s="375"/>
      <c r="I734" s="35"/>
      <c r="J734" s="74"/>
      <c r="K734" s="74"/>
      <c r="L734" s="74"/>
      <c r="M734" s="74"/>
      <c r="N734" s="74"/>
      <c r="O734" s="74"/>
      <c r="P734" s="74"/>
      <c r="Q734" s="74"/>
      <c r="R734" s="74"/>
      <c r="S734" s="74"/>
      <c r="T734" s="74"/>
      <c r="U734" s="74"/>
      <c r="V734" s="74"/>
      <c r="W734" s="74"/>
      <c r="X734" s="74"/>
      <c r="Y734" s="74"/>
      <c r="Z734" s="74"/>
      <c r="AA734" s="74"/>
      <c r="AB734" s="74"/>
    </row>
    <row r="735" spans="1:28" ht="40.5" customHeight="1">
      <c r="A735" s="434"/>
      <c r="B735" s="435"/>
      <c r="C735" s="369"/>
      <c r="D735" s="369"/>
      <c r="E735" s="369"/>
      <c r="F735" s="369"/>
      <c r="G735" s="374"/>
      <c r="H735" s="375"/>
      <c r="I735" s="35"/>
      <c r="J735" s="74"/>
      <c r="K735" s="74"/>
      <c r="L735" s="74"/>
      <c r="M735" s="74"/>
      <c r="N735" s="74"/>
      <c r="O735" s="74"/>
      <c r="P735" s="74"/>
      <c r="Q735" s="74"/>
      <c r="R735" s="74"/>
      <c r="S735" s="74"/>
      <c r="T735" s="74"/>
      <c r="U735" s="74"/>
      <c r="V735" s="74"/>
      <c r="W735" s="74"/>
      <c r="X735" s="74"/>
      <c r="Y735" s="74"/>
      <c r="Z735" s="74"/>
      <c r="AA735" s="74"/>
      <c r="AB735" s="74"/>
    </row>
    <row r="736" spans="1:28" ht="40.5" customHeight="1">
      <c r="A736" s="434"/>
      <c r="B736" s="435"/>
      <c r="C736" s="369"/>
      <c r="D736" s="369"/>
      <c r="E736" s="369"/>
      <c r="F736" s="369"/>
      <c r="G736" s="374"/>
      <c r="H736" s="375"/>
      <c r="I736" s="35"/>
      <c r="J736" s="74"/>
      <c r="K736" s="74"/>
      <c r="L736" s="74"/>
      <c r="M736" s="74"/>
      <c r="N736" s="74"/>
      <c r="O736" s="74"/>
      <c r="P736" s="74"/>
      <c r="Q736" s="74"/>
      <c r="R736" s="74"/>
      <c r="S736" s="74"/>
      <c r="T736" s="74"/>
      <c r="U736" s="74"/>
      <c r="V736" s="74"/>
      <c r="W736" s="74"/>
      <c r="X736" s="74"/>
      <c r="Y736" s="74"/>
      <c r="Z736" s="74"/>
      <c r="AA736" s="74"/>
      <c r="AB736" s="74"/>
    </row>
    <row r="737" spans="1:28" ht="40.5" customHeight="1">
      <c r="A737" s="434"/>
      <c r="B737" s="435"/>
      <c r="C737" s="369"/>
      <c r="D737" s="369"/>
      <c r="E737" s="369"/>
      <c r="F737" s="369"/>
      <c r="G737" s="374"/>
      <c r="H737" s="375"/>
      <c r="I737" s="35"/>
      <c r="J737" s="74"/>
      <c r="K737" s="74"/>
      <c r="L737" s="74"/>
      <c r="M737" s="74"/>
      <c r="N737" s="74"/>
      <c r="O737" s="74"/>
      <c r="P737" s="74"/>
      <c r="Q737" s="74"/>
      <c r="R737" s="74"/>
      <c r="S737" s="74"/>
      <c r="T737" s="74"/>
      <c r="U737" s="74"/>
      <c r="V737" s="74"/>
      <c r="W737" s="74"/>
      <c r="X737" s="74"/>
      <c r="Y737" s="74"/>
      <c r="Z737" s="74"/>
      <c r="AA737" s="74"/>
      <c r="AB737" s="74"/>
    </row>
    <row r="738" spans="1:28" ht="40.5" customHeight="1">
      <c r="A738" s="434"/>
      <c r="B738" s="435"/>
      <c r="C738" s="369"/>
      <c r="D738" s="369"/>
      <c r="E738" s="369"/>
      <c r="F738" s="369"/>
      <c r="G738" s="374"/>
      <c r="H738" s="375"/>
      <c r="I738" s="35"/>
      <c r="J738" s="74"/>
      <c r="K738" s="74"/>
      <c r="L738" s="74"/>
      <c r="M738" s="74"/>
      <c r="N738" s="74"/>
      <c r="O738" s="74"/>
      <c r="P738" s="74"/>
      <c r="Q738" s="74"/>
      <c r="R738" s="74"/>
      <c r="S738" s="74"/>
      <c r="T738" s="74"/>
      <c r="U738" s="74"/>
      <c r="V738" s="74"/>
      <c r="W738" s="74"/>
      <c r="X738" s="74"/>
      <c r="Y738" s="74"/>
      <c r="Z738" s="74"/>
      <c r="AA738" s="74"/>
      <c r="AB738" s="74"/>
    </row>
    <row r="739" spans="1:28" ht="40.5" customHeight="1">
      <c r="A739" s="434"/>
      <c r="B739" s="435"/>
      <c r="C739" s="369"/>
      <c r="D739" s="369"/>
      <c r="E739" s="369"/>
      <c r="F739" s="369"/>
      <c r="G739" s="374"/>
      <c r="H739" s="375"/>
      <c r="I739" s="35"/>
      <c r="J739" s="74"/>
      <c r="K739" s="74"/>
      <c r="L739" s="74"/>
      <c r="M739" s="74"/>
      <c r="N739" s="74"/>
      <c r="O739" s="74"/>
      <c r="P739" s="74"/>
      <c r="Q739" s="74"/>
      <c r="R739" s="74"/>
      <c r="S739" s="74"/>
      <c r="T739" s="74"/>
      <c r="U739" s="74"/>
      <c r="V739" s="74"/>
      <c r="W739" s="74"/>
      <c r="X739" s="74"/>
      <c r="Y739" s="74"/>
      <c r="Z739" s="74"/>
      <c r="AA739" s="74"/>
      <c r="AB739" s="74"/>
    </row>
    <row r="740" spans="1:28" ht="40.5" customHeight="1">
      <c r="A740" s="434"/>
      <c r="B740" s="435"/>
      <c r="C740" s="369"/>
      <c r="D740" s="369"/>
      <c r="E740" s="369"/>
      <c r="F740" s="369"/>
      <c r="G740" s="374"/>
      <c r="H740" s="375"/>
      <c r="I740" s="35"/>
      <c r="J740" s="74"/>
      <c r="K740" s="74"/>
      <c r="L740" s="74"/>
      <c r="M740" s="74"/>
      <c r="N740" s="74"/>
      <c r="O740" s="74"/>
      <c r="P740" s="74"/>
      <c r="Q740" s="74"/>
      <c r="R740" s="74"/>
      <c r="S740" s="74"/>
      <c r="T740" s="74"/>
      <c r="U740" s="74"/>
      <c r="V740" s="74"/>
      <c r="W740" s="74"/>
      <c r="X740" s="74"/>
      <c r="Y740" s="74"/>
      <c r="Z740" s="74"/>
      <c r="AA740" s="74"/>
      <c r="AB740" s="74"/>
    </row>
    <row r="741" spans="1:28" ht="40.5" customHeight="1">
      <c r="A741" s="434"/>
      <c r="B741" s="435"/>
      <c r="C741" s="369"/>
      <c r="D741" s="369"/>
      <c r="E741" s="369"/>
      <c r="F741" s="369"/>
      <c r="G741" s="374"/>
      <c r="H741" s="375"/>
      <c r="I741" s="35"/>
      <c r="J741" s="74"/>
      <c r="K741" s="74"/>
      <c r="L741" s="74"/>
      <c r="M741" s="74"/>
      <c r="N741" s="74"/>
      <c r="O741" s="74"/>
      <c r="P741" s="74"/>
      <c r="Q741" s="74"/>
      <c r="R741" s="74"/>
      <c r="S741" s="74"/>
      <c r="T741" s="74"/>
      <c r="U741" s="74"/>
      <c r="V741" s="74"/>
      <c r="W741" s="74"/>
      <c r="X741" s="74"/>
      <c r="Y741" s="74"/>
      <c r="Z741" s="74"/>
      <c r="AA741" s="74"/>
      <c r="AB741" s="74"/>
    </row>
    <row r="742" spans="1:28" ht="40.5" customHeight="1">
      <c r="A742" s="434"/>
      <c r="B742" s="435"/>
      <c r="C742" s="369"/>
      <c r="D742" s="369"/>
      <c r="E742" s="369"/>
      <c r="F742" s="369"/>
      <c r="G742" s="374"/>
      <c r="H742" s="375"/>
      <c r="I742" s="35"/>
      <c r="J742" s="74"/>
      <c r="K742" s="74"/>
      <c r="L742" s="74"/>
      <c r="M742" s="74"/>
      <c r="N742" s="74"/>
      <c r="O742" s="74"/>
      <c r="P742" s="74"/>
      <c r="Q742" s="74"/>
      <c r="R742" s="74"/>
      <c r="S742" s="74"/>
      <c r="T742" s="74"/>
      <c r="U742" s="74"/>
      <c r="V742" s="74"/>
      <c r="W742" s="74"/>
      <c r="X742" s="74"/>
      <c r="Y742" s="74"/>
      <c r="Z742" s="74"/>
      <c r="AA742" s="74"/>
      <c r="AB742" s="74"/>
    </row>
    <row r="743" spans="1:28" ht="40.5" customHeight="1">
      <c r="A743" s="434"/>
      <c r="B743" s="435"/>
      <c r="C743" s="369"/>
      <c r="D743" s="369"/>
      <c r="E743" s="369"/>
      <c r="F743" s="369"/>
      <c r="G743" s="374"/>
      <c r="H743" s="375"/>
      <c r="I743" s="35"/>
      <c r="J743" s="74"/>
      <c r="K743" s="74"/>
      <c r="L743" s="74"/>
      <c r="M743" s="74"/>
      <c r="N743" s="74"/>
      <c r="O743" s="74"/>
      <c r="P743" s="74"/>
      <c r="Q743" s="74"/>
      <c r="R743" s="74"/>
      <c r="S743" s="74"/>
      <c r="T743" s="74"/>
      <c r="U743" s="74"/>
      <c r="V743" s="74"/>
      <c r="W743" s="74"/>
      <c r="X743" s="74"/>
      <c r="Y743" s="74"/>
      <c r="Z743" s="74"/>
      <c r="AA743" s="74"/>
      <c r="AB743" s="74"/>
    </row>
    <row r="744" spans="1:28" ht="40.5" customHeight="1">
      <c r="A744" s="434"/>
      <c r="B744" s="435"/>
      <c r="C744" s="369"/>
      <c r="D744" s="369"/>
      <c r="E744" s="369"/>
      <c r="F744" s="369"/>
      <c r="G744" s="374"/>
      <c r="H744" s="375"/>
      <c r="I744" s="35"/>
      <c r="J744" s="74"/>
      <c r="K744" s="74"/>
      <c r="L744" s="74"/>
      <c r="M744" s="74"/>
      <c r="N744" s="74"/>
      <c r="O744" s="74"/>
      <c r="P744" s="74"/>
      <c r="Q744" s="74"/>
      <c r="R744" s="74"/>
      <c r="S744" s="74"/>
      <c r="T744" s="74"/>
      <c r="U744" s="74"/>
      <c r="V744" s="74"/>
      <c r="W744" s="74"/>
      <c r="X744" s="74"/>
      <c r="Y744" s="74"/>
      <c r="Z744" s="74"/>
      <c r="AA744" s="74"/>
      <c r="AB744" s="74"/>
    </row>
    <row r="745" spans="1:28" ht="40.5" customHeight="1">
      <c r="A745" s="434"/>
      <c r="B745" s="435"/>
      <c r="C745" s="369"/>
      <c r="D745" s="369"/>
      <c r="E745" s="369"/>
      <c r="F745" s="369"/>
      <c r="G745" s="374"/>
      <c r="H745" s="375"/>
      <c r="I745" s="35"/>
      <c r="J745" s="74"/>
      <c r="K745" s="74"/>
      <c r="L745" s="74"/>
      <c r="M745" s="74"/>
      <c r="N745" s="74"/>
      <c r="O745" s="74"/>
      <c r="P745" s="74"/>
      <c r="Q745" s="74"/>
      <c r="R745" s="74"/>
      <c r="S745" s="74"/>
      <c r="T745" s="74"/>
      <c r="U745" s="74"/>
      <c r="V745" s="74"/>
      <c r="W745" s="74"/>
      <c r="X745" s="74"/>
      <c r="Y745" s="74"/>
      <c r="Z745" s="74"/>
      <c r="AA745" s="74"/>
      <c r="AB745" s="74"/>
    </row>
    <row r="746" spans="1:28" ht="40.5" customHeight="1">
      <c r="A746" s="434"/>
      <c r="B746" s="435"/>
      <c r="C746" s="369"/>
      <c r="D746" s="369"/>
      <c r="E746" s="369"/>
      <c r="F746" s="369"/>
      <c r="G746" s="374"/>
      <c r="H746" s="375"/>
      <c r="I746" s="35"/>
      <c r="J746" s="74"/>
      <c r="K746" s="74"/>
      <c r="L746" s="74"/>
      <c r="M746" s="74"/>
      <c r="N746" s="74"/>
      <c r="O746" s="74"/>
      <c r="P746" s="74"/>
      <c r="Q746" s="74"/>
      <c r="R746" s="74"/>
      <c r="S746" s="74"/>
      <c r="T746" s="74"/>
      <c r="U746" s="74"/>
      <c r="V746" s="74"/>
      <c r="W746" s="74"/>
      <c r="X746" s="74"/>
      <c r="Y746" s="74"/>
      <c r="Z746" s="74"/>
      <c r="AA746" s="74"/>
      <c r="AB746" s="74"/>
    </row>
    <row r="747" spans="1:28" ht="40.5" customHeight="1">
      <c r="A747" s="434"/>
      <c r="B747" s="435"/>
      <c r="C747" s="369"/>
      <c r="D747" s="369"/>
      <c r="E747" s="369"/>
      <c r="F747" s="369"/>
      <c r="G747" s="374"/>
      <c r="H747" s="375"/>
      <c r="I747" s="35"/>
      <c r="J747" s="74"/>
      <c r="K747" s="74"/>
      <c r="L747" s="74"/>
      <c r="M747" s="74"/>
      <c r="N747" s="74"/>
      <c r="O747" s="74"/>
      <c r="P747" s="74"/>
      <c r="Q747" s="74"/>
      <c r="R747" s="74"/>
      <c r="S747" s="74"/>
      <c r="T747" s="74"/>
      <c r="U747" s="74"/>
      <c r="V747" s="74"/>
      <c r="W747" s="74"/>
      <c r="X747" s="74"/>
      <c r="Y747" s="74"/>
      <c r="Z747" s="74"/>
      <c r="AA747" s="74"/>
      <c r="AB747" s="74"/>
    </row>
    <row r="748" spans="1:28" ht="40.5" customHeight="1">
      <c r="A748" s="434"/>
      <c r="B748" s="435"/>
      <c r="C748" s="369"/>
      <c r="D748" s="369"/>
      <c r="E748" s="369"/>
      <c r="F748" s="369"/>
      <c r="G748" s="374"/>
      <c r="H748" s="375"/>
      <c r="I748" s="35"/>
      <c r="J748" s="74"/>
      <c r="K748" s="74"/>
      <c r="L748" s="74"/>
      <c r="M748" s="74"/>
      <c r="N748" s="74"/>
      <c r="O748" s="74"/>
      <c r="P748" s="74"/>
      <c r="Q748" s="74"/>
      <c r="R748" s="74"/>
      <c r="S748" s="74"/>
      <c r="T748" s="74"/>
      <c r="U748" s="74"/>
      <c r="V748" s="74"/>
      <c r="W748" s="74"/>
      <c r="X748" s="74"/>
      <c r="Y748" s="74"/>
      <c r="Z748" s="74"/>
      <c r="AA748" s="74"/>
      <c r="AB748" s="74"/>
    </row>
    <row r="749" spans="1:28" ht="40.5" customHeight="1">
      <c r="A749" s="434"/>
      <c r="B749" s="435"/>
      <c r="C749" s="369"/>
      <c r="D749" s="369"/>
      <c r="E749" s="369"/>
      <c r="F749" s="369"/>
      <c r="G749" s="374"/>
      <c r="H749" s="375"/>
      <c r="I749" s="35"/>
      <c r="J749" s="74"/>
      <c r="K749" s="74"/>
      <c r="L749" s="74"/>
      <c r="M749" s="74"/>
      <c r="N749" s="74"/>
      <c r="O749" s="74"/>
      <c r="P749" s="74"/>
      <c r="Q749" s="74"/>
      <c r="R749" s="74"/>
      <c r="S749" s="74"/>
      <c r="T749" s="74"/>
      <c r="U749" s="74"/>
      <c r="V749" s="74"/>
      <c r="W749" s="74"/>
      <c r="X749" s="74"/>
      <c r="Y749" s="74"/>
      <c r="Z749" s="74"/>
      <c r="AA749" s="74"/>
      <c r="AB749" s="74"/>
    </row>
    <row r="750" spans="1:28" ht="40.5" customHeight="1">
      <c r="A750" s="434"/>
      <c r="B750" s="435"/>
      <c r="C750" s="369"/>
      <c r="D750" s="369"/>
      <c r="E750" s="369"/>
      <c r="F750" s="369"/>
      <c r="G750" s="374"/>
      <c r="H750" s="375"/>
      <c r="I750" s="35"/>
      <c r="J750" s="74"/>
      <c r="K750" s="74"/>
      <c r="L750" s="74"/>
      <c r="M750" s="74"/>
      <c r="N750" s="74"/>
      <c r="O750" s="74"/>
      <c r="P750" s="74"/>
      <c r="Q750" s="74"/>
      <c r="R750" s="74"/>
      <c r="S750" s="74"/>
      <c r="T750" s="74"/>
      <c r="U750" s="74"/>
      <c r="V750" s="74"/>
      <c r="W750" s="74"/>
      <c r="X750" s="74"/>
      <c r="Y750" s="74"/>
      <c r="Z750" s="74"/>
      <c r="AA750" s="74"/>
      <c r="AB750" s="74"/>
    </row>
    <row r="751" spans="1:28" ht="40.5" customHeight="1">
      <c r="A751" s="434"/>
      <c r="B751" s="435"/>
      <c r="C751" s="369"/>
      <c r="D751" s="369"/>
      <c r="E751" s="369"/>
      <c r="F751" s="369"/>
      <c r="G751" s="374"/>
      <c r="H751" s="375"/>
      <c r="I751" s="35"/>
      <c r="J751" s="74"/>
      <c r="K751" s="74"/>
      <c r="L751" s="74"/>
      <c r="M751" s="74"/>
      <c r="N751" s="74"/>
      <c r="O751" s="74"/>
      <c r="P751" s="74"/>
      <c r="Q751" s="74"/>
      <c r="R751" s="74"/>
      <c r="S751" s="74"/>
      <c r="T751" s="74"/>
      <c r="U751" s="74"/>
      <c r="V751" s="74"/>
      <c r="W751" s="74"/>
      <c r="X751" s="74"/>
      <c r="Y751" s="74"/>
      <c r="Z751" s="74"/>
      <c r="AA751" s="74"/>
      <c r="AB751" s="74"/>
    </row>
    <row r="752" spans="1:28" ht="40.5" customHeight="1">
      <c r="A752" s="434"/>
      <c r="B752" s="435"/>
      <c r="C752" s="369"/>
      <c r="D752" s="369"/>
      <c r="E752" s="369"/>
      <c r="F752" s="369"/>
      <c r="G752" s="374"/>
      <c r="H752" s="375"/>
      <c r="I752" s="35"/>
      <c r="J752" s="74"/>
      <c r="K752" s="74"/>
      <c r="L752" s="74"/>
      <c r="M752" s="74"/>
      <c r="N752" s="74"/>
      <c r="O752" s="74"/>
      <c r="P752" s="74"/>
      <c r="Q752" s="74"/>
      <c r="R752" s="74"/>
      <c r="S752" s="74"/>
      <c r="T752" s="74"/>
      <c r="U752" s="74"/>
      <c r="V752" s="74"/>
      <c r="W752" s="74"/>
      <c r="X752" s="74"/>
      <c r="Y752" s="74"/>
      <c r="Z752" s="74"/>
      <c r="AA752" s="74"/>
      <c r="AB752" s="74"/>
    </row>
    <row r="753" spans="1:28" ht="40.5" customHeight="1">
      <c r="A753" s="434"/>
      <c r="B753" s="435"/>
      <c r="C753" s="369"/>
      <c r="D753" s="369"/>
      <c r="E753" s="369"/>
      <c r="F753" s="369"/>
      <c r="G753" s="374"/>
      <c r="H753" s="375"/>
      <c r="I753" s="35"/>
      <c r="J753" s="74"/>
      <c r="K753" s="74"/>
      <c r="L753" s="74"/>
      <c r="M753" s="74"/>
      <c r="N753" s="74"/>
      <c r="O753" s="74"/>
      <c r="P753" s="74"/>
      <c r="Q753" s="74"/>
      <c r="R753" s="74"/>
      <c r="S753" s="74"/>
      <c r="T753" s="74"/>
      <c r="U753" s="74"/>
      <c r="V753" s="74"/>
      <c r="W753" s="74"/>
      <c r="X753" s="74"/>
      <c r="Y753" s="74"/>
      <c r="Z753" s="74"/>
      <c r="AA753" s="74"/>
      <c r="AB753" s="74"/>
    </row>
    <row r="754" spans="1:28" ht="40.5" customHeight="1">
      <c r="A754" s="434"/>
      <c r="B754" s="435"/>
      <c r="C754" s="369"/>
      <c r="D754" s="369"/>
      <c r="E754" s="369"/>
      <c r="F754" s="369"/>
      <c r="G754" s="374"/>
      <c r="H754" s="375"/>
      <c r="I754" s="35"/>
      <c r="J754" s="74"/>
      <c r="K754" s="74"/>
      <c r="L754" s="74"/>
      <c r="M754" s="74"/>
      <c r="N754" s="74"/>
      <c r="O754" s="74"/>
      <c r="P754" s="74"/>
      <c r="Q754" s="74"/>
      <c r="R754" s="74"/>
      <c r="S754" s="74"/>
      <c r="T754" s="74"/>
      <c r="U754" s="74"/>
      <c r="V754" s="74"/>
      <c r="W754" s="74"/>
      <c r="X754" s="74"/>
      <c r="Y754" s="74"/>
      <c r="Z754" s="74"/>
      <c r="AA754" s="74"/>
      <c r="AB754" s="74"/>
    </row>
    <row r="755" spans="1:28" ht="40.5" customHeight="1">
      <c r="A755" s="434"/>
      <c r="B755" s="435"/>
      <c r="C755" s="369"/>
      <c r="D755" s="369"/>
      <c r="E755" s="369"/>
      <c r="F755" s="369"/>
      <c r="G755" s="374"/>
      <c r="H755" s="375"/>
      <c r="I755" s="35"/>
      <c r="J755" s="74"/>
      <c r="K755" s="74"/>
      <c r="L755" s="74"/>
      <c r="M755" s="74"/>
      <c r="N755" s="74"/>
      <c r="O755" s="74"/>
      <c r="P755" s="74"/>
      <c r="Q755" s="74"/>
      <c r="R755" s="74"/>
      <c r="S755" s="74"/>
      <c r="T755" s="74"/>
      <c r="U755" s="74"/>
      <c r="V755" s="74"/>
      <c r="W755" s="74"/>
      <c r="X755" s="74"/>
      <c r="Y755" s="74"/>
      <c r="Z755" s="74"/>
      <c r="AA755" s="74"/>
      <c r="AB755" s="74"/>
    </row>
    <row r="756" spans="1:28" ht="40.5" customHeight="1">
      <c r="A756" s="434"/>
      <c r="B756" s="435"/>
      <c r="C756" s="369"/>
      <c r="D756" s="369"/>
      <c r="E756" s="369"/>
      <c r="F756" s="369"/>
      <c r="G756" s="374"/>
      <c r="H756" s="375"/>
      <c r="I756" s="35"/>
      <c r="J756" s="74"/>
      <c r="K756" s="74"/>
      <c r="L756" s="74"/>
      <c r="M756" s="74"/>
      <c r="N756" s="74"/>
      <c r="O756" s="74"/>
      <c r="P756" s="74"/>
      <c r="Q756" s="74"/>
      <c r="R756" s="74"/>
      <c r="S756" s="74"/>
      <c r="T756" s="74"/>
      <c r="U756" s="74"/>
      <c r="V756" s="74"/>
      <c r="W756" s="74"/>
      <c r="X756" s="74"/>
      <c r="Y756" s="74"/>
      <c r="Z756" s="74"/>
      <c r="AA756" s="74"/>
      <c r="AB756" s="74"/>
    </row>
    <row r="757" spans="1:28" ht="40.5" customHeight="1">
      <c r="A757" s="434"/>
      <c r="B757" s="435"/>
      <c r="C757" s="369"/>
      <c r="D757" s="369"/>
      <c r="E757" s="369"/>
      <c r="F757" s="369"/>
      <c r="G757" s="374"/>
      <c r="H757" s="375"/>
      <c r="I757" s="35"/>
      <c r="J757" s="74"/>
      <c r="K757" s="74"/>
      <c r="L757" s="74"/>
      <c r="M757" s="74"/>
      <c r="N757" s="74"/>
      <c r="O757" s="74"/>
      <c r="P757" s="74"/>
      <c r="Q757" s="74"/>
      <c r="R757" s="74"/>
      <c r="S757" s="74"/>
      <c r="T757" s="74"/>
      <c r="U757" s="74"/>
      <c r="V757" s="74"/>
      <c r="W757" s="74"/>
      <c r="X757" s="74"/>
      <c r="Y757" s="74"/>
      <c r="Z757" s="74"/>
      <c r="AA757" s="74"/>
      <c r="AB757" s="74"/>
    </row>
    <row r="758" spans="1:28" ht="40.5" customHeight="1">
      <c r="A758" s="434"/>
      <c r="B758" s="435"/>
      <c r="C758" s="369"/>
      <c r="D758" s="369"/>
      <c r="E758" s="369"/>
      <c r="F758" s="369"/>
      <c r="G758" s="374"/>
      <c r="H758" s="375"/>
      <c r="I758" s="35"/>
      <c r="J758" s="74"/>
      <c r="K758" s="74"/>
      <c r="L758" s="74"/>
      <c r="M758" s="74"/>
      <c r="N758" s="74"/>
      <c r="O758" s="74"/>
      <c r="P758" s="74"/>
      <c r="Q758" s="74"/>
      <c r="R758" s="74"/>
      <c r="S758" s="74"/>
      <c r="T758" s="74"/>
      <c r="U758" s="74"/>
      <c r="V758" s="74"/>
      <c r="W758" s="74"/>
      <c r="X758" s="74"/>
      <c r="Y758" s="74"/>
      <c r="Z758" s="74"/>
      <c r="AA758" s="74"/>
      <c r="AB758" s="74"/>
    </row>
    <row r="759" spans="1:28" ht="40.5" customHeight="1">
      <c r="A759" s="434"/>
      <c r="B759" s="435"/>
      <c r="C759" s="369"/>
      <c r="D759" s="369"/>
      <c r="E759" s="369"/>
      <c r="F759" s="369"/>
      <c r="G759" s="374"/>
      <c r="H759" s="375"/>
      <c r="I759" s="35"/>
      <c r="J759" s="74"/>
      <c r="K759" s="74"/>
      <c r="L759" s="74"/>
      <c r="M759" s="74"/>
      <c r="N759" s="74"/>
      <c r="O759" s="74"/>
      <c r="P759" s="74"/>
      <c r="Q759" s="74"/>
      <c r="R759" s="74"/>
      <c r="S759" s="74"/>
      <c r="T759" s="74"/>
      <c r="U759" s="74"/>
      <c r="V759" s="74"/>
      <c r="W759" s="74"/>
      <c r="X759" s="74"/>
      <c r="Y759" s="74"/>
      <c r="Z759" s="74"/>
      <c r="AA759" s="74"/>
      <c r="AB759" s="74"/>
    </row>
    <row r="760" spans="1:28" ht="40.5" customHeight="1">
      <c r="A760" s="434"/>
      <c r="B760" s="435"/>
      <c r="C760" s="369"/>
      <c r="D760" s="369"/>
      <c r="E760" s="369"/>
      <c r="F760" s="369"/>
      <c r="G760" s="374"/>
      <c r="H760" s="375"/>
      <c r="I760" s="35"/>
      <c r="J760" s="74"/>
      <c r="K760" s="74"/>
      <c r="L760" s="74"/>
      <c r="M760" s="74"/>
      <c r="N760" s="74"/>
      <c r="O760" s="74"/>
      <c r="P760" s="74"/>
      <c r="Q760" s="74"/>
      <c r="R760" s="74"/>
      <c r="S760" s="74"/>
      <c r="T760" s="74"/>
      <c r="U760" s="74"/>
      <c r="V760" s="74"/>
      <c r="W760" s="74"/>
      <c r="X760" s="74"/>
      <c r="Y760" s="74"/>
      <c r="Z760" s="74"/>
      <c r="AA760" s="74"/>
      <c r="AB760" s="74"/>
    </row>
    <row r="761" spans="1:28" ht="40.5" customHeight="1">
      <c r="A761" s="434"/>
      <c r="B761" s="435"/>
      <c r="C761" s="369"/>
      <c r="D761" s="369"/>
      <c r="E761" s="369"/>
      <c r="F761" s="369"/>
      <c r="G761" s="374"/>
      <c r="H761" s="375"/>
      <c r="I761" s="35"/>
      <c r="J761" s="74"/>
      <c r="K761" s="74"/>
      <c r="L761" s="74"/>
      <c r="M761" s="74"/>
      <c r="N761" s="74"/>
      <c r="O761" s="74"/>
      <c r="P761" s="74"/>
      <c r="Q761" s="74"/>
      <c r="R761" s="74"/>
      <c r="S761" s="74"/>
      <c r="T761" s="74"/>
      <c r="U761" s="74"/>
      <c r="V761" s="74"/>
      <c r="W761" s="74"/>
      <c r="X761" s="74"/>
      <c r="Y761" s="74"/>
      <c r="Z761" s="74"/>
      <c r="AA761" s="74"/>
      <c r="AB761" s="74"/>
    </row>
    <row r="762" spans="1:28" ht="40.5" customHeight="1">
      <c r="A762" s="434"/>
      <c r="B762" s="435"/>
      <c r="C762" s="369"/>
      <c r="D762" s="369"/>
      <c r="E762" s="369"/>
      <c r="F762" s="369"/>
      <c r="G762" s="374"/>
      <c r="H762" s="375"/>
      <c r="I762" s="35"/>
      <c r="J762" s="74"/>
      <c r="K762" s="74"/>
      <c r="L762" s="74"/>
      <c r="M762" s="74"/>
      <c r="N762" s="74"/>
      <c r="O762" s="74"/>
      <c r="P762" s="74"/>
      <c r="Q762" s="74"/>
      <c r="R762" s="74"/>
      <c r="S762" s="74"/>
      <c r="T762" s="74"/>
      <c r="U762" s="74"/>
      <c r="V762" s="74"/>
      <c r="W762" s="74"/>
      <c r="X762" s="74"/>
      <c r="Y762" s="74"/>
      <c r="Z762" s="74"/>
      <c r="AA762" s="74"/>
      <c r="AB762" s="74"/>
    </row>
    <row r="763" spans="1:28" ht="40.5" customHeight="1">
      <c r="A763" s="434"/>
      <c r="B763" s="435"/>
      <c r="C763" s="369"/>
      <c r="D763" s="369"/>
      <c r="E763" s="369"/>
      <c r="F763" s="369"/>
      <c r="G763" s="374"/>
      <c r="H763" s="375"/>
      <c r="I763" s="35"/>
      <c r="J763" s="74"/>
      <c r="K763" s="74"/>
      <c r="L763" s="74"/>
      <c r="M763" s="74"/>
      <c r="N763" s="74"/>
      <c r="O763" s="74"/>
      <c r="P763" s="74"/>
      <c r="Q763" s="74"/>
      <c r="R763" s="74"/>
      <c r="S763" s="74"/>
      <c r="T763" s="74"/>
      <c r="U763" s="74"/>
      <c r="V763" s="74"/>
      <c r="W763" s="74"/>
      <c r="X763" s="74"/>
      <c r="Y763" s="74"/>
      <c r="Z763" s="74"/>
      <c r="AA763" s="74"/>
      <c r="AB763" s="74"/>
    </row>
    <row r="764" spans="1:28" ht="40.5" customHeight="1">
      <c r="A764" s="434"/>
      <c r="B764" s="435"/>
      <c r="C764" s="369"/>
      <c r="D764" s="369"/>
      <c r="E764" s="369"/>
      <c r="F764" s="369"/>
      <c r="G764" s="374"/>
      <c r="H764" s="375"/>
      <c r="I764" s="35"/>
      <c r="J764" s="74"/>
      <c r="K764" s="74"/>
      <c r="L764" s="74"/>
      <c r="M764" s="74"/>
      <c r="N764" s="74"/>
      <c r="O764" s="74"/>
      <c r="P764" s="74"/>
      <c r="Q764" s="74"/>
      <c r="R764" s="74"/>
      <c r="S764" s="74"/>
      <c r="T764" s="74"/>
      <c r="U764" s="74"/>
      <c r="V764" s="74"/>
      <c r="W764" s="74"/>
      <c r="X764" s="74"/>
      <c r="Y764" s="74"/>
      <c r="Z764" s="74"/>
      <c r="AA764" s="74"/>
      <c r="AB764" s="74"/>
    </row>
    <row r="765" spans="1:28" ht="40.5" customHeight="1">
      <c r="A765" s="434"/>
      <c r="B765" s="435"/>
      <c r="C765" s="369"/>
      <c r="D765" s="369"/>
      <c r="E765" s="369"/>
      <c r="F765" s="369"/>
      <c r="G765" s="374"/>
      <c r="H765" s="375"/>
      <c r="I765" s="35"/>
      <c r="J765" s="74"/>
      <c r="K765" s="74"/>
      <c r="L765" s="74"/>
      <c r="M765" s="74"/>
      <c r="N765" s="74"/>
      <c r="O765" s="74"/>
      <c r="P765" s="74"/>
      <c r="Q765" s="74"/>
      <c r="R765" s="74"/>
      <c r="S765" s="74"/>
      <c r="T765" s="74"/>
      <c r="U765" s="74"/>
      <c r="V765" s="74"/>
      <c r="W765" s="74"/>
      <c r="X765" s="74"/>
      <c r="Y765" s="74"/>
      <c r="Z765" s="74"/>
      <c r="AA765" s="74"/>
      <c r="AB765" s="74"/>
    </row>
    <row r="766" spans="1:28" ht="40.5" customHeight="1">
      <c r="A766" s="434"/>
      <c r="B766" s="435"/>
      <c r="C766" s="369"/>
      <c r="D766" s="369"/>
      <c r="E766" s="369"/>
      <c r="F766" s="369"/>
      <c r="G766" s="374"/>
      <c r="H766" s="375"/>
      <c r="I766" s="35"/>
      <c r="J766" s="74"/>
      <c r="K766" s="74"/>
      <c r="L766" s="74"/>
      <c r="M766" s="74"/>
      <c r="N766" s="74"/>
      <c r="O766" s="74"/>
      <c r="P766" s="74"/>
      <c r="Q766" s="74"/>
      <c r="R766" s="74"/>
      <c r="S766" s="74"/>
      <c r="T766" s="74"/>
      <c r="U766" s="74"/>
      <c r="V766" s="74"/>
      <c r="W766" s="74"/>
      <c r="X766" s="74"/>
      <c r="Y766" s="74"/>
      <c r="Z766" s="74"/>
      <c r="AA766" s="74"/>
      <c r="AB766" s="74"/>
    </row>
    <row r="767" spans="1:28" ht="40.5" customHeight="1">
      <c r="A767" s="434"/>
      <c r="B767" s="435"/>
      <c r="C767" s="369"/>
      <c r="D767" s="369"/>
      <c r="E767" s="369"/>
      <c r="F767" s="369"/>
      <c r="G767" s="374"/>
      <c r="H767" s="375"/>
      <c r="I767" s="35"/>
      <c r="J767" s="74"/>
      <c r="K767" s="74"/>
      <c r="L767" s="74"/>
      <c r="M767" s="74"/>
      <c r="N767" s="74"/>
      <c r="O767" s="74"/>
      <c r="P767" s="74"/>
      <c r="Q767" s="74"/>
      <c r="R767" s="74"/>
      <c r="S767" s="74"/>
      <c r="T767" s="74"/>
      <c r="U767" s="74"/>
      <c r="V767" s="74"/>
      <c r="W767" s="74"/>
      <c r="X767" s="74"/>
      <c r="Y767" s="74"/>
      <c r="Z767" s="74"/>
      <c r="AA767" s="74"/>
      <c r="AB767" s="74"/>
    </row>
    <row r="768" spans="1:28" ht="40.5" customHeight="1">
      <c r="A768" s="434"/>
      <c r="B768" s="435"/>
      <c r="C768" s="369"/>
      <c r="D768" s="369"/>
      <c r="E768" s="369"/>
      <c r="F768" s="369"/>
      <c r="G768" s="374"/>
      <c r="H768" s="375"/>
      <c r="I768" s="35"/>
      <c r="J768" s="74"/>
      <c r="K768" s="74"/>
      <c r="L768" s="74"/>
      <c r="M768" s="74"/>
      <c r="N768" s="74"/>
      <c r="O768" s="74"/>
      <c r="P768" s="74"/>
      <c r="Q768" s="74"/>
      <c r="R768" s="74"/>
      <c r="S768" s="74"/>
      <c r="T768" s="74"/>
      <c r="U768" s="74"/>
      <c r="V768" s="74"/>
      <c r="W768" s="74"/>
      <c r="X768" s="74"/>
      <c r="Y768" s="74"/>
      <c r="Z768" s="74"/>
      <c r="AA768" s="74"/>
      <c r="AB768" s="74"/>
    </row>
    <row r="769" spans="1:28" ht="40.5" customHeight="1">
      <c r="A769" s="434"/>
      <c r="B769" s="435"/>
      <c r="C769" s="369"/>
      <c r="D769" s="369"/>
      <c r="E769" s="369"/>
      <c r="F769" s="369"/>
      <c r="G769" s="374"/>
      <c r="H769" s="375"/>
      <c r="I769" s="35"/>
      <c r="J769" s="74"/>
      <c r="K769" s="74"/>
      <c r="L769" s="74"/>
      <c r="M769" s="74"/>
      <c r="N769" s="74"/>
      <c r="O769" s="74"/>
      <c r="P769" s="74"/>
      <c r="Q769" s="74"/>
      <c r="R769" s="74"/>
      <c r="S769" s="74"/>
      <c r="T769" s="74"/>
      <c r="U769" s="74"/>
      <c r="V769" s="74"/>
      <c r="W769" s="74"/>
      <c r="X769" s="74"/>
      <c r="Y769" s="74"/>
      <c r="Z769" s="74"/>
      <c r="AA769" s="74"/>
      <c r="AB769" s="74"/>
    </row>
    <row r="770" spans="1:28" ht="40.5" customHeight="1">
      <c r="A770" s="434"/>
      <c r="B770" s="435"/>
      <c r="C770" s="369"/>
      <c r="D770" s="369"/>
      <c r="E770" s="369"/>
      <c r="F770" s="369"/>
      <c r="G770" s="374"/>
      <c r="H770" s="375"/>
      <c r="I770" s="35"/>
      <c r="J770" s="74"/>
      <c r="K770" s="74"/>
      <c r="L770" s="74"/>
      <c r="M770" s="74"/>
      <c r="N770" s="74"/>
      <c r="O770" s="74"/>
      <c r="P770" s="74"/>
      <c r="Q770" s="74"/>
      <c r="R770" s="74"/>
      <c r="S770" s="74"/>
      <c r="T770" s="74"/>
      <c r="U770" s="74"/>
      <c r="V770" s="74"/>
      <c r="W770" s="74"/>
      <c r="X770" s="74"/>
      <c r="Y770" s="74"/>
      <c r="Z770" s="74"/>
      <c r="AA770" s="74"/>
      <c r="AB770" s="74"/>
    </row>
    <row r="771" spans="1:28" ht="40.5" customHeight="1">
      <c r="A771" s="434"/>
      <c r="B771" s="435"/>
      <c r="C771" s="369"/>
      <c r="D771" s="369"/>
      <c r="E771" s="369"/>
      <c r="F771" s="369"/>
      <c r="G771" s="374"/>
      <c r="H771" s="375"/>
      <c r="I771" s="35"/>
      <c r="J771" s="74"/>
      <c r="K771" s="74"/>
      <c r="L771" s="74"/>
      <c r="M771" s="74"/>
      <c r="N771" s="74"/>
      <c r="O771" s="74"/>
      <c r="P771" s="74"/>
      <c r="Q771" s="74"/>
      <c r="R771" s="74"/>
      <c r="S771" s="74"/>
      <c r="T771" s="74"/>
      <c r="U771" s="74"/>
      <c r="V771" s="74"/>
      <c r="W771" s="74"/>
      <c r="X771" s="74"/>
      <c r="Y771" s="74"/>
      <c r="Z771" s="74"/>
      <c r="AA771" s="74"/>
      <c r="AB771" s="74"/>
    </row>
    <row r="772" spans="1:28" ht="40.5" customHeight="1">
      <c r="A772" s="434"/>
      <c r="B772" s="435"/>
      <c r="C772" s="369"/>
      <c r="D772" s="369"/>
      <c r="E772" s="369"/>
      <c r="F772" s="369"/>
      <c r="G772" s="374"/>
      <c r="H772" s="375"/>
      <c r="I772" s="35"/>
      <c r="J772" s="74"/>
      <c r="K772" s="74"/>
      <c r="L772" s="74"/>
      <c r="M772" s="74"/>
      <c r="N772" s="74"/>
      <c r="O772" s="74"/>
      <c r="P772" s="74"/>
      <c r="Q772" s="74"/>
      <c r="R772" s="74"/>
      <c r="S772" s="74"/>
      <c r="T772" s="74"/>
      <c r="U772" s="74"/>
      <c r="V772" s="74"/>
      <c r="W772" s="74"/>
      <c r="X772" s="74"/>
      <c r="Y772" s="74"/>
      <c r="Z772" s="74"/>
      <c r="AA772" s="74"/>
      <c r="AB772" s="74"/>
    </row>
    <row r="773" spans="1:28" ht="40.5" customHeight="1">
      <c r="A773" s="434"/>
      <c r="B773" s="435"/>
      <c r="C773" s="369"/>
      <c r="D773" s="369"/>
      <c r="E773" s="369"/>
      <c r="F773" s="369"/>
      <c r="G773" s="374"/>
      <c r="H773" s="375"/>
      <c r="I773" s="35"/>
      <c r="J773" s="74"/>
      <c r="K773" s="74"/>
      <c r="L773" s="74"/>
      <c r="M773" s="74"/>
      <c r="N773" s="74"/>
      <c r="O773" s="74"/>
      <c r="P773" s="74"/>
      <c r="Q773" s="74"/>
      <c r="R773" s="74"/>
      <c r="S773" s="74"/>
      <c r="T773" s="74"/>
      <c r="U773" s="74"/>
      <c r="V773" s="74"/>
      <c r="W773" s="74"/>
      <c r="X773" s="74"/>
      <c r="Y773" s="74"/>
      <c r="Z773" s="74"/>
      <c r="AA773" s="74"/>
      <c r="AB773" s="74"/>
    </row>
    <row r="774" spans="1:28" ht="40.5" customHeight="1">
      <c r="A774" s="434"/>
      <c r="B774" s="435"/>
      <c r="C774" s="369"/>
      <c r="D774" s="369"/>
      <c r="E774" s="369"/>
      <c r="F774" s="369"/>
      <c r="G774" s="374"/>
      <c r="H774" s="375"/>
      <c r="I774" s="35"/>
      <c r="J774" s="74"/>
      <c r="K774" s="74"/>
      <c r="L774" s="74"/>
      <c r="M774" s="74"/>
      <c r="N774" s="74"/>
      <c r="O774" s="74"/>
      <c r="P774" s="74"/>
      <c r="Q774" s="74"/>
      <c r="R774" s="74"/>
      <c r="S774" s="74"/>
      <c r="T774" s="74"/>
      <c r="U774" s="74"/>
      <c r="V774" s="74"/>
      <c r="W774" s="74"/>
      <c r="X774" s="74"/>
      <c r="Y774" s="74"/>
      <c r="Z774" s="74"/>
      <c r="AA774" s="74"/>
      <c r="AB774" s="74"/>
    </row>
    <row r="775" spans="1:28" ht="40.5" customHeight="1">
      <c r="A775" s="434"/>
      <c r="B775" s="435"/>
      <c r="C775" s="369"/>
      <c r="D775" s="369"/>
      <c r="E775" s="369"/>
      <c r="F775" s="369"/>
      <c r="G775" s="374"/>
      <c r="H775" s="375"/>
      <c r="I775" s="35"/>
      <c r="J775" s="74"/>
      <c r="K775" s="74"/>
      <c r="L775" s="74"/>
      <c r="M775" s="74"/>
      <c r="N775" s="74"/>
      <c r="O775" s="74"/>
      <c r="P775" s="74"/>
      <c r="Q775" s="74"/>
      <c r="R775" s="74"/>
      <c r="S775" s="74"/>
      <c r="T775" s="74"/>
      <c r="U775" s="74"/>
      <c r="V775" s="74"/>
      <c r="W775" s="74"/>
      <c r="X775" s="74"/>
      <c r="Y775" s="74"/>
      <c r="Z775" s="74"/>
      <c r="AA775" s="74"/>
      <c r="AB775" s="74"/>
    </row>
    <row r="776" spans="1:28" ht="40.5" customHeight="1">
      <c r="A776" s="434"/>
      <c r="B776" s="435"/>
      <c r="C776" s="369"/>
      <c r="D776" s="369"/>
      <c r="E776" s="369"/>
      <c r="F776" s="369"/>
      <c r="G776" s="374"/>
      <c r="H776" s="375"/>
      <c r="I776" s="35"/>
      <c r="J776" s="74"/>
      <c r="K776" s="74"/>
      <c r="L776" s="74"/>
      <c r="M776" s="74"/>
      <c r="N776" s="74"/>
      <c r="O776" s="74"/>
      <c r="P776" s="74"/>
      <c r="Q776" s="74"/>
      <c r="R776" s="74"/>
      <c r="S776" s="74"/>
      <c r="T776" s="74"/>
      <c r="U776" s="74"/>
      <c r="V776" s="74"/>
      <c r="W776" s="74"/>
      <c r="X776" s="74"/>
      <c r="Y776" s="74"/>
      <c r="Z776" s="74"/>
      <c r="AA776" s="74"/>
      <c r="AB776" s="74"/>
    </row>
    <row r="777" spans="1:28" ht="40.5" customHeight="1">
      <c r="A777" s="434"/>
      <c r="B777" s="435"/>
      <c r="C777" s="369"/>
      <c r="D777" s="369"/>
      <c r="E777" s="369"/>
      <c r="F777" s="369"/>
      <c r="G777" s="374"/>
      <c r="H777" s="375"/>
      <c r="I777" s="35"/>
      <c r="J777" s="74"/>
      <c r="K777" s="74"/>
      <c r="L777" s="74"/>
      <c r="M777" s="74"/>
      <c r="N777" s="74"/>
      <c r="O777" s="74"/>
      <c r="P777" s="74"/>
      <c r="Q777" s="74"/>
      <c r="R777" s="74"/>
      <c r="S777" s="74"/>
      <c r="T777" s="74"/>
      <c r="U777" s="74"/>
      <c r="V777" s="74"/>
      <c r="W777" s="74"/>
      <c r="X777" s="74"/>
      <c r="Y777" s="74"/>
      <c r="Z777" s="74"/>
      <c r="AA777" s="74"/>
      <c r="AB777" s="74"/>
    </row>
    <row r="778" spans="1:28" ht="40.5" customHeight="1">
      <c r="A778" s="434"/>
      <c r="B778" s="435"/>
      <c r="C778" s="369"/>
      <c r="D778" s="369"/>
      <c r="E778" s="369"/>
      <c r="F778" s="369"/>
      <c r="G778" s="374"/>
      <c r="H778" s="375"/>
      <c r="I778" s="35"/>
      <c r="J778" s="74"/>
      <c r="K778" s="74"/>
      <c r="L778" s="74"/>
      <c r="M778" s="74"/>
      <c r="N778" s="74"/>
      <c r="O778" s="74"/>
      <c r="P778" s="74"/>
      <c r="Q778" s="74"/>
      <c r="R778" s="74"/>
      <c r="S778" s="74"/>
      <c r="T778" s="74"/>
      <c r="U778" s="74"/>
      <c r="V778" s="74"/>
      <c r="W778" s="74"/>
      <c r="X778" s="74"/>
      <c r="Y778" s="74"/>
      <c r="Z778" s="74"/>
      <c r="AA778" s="74"/>
      <c r="AB778" s="74"/>
    </row>
    <row r="779" spans="1:28" ht="40.5" customHeight="1">
      <c r="A779" s="434"/>
      <c r="B779" s="435"/>
      <c r="C779" s="369"/>
      <c r="D779" s="369"/>
      <c r="E779" s="369"/>
      <c r="F779" s="369"/>
      <c r="G779" s="374"/>
      <c r="H779" s="375"/>
      <c r="I779" s="35"/>
      <c r="J779" s="74"/>
      <c r="K779" s="74"/>
      <c r="L779" s="74"/>
      <c r="M779" s="74"/>
      <c r="N779" s="74"/>
      <c r="O779" s="74"/>
      <c r="P779" s="74"/>
      <c r="Q779" s="74"/>
      <c r="R779" s="74"/>
      <c r="S779" s="74"/>
      <c r="T779" s="74"/>
      <c r="U779" s="74"/>
      <c r="V779" s="74"/>
      <c r="W779" s="74"/>
      <c r="X779" s="74"/>
      <c r="Y779" s="74"/>
      <c r="Z779" s="74"/>
      <c r="AA779" s="74"/>
      <c r="AB779" s="74"/>
    </row>
    <row r="780" spans="1:28" ht="40.5" customHeight="1">
      <c r="A780" s="434"/>
      <c r="B780" s="435"/>
      <c r="C780" s="369"/>
      <c r="D780" s="369"/>
      <c r="E780" s="369"/>
      <c r="F780" s="369"/>
      <c r="G780" s="374"/>
      <c r="H780" s="375"/>
      <c r="I780" s="35"/>
      <c r="J780" s="74"/>
      <c r="K780" s="74"/>
      <c r="L780" s="74"/>
      <c r="M780" s="74"/>
      <c r="N780" s="74"/>
      <c r="O780" s="74"/>
      <c r="P780" s="74"/>
      <c r="Q780" s="74"/>
      <c r="R780" s="74"/>
      <c r="S780" s="74"/>
      <c r="T780" s="74"/>
      <c r="U780" s="74"/>
      <c r="V780" s="74"/>
      <c r="W780" s="74"/>
      <c r="X780" s="74"/>
      <c r="Y780" s="74"/>
      <c r="Z780" s="74"/>
      <c r="AA780" s="74"/>
      <c r="AB780" s="74"/>
    </row>
    <row r="781" spans="1:28" ht="40.5" customHeight="1">
      <c r="A781" s="434"/>
      <c r="B781" s="435"/>
      <c r="C781" s="369"/>
      <c r="D781" s="369"/>
      <c r="E781" s="369"/>
      <c r="F781" s="369"/>
      <c r="G781" s="374"/>
      <c r="H781" s="375"/>
      <c r="I781" s="35"/>
      <c r="J781" s="74"/>
      <c r="K781" s="74"/>
      <c r="L781" s="74"/>
      <c r="M781" s="74"/>
      <c r="N781" s="74"/>
      <c r="O781" s="74"/>
      <c r="P781" s="74"/>
      <c r="Q781" s="74"/>
      <c r="R781" s="74"/>
      <c r="S781" s="74"/>
      <c r="T781" s="74"/>
      <c r="U781" s="74"/>
      <c r="V781" s="74"/>
      <c r="W781" s="74"/>
      <c r="X781" s="74"/>
      <c r="Y781" s="74"/>
      <c r="Z781" s="74"/>
      <c r="AA781" s="74"/>
      <c r="AB781" s="74"/>
    </row>
    <row r="782" spans="1:28" ht="40.5" customHeight="1">
      <c r="A782" s="434"/>
      <c r="B782" s="435"/>
      <c r="C782" s="369"/>
      <c r="D782" s="369"/>
      <c r="E782" s="369"/>
      <c r="F782" s="369"/>
      <c r="G782" s="374"/>
      <c r="H782" s="375"/>
      <c r="I782" s="35"/>
      <c r="J782" s="74"/>
      <c r="K782" s="74"/>
      <c r="L782" s="74"/>
      <c r="M782" s="74"/>
      <c r="N782" s="74"/>
      <c r="O782" s="74"/>
      <c r="P782" s="74"/>
      <c r="Q782" s="74"/>
      <c r="R782" s="74"/>
      <c r="S782" s="74"/>
      <c r="T782" s="74"/>
      <c r="U782" s="74"/>
      <c r="V782" s="74"/>
      <c r="W782" s="74"/>
      <c r="X782" s="74"/>
      <c r="Y782" s="74"/>
      <c r="Z782" s="74"/>
      <c r="AA782" s="74"/>
      <c r="AB782" s="74"/>
    </row>
    <row r="783" spans="1:28" ht="40.5" customHeight="1">
      <c r="A783" s="434"/>
      <c r="B783" s="435"/>
      <c r="C783" s="369"/>
      <c r="D783" s="369"/>
      <c r="E783" s="369"/>
      <c r="F783" s="369"/>
      <c r="G783" s="374"/>
      <c r="H783" s="375"/>
      <c r="I783" s="35"/>
      <c r="J783" s="74"/>
      <c r="K783" s="74"/>
      <c r="L783" s="74"/>
      <c r="M783" s="74"/>
      <c r="N783" s="74"/>
      <c r="O783" s="74"/>
      <c r="P783" s="74"/>
      <c r="Q783" s="74"/>
      <c r="R783" s="74"/>
      <c r="S783" s="74"/>
      <c r="T783" s="74"/>
      <c r="U783" s="74"/>
      <c r="V783" s="74"/>
      <c r="W783" s="74"/>
      <c r="X783" s="74"/>
      <c r="Y783" s="74"/>
      <c r="Z783" s="74"/>
      <c r="AA783" s="74"/>
      <c r="AB783" s="74"/>
    </row>
    <row r="784" spans="1:28" ht="40.5" customHeight="1">
      <c r="A784" s="434"/>
      <c r="B784" s="435"/>
      <c r="C784" s="369"/>
      <c r="D784" s="369"/>
      <c r="E784" s="369"/>
      <c r="F784" s="369"/>
      <c r="G784" s="374"/>
      <c r="H784" s="375"/>
      <c r="I784" s="35"/>
      <c r="J784" s="74"/>
      <c r="K784" s="74"/>
      <c r="L784" s="74"/>
      <c r="M784" s="74"/>
      <c r="N784" s="74"/>
      <c r="O784" s="74"/>
      <c r="P784" s="74"/>
      <c r="Q784" s="74"/>
      <c r="R784" s="74"/>
      <c r="S784" s="74"/>
      <c r="T784" s="74"/>
      <c r="U784" s="74"/>
      <c r="V784" s="74"/>
      <c r="W784" s="74"/>
      <c r="X784" s="74"/>
      <c r="Y784" s="74"/>
      <c r="Z784" s="74"/>
      <c r="AA784" s="74"/>
      <c r="AB784" s="74"/>
    </row>
    <row r="785" spans="1:28" ht="40.5" customHeight="1">
      <c r="A785" s="434"/>
      <c r="B785" s="435"/>
      <c r="C785" s="369"/>
      <c r="D785" s="369"/>
      <c r="E785" s="369"/>
      <c r="F785" s="369"/>
      <c r="G785" s="374"/>
      <c r="H785" s="375"/>
      <c r="I785" s="35"/>
      <c r="J785" s="74"/>
      <c r="K785" s="74"/>
      <c r="L785" s="74"/>
      <c r="M785" s="74"/>
      <c r="N785" s="74"/>
      <c r="O785" s="74"/>
      <c r="P785" s="74"/>
      <c r="Q785" s="74"/>
      <c r="R785" s="74"/>
      <c r="S785" s="74"/>
      <c r="T785" s="74"/>
      <c r="U785" s="74"/>
      <c r="V785" s="74"/>
      <c r="W785" s="74"/>
      <c r="X785" s="74"/>
      <c r="Y785" s="74"/>
      <c r="Z785" s="74"/>
      <c r="AA785" s="74"/>
      <c r="AB785" s="74"/>
    </row>
    <row r="786" spans="1:28" ht="40.5" customHeight="1">
      <c r="A786" s="434"/>
      <c r="B786" s="435"/>
      <c r="C786" s="369"/>
      <c r="D786" s="369"/>
      <c r="E786" s="369"/>
      <c r="F786" s="369"/>
      <c r="G786" s="374"/>
      <c r="H786" s="375"/>
      <c r="I786" s="35"/>
      <c r="J786" s="74"/>
      <c r="K786" s="74"/>
      <c r="L786" s="74"/>
      <c r="M786" s="74"/>
      <c r="N786" s="74"/>
      <c r="O786" s="74"/>
      <c r="P786" s="74"/>
      <c r="Q786" s="74"/>
      <c r="R786" s="74"/>
      <c r="S786" s="74"/>
      <c r="T786" s="74"/>
      <c r="U786" s="74"/>
      <c r="V786" s="74"/>
      <c r="W786" s="74"/>
      <c r="X786" s="74"/>
      <c r="Y786" s="74"/>
      <c r="Z786" s="74"/>
      <c r="AA786" s="74"/>
      <c r="AB786" s="74"/>
    </row>
    <row r="787" spans="1:28" ht="40.5" customHeight="1">
      <c r="A787" s="434"/>
      <c r="B787" s="435"/>
      <c r="C787" s="369"/>
      <c r="D787" s="369"/>
      <c r="E787" s="369"/>
      <c r="F787" s="369"/>
      <c r="G787" s="374"/>
      <c r="H787" s="375"/>
      <c r="I787" s="35"/>
      <c r="J787" s="74"/>
      <c r="K787" s="74"/>
      <c r="L787" s="74"/>
      <c r="M787" s="74"/>
      <c r="N787" s="74"/>
      <c r="O787" s="74"/>
      <c r="P787" s="74"/>
      <c r="Q787" s="74"/>
      <c r="R787" s="74"/>
      <c r="S787" s="74"/>
      <c r="T787" s="74"/>
      <c r="U787" s="74"/>
      <c r="V787" s="74"/>
      <c r="W787" s="74"/>
      <c r="X787" s="74"/>
      <c r="Y787" s="74"/>
      <c r="Z787" s="74"/>
      <c r="AA787" s="74"/>
      <c r="AB787" s="74"/>
    </row>
    <row r="788" spans="1:28" ht="40.5" customHeight="1">
      <c r="A788" s="434"/>
      <c r="B788" s="435"/>
      <c r="C788" s="369"/>
      <c r="D788" s="369"/>
      <c r="E788" s="369"/>
      <c r="F788" s="369"/>
      <c r="G788" s="374"/>
      <c r="H788" s="375"/>
      <c r="I788" s="35"/>
      <c r="J788" s="74"/>
      <c r="K788" s="74"/>
      <c r="L788" s="74"/>
      <c r="M788" s="74"/>
      <c r="N788" s="74"/>
      <c r="O788" s="74"/>
      <c r="P788" s="74"/>
      <c r="Q788" s="74"/>
      <c r="R788" s="74"/>
      <c r="S788" s="74"/>
      <c r="T788" s="74"/>
      <c r="U788" s="74"/>
      <c r="V788" s="74"/>
      <c r="W788" s="74"/>
      <c r="X788" s="74"/>
      <c r="Y788" s="74"/>
      <c r="Z788" s="74"/>
      <c r="AA788" s="74"/>
      <c r="AB788" s="74"/>
    </row>
    <row r="789" spans="1:28" ht="40.5" customHeight="1">
      <c r="A789" s="434"/>
      <c r="B789" s="435"/>
      <c r="C789" s="369"/>
      <c r="D789" s="369"/>
      <c r="E789" s="369"/>
      <c r="F789" s="369"/>
      <c r="G789" s="374"/>
      <c r="H789" s="375"/>
      <c r="I789" s="35"/>
      <c r="J789" s="74"/>
      <c r="K789" s="74"/>
      <c r="L789" s="74"/>
      <c r="M789" s="74"/>
      <c r="N789" s="74"/>
      <c r="O789" s="74"/>
      <c r="P789" s="74"/>
      <c r="Q789" s="74"/>
      <c r="R789" s="74"/>
      <c r="S789" s="74"/>
      <c r="T789" s="74"/>
      <c r="U789" s="74"/>
      <c r="V789" s="74"/>
      <c r="W789" s="74"/>
      <c r="X789" s="74"/>
      <c r="Y789" s="74"/>
      <c r="Z789" s="74"/>
      <c r="AA789" s="74"/>
      <c r="AB789" s="74"/>
    </row>
    <row r="790" spans="1:28" ht="40.5" customHeight="1">
      <c r="A790" s="434"/>
      <c r="B790" s="435"/>
      <c r="C790" s="369"/>
      <c r="D790" s="369"/>
      <c r="E790" s="369"/>
      <c r="F790" s="369"/>
      <c r="G790" s="374"/>
      <c r="H790" s="375"/>
      <c r="I790" s="35"/>
      <c r="J790" s="74"/>
      <c r="K790" s="74"/>
      <c r="L790" s="74"/>
      <c r="M790" s="74"/>
      <c r="N790" s="74"/>
      <c r="O790" s="74"/>
      <c r="P790" s="74"/>
      <c r="Q790" s="74"/>
      <c r="R790" s="74"/>
      <c r="S790" s="74"/>
      <c r="T790" s="74"/>
      <c r="U790" s="74"/>
      <c r="V790" s="74"/>
      <c r="W790" s="74"/>
      <c r="X790" s="74"/>
      <c r="Y790" s="74"/>
      <c r="Z790" s="74"/>
      <c r="AA790" s="74"/>
      <c r="AB790" s="74"/>
    </row>
    <row r="791" spans="1:28" ht="40.5" customHeight="1">
      <c r="A791" s="434"/>
      <c r="B791" s="435"/>
      <c r="C791" s="369"/>
      <c r="D791" s="369"/>
      <c r="E791" s="369"/>
      <c r="F791" s="369"/>
      <c r="G791" s="374"/>
      <c r="H791" s="375"/>
      <c r="I791" s="35"/>
      <c r="J791" s="74"/>
      <c r="K791" s="74"/>
      <c r="L791" s="74"/>
      <c r="M791" s="74"/>
      <c r="N791" s="74"/>
      <c r="O791" s="74"/>
      <c r="P791" s="74"/>
      <c r="Q791" s="74"/>
      <c r="R791" s="74"/>
      <c r="S791" s="74"/>
      <c r="T791" s="74"/>
      <c r="U791" s="74"/>
      <c r="V791" s="74"/>
      <c r="W791" s="74"/>
      <c r="X791" s="74"/>
      <c r="Y791" s="74"/>
      <c r="Z791" s="74"/>
      <c r="AA791" s="74"/>
      <c r="AB791" s="74"/>
    </row>
    <row r="792" spans="1:28" ht="40.5" customHeight="1">
      <c r="A792" s="434"/>
      <c r="B792" s="435"/>
      <c r="C792" s="369"/>
      <c r="D792" s="369"/>
      <c r="E792" s="369"/>
      <c r="F792" s="369"/>
      <c r="G792" s="374"/>
      <c r="H792" s="375"/>
      <c r="I792" s="35"/>
      <c r="J792" s="74"/>
      <c r="K792" s="74"/>
      <c r="L792" s="74"/>
      <c r="M792" s="74"/>
      <c r="N792" s="74"/>
      <c r="O792" s="74"/>
      <c r="P792" s="74"/>
      <c r="Q792" s="74"/>
      <c r="R792" s="74"/>
      <c r="S792" s="74"/>
      <c r="T792" s="74"/>
      <c r="U792" s="74"/>
      <c r="V792" s="74"/>
      <c r="W792" s="74"/>
      <c r="X792" s="74"/>
      <c r="Y792" s="74"/>
      <c r="Z792" s="74"/>
      <c r="AA792" s="74"/>
      <c r="AB792" s="74"/>
    </row>
    <row r="793" spans="1:28" ht="40.5" customHeight="1">
      <c r="A793" s="434"/>
      <c r="B793" s="435"/>
      <c r="C793" s="369"/>
      <c r="D793" s="369"/>
      <c r="E793" s="369"/>
      <c r="F793" s="369"/>
      <c r="G793" s="374"/>
      <c r="H793" s="375"/>
      <c r="I793" s="35"/>
      <c r="J793" s="74"/>
      <c r="K793" s="74"/>
      <c r="L793" s="74"/>
      <c r="M793" s="74"/>
      <c r="N793" s="74"/>
      <c r="O793" s="74"/>
      <c r="P793" s="74"/>
      <c r="Q793" s="74"/>
      <c r="R793" s="74"/>
      <c r="S793" s="74"/>
      <c r="T793" s="74"/>
      <c r="U793" s="74"/>
      <c r="V793" s="74"/>
      <c r="W793" s="74"/>
      <c r="X793" s="74"/>
      <c r="Y793" s="74"/>
      <c r="Z793" s="74"/>
      <c r="AA793" s="74"/>
      <c r="AB793" s="74"/>
    </row>
    <row r="794" spans="1:28" ht="40.5" customHeight="1">
      <c r="A794" s="434"/>
      <c r="B794" s="435"/>
      <c r="C794" s="369"/>
      <c r="D794" s="369"/>
      <c r="E794" s="369"/>
      <c r="F794" s="369"/>
      <c r="G794" s="374"/>
      <c r="H794" s="375"/>
      <c r="I794" s="35"/>
      <c r="J794" s="74"/>
      <c r="K794" s="74"/>
      <c r="L794" s="74"/>
      <c r="M794" s="74"/>
      <c r="N794" s="74"/>
      <c r="O794" s="74"/>
      <c r="P794" s="74"/>
      <c r="Q794" s="74"/>
      <c r="R794" s="74"/>
      <c r="S794" s="74"/>
      <c r="T794" s="74"/>
      <c r="U794" s="74"/>
      <c r="V794" s="74"/>
      <c r="W794" s="74"/>
      <c r="X794" s="74"/>
      <c r="Y794" s="74"/>
      <c r="Z794" s="74"/>
      <c r="AA794" s="74"/>
      <c r="AB794" s="74"/>
    </row>
    <row r="795" spans="1:28" ht="40.5" customHeight="1">
      <c r="A795" s="434"/>
      <c r="B795" s="435"/>
      <c r="C795" s="369"/>
      <c r="D795" s="369"/>
      <c r="E795" s="369"/>
      <c r="F795" s="369"/>
      <c r="G795" s="374"/>
      <c r="H795" s="375"/>
      <c r="I795" s="35"/>
      <c r="J795" s="74"/>
      <c r="K795" s="74"/>
      <c r="L795" s="74"/>
      <c r="M795" s="74"/>
      <c r="N795" s="74"/>
      <c r="O795" s="74"/>
      <c r="P795" s="74"/>
      <c r="Q795" s="74"/>
      <c r="R795" s="74"/>
      <c r="S795" s="74"/>
      <c r="T795" s="74"/>
      <c r="U795" s="74"/>
      <c r="V795" s="74"/>
      <c r="W795" s="74"/>
      <c r="X795" s="74"/>
      <c r="Y795" s="74"/>
      <c r="Z795" s="74"/>
      <c r="AA795" s="74"/>
      <c r="AB795" s="74"/>
    </row>
    <row r="796" spans="1:28" ht="40.5" customHeight="1">
      <c r="A796" s="434"/>
      <c r="B796" s="435"/>
      <c r="C796" s="369"/>
      <c r="D796" s="369"/>
      <c r="E796" s="369"/>
      <c r="F796" s="369"/>
      <c r="G796" s="374"/>
      <c r="H796" s="375"/>
      <c r="I796" s="35"/>
      <c r="J796" s="74"/>
      <c r="K796" s="74"/>
      <c r="L796" s="74"/>
      <c r="M796" s="74"/>
      <c r="N796" s="74"/>
      <c r="O796" s="74"/>
      <c r="P796" s="74"/>
      <c r="Q796" s="74"/>
      <c r="R796" s="74"/>
      <c r="S796" s="74"/>
      <c r="T796" s="74"/>
      <c r="U796" s="74"/>
      <c r="V796" s="74"/>
      <c r="W796" s="74"/>
      <c r="X796" s="74"/>
      <c r="Y796" s="74"/>
      <c r="Z796" s="74"/>
      <c r="AA796" s="74"/>
      <c r="AB796" s="74"/>
    </row>
    <row r="797" spans="1:28" ht="40.5" customHeight="1">
      <c r="A797" s="434"/>
      <c r="B797" s="435"/>
      <c r="C797" s="369"/>
      <c r="D797" s="369"/>
      <c r="E797" s="369"/>
      <c r="F797" s="369"/>
      <c r="G797" s="374"/>
      <c r="H797" s="375"/>
      <c r="I797" s="35"/>
      <c r="J797" s="74"/>
      <c r="K797" s="74"/>
      <c r="L797" s="74"/>
      <c r="M797" s="74"/>
      <c r="N797" s="74"/>
      <c r="O797" s="74"/>
      <c r="P797" s="74"/>
      <c r="Q797" s="74"/>
      <c r="R797" s="74"/>
      <c r="S797" s="74"/>
      <c r="T797" s="74"/>
      <c r="U797" s="74"/>
      <c r="V797" s="74"/>
      <c r="W797" s="74"/>
      <c r="X797" s="74"/>
      <c r="Y797" s="74"/>
      <c r="Z797" s="74"/>
      <c r="AA797" s="74"/>
      <c r="AB797" s="74"/>
    </row>
    <row r="798" spans="1:28" ht="40.5" customHeight="1">
      <c r="A798" s="434"/>
      <c r="B798" s="435"/>
      <c r="C798" s="369"/>
      <c r="D798" s="369"/>
      <c r="E798" s="369"/>
      <c r="F798" s="369"/>
      <c r="G798" s="374"/>
      <c r="H798" s="375"/>
      <c r="I798" s="35"/>
      <c r="J798" s="74"/>
      <c r="K798" s="74"/>
      <c r="L798" s="74"/>
      <c r="M798" s="74"/>
      <c r="N798" s="74"/>
      <c r="O798" s="74"/>
      <c r="P798" s="74"/>
      <c r="Q798" s="74"/>
      <c r="R798" s="74"/>
      <c r="S798" s="74"/>
      <c r="T798" s="74"/>
      <c r="U798" s="74"/>
      <c r="V798" s="74"/>
      <c r="W798" s="74"/>
      <c r="X798" s="74"/>
      <c r="Y798" s="74"/>
      <c r="Z798" s="74"/>
      <c r="AA798" s="74"/>
      <c r="AB798" s="74"/>
    </row>
    <row r="799" spans="1:28" ht="40.5" customHeight="1">
      <c r="A799" s="434"/>
      <c r="B799" s="435"/>
      <c r="C799" s="369"/>
      <c r="D799" s="369"/>
      <c r="E799" s="369"/>
      <c r="F799" s="369"/>
      <c r="G799" s="374"/>
      <c r="H799" s="375"/>
      <c r="I799" s="35"/>
      <c r="J799" s="74"/>
      <c r="K799" s="74"/>
      <c r="L799" s="74"/>
      <c r="M799" s="74"/>
      <c r="N799" s="74"/>
      <c r="O799" s="74"/>
      <c r="P799" s="74"/>
      <c r="Q799" s="74"/>
      <c r="R799" s="74"/>
      <c r="S799" s="74"/>
      <c r="T799" s="74"/>
      <c r="U799" s="74"/>
      <c r="V799" s="74"/>
      <c r="W799" s="74"/>
      <c r="X799" s="74"/>
      <c r="Y799" s="74"/>
      <c r="Z799" s="74"/>
      <c r="AA799" s="74"/>
      <c r="AB799" s="74"/>
    </row>
    <row r="800" spans="1:28" ht="40.5" customHeight="1">
      <c r="A800" s="434"/>
      <c r="B800" s="435"/>
      <c r="C800" s="369"/>
      <c r="D800" s="369"/>
      <c r="E800" s="369"/>
      <c r="F800" s="369"/>
      <c r="G800" s="374"/>
      <c r="H800" s="375"/>
      <c r="I800" s="35"/>
      <c r="J800" s="74"/>
      <c r="K800" s="74"/>
      <c r="L800" s="74"/>
      <c r="M800" s="74"/>
      <c r="N800" s="74"/>
      <c r="O800" s="74"/>
      <c r="P800" s="74"/>
      <c r="Q800" s="74"/>
      <c r="R800" s="74"/>
      <c r="S800" s="74"/>
      <c r="T800" s="74"/>
      <c r="U800" s="74"/>
      <c r="V800" s="74"/>
      <c r="W800" s="74"/>
      <c r="X800" s="74"/>
      <c r="Y800" s="74"/>
      <c r="Z800" s="74"/>
      <c r="AA800" s="74"/>
      <c r="AB800" s="74"/>
    </row>
    <row r="801" spans="1:28" ht="40.5" customHeight="1">
      <c r="A801" s="434"/>
      <c r="B801" s="435"/>
      <c r="C801" s="369"/>
      <c r="D801" s="369"/>
      <c r="E801" s="369"/>
      <c r="F801" s="369"/>
      <c r="G801" s="374"/>
      <c r="H801" s="375"/>
      <c r="I801" s="35"/>
      <c r="J801" s="74"/>
      <c r="K801" s="74"/>
      <c r="L801" s="74"/>
      <c r="M801" s="74"/>
      <c r="N801" s="74"/>
      <c r="O801" s="74"/>
      <c r="P801" s="74"/>
      <c r="Q801" s="74"/>
      <c r="R801" s="74"/>
      <c r="S801" s="74"/>
      <c r="T801" s="74"/>
      <c r="U801" s="74"/>
      <c r="V801" s="74"/>
      <c r="W801" s="74"/>
      <c r="X801" s="74"/>
      <c r="Y801" s="74"/>
      <c r="Z801" s="74"/>
      <c r="AA801" s="74"/>
      <c r="AB801" s="74"/>
    </row>
    <row r="802" spans="1:28" ht="40.5" customHeight="1">
      <c r="A802" s="434"/>
      <c r="B802" s="435"/>
      <c r="C802" s="369"/>
      <c r="D802" s="369"/>
      <c r="E802" s="369"/>
      <c r="F802" s="369"/>
      <c r="G802" s="374"/>
      <c r="H802" s="375"/>
      <c r="I802" s="35"/>
      <c r="J802" s="74"/>
      <c r="K802" s="74"/>
      <c r="L802" s="74"/>
      <c r="M802" s="74"/>
      <c r="N802" s="74"/>
      <c r="O802" s="74"/>
      <c r="P802" s="74"/>
      <c r="Q802" s="74"/>
      <c r="R802" s="74"/>
      <c r="S802" s="74"/>
      <c r="T802" s="74"/>
      <c r="U802" s="74"/>
      <c r="V802" s="74"/>
      <c r="W802" s="74"/>
      <c r="X802" s="74"/>
      <c r="Y802" s="74"/>
      <c r="Z802" s="74"/>
      <c r="AA802" s="74"/>
      <c r="AB802" s="74"/>
    </row>
    <row r="803" spans="1:28" ht="40.5" customHeight="1">
      <c r="A803" s="434"/>
      <c r="B803" s="435"/>
      <c r="C803" s="369"/>
      <c r="D803" s="369"/>
      <c r="E803" s="369"/>
      <c r="F803" s="369"/>
      <c r="G803" s="374"/>
      <c r="H803" s="375"/>
      <c r="I803" s="35"/>
      <c r="J803" s="74"/>
      <c r="K803" s="74"/>
      <c r="L803" s="74"/>
      <c r="M803" s="74"/>
      <c r="N803" s="74"/>
      <c r="O803" s="74"/>
      <c r="P803" s="74"/>
      <c r="Q803" s="74"/>
      <c r="R803" s="74"/>
      <c r="S803" s="74"/>
      <c r="T803" s="74"/>
      <c r="U803" s="74"/>
      <c r="V803" s="74"/>
      <c r="W803" s="74"/>
      <c r="X803" s="74"/>
      <c r="Y803" s="74"/>
      <c r="Z803" s="74"/>
      <c r="AA803" s="74"/>
      <c r="AB803" s="74"/>
    </row>
    <row r="804" spans="1:28" ht="40.5" customHeight="1">
      <c r="A804" s="434"/>
      <c r="B804" s="435"/>
      <c r="C804" s="369"/>
      <c r="D804" s="369"/>
      <c r="E804" s="369"/>
      <c r="F804" s="369"/>
      <c r="G804" s="374"/>
      <c r="H804" s="375"/>
      <c r="I804" s="35"/>
      <c r="J804" s="74"/>
      <c r="K804" s="74"/>
      <c r="L804" s="74"/>
      <c r="M804" s="74"/>
      <c r="N804" s="74"/>
      <c r="O804" s="74"/>
      <c r="P804" s="74"/>
      <c r="Q804" s="74"/>
      <c r="R804" s="74"/>
      <c r="S804" s="74"/>
      <c r="T804" s="74"/>
      <c r="U804" s="74"/>
      <c r="V804" s="74"/>
      <c r="W804" s="74"/>
      <c r="X804" s="74"/>
      <c r="Y804" s="74"/>
      <c r="Z804" s="74"/>
      <c r="AA804" s="74"/>
      <c r="AB804" s="74"/>
    </row>
    <row r="805" spans="1:28" ht="40.5" customHeight="1">
      <c r="A805" s="434"/>
      <c r="B805" s="435"/>
      <c r="C805" s="369"/>
      <c r="D805" s="369"/>
      <c r="E805" s="369"/>
      <c r="F805" s="369"/>
      <c r="G805" s="374"/>
      <c r="H805" s="375"/>
      <c r="I805" s="35"/>
      <c r="J805" s="74"/>
      <c r="K805" s="74"/>
      <c r="L805" s="74"/>
      <c r="M805" s="74"/>
      <c r="N805" s="74"/>
      <c r="O805" s="74"/>
      <c r="P805" s="74"/>
      <c r="Q805" s="74"/>
      <c r="R805" s="74"/>
      <c r="S805" s="74"/>
      <c r="T805" s="74"/>
      <c r="U805" s="74"/>
      <c r="V805" s="74"/>
      <c r="W805" s="74"/>
      <c r="X805" s="74"/>
      <c r="Y805" s="74"/>
      <c r="Z805" s="74"/>
      <c r="AA805" s="74"/>
      <c r="AB805" s="74"/>
    </row>
    <row r="806" spans="1:28" ht="40.5" customHeight="1">
      <c r="A806" s="434"/>
      <c r="B806" s="435"/>
      <c r="C806" s="369"/>
      <c r="D806" s="369"/>
      <c r="E806" s="369"/>
      <c r="F806" s="369"/>
      <c r="G806" s="374"/>
      <c r="H806" s="375"/>
      <c r="I806" s="35"/>
      <c r="J806" s="74"/>
      <c r="K806" s="74"/>
      <c r="L806" s="74"/>
      <c r="M806" s="74"/>
      <c r="N806" s="74"/>
      <c r="O806" s="74"/>
      <c r="P806" s="74"/>
      <c r="Q806" s="74"/>
      <c r="R806" s="74"/>
      <c r="S806" s="74"/>
      <c r="T806" s="74"/>
      <c r="U806" s="74"/>
      <c r="V806" s="74"/>
      <c r="W806" s="74"/>
      <c r="X806" s="74"/>
      <c r="Y806" s="74"/>
      <c r="Z806" s="74"/>
      <c r="AA806" s="74"/>
      <c r="AB806" s="74"/>
    </row>
    <row r="807" spans="1:28" ht="40.5" customHeight="1">
      <c r="A807" s="434"/>
      <c r="B807" s="435"/>
      <c r="C807" s="369"/>
      <c r="D807" s="369"/>
      <c r="E807" s="369"/>
      <c r="F807" s="369"/>
      <c r="G807" s="374"/>
      <c r="H807" s="375"/>
      <c r="I807" s="35"/>
      <c r="J807" s="74"/>
      <c r="K807" s="74"/>
      <c r="L807" s="74"/>
      <c r="M807" s="74"/>
      <c r="N807" s="74"/>
      <c r="O807" s="74"/>
      <c r="P807" s="74"/>
      <c r="Q807" s="74"/>
      <c r="R807" s="74"/>
      <c r="S807" s="74"/>
      <c r="T807" s="74"/>
      <c r="U807" s="74"/>
      <c r="V807" s="74"/>
      <c r="W807" s="74"/>
      <c r="X807" s="74"/>
      <c r="Y807" s="74"/>
      <c r="Z807" s="74"/>
      <c r="AA807" s="74"/>
      <c r="AB807" s="74"/>
    </row>
    <row r="808" spans="1:28" ht="40.5" customHeight="1">
      <c r="A808" s="434"/>
      <c r="B808" s="435"/>
      <c r="C808" s="369"/>
      <c r="D808" s="369"/>
      <c r="E808" s="369"/>
      <c r="F808" s="369"/>
      <c r="G808" s="374"/>
      <c r="H808" s="375"/>
      <c r="I808" s="35"/>
      <c r="J808" s="74"/>
      <c r="K808" s="74"/>
      <c r="L808" s="74"/>
      <c r="M808" s="74"/>
      <c r="N808" s="74"/>
      <c r="O808" s="74"/>
      <c r="P808" s="74"/>
      <c r="Q808" s="74"/>
      <c r="R808" s="74"/>
      <c r="S808" s="74"/>
      <c r="T808" s="74"/>
      <c r="U808" s="74"/>
      <c r="V808" s="74"/>
      <c r="W808" s="74"/>
      <c r="X808" s="74"/>
      <c r="Y808" s="74"/>
      <c r="Z808" s="74"/>
      <c r="AA808" s="74"/>
      <c r="AB808" s="74"/>
    </row>
    <row r="809" spans="1:28" ht="40.5" customHeight="1">
      <c r="A809" s="434"/>
      <c r="B809" s="435"/>
      <c r="C809" s="369"/>
      <c r="D809" s="369"/>
      <c r="E809" s="369"/>
      <c r="F809" s="369"/>
      <c r="G809" s="374"/>
      <c r="H809" s="375"/>
      <c r="I809" s="35"/>
      <c r="J809" s="74"/>
      <c r="K809" s="74"/>
      <c r="L809" s="74"/>
      <c r="M809" s="74"/>
      <c r="N809" s="74"/>
      <c r="O809" s="74"/>
      <c r="P809" s="74"/>
      <c r="Q809" s="74"/>
      <c r="R809" s="74"/>
      <c r="S809" s="74"/>
      <c r="T809" s="74"/>
      <c r="U809" s="74"/>
      <c r="V809" s="74"/>
      <c r="W809" s="74"/>
      <c r="X809" s="74"/>
      <c r="Y809" s="74"/>
      <c r="Z809" s="74"/>
      <c r="AA809" s="74"/>
      <c r="AB809" s="74"/>
    </row>
    <row r="810" spans="1:28" ht="40.5" customHeight="1">
      <c r="A810" s="434"/>
      <c r="B810" s="435"/>
      <c r="C810" s="369"/>
      <c r="D810" s="369"/>
      <c r="E810" s="369"/>
      <c r="F810" s="369"/>
      <c r="G810" s="374"/>
      <c r="H810" s="375"/>
      <c r="I810" s="35"/>
      <c r="J810" s="74"/>
      <c r="K810" s="74"/>
      <c r="L810" s="74"/>
      <c r="M810" s="74"/>
      <c r="N810" s="74"/>
      <c r="O810" s="74"/>
      <c r="P810" s="74"/>
      <c r="Q810" s="74"/>
      <c r="R810" s="74"/>
      <c r="S810" s="74"/>
      <c r="T810" s="74"/>
      <c r="U810" s="74"/>
      <c r="V810" s="74"/>
      <c r="W810" s="74"/>
      <c r="X810" s="74"/>
      <c r="Y810" s="74"/>
      <c r="Z810" s="74"/>
      <c r="AA810" s="74"/>
      <c r="AB810" s="74"/>
    </row>
    <row r="811" spans="1:28" ht="40.5" customHeight="1">
      <c r="A811" s="434"/>
      <c r="B811" s="435"/>
      <c r="C811" s="369"/>
      <c r="D811" s="369"/>
      <c r="E811" s="369"/>
      <c r="F811" s="369"/>
      <c r="G811" s="374"/>
      <c r="H811" s="375"/>
      <c r="I811" s="35"/>
      <c r="J811" s="74"/>
      <c r="K811" s="74"/>
      <c r="L811" s="74"/>
      <c r="M811" s="74"/>
      <c r="N811" s="74"/>
      <c r="O811" s="74"/>
      <c r="P811" s="74"/>
      <c r="Q811" s="74"/>
      <c r="R811" s="74"/>
      <c r="S811" s="74"/>
      <c r="T811" s="74"/>
      <c r="U811" s="74"/>
      <c r="V811" s="74"/>
      <c r="W811" s="74"/>
      <c r="X811" s="74"/>
      <c r="Y811" s="74"/>
      <c r="Z811" s="74"/>
      <c r="AA811" s="74"/>
      <c r="AB811" s="74"/>
    </row>
    <row r="812" spans="1:28" ht="40.5" customHeight="1">
      <c r="A812" s="434"/>
      <c r="B812" s="435"/>
      <c r="C812" s="369"/>
      <c r="D812" s="369"/>
      <c r="E812" s="369"/>
      <c r="F812" s="369"/>
      <c r="G812" s="374"/>
      <c r="H812" s="375"/>
      <c r="I812" s="35"/>
      <c r="J812" s="74"/>
      <c r="K812" s="74"/>
      <c r="L812" s="74"/>
      <c r="M812" s="74"/>
      <c r="N812" s="74"/>
      <c r="O812" s="74"/>
      <c r="P812" s="74"/>
      <c r="Q812" s="74"/>
      <c r="R812" s="74"/>
      <c r="S812" s="74"/>
      <c r="T812" s="74"/>
      <c r="U812" s="74"/>
      <c r="V812" s="74"/>
      <c r="W812" s="74"/>
      <c r="X812" s="74"/>
      <c r="Y812" s="74"/>
      <c r="Z812" s="74"/>
      <c r="AA812" s="74"/>
      <c r="AB812" s="74"/>
    </row>
    <row r="813" spans="1:28" ht="40.5" customHeight="1">
      <c r="A813" s="434"/>
      <c r="B813" s="435"/>
      <c r="C813" s="369"/>
      <c r="D813" s="369"/>
      <c r="E813" s="369"/>
      <c r="F813" s="369"/>
      <c r="G813" s="374"/>
      <c r="H813" s="375"/>
      <c r="I813" s="35"/>
      <c r="J813" s="74"/>
      <c r="K813" s="74"/>
      <c r="L813" s="74"/>
      <c r="M813" s="74"/>
      <c r="N813" s="74"/>
      <c r="O813" s="74"/>
      <c r="P813" s="74"/>
      <c r="Q813" s="74"/>
      <c r="R813" s="74"/>
      <c r="S813" s="74"/>
      <c r="T813" s="74"/>
      <c r="U813" s="74"/>
      <c r="V813" s="74"/>
      <c r="W813" s="74"/>
      <c r="X813" s="74"/>
      <c r="Y813" s="74"/>
      <c r="Z813" s="74"/>
      <c r="AA813" s="74"/>
      <c r="AB813" s="74"/>
    </row>
    <row r="814" spans="1:28" ht="40.5" customHeight="1">
      <c r="A814" s="434"/>
      <c r="B814" s="435"/>
      <c r="C814" s="369"/>
      <c r="D814" s="369"/>
      <c r="E814" s="369"/>
      <c r="F814" s="369"/>
      <c r="G814" s="374"/>
      <c r="H814" s="375"/>
      <c r="I814" s="35"/>
      <c r="J814" s="74"/>
      <c r="K814" s="74"/>
      <c r="L814" s="74"/>
      <c r="M814" s="74"/>
      <c r="N814" s="74"/>
      <c r="O814" s="74"/>
      <c r="P814" s="74"/>
      <c r="Q814" s="74"/>
      <c r="R814" s="74"/>
      <c r="S814" s="74"/>
      <c r="T814" s="74"/>
      <c r="U814" s="74"/>
      <c r="V814" s="74"/>
      <c r="W814" s="74"/>
      <c r="X814" s="74"/>
      <c r="Y814" s="74"/>
      <c r="Z814" s="74"/>
      <c r="AA814" s="74"/>
      <c r="AB814" s="74"/>
    </row>
    <row r="815" spans="1:28" ht="40.5" customHeight="1">
      <c r="A815" s="434"/>
      <c r="B815" s="435"/>
      <c r="C815" s="369"/>
      <c r="D815" s="369"/>
      <c r="E815" s="369"/>
      <c r="F815" s="369"/>
      <c r="G815" s="374"/>
      <c r="H815" s="375"/>
      <c r="I815" s="35"/>
      <c r="J815" s="74"/>
      <c r="K815" s="74"/>
      <c r="L815" s="74"/>
      <c r="M815" s="74"/>
      <c r="N815" s="74"/>
      <c r="O815" s="74"/>
      <c r="P815" s="74"/>
      <c r="Q815" s="74"/>
      <c r="R815" s="74"/>
      <c r="S815" s="74"/>
      <c r="T815" s="74"/>
      <c r="U815" s="74"/>
      <c r="V815" s="74"/>
      <c r="W815" s="74"/>
      <c r="X815" s="74"/>
      <c r="Y815" s="74"/>
      <c r="Z815" s="74"/>
      <c r="AA815" s="74"/>
      <c r="AB815" s="74"/>
    </row>
    <row r="816" spans="1:28" ht="40.5" customHeight="1">
      <c r="A816" s="434"/>
      <c r="B816" s="435"/>
      <c r="C816" s="369"/>
      <c r="D816" s="369"/>
      <c r="E816" s="369"/>
      <c r="F816" s="369"/>
      <c r="G816" s="374"/>
      <c r="H816" s="375"/>
      <c r="I816" s="35"/>
      <c r="J816" s="74"/>
      <c r="K816" s="74"/>
      <c r="L816" s="74"/>
      <c r="M816" s="74"/>
      <c r="N816" s="74"/>
      <c r="O816" s="74"/>
      <c r="P816" s="74"/>
      <c r="Q816" s="74"/>
      <c r="R816" s="74"/>
      <c r="S816" s="74"/>
      <c r="T816" s="74"/>
      <c r="U816" s="74"/>
      <c r="V816" s="74"/>
      <c r="W816" s="74"/>
      <c r="X816" s="74"/>
      <c r="Y816" s="74"/>
      <c r="Z816" s="74"/>
      <c r="AA816" s="74"/>
      <c r="AB816" s="74"/>
    </row>
    <row r="817" spans="1:28" ht="40.5" customHeight="1">
      <c r="A817" s="434"/>
      <c r="B817" s="435"/>
      <c r="C817" s="369"/>
      <c r="D817" s="369"/>
      <c r="E817" s="369"/>
      <c r="F817" s="369"/>
      <c r="G817" s="374"/>
      <c r="H817" s="375"/>
      <c r="I817" s="35"/>
      <c r="J817" s="74"/>
      <c r="K817" s="74"/>
      <c r="L817" s="74"/>
      <c r="M817" s="74"/>
      <c r="N817" s="74"/>
      <c r="O817" s="74"/>
      <c r="P817" s="74"/>
      <c r="Q817" s="74"/>
      <c r="R817" s="74"/>
      <c r="S817" s="74"/>
      <c r="T817" s="74"/>
      <c r="U817" s="74"/>
      <c r="V817" s="74"/>
      <c r="W817" s="74"/>
      <c r="X817" s="74"/>
      <c r="Y817" s="74"/>
      <c r="Z817" s="74"/>
      <c r="AA817" s="74"/>
      <c r="AB817" s="74"/>
    </row>
    <row r="818" spans="1:28" ht="40.5" customHeight="1">
      <c r="A818" s="434"/>
      <c r="B818" s="435"/>
      <c r="C818" s="369"/>
      <c r="D818" s="369"/>
      <c r="E818" s="369"/>
      <c r="F818" s="369"/>
      <c r="G818" s="374"/>
      <c r="H818" s="375"/>
      <c r="I818" s="35"/>
      <c r="J818" s="74"/>
      <c r="K818" s="74"/>
      <c r="L818" s="74"/>
      <c r="M818" s="74"/>
      <c r="N818" s="74"/>
      <c r="O818" s="74"/>
      <c r="P818" s="74"/>
      <c r="Q818" s="74"/>
      <c r="R818" s="74"/>
      <c r="S818" s="74"/>
      <c r="T818" s="74"/>
      <c r="U818" s="74"/>
      <c r="V818" s="74"/>
      <c r="W818" s="74"/>
      <c r="X818" s="74"/>
      <c r="Y818" s="74"/>
      <c r="Z818" s="74"/>
      <c r="AA818" s="74"/>
      <c r="AB818" s="74"/>
    </row>
    <row r="819" spans="1:28" ht="40.5" customHeight="1">
      <c r="A819" s="434"/>
      <c r="B819" s="435"/>
      <c r="C819" s="369"/>
      <c r="D819" s="369"/>
      <c r="E819" s="369"/>
      <c r="F819" s="369"/>
      <c r="G819" s="374"/>
      <c r="H819" s="375"/>
      <c r="I819" s="35"/>
      <c r="J819" s="74"/>
      <c r="K819" s="74"/>
      <c r="L819" s="74"/>
      <c r="M819" s="74"/>
      <c r="N819" s="74"/>
      <c r="O819" s="74"/>
      <c r="P819" s="74"/>
      <c r="Q819" s="74"/>
      <c r="R819" s="74"/>
      <c r="S819" s="74"/>
      <c r="T819" s="74"/>
      <c r="U819" s="74"/>
      <c r="V819" s="74"/>
      <c r="W819" s="74"/>
      <c r="X819" s="74"/>
      <c r="Y819" s="74"/>
      <c r="Z819" s="74"/>
      <c r="AA819" s="74"/>
      <c r="AB819" s="74"/>
    </row>
    <row r="820" spans="1:28" ht="40.5" customHeight="1">
      <c r="A820" s="434"/>
      <c r="B820" s="435"/>
      <c r="C820" s="369"/>
      <c r="D820" s="369"/>
      <c r="E820" s="369"/>
      <c r="F820" s="369"/>
      <c r="G820" s="374"/>
      <c r="H820" s="375"/>
      <c r="I820" s="35"/>
      <c r="J820" s="74"/>
      <c r="K820" s="74"/>
      <c r="L820" s="74"/>
      <c r="M820" s="74"/>
      <c r="N820" s="74"/>
      <c r="O820" s="74"/>
      <c r="P820" s="74"/>
      <c r="Q820" s="74"/>
      <c r="R820" s="74"/>
      <c r="S820" s="74"/>
      <c r="T820" s="74"/>
      <c r="U820" s="74"/>
      <c r="V820" s="74"/>
      <c r="W820" s="74"/>
      <c r="X820" s="74"/>
      <c r="Y820" s="74"/>
      <c r="Z820" s="74"/>
      <c r="AA820" s="74"/>
      <c r="AB820" s="74"/>
    </row>
    <row r="821" spans="1:28" ht="40.5" customHeight="1">
      <c r="A821" s="434"/>
      <c r="B821" s="435"/>
      <c r="C821" s="369"/>
      <c r="D821" s="369"/>
      <c r="E821" s="369"/>
      <c r="F821" s="369"/>
      <c r="G821" s="374"/>
      <c r="H821" s="375"/>
      <c r="I821" s="35"/>
      <c r="J821" s="74"/>
      <c r="K821" s="74"/>
      <c r="L821" s="74"/>
      <c r="M821" s="74"/>
      <c r="N821" s="74"/>
      <c r="O821" s="74"/>
      <c r="P821" s="74"/>
      <c r="Q821" s="74"/>
      <c r="R821" s="74"/>
      <c r="S821" s="74"/>
      <c r="T821" s="74"/>
      <c r="U821" s="74"/>
      <c r="V821" s="74"/>
      <c r="W821" s="74"/>
      <c r="X821" s="74"/>
      <c r="Y821" s="74"/>
      <c r="Z821" s="74"/>
      <c r="AA821" s="74"/>
      <c r="AB821" s="74"/>
    </row>
    <row r="822" spans="1:28" ht="40.5" customHeight="1">
      <c r="A822" s="434"/>
      <c r="B822" s="435"/>
      <c r="C822" s="369"/>
      <c r="D822" s="369"/>
      <c r="E822" s="369"/>
      <c r="F822" s="369"/>
      <c r="G822" s="374"/>
      <c r="H822" s="375"/>
      <c r="I822" s="35"/>
      <c r="J822" s="74"/>
      <c r="K822" s="74"/>
      <c r="L822" s="74"/>
      <c r="M822" s="74"/>
      <c r="N822" s="74"/>
      <c r="O822" s="74"/>
      <c r="P822" s="74"/>
      <c r="Q822" s="74"/>
      <c r="R822" s="74"/>
      <c r="S822" s="74"/>
      <c r="T822" s="74"/>
      <c r="U822" s="74"/>
      <c r="V822" s="74"/>
      <c r="W822" s="74"/>
      <c r="X822" s="74"/>
      <c r="Y822" s="74"/>
      <c r="Z822" s="74"/>
      <c r="AA822" s="74"/>
      <c r="AB822" s="74"/>
    </row>
    <row r="823" spans="1:28" ht="40.5" customHeight="1">
      <c r="A823" s="434"/>
      <c r="B823" s="435"/>
      <c r="C823" s="369"/>
      <c r="D823" s="369"/>
      <c r="E823" s="369"/>
      <c r="F823" s="369"/>
      <c r="G823" s="374"/>
      <c r="H823" s="375"/>
      <c r="I823" s="35"/>
      <c r="J823" s="74"/>
      <c r="K823" s="74"/>
      <c r="L823" s="74"/>
      <c r="M823" s="74"/>
      <c r="N823" s="74"/>
      <c r="O823" s="74"/>
      <c r="P823" s="74"/>
      <c r="Q823" s="74"/>
      <c r="R823" s="74"/>
      <c r="S823" s="74"/>
      <c r="T823" s="74"/>
      <c r="U823" s="74"/>
      <c r="V823" s="74"/>
      <c r="W823" s="74"/>
      <c r="X823" s="74"/>
      <c r="Y823" s="74"/>
      <c r="Z823" s="74"/>
      <c r="AA823" s="74"/>
      <c r="AB823" s="74"/>
    </row>
    <row r="824" spans="1:28" ht="40.5" customHeight="1">
      <c r="A824" s="434"/>
      <c r="B824" s="435"/>
      <c r="C824" s="369"/>
      <c r="D824" s="369"/>
      <c r="E824" s="369"/>
      <c r="F824" s="369"/>
      <c r="G824" s="374"/>
      <c r="H824" s="375"/>
      <c r="I824" s="35"/>
      <c r="J824" s="74"/>
      <c r="K824" s="74"/>
      <c r="L824" s="74"/>
      <c r="M824" s="74"/>
      <c r="N824" s="74"/>
      <c r="O824" s="74"/>
      <c r="P824" s="74"/>
      <c r="Q824" s="74"/>
      <c r="R824" s="74"/>
      <c r="S824" s="74"/>
      <c r="T824" s="74"/>
      <c r="U824" s="74"/>
      <c r="V824" s="74"/>
      <c r="W824" s="74"/>
      <c r="X824" s="74"/>
      <c r="Y824" s="74"/>
      <c r="Z824" s="74"/>
      <c r="AA824" s="74"/>
      <c r="AB824" s="74"/>
    </row>
    <row r="825" spans="1:28" ht="40.5" customHeight="1">
      <c r="A825" s="434"/>
      <c r="B825" s="435"/>
      <c r="C825" s="369"/>
      <c r="D825" s="369"/>
      <c r="E825" s="369"/>
      <c r="F825" s="369"/>
      <c r="G825" s="374"/>
      <c r="H825" s="375"/>
      <c r="I825" s="35"/>
      <c r="J825" s="74"/>
      <c r="K825" s="74"/>
      <c r="L825" s="74"/>
      <c r="M825" s="74"/>
      <c r="N825" s="74"/>
      <c r="O825" s="74"/>
      <c r="P825" s="74"/>
      <c r="Q825" s="74"/>
      <c r="R825" s="74"/>
      <c r="S825" s="74"/>
      <c r="T825" s="74"/>
      <c r="U825" s="74"/>
      <c r="V825" s="74"/>
      <c r="W825" s="74"/>
      <c r="X825" s="74"/>
      <c r="Y825" s="74"/>
      <c r="Z825" s="74"/>
      <c r="AA825" s="74"/>
      <c r="AB825" s="74"/>
    </row>
    <row r="826" spans="1:28" ht="40.5" customHeight="1">
      <c r="A826" s="434"/>
      <c r="B826" s="435"/>
      <c r="C826" s="369"/>
      <c r="D826" s="369"/>
      <c r="E826" s="369"/>
      <c r="F826" s="369"/>
      <c r="G826" s="374"/>
      <c r="H826" s="375"/>
      <c r="I826" s="35"/>
      <c r="J826" s="74"/>
      <c r="K826" s="74"/>
      <c r="L826" s="74"/>
      <c r="M826" s="74"/>
      <c r="N826" s="74"/>
      <c r="O826" s="74"/>
      <c r="P826" s="74"/>
      <c r="Q826" s="74"/>
      <c r="R826" s="74"/>
      <c r="S826" s="74"/>
      <c r="T826" s="74"/>
      <c r="U826" s="74"/>
      <c r="V826" s="74"/>
      <c r="W826" s="74"/>
      <c r="X826" s="74"/>
      <c r="Y826" s="74"/>
      <c r="Z826" s="74"/>
      <c r="AA826" s="74"/>
      <c r="AB826" s="74"/>
    </row>
    <row r="827" spans="1:28" ht="40.5" customHeight="1">
      <c r="A827" s="434"/>
      <c r="B827" s="435"/>
      <c r="C827" s="369"/>
      <c r="D827" s="369"/>
      <c r="E827" s="369"/>
      <c r="F827" s="369"/>
      <c r="G827" s="374"/>
      <c r="H827" s="375"/>
      <c r="I827" s="35"/>
      <c r="J827" s="74"/>
      <c r="K827" s="74"/>
      <c r="L827" s="74"/>
      <c r="M827" s="74"/>
      <c r="N827" s="74"/>
      <c r="O827" s="74"/>
      <c r="P827" s="74"/>
      <c r="Q827" s="74"/>
      <c r="R827" s="74"/>
      <c r="S827" s="74"/>
      <c r="T827" s="74"/>
      <c r="U827" s="74"/>
      <c r="V827" s="74"/>
      <c r="W827" s="74"/>
      <c r="X827" s="74"/>
      <c r="Y827" s="74"/>
      <c r="Z827" s="74"/>
      <c r="AA827" s="74"/>
      <c r="AB827" s="74"/>
    </row>
    <row r="828" spans="1:28" ht="40.5" customHeight="1">
      <c r="A828" s="434"/>
      <c r="B828" s="435"/>
      <c r="C828" s="369"/>
      <c r="D828" s="369"/>
      <c r="E828" s="369"/>
      <c r="F828" s="369"/>
      <c r="G828" s="374"/>
      <c r="H828" s="375"/>
      <c r="I828" s="35"/>
      <c r="J828" s="74"/>
      <c r="K828" s="74"/>
      <c r="L828" s="74"/>
      <c r="M828" s="74"/>
      <c r="N828" s="74"/>
      <c r="O828" s="74"/>
      <c r="P828" s="74"/>
      <c r="Q828" s="74"/>
      <c r="R828" s="74"/>
      <c r="S828" s="74"/>
      <c r="T828" s="74"/>
      <c r="U828" s="74"/>
      <c r="V828" s="74"/>
      <c r="W828" s="74"/>
      <c r="X828" s="74"/>
      <c r="Y828" s="74"/>
      <c r="Z828" s="74"/>
      <c r="AA828" s="74"/>
      <c r="AB828" s="74"/>
    </row>
    <row r="829" spans="1:28" ht="40.5" customHeight="1">
      <c r="A829" s="434"/>
      <c r="B829" s="435"/>
      <c r="C829" s="369"/>
      <c r="D829" s="369"/>
      <c r="E829" s="369"/>
      <c r="F829" s="369"/>
      <c r="G829" s="374"/>
      <c r="H829" s="375"/>
      <c r="I829" s="35"/>
      <c r="J829" s="74"/>
      <c r="K829" s="74"/>
      <c r="L829" s="74"/>
      <c r="M829" s="74"/>
      <c r="N829" s="74"/>
      <c r="O829" s="74"/>
      <c r="P829" s="74"/>
      <c r="Q829" s="74"/>
      <c r="R829" s="74"/>
      <c r="S829" s="74"/>
      <c r="T829" s="74"/>
      <c r="U829" s="74"/>
      <c r="V829" s="74"/>
      <c r="W829" s="74"/>
      <c r="X829" s="74"/>
      <c r="Y829" s="74"/>
      <c r="Z829" s="74"/>
      <c r="AA829" s="74"/>
      <c r="AB829" s="74"/>
    </row>
    <row r="830" spans="1:28" ht="40.5" customHeight="1">
      <c r="A830" s="434"/>
      <c r="B830" s="435"/>
      <c r="C830" s="369"/>
      <c r="D830" s="369"/>
      <c r="E830" s="369"/>
      <c r="F830" s="369"/>
      <c r="G830" s="374"/>
      <c r="H830" s="375"/>
      <c r="I830" s="35"/>
      <c r="J830" s="74"/>
      <c r="K830" s="74"/>
      <c r="L830" s="74"/>
      <c r="M830" s="74"/>
      <c r="N830" s="74"/>
      <c r="O830" s="74"/>
      <c r="P830" s="74"/>
      <c r="Q830" s="74"/>
      <c r="R830" s="74"/>
      <c r="S830" s="74"/>
      <c r="T830" s="74"/>
      <c r="U830" s="74"/>
      <c r="V830" s="74"/>
      <c r="W830" s="74"/>
      <c r="X830" s="74"/>
      <c r="Y830" s="74"/>
      <c r="Z830" s="74"/>
      <c r="AA830" s="74"/>
      <c r="AB830" s="74"/>
    </row>
    <row r="831" spans="1:28" ht="40.5" customHeight="1">
      <c r="A831" s="434"/>
      <c r="B831" s="435"/>
      <c r="C831" s="369"/>
      <c r="D831" s="369"/>
      <c r="E831" s="369"/>
      <c r="F831" s="369"/>
      <c r="G831" s="374"/>
      <c r="H831" s="375"/>
      <c r="I831" s="35"/>
      <c r="J831" s="74"/>
      <c r="K831" s="74"/>
      <c r="L831" s="74"/>
      <c r="M831" s="74"/>
      <c r="N831" s="74"/>
      <c r="O831" s="74"/>
      <c r="P831" s="74"/>
      <c r="Q831" s="74"/>
      <c r="R831" s="74"/>
      <c r="S831" s="74"/>
      <c r="T831" s="74"/>
      <c r="U831" s="74"/>
      <c r="V831" s="74"/>
      <c r="W831" s="74"/>
      <c r="X831" s="74"/>
      <c r="Y831" s="74"/>
      <c r="Z831" s="74"/>
      <c r="AA831" s="74"/>
      <c r="AB831" s="74"/>
    </row>
    <row r="832" spans="1:28" ht="40.5" customHeight="1">
      <c r="A832" s="434"/>
      <c r="B832" s="435"/>
      <c r="C832" s="369"/>
      <c r="D832" s="369"/>
      <c r="E832" s="369"/>
      <c r="F832" s="369"/>
      <c r="G832" s="374"/>
      <c r="H832" s="375"/>
      <c r="I832" s="35"/>
      <c r="J832" s="74"/>
      <c r="K832" s="74"/>
      <c r="L832" s="74"/>
      <c r="M832" s="74"/>
      <c r="N832" s="74"/>
      <c r="O832" s="74"/>
      <c r="P832" s="74"/>
      <c r="Q832" s="74"/>
      <c r="R832" s="74"/>
      <c r="S832" s="74"/>
      <c r="T832" s="74"/>
      <c r="U832" s="74"/>
      <c r="V832" s="74"/>
      <c r="W832" s="74"/>
      <c r="X832" s="74"/>
      <c r="Y832" s="74"/>
      <c r="Z832" s="74"/>
      <c r="AA832" s="74"/>
      <c r="AB832" s="74"/>
    </row>
    <row r="833" spans="1:28" ht="40.5" customHeight="1">
      <c r="A833" s="434"/>
      <c r="B833" s="435"/>
      <c r="C833" s="369"/>
      <c r="D833" s="369"/>
      <c r="E833" s="369"/>
      <c r="F833" s="369"/>
      <c r="G833" s="374"/>
      <c r="H833" s="375"/>
      <c r="I833" s="35"/>
      <c r="J833" s="74"/>
      <c r="K833" s="74"/>
      <c r="L833" s="74"/>
      <c r="M833" s="74"/>
      <c r="N833" s="74"/>
      <c r="O833" s="74"/>
      <c r="P833" s="74"/>
      <c r="Q833" s="74"/>
      <c r="R833" s="74"/>
      <c r="S833" s="74"/>
      <c r="T833" s="74"/>
      <c r="U833" s="74"/>
      <c r="V833" s="74"/>
      <c r="W833" s="74"/>
      <c r="X833" s="74"/>
      <c r="Y833" s="74"/>
      <c r="Z833" s="74"/>
      <c r="AA833" s="74"/>
      <c r="AB833" s="74"/>
    </row>
    <row r="834" spans="1:28" ht="40.5" customHeight="1">
      <c r="A834" s="434"/>
      <c r="B834" s="435"/>
      <c r="C834" s="369"/>
      <c r="D834" s="369"/>
      <c r="E834" s="369"/>
      <c r="F834" s="369"/>
      <c r="G834" s="374"/>
      <c r="H834" s="375"/>
      <c r="I834" s="35"/>
      <c r="J834" s="74"/>
      <c r="K834" s="74"/>
      <c r="L834" s="74"/>
      <c r="M834" s="74"/>
      <c r="N834" s="74"/>
      <c r="O834" s="74"/>
      <c r="P834" s="74"/>
      <c r="Q834" s="74"/>
      <c r="R834" s="74"/>
      <c r="S834" s="74"/>
      <c r="T834" s="74"/>
      <c r="U834" s="74"/>
      <c r="V834" s="74"/>
      <c r="W834" s="74"/>
      <c r="X834" s="74"/>
      <c r="Y834" s="74"/>
      <c r="Z834" s="74"/>
      <c r="AA834" s="74"/>
      <c r="AB834" s="74"/>
    </row>
    <row r="835" spans="1:28" ht="40.5" customHeight="1">
      <c r="A835" s="434"/>
      <c r="B835" s="435"/>
      <c r="C835" s="369"/>
      <c r="D835" s="369"/>
      <c r="E835" s="369"/>
      <c r="F835" s="369"/>
      <c r="G835" s="374"/>
      <c r="H835" s="375"/>
      <c r="I835" s="35"/>
      <c r="J835" s="74"/>
      <c r="K835" s="74"/>
      <c r="L835" s="74"/>
      <c r="M835" s="74"/>
      <c r="N835" s="74"/>
      <c r="O835" s="74"/>
      <c r="P835" s="74"/>
      <c r="Q835" s="74"/>
      <c r="R835" s="74"/>
      <c r="S835" s="74"/>
      <c r="T835" s="74"/>
      <c r="U835" s="74"/>
      <c r="V835" s="74"/>
      <c r="W835" s="74"/>
      <c r="X835" s="74"/>
      <c r="Y835" s="74"/>
      <c r="Z835" s="74"/>
      <c r="AA835" s="74"/>
      <c r="AB835" s="74"/>
    </row>
    <row r="836" spans="1:28" ht="40.5" customHeight="1">
      <c r="A836" s="434"/>
      <c r="B836" s="435"/>
      <c r="C836" s="369"/>
      <c r="D836" s="369"/>
      <c r="E836" s="369"/>
      <c r="F836" s="369"/>
      <c r="G836" s="374"/>
      <c r="H836" s="375"/>
      <c r="I836" s="35"/>
      <c r="J836" s="74"/>
      <c r="K836" s="74"/>
      <c r="L836" s="74"/>
      <c r="M836" s="74"/>
      <c r="N836" s="74"/>
      <c r="O836" s="74"/>
      <c r="P836" s="74"/>
      <c r="Q836" s="74"/>
      <c r="R836" s="74"/>
      <c r="S836" s="74"/>
      <c r="T836" s="74"/>
      <c r="U836" s="74"/>
      <c r="V836" s="74"/>
      <c r="W836" s="74"/>
      <c r="X836" s="74"/>
      <c r="Y836" s="74"/>
      <c r="Z836" s="74"/>
      <c r="AA836" s="74"/>
      <c r="AB836" s="74"/>
    </row>
    <row r="837" spans="1:28" ht="40.5" customHeight="1">
      <c r="A837" s="434"/>
      <c r="B837" s="435"/>
      <c r="C837" s="369"/>
      <c r="D837" s="369"/>
      <c r="E837" s="369"/>
      <c r="F837" s="369"/>
      <c r="G837" s="374"/>
      <c r="H837" s="375"/>
      <c r="I837" s="35"/>
      <c r="J837" s="74"/>
      <c r="K837" s="74"/>
      <c r="L837" s="74"/>
      <c r="M837" s="74"/>
      <c r="N837" s="74"/>
      <c r="O837" s="74"/>
      <c r="P837" s="74"/>
      <c r="Q837" s="74"/>
      <c r="R837" s="74"/>
      <c r="S837" s="74"/>
      <c r="T837" s="74"/>
      <c r="U837" s="74"/>
      <c r="V837" s="74"/>
      <c r="W837" s="74"/>
      <c r="X837" s="74"/>
      <c r="Y837" s="74"/>
      <c r="Z837" s="74"/>
      <c r="AA837" s="74"/>
      <c r="AB837" s="74"/>
    </row>
    <row r="838" spans="1:28" ht="40.5" customHeight="1">
      <c r="A838" s="434"/>
      <c r="B838" s="435"/>
      <c r="C838" s="369"/>
      <c r="D838" s="369"/>
      <c r="E838" s="369"/>
      <c r="F838" s="369"/>
      <c r="G838" s="374"/>
      <c r="H838" s="375"/>
      <c r="I838" s="35"/>
      <c r="J838" s="74"/>
      <c r="K838" s="74"/>
      <c r="L838" s="74"/>
      <c r="M838" s="74"/>
      <c r="N838" s="74"/>
      <c r="O838" s="74"/>
      <c r="P838" s="74"/>
      <c r="Q838" s="74"/>
      <c r="R838" s="74"/>
      <c r="S838" s="74"/>
      <c r="T838" s="74"/>
      <c r="U838" s="74"/>
      <c r="V838" s="74"/>
      <c r="W838" s="74"/>
      <c r="X838" s="74"/>
      <c r="Y838" s="74"/>
      <c r="Z838" s="74"/>
      <c r="AA838" s="74"/>
      <c r="AB838" s="74"/>
    </row>
    <row r="839" spans="1:28" ht="40.5" customHeight="1">
      <c r="A839" s="434"/>
      <c r="B839" s="435"/>
      <c r="C839" s="369"/>
      <c r="D839" s="369"/>
      <c r="E839" s="369"/>
      <c r="F839" s="369"/>
      <c r="G839" s="374"/>
      <c r="H839" s="375"/>
      <c r="I839" s="35"/>
      <c r="J839" s="74"/>
      <c r="K839" s="74"/>
      <c r="L839" s="74"/>
      <c r="M839" s="74"/>
      <c r="N839" s="74"/>
      <c r="O839" s="74"/>
      <c r="P839" s="74"/>
      <c r="Q839" s="74"/>
      <c r="R839" s="74"/>
      <c r="S839" s="74"/>
      <c r="T839" s="74"/>
      <c r="U839" s="74"/>
      <c r="V839" s="74"/>
      <c r="W839" s="74"/>
      <c r="X839" s="74"/>
      <c r="Y839" s="74"/>
      <c r="Z839" s="74"/>
      <c r="AA839" s="74"/>
      <c r="AB839" s="74"/>
    </row>
    <row r="840" spans="1:28" ht="40.5" customHeight="1">
      <c r="A840" s="434"/>
      <c r="B840" s="435"/>
      <c r="C840" s="369"/>
      <c r="D840" s="369"/>
      <c r="E840" s="369"/>
      <c r="F840" s="369"/>
      <c r="G840" s="374"/>
      <c r="H840" s="375"/>
      <c r="I840" s="35"/>
      <c r="J840" s="74"/>
      <c r="K840" s="74"/>
      <c r="L840" s="74"/>
      <c r="M840" s="74"/>
      <c r="N840" s="74"/>
      <c r="O840" s="74"/>
      <c r="P840" s="74"/>
      <c r="Q840" s="74"/>
      <c r="R840" s="74"/>
      <c r="S840" s="74"/>
      <c r="T840" s="74"/>
      <c r="U840" s="74"/>
      <c r="V840" s="74"/>
      <c r="W840" s="74"/>
      <c r="X840" s="74"/>
      <c r="Y840" s="74"/>
      <c r="Z840" s="74"/>
      <c r="AA840" s="74"/>
      <c r="AB840" s="74"/>
    </row>
    <row r="841" spans="1:28" ht="40.5" customHeight="1">
      <c r="A841" s="434"/>
      <c r="B841" s="435"/>
      <c r="C841" s="369"/>
      <c r="D841" s="369"/>
      <c r="E841" s="369"/>
      <c r="F841" s="369"/>
      <c r="G841" s="374"/>
      <c r="H841" s="375"/>
      <c r="I841" s="35"/>
      <c r="J841" s="74"/>
      <c r="K841" s="74"/>
      <c r="L841" s="74"/>
      <c r="M841" s="74"/>
      <c r="N841" s="74"/>
      <c r="O841" s="74"/>
      <c r="P841" s="74"/>
      <c r="Q841" s="74"/>
      <c r="R841" s="74"/>
      <c r="S841" s="74"/>
      <c r="T841" s="74"/>
      <c r="U841" s="74"/>
      <c r="V841" s="74"/>
      <c r="W841" s="74"/>
      <c r="X841" s="74"/>
      <c r="Y841" s="74"/>
      <c r="Z841" s="74"/>
      <c r="AA841" s="74"/>
      <c r="AB841" s="74"/>
    </row>
    <row r="842" spans="1:28" ht="40.5" customHeight="1">
      <c r="A842" s="434"/>
      <c r="B842" s="435"/>
      <c r="C842" s="369"/>
      <c r="D842" s="369"/>
      <c r="E842" s="369"/>
      <c r="F842" s="369"/>
      <c r="G842" s="374"/>
      <c r="H842" s="375"/>
      <c r="I842" s="35"/>
      <c r="J842" s="74"/>
      <c r="K842" s="74"/>
      <c r="L842" s="74"/>
      <c r="M842" s="74"/>
      <c r="N842" s="74"/>
      <c r="O842" s="74"/>
      <c r="P842" s="74"/>
      <c r="Q842" s="74"/>
      <c r="R842" s="74"/>
      <c r="S842" s="74"/>
      <c r="T842" s="74"/>
      <c r="U842" s="74"/>
      <c r="V842" s="74"/>
      <c r="W842" s="74"/>
      <c r="X842" s="74"/>
      <c r="Y842" s="74"/>
      <c r="Z842" s="74"/>
      <c r="AA842" s="74"/>
      <c r="AB842" s="74"/>
    </row>
    <row r="843" spans="1:28" ht="40.5" customHeight="1">
      <c r="A843" s="434"/>
      <c r="B843" s="435"/>
      <c r="C843" s="369"/>
      <c r="D843" s="369"/>
      <c r="E843" s="369"/>
      <c r="F843" s="369"/>
      <c r="G843" s="374"/>
      <c r="H843" s="375"/>
      <c r="I843" s="35"/>
      <c r="J843" s="74"/>
      <c r="K843" s="74"/>
      <c r="L843" s="74"/>
      <c r="M843" s="74"/>
      <c r="N843" s="74"/>
      <c r="O843" s="74"/>
      <c r="P843" s="74"/>
      <c r="Q843" s="74"/>
      <c r="R843" s="74"/>
      <c r="S843" s="74"/>
      <c r="T843" s="74"/>
      <c r="U843" s="74"/>
      <c r="V843" s="74"/>
      <c r="W843" s="74"/>
      <c r="X843" s="74"/>
      <c r="Y843" s="74"/>
      <c r="Z843" s="74"/>
      <c r="AA843" s="74"/>
      <c r="AB843" s="74"/>
    </row>
    <row r="844" spans="1:28" ht="40.5" customHeight="1">
      <c r="A844" s="434"/>
      <c r="B844" s="435"/>
      <c r="C844" s="369"/>
      <c r="D844" s="369"/>
      <c r="E844" s="369"/>
      <c r="F844" s="369"/>
      <c r="G844" s="374"/>
      <c r="H844" s="375"/>
      <c r="I844" s="35"/>
      <c r="J844" s="74"/>
      <c r="K844" s="74"/>
      <c r="L844" s="74"/>
      <c r="M844" s="74"/>
      <c r="N844" s="74"/>
      <c r="O844" s="74"/>
      <c r="P844" s="74"/>
      <c r="Q844" s="74"/>
      <c r="R844" s="74"/>
      <c r="S844" s="74"/>
      <c r="T844" s="74"/>
      <c r="U844" s="74"/>
      <c r="V844" s="74"/>
      <c r="W844" s="74"/>
      <c r="X844" s="74"/>
      <c r="Y844" s="74"/>
      <c r="Z844" s="74"/>
      <c r="AA844" s="74"/>
      <c r="AB844" s="74"/>
    </row>
    <row r="845" spans="1:28" ht="40.5" customHeight="1">
      <c r="A845" s="434"/>
      <c r="B845" s="435"/>
      <c r="C845" s="369"/>
      <c r="D845" s="369"/>
      <c r="E845" s="369"/>
      <c r="F845" s="369"/>
      <c r="G845" s="374"/>
      <c r="H845" s="375"/>
      <c r="I845" s="35"/>
      <c r="J845" s="74"/>
      <c r="K845" s="74"/>
      <c r="L845" s="74"/>
      <c r="M845" s="74"/>
      <c r="N845" s="74"/>
      <c r="O845" s="74"/>
      <c r="P845" s="74"/>
      <c r="Q845" s="74"/>
      <c r="R845" s="74"/>
      <c r="S845" s="74"/>
      <c r="T845" s="74"/>
      <c r="U845" s="74"/>
      <c r="V845" s="74"/>
      <c r="W845" s="74"/>
      <c r="X845" s="74"/>
      <c r="Y845" s="74"/>
      <c r="Z845" s="74"/>
      <c r="AA845" s="74"/>
      <c r="AB845" s="74"/>
    </row>
    <row r="846" spans="1:28" ht="40.5" customHeight="1">
      <c r="A846" s="434"/>
      <c r="B846" s="435"/>
      <c r="C846" s="369"/>
      <c r="D846" s="369"/>
      <c r="E846" s="369"/>
      <c r="F846" s="369"/>
      <c r="G846" s="374"/>
      <c r="H846" s="375"/>
      <c r="I846" s="35"/>
      <c r="J846" s="74"/>
      <c r="K846" s="74"/>
      <c r="L846" s="74"/>
      <c r="M846" s="74"/>
      <c r="N846" s="74"/>
      <c r="O846" s="74"/>
      <c r="P846" s="74"/>
      <c r="Q846" s="74"/>
      <c r="R846" s="74"/>
      <c r="S846" s="74"/>
      <c r="T846" s="74"/>
      <c r="U846" s="74"/>
      <c r="V846" s="74"/>
      <c r="W846" s="74"/>
      <c r="X846" s="74"/>
      <c r="Y846" s="74"/>
      <c r="Z846" s="74"/>
      <c r="AA846" s="74"/>
      <c r="AB846" s="74"/>
    </row>
    <row r="847" spans="1:28" ht="40.5" customHeight="1">
      <c r="A847" s="434"/>
      <c r="B847" s="435"/>
      <c r="C847" s="369"/>
      <c r="D847" s="369"/>
      <c r="E847" s="369"/>
      <c r="F847" s="369"/>
      <c r="G847" s="374"/>
      <c r="H847" s="375"/>
      <c r="I847" s="35"/>
      <c r="J847" s="74"/>
      <c r="K847" s="74"/>
      <c r="L847" s="74"/>
      <c r="M847" s="74"/>
      <c r="N847" s="74"/>
      <c r="O847" s="74"/>
      <c r="P847" s="74"/>
      <c r="Q847" s="74"/>
      <c r="R847" s="74"/>
      <c r="S847" s="74"/>
      <c r="T847" s="74"/>
      <c r="U847" s="74"/>
      <c r="V847" s="74"/>
      <c r="W847" s="74"/>
      <c r="X847" s="74"/>
      <c r="Y847" s="74"/>
      <c r="Z847" s="74"/>
      <c r="AA847" s="74"/>
      <c r="AB847" s="74"/>
    </row>
    <row r="848" spans="1:28" ht="40.5" customHeight="1">
      <c r="A848" s="434"/>
      <c r="B848" s="435"/>
      <c r="C848" s="369"/>
      <c r="D848" s="369"/>
      <c r="E848" s="369"/>
      <c r="F848" s="369"/>
      <c r="G848" s="374"/>
      <c r="H848" s="375"/>
      <c r="I848" s="35"/>
      <c r="J848" s="74"/>
      <c r="K848" s="74"/>
      <c r="L848" s="74"/>
      <c r="M848" s="74"/>
      <c r="N848" s="74"/>
      <c r="O848" s="74"/>
      <c r="P848" s="74"/>
      <c r="Q848" s="74"/>
      <c r="R848" s="74"/>
      <c r="S848" s="74"/>
      <c r="T848" s="74"/>
      <c r="U848" s="74"/>
      <c r="V848" s="74"/>
      <c r="W848" s="74"/>
      <c r="X848" s="74"/>
      <c r="Y848" s="74"/>
      <c r="Z848" s="74"/>
      <c r="AA848" s="74"/>
      <c r="AB848" s="74"/>
    </row>
    <row r="849" spans="1:28" ht="40.5" customHeight="1">
      <c r="A849" s="434"/>
      <c r="B849" s="435"/>
      <c r="C849" s="369"/>
      <c r="D849" s="369"/>
      <c r="E849" s="369"/>
      <c r="F849" s="369"/>
      <c r="G849" s="374"/>
      <c r="H849" s="375"/>
      <c r="I849" s="35"/>
      <c r="J849" s="74"/>
      <c r="K849" s="74"/>
      <c r="L849" s="74"/>
      <c r="M849" s="74"/>
      <c r="N849" s="74"/>
      <c r="O849" s="74"/>
      <c r="P849" s="74"/>
      <c r="Q849" s="74"/>
      <c r="R849" s="74"/>
      <c r="S849" s="74"/>
      <c r="T849" s="74"/>
      <c r="U849" s="74"/>
      <c r="V849" s="74"/>
      <c r="W849" s="74"/>
      <c r="X849" s="74"/>
      <c r="Y849" s="74"/>
      <c r="Z849" s="74"/>
      <c r="AA849" s="74"/>
      <c r="AB849" s="74"/>
    </row>
    <row r="850" spans="1:28" ht="40.5" customHeight="1">
      <c r="A850" s="434"/>
      <c r="B850" s="435"/>
      <c r="C850" s="369"/>
      <c r="D850" s="369"/>
      <c r="E850" s="369"/>
      <c r="F850" s="369"/>
      <c r="G850" s="374"/>
      <c r="H850" s="375"/>
      <c r="I850" s="35"/>
      <c r="J850" s="74"/>
      <c r="K850" s="74"/>
      <c r="L850" s="74"/>
      <c r="M850" s="74"/>
      <c r="N850" s="74"/>
      <c r="O850" s="74"/>
      <c r="P850" s="74"/>
      <c r="Q850" s="74"/>
      <c r="R850" s="74"/>
      <c r="S850" s="74"/>
      <c r="T850" s="74"/>
      <c r="U850" s="74"/>
      <c r="V850" s="74"/>
      <c r="W850" s="74"/>
      <c r="X850" s="74"/>
      <c r="Y850" s="74"/>
      <c r="Z850" s="74"/>
      <c r="AA850" s="74"/>
      <c r="AB850" s="74"/>
    </row>
    <row r="851" spans="1:28" ht="40.5" customHeight="1">
      <c r="A851" s="434"/>
      <c r="B851" s="435"/>
      <c r="C851" s="369"/>
      <c r="D851" s="369"/>
      <c r="E851" s="369"/>
      <c r="F851" s="369"/>
      <c r="G851" s="374"/>
      <c r="H851" s="375"/>
      <c r="I851" s="35"/>
      <c r="J851" s="74"/>
      <c r="K851" s="74"/>
      <c r="L851" s="74"/>
      <c r="M851" s="74"/>
      <c r="N851" s="74"/>
      <c r="O851" s="74"/>
      <c r="P851" s="74"/>
      <c r="Q851" s="74"/>
      <c r="R851" s="74"/>
      <c r="S851" s="74"/>
      <c r="T851" s="74"/>
      <c r="U851" s="74"/>
      <c r="V851" s="74"/>
      <c r="W851" s="74"/>
      <c r="X851" s="74"/>
      <c r="Y851" s="74"/>
      <c r="Z851" s="74"/>
      <c r="AA851" s="74"/>
      <c r="AB851" s="74"/>
    </row>
    <row r="852" spans="1:28" ht="40.5" customHeight="1">
      <c r="A852" s="434"/>
      <c r="B852" s="435"/>
      <c r="C852" s="369"/>
      <c r="D852" s="369"/>
      <c r="E852" s="369"/>
      <c r="F852" s="369"/>
      <c r="G852" s="374"/>
      <c r="H852" s="375"/>
      <c r="I852" s="35"/>
      <c r="J852" s="74"/>
      <c r="K852" s="74"/>
      <c r="L852" s="74"/>
      <c r="M852" s="74"/>
      <c r="N852" s="74"/>
      <c r="O852" s="74"/>
      <c r="P852" s="74"/>
      <c r="Q852" s="74"/>
      <c r="R852" s="74"/>
      <c r="S852" s="74"/>
      <c r="T852" s="74"/>
      <c r="U852" s="74"/>
      <c r="V852" s="74"/>
      <c r="W852" s="74"/>
      <c r="X852" s="74"/>
      <c r="Y852" s="74"/>
      <c r="Z852" s="74"/>
      <c r="AA852" s="74"/>
      <c r="AB852" s="74"/>
    </row>
    <row r="853" spans="1:28" ht="40.5" customHeight="1">
      <c r="A853" s="434"/>
      <c r="B853" s="435"/>
      <c r="C853" s="369"/>
      <c r="D853" s="369"/>
      <c r="E853" s="369"/>
      <c r="F853" s="369"/>
      <c r="G853" s="374"/>
      <c r="H853" s="375"/>
      <c r="I853" s="35"/>
      <c r="J853" s="74"/>
      <c r="K853" s="74"/>
      <c r="L853" s="74"/>
      <c r="M853" s="74"/>
      <c r="N853" s="74"/>
      <c r="O853" s="74"/>
      <c r="P853" s="74"/>
      <c r="Q853" s="74"/>
      <c r="R853" s="74"/>
      <c r="S853" s="74"/>
      <c r="T853" s="74"/>
      <c r="U853" s="74"/>
      <c r="V853" s="74"/>
      <c r="W853" s="74"/>
      <c r="X853" s="74"/>
      <c r="Y853" s="74"/>
      <c r="Z853" s="74"/>
      <c r="AA853" s="74"/>
      <c r="AB853" s="74"/>
    </row>
    <row r="854" spans="1:28" ht="40.5" customHeight="1">
      <c r="A854" s="434"/>
      <c r="B854" s="435"/>
      <c r="C854" s="369"/>
      <c r="D854" s="369"/>
      <c r="E854" s="369"/>
      <c r="F854" s="369"/>
      <c r="G854" s="374"/>
      <c r="H854" s="375"/>
      <c r="I854" s="35"/>
      <c r="J854" s="74"/>
      <c r="K854" s="74"/>
      <c r="L854" s="74"/>
      <c r="M854" s="74"/>
      <c r="N854" s="74"/>
      <c r="O854" s="74"/>
      <c r="P854" s="74"/>
      <c r="Q854" s="74"/>
      <c r="R854" s="74"/>
      <c r="S854" s="74"/>
      <c r="T854" s="74"/>
      <c r="U854" s="74"/>
      <c r="V854" s="74"/>
      <c r="W854" s="74"/>
      <c r="X854" s="74"/>
      <c r="Y854" s="74"/>
      <c r="Z854" s="74"/>
      <c r="AA854" s="74"/>
      <c r="AB854" s="74"/>
    </row>
    <row r="855" spans="1:28" ht="40.5" customHeight="1">
      <c r="A855" s="434"/>
      <c r="B855" s="435"/>
      <c r="C855" s="369"/>
      <c r="D855" s="369"/>
      <c r="E855" s="369"/>
      <c r="F855" s="369"/>
      <c r="G855" s="374"/>
      <c r="H855" s="375"/>
      <c r="I855" s="35"/>
      <c r="J855" s="74"/>
      <c r="K855" s="74"/>
      <c r="L855" s="74"/>
      <c r="M855" s="74"/>
      <c r="N855" s="74"/>
      <c r="O855" s="74"/>
      <c r="P855" s="74"/>
      <c r="Q855" s="74"/>
      <c r="R855" s="74"/>
      <c r="S855" s="74"/>
      <c r="T855" s="74"/>
      <c r="U855" s="74"/>
      <c r="V855" s="74"/>
      <c r="W855" s="74"/>
      <c r="X855" s="74"/>
      <c r="Y855" s="74"/>
      <c r="Z855" s="74"/>
      <c r="AA855" s="74"/>
      <c r="AB855" s="74"/>
    </row>
    <row r="856" spans="1:28" ht="40.5" customHeight="1">
      <c r="A856" s="434"/>
      <c r="B856" s="435"/>
      <c r="C856" s="369"/>
      <c r="D856" s="369"/>
      <c r="E856" s="369"/>
      <c r="F856" s="369"/>
      <c r="G856" s="374"/>
      <c r="H856" s="375"/>
      <c r="I856" s="35"/>
      <c r="J856" s="74"/>
      <c r="K856" s="74"/>
      <c r="L856" s="74"/>
      <c r="M856" s="74"/>
      <c r="N856" s="74"/>
      <c r="O856" s="74"/>
      <c r="P856" s="74"/>
      <c r="Q856" s="74"/>
      <c r="R856" s="74"/>
      <c r="S856" s="74"/>
      <c r="T856" s="74"/>
      <c r="U856" s="74"/>
      <c r="V856" s="74"/>
      <c r="W856" s="74"/>
      <c r="X856" s="74"/>
      <c r="Y856" s="74"/>
      <c r="Z856" s="74"/>
      <c r="AA856" s="74"/>
      <c r="AB856" s="74"/>
    </row>
    <row r="857" spans="1:28" ht="40.5" customHeight="1">
      <c r="A857" s="434"/>
      <c r="B857" s="435"/>
      <c r="C857" s="369"/>
      <c r="D857" s="369"/>
      <c r="E857" s="369"/>
      <c r="F857" s="369"/>
      <c r="G857" s="374"/>
      <c r="H857" s="375"/>
      <c r="I857" s="35"/>
      <c r="J857" s="74"/>
      <c r="K857" s="74"/>
      <c r="L857" s="74"/>
      <c r="M857" s="74"/>
      <c r="N857" s="74"/>
      <c r="O857" s="74"/>
      <c r="P857" s="74"/>
      <c r="Q857" s="74"/>
      <c r="R857" s="74"/>
      <c r="S857" s="74"/>
      <c r="T857" s="74"/>
      <c r="U857" s="74"/>
      <c r="V857" s="74"/>
      <c r="W857" s="74"/>
      <c r="X857" s="74"/>
      <c r="Y857" s="74"/>
      <c r="Z857" s="74"/>
      <c r="AA857" s="74"/>
      <c r="AB857" s="74"/>
    </row>
    <row r="858" spans="1:28" ht="40.5" customHeight="1">
      <c r="A858" s="434"/>
      <c r="B858" s="435"/>
      <c r="C858" s="369"/>
      <c r="D858" s="369"/>
      <c r="E858" s="369"/>
      <c r="F858" s="369"/>
      <c r="G858" s="374"/>
      <c r="H858" s="375"/>
      <c r="I858" s="35"/>
      <c r="J858" s="74"/>
      <c r="K858" s="74"/>
      <c r="L858" s="74"/>
      <c r="M858" s="74"/>
      <c r="N858" s="74"/>
      <c r="O858" s="74"/>
      <c r="P858" s="74"/>
      <c r="Q858" s="74"/>
      <c r="R858" s="74"/>
      <c r="S858" s="74"/>
      <c r="T858" s="74"/>
      <c r="U858" s="74"/>
      <c r="V858" s="74"/>
      <c r="W858" s="74"/>
      <c r="X858" s="74"/>
      <c r="Y858" s="74"/>
      <c r="Z858" s="74"/>
      <c r="AA858" s="74"/>
      <c r="AB858" s="74"/>
    </row>
    <row r="859" spans="1:28" ht="40.5" customHeight="1">
      <c r="A859" s="434"/>
      <c r="B859" s="435"/>
      <c r="C859" s="369"/>
      <c r="D859" s="369"/>
      <c r="E859" s="369"/>
      <c r="F859" s="369"/>
      <c r="G859" s="374"/>
      <c r="H859" s="375"/>
      <c r="I859" s="35"/>
      <c r="J859" s="74"/>
      <c r="K859" s="74"/>
      <c r="L859" s="74"/>
      <c r="M859" s="74"/>
      <c r="N859" s="74"/>
      <c r="O859" s="74"/>
      <c r="P859" s="74"/>
      <c r="Q859" s="74"/>
      <c r="R859" s="74"/>
      <c r="S859" s="74"/>
      <c r="T859" s="74"/>
      <c r="U859" s="74"/>
      <c r="V859" s="74"/>
      <c r="W859" s="74"/>
      <c r="X859" s="74"/>
      <c r="Y859" s="74"/>
      <c r="Z859" s="74"/>
      <c r="AA859" s="74"/>
      <c r="AB859" s="74"/>
    </row>
    <row r="860" spans="1:28" ht="40.5" customHeight="1">
      <c r="A860" s="434"/>
      <c r="B860" s="435"/>
      <c r="C860" s="369"/>
      <c r="D860" s="369"/>
      <c r="E860" s="369"/>
      <c r="F860" s="369"/>
      <c r="G860" s="374"/>
      <c r="H860" s="375"/>
      <c r="I860" s="35"/>
      <c r="J860" s="74"/>
      <c r="K860" s="74"/>
      <c r="L860" s="74"/>
      <c r="M860" s="74"/>
      <c r="N860" s="74"/>
      <c r="O860" s="74"/>
      <c r="P860" s="74"/>
      <c r="Q860" s="74"/>
      <c r="R860" s="74"/>
      <c r="S860" s="74"/>
      <c r="T860" s="74"/>
      <c r="U860" s="74"/>
      <c r="V860" s="74"/>
      <c r="W860" s="74"/>
      <c r="X860" s="74"/>
      <c r="Y860" s="74"/>
      <c r="Z860" s="74"/>
      <c r="AA860" s="74"/>
      <c r="AB860" s="74"/>
    </row>
    <row r="861" spans="1:28" ht="40.5" customHeight="1">
      <c r="A861" s="434"/>
      <c r="B861" s="435"/>
      <c r="C861" s="369"/>
      <c r="D861" s="369"/>
      <c r="E861" s="369"/>
      <c r="F861" s="369"/>
      <c r="G861" s="374"/>
      <c r="H861" s="375"/>
      <c r="I861" s="35"/>
      <c r="J861" s="74"/>
      <c r="K861" s="74"/>
      <c r="L861" s="74"/>
      <c r="M861" s="74"/>
      <c r="N861" s="74"/>
      <c r="O861" s="74"/>
      <c r="P861" s="74"/>
      <c r="Q861" s="74"/>
      <c r="R861" s="74"/>
      <c r="S861" s="74"/>
      <c r="T861" s="74"/>
      <c r="U861" s="74"/>
      <c r="V861" s="74"/>
      <c r="W861" s="74"/>
      <c r="X861" s="74"/>
      <c r="Y861" s="74"/>
      <c r="Z861" s="74"/>
      <c r="AA861" s="74"/>
      <c r="AB861" s="74"/>
    </row>
    <row r="862" spans="1:28" ht="40.5" customHeight="1">
      <c r="A862" s="434"/>
      <c r="B862" s="435"/>
      <c r="C862" s="369"/>
      <c r="D862" s="369"/>
      <c r="E862" s="369"/>
      <c r="F862" s="369"/>
      <c r="G862" s="374"/>
      <c r="H862" s="375"/>
      <c r="I862" s="35"/>
      <c r="J862" s="74"/>
      <c r="K862" s="74"/>
      <c r="L862" s="74"/>
      <c r="M862" s="74"/>
      <c r="N862" s="74"/>
      <c r="O862" s="74"/>
      <c r="P862" s="74"/>
      <c r="Q862" s="74"/>
      <c r="R862" s="74"/>
      <c r="S862" s="74"/>
      <c r="T862" s="74"/>
      <c r="U862" s="74"/>
      <c r="V862" s="74"/>
      <c r="W862" s="74"/>
      <c r="X862" s="74"/>
      <c r="Y862" s="74"/>
      <c r="Z862" s="74"/>
      <c r="AA862" s="74"/>
      <c r="AB862" s="74"/>
    </row>
    <row r="863" spans="1:28" ht="40.5" customHeight="1">
      <c r="A863" s="434"/>
      <c r="B863" s="435"/>
      <c r="C863" s="369"/>
      <c r="D863" s="369"/>
      <c r="E863" s="369"/>
      <c r="F863" s="369"/>
      <c r="G863" s="374"/>
      <c r="H863" s="375"/>
      <c r="I863" s="35"/>
      <c r="J863" s="74"/>
      <c r="K863" s="74"/>
      <c r="L863" s="74"/>
      <c r="M863" s="74"/>
      <c r="N863" s="74"/>
      <c r="O863" s="74"/>
      <c r="P863" s="74"/>
      <c r="Q863" s="74"/>
      <c r="R863" s="74"/>
      <c r="S863" s="74"/>
      <c r="T863" s="74"/>
      <c r="U863" s="74"/>
      <c r="V863" s="74"/>
      <c r="W863" s="74"/>
      <c r="X863" s="74"/>
      <c r="Y863" s="74"/>
      <c r="Z863" s="74"/>
      <c r="AA863" s="74"/>
      <c r="AB863" s="74"/>
    </row>
    <row r="864" spans="1:28" ht="40.5" customHeight="1">
      <c r="A864" s="434"/>
      <c r="B864" s="435"/>
      <c r="C864" s="369"/>
      <c r="D864" s="369"/>
      <c r="E864" s="369"/>
      <c r="F864" s="369"/>
      <c r="G864" s="374"/>
      <c r="H864" s="375"/>
      <c r="I864" s="35"/>
      <c r="J864" s="74"/>
      <c r="K864" s="74"/>
      <c r="L864" s="74"/>
      <c r="M864" s="74"/>
      <c r="N864" s="74"/>
      <c r="O864" s="74"/>
      <c r="P864" s="74"/>
      <c r="Q864" s="74"/>
      <c r="R864" s="74"/>
      <c r="S864" s="74"/>
      <c r="T864" s="74"/>
      <c r="U864" s="74"/>
      <c r="V864" s="74"/>
      <c r="W864" s="74"/>
      <c r="X864" s="74"/>
      <c r="Y864" s="74"/>
      <c r="Z864" s="74"/>
      <c r="AA864" s="74"/>
      <c r="AB864" s="74"/>
    </row>
    <row r="865" spans="1:28" ht="40.5" customHeight="1">
      <c r="A865" s="434"/>
      <c r="B865" s="435"/>
      <c r="C865" s="369"/>
      <c r="D865" s="369"/>
      <c r="E865" s="369"/>
      <c r="F865" s="369"/>
      <c r="G865" s="374"/>
      <c r="H865" s="375"/>
      <c r="I865" s="35"/>
      <c r="J865" s="74"/>
      <c r="K865" s="74"/>
      <c r="L865" s="74"/>
      <c r="M865" s="74"/>
      <c r="N865" s="74"/>
      <c r="O865" s="74"/>
      <c r="P865" s="74"/>
      <c r="Q865" s="74"/>
      <c r="R865" s="74"/>
      <c r="S865" s="74"/>
      <c r="T865" s="74"/>
      <c r="U865" s="74"/>
      <c r="V865" s="74"/>
      <c r="W865" s="74"/>
      <c r="X865" s="74"/>
      <c r="Y865" s="74"/>
      <c r="Z865" s="74"/>
      <c r="AA865" s="74"/>
      <c r="AB865" s="74"/>
    </row>
    <row r="866" spans="1:28" ht="40.5" customHeight="1">
      <c r="A866" s="434"/>
      <c r="B866" s="435"/>
      <c r="C866" s="369"/>
      <c r="D866" s="369"/>
      <c r="E866" s="369"/>
      <c r="F866" s="369"/>
      <c r="G866" s="374"/>
      <c r="H866" s="375"/>
      <c r="I866" s="35"/>
      <c r="J866" s="74"/>
      <c r="K866" s="74"/>
      <c r="L866" s="74"/>
      <c r="M866" s="74"/>
      <c r="N866" s="74"/>
      <c r="O866" s="74"/>
      <c r="P866" s="74"/>
      <c r="Q866" s="74"/>
      <c r="R866" s="74"/>
      <c r="S866" s="74"/>
      <c r="T866" s="74"/>
      <c r="U866" s="74"/>
      <c r="V866" s="74"/>
      <c r="W866" s="74"/>
      <c r="X866" s="74"/>
      <c r="Y866" s="74"/>
      <c r="Z866" s="74"/>
      <c r="AA866" s="74"/>
      <c r="AB866" s="74"/>
    </row>
    <row r="867" spans="1:28" ht="40.5" customHeight="1">
      <c r="A867" s="434"/>
      <c r="B867" s="435"/>
      <c r="C867" s="369"/>
      <c r="D867" s="369"/>
      <c r="E867" s="369"/>
      <c r="F867" s="369"/>
      <c r="G867" s="374"/>
      <c r="H867" s="375"/>
      <c r="I867" s="35"/>
      <c r="J867" s="74"/>
      <c r="K867" s="74"/>
      <c r="L867" s="74"/>
      <c r="M867" s="74"/>
      <c r="N867" s="74"/>
      <c r="O867" s="74"/>
      <c r="P867" s="74"/>
      <c r="Q867" s="74"/>
      <c r="R867" s="74"/>
      <c r="S867" s="74"/>
      <c r="T867" s="74"/>
      <c r="U867" s="74"/>
      <c r="V867" s="74"/>
      <c r="W867" s="74"/>
      <c r="X867" s="74"/>
      <c r="Y867" s="74"/>
      <c r="Z867" s="74"/>
      <c r="AA867" s="74"/>
      <c r="AB867" s="74"/>
    </row>
    <row r="868" spans="1:28" ht="40.5" customHeight="1">
      <c r="A868" s="434"/>
      <c r="B868" s="435"/>
      <c r="C868" s="369"/>
      <c r="D868" s="369"/>
      <c r="E868" s="369"/>
      <c r="F868" s="369"/>
      <c r="G868" s="374"/>
      <c r="H868" s="375"/>
      <c r="I868" s="35"/>
      <c r="J868" s="74"/>
      <c r="K868" s="74"/>
      <c r="L868" s="74"/>
      <c r="M868" s="74"/>
      <c r="N868" s="74"/>
      <c r="O868" s="74"/>
      <c r="P868" s="74"/>
      <c r="Q868" s="74"/>
      <c r="R868" s="74"/>
      <c r="S868" s="74"/>
      <c r="T868" s="74"/>
      <c r="U868" s="74"/>
      <c r="V868" s="74"/>
      <c r="W868" s="74"/>
      <c r="X868" s="74"/>
      <c r="Y868" s="74"/>
      <c r="Z868" s="74"/>
      <c r="AA868" s="74"/>
      <c r="AB868" s="74"/>
    </row>
    <row r="869" spans="1:28" ht="40.5" customHeight="1">
      <c r="A869" s="434"/>
      <c r="B869" s="435"/>
      <c r="C869" s="369"/>
      <c r="D869" s="369"/>
      <c r="E869" s="369"/>
      <c r="F869" s="369"/>
      <c r="G869" s="374"/>
      <c r="H869" s="375"/>
      <c r="I869" s="35"/>
      <c r="J869" s="74"/>
      <c r="K869" s="74"/>
      <c r="L869" s="74"/>
      <c r="M869" s="74"/>
      <c r="N869" s="74"/>
      <c r="O869" s="74"/>
      <c r="P869" s="74"/>
      <c r="Q869" s="74"/>
      <c r="R869" s="74"/>
      <c r="S869" s="74"/>
      <c r="T869" s="74"/>
      <c r="U869" s="74"/>
      <c r="V869" s="74"/>
      <c r="W869" s="74"/>
      <c r="X869" s="74"/>
      <c r="Y869" s="74"/>
      <c r="Z869" s="74"/>
      <c r="AA869" s="74"/>
      <c r="AB869" s="74"/>
    </row>
    <row r="870" spans="1:28" ht="40.5" customHeight="1">
      <c r="A870" s="434"/>
      <c r="B870" s="435"/>
      <c r="C870" s="369"/>
      <c r="D870" s="369"/>
      <c r="E870" s="369"/>
      <c r="F870" s="369"/>
      <c r="G870" s="374"/>
      <c r="H870" s="375"/>
      <c r="I870" s="35"/>
      <c r="J870" s="74"/>
      <c r="K870" s="74"/>
      <c r="L870" s="74"/>
      <c r="M870" s="74"/>
      <c r="N870" s="74"/>
      <c r="O870" s="74"/>
      <c r="P870" s="74"/>
      <c r="Q870" s="74"/>
      <c r="R870" s="74"/>
      <c r="S870" s="74"/>
      <c r="T870" s="74"/>
      <c r="U870" s="74"/>
      <c r="V870" s="74"/>
      <c r="W870" s="74"/>
      <c r="X870" s="74"/>
      <c r="Y870" s="74"/>
      <c r="Z870" s="74"/>
      <c r="AA870" s="74"/>
      <c r="AB870" s="74"/>
    </row>
    <row r="871" spans="1:28" ht="40.5" customHeight="1">
      <c r="A871" s="434"/>
      <c r="B871" s="435"/>
      <c r="C871" s="369"/>
      <c r="D871" s="369"/>
      <c r="E871" s="369"/>
      <c r="F871" s="369"/>
      <c r="G871" s="374"/>
      <c r="H871" s="375"/>
      <c r="I871" s="35"/>
      <c r="J871" s="74"/>
      <c r="K871" s="74"/>
      <c r="L871" s="74"/>
      <c r="M871" s="74"/>
      <c r="N871" s="74"/>
      <c r="O871" s="74"/>
      <c r="P871" s="74"/>
      <c r="Q871" s="74"/>
      <c r="R871" s="74"/>
      <c r="S871" s="74"/>
      <c r="T871" s="74"/>
      <c r="U871" s="74"/>
      <c r="V871" s="74"/>
      <c r="W871" s="74"/>
      <c r="X871" s="74"/>
      <c r="Y871" s="74"/>
      <c r="Z871" s="74"/>
      <c r="AA871" s="74"/>
      <c r="AB871" s="74"/>
    </row>
    <row r="872" spans="1:28" ht="40.5" customHeight="1">
      <c r="A872" s="434"/>
      <c r="B872" s="435"/>
      <c r="C872" s="369"/>
      <c r="D872" s="369"/>
      <c r="E872" s="369"/>
      <c r="F872" s="369"/>
      <c r="G872" s="374"/>
      <c r="H872" s="375"/>
      <c r="I872" s="35"/>
      <c r="J872" s="74"/>
      <c r="K872" s="74"/>
      <c r="L872" s="74"/>
      <c r="M872" s="74"/>
      <c r="N872" s="74"/>
      <c r="O872" s="74"/>
      <c r="P872" s="74"/>
      <c r="Q872" s="74"/>
      <c r="R872" s="74"/>
      <c r="S872" s="74"/>
      <c r="T872" s="74"/>
      <c r="U872" s="74"/>
      <c r="V872" s="74"/>
      <c r="W872" s="74"/>
      <c r="X872" s="74"/>
      <c r="Y872" s="74"/>
      <c r="Z872" s="74"/>
      <c r="AA872" s="74"/>
      <c r="AB872" s="74"/>
    </row>
    <row r="873" spans="1:28" ht="40.5" customHeight="1">
      <c r="A873" s="434"/>
      <c r="B873" s="435"/>
      <c r="C873" s="369"/>
      <c r="D873" s="369"/>
      <c r="E873" s="369"/>
      <c r="F873" s="369"/>
      <c r="G873" s="374"/>
      <c r="H873" s="375"/>
      <c r="I873" s="35"/>
      <c r="J873" s="74"/>
      <c r="K873" s="74"/>
      <c r="L873" s="74"/>
      <c r="M873" s="74"/>
      <c r="N873" s="74"/>
      <c r="O873" s="74"/>
      <c r="P873" s="74"/>
      <c r="Q873" s="74"/>
      <c r="R873" s="74"/>
      <c r="S873" s="74"/>
      <c r="T873" s="74"/>
      <c r="U873" s="74"/>
      <c r="V873" s="74"/>
      <c r="W873" s="74"/>
      <c r="X873" s="74"/>
      <c r="Y873" s="74"/>
      <c r="Z873" s="74"/>
      <c r="AA873" s="74"/>
      <c r="AB873" s="74"/>
    </row>
    <row r="874" spans="1:28" ht="40.5" customHeight="1">
      <c r="A874" s="434"/>
      <c r="B874" s="435"/>
      <c r="C874" s="369"/>
      <c r="D874" s="369"/>
      <c r="E874" s="369"/>
      <c r="F874" s="369"/>
      <c r="G874" s="374"/>
      <c r="H874" s="375"/>
      <c r="I874" s="35"/>
      <c r="J874" s="74"/>
      <c r="K874" s="74"/>
      <c r="L874" s="74"/>
      <c r="M874" s="74"/>
      <c r="N874" s="74"/>
      <c r="O874" s="74"/>
      <c r="P874" s="74"/>
      <c r="Q874" s="74"/>
      <c r="R874" s="74"/>
      <c r="S874" s="74"/>
      <c r="T874" s="74"/>
      <c r="U874" s="74"/>
      <c r="V874" s="74"/>
      <c r="W874" s="74"/>
      <c r="X874" s="74"/>
      <c r="Y874" s="74"/>
      <c r="Z874" s="74"/>
      <c r="AA874" s="74"/>
      <c r="AB874" s="74"/>
    </row>
    <row r="875" spans="1:28" ht="40.5" customHeight="1">
      <c r="A875" s="434"/>
      <c r="B875" s="435"/>
      <c r="C875" s="369"/>
      <c r="D875" s="369"/>
      <c r="E875" s="369"/>
      <c r="F875" s="369"/>
      <c r="G875" s="374"/>
      <c r="H875" s="375"/>
      <c r="I875" s="35"/>
      <c r="J875" s="74"/>
      <c r="K875" s="74"/>
      <c r="L875" s="74"/>
      <c r="M875" s="74"/>
      <c r="N875" s="74"/>
      <c r="O875" s="74"/>
      <c r="P875" s="74"/>
      <c r="Q875" s="74"/>
      <c r="R875" s="74"/>
      <c r="S875" s="74"/>
      <c r="T875" s="74"/>
      <c r="U875" s="74"/>
      <c r="V875" s="74"/>
      <c r="W875" s="74"/>
      <c r="X875" s="74"/>
      <c r="Y875" s="74"/>
      <c r="Z875" s="74"/>
      <c r="AA875" s="74"/>
      <c r="AB875" s="74"/>
    </row>
    <row r="876" spans="1:28" ht="40.5" customHeight="1">
      <c r="A876" s="434"/>
      <c r="B876" s="435"/>
      <c r="C876" s="369"/>
      <c r="D876" s="369"/>
      <c r="E876" s="369"/>
      <c r="F876" s="369"/>
      <c r="G876" s="374"/>
      <c r="H876" s="375"/>
      <c r="I876" s="35"/>
      <c r="J876" s="74"/>
      <c r="K876" s="74"/>
      <c r="L876" s="74"/>
      <c r="M876" s="74"/>
      <c r="N876" s="74"/>
      <c r="O876" s="74"/>
      <c r="P876" s="74"/>
      <c r="Q876" s="74"/>
      <c r="R876" s="74"/>
      <c r="S876" s="74"/>
      <c r="T876" s="74"/>
      <c r="U876" s="74"/>
      <c r="V876" s="74"/>
      <c r="W876" s="74"/>
      <c r="X876" s="74"/>
      <c r="Y876" s="74"/>
      <c r="Z876" s="74"/>
      <c r="AA876" s="74"/>
      <c r="AB876" s="74"/>
    </row>
    <row r="877" spans="1:28" ht="40.5" customHeight="1">
      <c r="A877" s="434"/>
      <c r="B877" s="435"/>
      <c r="C877" s="369"/>
      <c r="D877" s="369"/>
      <c r="E877" s="369"/>
      <c r="F877" s="369"/>
      <c r="G877" s="374"/>
      <c r="H877" s="375"/>
      <c r="I877" s="35"/>
      <c r="J877" s="74"/>
      <c r="K877" s="74"/>
      <c r="L877" s="74"/>
      <c r="M877" s="74"/>
      <c r="N877" s="74"/>
      <c r="O877" s="74"/>
      <c r="P877" s="74"/>
      <c r="Q877" s="74"/>
      <c r="R877" s="74"/>
      <c r="S877" s="74"/>
      <c r="T877" s="74"/>
      <c r="U877" s="74"/>
      <c r="V877" s="74"/>
      <c r="W877" s="74"/>
      <c r="X877" s="74"/>
      <c r="Y877" s="74"/>
      <c r="Z877" s="74"/>
      <c r="AA877" s="74"/>
      <c r="AB877" s="74"/>
    </row>
    <row r="878" spans="1:28" ht="40.5" customHeight="1">
      <c r="A878" s="434"/>
      <c r="B878" s="435"/>
      <c r="C878" s="369"/>
      <c r="D878" s="369"/>
      <c r="E878" s="369"/>
      <c r="F878" s="369"/>
      <c r="G878" s="374"/>
      <c r="H878" s="375"/>
      <c r="I878" s="35"/>
      <c r="J878" s="74"/>
      <c r="K878" s="74"/>
      <c r="L878" s="74"/>
      <c r="M878" s="74"/>
      <c r="N878" s="74"/>
      <c r="O878" s="74"/>
      <c r="P878" s="74"/>
      <c r="Q878" s="74"/>
      <c r="R878" s="74"/>
      <c r="S878" s="74"/>
      <c r="T878" s="74"/>
      <c r="U878" s="74"/>
      <c r="V878" s="74"/>
      <c r="W878" s="74"/>
      <c r="X878" s="74"/>
      <c r="Y878" s="74"/>
      <c r="Z878" s="74"/>
      <c r="AA878" s="74"/>
      <c r="AB878" s="74"/>
    </row>
    <row r="879" spans="1:28" ht="40.5" customHeight="1">
      <c r="A879" s="434"/>
      <c r="B879" s="435"/>
      <c r="C879" s="369"/>
      <c r="D879" s="369"/>
      <c r="E879" s="369"/>
      <c r="F879" s="369"/>
      <c r="G879" s="374"/>
      <c r="H879" s="375"/>
      <c r="I879" s="35"/>
      <c r="J879" s="74"/>
      <c r="K879" s="74"/>
      <c r="L879" s="74"/>
      <c r="M879" s="74"/>
      <c r="N879" s="74"/>
      <c r="O879" s="74"/>
      <c r="P879" s="74"/>
      <c r="Q879" s="74"/>
      <c r="R879" s="74"/>
      <c r="S879" s="74"/>
      <c r="T879" s="74"/>
      <c r="U879" s="74"/>
      <c r="V879" s="74"/>
      <c r="W879" s="74"/>
      <c r="X879" s="74"/>
      <c r="Y879" s="74"/>
      <c r="Z879" s="74"/>
      <c r="AA879" s="74"/>
      <c r="AB879" s="74"/>
    </row>
    <row r="880" spans="1:28" ht="40.5" customHeight="1">
      <c r="A880" s="434"/>
      <c r="B880" s="435"/>
      <c r="C880" s="369"/>
      <c r="D880" s="369"/>
      <c r="E880" s="369"/>
      <c r="F880" s="369"/>
      <c r="G880" s="374"/>
      <c r="H880" s="375"/>
      <c r="I880" s="35"/>
      <c r="J880" s="74"/>
      <c r="K880" s="74"/>
      <c r="L880" s="74"/>
      <c r="M880" s="74"/>
      <c r="N880" s="74"/>
      <c r="O880" s="74"/>
      <c r="P880" s="74"/>
      <c r="Q880" s="74"/>
      <c r="R880" s="74"/>
      <c r="S880" s="74"/>
      <c r="T880" s="74"/>
      <c r="U880" s="74"/>
      <c r="V880" s="74"/>
      <c r="W880" s="74"/>
      <c r="X880" s="74"/>
      <c r="Y880" s="74"/>
      <c r="Z880" s="74"/>
      <c r="AA880" s="74"/>
      <c r="AB880" s="74"/>
    </row>
    <row r="881" spans="1:28" ht="40.5" customHeight="1">
      <c r="A881" s="434"/>
      <c r="B881" s="435"/>
      <c r="C881" s="369"/>
      <c r="D881" s="369"/>
      <c r="E881" s="369"/>
      <c r="F881" s="369"/>
      <c r="G881" s="374"/>
      <c r="H881" s="375"/>
      <c r="I881" s="35"/>
      <c r="J881" s="74"/>
      <c r="K881" s="74"/>
      <c r="L881" s="74"/>
      <c r="M881" s="74"/>
      <c r="N881" s="74"/>
      <c r="O881" s="74"/>
      <c r="P881" s="74"/>
      <c r="Q881" s="74"/>
      <c r="R881" s="74"/>
      <c r="S881" s="74"/>
      <c r="T881" s="74"/>
      <c r="U881" s="74"/>
      <c r="V881" s="74"/>
      <c r="W881" s="74"/>
      <c r="X881" s="74"/>
      <c r="Y881" s="74"/>
      <c r="Z881" s="74"/>
      <c r="AA881" s="74"/>
      <c r="AB881" s="74"/>
    </row>
    <row r="882" spans="1:28" ht="40.5" customHeight="1">
      <c r="A882" s="434"/>
      <c r="B882" s="435"/>
      <c r="C882" s="369"/>
      <c r="D882" s="369"/>
      <c r="E882" s="369"/>
      <c r="F882" s="369"/>
      <c r="G882" s="374"/>
      <c r="H882" s="375"/>
      <c r="I882" s="35"/>
      <c r="J882" s="74"/>
      <c r="K882" s="74"/>
      <c r="L882" s="74"/>
      <c r="M882" s="74"/>
      <c r="N882" s="74"/>
      <c r="O882" s="74"/>
      <c r="P882" s="74"/>
      <c r="Q882" s="74"/>
      <c r="R882" s="74"/>
      <c r="S882" s="74"/>
      <c r="T882" s="74"/>
      <c r="U882" s="74"/>
      <c r="V882" s="74"/>
      <c r="W882" s="74"/>
      <c r="X882" s="74"/>
      <c r="Y882" s="74"/>
      <c r="Z882" s="74"/>
      <c r="AA882" s="74"/>
      <c r="AB882" s="74"/>
    </row>
    <row r="883" spans="1:28" ht="40.5" customHeight="1">
      <c r="A883" s="434"/>
      <c r="B883" s="435"/>
      <c r="C883" s="369"/>
      <c r="D883" s="369"/>
      <c r="E883" s="369"/>
      <c r="F883" s="369"/>
      <c r="G883" s="374"/>
      <c r="H883" s="375"/>
      <c r="I883" s="35"/>
      <c r="J883" s="74"/>
      <c r="K883" s="74"/>
      <c r="L883" s="74"/>
      <c r="M883" s="74"/>
      <c r="N883" s="74"/>
      <c r="O883" s="74"/>
      <c r="P883" s="74"/>
      <c r="Q883" s="74"/>
      <c r="R883" s="74"/>
      <c r="S883" s="74"/>
      <c r="T883" s="74"/>
      <c r="U883" s="74"/>
      <c r="V883" s="74"/>
      <c r="W883" s="74"/>
      <c r="X883" s="74"/>
      <c r="Y883" s="74"/>
      <c r="Z883" s="74"/>
      <c r="AA883" s="74"/>
      <c r="AB883" s="74"/>
    </row>
    <row r="884" spans="1:28" ht="40.5" customHeight="1">
      <c r="A884" s="434"/>
      <c r="B884" s="435"/>
      <c r="C884" s="369"/>
      <c r="D884" s="369"/>
      <c r="E884" s="369"/>
      <c r="F884" s="369"/>
      <c r="G884" s="374"/>
      <c r="H884" s="375"/>
      <c r="I884" s="35"/>
      <c r="J884" s="74"/>
      <c r="K884" s="74"/>
      <c r="L884" s="74"/>
      <c r="M884" s="74"/>
      <c r="N884" s="74"/>
      <c r="O884" s="74"/>
      <c r="P884" s="74"/>
      <c r="Q884" s="74"/>
      <c r="R884" s="74"/>
      <c r="S884" s="74"/>
      <c r="T884" s="74"/>
      <c r="U884" s="74"/>
      <c r="V884" s="74"/>
      <c r="W884" s="74"/>
      <c r="X884" s="74"/>
      <c r="Y884" s="74"/>
      <c r="Z884" s="74"/>
      <c r="AA884" s="74"/>
      <c r="AB884" s="74"/>
    </row>
    <row r="885" spans="1:28" ht="40.5" customHeight="1">
      <c r="A885" s="434"/>
      <c r="B885" s="435"/>
      <c r="C885" s="369"/>
      <c r="D885" s="369"/>
      <c r="E885" s="369"/>
      <c r="F885" s="369"/>
      <c r="G885" s="374"/>
      <c r="H885" s="375"/>
      <c r="I885" s="35"/>
      <c r="J885" s="74"/>
      <c r="K885" s="74"/>
      <c r="L885" s="74"/>
      <c r="M885" s="74"/>
      <c r="N885" s="74"/>
      <c r="O885" s="74"/>
      <c r="P885" s="74"/>
      <c r="Q885" s="74"/>
      <c r="R885" s="74"/>
      <c r="S885" s="74"/>
      <c r="T885" s="74"/>
      <c r="U885" s="74"/>
      <c r="V885" s="74"/>
      <c r="W885" s="74"/>
      <c r="X885" s="74"/>
      <c r="Y885" s="74"/>
      <c r="Z885" s="74"/>
      <c r="AA885" s="74"/>
      <c r="AB885" s="74"/>
    </row>
    <row r="886" spans="1:28" ht="40.5" customHeight="1">
      <c r="A886" s="434"/>
      <c r="B886" s="435"/>
      <c r="C886" s="369"/>
      <c r="D886" s="369"/>
      <c r="E886" s="369"/>
      <c r="F886" s="369"/>
      <c r="G886" s="374"/>
      <c r="H886" s="375"/>
      <c r="I886" s="35"/>
      <c r="J886" s="74"/>
      <c r="K886" s="74"/>
      <c r="L886" s="74"/>
      <c r="M886" s="74"/>
      <c r="N886" s="74"/>
      <c r="O886" s="74"/>
      <c r="P886" s="74"/>
      <c r="Q886" s="74"/>
      <c r="R886" s="74"/>
      <c r="S886" s="74"/>
      <c r="T886" s="74"/>
      <c r="U886" s="74"/>
      <c r="V886" s="74"/>
      <c r="W886" s="74"/>
      <c r="X886" s="74"/>
      <c r="Y886" s="74"/>
      <c r="Z886" s="74"/>
      <c r="AA886" s="74"/>
      <c r="AB886" s="74"/>
    </row>
    <row r="887" spans="1:28" ht="40.5" customHeight="1">
      <c r="A887" s="434"/>
      <c r="B887" s="435"/>
      <c r="C887" s="369"/>
      <c r="D887" s="369"/>
      <c r="E887" s="369"/>
      <c r="F887" s="369"/>
      <c r="G887" s="374"/>
      <c r="H887" s="375"/>
      <c r="I887" s="35"/>
      <c r="J887" s="74"/>
      <c r="K887" s="74"/>
      <c r="L887" s="74"/>
      <c r="M887" s="74"/>
      <c r="N887" s="74"/>
      <c r="O887" s="74"/>
      <c r="P887" s="74"/>
      <c r="Q887" s="74"/>
      <c r="R887" s="74"/>
      <c r="S887" s="74"/>
      <c r="T887" s="74"/>
      <c r="U887" s="74"/>
      <c r="V887" s="74"/>
      <c r="W887" s="74"/>
      <c r="X887" s="74"/>
      <c r="Y887" s="74"/>
      <c r="Z887" s="74"/>
      <c r="AA887" s="74"/>
      <c r="AB887" s="74"/>
    </row>
    <row r="888" spans="1:28" ht="40.5" customHeight="1">
      <c r="A888" s="434"/>
      <c r="B888" s="435"/>
      <c r="C888" s="369"/>
      <c r="D888" s="369"/>
      <c r="E888" s="369"/>
      <c r="F888" s="369"/>
      <c r="G888" s="374"/>
      <c r="H888" s="375"/>
      <c r="I888" s="35"/>
      <c r="J888" s="74"/>
      <c r="K888" s="74"/>
      <c r="L888" s="74"/>
      <c r="M888" s="74"/>
      <c r="N888" s="74"/>
      <c r="O888" s="74"/>
      <c r="P888" s="74"/>
      <c r="Q888" s="74"/>
      <c r="R888" s="74"/>
      <c r="S888" s="74"/>
      <c r="T888" s="74"/>
      <c r="U888" s="74"/>
      <c r="V888" s="74"/>
      <c r="W888" s="74"/>
      <c r="X888" s="74"/>
      <c r="Y888" s="74"/>
      <c r="Z888" s="74"/>
      <c r="AA888" s="74"/>
      <c r="AB888" s="74"/>
    </row>
    <row r="889" spans="1:28" ht="40.5" customHeight="1">
      <c r="A889" s="434"/>
      <c r="B889" s="435"/>
      <c r="C889" s="369"/>
      <c r="D889" s="369"/>
      <c r="E889" s="369"/>
      <c r="F889" s="369"/>
      <c r="G889" s="374"/>
      <c r="H889" s="375"/>
      <c r="I889" s="35"/>
      <c r="J889" s="74"/>
      <c r="K889" s="74"/>
      <c r="L889" s="74"/>
      <c r="M889" s="74"/>
      <c r="N889" s="74"/>
      <c r="O889" s="74"/>
      <c r="P889" s="74"/>
      <c r="Q889" s="74"/>
      <c r="R889" s="74"/>
      <c r="S889" s="74"/>
      <c r="T889" s="74"/>
      <c r="U889" s="74"/>
      <c r="V889" s="74"/>
      <c r="W889" s="74"/>
      <c r="X889" s="74"/>
      <c r="Y889" s="74"/>
      <c r="Z889" s="74"/>
      <c r="AA889" s="74"/>
      <c r="AB889" s="74"/>
    </row>
    <row r="890" spans="1:28" ht="40.5" customHeight="1">
      <c r="A890" s="434"/>
      <c r="B890" s="435"/>
      <c r="C890" s="369"/>
      <c r="D890" s="369"/>
      <c r="E890" s="369"/>
      <c r="F890" s="369"/>
      <c r="G890" s="374"/>
      <c r="H890" s="375"/>
      <c r="I890" s="35"/>
      <c r="J890" s="74"/>
      <c r="K890" s="74"/>
      <c r="L890" s="74"/>
      <c r="M890" s="74"/>
      <c r="N890" s="74"/>
      <c r="O890" s="74"/>
      <c r="P890" s="74"/>
      <c r="Q890" s="74"/>
      <c r="R890" s="74"/>
      <c r="S890" s="74"/>
      <c r="T890" s="74"/>
      <c r="U890" s="74"/>
      <c r="V890" s="74"/>
      <c r="W890" s="74"/>
      <c r="X890" s="74"/>
      <c r="Y890" s="74"/>
      <c r="Z890" s="74"/>
      <c r="AA890" s="74"/>
      <c r="AB890" s="74"/>
    </row>
    <row r="891" spans="1:28" ht="40.5" customHeight="1">
      <c r="A891" s="434"/>
      <c r="B891" s="435"/>
      <c r="C891" s="369"/>
      <c r="D891" s="369"/>
      <c r="E891" s="369"/>
      <c r="F891" s="369"/>
      <c r="G891" s="374"/>
      <c r="H891" s="375"/>
      <c r="I891" s="35"/>
      <c r="J891" s="74"/>
      <c r="K891" s="74"/>
      <c r="L891" s="74"/>
      <c r="M891" s="74"/>
      <c r="N891" s="74"/>
      <c r="O891" s="74"/>
      <c r="P891" s="74"/>
      <c r="Q891" s="74"/>
      <c r="R891" s="74"/>
      <c r="S891" s="74"/>
      <c r="T891" s="74"/>
      <c r="U891" s="74"/>
      <c r="V891" s="74"/>
      <c r="W891" s="74"/>
      <c r="X891" s="74"/>
      <c r="Y891" s="74"/>
      <c r="Z891" s="74"/>
      <c r="AA891" s="74"/>
      <c r="AB891" s="74"/>
    </row>
    <row r="892" spans="1:28" ht="40.5" customHeight="1">
      <c r="A892" s="434"/>
      <c r="B892" s="435"/>
      <c r="C892" s="369"/>
      <c r="D892" s="369"/>
      <c r="E892" s="369"/>
      <c r="F892" s="369"/>
      <c r="G892" s="374"/>
      <c r="H892" s="375"/>
      <c r="I892" s="35"/>
      <c r="J892" s="74"/>
      <c r="K892" s="74"/>
      <c r="L892" s="74"/>
      <c r="M892" s="74"/>
      <c r="N892" s="74"/>
      <c r="O892" s="74"/>
      <c r="P892" s="74"/>
      <c r="Q892" s="74"/>
      <c r="R892" s="74"/>
      <c r="S892" s="74"/>
      <c r="T892" s="74"/>
      <c r="U892" s="74"/>
      <c r="V892" s="74"/>
      <c r="W892" s="74"/>
      <c r="X892" s="74"/>
      <c r="Y892" s="74"/>
      <c r="Z892" s="74"/>
      <c r="AA892" s="74"/>
      <c r="AB892" s="74"/>
    </row>
    <row r="893" spans="1:28" ht="40.5" customHeight="1">
      <c r="A893" s="434"/>
      <c r="B893" s="435"/>
      <c r="C893" s="369"/>
      <c r="D893" s="369"/>
      <c r="E893" s="369"/>
      <c r="F893" s="369"/>
      <c r="G893" s="374"/>
      <c r="H893" s="375"/>
      <c r="I893" s="35"/>
      <c r="J893" s="74"/>
      <c r="K893" s="74"/>
      <c r="L893" s="74"/>
      <c r="M893" s="74"/>
      <c r="N893" s="74"/>
      <c r="O893" s="74"/>
      <c r="P893" s="74"/>
      <c r="Q893" s="74"/>
      <c r="R893" s="74"/>
      <c r="S893" s="74"/>
      <c r="T893" s="74"/>
      <c r="U893" s="74"/>
      <c r="V893" s="74"/>
      <c r="W893" s="74"/>
      <c r="X893" s="74"/>
      <c r="Y893" s="74"/>
      <c r="Z893" s="74"/>
      <c r="AA893" s="74"/>
      <c r="AB893" s="74"/>
    </row>
    <row r="894" spans="1:28" ht="40.5" customHeight="1">
      <c r="A894" s="434"/>
      <c r="B894" s="435"/>
      <c r="C894" s="369"/>
      <c r="D894" s="369"/>
      <c r="E894" s="369"/>
      <c r="F894" s="369"/>
      <c r="G894" s="374"/>
      <c r="H894" s="375"/>
      <c r="I894" s="35"/>
      <c r="J894" s="74"/>
      <c r="K894" s="74"/>
      <c r="L894" s="74"/>
      <c r="M894" s="74"/>
      <c r="N894" s="74"/>
      <c r="O894" s="74"/>
      <c r="P894" s="74"/>
      <c r="Q894" s="74"/>
      <c r="R894" s="74"/>
      <c r="S894" s="74"/>
      <c r="T894" s="74"/>
      <c r="U894" s="74"/>
      <c r="V894" s="74"/>
      <c r="W894" s="74"/>
      <c r="X894" s="74"/>
      <c r="Y894" s="74"/>
      <c r="Z894" s="74"/>
      <c r="AA894" s="74"/>
      <c r="AB894" s="74"/>
    </row>
    <row r="895" spans="1:28" ht="40.5" customHeight="1">
      <c r="A895" s="434"/>
      <c r="B895" s="435"/>
      <c r="C895" s="369"/>
      <c r="D895" s="369"/>
      <c r="E895" s="369"/>
      <c r="F895" s="369"/>
      <c r="G895" s="374"/>
      <c r="H895" s="375"/>
      <c r="I895" s="35"/>
      <c r="J895" s="74"/>
      <c r="K895" s="74"/>
      <c r="L895" s="74"/>
      <c r="M895" s="74"/>
      <c r="N895" s="74"/>
      <c r="O895" s="74"/>
      <c r="P895" s="74"/>
      <c r="Q895" s="74"/>
      <c r="R895" s="74"/>
      <c r="S895" s="74"/>
      <c r="T895" s="74"/>
      <c r="U895" s="74"/>
      <c r="V895" s="74"/>
      <c r="W895" s="74"/>
      <c r="X895" s="74"/>
      <c r="Y895" s="74"/>
      <c r="Z895" s="74"/>
      <c r="AA895" s="74"/>
      <c r="AB895" s="74"/>
    </row>
    <row r="896" spans="1:28" ht="40.5" customHeight="1">
      <c r="A896" s="434"/>
      <c r="B896" s="435"/>
      <c r="C896" s="369"/>
      <c r="D896" s="369"/>
      <c r="E896" s="369"/>
      <c r="F896" s="369"/>
      <c r="G896" s="374"/>
      <c r="H896" s="375"/>
      <c r="I896" s="35"/>
      <c r="J896" s="74"/>
      <c r="K896" s="74"/>
      <c r="L896" s="74"/>
      <c r="M896" s="74"/>
      <c r="N896" s="74"/>
      <c r="O896" s="74"/>
      <c r="P896" s="74"/>
      <c r="Q896" s="74"/>
      <c r="R896" s="74"/>
      <c r="S896" s="74"/>
      <c r="T896" s="74"/>
      <c r="U896" s="74"/>
      <c r="V896" s="74"/>
      <c r="W896" s="74"/>
      <c r="X896" s="74"/>
      <c r="Y896" s="74"/>
      <c r="Z896" s="74"/>
      <c r="AA896" s="74"/>
      <c r="AB896" s="74"/>
    </row>
    <row r="897" spans="1:28" ht="40.5" customHeight="1">
      <c r="A897" s="434"/>
      <c r="B897" s="435"/>
      <c r="C897" s="369"/>
      <c r="D897" s="369"/>
      <c r="E897" s="369"/>
      <c r="F897" s="369"/>
      <c r="G897" s="374"/>
      <c r="H897" s="375"/>
      <c r="I897" s="35"/>
      <c r="J897" s="74"/>
      <c r="K897" s="74"/>
      <c r="L897" s="74"/>
      <c r="M897" s="74"/>
      <c r="N897" s="74"/>
      <c r="O897" s="74"/>
      <c r="P897" s="74"/>
      <c r="Q897" s="74"/>
      <c r="R897" s="74"/>
      <c r="S897" s="74"/>
      <c r="T897" s="74"/>
      <c r="U897" s="74"/>
      <c r="V897" s="74"/>
      <c r="W897" s="74"/>
      <c r="X897" s="74"/>
      <c r="Y897" s="74"/>
      <c r="Z897" s="74"/>
      <c r="AA897" s="74"/>
      <c r="AB897" s="74"/>
    </row>
    <row r="898" spans="1:28" ht="40.5" customHeight="1">
      <c r="A898" s="434"/>
      <c r="B898" s="435"/>
      <c r="C898" s="369"/>
      <c r="D898" s="369"/>
      <c r="E898" s="369"/>
      <c r="F898" s="369"/>
      <c r="G898" s="374"/>
      <c r="H898" s="375"/>
      <c r="I898" s="35"/>
      <c r="J898" s="74"/>
      <c r="K898" s="74"/>
      <c r="L898" s="74"/>
      <c r="M898" s="74"/>
      <c r="N898" s="74"/>
      <c r="O898" s="74"/>
      <c r="P898" s="74"/>
      <c r="Q898" s="74"/>
      <c r="R898" s="74"/>
      <c r="S898" s="74"/>
      <c r="T898" s="74"/>
      <c r="U898" s="74"/>
      <c r="V898" s="74"/>
      <c r="W898" s="74"/>
      <c r="X898" s="74"/>
      <c r="Y898" s="74"/>
      <c r="Z898" s="74"/>
      <c r="AA898" s="74"/>
      <c r="AB898" s="74"/>
    </row>
    <row r="899" spans="1:28" ht="40.5" customHeight="1">
      <c r="A899" s="434"/>
      <c r="B899" s="435"/>
      <c r="C899" s="369"/>
      <c r="D899" s="369"/>
      <c r="E899" s="369"/>
      <c r="F899" s="369"/>
      <c r="G899" s="374"/>
      <c r="H899" s="375"/>
      <c r="I899" s="35"/>
      <c r="J899" s="74"/>
      <c r="K899" s="74"/>
      <c r="L899" s="74"/>
      <c r="M899" s="74"/>
      <c r="N899" s="74"/>
      <c r="O899" s="74"/>
      <c r="P899" s="74"/>
      <c r="Q899" s="74"/>
      <c r="R899" s="74"/>
      <c r="S899" s="74"/>
      <c r="T899" s="74"/>
      <c r="U899" s="74"/>
      <c r="V899" s="74"/>
      <c r="W899" s="74"/>
      <c r="X899" s="74"/>
      <c r="Y899" s="74"/>
      <c r="Z899" s="74"/>
      <c r="AA899" s="74"/>
      <c r="AB899" s="74"/>
    </row>
    <row r="900" spans="1:28" ht="40.5" customHeight="1">
      <c r="A900" s="434"/>
      <c r="B900" s="435"/>
      <c r="C900" s="369"/>
      <c r="D900" s="369"/>
      <c r="E900" s="369"/>
      <c r="F900" s="369"/>
      <c r="G900" s="374"/>
      <c r="H900" s="375"/>
      <c r="I900" s="35"/>
      <c r="J900" s="74"/>
      <c r="K900" s="74"/>
      <c r="L900" s="74"/>
      <c r="M900" s="74"/>
      <c r="N900" s="74"/>
      <c r="O900" s="74"/>
      <c r="P900" s="74"/>
      <c r="Q900" s="74"/>
      <c r="R900" s="74"/>
      <c r="S900" s="74"/>
      <c r="T900" s="74"/>
      <c r="U900" s="74"/>
      <c r="V900" s="74"/>
      <c r="W900" s="74"/>
      <c r="X900" s="74"/>
      <c r="Y900" s="74"/>
      <c r="Z900" s="74"/>
      <c r="AA900" s="74"/>
      <c r="AB900" s="74"/>
    </row>
    <row r="901" spans="1:28" ht="40.5" customHeight="1">
      <c r="A901" s="434"/>
      <c r="B901" s="435"/>
      <c r="C901" s="369"/>
      <c r="D901" s="369"/>
      <c r="E901" s="369"/>
      <c r="F901" s="369"/>
      <c r="G901" s="374"/>
      <c r="H901" s="375"/>
      <c r="I901" s="35"/>
      <c r="J901" s="74"/>
      <c r="K901" s="74"/>
      <c r="L901" s="74"/>
      <c r="M901" s="74"/>
      <c r="N901" s="74"/>
      <c r="O901" s="74"/>
      <c r="P901" s="74"/>
      <c r="Q901" s="74"/>
      <c r="R901" s="74"/>
      <c r="S901" s="74"/>
      <c r="T901" s="74"/>
      <c r="U901" s="74"/>
      <c r="V901" s="74"/>
      <c r="W901" s="74"/>
      <c r="X901" s="74"/>
      <c r="Y901" s="74"/>
      <c r="Z901" s="74"/>
      <c r="AA901" s="74"/>
      <c r="AB901" s="74"/>
    </row>
    <row r="902" spans="1:28" ht="40.5" customHeight="1">
      <c r="A902" s="434"/>
      <c r="B902" s="435"/>
      <c r="C902" s="369"/>
      <c r="D902" s="369"/>
      <c r="E902" s="369"/>
      <c r="F902" s="369"/>
      <c r="G902" s="374"/>
      <c r="H902" s="375"/>
      <c r="I902" s="35"/>
      <c r="J902" s="74"/>
      <c r="K902" s="74"/>
      <c r="L902" s="74"/>
      <c r="M902" s="74"/>
      <c r="N902" s="74"/>
      <c r="O902" s="74"/>
      <c r="P902" s="74"/>
      <c r="Q902" s="74"/>
      <c r="R902" s="74"/>
      <c r="S902" s="74"/>
      <c r="T902" s="74"/>
      <c r="U902" s="74"/>
      <c r="V902" s="74"/>
      <c r="W902" s="74"/>
      <c r="X902" s="74"/>
      <c r="Y902" s="74"/>
      <c r="Z902" s="74"/>
      <c r="AA902" s="74"/>
      <c r="AB902" s="74"/>
    </row>
    <row r="903" spans="1:28" ht="40.5" customHeight="1">
      <c r="A903" s="434"/>
      <c r="B903" s="435"/>
      <c r="C903" s="369"/>
      <c r="D903" s="369"/>
      <c r="E903" s="369"/>
      <c r="F903" s="369"/>
      <c r="G903" s="374"/>
      <c r="H903" s="375"/>
      <c r="I903" s="35"/>
      <c r="J903" s="74"/>
      <c r="K903" s="74"/>
      <c r="L903" s="74"/>
      <c r="M903" s="74"/>
      <c r="N903" s="74"/>
      <c r="O903" s="74"/>
      <c r="P903" s="74"/>
      <c r="Q903" s="74"/>
      <c r="R903" s="74"/>
      <c r="S903" s="74"/>
      <c r="T903" s="74"/>
      <c r="U903" s="74"/>
      <c r="V903" s="74"/>
      <c r="W903" s="74"/>
      <c r="X903" s="74"/>
      <c r="Y903" s="74"/>
      <c r="Z903" s="74"/>
      <c r="AA903" s="74"/>
      <c r="AB903" s="74"/>
    </row>
    <row r="904" spans="1:28" ht="40.5" customHeight="1">
      <c r="A904" s="434"/>
      <c r="B904" s="435"/>
      <c r="C904" s="369"/>
      <c r="D904" s="369"/>
      <c r="E904" s="369"/>
      <c r="F904" s="369"/>
      <c r="G904" s="374"/>
      <c r="H904" s="375"/>
      <c r="I904" s="35"/>
      <c r="J904" s="74"/>
      <c r="K904" s="74"/>
      <c r="L904" s="74"/>
      <c r="M904" s="74"/>
      <c r="N904" s="74"/>
      <c r="O904" s="74"/>
      <c r="P904" s="74"/>
      <c r="Q904" s="74"/>
      <c r="R904" s="74"/>
      <c r="S904" s="74"/>
      <c r="T904" s="74"/>
      <c r="U904" s="74"/>
      <c r="V904" s="74"/>
      <c r="W904" s="74"/>
      <c r="X904" s="74"/>
      <c r="Y904" s="74"/>
      <c r="Z904" s="74"/>
      <c r="AA904" s="74"/>
      <c r="AB904" s="74"/>
    </row>
    <row r="905" spans="1:28" ht="40.5" customHeight="1">
      <c r="A905" s="434"/>
      <c r="B905" s="435"/>
      <c r="C905" s="369"/>
      <c r="D905" s="369"/>
      <c r="E905" s="369"/>
      <c r="F905" s="369"/>
      <c r="G905" s="374"/>
      <c r="H905" s="375"/>
      <c r="I905" s="35"/>
      <c r="J905" s="74"/>
      <c r="K905" s="74"/>
      <c r="L905" s="74"/>
      <c r="M905" s="74"/>
      <c r="N905" s="74"/>
      <c r="O905" s="74"/>
      <c r="P905" s="74"/>
      <c r="Q905" s="74"/>
      <c r="R905" s="74"/>
      <c r="S905" s="74"/>
      <c r="T905" s="74"/>
      <c r="U905" s="74"/>
      <c r="V905" s="74"/>
      <c r="W905" s="74"/>
      <c r="X905" s="74"/>
      <c r="Y905" s="74"/>
      <c r="Z905" s="74"/>
      <c r="AA905" s="74"/>
      <c r="AB905" s="74"/>
    </row>
    <row r="906" spans="1:28" ht="40.5" customHeight="1">
      <c r="A906" s="434"/>
      <c r="B906" s="435"/>
      <c r="C906" s="369"/>
      <c r="D906" s="369"/>
      <c r="E906" s="369"/>
      <c r="F906" s="369"/>
      <c r="G906" s="374"/>
      <c r="H906" s="375"/>
      <c r="I906" s="35"/>
      <c r="J906" s="74"/>
      <c r="K906" s="74"/>
      <c r="L906" s="74"/>
      <c r="M906" s="74"/>
      <c r="N906" s="74"/>
      <c r="O906" s="74"/>
      <c r="P906" s="74"/>
      <c r="Q906" s="74"/>
      <c r="R906" s="74"/>
      <c r="S906" s="74"/>
      <c r="T906" s="74"/>
      <c r="U906" s="74"/>
      <c r="V906" s="74"/>
      <c r="W906" s="74"/>
      <c r="X906" s="74"/>
      <c r="Y906" s="74"/>
      <c r="Z906" s="74"/>
      <c r="AA906" s="74"/>
      <c r="AB906" s="74"/>
    </row>
    <row r="907" spans="1:28" ht="40.5" customHeight="1">
      <c r="A907" s="434"/>
      <c r="B907" s="435"/>
      <c r="C907" s="369"/>
      <c r="D907" s="369"/>
      <c r="E907" s="369"/>
      <c r="F907" s="369"/>
      <c r="G907" s="374"/>
      <c r="H907" s="375"/>
      <c r="I907" s="35"/>
      <c r="J907" s="74"/>
      <c r="K907" s="74"/>
      <c r="L907" s="74"/>
      <c r="M907" s="74"/>
      <c r="N907" s="74"/>
      <c r="O907" s="74"/>
      <c r="P907" s="74"/>
      <c r="Q907" s="74"/>
      <c r="R907" s="74"/>
      <c r="S907" s="74"/>
      <c r="T907" s="74"/>
      <c r="U907" s="74"/>
      <c r="V907" s="74"/>
      <c r="W907" s="74"/>
      <c r="X907" s="74"/>
      <c r="Y907" s="74"/>
      <c r="Z907" s="74"/>
      <c r="AA907" s="74"/>
      <c r="AB907" s="74"/>
    </row>
    <row r="908" spans="1:28" ht="40.5" customHeight="1">
      <c r="A908" s="434"/>
      <c r="B908" s="435"/>
      <c r="C908" s="369"/>
      <c r="D908" s="369"/>
      <c r="E908" s="369"/>
      <c r="F908" s="369"/>
      <c r="G908" s="374"/>
      <c r="H908" s="375"/>
      <c r="I908" s="35"/>
      <c r="J908" s="74"/>
      <c r="K908" s="74"/>
      <c r="L908" s="74"/>
      <c r="M908" s="74"/>
      <c r="N908" s="74"/>
      <c r="O908" s="74"/>
      <c r="P908" s="74"/>
      <c r="Q908" s="74"/>
      <c r="R908" s="74"/>
      <c r="S908" s="74"/>
      <c r="T908" s="74"/>
      <c r="U908" s="74"/>
      <c r="V908" s="74"/>
      <c r="W908" s="74"/>
      <c r="X908" s="74"/>
      <c r="Y908" s="74"/>
      <c r="Z908" s="74"/>
      <c r="AA908" s="74"/>
      <c r="AB908" s="74"/>
    </row>
    <row r="909" spans="1:28" ht="40.5" customHeight="1">
      <c r="A909" s="434"/>
      <c r="B909" s="435"/>
      <c r="C909" s="369"/>
      <c r="D909" s="369"/>
      <c r="E909" s="369"/>
      <c r="F909" s="369"/>
      <c r="G909" s="374"/>
      <c r="H909" s="375"/>
      <c r="I909" s="35"/>
      <c r="J909" s="74"/>
      <c r="K909" s="74"/>
      <c r="L909" s="74"/>
      <c r="M909" s="74"/>
      <c r="N909" s="74"/>
      <c r="O909" s="74"/>
      <c r="P909" s="74"/>
      <c r="Q909" s="74"/>
      <c r="R909" s="74"/>
      <c r="S909" s="74"/>
      <c r="T909" s="74"/>
      <c r="U909" s="74"/>
      <c r="V909" s="74"/>
      <c r="W909" s="74"/>
      <c r="X909" s="74"/>
      <c r="Y909" s="74"/>
      <c r="Z909" s="74"/>
      <c r="AA909" s="74"/>
      <c r="AB909" s="74"/>
    </row>
    <row r="910" spans="1:28" ht="40.5" customHeight="1">
      <c r="A910" s="434"/>
      <c r="B910" s="435"/>
      <c r="C910" s="369"/>
      <c r="D910" s="369"/>
      <c r="E910" s="369"/>
      <c r="F910" s="369"/>
      <c r="G910" s="374"/>
      <c r="H910" s="375"/>
      <c r="I910" s="35"/>
      <c r="J910" s="74"/>
      <c r="K910" s="74"/>
      <c r="L910" s="74"/>
      <c r="M910" s="74"/>
      <c r="N910" s="74"/>
      <c r="O910" s="74"/>
      <c r="P910" s="74"/>
      <c r="Q910" s="74"/>
      <c r="R910" s="74"/>
      <c r="S910" s="74"/>
      <c r="T910" s="74"/>
      <c r="U910" s="74"/>
      <c r="V910" s="74"/>
      <c r="W910" s="74"/>
      <c r="X910" s="74"/>
      <c r="Y910" s="74"/>
      <c r="Z910" s="74"/>
      <c r="AA910" s="74"/>
      <c r="AB910" s="74"/>
    </row>
    <row r="911" spans="1:28" ht="40.5" customHeight="1">
      <c r="A911" s="434"/>
      <c r="B911" s="435"/>
      <c r="C911" s="369"/>
      <c r="D911" s="369"/>
      <c r="E911" s="369"/>
      <c r="F911" s="369"/>
      <c r="G911" s="374"/>
      <c r="H911" s="375"/>
      <c r="I911" s="35"/>
      <c r="J911" s="74"/>
      <c r="K911" s="74"/>
      <c r="L911" s="74"/>
      <c r="M911" s="74"/>
      <c r="N911" s="74"/>
      <c r="O911" s="74"/>
      <c r="P911" s="74"/>
      <c r="Q911" s="74"/>
      <c r="R911" s="74"/>
      <c r="S911" s="74"/>
      <c r="T911" s="74"/>
      <c r="U911" s="74"/>
      <c r="V911" s="74"/>
      <c r="W911" s="74"/>
      <c r="X911" s="74"/>
      <c r="Y911" s="74"/>
      <c r="Z911" s="74"/>
      <c r="AA911" s="74"/>
      <c r="AB911" s="74"/>
    </row>
    <row r="912" spans="1:28" ht="40.5" customHeight="1">
      <c r="A912" s="434"/>
      <c r="B912" s="435"/>
      <c r="C912" s="369"/>
      <c r="D912" s="369"/>
      <c r="E912" s="369"/>
      <c r="F912" s="369"/>
      <c r="G912" s="374"/>
      <c r="H912" s="375"/>
      <c r="I912" s="35"/>
      <c r="J912" s="74"/>
      <c r="K912" s="74"/>
      <c r="L912" s="74"/>
      <c r="M912" s="74"/>
      <c r="N912" s="74"/>
      <c r="O912" s="74"/>
      <c r="P912" s="74"/>
      <c r="Q912" s="74"/>
      <c r="R912" s="74"/>
      <c r="S912" s="74"/>
      <c r="T912" s="74"/>
      <c r="U912" s="74"/>
      <c r="V912" s="74"/>
      <c r="W912" s="74"/>
      <c r="X912" s="74"/>
      <c r="Y912" s="74"/>
      <c r="Z912" s="74"/>
      <c r="AA912" s="74"/>
      <c r="AB912" s="74"/>
    </row>
    <row r="913" spans="1:28" ht="40.5" customHeight="1">
      <c r="A913" s="434"/>
      <c r="B913" s="435"/>
      <c r="C913" s="369"/>
      <c r="D913" s="369"/>
      <c r="E913" s="369"/>
      <c r="F913" s="369"/>
      <c r="G913" s="374"/>
      <c r="H913" s="375"/>
      <c r="I913" s="35"/>
      <c r="J913" s="74"/>
      <c r="K913" s="74"/>
      <c r="L913" s="74"/>
      <c r="M913" s="74"/>
      <c r="N913" s="74"/>
      <c r="O913" s="74"/>
      <c r="P913" s="74"/>
      <c r="Q913" s="74"/>
      <c r="R913" s="74"/>
      <c r="S913" s="74"/>
      <c r="T913" s="74"/>
      <c r="U913" s="74"/>
      <c r="V913" s="74"/>
      <c r="W913" s="74"/>
      <c r="X913" s="74"/>
      <c r="Y913" s="74"/>
      <c r="Z913" s="74"/>
      <c r="AA913" s="74"/>
      <c r="AB913" s="74"/>
    </row>
    <row r="914" spans="1:28" ht="40.5" customHeight="1">
      <c r="A914" s="434"/>
      <c r="B914" s="435"/>
      <c r="C914" s="369"/>
      <c r="D914" s="369"/>
      <c r="E914" s="369"/>
      <c r="F914" s="369"/>
      <c r="G914" s="374"/>
      <c r="H914" s="375"/>
      <c r="I914" s="35"/>
      <c r="J914" s="74"/>
      <c r="K914" s="74"/>
      <c r="L914" s="74"/>
      <c r="M914" s="74"/>
      <c r="N914" s="74"/>
      <c r="O914" s="74"/>
      <c r="P914" s="74"/>
      <c r="Q914" s="74"/>
      <c r="R914" s="74"/>
      <c r="S914" s="74"/>
      <c r="T914" s="74"/>
      <c r="U914" s="74"/>
      <c r="V914" s="74"/>
      <c r="W914" s="74"/>
      <c r="X914" s="74"/>
      <c r="Y914" s="74"/>
      <c r="Z914" s="74"/>
      <c r="AA914" s="74"/>
      <c r="AB914" s="74"/>
    </row>
    <row r="915" spans="1:28" ht="40.5" customHeight="1">
      <c r="A915" s="434"/>
      <c r="B915" s="435"/>
      <c r="C915" s="369"/>
      <c r="D915" s="369"/>
      <c r="E915" s="369"/>
      <c r="F915" s="369"/>
      <c r="G915" s="374"/>
      <c r="H915" s="375"/>
      <c r="I915" s="35"/>
      <c r="J915" s="74"/>
      <c r="K915" s="74"/>
      <c r="L915" s="74"/>
      <c r="M915" s="74"/>
      <c r="N915" s="74"/>
      <c r="O915" s="74"/>
      <c r="P915" s="74"/>
      <c r="Q915" s="74"/>
      <c r="R915" s="74"/>
      <c r="S915" s="74"/>
      <c r="T915" s="74"/>
      <c r="U915" s="74"/>
      <c r="V915" s="74"/>
      <c r="W915" s="74"/>
      <c r="X915" s="74"/>
      <c r="Y915" s="74"/>
      <c r="Z915" s="74"/>
      <c r="AA915" s="74"/>
      <c r="AB915" s="74"/>
    </row>
    <row r="916" spans="1:28" ht="40.5" customHeight="1">
      <c r="A916" s="434"/>
      <c r="B916" s="435"/>
      <c r="C916" s="369"/>
      <c r="D916" s="369"/>
      <c r="E916" s="369"/>
      <c r="F916" s="369"/>
      <c r="G916" s="374"/>
      <c r="H916" s="375"/>
      <c r="I916" s="35"/>
      <c r="J916" s="74"/>
      <c r="K916" s="74"/>
      <c r="L916" s="74"/>
      <c r="M916" s="74"/>
      <c r="N916" s="74"/>
      <c r="O916" s="74"/>
      <c r="P916" s="74"/>
      <c r="Q916" s="74"/>
      <c r="R916" s="74"/>
      <c r="S916" s="74"/>
      <c r="T916" s="74"/>
      <c r="U916" s="74"/>
      <c r="V916" s="74"/>
      <c r="W916" s="74"/>
      <c r="X916" s="74"/>
      <c r="Y916" s="74"/>
      <c r="Z916" s="74"/>
      <c r="AA916" s="74"/>
      <c r="AB916" s="74"/>
    </row>
    <row r="917" spans="1:28" ht="40.5" customHeight="1">
      <c r="A917" s="434"/>
      <c r="B917" s="435"/>
      <c r="C917" s="369"/>
      <c r="D917" s="369"/>
      <c r="E917" s="369"/>
      <c r="F917" s="369"/>
      <c r="G917" s="374"/>
      <c r="H917" s="375"/>
      <c r="I917" s="35"/>
      <c r="J917" s="74"/>
      <c r="K917" s="74"/>
      <c r="L917" s="74"/>
      <c r="M917" s="74"/>
      <c r="N917" s="74"/>
      <c r="O917" s="74"/>
      <c r="P917" s="74"/>
      <c r="Q917" s="74"/>
      <c r="R917" s="74"/>
      <c r="S917" s="74"/>
      <c r="T917" s="74"/>
      <c r="U917" s="74"/>
      <c r="V917" s="74"/>
      <c r="W917" s="74"/>
      <c r="X917" s="74"/>
      <c r="Y917" s="74"/>
      <c r="Z917" s="74"/>
      <c r="AA917" s="74"/>
      <c r="AB917" s="74"/>
    </row>
    <row r="918" spans="1:28" ht="40.5" customHeight="1">
      <c r="A918" s="434"/>
      <c r="B918" s="435"/>
      <c r="C918" s="369"/>
      <c r="D918" s="369"/>
      <c r="E918" s="369"/>
      <c r="F918" s="369"/>
      <c r="G918" s="374"/>
      <c r="H918" s="375"/>
      <c r="I918" s="35"/>
      <c r="J918" s="74"/>
      <c r="K918" s="74"/>
      <c r="L918" s="74"/>
      <c r="M918" s="74"/>
      <c r="N918" s="74"/>
      <c r="O918" s="74"/>
      <c r="P918" s="74"/>
      <c r="Q918" s="74"/>
      <c r="R918" s="74"/>
      <c r="S918" s="74"/>
      <c r="T918" s="74"/>
      <c r="U918" s="74"/>
      <c r="V918" s="74"/>
      <c r="W918" s="74"/>
      <c r="X918" s="74"/>
      <c r="Y918" s="74"/>
      <c r="Z918" s="74"/>
      <c r="AA918" s="74"/>
      <c r="AB918" s="74"/>
    </row>
    <row r="919" spans="1:28" ht="40.5" customHeight="1">
      <c r="A919" s="434"/>
      <c r="B919" s="435"/>
      <c r="C919" s="369"/>
      <c r="D919" s="369"/>
      <c r="E919" s="369"/>
      <c r="F919" s="369"/>
      <c r="G919" s="374"/>
      <c r="H919" s="375"/>
      <c r="I919" s="35"/>
      <c r="J919" s="74"/>
      <c r="K919" s="74"/>
      <c r="L919" s="74"/>
      <c r="M919" s="74"/>
      <c r="N919" s="74"/>
      <c r="O919" s="74"/>
      <c r="P919" s="74"/>
      <c r="Q919" s="74"/>
      <c r="R919" s="74"/>
      <c r="S919" s="74"/>
      <c r="T919" s="74"/>
      <c r="U919" s="74"/>
      <c r="V919" s="74"/>
      <c r="W919" s="74"/>
      <c r="X919" s="74"/>
      <c r="Y919" s="74"/>
      <c r="Z919" s="74"/>
      <c r="AA919" s="74"/>
      <c r="AB919" s="74"/>
    </row>
    <row r="920" spans="1:28" ht="40.5" customHeight="1">
      <c r="A920" s="434"/>
      <c r="B920" s="435"/>
      <c r="C920" s="369"/>
      <c r="D920" s="369"/>
      <c r="E920" s="369"/>
      <c r="F920" s="369"/>
      <c r="G920" s="374"/>
      <c r="H920" s="375"/>
      <c r="I920" s="35"/>
      <c r="J920" s="74"/>
      <c r="K920" s="74"/>
      <c r="L920" s="74"/>
      <c r="M920" s="74"/>
      <c r="N920" s="74"/>
      <c r="O920" s="74"/>
      <c r="P920" s="74"/>
      <c r="Q920" s="74"/>
      <c r="R920" s="74"/>
      <c r="S920" s="74"/>
      <c r="T920" s="74"/>
      <c r="U920" s="74"/>
      <c r="V920" s="74"/>
      <c r="W920" s="74"/>
      <c r="X920" s="74"/>
      <c r="Y920" s="74"/>
      <c r="Z920" s="74"/>
      <c r="AA920" s="74"/>
      <c r="AB920" s="74"/>
    </row>
    <row r="921" spans="1:28" ht="40.5" customHeight="1">
      <c r="A921" s="434"/>
      <c r="B921" s="435"/>
      <c r="C921" s="369"/>
      <c r="D921" s="369"/>
      <c r="E921" s="369"/>
      <c r="F921" s="369"/>
      <c r="G921" s="374"/>
      <c r="H921" s="375"/>
      <c r="I921" s="35"/>
      <c r="J921" s="74"/>
      <c r="K921" s="74"/>
      <c r="L921" s="74"/>
      <c r="M921" s="74"/>
      <c r="N921" s="74"/>
      <c r="O921" s="74"/>
      <c r="P921" s="74"/>
      <c r="Q921" s="74"/>
      <c r="R921" s="74"/>
      <c r="S921" s="74"/>
      <c r="T921" s="74"/>
      <c r="U921" s="74"/>
      <c r="V921" s="74"/>
      <c r="W921" s="74"/>
      <c r="X921" s="74"/>
      <c r="Y921" s="74"/>
      <c r="Z921" s="74"/>
      <c r="AA921" s="74"/>
      <c r="AB921" s="74"/>
    </row>
    <row r="922" spans="1:28" ht="40.5" customHeight="1">
      <c r="A922" s="434"/>
      <c r="B922" s="435"/>
      <c r="C922" s="369"/>
      <c r="D922" s="369"/>
      <c r="E922" s="369"/>
      <c r="F922" s="369"/>
      <c r="G922" s="374"/>
      <c r="H922" s="375"/>
      <c r="I922" s="35"/>
      <c r="J922" s="74"/>
      <c r="K922" s="74"/>
      <c r="L922" s="74"/>
      <c r="M922" s="74"/>
      <c r="N922" s="74"/>
      <c r="O922" s="74"/>
      <c r="P922" s="74"/>
      <c r="Q922" s="74"/>
      <c r="R922" s="74"/>
      <c r="S922" s="74"/>
      <c r="T922" s="74"/>
      <c r="U922" s="74"/>
      <c r="V922" s="74"/>
      <c r="W922" s="74"/>
      <c r="X922" s="74"/>
      <c r="Y922" s="74"/>
      <c r="Z922" s="74"/>
      <c r="AA922" s="74"/>
      <c r="AB922" s="74"/>
    </row>
    <row r="923" spans="1:28" ht="40.5" customHeight="1">
      <c r="A923" s="434"/>
      <c r="B923" s="435"/>
      <c r="C923" s="369"/>
      <c r="D923" s="369"/>
      <c r="E923" s="369"/>
      <c r="F923" s="369"/>
      <c r="G923" s="374"/>
      <c r="H923" s="375"/>
      <c r="I923" s="35"/>
      <c r="J923" s="74"/>
      <c r="K923" s="74"/>
      <c r="L923" s="74"/>
      <c r="M923" s="74"/>
      <c r="N923" s="74"/>
      <c r="O923" s="74"/>
      <c r="P923" s="74"/>
      <c r="Q923" s="74"/>
      <c r="R923" s="74"/>
      <c r="S923" s="74"/>
      <c r="T923" s="74"/>
      <c r="U923" s="74"/>
      <c r="V923" s="74"/>
      <c r="W923" s="74"/>
      <c r="X923" s="74"/>
      <c r="Y923" s="74"/>
      <c r="Z923" s="74"/>
      <c r="AA923" s="74"/>
      <c r="AB923" s="74"/>
    </row>
    <row r="924" spans="1:28" ht="40.5" customHeight="1">
      <c r="A924" s="434"/>
      <c r="B924" s="435"/>
      <c r="C924" s="369"/>
      <c r="D924" s="369"/>
      <c r="E924" s="369"/>
      <c r="F924" s="369"/>
      <c r="G924" s="374"/>
      <c r="H924" s="375"/>
      <c r="I924" s="35"/>
      <c r="J924" s="74"/>
      <c r="K924" s="74"/>
      <c r="L924" s="74"/>
      <c r="M924" s="74"/>
      <c r="N924" s="74"/>
      <c r="O924" s="74"/>
      <c r="P924" s="74"/>
      <c r="Q924" s="74"/>
      <c r="R924" s="74"/>
      <c r="S924" s="74"/>
      <c r="T924" s="74"/>
      <c r="U924" s="74"/>
      <c r="V924" s="74"/>
      <c r="W924" s="74"/>
      <c r="X924" s="74"/>
      <c r="Y924" s="74"/>
      <c r="Z924" s="74"/>
      <c r="AA924" s="74"/>
      <c r="AB924" s="74"/>
    </row>
    <row r="925" spans="1:28" ht="40.5" customHeight="1">
      <c r="A925" s="434"/>
      <c r="B925" s="435"/>
      <c r="C925" s="369"/>
      <c r="D925" s="369"/>
      <c r="E925" s="369"/>
      <c r="F925" s="369"/>
      <c r="G925" s="374"/>
      <c r="H925" s="375"/>
      <c r="I925" s="35"/>
      <c r="J925" s="74"/>
      <c r="K925" s="74"/>
      <c r="L925" s="74"/>
      <c r="M925" s="74"/>
      <c r="N925" s="74"/>
      <c r="O925" s="74"/>
      <c r="P925" s="74"/>
      <c r="Q925" s="74"/>
      <c r="R925" s="74"/>
      <c r="S925" s="74"/>
      <c r="T925" s="74"/>
      <c r="U925" s="74"/>
      <c r="V925" s="74"/>
      <c r="W925" s="74"/>
      <c r="X925" s="74"/>
      <c r="Y925" s="74"/>
      <c r="Z925" s="74"/>
      <c r="AA925" s="74"/>
      <c r="AB925" s="74"/>
    </row>
    <row r="926" spans="1:28" ht="40.5" customHeight="1">
      <c r="A926" s="434"/>
      <c r="B926" s="435"/>
      <c r="C926" s="369"/>
      <c r="D926" s="369"/>
      <c r="E926" s="369"/>
      <c r="F926" s="369"/>
      <c r="G926" s="374"/>
      <c r="H926" s="375"/>
      <c r="I926" s="35"/>
      <c r="J926" s="74"/>
      <c r="K926" s="74"/>
      <c r="L926" s="74"/>
      <c r="M926" s="74"/>
      <c r="N926" s="74"/>
      <c r="O926" s="74"/>
      <c r="P926" s="74"/>
      <c r="Q926" s="74"/>
      <c r="R926" s="74"/>
      <c r="S926" s="74"/>
      <c r="T926" s="74"/>
      <c r="U926" s="74"/>
      <c r="V926" s="74"/>
      <c r="W926" s="74"/>
      <c r="X926" s="74"/>
      <c r="Y926" s="74"/>
      <c r="Z926" s="74"/>
      <c r="AA926" s="74"/>
      <c r="AB926" s="74"/>
    </row>
    <row r="927" spans="1:28" ht="40.5" customHeight="1">
      <c r="A927" s="434"/>
      <c r="B927" s="435"/>
      <c r="C927" s="369"/>
      <c r="D927" s="369"/>
      <c r="E927" s="369"/>
      <c r="F927" s="369"/>
      <c r="G927" s="374"/>
      <c r="H927" s="375"/>
      <c r="I927" s="35"/>
      <c r="J927" s="74"/>
      <c r="K927" s="74"/>
      <c r="L927" s="74"/>
      <c r="M927" s="74"/>
      <c r="N927" s="74"/>
      <c r="O927" s="74"/>
      <c r="P927" s="74"/>
      <c r="Q927" s="74"/>
      <c r="R927" s="74"/>
      <c r="S927" s="74"/>
      <c r="T927" s="74"/>
      <c r="U927" s="74"/>
      <c r="V927" s="74"/>
      <c r="W927" s="74"/>
      <c r="X927" s="74"/>
      <c r="Y927" s="74"/>
      <c r="Z927" s="74"/>
      <c r="AA927" s="74"/>
      <c r="AB927" s="74"/>
    </row>
    <row r="928" spans="1:28" ht="40.5" customHeight="1">
      <c r="A928" s="434"/>
      <c r="B928" s="435"/>
      <c r="C928" s="369"/>
      <c r="D928" s="369"/>
      <c r="E928" s="369"/>
      <c r="F928" s="369"/>
      <c r="G928" s="374"/>
      <c r="H928" s="375"/>
      <c r="I928" s="35"/>
      <c r="J928" s="74"/>
      <c r="K928" s="74"/>
      <c r="L928" s="74"/>
      <c r="M928" s="74"/>
      <c r="N928" s="74"/>
      <c r="O928" s="74"/>
      <c r="P928" s="74"/>
      <c r="Q928" s="74"/>
      <c r="R928" s="74"/>
      <c r="S928" s="74"/>
      <c r="T928" s="74"/>
      <c r="U928" s="74"/>
      <c r="V928" s="74"/>
      <c r="W928" s="74"/>
      <c r="X928" s="74"/>
      <c r="Y928" s="74"/>
      <c r="Z928" s="74"/>
      <c r="AA928" s="74"/>
      <c r="AB928" s="74"/>
    </row>
    <row r="929" spans="1:28" ht="40.5" customHeight="1">
      <c r="A929" s="434"/>
      <c r="B929" s="435"/>
      <c r="C929" s="369"/>
      <c r="D929" s="369"/>
      <c r="E929" s="369"/>
      <c r="F929" s="369"/>
      <c r="G929" s="374"/>
      <c r="H929" s="375"/>
      <c r="I929" s="35"/>
      <c r="J929" s="74"/>
      <c r="K929" s="74"/>
      <c r="L929" s="74"/>
      <c r="M929" s="74"/>
      <c r="N929" s="74"/>
      <c r="O929" s="74"/>
      <c r="P929" s="74"/>
      <c r="Q929" s="74"/>
      <c r="R929" s="74"/>
      <c r="S929" s="74"/>
      <c r="T929" s="74"/>
      <c r="U929" s="74"/>
      <c r="V929" s="74"/>
      <c r="W929" s="74"/>
      <c r="X929" s="74"/>
      <c r="Y929" s="74"/>
      <c r="Z929" s="74"/>
      <c r="AA929" s="74"/>
      <c r="AB929" s="74"/>
    </row>
    <row r="930" spans="1:28" ht="40.5" customHeight="1">
      <c r="A930" s="434"/>
      <c r="B930" s="435"/>
      <c r="C930" s="369"/>
      <c r="D930" s="369"/>
      <c r="E930" s="369"/>
      <c r="F930" s="369"/>
      <c r="G930" s="374"/>
      <c r="H930" s="375"/>
      <c r="I930" s="35"/>
      <c r="J930" s="74"/>
      <c r="K930" s="74"/>
      <c r="L930" s="74"/>
      <c r="M930" s="74"/>
      <c r="N930" s="74"/>
      <c r="O930" s="74"/>
      <c r="P930" s="74"/>
      <c r="Q930" s="74"/>
      <c r="R930" s="74"/>
      <c r="S930" s="74"/>
      <c r="T930" s="74"/>
      <c r="U930" s="74"/>
      <c r="V930" s="74"/>
      <c r="W930" s="74"/>
      <c r="X930" s="74"/>
      <c r="Y930" s="74"/>
      <c r="Z930" s="74"/>
      <c r="AA930" s="74"/>
      <c r="AB930" s="74"/>
    </row>
    <row r="931" spans="1:28" ht="40.5" customHeight="1">
      <c r="A931" s="434"/>
      <c r="B931" s="435"/>
      <c r="C931" s="369"/>
      <c r="D931" s="369"/>
      <c r="E931" s="369"/>
      <c r="F931" s="369"/>
      <c r="G931" s="374"/>
      <c r="H931" s="375"/>
      <c r="I931" s="35"/>
      <c r="J931" s="74"/>
      <c r="K931" s="74"/>
      <c r="L931" s="74"/>
      <c r="M931" s="74"/>
      <c r="N931" s="74"/>
      <c r="O931" s="74"/>
      <c r="P931" s="74"/>
      <c r="Q931" s="74"/>
      <c r="R931" s="74"/>
      <c r="S931" s="74"/>
      <c r="T931" s="74"/>
      <c r="U931" s="74"/>
      <c r="V931" s="74"/>
      <c r="W931" s="74"/>
      <c r="X931" s="74"/>
      <c r="Y931" s="74"/>
      <c r="Z931" s="74"/>
      <c r="AA931" s="74"/>
      <c r="AB931" s="74"/>
    </row>
    <row r="932" spans="1:28" ht="40.5" customHeight="1">
      <c r="A932" s="434"/>
      <c r="B932" s="435"/>
      <c r="C932" s="369"/>
      <c r="D932" s="369"/>
      <c r="E932" s="369"/>
      <c r="F932" s="369"/>
      <c r="G932" s="374"/>
      <c r="H932" s="375"/>
      <c r="I932" s="35"/>
      <c r="J932" s="74"/>
      <c r="K932" s="74"/>
      <c r="L932" s="74"/>
      <c r="M932" s="74"/>
      <c r="N932" s="74"/>
      <c r="O932" s="74"/>
      <c r="P932" s="74"/>
      <c r="Q932" s="74"/>
      <c r="R932" s="74"/>
      <c r="S932" s="74"/>
      <c r="T932" s="74"/>
      <c r="U932" s="74"/>
      <c r="V932" s="74"/>
      <c r="W932" s="74"/>
      <c r="X932" s="74"/>
      <c r="Y932" s="74"/>
      <c r="Z932" s="74"/>
      <c r="AA932" s="74"/>
      <c r="AB932" s="74"/>
    </row>
    <row r="933" spans="1:28" ht="40.5" customHeight="1">
      <c r="A933" s="434"/>
      <c r="B933" s="435"/>
      <c r="C933" s="369"/>
      <c r="D933" s="369"/>
      <c r="E933" s="369"/>
      <c r="F933" s="369"/>
      <c r="G933" s="374"/>
      <c r="H933" s="375"/>
      <c r="I933" s="35"/>
      <c r="J933" s="74"/>
      <c r="K933" s="74"/>
      <c r="L933" s="74"/>
      <c r="M933" s="74"/>
      <c r="N933" s="74"/>
      <c r="O933" s="74"/>
      <c r="P933" s="74"/>
      <c r="Q933" s="74"/>
      <c r="R933" s="74"/>
      <c r="S933" s="74"/>
      <c r="T933" s="74"/>
      <c r="U933" s="74"/>
      <c r="V933" s="74"/>
      <c r="W933" s="74"/>
      <c r="X933" s="74"/>
      <c r="Y933" s="74"/>
      <c r="Z933" s="74"/>
      <c r="AA933" s="74"/>
      <c r="AB933" s="74"/>
    </row>
    <row r="934" spans="1:28" ht="40.5" customHeight="1">
      <c r="A934" s="434"/>
      <c r="B934" s="435"/>
      <c r="C934" s="369"/>
      <c r="D934" s="369"/>
      <c r="E934" s="369"/>
      <c r="F934" s="369"/>
      <c r="G934" s="374"/>
      <c r="H934" s="375"/>
      <c r="I934" s="35"/>
      <c r="J934" s="74"/>
      <c r="K934" s="74"/>
      <c r="L934" s="74"/>
      <c r="M934" s="74"/>
      <c r="N934" s="74"/>
      <c r="O934" s="74"/>
      <c r="P934" s="74"/>
      <c r="Q934" s="74"/>
      <c r="R934" s="74"/>
      <c r="S934" s="74"/>
      <c r="T934" s="74"/>
      <c r="U934" s="74"/>
      <c r="V934" s="74"/>
      <c r="W934" s="74"/>
      <c r="X934" s="74"/>
      <c r="Y934" s="74"/>
      <c r="Z934" s="74"/>
      <c r="AA934" s="74"/>
      <c r="AB934" s="74"/>
    </row>
    <row r="935" spans="1:28" ht="40.5" customHeight="1">
      <c r="A935" s="434"/>
      <c r="B935" s="435"/>
      <c r="C935" s="369"/>
      <c r="D935" s="369"/>
      <c r="E935" s="369"/>
      <c r="F935" s="369"/>
      <c r="G935" s="374"/>
      <c r="H935" s="375"/>
      <c r="I935" s="35"/>
      <c r="J935" s="74"/>
      <c r="K935" s="74"/>
      <c r="L935" s="74"/>
      <c r="M935" s="74"/>
      <c r="N935" s="74"/>
      <c r="O935" s="74"/>
      <c r="P935" s="74"/>
      <c r="Q935" s="74"/>
      <c r="R935" s="74"/>
      <c r="S935" s="74"/>
      <c r="T935" s="74"/>
      <c r="U935" s="74"/>
      <c r="V935" s="74"/>
      <c r="W935" s="74"/>
      <c r="X935" s="74"/>
      <c r="Y935" s="74"/>
      <c r="Z935" s="74"/>
      <c r="AA935" s="74"/>
      <c r="AB935" s="74"/>
    </row>
    <row r="936" spans="1:28" ht="40.5" customHeight="1">
      <c r="A936" s="434"/>
      <c r="B936" s="435"/>
      <c r="C936" s="369"/>
      <c r="D936" s="369"/>
      <c r="E936" s="369"/>
      <c r="F936" s="369"/>
      <c r="G936" s="374"/>
      <c r="H936" s="375"/>
      <c r="I936" s="35"/>
      <c r="J936" s="74"/>
      <c r="K936" s="74"/>
      <c r="L936" s="74"/>
      <c r="M936" s="74"/>
      <c r="N936" s="74"/>
      <c r="O936" s="74"/>
      <c r="P936" s="74"/>
      <c r="Q936" s="74"/>
      <c r="R936" s="74"/>
      <c r="S936" s="74"/>
      <c r="T936" s="74"/>
      <c r="U936" s="74"/>
      <c r="V936" s="74"/>
      <c r="W936" s="74"/>
      <c r="X936" s="74"/>
      <c r="Y936" s="74"/>
      <c r="Z936" s="74"/>
      <c r="AA936" s="74"/>
      <c r="AB936" s="74"/>
    </row>
    <row r="937" spans="1:28" ht="40.5" customHeight="1">
      <c r="A937" s="434"/>
      <c r="B937" s="435"/>
      <c r="C937" s="369"/>
      <c r="D937" s="369"/>
      <c r="E937" s="369"/>
      <c r="F937" s="369"/>
      <c r="G937" s="374"/>
      <c r="H937" s="375"/>
      <c r="I937" s="35"/>
      <c r="J937" s="74"/>
      <c r="K937" s="74"/>
      <c r="L937" s="74"/>
      <c r="M937" s="74"/>
      <c r="N937" s="74"/>
      <c r="O937" s="74"/>
      <c r="P937" s="74"/>
      <c r="Q937" s="74"/>
      <c r="R937" s="74"/>
      <c r="S937" s="74"/>
      <c r="T937" s="74"/>
      <c r="U937" s="74"/>
      <c r="V937" s="74"/>
      <c r="W937" s="74"/>
      <c r="X937" s="74"/>
      <c r="Y937" s="74"/>
      <c r="Z937" s="74"/>
      <c r="AA937" s="74"/>
      <c r="AB937" s="74"/>
    </row>
    <row r="938" spans="1:28" ht="40.5" customHeight="1">
      <c r="A938" s="434"/>
      <c r="B938" s="435"/>
      <c r="C938" s="369"/>
      <c r="D938" s="369"/>
      <c r="E938" s="369"/>
      <c r="F938" s="369"/>
      <c r="G938" s="374"/>
      <c r="H938" s="375"/>
      <c r="I938" s="35"/>
      <c r="J938" s="74"/>
      <c r="K938" s="74"/>
      <c r="L938" s="74"/>
      <c r="M938" s="74"/>
      <c r="N938" s="74"/>
      <c r="O938" s="74"/>
      <c r="P938" s="74"/>
      <c r="Q938" s="74"/>
      <c r="R938" s="74"/>
      <c r="S938" s="74"/>
      <c r="T938" s="74"/>
      <c r="U938" s="74"/>
      <c r="V938" s="74"/>
      <c r="W938" s="74"/>
      <c r="X938" s="74"/>
      <c r="Y938" s="74"/>
      <c r="Z938" s="74"/>
      <c r="AA938" s="74"/>
      <c r="AB938" s="74"/>
    </row>
    <row r="939" spans="1:28" ht="40.5" customHeight="1">
      <c r="A939" s="434"/>
      <c r="B939" s="435"/>
      <c r="C939" s="369"/>
      <c r="D939" s="369"/>
      <c r="E939" s="369"/>
      <c r="F939" s="369"/>
      <c r="G939" s="374"/>
      <c r="H939" s="375"/>
      <c r="I939" s="35"/>
      <c r="J939" s="74"/>
      <c r="K939" s="74"/>
      <c r="L939" s="74"/>
      <c r="M939" s="74"/>
      <c r="N939" s="74"/>
      <c r="O939" s="74"/>
      <c r="P939" s="74"/>
      <c r="Q939" s="74"/>
      <c r="R939" s="74"/>
      <c r="S939" s="74"/>
      <c r="T939" s="74"/>
      <c r="U939" s="74"/>
      <c r="V939" s="74"/>
      <c r="W939" s="74"/>
      <c r="X939" s="74"/>
      <c r="Y939" s="74"/>
      <c r="Z939" s="74"/>
      <c r="AA939" s="74"/>
      <c r="AB939" s="74"/>
    </row>
    <row r="940" spans="1:28" ht="40.5" customHeight="1">
      <c r="A940" s="434"/>
      <c r="B940" s="435"/>
      <c r="C940" s="369"/>
      <c r="D940" s="369"/>
      <c r="E940" s="369"/>
      <c r="F940" s="369"/>
      <c r="G940" s="374"/>
      <c r="H940" s="375"/>
      <c r="I940" s="35"/>
      <c r="J940" s="74"/>
      <c r="K940" s="74"/>
      <c r="L940" s="74"/>
      <c r="M940" s="74"/>
      <c r="N940" s="74"/>
      <c r="O940" s="74"/>
      <c r="P940" s="74"/>
      <c r="Q940" s="74"/>
      <c r="R940" s="74"/>
      <c r="S940" s="74"/>
      <c r="T940" s="74"/>
      <c r="U940" s="74"/>
      <c r="V940" s="74"/>
      <c r="W940" s="74"/>
      <c r="X940" s="74"/>
      <c r="Y940" s="74"/>
      <c r="Z940" s="74"/>
      <c r="AA940" s="74"/>
      <c r="AB940" s="74"/>
    </row>
    <row r="941" spans="1:28" ht="40.5" customHeight="1">
      <c r="A941" s="434"/>
      <c r="B941" s="435"/>
      <c r="C941" s="369"/>
      <c r="D941" s="369"/>
      <c r="E941" s="369"/>
      <c r="F941" s="369"/>
      <c r="G941" s="374"/>
      <c r="H941" s="375"/>
      <c r="I941" s="35"/>
      <c r="J941" s="74"/>
      <c r="K941" s="74"/>
      <c r="L941" s="74"/>
      <c r="M941" s="74"/>
      <c r="N941" s="74"/>
      <c r="O941" s="74"/>
      <c r="P941" s="74"/>
      <c r="Q941" s="74"/>
      <c r="R941" s="74"/>
      <c r="S941" s="74"/>
      <c r="T941" s="74"/>
      <c r="U941" s="74"/>
      <c r="V941" s="74"/>
      <c r="W941" s="74"/>
      <c r="X941" s="74"/>
      <c r="Y941" s="74"/>
      <c r="Z941" s="74"/>
      <c r="AA941" s="74"/>
      <c r="AB941" s="74"/>
    </row>
    <row r="942" spans="1:28" ht="40.5" customHeight="1">
      <c r="A942" s="434"/>
      <c r="B942" s="435"/>
      <c r="C942" s="369"/>
      <c r="D942" s="369"/>
      <c r="E942" s="369"/>
      <c r="F942" s="369"/>
      <c r="G942" s="374"/>
      <c r="H942" s="375"/>
      <c r="I942" s="35"/>
      <c r="J942" s="74"/>
      <c r="K942" s="74"/>
      <c r="L942" s="74"/>
      <c r="M942" s="74"/>
      <c r="N942" s="74"/>
      <c r="O942" s="74"/>
      <c r="P942" s="74"/>
      <c r="Q942" s="74"/>
      <c r="R942" s="74"/>
      <c r="S942" s="74"/>
      <c r="T942" s="74"/>
      <c r="U942" s="74"/>
      <c r="V942" s="74"/>
      <c r="W942" s="74"/>
      <c r="X942" s="74"/>
      <c r="Y942" s="74"/>
      <c r="Z942" s="74"/>
      <c r="AA942" s="74"/>
      <c r="AB942" s="74"/>
    </row>
    <row r="943" spans="1:28" ht="40.5" customHeight="1">
      <c r="A943" s="434"/>
      <c r="B943" s="435"/>
      <c r="C943" s="369"/>
      <c r="D943" s="369"/>
      <c r="E943" s="369"/>
      <c r="F943" s="369"/>
      <c r="G943" s="374"/>
      <c r="H943" s="375"/>
      <c r="I943" s="35"/>
      <c r="J943" s="74"/>
      <c r="K943" s="74"/>
      <c r="L943" s="74"/>
      <c r="M943" s="74"/>
      <c r="N943" s="74"/>
      <c r="O943" s="74"/>
      <c r="P943" s="74"/>
      <c r="Q943" s="74"/>
      <c r="R943" s="74"/>
      <c r="S943" s="74"/>
      <c r="T943" s="74"/>
      <c r="U943" s="74"/>
      <c r="V943" s="74"/>
      <c r="W943" s="74"/>
      <c r="X943" s="74"/>
      <c r="Y943" s="74"/>
      <c r="Z943" s="74"/>
      <c r="AA943" s="74"/>
      <c r="AB943" s="74"/>
    </row>
    <row r="944" spans="1:28" ht="40.5" customHeight="1">
      <c r="A944" s="434"/>
      <c r="B944" s="435"/>
      <c r="C944" s="369"/>
      <c r="D944" s="369"/>
      <c r="E944" s="369"/>
      <c r="F944" s="369"/>
      <c r="G944" s="374"/>
      <c r="H944" s="375"/>
      <c r="I944" s="35"/>
      <c r="J944" s="74"/>
      <c r="K944" s="74"/>
      <c r="L944" s="74"/>
      <c r="M944" s="74"/>
      <c r="N944" s="74"/>
      <c r="O944" s="74"/>
      <c r="P944" s="74"/>
      <c r="Q944" s="74"/>
      <c r="R944" s="74"/>
      <c r="S944" s="74"/>
      <c r="T944" s="74"/>
      <c r="U944" s="74"/>
      <c r="V944" s="74"/>
      <c r="W944" s="74"/>
      <c r="X944" s="74"/>
      <c r="Y944" s="74"/>
      <c r="Z944" s="74"/>
      <c r="AA944" s="74"/>
      <c r="AB944" s="74"/>
    </row>
    <row r="945" spans="1:28" ht="40.5" customHeight="1">
      <c r="A945" s="434"/>
      <c r="B945" s="435"/>
      <c r="C945" s="369"/>
      <c r="D945" s="369"/>
      <c r="E945" s="369"/>
      <c r="F945" s="369"/>
      <c r="G945" s="374"/>
      <c r="H945" s="375"/>
      <c r="I945" s="35"/>
      <c r="J945" s="74"/>
      <c r="K945" s="74"/>
      <c r="L945" s="74"/>
      <c r="M945" s="74"/>
      <c r="N945" s="74"/>
      <c r="O945" s="74"/>
      <c r="P945" s="74"/>
      <c r="Q945" s="74"/>
      <c r="R945" s="74"/>
      <c r="S945" s="74"/>
      <c r="T945" s="74"/>
      <c r="U945" s="74"/>
      <c r="V945" s="74"/>
      <c r="W945" s="74"/>
      <c r="X945" s="74"/>
      <c r="Y945" s="74"/>
      <c r="Z945" s="74"/>
      <c r="AA945" s="74"/>
      <c r="AB945" s="74"/>
    </row>
    <row r="946" spans="1:28" ht="40.5" customHeight="1">
      <c r="A946" s="434"/>
      <c r="B946" s="435"/>
      <c r="C946" s="369"/>
      <c r="D946" s="369"/>
      <c r="E946" s="369"/>
      <c r="F946" s="369"/>
      <c r="G946" s="374"/>
      <c r="H946" s="375"/>
      <c r="I946" s="35"/>
      <c r="J946" s="74"/>
      <c r="K946" s="74"/>
      <c r="L946" s="74"/>
      <c r="M946" s="74"/>
      <c r="N946" s="74"/>
      <c r="O946" s="74"/>
      <c r="P946" s="74"/>
      <c r="Q946" s="74"/>
      <c r="R946" s="74"/>
      <c r="S946" s="74"/>
      <c r="T946" s="74"/>
      <c r="U946" s="74"/>
      <c r="V946" s="74"/>
      <c r="W946" s="74"/>
      <c r="X946" s="74"/>
      <c r="Y946" s="74"/>
      <c r="Z946" s="74"/>
      <c r="AA946" s="74"/>
      <c r="AB946" s="74"/>
    </row>
    <row r="947" spans="1:28" ht="40.5" customHeight="1">
      <c r="A947" s="434"/>
      <c r="B947" s="435"/>
      <c r="C947" s="369"/>
      <c r="D947" s="369"/>
      <c r="E947" s="369"/>
      <c r="F947" s="369"/>
      <c r="G947" s="374"/>
      <c r="H947" s="375"/>
      <c r="I947" s="35"/>
      <c r="J947" s="74"/>
      <c r="K947" s="74"/>
      <c r="L947" s="74"/>
      <c r="M947" s="74"/>
      <c r="N947" s="74"/>
      <c r="O947" s="74"/>
      <c r="P947" s="74"/>
      <c r="Q947" s="74"/>
      <c r="R947" s="74"/>
      <c r="S947" s="74"/>
      <c r="T947" s="74"/>
      <c r="U947" s="74"/>
      <c r="V947" s="74"/>
      <c r="W947" s="74"/>
      <c r="X947" s="74"/>
      <c r="Y947" s="74"/>
      <c r="Z947" s="74"/>
      <c r="AA947" s="74"/>
      <c r="AB947" s="74"/>
    </row>
    <row r="948" spans="1:28" ht="40.5" customHeight="1">
      <c r="A948" s="434"/>
      <c r="B948" s="435"/>
      <c r="C948" s="369"/>
      <c r="D948" s="369"/>
      <c r="E948" s="369"/>
      <c r="F948" s="369"/>
      <c r="G948" s="374"/>
      <c r="H948" s="375"/>
      <c r="I948" s="35"/>
      <c r="J948" s="74"/>
      <c r="K948" s="74"/>
      <c r="L948" s="74"/>
      <c r="M948" s="74"/>
      <c r="N948" s="74"/>
      <c r="O948" s="74"/>
      <c r="P948" s="74"/>
      <c r="Q948" s="74"/>
      <c r="R948" s="74"/>
      <c r="S948" s="74"/>
      <c r="T948" s="74"/>
      <c r="U948" s="74"/>
      <c r="V948" s="74"/>
      <c r="W948" s="74"/>
      <c r="X948" s="74"/>
      <c r="Y948" s="74"/>
      <c r="Z948" s="74"/>
      <c r="AA948" s="74"/>
      <c r="AB948" s="74"/>
    </row>
    <row r="949" spans="1:28" ht="40.5" customHeight="1">
      <c r="A949" s="434"/>
      <c r="B949" s="435"/>
      <c r="C949" s="369"/>
      <c r="D949" s="369"/>
      <c r="E949" s="369"/>
      <c r="F949" s="369"/>
      <c r="G949" s="374"/>
      <c r="H949" s="375"/>
      <c r="I949" s="35"/>
      <c r="J949" s="74"/>
      <c r="K949" s="74"/>
      <c r="L949" s="74"/>
      <c r="M949" s="74"/>
      <c r="N949" s="74"/>
      <c r="O949" s="74"/>
      <c r="P949" s="74"/>
      <c r="Q949" s="74"/>
      <c r="R949" s="74"/>
      <c r="S949" s="74"/>
      <c r="T949" s="74"/>
      <c r="U949" s="74"/>
      <c r="V949" s="74"/>
      <c r="W949" s="74"/>
      <c r="X949" s="74"/>
      <c r="Y949" s="74"/>
      <c r="Z949" s="74"/>
      <c r="AA949" s="74"/>
      <c r="AB949" s="74"/>
    </row>
    <row r="950" spans="1:28" ht="40.5" customHeight="1">
      <c r="A950" s="434"/>
      <c r="B950" s="435"/>
      <c r="C950" s="369"/>
      <c r="D950" s="369"/>
      <c r="E950" s="369"/>
      <c r="F950" s="369"/>
      <c r="G950" s="374"/>
      <c r="H950" s="375"/>
      <c r="I950" s="35"/>
      <c r="J950" s="74"/>
      <c r="K950" s="74"/>
      <c r="L950" s="74"/>
      <c r="M950" s="74"/>
      <c r="N950" s="74"/>
      <c r="O950" s="74"/>
      <c r="P950" s="74"/>
      <c r="Q950" s="74"/>
      <c r="R950" s="74"/>
      <c r="S950" s="74"/>
      <c r="T950" s="74"/>
      <c r="U950" s="74"/>
      <c r="V950" s="74"/>
      <c r="W950" s="74"/>
      <c r="X950" s="74"/>
      <c r="Y950" s="74"/>
      <c r="Z950" s="74"/>
      <c r="AA950" s="74"/>
      <c r="AB950" s="74"/>
    </row>
    <row r="951" spans="1:28" ht="40.5" customHeight="1">
      <c r="A951" s="434"/>
      <c r="B951" s="435"/>
      <c r="C951" s="369"/>
      <c r="D951" s="369"/>
      <c r="E951" s="369"/>
      <c r="F951" s="369"/>
      <c r="G951" s="374"/>
      <c r="H951" s="375"/>
      <c r="I951" s="35"/>
      <c r="J951" s="74"/>
      <c r="K951" s="74"/>
      <c r="L951" s="74"/>
      <c r="M951" s="74"/>
      <c r="N951" s="74"/>
      <c r="O951" s="74"/>
      <c r="P951" s="74"/>
      <c r="Q951" s="74"/>
      <c r="R951" s="74"/>
      <c r="S951" s="74"/>
      <c r="T951" s="74"/>
      <c r="U951" s="74"/>
      <c r="V951" s="74"/>
      <c r="W951" s="74"/>
      <c r="X951" s="74"/>
      <c r="Y951" s="74"/>
      <c r="Z951" s="74"/>
      <c r="AA951" s="74"/>
      <c r="AB951" s="74"/>
    </row>
    <row r="952" spans="1:28" ht="40.5" customHeight="1">
      <c r="A952" s="434"/>
      <c r="B952" s="435"/>
      <c r="C952" s="369"/>
      <c r="D952" s="369"/>
      <c r="E952" s="369"/>
      <c r="F952" s="369"/>
      <c r="G952" s="374"/>
      <c r="H952" s="375"/>
      <c r="I952" s="35"/>
      <c r="J952" s="74"/>
      <c r="K952" s="74"/>
      <c r="L952" s="74"/>
      <c r="M952" s="74"/>
      <c r="N952" s="74"/>
      <c r="O952" s="74"/>
      <c r="P952" s="74"/>
      <c r="Q952" s="74"/>
      <c r="R952" s="74"/>
      <c r="S952" s="74"/>
      <c r="T952" s="74"/>
      <c r="U952" s="74"/>
      <c r="V952" s="74"/>
      <c r="W952" s="74"/>
      <c r="X952" s="74"/>
      <c r="Y952" s="74"/>
      <c r="Z952" s="74"/>
      <c r="AA952" s="74"/>
      <c r="AB952" s="74"/>
    </row>
    <row r="953" spans="1:28" ht="40.5" customHeight="1">
      <c r="A953" s="434"/>
      <c r="B953" s="435"/>
      <c r="C953" s="369"/>
      <c r="D953" s="369"/>
      <c r="E953" s="369"/>
      <c r="F953" s="369"/>
      <c r="G953" s="374"/>
      <c r="H953" s="375"/>
      <c r="I953" s="35"/>
      <c r="J953" s="74"/>
      <c r="K953" s="74"/>
      <c r="L953" s="74"/>
      <c r="M953" s="74"/>
      <c r="N953" s="74"/>
      <c r="O953" s="74"/>
      <c r="P953" s="74"/>
      <c r="Q953" s="74"/>
      <c r="R953" s="74"/>
      <c r="S953" s="74"/>
      <c r="T953" s="74"/>
      <c r="U953" s="74"/>
      <c r="V953" s="74"/>
      <c r="W953" s="74"/>
      <c r="X953" s="74"/>
      <c r="Y953" s="74"/>
      <c r="Z953" s="74"/>
      <c r="AA953" s="74"/>
      <c r="AB953" s="74"/>
    </row>
    <row r="954" spans="1:28" ht="40.5" customHeight="1">
      <c r="A954" s="434"/>
      <c r="B954" s="435"/>
      <c r="C954" s="369"/>
      <c r="D954" s="369"/>
      <c r="E954" s="369"/>
      <c r="F954" s="369"/>
      <c r="G954" s="374"/>
      <c r="H954" s="375"/>
      <c r="I954" s="35"/>
      <c r="J954" s="74"/>
      <c r="K954" s="74"/>
      <c r="L954" s="74"/>
      <c r="M954" s="74"/>
      <c r="N954" s="74"/>
      <c r="O954" s="74"/>
      <c r="P954" s="74"/>
      <c r="Q954" s="74"/>
      <c r="R954" s="74"/>
      <c r="S954" s="74"/>
      <c r="T954" s="74"/>
      <c r="U954" s="74"/>
      <c r="V954" s="74"/>
      <c r="W954" s="74"/>
      <c r="X954" s="74"/>
      <c r="Y954" s="74"/>
      <c r="Z954" s="74"/>
      <c r="AA954" s="74"/>
      <c r="AB954" s="74"/>
    </row>
    <row r="955" spans="1:28" ht="40.5" customHeight="1">
      <c r="A955" s="434"/>
      <c r="B955" s="435"/>
      <c r="C955" s="369"/>
      <c r="D955" s="369"/>
      <c r="E955" s="369"/>
      <c r="F955" s="369"/>
      <c r="G955" s="374"/>
      <c r="H955" s="375"/>
      <c r="I955" s="35"/>
      <c r="J955" s="74"/>
      <c r="K955" s="74"/>
      <c r="L955" s="74"/>
      <c r="M955" s="74"/>
      <c r="N955" s="74"/>
      <c r="O955" s="74"/>
      <c r="P955" s="74"/>
      <c r="Q955" s="74"/>
      <c r="R955" s="74"/>
      <c r="S955" s="74"/>
      <c r="T955" s="74"/>
      <c r="U955" s="74"/>
      <c r="V955" s="74"/>
      <c r="W955" s="74"/>
      <c r="X955" s="74"/>
      <c r="Y955" s="74"/>
      <c r="Z955" s="74"/>
      <c r="AA955" s="74"/>
      <c r="AB955" s="74"/>
    </row>
    <row r="956" spans="1:28" ht="40.5" customHeight="1">
      <c r="A956" s="434"/>
      <c r="B956" s="435"/>
      <c r="C956" s="369"/>
      <c r="D956" s="369"/>
      <c r="E956" s="369"/>
      <c r="F956" s="369"/>
      <c r="G956" s="374"/>
      <c r="H956" s="375"/>
      <c r="I956" s="35"/>
      <c r="J956" s="74"/>
      <c r="K956" s="74"/>
      <c r="L956" s="74"/>
      <c r="M956" s="74"/>
      <c r="N956" s="74"/>
      <c r="O956" s="74"/>
      <c r="P956" s="74"/>
      <c r="Q956" s="74"/>
      <c r="R956" s="74"/>
      <c r="S956" s="74"/>
      <c r="T956" s="74"/>
      <c r="U956" s="74"/>
      <c r="V956" s="74"/>
      <c r="W956" s="74"/>
      <c r="X956" s="74"/>
      <c r="Y956" s="74"/>
      <c r="Z956" s="74"/>
      <c r="AA956" s="74"/>
      <c r="AB956" s="74"/>
    </row>
    <row r="957" spans="1:28" ht="40.5" customHeight="1">
      <c r="A957" s="434"/>
      <c r="B957" s="435"/>
      <c r="C957" s="369"/>
      <c r="D957" s="369"/>
      <c r="E957" s="369"/>
      <c r="F957" s="369"/>
      <c r="G957" s="374"/>
      <c r="H957" s="375"/>
      <c r="I957" s="35"/>
      <c r="J957" s="74"/>
      <c r="K957" s="74"/>
      <c r="L957" s="74"/>
      <c r="M957" s="74"/>
      <c r="N957" s="74"/>
      <c r="O957" s="74"/>
      <c r="P957" s="74"/>
      <c r="Q957" s="74"/>
      <c r="R957" s="74"/>
      <c r="S957" s="74"/>
      <c r="T957" s="74"/>
      <c r="U957" s="74"/>
      <c r="V957" s="74"/>
      <c r="W957" s="74"/>
      <c r="X957" s="74"/>
      <c r="Y957" s="74"/>
      <c r="Z957" s="74"/>
      <c r="AA957" s="74"/>
      <c r="AB957" s="74"/>
    </row>
    <row r="958" spans="1:28" ht="40.5" customHeight="1">
      <c r="A958" s="434"/>
      <c r="B958" s="435"/>
      <c r="C958" s="369"/>
      <c r="D958" s="369"/>
      <c r="E958" s="369"/>
      <c r="F958" s="369"/>
      <c r="G958" s="374"/>
      <c r="H958" s="375"/>
      <c r="I958" s="35"/>
      <c r="J958" s="74"/>
      <c r="K958" s="74"/>
      <c r="L958" s="74"/>
      <c r="M958" s="74"/>
      <c r="N958" s="74"/>
      <c r="O958" s="74"/>
      <c r="P958" s="74"/>
      <c r="Q958" s="74"/>
      <c r="R958" s="74"/>
      <c r="S958" s="74"/>
      <c r="T958" s="74"/>
      <c r="U958" s="74"/>
      <c r="V958" s="74"/>
      <c r="W958" s="74"/>
      <c r="X958" s="74"/>
      <c r="Y958" s="74"/>
      <c r="Z958" s="74"/>
      <c r="AA958" s="74"/>
      <c r="AB958" s="74"/>
    </row>
    <row r="959" spans="1:28" ht="40.5" customHeight="1">
      <c r="A959" s="434"/>
      <c r="B959" s="435"/>
      <c r="C959" s="369"/>
      <c r="D959" s="369"/>
      <c r="E959" s="369"/>
      <c r="F959" s="369"/>
      <c r="G959" s="374"/>
      <c r="H959" s="375"/>
      <c r="I959" s="35"/>
      <c r="J959" s="74"/>
      <c r="K959" s="74"/>
      <c r="L959" s="74"/>
      <c r="M959" s="74"/>
      <c r="N959" s="74"/>
      <c r="O959" s="74"/>
      <c r="P959" s="74"/>
      <c r="Q959" s="74"/>
      <c r="R959" s="74"/>
      <c r="S959" s="74"/>
      <c r="T959" s="74"/>
      <c r="U959" s="74"/>
      <c r="V959" s="74"/>
      <c r="W959" s="74"/>
      <c r="X959" s="74"/>
      <c r="Y959" s="74"/>
      <c r="Z959" s="74"/>
      <c r="AA959" s="74"/>
      <c r="AB959" s="74"/>
    </row>
    <row r="960" spans="1:28" ht="40.5" customHeight="1">
      <c r="A960" s="434"/>
      <c r="B960" s="435"/>
      <c r="C960" s="369"/>
      <c r="D960" s="369"/>
      <c r="E960" s="369"/>
      <c r="F960" s="369"/>
      <c r="G960" s="374"/>
      <c r="H960" s="375"/>
      <c r="I960" s="35"/>
      <c r="J960" s="74"/>
      <c r="K960" s="74"/>
      <c r="L960" s="74"/>
      <c r="M960" s="74"/>
      <c r="N960" s="74"/>
      <c r="O960" s="74"/>
      <c r="P960" s="74"/>
      <c r="Q960" s="74"/>
      <c r="R960" s="74"/>
      <c r="S960" s="74"/>
      <c r="T960" s="74"/>
      <c r="U960" s="74"/>
      <c r="V960" s="74"/>
      <c r="W960" s="74"/>
      <c r="X960" s="74"/>
      <c r="Y960" s="74"/>
      <c r="Z960" s="74"/>
      <c r="AA960" s="74"/>
      <c r="AB960" s="74"/>
    </row>
    <row r="961" spans="1:28" ht="40.5" customHeight="1">
      <c r="A961" s="434"/>
      <c r="B961" s="435"/>
      <c r="C961" s="369"/>
      <c r="D961" s="369"/>
      <c r="E961" s="369"/>
      <c r="F961" s="369"/>
      <c r="G961" s="374"/>
      <c r="H961" s="375"/>
      <c r="I961" s="35"/>
      <c r="J961" s="74"/>
      <c r="K961" s="74"/>
      <c r="L961" s="74"/>
      <c r="M961" s="74"/>
      <c r="N961" s="74"/>
      <c r="O961" s="74"/>
      <c r="P961" s="74"/>
      <c r="Q961" s="74"/>
      <c r="R961" s="74"/>
      <c r="S961" s="74"/>
      <c r="T961" s="74"/>
      <c r="U961" s="74"/>
      <c r="V961" s="74"/>
      <c r="W961" s="74"/>
      <c r="X961" s="74"/>
      <c r="Y961" s="74"/>
      <c r="Z961" s="74"/>
      <c r="AA961" s="74"/>
      <c r="AB961" s="74"/>
    </row>
    <row r="962" spans="1:28" ht="40.5" customHeight="1">
      <c r="A962" s="434"/>
      <c r="B962" s="435"/>
      <c r="C962" s="369"/>
      <c r="D962" s="369"/>
      <c r="E962" s="369"/>
      <c r="F962" s="369"/>
      <c r="G962" s="374"/>
      <c r="H962" s="375"/>
      <c r="I962" s="35"/>
      <c r="J962" s="74"/>
      <c r="K962" s="74"/>
      <c r="L962" s="74"/>
      <c r="M962" s="74"/>
      <c r="N962" s="74"/>
      <c r="O962" s="74"/>
      <c r="P962" s="74"/>
      <c r="Q962" s="74"/>
      <c r="R962" s="74"/>
      <c r="S962" s="74"/>
      <c r="T962" s="74"/>
      <c r="U962" s="74"/>
      <c r="V962" s="74"/>
      <c r="W962" s="74"/>
      <c r="X962" s="74"/>
      <c r="Y962" s="74"/>
      <c r="Z962" s="74"/>
      <c r="AA962" s="74"/>
      <c r="AB962" s="74"/>
    </row>
    <row r="963" spans="1:28" ht="40.5" customHeight="1">
      <c r="A963" s="434"/>
      <c r="B963" s="435"/>
      <c r="C963" s="369"/>
      <c r="D963" s="369"/>
      <c r="E963" s="369"/>
      <c r="F963" s="369"/>
      <c r="G963" s="374"/>
      <c r="H963" s="375"/>
      <c r="I963" s="35"/>
      <c r="J963" s="74"/>
      <c r="K963" s="74"/>
      <c r="L963" s="74"/>
      <c r="M963" s="74"/>
      <c r="N963" s="74"/>
      <c r="O963" s="74"/>
      <c r="P963" s="74"/>
      <c r="Q963" s="74"/>
      <c r="R963" s="74"/>
      <c r="S963" s="74"/>
      <c r="T963" s="74"/>
      <c r="U963" s="74"/>
      <c r="V963" s="74"/>
      <c r="W963" s="74"/>
      <c r="X963" s="74"/>
      <c r="Y963" s="74"/>
      <c r="Z963" s="74"/>
      <c r="AA963" s="74"/>
      <c r="AB963" s="74"/>
    </row>
    <row r="964" spans="1:28" ht="40.5" customHeight="1">
      <c r="A964" s="434"/>
      <c r="B964" s="435"/>
      <c r="C964" s="369"/>
      <c r="D964" s="369"/>
      <c r="E964" s="369"/>
      <c r="F964" s="369"/>
      <c r="G964" s="374"/>
      <c r="H964" s="375"/>
      <c r="I964" s="35"/>
      <c r="J964" s="74"/>
      <c r="K964" s="74"/>
      <c r="L964" s="74"/>
      <c r="M964" s="74"/>
      <c r="N964" s="74"/>
      <c r="O964" s="74"/>
      <c r="P964" s="74"/>
      <c r="Q964" s="74"/>
      <c r="R964" s="74"/>
      <c r="S964" s="74"/>
      <c r="T964" s="74"/>
      <c r="U964" s="74"/>
      <c r="V964" s="74"/>
      <c r="W964" s="74"/>
      <c r="X964" s="74"/>
      <c r="Y964" s="74"/>
      <c r="Z964" s="74"/>
      <c r="AA964" s="74"/>
      <c r="AB964" s="74"/>
    </row>
    <row r="965" spans="1:28" ht="40.5" customHeight="1">
      <c r="A965" s="434"/>
      <c r="B965" s="435"/>
      <c r="C965" s="369"/>
      <c r="D965" s="369"/>
      <c r="E965" s="369"/>
      <c r="F965" s="369"/>
      <c r="G965" s="374"/>
      <c r="H965" s="375"/>
      <c r="I965" s="35"/>
      <c r="J965" s="74"/>
      <c r="K965" s="74"/>
      <c r="L965" s="74"/>
      <c r="M965" s="74"/>
      <c r="N965" s="74"/>
      <c r="O965" s="74"/>
      <c r="P965" s="74"/>
      <c r="Q965" s="74"/>
      <c r="R965" s="74"/>
      <c r="S965" s="74"/>
      <c r="T965" s="74"/>
      <c r="U965" s="74"/>
      <c r="V965" s="74"/>
      <c r="W965" s="74"/>
      <c r="X965" s="74"/>
      <c r="Y965" s="74"/>
      <c r="Z965" s="74"/>
      <c r="AA965" s="74"/>
      <c r="AB965" s="74"/>
    </row>
    <row r="966" spans="1:28" ht="40.5" customHeight="1">
      <c r="A966" s="434"/>
      <c r="B966" s="435"/>
      <c r="C966" s="369"/>
      <c r="D966" s="369"/>
      <c r="E966" s="369"/>
      <c r="F966" s="369"/>
      <c r="G966" s="374"/>
      <c r="H966" s="375"/>
      <c r="I966" s="35"/>
      <c r="J966" s="74"/>
      <c r="K966" s="74"/>
      <c r="L966" s="74"/>
      <c r="M966" s="74"/>
      <c r="N966" s="74"/>
      <c r="O966" s="74"/>
      <c r="P966" s="74"/>
      <c r="Q966" s="74"/>
      <c r="R966" s="74"/>
      <c r="S966" s="74"/>
      <c r="T966" s="74"/>
      <c r="U966" s="74"/>
      <c r="V966" s="74"/>
      <c r="W966" s="74"/>
      <c r="X966" s="74"/>
      <c r="Y966" s="74"/>
      <c r="Z966" s="74"/>
      <c r="AA966" s="74"/>
      <c r="AB966" s="74"/>
    </row>
    <row r="967" spans="1:28" ht="40.5" customHeight="1">
      <c r="A967" s="434"/>
      <c r="B967" s="435"/>
      <c r="C967" s="369"/>
      <c r="D967" s="369"/>
      <c r="E967" s="369"/>
      <c r="F967" s="369"/>
      <c r="G967" s="374"/>
      <c r="H967" s="375"/>
      <c r="I967" s="35"/>
      <c r="J967" s="74"/>
      <c r="K967" s="74"/>
      <c r="L967" s="74"/>
      <c r="M967" s="74"/>
      <c r="N967" s="74"/>
      <c r="O967" s="74"/>
      <c r="P967" s="74"/>
      <c r="Q967" s="74"/>
      <c r="R967" s="74"/>
      <c r="S967" s="74"/>
      <c r="T967" s="74"/>
      <c r="U967" s="74"/>
      <c r="V967" s="74"/>
      <c r="W967" s="74"/>
      <c r="X967" s="74"/>
      <c r="Y967" s="74"/>
      <c r="Z967" s="74"/>
      <c r="AA967" s="74"/>
      <c r="AB967" s="74"/>
    </row>
    <row r="968" spans="1:28" ht="40.5" customHeight="1">
      <c r="A968" s="434"/>
      <c r="B968" s="435"/>
      <c r="C968" s="369"/>
      <c r="D968" s="369"/>
      <c r="E968" s="369"/>
      <c r="F968" s="369"/>
      <c r="G968" s="374"/>
      <c r="H968" s="375"/>
      <c r="I968" s="35"/>
      <c r="J968" s="74"/>
      <c r="K968" s="74"/>
      <c r="L968" s="74"/>
      <c r="M968" s="74"/>
      <c r="N968" s="74"/>
      <c r="O968" s="74"/>
      <c r="P968" s="74"/>
      <c r="Q968" s="74"/>
      <c r="R968" s="74"/>
      <c r="S968" s="74"/>
      <c r="T968" s="74"/>
      <c r="U968" s="74"/>
      <c r="V968" s="74"/>
      <c r="W968" s="74"/>
      <c r="X968" s="74"/>
      <c r="Y968" s="74"/>
      <c r="Z968" s="74"/>
      <c r="AA968" s="74"/>
      <c r="AB968" s="74"/>
    </row>
    <row r="969" spans="1:28" ht="40.5" customHeight="1">
      <c r="A969" s="434"/>
      <c r="B969" s="435"/>
      <c r="C969" s="369"/>
      <c r="D969" s="369"/>
      <c r="E969" s="369"/>
      <c r="F969" s="369"/>
      <c r="G969" s="374"/>
      <c r="H969" s="375"/>
      <c r="I969" s="35"/>
      <c r="J969" s="74"/>
      <c r="K969" s="74"/>
      <c r="L969" s="74"/>
      <c r="M969" s="74"/>
      <c r="N969" s="74"/>
      <c r="O969" s="74"/>
      <c r="P969" s="74"/>
      <c r="Q969" s="74"/>
      <c r="R969" s="74"/>
      <c r="S969" s="74"/>
      <c r="T969" s="74"/>
      <c r="U969" s="74"/>
      <c r="V969" s="74"/>
      <c r="W969" s="74"/>
      <c r="X969" s="74"/>
      <c r="Y969" s="74"/>
      <c r="Z969" s="74"/>
      <c r="AA969" s="74"/>
      <c r="AB969" s="74"/>
    </row>
    <row r="970" spans="1:28" ht="40.5" customHeight="1">
      <c r="A970" s="434"/>
      <c r="B970" s="435"/>
      <c r="C970" s="369"/>
      <c r="D970" s="369"/>
      <c r="E970" s="369"/>
      <c r="F970" s="369"/>
      <c r="G970" s="374"/>
      <c r="H970" s="375"/>
      <c r="I970" s="35"/>
      <c r="J970" s="74"/>
      <c r="K970" s="74"/>
      <c r="L970" s="74"/>
      <c r="M970" s="74"/>
      <c r="N970" s="74"/>
      <c r="O970" s="74"/>
      <c r="P970" s="74"/>
      <c r="Q970" s="74"/>
      <c r="R970" s="74"/>
      <c r="S970" s="74"/>
      <c r="T970" s="74"/>
      <c r="U970" s="74"/>
      <c r="V970" s="74"/>
      <c r="W970" s="74"/>
      <c r="X970" s="74"/>
      <c r="Y970" s="74"/>
      <c r="Z970" s="74"/>
      <c r="AA970" s="74"/>
      <c r="AB970" s="74"/>
    </row>
    <row r="971" spans="1:28" ht="40.5" customHeight="1">
      <c r="A971" s="434"/>
      <c r="B971" s="435"/>
      <c r="C971" s="369"/>
      <c r="D971" s="369"/>
      <c r="E971" s="369"/>
      <c r="F971" s="369"/>
      <c r="G971" s="374"/>
      <c r="H971" s="375"/>
      <c r="I971" s="35"/>
      <c r="J971" s="74"/>
      <c r="K971" s="74"/>
      <c r="L971" s="74"/>
      <c r="M971" s="74"/>
      <c r="N971" s="74"/>
      <c r="O971" s="74"/>
      <c r="P971" s="74"/>
      <c r="Q971" s="74"/>
      <c r="R971" s="74"/>
      <c r="S971" s="74"/>
      <c r="T971" s="74"/>
      <c r="U971" s="74"/>
      <c r="V971" s="74"/>
      <c r="W971" s="74"/>
      <c r="X971" s="74"/>
      <c r="Y971" s="74"/>
      <c r="Z971" s="74"/>
      <c r="AA971" s="74"/>
      <c r="AB971" s="74"/>
    </row>
    <row r="972" spans="1:28" ht="40.5" customHeight="1">
      <c r="A972" s="434"/>
      <c r="B972" s="435"/>
      <c r="C972" s="369"/>
      <c r="D972" s="369"/>
      <c r="E972" s="369"/>
      <c r="F972" s="369"/>
      <c r="G972" s="374"/>
      <c r="H972" s="375"/>
      <c r="I972" s="35"/>
      <c r="J972" s="74"/>
      <c r="K972" s="74"/>
      <c r="L972" s="74"/>
      <c r="M972" s="74"/>
      <c r="N972" s="74"/>
      <c r="O972" s="74"/>
      <c r="P972" s="74"/>
      <c r="Q972" s="74"/>
      <c r="R972" s="74"/>
      <c r="S972" s="74"/>
      <c r="T972" s="74"/>
      <c r="U972" s="74"/>
      <c r="V972" s="74"/>
      <c r="W972" s="74"/>
      <c r="X972" s="74"/>
      <c r="Y972" s="74"/>
      <c r="Z972" s="74"/>
      <c r="AA972" s="74"/>
      <c r="AB972" s="74"/>
    </row>
    <row r="973" spans="1:28" ht="40.5" customHeight="1">
      <c r="A973" s="434"/>
      <c r="B973" s="435"/>
      <c r="C973" s="369"/>
      <c r="D973" s="369"/>
      <c r="E973" s="369"/>
      <c r="F973" s="369"/>
      <c r="G973" s="374"/>
      <c r="H973" s="375"/>
      <c r="I973" s="35"/>
      <c r="J973" s="74"/>
      <c r="K973" s="74"/>
      <c r="L973" s="74"/>
      <c r="M973" s="74"/>
      <c r="N973" s="74"/>
      <c r="O973" s="74"/>
      <c r="P973" s="74"/>
      <c r="Q973" s="74"/>
      <c r="R973" s="74"/>
      <c r="S973" s="74"/>
      <c r="T973" s="74"/>
      <c r="U973" s="74"/>
      <c r="V973" s="74"/>
      <c r="W973" s="74"/>
      <c r="X973" s="74"/>
      <c r="Y973" s="74"/>
      <c r="Z973" s="74"/>
      <c r="AA973" s="74"/>
      <c r="AB973" s="74"/>
    </row>
    <row r="974" spans="1:28" ht="40.5" customHeight="1">
      <c r="A974" s="434"/>
      <c r="B974" s="435"/>
      <c r="C974" s="369"/>
      <c r="D974" s="369"/>
      <c r="E974" s="369"/>
      <c r="F974" s="369"/>
      <c r="G974" s="374"/>
      <c r="H974" s="375"/>
      <c r="I974" s="35"/>
      <c r="J974" s="74"/>
      <c r="K974" s="74"/>
      <c r="L974" s="74"/>
      <c r="M974" s="74"/>
      <c r="N974" s="74"/>
      <c r="O974" s="74"/>
      <c r="P974" s="74"/>
      <c r="Q974" s="74"/>
      <c r="R974" s="74"/>
      <c r="S974" s="74"/>
      <c r="T974" s="74"/>
      <c r="U974" s="74"/>
      <c r="V974" s="74"/>
      <c r="W974" s="74"/>
      <c r="X974" s="74"/>
      <c r="Y974" s="74"/>
      <c r="Z974" s="74"/>
      <c r="AA974" s="74"/>
      <c r="AB974" s="74"/>
    </row>
    <row r="975" spans="1:28" ht="40.5" customHeight="1">
      <c r="A975" s="434"/>
      <c r="B975" s="435"/>
      <c r="C975" s="369"/>
      <c r="D975" s="369"/>
      <c r="E975" s="369"/>
      <c r="F975" s="369"/>
      <c r="G975" s="374"/>
      <c r="H975" s="375"/>
      <c r="I975" s="35"/>
      <c r="J975" s="74"/>
      <c r="K975" s="74"/>
      <c r="L975" s="74"/>
      <c r="M975" s="74"/>
      <c r="N975" s="74"/>
      <c r="O975" s="74"/>
      <c r="P975" s="74"/>
      <c r="Q975" s="74"/>
      <c r="R975" s="74"/>
      <c r="S975" s="74"/>
      <c r="T975" s="74"/>
      <c r="U975" s="74"/>
      <c r="V975" s="74"/>
      <c r="W975" s="74"/>
      <c r="X975" s="74"/>
      <c r="Y975" s="74"/>
      <c r="Z975" s="74"/>
      <c r="AA975" s="74"/>
      <c r="AB975" s="74"/>
    </row>
    <row r="976" spans="1:28" ht="40.5" customHeight="1">
      <c r="A976" s="434"/>
      <c r="B976" s="435"/>
      <c r="C976" s="369"/>
      <c r="D976" s="369"/>
      <c r="E976" s="369"/>
      <c r="F976" s="369"/>
      <c r="G976" s="374"/>
      <c r="H976" s="375"/>
      <c r="I976" s="35"/>
      <c r="J976" s="74"/>
      <c r="K976" s="74"/>
      <c r="L976" s="74"/>
      <c r="M976" s="74"/>
      <c r="N976" s="74"/>
      <c r="O976" s="74"/>
      <c r="P976" s="74"/>
      <c r="Q976" s="74"/>
      <c r="R976" s="74"/>
      <c r="S976" s="74"/>
      <c r="T976" s="74"/>
      <c r="U976" s="74"/>
      <c r="V976" s="74"/>
      <c r="W976" s="74"/>
      <c r="X976" s="74"/>
      <c r="Y976" s="74"/>
      <c r="Z976" s="74"/>
      <c r="AA976" s="74"/>
      <c r="AB976" s="74"/>
    </row>
    <row r="977" spans="1:28" ht="40.5" customHeight="1">
      <c r="A977" s="434"/>
      <c r="B977" s="435"/>
      <c r="C977" s="369"/>
      <c r="D977" s="369"/>
      <c r="E977" s="369"/>
      <c r="F977" s="369"/>
      <c r="G977" s="374"/>
      <c r="H977" s="375"/>
      <c r="I977" s="35"/>
      <c r="J977" s="74"/>
      <c r="K977" s="74"/>
      <c r="L977" s="74"/>
      <c r="M977" s="74"/>
      <c r="N977" s="74"/>
      <c r="O977" s="74"/>
      <c r="P977" s="74"/>
      <c r="Q977" s="74"/>
      <c r="R977" s="74"/>
      <c r="S977" s="74"/>
      <c r="T977" s="74"/>
      <c r="U977" s="74"/>
      <c r="V977" s="74"/>
      <c r="W977" s="74"/>
      <c r="X977" s="74"/>
      <c r="Y977" s="74"/>
      <c r="Z977" s="74"/>
      <c r="AA977" s="74"/>
      <c r="AB977" s="74"/>
    </row>
    <row r="978" spans="1:28" ht="40.5" customHeight="1">
      <c r="A978" s="434"/>
      <c r="B978" s="435"/>
      <c r="C978" s="369"/>
      <c r="D978" s="369"/>
      <c r="E978" s="369"/>
      <c r="F978" s="369"/>
      <c r="G978" s="374"/>
      <c r="H978" s="375"/>
      <c r="I978" s="35"/>
      <c r="J978" s="74"/>
      <c r="K978" s="74"/>
      <c r="L978" s="74"/>
      <c r="M978" s="74"/>
      <c r="N978" s="74"/>
      <c r="O978" s="74"/>
      <c r="P978" s="74"/>
      <c r="Q978" s="74"/>
      <c r="R978" s="74"/>
      <c r="S978" s="74"/>
      <c r="T978" s="74"/>
      <c r="U978" s="74"/>
      <c r="V978" s="74"/>
      <c r="W978" s="74"/>
      <c r="X978" s="74"/>
      <c r="Y978" s="74"/>
      <c r="Z978" s="74"/>
      <c r="AA978" s="74"/>
      <c r="AB978" s="74"/>
    </row>
    <row r="979" spans="1:28" ht="40.5" customHeight="1">
      <c r="A979" s="434"/>
      <c r="B979" s="435"/>
      <c r="C979" s="369"/>
      <c r="D979" s="369"/>
      <c r="E979" s="369"/>
      <c r="F979" s="369"/>
      <c r="G979" s="374"/>
      <c r="H979" s="375"/>
      <c r="I979" s="35"/>
      <c r="J979" s="74"/>
      <c r="K979" s="74"/>
      <c r="L979" s="74"/>
      <c r="M979" s="74"/>
      <c r="N979" s="74"/>
      <c r="O979" s="74"/>
      <c r="P979" s="74"/>
      <c r="Q979" s="74"/>
      <c r="R979" s="74"/>
      <c r="S979" s="74"/>
      <c r="T979" s="74"/>
      <c r="U979" s="74"/>
      <c r="V979" s="74"/>
      <c r="W979" s="74"/>
      <c r="X979" s="74"/>
      <c r="Y979" s="74"/>
      <c r="Z979" s="74"/>
      <c r="AA979" s="74"/>
      <c r="AB979" s="74"/>
    </row>
    <row r="980" spans="1:28" ht="40.5" customHeight="1">
      <c r="A980" s="434"/>
      <c r="B980" s="435"/>
      <c r="C980" s="369"/>
      <c r="D980" s="369"/>
      <c r="E980" s="369"/>
      <c r="F980" s="369"/>
      <c r="G980" s="374"/>
      <c r="H980" s="375"/>
      <c r="I980" s="35"/>
      <c r="J980" s="74"/>
      <c r="K980" s="74"/>
      <c r="L980" s="74"/>
      <c r="M980" s="74"/>
      <c r="N980" s="74"/>
      <c r="O980" s="74"/>
      <c r="P980" s="74"/>
      <c r="Q980" s="74"/>
      <c r="R980" s="74"/>
      <c r="S980" s="74"/>
      <c r="T980" s="74"/>
      <c r="U980" s="74"/>
      <c r="V980" s="74"/>
      <c r="W980" s="74"/>
      <c r="X980" s="74"/>
      <c r="Y980" s="74"/>
      <c r="Z980" s="74"/>
      <c r="AA980" s="74"/>
      <c r="AB980" s="74"/>
    </row>
    <row r="981" spans="1:28" ht="40.5" customHeight="1">
      <c r="A981" s="434"/>
      <c r="B981" s="435"/>
      <c r="C981" s="369"/>
      <c r="D981" s="369"/>
      <c r="E981" s="369"/>
      <c r="F981" s="369"/>
      <c r="G981" s="374"/>
      <c r="H981" s="375"/>
      <c r="I981" s="35"/>
      <c r="J981" s="74"/>
      <c r="K981" s="74"/>
      <c r="L981" s="74"/>
      <c r="M981" s="74"/>
      <c r="N981" s="74"/>
      <c r="O981" s="74"/>
      <c r="P981" s="74"/>
      <c r="Q981" s="74"/>
      <c r="R981" s="74"/>
      <c r="S981" s="74"/>
      <c r="T981" s="74"/>
      <c r="U981" s="74"/>
      <c r="V981" s="74"/>
      <c r="W981" s="74"/>
      <c r="X981" s="74"/>
      <c r="Y981" s="74"/>
      <c r="Z981" s="74"/>
      <c r="AA981" s="74"/>
      <c r="AB981" s="74"/>
    </row>
    <row r="982" spans="1:28" ht="40.5" customHeight="1">
      <c r="A982" s="434"/>
      <c r="B982" s="435"/>
      <c r="C982" s="369"/>
      <c r="D982" s="369"/>
      <c r="E982" s="369"/>
      <c r="F982" s="369"/>
      <c r="G982" s="374"/>
      <c r="H982" s="375"/>
      <c r="I982" s="35"/>
      <c r="J982" s="74"/>
      <c r="K982" s="74"/>
      <c r="L982" s="74"/>
      <c r="M982" s="74"/>
      <c r="N982" s="74"/>
      <c r="O982" s="74"/>
      <c r="P982" s="74"/>
      <c r="Q982" s="74"/>
      <c r="R982" s="74"/>
      <c r="S982" s="74"/>
      <c r="T982" s="74"/>
      <c r="U982" s="74"/>
      <c r="V982" s="74"/>
      <c r="W982" s="74"/>
      <c r="X982" s="74"/>
      <c r="Y982" s="74"/>
      <c r="Z982" s="74"/>
      <c r="AA982" s="74"/>
      <c r="AB982" s="74"/>
    </row>
    <row r="983" spans="1:28" ht="40.5" customHeight="1">
      <c r="A983" s="434"/>
      <c r="B983" s="435"/>
      <c r="C983" s="369"/>
      <c r="D983" s="369"/>
      <c r="E983" s="369"/>
      <c r="F983" s="369"/>
      <c r="G983" s="374"/>
      <c r="H983" s="375"/>
      <c r="I983" s="35"/>
      <c r="J983" s="74"/>
      <c r="K983" s="74"/>
      <c r="L983" s="74"/>
      <c r="M983" s="74"/>
      <c r="N983" s="74"/>
      <c r="O983" s="74"/>
      <c r="P983" s="74"/>
      <c r="Q983" s="74"/>
      <c r="R983" s="74"/>
      <c r="S983" s="74"/>
      <c r="T983" s="74"/>
      <c r="U983" s="74"/>
      <c r="V983" s="74"/>
      <c r="W983" s="74"/>
      <c r="X983" s="74"/>
      <c r="Y983" s="74"/>
      <c r="Z983" s="74"/>
      <c r="AA983" s="74"/>
      <c r="AB983" s="74"/>
    </row>
    <row r="984" spans="1:28" ht="40.5" customHeight="1">
      <c r="A984" s="434"/>
      <c r="B984" s="435"/>
      <c r="C984" s="369"/>
      <c r="D984" s="369"/>
      <c r="E984" s="369"/>
      <c r="F984" s="369"/>
      <c r="G984" s="374"/>
      <c r="H984" s="375"/>
      <c r="I984" s="35"/>
      <c r="J984" s="74"/>
      <c r="K984" s="74"/>
      <c r="L984" s="74"/>
      <c r="M984" s="74"/>
      <c r="N984" s="74"/>
      <c r="O984" s="74"/>
      <c r="P984" s="74"/>
      <c r="Q984" s="74"/>
      <c r="R984" s="74"/>
      <c r="S984" s="74"/>
      <c r="T984" s="74"/>
      <c r="U984" s="74"/>
      <c r="V984" s="74"/>
      <c r="W984" s="74"/>
      <c r="X984" s="74"/>
      <c r="Y984" s="74"/>
      <c r="Z984" s="74"/>
      <c r="AA984" s="74"/>
      <c r="AB984" s="74"/>
    </row>
    <row r="985" spans="1:28" ht="40.5" customHeight="1">
      <c r="A985" s="434"/>
      <c r="B985" s="435"/>
      <c r="C985" s="369"/>
      <c r="D985" s="369"/>
      <c r="E985" s="369"/>
      <c r="F985" s="369"/>
      <c r="G985" s="374"/>
      <c r="H985" s="375"/>
      <c r="I985" s="35"/>
      <c r="J985" s="74"/>
      <c r="K985" s="74"/>
      <c r="L985" s="74"/>
      <c r="M985" s="74"/>
      <c r="N985" s="74"/>
      <c r="O985" s="74"/>
      <c r="P985" s="74"/>
      <c r="Q985" s="74"/>
      <c r="R985" s="74"/>
      <c r="S985" s="74"/>
      <c r="T985" s="74"/>
      <c r="U985" s="74"/>
      <c r="V985" s="74"/>
      <c r="W985" s="74"/>
      <c r="X985" s="74"/>
      <c r="Y985" s="74"/>
      <c r="Z985" s="74"/>
      <c r="AA985" s="74"/>
      <c r="AB985" s="74"/>
    </row>
    <row r="986" spans="1:28" ht="40.5" customHeight="1">
      <c r="A986" s="434"/>
      <c r="B986" s="435"/>
      <c r="C986" s="369"/>
      <c r="D986" s="369"/>
      <c r="E986" s="369"/>
      <c r="F986" s="369"/>
      <c r="G986" s="374"/>
      <c r="H986" s="375"/>
      <c r="I986" s="35"/>
      <c r="J986" s="74"/>
      <c r="K986" s="74"/>
      <c r="L986" s="74"/>
      <c r="M986" s="74"/>
      <c r="N986" s="74"/>
      <c r="O986" s="74"/>
      <c r="P986" s="74"/>
      <c r="Q986" s="74"/>
      <c r="R986" s="74"/>
      <c r="S986" s="74"/>
      <c r="T986" s="74"/>
      <c r="U986" s="74"/>
      <c r="V986" s="74"/>
      <c r="W986" s="74"/>
      <c r="X986" s="74"/>
      <c r="Y986" s="74"/>
      <c r="Z986" s="74"/>
      <c r="AA986" s="74"/>
      <c r="AB986" s="74"/>
    </row>
    <row r="987" spans="1:28" ht="40.5" customHeight="1">
      <c r="A987" s="434"/>
      <c r="B987" s="435"/>
      <c r="C987" s="369"/>
      <c r="D987" s="369"/>
      <c r="E987" s="369"/>
      <c r="F987" s="369"/>
      <c r="G987" s="374"/>
      <c r="H987" s="375"/>
      <c r="I987" s="35"/>
      <c r="J987" s="74"/>
      <c r="K987" s="74"/>
      <c r="L987" s="74"/>
      <c r="M987" s="74"/>
      <c r="N987" s="74"/>
      <c r="O987" s="74"/>
      <c r="P987" s="74"/>
      <c r="Q987" s="74"/>
      <c r="R987" s="74"/>
      <c r="S987" s="74"/>
      <c r="T987" s="74"/>
      <c r="U987" s="74"/>
      <c r="V987" s="74"/>
      <c r="W987" s="74"/>
      <c r="X987" s="74"/>
      <c r="Y987" s="74"/>
      <c r="Z987" s="74"/>
      <c r="AA987" s="74"/>
      <c r="AB987" s="74"/>
    </row>
    <row r="988" spans="1:28" ht="40.5" customHeight="1">
      <c r="A988" s="434"/>
      <c r="B988" s="435"/>
      <c r="C988" s="369"/>
      <c r="D988" s="369"/>
      <c r="E988" s="369"/>
      <c r="F988" s="369"/>
      <c r="G988" s="374"/>
      <c r="H988" s="375"/>
      <c r="I988" s="35"/>
      <c r="J988" s="74"/>
      <c r="K988" s="74"/>
      <c r="L988" s="74"/>
      <c r="M988" s="74"/>
      <c r="N988" s="74"/>
      <c r="O988" s="74"/>
      <c r="P988" s="74"/>
      <c r="Q988" s="74"/>
      <c r="R988" s="74"/>
      <c r="S988" s="74"/>
      <c r="T988" s="74"/>
      <c r="U988" s="74"/>
      <c r="V988" s="74"/>
      <c r="W988" s="74"/>
      <c r="X988" s="74"/>
      <c r="Y988" s="74"/>
      <c r="Z988" s="74"/>
      <c r="AA988" s="74"/>
      <c r="AB988" s="74"/>
    </row>
    <row r="989" spans="1:28" ht="40.5" customHeight="1">
      <c r="A989" s="434"/>
      <c r="B989" s="435"/>
      <c r="C989" s="369"/>
      <c r="D989" s="369"/>
      <c r="E989" s="369"/>
      <c r="F989" s="369"/>
      <c r="G989" s="374"/>
      <c r="H989" s="375"/>
      <c r="I989" s="35"/>
      <c r="J989" s="74"/>
      <c r="K989" s="74"/>
      <c r="L989" s="74"/>
      <c r="M989" s="74"/>
      <c r="N989" s="74"/>
      <c r="O989" s="74"/>
      <c r="P989" s="74"/>
      <c r="Q989" s="74"/>
      <c r="R989" s="74"/>
      <c r="S989" s="74"/>
      <c r="T989" s="74"/>
      <c r="U989" s="74"/>
      <c r="V989" s="74"/>
      <c r="W989" s="74"/>
      <c r="X989" s="74"/>
      <c r="Y989" s="74"/>
      <c r="Z989" s="74"/>
      <c r="AA989" s="74"/>
      <c r="AB989" s="74"/>
    </row>
    <row r="990" spans="1:28" ht="40.5" customHeight="1">
      <c r="A990" s="434"/>
      <c r="B990" s="435"/>
      <c r="C990" s="369"/>
      <c r="D990" s="369"/>
      <c r="E990" s="369"/>
      <c r="F990" s="369"/>
      <c r="G990" s="374"/>
      <c r="H990" s="375"/>
      <c r="I990" s="35"/>
      <c r="J990" s="74"/>
      <c r="K990" s="74"/>
      <c r="L990" s="74"/>
      <c r="M990" s="74"/>
      <c r="N990" s="74"/>
      <c r="O990" s="74"/>
      <c r="P990" s="74"/>
      <c r="Q990" s="74"/>
      <c r="R990" s="74"/>
      <c r="S990" s="74"/>
      <c r="T990" s="74"/>
      <c r="U990" s="74"/>
      <c r="V990" s="74"/>
      <c r="W990" s="74"/>
      <c r="X990" s="74"/>
      <c r="Y990" s="74"/>
      <c r="Z990" s="74"/>
      <c r="AA990" s="74"/>
      <c r="AB990" s="74"/>
    </row>
    <row r="991" spans="1:28" ht="40.5" customHeight="1">
      <c r="A991" s="434"/>
      <c r="B991" s="435"/>
      <c r="C991" s="369"/>
      <c r="D991" s="369"/>
      <c r="E991" s="369"/>
      <c r="F991" s="369"/>
      <c r="G991" s="374"/>
      <c r="H991" s="375"/>
      <c r="I991" s="35"/>
      <c r="J991" s="74"/>
      <c r="K991" s="74"/>
      <c r="L991" s="74"/>
      <c r="M991" s="74"/>
      <c r="N991" s="74"/>
      <c r="O991" s="74"/>
      <c r="P991" s="74"/>
      <c r="Q991" s="74"/>
      <c r="R991" s="74"/>
      <c r="S991" s="74"/>
      <c r="T991" s="74"/>
      <c r="U991" s="74"/>
      <c r="V991" s="74"/>
      <c r="W991" s="74"/>
      <c r="X991" s="74"/>
      <c r="Y991" s="74"/>
      <c r="Z991" s="74"/>
      <c r="AA991" s="74"/>
      <c r="AB991" s="74"/>
    </row>
    <row r="992" spans="1:28" ht="40.5" customHeight="1">
      <c r="A992" s="434"/>
      <c r="B992" s="435"/>
      <c r="C992" s="369"/>
      <c r="D992" s="369"/>
      <c r="E992" s="369"/>
      <c r="F992" s="369"/>
      <c r="G992" s="374"/>
      <c r="H992" s="375"/>
      <c r="I992" s="35"/>
      <c r="J992" s="74"/>
      <c r="K992" s="74"/>
      <c r="L992" s="74"/>
      <c r="M992" s="74"/>
      <c r="N992" s="74"/>
      <c r="O992" s="74"/>
      <c r="P992" s="74"/>
      <c r="Q992" s="74"/>
      <c r="R992" s="74"/>
      <c r="S992" s="74"/>
      <c r="T992" s="74"/>
      <c r="U992" s="74"/>
      <c r="V992" s="74"/>
      <c r="W992" s="74"/>
      <c r="X992" s="74"/>
      <c r="Y992" s="74"/>
      <c r="Z992" s="74"/>
      <c r="AA992" s="74"/>
      <c r="AB992" s="74"/>
    </row>
    <row r="993" spans="1:28" ht="40.5" customHeight="1">
      <c r="A993" s="434"/>
      <c r="B993" s="435"/>
      <c r="C993" s="369"/>
      <c r="D993" s="369"/>
      <c r="E993" s="369"/>
      <c r="F993" s="369"/>
      <c r="G993" s="374"/>
      <c r="H993" s="375"/>
      <c r="I993" s="35"/>
      <c r="J993" s="74"/>
      <c r="K993" s="74"/>
      <c r="L993" s="74"/>
      <c r="M993" s="74"/>
      <c r="N993" s="74"/>
      <c r="O993" s="74"/>
      <c r="P993" s="74"/>
      <c r="Q993" s="74"/>
      <c r="R993" s="74"/>
      <c r="S993" s="74"/>
      <c r="T993" s="74"/>
      <c r="U993" s="74"/>
      <c r="V993" s="74"/>
      <c r="W993" s="74"/>
      <c r="X993" s="74"/>
      <c r="Y993" s="74"/>
      <c r="Z993" s="74"/>
      <c r="AA993" s="74"/>
      <c r="AB993" s="74"/>
    </row>
    <row r="994" spans="1:28" ht="40.5" customHeight="1">
      <c r="A994" s="434"/>
      <c r="B994" s="435"/>
      <c r="C994" s="369"/>
      <c r="D994" s="369"/>
      <c r="E994" s="369"/>
      <c r="F994" s="369"/>
      <c r="G994" s="374"/>
      <c r="H994" s="375"/>
      <c r="I994" s="35"/>
      <c r="J994" s="74"/>
      <c r="K994" s="74"/>
      <c r="L994" s="74"/>
      <c r="M994" s="74"/>
      <c r="N994" s="74"/>
      <c r="O994" s="74"/>
      <c r="P994" s="74"/>
      <c r="Q994" s="74"/>
      <c r="R994" s="74"/>
      <c r="S994" s="74"/>
      <c r="T994" s="74"/>
      <c r="U994" s="74"/>
      <c r="V994" s="74"/>
      <c r="W994" s="74"/>
      <c r="X994" s="74"/>
      <c r="Y994" s="74"/>
      <c r="Z994" s="74"/>
      <c r="AA994" s="74"/>
      <c r="AB994" s="74"/>
    </row>
    <row r="995" spans="1:28" ht="40.5" customHeight="1">
      <c r="A995" s="434"/>
      <c r="B995" s="435"/>
      <c r="C995" s="369"/>
      <c r="D995" s="369"/>
      <c r="E995" s="369"/>
      <c r="F995" s="369"/>
      <c r="G995" s="374"/>
      <c r="H995" s="375"/>
      <c r="I995" s="35"/>
      <c r="J995" s="74"/>
      <c r="K995" s="74"/>
      <c r="L995" s="74"/>
      <c r="M995" s="74"/>
      <c r="N995" s="74"/>
      <c r="O995" s="74"/>
      <c r="P995" s="74"/>
      <c r="Q995" s="74"/>
      <c r="R995" s="74"/>
      <c r="S995" s="74"/>
      <c r="T995" s="74"/>
      <c r="U995" s="74"/>
      <c r="V995" s="74"/>
      <c r="W995" s="74"/>
      <c r="X995" s="74"/>
      <c r="Y995" s="74"/>
      <c r="Z995" s="74"/>
      <c r="AA995" s="74"/>
      <c r="AB995" s="74"/>
    </row>
    <row r="996" spans="1:28" ht="40.5" customHeight="1">
      <c r="A996" s="434"/>
      <c r="B996" s="435"/>
      <c r="C996" s="369"/>
      <c r="D996" s="369"/>
      <c r="E996" s="369"/>
      <c r="F996" s="369"/>
      <c r="G996" s="374"/>
      <c r="H996" s="375"/>
      <c r="I996" s="35"/>
      <c r="J996" s="74"/>
      <c r="K996" s="74"/>
      <c r="L996" s="74"/>
      <c r="M996" s="74"/>
      <c r="N996" s="74"/>
      <c r="O996" s="74"/>
      <c r="P996" s="74"/>
      <c r="Q996" s="74"/>
      <c r="R996" s="74"/>
      <c r="S996" s="74"/>
      <c r="T996" s="74"/>
      <c r="U996" s="74"/>
      <c r="V996" s="74"/>
      <c r="W996" s="74"/>
      <c r="X996" s="74"/>
      <c r="Y996" s="74"/>
      <c r="Z996" s="74"/>
      <c r="AA996" s="74"/>
      <c r="AB996" s="74"/>
    </row>
    <row r="997" spans="1:28" ht="40.5" customHeight="1">
      <c r="A997" s="434"/>
      <c r="B997" s="435"/>
      <c r="C997" s="369"/>
      <c r="D997" s="369"/>
      <c r="E997" s="369"/>
      <c r="F997" s="369"/>
      <c r="G997" s="374"/>
      <c r="H997" s="375"/>
      <c r="I997" s="35"/>
      <c r="J997" s="74"/>
      <c r="K997" s="74"/>
      <c r="L997" s="74"/>
      <c r="M997" s="74"/>
      <c r="N997" s="74"/>
      <c r="O997" s="74"/>
      <c r="P997" s="74"/>
      <c r="Q997" s="74"/>
      <c r="R997" s="74"/>
      <c r="S997" s="74"/>
      <c r="T997" s="74"/>
      <c r="U997" s="74"/>
      <c r="V997" s="74"/>
      <c r="W997" s="74"/>
      <c r="X997" s="74"/>
      <c r="Y997" s="74"/>
      <c r="Z997" s="74"/>
      <c r="AA997" s="74"/>
      <c r="AB997" s="74"/>
    </row>
    <row r="998" spans="1:28" ht="40.5" customHeight="1">
      <c r="A998" s="434"/>
      <c r="B998" s="435"/>
      <c r="C998" s="369"/>
      <c r="D998" s="369"/>
      <c r="E998" s="369"/>
      <c r="F998" s="369"/>
      <c r="G998" s="374"/>
      <c r="H998" s="375"/>
      <c r="I998" s="35"/>
      <c r="J998" s="74"/>
      <c r="K998" s="74"/>
      <c r="L998" s="74"/>
      <c r="M998" s="74"/>
      <c r="N998" s="74"/>
      <c r="O998" s="74"/>
      <c r="P998" s="74"/>
      <c r="Q998" s="74"/>
      <c r="R998" s="74"/>
      <c r="S998" s="74"/>
      <c r="T998" s="74"/>
      <c r="U998" s="74"/>
      <c r="V998" s="74"/>
      <c r="W998" s="74"/>
      <c r="X998" s="74"/>
      <c r="Y998" s="74"/>
      <c r="Z998" s="74"/>
      <c r="AA998" s="74"/>
      <c r="AB998" s="74"/>
    </row>
    <row r="999" spans="1:28" ht="40.5" customHeight="1">
      <c r="A999" s="434"/>
      <c r="B999" s="435"/>
      <c r="C999" s="369"/>
      <c r="D999" s="369"/>
      <c r="E999" s="369"/>
      <c r="F999" s="369"/>
      <c r="G999" s="374"/>
      <c r="H999" s="375"/>
      <c r="I999" s="35"/>
      <c r="J999" s="74"/>
      <c r="K999" s="74"/>
      <c r="L999" s="74"/>
      <c r="M999" s="74"/>
      <c r="N999" s="74"/>
      <c r="O999" s="74"/>
      <c r="P999" s="74"/>
      <c r="Q999" s="74"/>
      <c r="R999" s="74"/>
      <c r="S999" s="74"/>
      <c r="T999" s="74"/>
      <c r="U999" s="74"/>
      <c r="V999" s="74"/>
      <c r="W999" s="74"/>
      <c r="X999" s="74"/>
      <c r="Y999" s="74"/>
      <c r="Z999" s="74"/>
      <c r="AA999" s="74"/>
      <c r="AB999" s="74"/>
    </row>
    <row r="1000" spans="1:28" ht="40.5" customHeight="1">
      <c r="A1000" s="434"/>
      <c r="B1000" s="435"/>
      <c r="C1000" s="369"/>
      <c r="D1000" s="369"/>
      <c r="E1000" s="369"/>
      <c r="F1000" s="369"/>
      <c r="G1000" s="374"/>
      <c r="H1000" s="375"/>
      <c r="I1000" s="35"/>
      <c r="J1000" s="74"/>
      <c r="K1000" s="74"/>
      <c r="L1000" s="74"/>
      <c r="M1000" s="74"/>
      <c r="N1000" s="74"/>
      <c r="O1000" s="74"/>
      <c r="P1000" s="74"/>
      <c r="Q1000" s="74"/>
      <c r="R1000" s="74"/>
      <c r="S1000" s="74"/>
      <c r="T1000" s="74"/>
      <c r="U1000" s="74"/>
      <c r="V1000" s="74"/>
      <c r="W1000" s="74"/>
      <c r="X1000" s="74"/>
      <c r="Y1000" s="74"/>
      <c r="Z1000" s="74"/>
      <c r="AA1000" s="74"/>
      <c r="AB1000" s="74"/>
    </row>
    <row r="1001" spans="1:28" ht="40.5" customHeight="1">
      <c r="A1001" s="434"/>
      <c r="B1001" s="435"/>
      <c r="C1001" s="369"/>
      <c r="D1001" s="369"/>
      <c r="E1001" s="369"/>
      <c r="F1001" s="369"/>
      <c r="G1001" s="374"/>
      <c r="H1001" s="375"/>
      <c r="I1001" s="35"/>
      <c r="J1001" s="74"/>
      <c r="K1001" s="74"/>
      <c r="L1001" s="74"/>
      <c r="M1001" s="74"/>
      <c r="N1001" s="74"/>
      <c r="O1001" s="74"/>
      <c r="P1001" s="74"/>
      <c r="Q1001" s="74"/>
      <c r="R1001" s="74"/>
      <c r="S1001" s="74"/>
      <c r="T1001" s="74"/>
      <c r="U1001" s="74"/>
      <c r="V1001" s="74"/>
      <c r="W1001" s="74"/>
      <c r="X1001" s="74"/>
      <c r="Y1001" s="74"/>
      <c r="Z1001" s="74"/>
      <c r="AA1001" s="74"/>
      <c r="AB1001" s="74"/>
    </row>
    <row r="1002" spans="1:28" ht="40.5" customHeight="1">
      <c r="A1002" s="434"/>
      <c r="B1002" s="435"/>
      <c r="C1002" s="369"/>
      <c r="D1002" s="369"/>
      <c r="E1002" s="369"/>
      <c r="F1002" s="369"/>
      <c r="G1002" s="374"/>
      <c r="H1002" s="375"/>
      <c r="I1002" s="35"/>
      <c r="J1002" s="74"/>
      <c r="K1002" s="74"/>
      <c r="L1002" s="74"/>
      <c r="M1002" s="74"/>
      <c r="N1002" s="74"/>
      <c r="O1002" s="74"/>
      <c r="P1002" s="74"/>
      <c r="Q1002" s="74"/>
      <c r="R1002" s="74"/>
      <c r="S1002" s="74"/>
      <c r="T1002" s="74"/>
      <c r="U1002" s="74"/>
      <c r="V1002" s="74"/>
      <c r="W1002" s="74"/>
      <c r="X1002" s="74"/>
      <c r="Y1002" s="74"/>
      <c r="Z1002" s="74"/>
      <c r="AA1002" s="74"/>
      <c r="AB1002" s="74"/>
    </row>
    <row r="1003" spans="1:28" ht="40.5" customHeight="1">
      <c r="A1003" s="434"/>
      <c r="B1003" s="435"/>
      <c r="C1003" s="369"/>
      <c r="D1003" s="369"/>
      <c r="E1003" s="369"/>
      <c r="F1003" s="369"/>
      <c r="G1003" s="374"/>
      <c r="H1003" s="375"/>
      <c r="I1003" s="35"/>
      <c r="J1003" s="74"/>
      <c r="K1003" s="74"/>
      <c r="L1003" s="74"/>
      <c r="M1003" s="74"/>
      <c r="N1003" s="74"/>
      <c r="O1003" s="74"/>
      <c r="P1003" s="74"/>
      <c r="Q1003" s="74"/>
      <c r="R1003" s="74"/>
      <c r="S1003" s="74"/>
      <c r="T1003" s="74"/>
      <c r="U1003" s="74"/>
      <c r="V1003" s="74"/>
      <c r="W1003" s="74"/>
      <c r="X1003" s="74"/>
      <c r="Y1003" s="74"/>
      <c r="Z1003" s="74"/>
      <c r="AA1003" s="74"/>
      <c r="AB1003" s="74"/>
    </row>
    <row r="1004" spans="1:28" ht="40.5" customHeight="1">
      <c r="A1004" s="434"/>
      <c r="B1004" s="435"/>
      <c r="C1004" s="369"/>
      <c r="D1004" s="369"/>
      <c r="E1004" s="369"/>
      <c r="F1004" s="369"/>
      <c r="G1004" s="374"/>
      <c r="H1004" s="375"/>
      <c r="I1004" s="35"/>
      <c r="J1004" s="74"/>
      <c r="K1004" s="74"/>
      <c r="L1004" s="74"/>
      <c r="M1004" s="74"/>
      <c r="N1004" s="74"/>
      <c r="O1004" s="74"/>
      <c r="P1004" s="74"/>
      <c r="Q1004" s="74"/>
      <c r="R1004" s="74"/>
      <c r="S1004" s="74"/>
      <c r="T1004" s="74"/>
      <c r="U1004" s="74"/>
      <c r="V1004" s="74"/>
      <c r="W1004" s="74"/>
      <c r="X1004" s="74"/>
      <c r="Y1004" s="74"/>
      <c r="Z1004" s="74"/>
      <c r="AA1004" s="74"/>
      <c r="AB1004" s="74"/>
    </row>
    <row r="1005" spans="1:28" ht="40.5" customHeight="1">
      <c r="A1005" s="434"/>
      <c r="B1005" s="435"/>
      <c r="C1005" s="369"/>
      <c r="D1005" s="369"/>
      <c r="E1005" s="369"/>
      <c r="F1005" s="369"/>
      <c r="G1005" s="374"/>
      <c r="H1005" s="375"/>
      <c r="I1005" s="35"/>
      <c r="J1005" s="74"/>
      <c r="K1005" s="74"/>
      <c r="L1005" s="74"/>
      <c r="M1005" s="74"/>
      <c r="N1005" s="74"/>
      <c r="O1005" s="74"/>
      <c r="P1005" s="74"/>
      <c r="Q1005" s="74"/>
      <c r="R1005" s="74"/>
      <c r="S1005" s="74"/>
      <c r="T1005" s="74"/>
      <c r="U1005" s="74"/>
      <c r="V1005" s="74"/>
      <c r="W1005" s="74"/>
      <c r="X1005" s="74"/>
      <c r="Y1005" s="74"/>
      <c r="Z1005" s="74"/>
      <c r="AA1005" s="74"/>
      <c r="AB1005" s="74"/>
    </row>
    <row r="1006" spans="1:28" ht="40.5" customHeight="1">
      <c r="A1006" s="434"/>
      <c r="B1006" s="435"/>
      <c r="C1006" s="369"/>
      <c r="D1006" s="369"/>
      <c r="E1006" s="369"/>
      <c r="F1006" s="369"/>
      <c r="G1006" s="374"/>
      <c r="H1006" s="375"/>
      <c r="I1006" s="35"/>
      <c r="J1006" s="74"/>
      <c r="K1006" s="74"/>
      <c r="L1006" s="74"/>
      <c r="M1006" s="74"/>
      <c r="N1006" s="74"/>
      <c r="O1006" s="74"/>
      <c r="P1006" s="74"/>
      <c r="Q1006" s="74"/>
      <c r="R1006" s="74"/>
      <c r="S1006" s="74"/>
      <c r="T1006" s="74"/>
      <c r="U1006" s="74"/>
      <c r="V1006" s="74"/>
      <c r="W1006" s="74"/>
      <c r="X1006" s="74"/>
      <c r="Y1006" s="74"/>
      <c r="Z1006" s="74"/>
      <c r="AA1006" s="74"/>
      <c r="AB1006" s="74"/>
    </row>
    <row r="1007" spans="1:28" ht="40.5" customHeight="1">
      <c r="A1007" s="434"/>
      <c r="B1007" s="435"/>
      <c r="C1007" s="369"/>
      <c r="D1007" s="369"/>
      <c r="E1007" s="369"/>
      <c r="F1007" s="369"/>
      <c r="G1007" s="374"/>
      <c r="H1007" s="375"/>
      <c r="I1007" s="35"/>
      <c r="J1007" s="74"/>
      <c r="K1007" s="74"/>
      <c r="L1007" s="74"/>
      <c r="M1007" s="74"/>
      <c r="N1007" s="74"/>
      <c r="O1007" s="74"/>
      <c r="P1007" s="74"/>
      <c r="Q1007" s="74"/>
      <c r="R1007" s="74"/>
      <c r="S1007" s="74"/>
      <c r="T1007" s="74"/>
      <c r="U1007" s="74"/>
      <c r="V1007" s="74"/>
      <c r="W1007" s="74"/>
      <c r="X1007" s="74"/>
      <c r="Y1007" s="74"/>
      <c r="Z1007" s="74"/>
      <c r="AA1007" s="74"/>
      <c r="AB1007" s="74"/>
    </row>
    <row r="1008" spans="1:28" ht="40.5" customHeight="1">
      <c r="A1008" s="434"/>
      <c r="B1008" s="435"/>
      <c r="C1008" s="369"/>
      <c r="D1008" s="369"/>
      <c r="E1008" s="369"/>
      <c r="F1008" s="369"/>
      <c r="G1008" s="374"/>
      <c r="H1008" s="375"/>
      <c r="I1008" s="35"/>
      <c r="J1008" s="74"/>
      <c r="K1008" s="74"/>
      <c r="L1008" s="74"/>
      <c r="M1008" s="74"/>
      <c r="N1008" s="74"/>
      <c r="O1008" s="74"/>
      <c r="P1008" s="74"/>
      <c r="Q1008" s="74"/>
      <c r="R1008" s="74"/>
      <c r="S1008" s="74"/>
      <c r="T1008" s="74"/>
      <c r="U1008" s="74"/>
      <c r="V1008" s="74"/>
      <c r="W1008" s="74"/>
      <c r="X1008" s="74"/>
      <c r="Y1008" s="74"/>
      <c r="Z1008" s="74"/>
      <c r="AA1008" s="74"/>
      <c r="AB1008" s="74"/>
    </row>
    <row r="1009" spans="1:28" ht="40.5" customHeight="1">
      <c r="A1009" s="434"/>
      <c r="B1009" s="435"/>
      <c r="C1009" s="369"/>
      <c r="D1009" s="369"/>
      <c r="E1009" s="369"/>
      <c r="F1009" s="369"/>
      <c r="G1009" s="374"/>
      <c r="H1009" s="375"/>
      <c r="I1009" s="35"/>
      <c r="J1009" s="74"/>
      <c r="K1009" s="74"/>
      <c r="L1009" s="74"/>
      <c r="M1009" s="74"/>
      <c r="N1009" s="74"/>
      <c r="O1009" s="74"/>
      <c r="P1009" s="74"/>
      <c r="Q1009" s="74"/>
      <c r="R1009" s="74"/>
      <c r="S1009" s="74"/>
      <c r="T1009" s="74"/>
      <c r="U1009" s="74"/>
      <c r="V1009" s="74"/>
      <c r="W1009" s="74"/>
      <c r="X1009" s="74"/>
      <c r="Y1009" s="74"/>
      <c r="Z1009" s="74"/>
      <c r="AA1009" s="74"/>
      <c r="AB1009" s="74"/>
    </row>
    <row r="1010" spans="1:28" ht="40.5" customHeight="1">
      <c r="A1010" s="434"/>
      <c r="B1010" s="435"/>
      <c r="C1010" s="369"/>
      <c r="D1010" s="369"/>
      <c r="E1010" s="369"/>
      <c r="F1010" s="369"/>
      <c r="G1010" s="374"/>
      <c r="H1010" s="375"/>
      <c r="I1010" s="35"/>
      <c r="J1010" s="74"/>
      <c r="K1010" s="74"/>
      <c r="L1010" s="74"/>
      <c r="M1010" s="74"/>
      <c r="N1010" s="74"/>
      <c r="O1010" s="74"/>
      <c r="P1010" s="74"/>
      <c r="Q1010" s="74"/>
      <c r="R1010" s="74"/>
      <c r="S1010" s="74"/>
      <c r="T1010" s="74"/>
      <c r="U1010" s="74"/>
      <c r="V1010" s="74"/>
      <c r="W1010" s="74"/>
      <c r="X1010" s="74"/>
      <c r="Y1010" s="74"/>
      <c r="Z1010" s="74"/>
      <c r="AA1010" s="74"/>
      <c r="AB1010" s="74"/>
    </row>
    <row r="1011" spans="1:28" ht="40.5" customHeight="1">
      <c r="A1011" s="434"/>
      <c r="B1011" s="435"/>
      <c r="C1011" s="369"/>
      <c r="D1011" s="369"/>
      <c r="E1011" s="369"/>
      <c r="F1011" s="369"/>
      <c r="G1011" s="374"/>
      <c r="H1011" s="375"/>
      <c r="I1011" s="35"/>
      <c r="J1011" s="74"/>
      <c r="K1011" s="74"/>
      <c r="L1011" s="74"/>
      <c r="M1011" s="74"/>
      <c r="N1011" s="74"/>
      <c r="O1011" s="74"/>
      <c r="P1011" s="74"/>
      <c r="Q1011" s="74"/>
      <c r="R1011" s="74"/>
      <c r="S1011" s="74"/>
      <c r="T1011" s="74"/>
      <c r="U1011" s="74"/>
      <c r="V1011" s="74"/>
      <c r="W1011" s="74"/>
      <c r="X1011" s="74"/>
      <c r="Y1011" s="74"/>
      <c r="Z1011" s="74"/>
      <c r="AA1011" s="74"/>
      <c r="AB1011" s="74"/>
    </row>
    <row r="1012" spans="1:28" ht="40.5" customHeight="1">
      <c r="A1012" s="434"/>
      <c r="B1012" s="435"/>
      <c r="C1012" s="369"/>
      <c r="D1012" s="369"/>
      <c r="E1012" s="369"/>
      <c r="F1012" s="369"/>
      <c r="G1012" s="374"/>
      <c r="H1012" s="375"/>
      <c r="I1012" s="35"/>
      <c r="J1012" s="74"/>
      <c r="K1012" s="74"/>
      <c r="L1012" s="74"/>
      <c r="M1012" s="74"/>
      <c r="N1012" s="74"/>
      <c r="O1012" s="74"/>
      <c r="P1012" s="74"/>
      <c r="Q1012" s="74"/>
      <c r="R1012" s="74"/>
      <c r="S1012" s="74"/>
      <c r="T1012" s="74"/>
      <c r="U1012" s="74"/>
      <c r="V1012" s="74"/>
      <c r="W1012" s="74"/>
      <c r="X1012" s="74"/>
      <c r="Y1012" s="74"/>
      <c r="Z1012" s="74"/>
      <c r="AA1012" s="74"/>
      <c r="AB1012" s="74"/>
    </row>
    <row r="1013" spans="1:28" ht="40.5" customHeight="1">
      <c r="A1013" s="434"/>
      <c r="B1013" s="435"/>
      <c r="C1013" s="369"/>
      <c r="D1013" s="369"/>
      <c r="E1013" s="369"/>
      <c r="F1013" s="369"/>
      <c r="G1013" s="374"/>
      <c r="H1013" s="375"/>
      <c r="I1013" s="35"/>
      <c r="J1013" s="74"/>
      <c r="K1013" s="74"/>
      <c r="L1013" s="74"/>
      <c r="M1013" s="74"/>
      <c r="N1013" s="74"/>
      <c r="O1013" s="74"/>
      <c r="P1013" s="74"/>
      <c r="Q1013" s="74"/>
      <c r="R1013" s="74"/>
      <c r="S1013" s="74"/>
      <c r="T1013" s="74"/>
      <c r="U1013" s="74"/>
      <c r="V1013" s="74"/>
      <c r="W1013" s="74"/>
      <c r="X1013" s="74"/>
      <c r="Y1013" s="74"/>
      <c r="Z1013" s="74"/>
      <c r="AA1013" s="74"/>
      <c r="AB1013" s="74"/>
    </row>
    <row r="1014" spans="1:28" ht="40.5" customHeight="1">
      <c r="A1014" s="434"/>
      <c r="B1014" s="435"/>
      <c r="C1014" s="369"/>
      <c r="D1014" s="369"/>
      <c r="E1014" s="369"/>
      <c r="F1014" s="369"/>
      <c r="G1014" s="374"/>
      <c r="H1014" s="375"/>
      <c r="I1014" s="35"/>
      <c r="J1014" s="74"/>
      <c r="K1014" s="74"/>
      <c r="L1014" s="74"/>
      <c r="M1014" s="74"/>
      <c r="N1014" s="74"/>
      <c r="O1014" s="74"/>
      <c r="P1014" s="74"/>
      <c r="Q1014" s="74"/>
      <c r="R1014" s="74"/>
      <c r="S1014" s="74"/>
      <c r="T1014" s="74"/>
      <c r="U1014" s="74"/>
      <c r="V1014" s="74"/>
      <c r="W1014" s="74"/>
      <c r="X1014" s="74"/>
      <c r="Y1014" s="74"/>
      <c r="Z1014" s="74"/>
      <c r="AA1014" s="74"/>
      <c r="AB1014" s="74"/>
    </row>
    <row r="1015" spans="1:28" ht="40.5" customHeight="1">
      <c r="A1015" s="434"/>
      <c r="B1015" s="435"/>
      <c r="C1015" s="369"/>
      <c r="D1015" s="369"/>
      <c r="E1015" s="369"/>
      <c r="F1015" s="369"/>
      <c r="G1015" s="374"/>
      <c r="H1015" s="375"/>
      <c r="I1015" s="35"/>
      <c r="J1015" s="74"/>
      <c r="K1015" s="74"/>
      <c r="L1015" s="74"/>
      <c r="M1015" s="74"/>
      <c r="N1015" s="74"/>
      <c r="O1015" s="74"/>
      <c r="P1015" s="74"/>
      <c r="Q1015" s="74"/>
      <c r="R1015" s="74"/>
      <c r="S1015" s="74"/>
      <c r="T1015" s="74"/>
      <c r="U1015" s="74"/>
      <c r="V1015" s="74"/>
      <c r="W1015" s="74"/>
      <c r="X1015" s="74"/>
      <c r="Y1015" s="74"/>
      <c r="Z1015" s="74"/>
      <c r="AA1015" s="74"/>
      <c r="AB1015" s="74"/>
    </row>
    <row r="1016" spans="1:28" ht="40.5" customHeight="1">
      <c r="A1016" s="434"/>
      <c r="B1016" s="435"/>
      <c r="C1016" s="369"/>
      <c r="D1016" s="369"/>
      <c r="E1016" s="369"/>
      <c r="F1016" s="369"/>
      <c r="G1016" s="374"/>
      <c r="H1016" s="375"/>
      <c r="I1016" s="35"/>
      <c r="J1016" s="74"/>
      <c r="K1016" s="74"/>
      <c r="L1016" s="74"/>
      <c r="M1016" s="74"/>
      <c r="N1016" s="74"/>
      <c r="O1016" s="74"/>
      <c r="P1016" s="74"/>
      <c r="Q1016" s="74"/>
      <c r="R1016" s="74"/>
      <c r="S1016" s="74"/>
      <c r="T1016" s="74"/>
      <c r="U1016" s="74"/>
      <c r="V1016" s="74"/>
      <c r="W1016" s="74"/>
      <c r="X1016" s="74"/>
      <c r="Y1016" s="74"/>
      <c r="Z1016" s="74"/>
      <c r="AA1016" s="74"/>
      <c r="AB1016" s="74"/>
    </row>
    <row r="1017" spans="1:28" ht="40.5" customHeight="1">
      <c r="A1017" s="434"/>
      <c r="B1017" s="435"/>
      <c r="C1017" s="369"/>
      <c r="D1017" s="369"/>
      <c r="E1017" s="369"/>
      <c r="F1017" s="369"/>
      <c r="G1017" s="374"/>
      <c r="H1017" s="375"/>
      <c r="I1017" s="35"/>
      <c r="J1017" s="74"/>
      <c r="K1017" s="74"/>
      <c r="L1017" s="74"/>
      <c r="M1017" s="74"/>
      <c r="N1017" s="74"/>
      <c r="O1017" s="74"/>
      <c r="P1017" s="74"/>
      <c r="Q1017" s="74"/>
      <c r="R1017" s="74"/>
      <c r="S1017" s="74"/>
      <c r="T1017" s="74"/>
      <c r="U1017" s="74"/>
      <c r="V1017" s="74"/>
      <c r="W1017" s="74"/>
      <c r="X1017" s="74"/>
      <c r="Y1017" s="74"/>
      <c r="Z1017" s="74"/>
      <c r="AA1017" s="74"/>
      <c r="AB1017" s="74"/>
    </row>
    <row r="1018" spans="1:28" ht="40.5" customHeight="1">
      <c r="A1018" s="434"/>
      <c r="B1018" s="435"/>
      <c r="C1018" s="369"/>
      <c r="D1018" s="369"/>
      <c r="E1018" s="369"/>
      <c r="F1018" s="369"/>
      <c r="G1018" s="374"/>
      <c r="H1018" s="375"/>
      <c r="I1018" s="35"/>
      <c r="J1018" s="74"/>
      <c r="K1018" s="74"/>
      <c r="L1018" s="74"/>
      <c r="M1018" s="74"/>
      <c r="N1018" s="74"/>
      <c r="O1018" s="74"/>
      <c r="P1018" s="74"/>
      <c r="Q1018" s="74"/>
      <c r="R1018" s="74"/>
      <c r="S1018" s="74"/>
      <c r="T1018" s="74"/>
      <c r="U1018" s="74"/>
      <c r="V1018" s="74"/>
      <c r="W1018" s="74"/>
      <c r="X1018" s="74"/>
      <c r="Y1018" s="74"/>
      <c r="Z1018" s="74"/>
      <c r="AA1018" s="74"/>
      <c r="AB1018" s="74"/>
    </row>
    <row r="1019" spans="1:28" ht="40.5" customHeight="1">
      <c r="A1019" s="434"/>
      <c r="B1019" s="435"/>
      <c r="C1019" s="369"/>
      <c r="D1019" s="369"/>
      <c r="E1019" s="369"/>
      <c r="F1019" s="369"/>
      <c r="G1019" s="374"/>
      <c r="H1019" s="375"/>
      <c r="I1019" s="35"/>
      <c r="J1019" s="74"/>
      <c r="K1019" s="74"/>
      <c r="L1019" s="74"/>
      <c r="M1019" s="74"/>
      <c r="N1019" s="74"/>
      <c r="O1019" s="74"/>
      <c r="P1019" s="74"/>
      <c r="Q1019" s="74"/>
      <c r="R1019" s="74"/>
      <c r="S1019" s="74"/>
      <c r="T1019" s="74"/>
      <c r="U1019" s="74"/>
      <c r="V1019" s="74"/>
      <c r="W1019" s="74"/>
      <c r="X1019" s="74"/>
      <c r="Y1019" s="74"/>
      <c r="Z1019" s="74"/>
      <c r="AA1019" s="74"/>
      <c r="AB1019" s="74"/>
    </row>
    <row r="1020" spans="1:28" ht="40.5" customHeight="1">
      <c r="A1020" s="434"/>
      <c r="B1020" s="435"/>
      <c r="C1020" s="369"/>
      <c r="D1020" s="369"/>
      <c r="E1020" s="369"/>
      <c r="F1020" s="369"/>
      <c r="G1020" s="374"/>
      <c r="H1020" s="375"/>
      <c r="I1020" s="35"/>
      <c r="J1020" s="74"/>
      <c r="K1020" s="74"/>
      <c r="L1020" s="74"/>
      <c r="M1020" s="74"/>
      <c r="N1020" s="74"/>
      <c r="O1020" s="74"/>
      <c r="P1020" s="74"/>
      <c r="Q1020" s="74"/>
      <c r="R1020" s="74"/>
      <c r="S1020" s="74"/>
      <c r="T1020" s="74"/>
      <c r="U1020" s="74"/>
      <c r="V1020" s="74"/>
      <c r="W1020" s="74"/>
      <c r="X1020" s="74"/>
      <c r="Y1020" s="74"/>
      <c r="Z1020" s="74"/>
      <c r="AA1020" s="74"/>
      <c r="AB1020" s="74"/>
    </row>
    <row r="1021" spans="1:28" ht="40.5" customHeight="1">
      <c r="A1021" s="434"/>
      <c r="B1021" s="435"/>
      <c r="C1021" s="369"/>
      <c r="D1021" s="369"/>
      <c r="E1021" s="369"/>
      <c r="F1021" s="369"/>
      <c r="G1021" s="374"/>
      <c r="H1021" s="375"/>
      <c r="I1021" s="35"/>
      <c r="J1021" s="74"/>
      <c r="K1021" s="74"/>
      <c r="L1021" s="74"/>
      <c r="M1021" s="74"/>
      <c r="N1021" s="74"/>
      <c r="O1021" s="74"/>
      <c r="P1021" s="74"/>
      <c r="Q1021" s="74"/>
      <c r="R1021" s="74"/>
      <c r="S1021" s="74"/>
      <c r="T1021" s="74"/>
      <c r="U1021" s="74"/>
      <c r="V1021" s="74"/>
      <c r="W1021" s="74"/>
      <c r="X1021" s="74"/>
      <c r="Y1021" s="74"/>
      <c r="Z1021" s="74"/>
      <c r="AA1021" s="74"/>
      <c r="AB1021" s="74"/>
    </row>
    <row r="1022" spans="1:28" ht="40.5" customHeight="1">
      <c r="A1022" s="434"/>
      <c r="B1022" s="435"/>
      <c r="C1022" s="369"/>
      <c r="D1022" s="369"/>
      <c r="E1022" s="369"/>
      <c r="F1022" s="369"/>
      <c r="G1022" s="374"/>
      <c r="H1022" s="375"/>
      <c r="I1022" s="35"/>
      <c r="J1022" s="74"/>
      <c r="K1022" s="74"/>
      <c r="L1022" s="74"/>
      <c r="M1022" s="74"/>
      <c r="N1022" s="74"/>
      <c r="O1022" s="74"/>
      <c r="P1022" s="74"/>
      <c r="Q1022" s="74"/>
      <c r="R1022" s="74"/>
      <c r="S1022" s="74"/>
      <c r="T1022" s="74"/>
      <c r="U1022" s="74"/>
      <c r="V1022" s="74"/>
      <c r="W1022" s="74"/>
      <c r="X1022" s="74"/>
      <c r="Y1022" s="74"/>
      <c r="Z1022" s="74"/>
      <c r="AA1022" s="74"/>
      <c r="AB1022" s="74"/>
    </row>
    <row r="1023" spans="1:28" ht="40.5" customHeight="1">
      <c r="A1023" s="434"/>
      <c r="B1023" s="435"/>
      <c r="C1023" s="369"/>
      <c r="D1023" s="369"/>
      <c r="E1023" s="369"/>
      <c r="F1023" s="369"/>
      <c r="G1023" s="374"/>
      <c r="H1023" s="375"/>
      <c r="I1023" s="35"/>
      <c r="J1023" s="74"/>
      <c r="K1023" s="74"/>
      <c r="L1023" s="74"/>
      <c r="M1023" s="74"/>
      <c r="N1023" s="74"/>
      <c r="O1023" s="74"/>
      <c r="P1023" s="74"/>
      <c r="Q1023" s="74"/>
      <c r="R1023" s="74"/>
      <c r="S1023" s="74"/>
      <c r="T1023" s="74"/>
      <c r="U1023" s="74"/>
      <c r="V1023" s="74"/>
      <c r="W1023" s="74"/>
      <c r="X1023" s="74"/>
      <c r="Y1023" s="74"/>
      <c r="Z1023" s="74"/>
      <c r="AA1023" s="74"/>
      <c r="AB1023" s="74"/>
    </row>
    <row r="1024" spans="1:28" ht="40.5" customHeight="1">
      <c r="A1024" s="434"/>
      <c r="B1024" s="435"/>
      <c r="C1024" s="369"/>
      <c r="D1024" s="369"/>
      <c r="E1024" s="369"/>
      <c r="F1024" s="369"/>
      <c r="G1024" s="374"/>
      <c r="H1024" s="375"/>
      <c r="I1024" s="35"/>
      <c r="J1024" s="74"/>
      <c r="K1024" s="74"/>
      <c r="L1024" s="74"/>
      <c r="M1024" s="74"/>
      <c r="N1024" s="74"/>
      <c r="O1024" s="74"/>
      <c r="P1024" s="74"/>
      <c r="Q1024" s="74"/>
      <c r="R1024" s="74"/>
      <c r="S1024" s="74"/>
      <c r="T1024" s="74"/>
      <c r="U1024" s="74"/>
      <c r="V1024" s="74"/>
      <c r="W1024" s="74"/>
      <c r="X1024" s="74"/>
      <c r="Y1024" s="74"/>
      <c r="Z1024" s="74"/>
      <c r="AA1024" s="74"/>
      <c r="AB1024" s="74"/>
    </row>
    <row r="1025" spans="1:28" ht="40.5" customHeight="1">
      <c r="A1025" s="434"/>
      <c r="B1025" s="435"/>
      <c r="C1025" s="369"/>
      <c r="D1025" s="369"/>
      <c r="E1025" s="369"/>
      <c r="F1025" s="369"/>
      <c r="G1025" s="374"/>
      <c r="H1025" s="375"/>
      <c r="I1025" s="35"/>
      <c r="J1025" s="74"/>
      <c r="K1025" s="74"/>
      <c r="L1025" s="74"/>
      <c r="M1025" s="74"/>
      <c r="N1025" s="74"/>
      <c r="O1025" s="74"/>
      <c r="P1025" s="74"/>
      <c r="Q1025" s="74"/>
      <c r="R1025" s="74"/>
      <c r="S1025" s="74"/>
      <c r="T1025" s="74"/>
      <c r="U1025" s="74"/>
      <c r="V1025" s="74"/>
      <c r="W1025" s="74"/>
      <c r="X1025" s="74"/>
      <c r="Y1025" s="74"/>
      <c r="Z1025" s="74"/>
      <c r="AA1025" s="74"/>
      <c r="AB1025" s="74"/>
    </row>
    <row r="1026" spans="1:28" ht="40.5" customHeight="1">
      <c r="A1026" s="434"/>
      <c r="B1026" s="435"/>
      <c r="C1026" s="369"/>
      <c r="D1026" s="369"/>
      <c r="E1026" s="369"/>
      <c r="F1026" s="369"/>
      <c r="G1026" s="374"/>
      <c r="H1026" s="375"/>
      <c r="I1026" s="35"/>
      <c r="J1026" s="74"/>
      <c r="K1026" s="74"/>
      <c r="L1026" s="74"/>
      <c r="M1026" s="74"/>
      <c r="N1026" s="74"/>
      <c r="O1026" s="74"/>
      <c r="P1026" s="74"/>
      <c r="Q1026" s="74"/>
      <c r="R1026" s="74"/>
      <c r="S1026" s="74"/>
      <c r="T1026" s="74"/>
      <c r="U1026" s="74"/>
      <c r="V1026" s="74"/>
      <c r="W1026" s="74"/>
      <c r="X1026" s="74"/>
      <c r="Y1026" s="74"/>
      <c r="Z1026" s="74"/>
      <c r="AA1026" s="74"/>
      <c r="AB1026" s="74"/>
    </row>
    <row r="1027" spans="1:28" ht="40.5" customHeight="1">
      <c r="A1027" s="434"/>
      <c r="B1027" s="435"/>
      <c r="C1027" s="369"/>
      <c r="D1027" s="369"/>
      <c r="E1027" s="369"/>
      <c r="F1027" s="369"/>
      <c r="G1027" s="374"/>
      <c r="H1027" s="375"/>
      <c r="I1027" s="35"/>
      <c r="J1027" s="74"/>
      <c r="K1027" s="74"/>
      <c r="L1027" s="74"/>
      <c r="M1027" s="74"/>
      <c r="N1027" s="74"/>
      <c r="O1027" s="74"/>
      <c r="P1027" s="74"/>
      <c r="Q1027" s="74"/>
      <c r="R1027" s="74"/>
      <c r="S1027" s="74"/>
      <c r="T1027" s="74"/>
      <c r="U1027" s="74"/>
      <c r="V1027" s="74"/>
      <c r="W1027" s="74"/>
      <c r="X1027" s="74"/>
      <c r="Y1027" s="74"/>
      <c r="Z1027" s="74"/>
      <c r="AA1027" s="74"/>
      <c r="AB1027" s="74"/>
    </row>
    <row r="1028" spans="1:28" ht="40.5" customHeight="1">
      <c r="A1028" s="434"/>
      <c r="B1028" s="435"/>
      <c r="C1028" s="369"/>
      <c r="D1028" s="369"/>
      <c r="E1028" s="369"/>
      <c r="F1028" s="369"/>
      <c r="G1028" s="374"/>
      <c r="H1028" s="375"/>
      <c r="I1028" s="35"/>
      <c r="J1028" s="74"/>
      <c r="K1028" s="74"/>
      <c r="L1028" s="74"/>
      <c r="M1028" s="74"/>
      <c r="N1028" s="74"/>
      <c r="O1028" s="74"/>
      <c r="P1028" s="74"/>
      <c r="Q1028" s="74"/>
      <c r="R1028" s="74"/>
      <c r="S1028" s="74"/>
      <c r="T1028" s="74"/>
      <c r="U1028" s="74"/>
      <c r="V1028" s="74"/>
      <c r="W1028" s="74"/>
      <c r="X1028" s="74"/>
      <c r="Y1028" s="74"/>
      <c r="Z1028" s="74"/>
      <c r="AA1028" s="74"/>
      <c r="AB1028" s="74"/>
    </row>
    <row r="1029" spans="1:28" ht="40.5" customHeight="1">
      <c r="A1029" s="434"/>
      <c r="B1029" s="435"/>
      <c r="C1029" s="369"/>
      <c r="D1029" s="369"/>
      <c r="E1029" s="369"/>
      <c r="F1029" s="369"/>
      <c r="G1029" s="374"/>
      <c r="H1029" s="375"/>
      <c r="I1029" s="35"/>
      <c r="J1029" s="74"/>
      <c r="K1029" s="74"/>
      <c r="L1029" s="74"/>
      <c r="M1029" s="74"/>
      <c r="N1029" s="74"/>
      <c r="O1029" s="74"/>
      <c r="P1029" s="74"/>
      <c r="Q1029" s="74"/>
      <c r="R1029" s="74"/>
      <c r="S1029" s="74"/>
      <c r="T1029" s="74"/>
      <c r="U1029" s="74"/>
      <c r="V1029" s="74"/>
      <c r="W1029" s="74"/>
      <c r="X1029" s="74"/>
      <c r="Y1029" s="74"/>
      <c r="Z1029" s="74"/>
      <c r="AA1029" s="74"/>
      <c r="AB1029" s="74"/>
    </row>
    <row r="1030" spans="1:28" ht="40.5" customHeight="1">
      <c r="A1030" s="434"/>
      <c r="B1030" s="435"/>
      <c r="C1030" s="369"/>
      <c r="D1030" s="369"/>
      <c r="E1030" s="369"/>
      <c r="F1030" s="369"/>
      <c r="G1030" s="374"/>
      <c r="H1030" s="375"/>
      <c r="I1030" s="35"/>
      <c r="J1030" s="74"/>
      <c r="K1030" s="74"/>
      <c r="L1030" s="74"/>
      <c r="M1030" s="74"/>
      <c r="N1030" s="74"/>
      <c r="O1030" s="74"/>
      <c r="P1030" s="74"/>
      <c r="Q1030" s="74"/>
      <c r="R1030" s="74"/>
      <c r="S1030" s="74"/>
      <c r="T1030" s="74"/>
      <c r="U1030" s="74"/>
      <c r="V1030" s="74"/>
      <c r="W1030" s="74"/>
      <c r="X1030" s="74"/>
      <c r="Y1030" s="74"/>
      <c r="Z1030" s="74"/>
      <c r="AA1030" s="74"/>
      <c r="AB1030" s="74"/>
    </row>
    <row r="1031" spans="1:28" ht="40.5" customHeight="1">
      <c r="A1031" s="434"/>
      <c r="B1031" s="435"/>
      <c r="C1031" s="369"/>
      <c r="D1031" s="369"/>
      <c r="E1031" s="369"/>
      <c r="F1031" s="369"/>
      <c r="G1031" s="374"/>
      <c r="H1031" s="375"/>
      <c r="I1031" s="35"/>
      <c r="J1031" s="74"/>
      <c r="K1031" s="74"/>
      <c r="L1031" s="74"/>
      <c r="M1031" s="74"/>
      <c r="N1031" s="74"/>
      <c r="O1031" s="74"/>
      <c r="P1031" s="74"/>
      <c r="Q1031" s="74"/>
      <c r="R1031" s="74"/>
      <c r="S1031" s="74"/>
      <c r="T1031" s="74"/>
      <c r="U1031" s="74"/>
      <c r="V1031" s="74"/>
      <c r="W1031" s="74"/>
      <c r="X1031" s="74"/>
      <c r="Y1031" s="74"/>
      <c r="Z1031" s="74"/>
      <c r="AA1031" s="74"/>
      <c r="AB1031" s="74"/>
    </row>
    <row r="1032" spans="1:28" ht="40.5" customHeight="1">
      <c r="A1032" s="434"/>
      <c r="B1032" s="435"/>
      <c r="C1032" s="369"/>
      <c r="D1032" s="369"/>
      <c r="E1032" s="369"/>
      <c r="F1032" s="369"/>
      <c r="G1032" s="374"/>
      <c r="H1032" s="375"/>
      <c r="I1032" s="35"/>
      <c r="J1032" s="74"/>
      <c r="K1032" s="74"/>
      <c r="L1032" s="74"/>
      <c r="M1032" s="74"/>
      <c r="N1032" s="74"/>
      <c r="O1032" s="74"/>
      <c r="P1032" s="74"/>
      <c r="Q1032" s="74"/>
      <c r="R1032" s="74"/>
      <c r="S1032" s="74"/>
      <c r="T1032" s="74"/>
      <c r="U1032" s="74"/>
      <c r="V1032" s="74"/>
      <c r="W1032" s="74"/>
      <c r="X1032" s="74"/>
      <c r="Y1032" s="74"/>
      <c r="Z1032" s="74"/>
      <c r="AA1032" s="74"/>
      <c r="AB1032" s="74"/>
    </row>
    <row r="1033" spans="1:28" ht="40.5" customHeight="1">
      <c r="A1033" s="434"/>
      <c r="B1033" s="435"/>
      <c r="C1033" s="369"/>
      <c r="D1033" s="369"/>
      <c r="E1033" s="369"/>
      <c r="F1033" s="369"/>
      <c r="G1033" s="374"/>
      <c r="H1033" s="375"/>
      <c r="I1033" s="35"/>
      <c r="J1033" s="74"/>
      <c r="K1033" s="74"/>
      <c r="L1033" s="74"/>
      <c r="M1033" s="74"/>
      <c r="N1033" s="74"/>
      <c r="O1033" s="74"/>
      <c r="P1033" s="74"/>
      <c r="Q1033" s="74"/>
      <c r="R1033" s="74"/>
      <c r="S1033" s="74"/>
      <c r="T1033" s="74"/>
      <c r="U1033" s="74"/>
      <c r="V1033" s="74"/>
      <c r="W1033" s="74"/>
      <c r="X1033" s="74"/>
      <c r="Y1033" s="74"/>
      <c r="Z1033" s="74"/>
      <c r="AA1033" s="74"/>
      <c r="AB1033" s="74"/>
    </row>
    <row r="1034" spans="1:28" ht="40.5" customHeight="1">
      <c r="A1034" s="434"/>
      <c r="B1034" s="435"/>
      <c r="C1034" s="369"/>
      <c r="D1034" s="369"/>
      <c r="E1034" s="369"/>
      <c r="F1034" s="369"/>
      <c r="G1034" s="374"/>
      <c r="H1034" s="375"/>
      <c r="I1034" s="35"/>
      <c r="J1034" s="74"/>
      <c r="K1034" s="74"/>
      <c r="L1034" s="74"/>
      <c r="M1034" s="74"/>
      <c r="N1034" s="74"/>
      <c r="O1034" s="74"/>
      <c r="P1034" s="74"/>
      <c r="Q1034" s="74"/>
      <c r="R1034" s="74"/>
      <c r="S1034" s="74"/>
      <c r="T1034" s="74"/>
      <c r="U1034" s="74"/>
      <c r="V1034" s="74"/>
      <c r="W1034" s="74"/>
      <c r="X1034" s="74"/>
      <c r="Y1034" s="74"/>
      <c r="Z1034" s="74"/>
      <c r="AA1034" s="74"/>
      <c r="AB1034" s="74"/>
    </row>
    <row r="1035" spans="1:28" ht="40.5" customHeight="1">
      <c r="A1035" s="434"/>
      <c r="B1035" s="435"/>
      <c r="C1035" s="369"/>
      <c r="D1035" s="369"/>
      <c r="E1035" s="369"/>
      <c r="F1035" s="369"/>
      <c r="G1035" s="374"/>
      <c r="H1035" s="375"/>
      <c r="I1035" s="35"/>
      <c r="J1035" s="74"/>
      <c r="K1035" s="74"/>
      <c r="L1035" s="74"/>
      <c r="M1035" s="74"/>
      <c r="N1035" s="74"/>
      <c r="O1035" s="74"/>
      <c r="P1035" s="74"/>
      <c r="Q1035" s="74"/>
      <c r="R1035" s="74"/>
      <c r="S1035" s="74"/>
      <c r="T1035" s="74"/>
      <c r="U1035" s="74"/>
      <c r="V1035" s="74"/>
      <c r="W1035" s="74"/>
      <c r="X1035" s="74"/>
      <c r="Y1035" s="74"/>
      <c r="Z1035" s="74"/>
      <c r="AA1035" s="74"/>
      <c r="AB1035" s="74"/>
    </row>
    <row r="1036" spans="1:28" ht="40.5" customHeight="1">
      <c r="A1036" s="434"/>
      <c r="B1036" s="435"/>
      <c r="C1036" s="369"/>
      <c r="D1036" s="369"/>
      <c r="E1036" s="369"/>
      <c r="F1036" s="369"/>
      <c r="G1036" s="374"/>
      <c r="H1036" s="375"/>
      <c r="I1036" s="35"/>
      <c r="J1036" s="74"/>
      <c r="K1036" s="74"/>
      <c r="L1036" s="74"/>
      <c r="M1036" s="74"/>
      <c r="N1036" s="74"/>
      <c r="O1036" s="74"/>
      <c r="P1036" s="74"/>
      <c r="Q1036" s="74"/>
      <c r="R1036" s="74"/>
      <c r="S1036" s="74"/>
      <c r="T1036" s="74"/>
      <c r="U1036" s="74"/>
      <c r="V1036" s="74"/>
      <c r="W1036" s="74"/>
      <c r="X1036" s="74"/>
      <c r="Y1036" s="74"/>
      <c r="Z1036" s="74"/>
      <c r="AA1036" s="74"/>
      <c r="AB1036" s="74"/>
    </row>
    <row r="1037" spans="1:28" ht="40.5" customHeight="1">
      <c r="A1037" s="434"/>
      <c r="B1037" s="435"/>
      <c r="C1037" s="369"/>
      <c r="D1037" s="369"/>
      <c r="E1037" s="369"/>
      <c r="F1037" s="369"/>
      <c r="G1037" s="374"/>
      <c r="H1037" s="375"/>
      <c r="I1037" s="35"/>
      <c r="J1037" s="74"/>
      <c r="K1037" s="74"/>
      <c r="L1037" s="74"/>
      <c r="M1037" s="74"/>
      <c r="N1037" s="74"/>
      <c r="O1037" s="74"/>
      <c r="P1037" s="74"/>
      <c r="Q1037" s="74"/>
      <c r="R1037" s="74"/>
      <c r="S1037" s="74"/>
      <c r="T1037" s="74"/>
      <c r="U1037" s="74"/>
      <c r="V1037" s="74"/>
      <c r="W1037" s="74"/>
      <c r="X1037" s="74"/>
      <c r="Y1037" s="74"/>
      <c r="Z1037" s="74"/>
      <c r="AA1037" s="74"/>
      <c r="AB1037" s="74"/>
    </row>
    <row r="1038" spans="1:28" ht="40.5" customHeight="1">
      <c r="A1038" s="434"/>
      <c r="B1038" s="435"/>
      <c r="C1038" s="369"/>
      <c r="D1038" s="369"/>
      <c r="E1038" s="369"/>
      <c r="F1038" s="369"/>
      <c r="G1038" s="374"/>
      <c r="H1038" s="375"/>
      <c r="I1038" s="35"/>
      <c r="J1038" s="74"/>
      <c r="K1038" s="74"/>
      <c r="L1038" s="74"/>
      <c r="M1038" s="74"/>
      <c r="N1038" s="74"/>
      <c r="O1038" s="74"/>
      <c r="P1038" s="74"/>
      <c r="Q1038" s="74"/>
      <c r="R1038" s="74"/>
      <c r="S1038" s="74"/>
      <c r="T1038" s="74"/>
      <c r="U1038" s="74"/>
      <c r="V1038" s="74"/>
      <c r="W1038" s="74"/>
      <c r="X1038" s="74"/>
      <c r="Y1038" s="74"/>
      <c r="Z1038" s="74"/>
      <c r="AA1038" s="74"/>
      <c r="AB1038" s="74"/>
    </row>
    <row r="1039" spans="1:28" ht="40.5" customHeight="1">
      <c r="A1039" s="434"/>
      <c r="B1039" s="435"/>
      <c r="C1039" s="369"/>
      <c r="D1039" s="369"/>
      <c r="E1039" s="369"/>
      <c r="F1039" s="369"/>
      <c r="G1039" s="374"/>
      <c r="H1039" s="375"/>
      <c r="I1039" s="35"/>
      <c r="J1039" s="74"/>
      <c r="K1039" s="74"/>
      <c r="L1039" s="74"/>
      <c r="M1039" s="74"/>
      <c r="N1039" s="74"/>
      <c r="O1039" s="74"/>
      <c r="P1039" s="74"/>
      <c r="Q1039" s="74"/>
      <c r="R1039" s="74"/>
      <c r="S1039" s="74"/>
      <c r="T1039" s="74"/>
      <c r="U1039" s="74"/>
      <c r="V1039" s="74"/>
      <c r="W1039" s="74"/>
      <c r="X1039" s="74"/>
      <c r="Y1039" s="74"/>
      <c r="Z1039" s="74"/>
      <c r="AA1039" s="74"/>
      <c r="AB1039" s="74"/>
    </row>
    <row r="1040" spans="1:28" ht="40.5" customHeight="1">
      <c r="A1040" s="434"/>
      <c r="B1040" s="435"/>
      <c r="C1040" s="369"/>
      <c r="D1040" s="369"/>
      <c r="E1040" s="369"/>
      <c r="F1040" s="369"/>
      <c r="G1040" s="374"/>
      <c r="H1040" s="375"/>
      <c r="I1040" s="35"/>
      <c r="J1040" s="74"/>
      <c r="K1040" s="74"/>
      <c r="L1040" s="74"/>
      <c r="M1040" s="74"/>
      <c r="N1040" s="74"/>
      <c r="O1040" s="74"/>
      <c r="P1040" s="74"/>
      <c r="Q1040" s="74"/>
      <c r="R1040" s="74"/>
      <c r="S1040" s="74"/>
      <c r="T1040" s="74"/>
      <c r="U1040" s="74"/>
      <c r="V1040" s="74"/>
      <c r="W1040" s="74"/>
      <c r="X1040" s="74"/>
      <c r="Y1040" s="74"/>
      <c r="Z1040" s="74"/>
      <c r="AA1040" s="74"/>
      <c r="AB1040" s="74"/>
    </row>
    <row r="1041" spans="1:28" ht="40.5" customHeight="1">
      <c r="A1041" s="434"/>
      <c r="B1041" s="435"/>
      <c r="C1041" s="369"/>
      <c r="D1041" s="369"/>
      <c r="E1041" s="369"/>
      <c r="F1041" s="369"/>
      <c r="G1041" s="374"/>
      <c r="H1041" s="375"/>
      <c r="I1041" s="35"/>
      <c r="J1041" s="74"/>
      <c r="K1041" s="74"/>
      <c r="L1041" s="74"/>
      <c r="M1041" s="74"/>
      <c r="N1041" s="74"/>
      <c r="O1041" s="74"/>
      <c r="P1041" s="74"/>
      <c r="Q1041" s="74"/>
      <c r="R1041" s="74"/>
      <c r="S1041" s="74"/>
      <c r="T1041" s="74"/>
      <c r="U1041" s="74"/>
      <c r="V1041" s="74"/>
      <c r="W1041" s="74"/>
      <c r="X1041" s="74"/>
      <c r="Y1041" s="74"/>
      <c r="Z1041" s="74"/>
      <c r="AA1041" s="74"/>
      <c r="AB1041" s="74"/>
    </row>
    <row r="1042" spans="1:28" ht="40.5" customHeight="1">
      <c r="A1042" s="434"/>
      <c r="B1042" s="435"/>
      <c r="C1042" s="369"/>
      <c r="D1042" s="369"/>
      <c r="E1042" s="369"/>
      <c r="F1042" s="369"/>
      <c r="G1042" s="374"/>
      <c r="H1042" s="375"/>
      <c r="I1042" s="35"/>
      <c r="J1042" s="74"/>
      <c r="K1042" s="74"/>
      <c r="L1042" s="74"/>
      <c r="M1042" s="74"/>
      <c r="N1042" s="74"/>
      <c r="O1042" s="74"/>
      <c r="P1042" s="74"/>
      <c r="Q1042" s="74"/>
      <c r="R1042" s="74"/>
      <c r="S1042" s="74"/>
      <c r="T1042" s="74"/>
      <c r="U1042" s="74"/>
      <c r="V1042" s="74"/>
      <c r="W1042" s="74"/>
      <c r="X1042" s="74"/>
      <c r="Y1042" s="74"/>
      <c r="Z1042" s="74"/>
      <c r="AA1042" s="74"/>
      <c r="AB1042" s="74"/>
    </row>
    <row r="1043" spans="1:28" ht="40.5" customHeight="1">
      <c r="A1043" s="434"/>
      <c r="B1043" s="435"/>
      <c r="C1043" s="369"/>
      <c r="D1043" s="369"/>
      <c r="E1043" s="369"/>
      <c r="F1043" s="369"/>
      <c r="G1043" s="374"/>
      <c r="H1043" s="375"/>
      <c r="I1043" s="35"/>
      <c r="J1043" s="74"/>
      <c r="K1043" s="74"/>
      <c r="L1043" s="74"/>
      <c r="M1043" s="74"/>
      <c r="N1043" s="74"/>
      <c r="O1043" s="74"/>
      <c r="P1043" s="74"/>
      <c r="Q1043" s="74"/>
      <c r="R1043" s="74"/>
      <c r="S1043" s="74"/>
      <c r="T1043" s="74"/>
      <c r="U1043" s="74"/>
      <c r="V1043" s="74"/>
      <c r="W1043" s="74"/>
      <c r="X1043" s="74"/>
      <c r="Y1043" s="74"/>
      <c r="Z1043" s="74"/>
      <c r="AA1043" s="74"/>
      <c r="AB1043" s="74"/>
    </row>
    <row r="1044" spans="1:28" ht="40.5" customHeight="1">
      <c r="A1044" s="434"/>
      <c r="B1044" s="435"/>
      <c r="C1044" s="369"/>
      <c r="D1044" s="369"/>
      <c r="E1044" s="369"/>
      <c r="F1044" s="369"/>
      <c r="G1044" s="374"/>
      <c r="H1044" s="375"/>
      <c r="I1044" s="35"/>
      <c r="J1044" s="74"/>
      <c r="K1044" s="74"/>
      <c r="L1044" s="74"/>
      <c r="M1044" s="74"/>
      <c r="N1044" s="74"/>
      <c r="O1044" s="74"/>
      <c r="P1044" s="74"/>
      <c r="Q1044" s="74"/>
      <c r="R1044" s="74"/>
      <c r="S1044" s="74"/>
      <c r="T1044" s="74"/>
      <c r="U1044" s="74"/>
      <c r="V1044" s="74"/>
      <c r="W1044" s="74"/>
      <c r="X1044" s="74"/>
      <c r="Y1044" s="74"/>
      <c r="Z1044" s="74"/>
      <c r="AA1044" s="74"/>
      <c r="AB1044" s="74"/>
    </row>
    <row r="1045" spans="1:28" ht="40.5" customHeight="1">
      <c r="A1045" s="434"/>
      <c r="B1045" s="435"/>
      <c r="C1045" s="369"/>
      <c r="D1045" s="369"/>
      <c r="E1045" s="369"/>
      <c r="F1045" s="369"/>
      <c r="G1045" s="374"/>
      <c r="H1045" s="375"/>
      <c r="I1045" s="35"/>
      <c r="J1045" s="74"/>
      <c r="K1045" s="74"/>
      <c r="L1045" s="74"/>
      <c r="M1045" s="74"/>
      <c r="N1045" s="74"/>
      <c r="O1045" s="74"/>
      <c r="P1045" s="74"/>
      <c r="Q1045" s="74"/>
      <c r="R1045" s="74"/>
      <c r="S1045" s="74"/>
      <c r="T1045" s="74"/>
      <c r="U1045" s="74"/>
      <c r="V1045" s="74"/>
      <c r="W1045" s="74"/>
      <c r="X1045" s="74"/>
      <c r="Y1045" s="74"/>
      <c r="Z1045" s="74"/>
      <c r="AA1045" s="74"/>
      <c r="AB1045" s="74"/>
    </row>
    <row r="1046" spans="1:28" ht="40.5" customHeight="1">
      <c r="A1046" s="434"/>
      <c r="B1046" s="435"/>
      <c r="C1046" s="369"/>
      <c r="D1046" s="369"/>
      <c r="E1046" s="369"/>
      <c r="F1046" s="369"/>
      <c r="G1046" s="374"/>
      <c r="H1046" s="375"/>
      <c r="I1046" s="35"/>
      <c r="J1046" s="74"/>
      <c r="K1046" s="74"/>
      <c r="L1046" s="74"/>
      <c r="M1046" s="74"/>
      <c r="N1046" s="74"/>
      <c r="O1046" s="74"/>
      <c r="P1046" s="74"/>
      <c r="Q1046" s="74"/>
      <c r="R1046" s="74"/>
      <c r="S1046" s="74"/>
      <c r="T1046" s="74"/>
      <c r="U1046" s="74"/>
      <c r="V1046" s="74"/>
      <c r="W1046" s="74"/>
      <c r="X1046" s="74"/>
      <c r="Y1046" s="74"/>
      <c r="Z1046" s="74"/>
      <c r="AA1046" s="74"/>
      <c r="AB1046" s="74"/>
    </row>
    <row r="1047" spans="1:28" ht="40.5" customHeight="1">
      <c r="A1047" s="434"/>
      <c r="B1047" s="435"/>
      <c r="C1047" s="369"/>
      <c r="D1047" s="369"/>
      <c r="E1047" s="369"/>
      <c r="F1047" s="369"/>
      <c r="G1047" s="374"/>
      <c r="H1047" s="375"/>
      <c r="I1047" s="35"/>
      <c r="J1047" s="74"/>
      <c r="K1047" s="74"/>
      <c r="L1047" s="74"/>
      <c r="M1047" s="74"/>
      <c r="N1047" s="74"/>
      <c r="O1047" s="74"/>
      <c r="P1047" s="74"/>
      <c r="Q1047" s="74"/>
      <c r="R1047" s="74"/>
      <c r="S1047" s="74"/>
      <c r="T1047" s="74"/>
      <c r="U1047" s="74"/>
      <c r="V1047" s="74"/>
      <c r="W1047" s="74"/>
      <c r="X1047" s="74"/>
      <c r="Y1047" s="74"/>
      <c r="Z1047" s="74"/>
      <c r="AA1047" s="74"/>
      <c r="AB1047" s="74"/>
    </row>
    <row r="1048" spans="1:28" ht="40.5" customHeight="1">
      <c r="A1048" s="434"/>
      <c r="B1048" s="435"/>
      <c r="C1048" s="369"/>
      <c r="D1048" s="369"/>
      <c r="E1048" s="369"/>
      <c r="F1048" s="369"/>
      <c r="G1048" s="374"/>
      <c r="H1048" s="375"/>
      <c r="I1048" s="35"/>
      <c r="J1048" s="74"/>
      <c r="K1048" s="74"/>
      <c r="L1048" s="74"/>
      <c r="M1048" s="74"/>
      <c r="N1048" s="74"/>
      <c r="O1048" s="74"/>
      <c r="P1048" s="74"/>
      <c r="Q1048" s="74"/>
      <c r="R1048" s="74"/>
      <c r="S1048" s="74"/>
      <c r="T1048" s="74"/>
      <c r="U1048" s="74"/>
      <c r="V1048" s="74"/>
      <c r="W1048" s="74"/>
      <c r="X1048" s="74"/>
      <c r="Y1048" s="74"/>
      <c r="Z1048" s="74"/>
      <c r="AA1048" s="74"/>
      <c r="AB1048" s="74"/>
    </row>
    <row r="1049" spans="1:28" ht="40.5" customHeight="1">
      <c r="A1049" s="434"/>
      <c r="B1049" s="435"/>
      <c r="C1049" s="369"/>
      <c r="D1049" s="369"/>
      <c r="E1049" s="369"/>
      <c r="F1049" s="369"/>
      <c r="G1049" s="374"/>
      <c r="H1049" s="375"/>
      <c r="I1049" s="35"/>
      <c r="J1049" s="74"/>
      <c r="K1049" s="74"/>
      <c r="L1049" s="74"/>
      <c r="M1049" s="74"/>
      <c r="N1049" s="74"/>
      <c r="O1049" s="74"/>
      <c r="P1049" s="74"/>
      <c r="Q1049" s="74"/>
      <c r="R1049" s="74"/>
      <c r="S1049" s="74"/>
      <c r="T1049" s="74"/>
      <c r="U1049" s="74"/>
      <c r="V1049" s="74"/>
      <c r="W1049" s="74"/>
      <c r="X1049" s="74"/>
      <c r="Y1049" s="74"/>
      <c r="Z1049" s="74"/>
      <c r="AA1049" s="74"/>
      <c r="AB1049" s="74"/>
    </row>
    <row r="1050" spans="1:28" ht="40.5" customHeight="1">
      <c r="A1050" s="434"/>
      <c r="B1050" s="435"/>
      <c r="C1050" s="369"/>
      <c r="D1050" s="369"/>
      <c r="E1050" s="369"/>
      <c r="F1050" s="369"/>
      <c r="G1050" s="374"/>
      <c r="H1050" s="375"/>
      <c r="I1050" s="35"/>
      <c r="J1050" s="74"/>
      <c r="K1050" s="74"/>
      <c r="L1050" s="74"/>
      <c r="M1050" s="74"/>
      <c r="N1050" s="74"/>
      <c r="O1050" s="74"/>
      <c r="P1050" s="74"/>
      <c r="Q1050" s="74"/>
      <c r="R1050" s="74"/>
      <c r="S1050" s="74"/>
      <c r="T1050" s="74"/>
      <c r="U1050" s="74"/>
      <c r="V1050" s="74"/>
      <c r="W1050" s="74"/>
      <c r="X1050" s="74"/>
      <c r="Y1050" s="74"/>
      <c r="Z1050" s="74"/>
      <c r="AA1050" s="74"/>
      <c r="AB1050" s="74"/>
    </row>
    <row r="1051" spans="1:28" ht="40.5" customHeight="1">
      <c r="A1051" s="434"/>
      <c r="B1051" s="435"/>
      <c r="C1051" s="369"/>
      <c r="D1051" s="369"/>
      <c r="E1051" s="369"/>
      <c r="F1051" s="369"/>
      <c r="G1051" s="374"/>
      <c r="H1051" s="375"/>
      <c r="I1051" s="35"/>
      <c r="J1051" s="74"/>
      <c r="K1051" s="74"/>
      <c r="L1051" s="74"/>
      <c r="M1051" s="74"/>
      <c r="N1051" s="74"/>
      <c r="O1051" s="74"/>
      <c r="P1051" s="74"/>
      <c r="Q1051" s="74"/>
      <c r="R1051" s="74"/>
      <c r="S1051" s="74"/>
      <c r="T1051" s="74"/>
      <c r="U1051" s="74"/>
      <c r="V1051" s="74"/>
      <c r="W1051" s="74"/>
      <c r="X1051" s="74"/>
      <c r="Y1051" s="74"/>
      <c r="Z1051" s="74"/>
      <c r="AA1051" s="74"/>
      <c r="AB1051" s="74"/>
    </row>
    <row r="1052" spans="1:28" ht="40.5" customHeight="1">
      <c r="A1052" s="434"/>
      <c r="B1052" s="435"/>
      <c r="C1052" s="369"/>
      <c r="D1052" s="369"/>
      <c r="E1052" s="369"/>
      <c r="F1052" s="369"/>
      <c r="G1052" s="374"/>
      <c r="H1052" s="375"/>
      <c r="I1052" s="35"/>
      <c r="J1052" s="74"/>
      <c r="K1052" s="74"/>
      <c r="L1052" s="74"/>
      <c r="M1052" s="74"/>
      <c r="N1052" s="74"/>
      <c r="O1052" s="74"/>
      <c r="P1052" s="74"/>
      <c r="Q1052" s="74"/>
      <c r="R1052" s="74"/>
      <c r="S1052" s="74"/>
      <c r="T1052" s="74"/>
      <c r="U1052" s="74"/>
      <c r="V1052" s="74"/>
      <c r="W1052" s="74"/>
      <c r="X1052" s="74"/>
      <c r="Y1052" s="74"/>
      <c r="Z1052" s="74"/>
      <c r="AA1052" s="74"/>
      <c r="AB1052" s="74"/>
    </row>
    <row r="1053" spans="1:28" ht="40.5" customHeight="1">
      <c r="A1053" s="434"/>
      <c r="B1053" s="435"/>
      <c r="C1053" s="369"/>
      <c r="D1053" s="369"/>
      <c r="E1053" s="369"/>
      <c r="F1053" s="369"/>
      <c r="G1053" s="374"/>
      <c r="H1053" s="375"/>
      <c r="I1053" s="35"/>
      <c r="J1053" s="74"/>
      <c r="K1053" s="74"/>
      <c r="L1053" s="74"/>
      <c r="M1053" s="74"/>
      <c r="N1053" s="74"/>
      <c r="O1053" s="74"/>
      <c r="P1053" s="74"/>
      <c r="Q1053" s="74"/>
      <c r="R1053" s="74"/>
      <c r="S1053" s="74"/>
      <c r="T1053" s="74"/>
      <c r="U1053" s="74"/>
      <c r="V1053" s="74"/>
      <c r="W1053" s="74"/>
      <c r="X1053" s="74"/>
      <c r="Y1053" s="74"/>
      <c r="Z1053" s="74"/>
      <c r="AA1053" s="74"/>
      <c r="AB1053" s="74"/>
    </row>
    <row r="1054" spans="1:28" ht="40.5" customHeight="1">
      <c r="A1054" s="434"/>
      <c r="B1054" s="435"/>
      <c r="C1054" s="369"/>
      <c r="D1054" s="369"/>
      <c r="E1054" s="369"/>
      <c r="F1054" s="369"/>
      <c r="G1054" s="374"/>
      <c r="H1054" s="375"/>
      <c r="I1054" s="35"/>
      <c r="J1054" s="74"/>
      <c r="K1054" s="74"/>
      <c r="L1054" s="74"/>
      <c r="M1054" s="74"/>
      <c r="N1054" s="74"/>
      <c r="O1054" s="74"/>
      <c r="P1054" s="74"/>
      <c r="Q1054" s="74"/>
      <c r="R1054" s="74"/>
      <c r="S1054" s="74"/>
      <c r="T1054" s="74"/>
      <c r="U1054" s="74"/>
      <c r="V1054" s="74"/>
      <c r="W1054" s="74"/>
      <c r="X1054" s="74"/>
      <c r="Y1054" s="74"/>
      <c r="Z1054" s="74"/>
      <c r="AA1054" s="74"/>
      <c r="AB1054" s="74"/>
    </row>
    <row r="1055" spans="1:28" ht="40.5" customHeight="1">
      <c r="A1055" s="434"/>
      <c r="B1055" s="435"/>
      <c r="C1055" s="369"/>
      <c r="D1055" s="369"/>
      <c r="E1055" s="369"/>
      <c r="F1055" s="369"/>
      <c r="G1055" s="374"/>
      <c r="H1055" s="375"/>
      <c r="I1055" s="35"/>
      <c r="J1055" s="74"/>
      <c r="K1055" s="74"/>
      <c r="L1055" s="74"/>
      <c r="M1055" s="74"/>
      <c r="N1055" s="74"/>
      <c r="O1055" s="74"/>
      <c r="P1055" s="74"/>
      <c r="Q1055" s="74"/>
      <c r="R1055" s="74"/>
      <c r="S1055" s="74"/>
      <c r="T1055" s="74"/>
      <c r="U1055" s="74"/>
      <c r="V1055" s="74"/>
      <c r="W1055" s="74"/>
      <c r="X1055" s="74"/>
      <c r="Y1055" s="74"/>
      <c r="Z1055" s="74"/>
      <c r="AA1055" s="74"/>
      <c r="AB1055" s="74"/>
    </row>
    <row r="1056" spans="1:28" ht="40.5" customHeight="1">
      <c r="A1056" s="434"/>
      <c r="B1056" s="435"/>
      <c r="C1056" s="369"/>
      <c r="D1056" s="369"/>
      <c r="E1056" s="369"/>
      <c r="F1056" s="369"/>
      <c r="G1056" s="374"/>
      <c r="H1056" s="375"/>
      <c r="I1056" s="35"/>
      <c r="J1056" s="74"/>
      <c r="K1056" s="74"/>
      <c r="L1056" s="74"/>
      <c r="M1056" s="74"/>
      <c r="N1056" s="74"/>
      <c r="O1056" s="74"/>
      <c r="P1056" s="74"/>
      <c r="Q1056" s="74"/>
      <c r="R1056" s="74"/>
      <c r="S1056" s="74"/>
      <c r="T1056" s="74"/>
      <c r="U1056" s="74"/>
      <c r="V1056" s="74"/>
      <c r="W1056" s="74"/>
      <c r="X1056" s="74"/>
      <c r="Y1056" s="74"/>
      <c r="Z1056" s="74"/>
      <c r="AA1056" s="74"/>
      <c r="AB1056" s="74"/>
    </row>
    <row r="1057" spans="1:28" ht="40.5" customHeight="1">
      <c r="A1057" s="434"/>
      <c r="B1057" s="435"/>
      <c r="C1057" s="369"/>
      <c r="D1057" s="369"/>
      <c r="E1057" s="369"/>
      <c r="F1057" s="369"/>
      <c r="G1057" s="374"/>
      <c r="H1057" s="375"/>
      <c r="I1057" s="35"/>
      <c r="J1057" s="74"/>
      <c r="K1057" s="74"/>
      <c r="L1057" s="74"/>
      <c r="M1057" s="74"/>
      <c r="N1057" s="74"/>
      <c r="O1057" s="74"/>
      <c r="P1057" s="74"/>
      <c r="Q1057" s="74"/>
      <c r="R1057" s="74"/>
      <c r="S1057" s="74"/>
      <c r="T1057" s="74"/>
      <c r="U1057" s="74"/>
      <c r="V1057" s="74"/>
      <c r="W1057" s="74"/>
      <c r="X1057" s="74"/>
      <c r="Y1057" s="74"/>
      <c r="Z1057" s="74"/>
      <c r="AA1057" s="74"/>
      <c r="AB1057" s="74"/>
    </row>
    <row r="1058" spans="1:28" ht="40.5" customHeight="1">
      <c r="A1058" s="434"/>
      <c r="B1058" s="435"/>
      <c r="C1058" s="369"/>
      <c r="D1058" s="369"/>
      <c r="E1058" s="369"/>
      <c r="F1058" s="369"/>
      <c r="G1058" s="374"/>
      <c r="H1058" s="375"/>
      <c r="I1058" s="35"/>
      <c r="J1058" s="74"/>
      <c r="K1058" s="74"/>
      <c r="L1058" s="74"/>
      <c r="M1058" s="74"/>
      <c r="N1058" s="74"/>
      <c r="O1058" s="74"/>
      <c r="P1058" s="74"/>
      <c r="Q1058" s="74"/>
      <c r="R1058" s="74"/>
      <c r="S1058" s="74"/>
      <c r="T1058" s="74"/>
      <c r="U1058" s="74"/>
      <c r="V1058" s="74"/>
      <c r="W1058" s="74"/>
      <c r="X1058" s="74"/>
      <c r="Y1058" s="74"/>
      <c r="Z1058" s="74"/>
      <c r="AA1058" s="74"/>
      <c r="AB1058" s="74"/>
    </row>
    <row r="1059" spans="1:28" ht="40.5" customHeight="1">
      <c r="A1059" s="434"/>
      <c r="B1059" s="435"/>
      <c r="C1059" s="369"/>
      <c r="D1059" s="369"/>
      <c r="E1059" s="369"/>
      <c r="F1059" s="369"/>
      <c r="G1059" s="374"/>
      <c r="H1059" s="375"/>
      <c r="I1059" s="35"/>
      <c r="J1059" s="74"/>
      <c r="K1059" s="74"/>
      <c r="L1059" s="74"/>
      <c r="M1059" s="74"/>
      <c r="N1059" s="74"/>
      <c r="O1059" s="74"/>
      <c r="P1059" s="74"/>
      <c r="Q1059" s="74"/>
      <c r="R1059" s="74"/>
      <c r="S1059" s="74"/>
      <c r="T1059" s="74"/>
      <c r="U1059" s="74"/>
      <c r="V1059" s="74"/>
      <c r="W1059" s="74"/>
      <c r="X1059" s="74"/>
      <c r="Y1059" s="74"/>
      <c r="Z1059" s="74"/>
      <c r="AA1059" s="74"/>
      <c r="AB1059" s="74"/>
    </row>
    <row r="1060" spans="1:28" ht="40.5" customHeight="1">
      <c r="A1060" s="434"/>
      <c r="B1060" s="435"/>
      <c r="C1060" s="369"/>
      <c r="D1060" s="369"/>
      <c r="E1060" s="369"/>
      <c r="F1060" s="369"/>
      <c r="G1060" s="374"/>
      <c r="H1060" s="375"/>
      <c r="I1060" s="35"/>
      <c r="J1060" s="74"/>
      <c r="K1060" s="74"/>
      <c r="L1060" s="74"/>
      <c r="M1060" s="74"/>
      <c r="N1060" s="74"/>
      <c r="O1060" s="74"/>
      <c r="P1060" s="74"/>
      <c r="Q1060" s="74"/>
      <c r="R1060" s="74"/>
      <c r="S1060" s="74"/>
      <c r="T1060" s="74"/>
      <c r="U1060" s="74"/>
      <c r="V1060" s="74"/>
      <c r="W1060" s="74"/>
      <c r="X1060" s="74"/>
      <c r="Y1060" s="74"/>
      <c r="Z1060" s="74"/>
      <c r="AA1060" s="74"/>
      <c r="AB1060" s="74"/>
    </row>
    <row r="1061" spans="1:28" ht="40.5" customHeight="1">
      <c r="A1061" s="434"/>
      <c r="B1061" s="435"/>
      <c r="C1061" s="369"/>
      <c r="D1061" s="369"/>
      <c r="E1061" s="369"/>
      <c r="F1061" s="369"/>
      <c r="G1061" s="374"/>
      <c r="H1061" s="375"/>
      <c r="I1061" s="35"/>
      <c r="J1061" s="74"/>
      <c r="K1061" s="74"/>
      <c r="L1061" s="74"/>
      <c r="M1061" s="74"/>
      <c r="N1061" s="74"/>
      <c r="O1061" s="74"/>
      <c r="P1061" s="74"/>
      <c r="Q1061" s="74"/>
      <c r="R1061" s="74"/>
      <c r="S1061" s="74"/>
      <c r="T1061" s="74"/>
      <c r="U1061" s="74"/>
      <c r="V1061" s="74"/>
      <c r="W1061" s="74"/>
      <c r="X1061" s="74"/>
      <c r="Y1061" s="74"/>
      <c r="Z1061" s="74"/>
      <c r="AA1061" s="74"/>
      <c r="AB1061" s="74"/>
    </row>
    <row r="1062" spans="1:28" ht="40.5" customHeight="1">
      <c r="A1062" s="434"/>
      <c r="B1062" s="435"/>
      <c r="C1062" s="369"/>
      <c r="D1062" s="369"/>
      <c r="E1062" s="369"/>
      <c r="F1062" s="369"/>
      <c r="G1062" s="374"/>
      <c r="H1062" s="375"/>
      <c r="I1062" s="35"/>
      <c r="J1062" s="74"/>
      <c r="K1062" s="74"/>
      <c r="L1062" s="74"/>
      <c r="M1062" s="74"/>
      <c r="N1062" s="74"/>
      <c r="O1062" s="74"/>
      <c r="P1062" s="74"/>
      <c r="Q1062" s="74"/>
      <c r="R1062" s="74"/>
      <c r="S1062" s="74"/>
      <c r="T1062" s="74"/>
      <c r="U1062" s="74"/>
      <c r="V1062" s="74"/>
      <c r="W1062" s="74"/>
      <c r="X1062" s="74"/>
      <c r="Y1062" s="74"/>
      <c r="Z1062" s="74"/>
      <c r="AA1062" s="74"/>
      <c r="AB1062" s="74"/>
    </row>
    <row r="1063" spans="1:28" ht="40.5" customHeight="1">
      <c r="A1063" s="434"/>
      <c r="B1063" s="435"/>
      <c r="C1063" s="369"/>
      <c r="D1063" s="369"/>
      <c r="E1063" s="369"/>
      <c r="F1063" s="369"/>
      <c r="G1063" s="374"/>
      <c r="H1063" s="375"/>
      <c r="I1063" s="35"/>
      <c r="J1063" s="74"/>
      <c r="K1063" s="74"/>
      <c r="L1063" s="74"/>
      <c r="M1063" s="74"/>
      <c r="N1063" s="74"/>
      <c r="O1063" s="74"/>
      <c r="P1063" s="74"/>
      <c r="Q1063" s="74"/>
      <c r="R1063" s="74"/>
      <c r="S1063" s="74"/>
      <c r="T1063" s="74"/>
      <c r="U1063" s="74"/>
      <c r="V1063" s="74"/>
      <c r="W1063" s="74"/>
      <c r="X1063" s="74"/>
      <c r="Y1063" s="74"/>
      <c r="Z1063" s="74"/>
      <c r="AA1063" s="74"/>
      <c r="AB1063" s="74"/>
    </row>
    <row r="1064" spans="1:28" ht="40.5" customHeight="1">
      <c r="A1064" s="434"/>
      <c r="B1064" s="435"/>
      <c r="C1064" s="369"/>
      <c r="D1064" s="369"/>
      <c r="E1064" s="369"/>
      <c r="F1064" s="369"/>
      <c r="G1064" s="374"/>
      <c r="H1064" s="375"/>
      <c r="I1064" s="35"/>
      <c r="J1064" s="74"/>
      <c r="K1064" s="74"/>
      <c r="L1064" s="74"/>
      <c r="M1064" s="74"/>
      <c r="N1064" s="74"/>
      <c r="O1064" s="74"/>
      <c r="P1064" s="74"/>
      <c r="Q1064" s="74"/>
      <c r="R1064" s="74"/>
      <c r="S1064" s="74"/>
      <c r="T1064" s="74"/>
      <c r="U1064" s="74"/>
      <c r="V1064" s="74"/>
      <c r="W1064" s="74"/>
      <c r="X1064" s="74"/>
      <c r="Y1064" s="74"/>
      <c r="Z1064" s="74"/>
      <c r="AA1064" s="74"/>
      <c r="AB1064" s="74"/>
    </row>
    <row r="1065" spans="1:28" ht="40.5" customHeight="1">
      <c r="A1065" s="434"/>
      <c r="B1065" s="435"/>
      <c r="C1065" s="369"/>
      <c r="D1065" s="369"/>
      <c r="E1065" s="369"/>
      <c r="F1065" s="369"/>
      <c r="G1065" s="374"/>
      <c r="H1065" s="375"/>
      <c r="I1065" s="35"/>
      <c r="J1065" s="74"/>
      <c r="K1065" s="74"/>
      <c r="L1065" s="74"/>
      <c r="M1065" s="74"/>
      <c r="N1065" s="74"/>
      <c r="O1065" s="74"/>
      <c r="P1065" s="74"/>
      <c r="Q1065" s="74"/>
      <c r="R1065" s="74"/>
      <c r="S1065" s="74"/>
      <c r="T1065" s="74"/>
      <c r="U1065" s="74"/>
      <c r="V1065" s="74"/>
      <c r="W1065" s="74"/>
      <c r="X1065" s="74"/>
      <c r="Y1065" s="74"/>
      <c r="Z1065" s="74"/>
      <c r="AA1065" s="74"/>
      <c r="AB1065" s="74"/>
    </row>
    <row r="1066" spans="1:28" ht="40.5" customHeight="1">
      <c r="A1066" s="434"/>
      <c r="B1066" s="435"/>
      <c r="C1066" s="369"/>
      <c r="D1066" s="369"/>
      <c r="E1066" s="369"/>
      <c r="F1066" s="369"/>
      <c r="G1066" s="374"/>
      <c r="H1066" s="375"/>
      <c r="I1066" s="35"/>
      <c r="J1066" s="74"/>
      <c r="K1066" s="74"/>
      <c r="L1066" s="74"/>
      <c r="M1066" s="74"/>
      <c r="N1066" s="74"/>
      <c r="O1066" s="74"/>
      <c r="P1066" s="74"/>
      <c r="Q1066" s="74"/>
      <c r="R1066" s="74"/>
      <c r="S1066" s="74"/>
      <c r="T1066" s="74"/>
      <c r="U1066" s="74"/>
      <c r="V1066" s="74"/>
      <c r="W1066" s="74"/>
      <c r="X1066" s="74"/>
      <c r="Y1066" s="74"/>
      <c r="Z1066" s="74"/>
      <c r="AA1066" s="74"/>
      <c r="AB1066" s="74"/>
    </row>
    <row r="1067" spans="1:28" ht="40.5" customHeight="1">
      <c r="A1067" s="434"/>
      <c r="B1067" s="435"/>
      <c r="C1067" s="369"/>
      <c r="D1067" s="369"/>
      <c r="E1067" s="369"/>
      <c r="F1067" s="369"/>
      <c r="G1067" s="374"/>
      <c r="H1067" s="375"/>
      <c r="I1067" s="35"/>
      <c r="J1067" s="74"/>
      <c r="K1067" s="74"/>
      <c r="L1067" s="74"/>
      <c r="M1067" s="74"/>
      <c r="N1067" s="74"/>
      <c r="O1067" s="74"/>
      <c r="P1067" s="74"/>
      <c r="Q1067" s="74"/>
      <c r="R1067" s="74"/>
      <c r="S1067" s="74"/>
      <c r="T1067" s="74"/>
      <c r="U1067" s="74"/>
      <c r="V1067" s="74"/>
      <c r="W1067" s="74"/>
      <c r="X1067" s="74"/>
      <c r="Y1067" s="74"/>
      <c r="Z1067" s="74"/>
      <c r="AA1067" s="74"/>
      <c r="AB1067" s="74"/>
    </row>
    <row r="1068" spans="1:28" ht="40.5" customHeight="1">
      <c r="A1068" s="434"/>
      <c r="B1068" s="435"/>
      <c r="C1068" s="369"/>
      <c r="D1068" s="369"/>
      <c r="E1068" s="369"/>
      <c r="F1068" s="369"/>
      <c r="G1068" s="374"/>
      <c r="H1068" s="375"/>
      <c r="I1068" s="35"/>
      <c r="J1068" s="74"/>
      <c r="K1068" s="74"/>
      <c r="L1068" s="74"/>
      <c r="M1068" s="74"/>
      <c r="N1068" s="74"/>
      <c r="O1068" s="74"/>
      <c r="P1068" s="74"/>
      <c r="Q1068" s="74"/>
      <c r="R1068" s="74"/>
      <c r="S1068" s="74"/>
      <c r="T1068" s="74"/>
      <c r="U1068" s="74"/>
      <c r="V1068" s="74"/>
      <c r="W1068" s="74"/>
      <c r="X1068" s="74"/>
      <c r="Y1068" s="74"/>
      <c r="Z1068" s="74"/>
      <c r="AA1068" s="74"/>
      <c r="AB1068" s="74"/>
    </row>
    <row r="1069" spans="1:28" ht="40.5" customHeight="1">
      <c r="A1069" s="434"/>
      <c r="B1069" s="435"/>
      <c r="C1069" s="369"/>
      <c r="D1069" s="369"/>
      <c r="E1069" s="369"/>
      <c r="F1069" s="369"/>
      <c r="G1069" s="374"/>
      <c r="H1069" s="375"/>
      <c r="I1069" s="35"/>
      <c r="J1069" s="74"/>
      <c r="K1069" s="74"/>
      <c r="L1069" s="74"/>
      <c r="M1069" s="74"/>
      <c r="N1069" s="74"/>
      <c r="O1069" s="74"/>
      <c r="P1069" s="74"/>
      <c r="Q1069" s="74"/>
      <c r="R1069" s="74"/>
      <c r="S1069" s="74"/>
      <c r="T1069" s="74"/>
      <c r="U1069" s="74"/>
      <c r="V1069" s="74"/>
      <c r="W1069" s="74"/>
      <c r="X1069" s="74"/>
      <c r="Y1069" s="74"/>
      <c r="Z1069" s="74"/>
      <c r="AA1069" s="74"/>
      <c r="AB1069" s="74"/>
    </row>
    <row r="1070" spans="1:28" ht="40.5" customHeight="1">
      <c r="A1070" s="434"/>
      <c r="B1070" s="435"/>
      <c r="C1070" s="369"/>
      <c r="D1070" s="369"/>
      <c r="E1070" s="369"/>
      <c r="F1070" s="369"/>
      <c r="G1070" s="374"/>
      <c r="H1070" s="375"/>
      <c r="I1070" s="35"/>
      <c r="J1070" s="74"/>
      <c r="K1070" s="74"/>
      <c r="L1070" s="74"/>
      <c r="M1070" s="74"/>
      <c r="N1070" s="74"/>
      <c r="O1070" s="74"/>
      <c r="P1070" s="74"/>
      <c r="Q1070" s="74"/>
      <c r="R1070" s="74"/>
      <c r="S1070" s="74"/>
      <c r="T1070" s="74"/>
      <c r="U1070" s="74"/>
      <c r="V1070" s="74"/>
      <c r="W1070" s="74"/>
      <c r="X1070" s="74"/>
      <c r="Y1070" s="74"/>
      <c r="Z1070" s="74"/>
      <c r="AA1070" s="74"/>
      <c r="AB1070" s="74"/>
    </row>
    <row r="1071" spans="1:28" ht="40.5" customHeight="1">
      <c r="A1071" s="434"/>
      <c r="B1071" s="435"/>
      <c r="C1071" s="369"/>
      <c r="D1071" s="369"/>
      <c r="E1071" s="369"/>
      <c r="F1071" s="369"/>
      <c r="G1071" s="374"/>
      <c r="H1071" s="375"/>
      <c r="I1071" s="35"/>
      <c r="J1071" s="74"/>
      <c r="K1071" s="74"/>
      <c r="L1071" s="74"/>
      <c r="M1071" s="74"/>
      <c r="N1071" s="74"/>
      <c r="O1071" s="74"/>
      <c r="P1071" s="74"/>
      <c r="Q1071" s="74"/>
      <c r="R1071" s="74"/>
      <c r="S1071" s="74"/>
      <c r="T1071" s="74"/>
      <c r="U1071" s="74"/>
      <c r="V1071" s="74"/>
      <c r="W1071" s="74"/>
      <c r="X1071" s="74"/>
      <c r="Y1071" s="74"/>
      <c r="Z1071" s="74"/>
      <c r="AA1071" s="74"/>
      <c r="AB1071" s="74"/>
    </row>
    <row r="1072" spans="1:28" ht="40.5" customHeight="1">
      <c r="A1072" s="434"/>
      <c r="B1072" s="435"/>
      <c r="C1072" s="369"/>
      <c r="D1072" s="369"/>
      <c r="E1072" s="369"/>
      <c r="F1072" s="369"/>
      <c r="G1072" s="374"/>
      <c r="H1072" s="375"/>
      <c r="I1072" s="35"/>
      <c r="J1072" s="74"/>
      <c r="K1072" s="74"/>
      <c r="L1072" s="74"/>
      <c r="M1072" s="74"/>
      <c r="N1072" s="74"/>
      <c r="O1072" s="74"/>
      <c r="P1072" s="74"/>
      <c r="Q1072" s="74"/>
      <c r="R1072" s="74"/>
      <c r="S1072" s="74"/>
      <c r="T1072" s="74"/>
      <c r="U1072" s="74"/>
      <c r="V1072" s="74"/>
      <c r="W1072" s="74"/>
      <c r="X1072" s="74"/>
      <c r="Y1072" s="74"/>
      <c r="Z1072" s="74"/>
      <c r="AA1072" s="74"/>
      <c r="AB1072" s="74"/>
    </row>
    <row r="1073" spans="1:28" ht="40.5" customHeight="1">
      <c r="A1073" s="434"/>
      <c r="B1073" s="435"/>
      <c r="C1073" s="369"/>
      <c r="D1073" s="369"/>
      <c r="E1073" s="369"/>
      <c r="F1073" s="369"/>
      <c r="G1073" s="374"/>
      <c r="H1073" s="375"/>
      <c r="I1073" s="35"/>
      <c r="J1073" s="74"/>
      <c r="K1073" s="74"/>
      <c r="L1073" s="74"/>
      <c r="M1073" s="74"/>
      <c r="N1073" s="74"/>
      <c r="O1073" s="74"/>
      <c r="P1073" s="74"/>
      <c r="Q1073" s="74"/>
      <c r="R1073" s="74"/>
      <c r="S1073" s="74"/>
      <c r="T1073" s="74"/>
      <c r="U1073" s="74"/>
      <c r="V1073" s="74"/>
      <c r="W1073" s="74"/>
      <c r="X1073" s="74"/>
      <c r="Y1073" s="74"/>
      <c r="Z1073" s="74"/>
      <c r="AA1073" s="74"/>
      <c r="AB1073" s="74"/>
    </row>
    <row r="1074" spans="1:28" ht="40.5" customHeight="1">
      <c r="A1074" s="434"/>
      <c r="B1074" s="435"/>
      <c r="C1074" s="369"/>
      <c r="D1074" s="369"/>
      <c r="E1074" s="369"/>
      <c r="F1074" s="369"/>
      <c r="G1074" s="374"/>
      <c r="H1074" s="375"/>
      <c r="I1074" s="35"/>
      <c r="J1074" s="74"/>
      <c r="K1074" s="74"/>
      <c r="L1074" s="74"/>
      <c r="M1074" s="74"/>
      <c r="N1074" s="74"/>
      <c r="O1074" s="74"/>
      <c r="P1074" s="74"/>
      <c r="Q1074" s="74"/>
      <c r="R1074" s="74"/>
      <c r="S1074" s="74"/>
      <c r="T1074" s="74"/>
      <c r="U1074" s="74"/>
      <c r="V1074" s="74"/>
      <c r="W1074" s="74"/>
      <c r="X1074" s="74"/>
      <c r="Y1074" s="74"/>
      <c r="Z1074" s="74"/>
      <c r="AA1074" s="74"/>
      <c r="AB1074" s="74"/>
    </row>
    <row r="1075" spans="1:28" ht="40.5" customHeight="1">
      <c r="A1075" s="434"/>
      <c r="B1075" s="435"/>
      <c r="C1075" s="369"/>
      <c r="D1075" s="369"/>
      <c r="E1075" s="369"/>
      <c r="F1075" s="369"/>
      <c r="G1075" s="374"/>
      <c r="H1075" s="375"/>
      <c r="I1075" s="35"/>
      <c r="J1075" s="74"/>
      <c r="K1075" s="74"/>
      <c r="L1075" s="74"/>
      <c r="M1075" s="74"/>
      <c r="N1075" s="74"/>
      <c r="O1075" s="74"/>
      <c r="P1075" s="74"/>
      <c r="Q1075" s="74"/>
      <c r="R1075" s="74"/>
      <c r="S1075" s="74"/>
      <c r="T1075" s="74"/>
      <c r="U1075" s="74"/>
      <c r="V1075" s="74"/>
      <c r="W1075" s="74"/>
      <c r="X1075" s="74"/>
      <c r="Y1075" s="74"/>
      <c r="Z1075" s="74"/>
      <c r="AA1075" s="74"/>
      <c r="AB1075" s="74"/>
    </row>
    <row r="1076" spans="1:28" ht="40.5" customHeight="1">
      <c r="A1076" s="434"/>
      <c r="B1076" s="435"/>
      <c r="C1076" s="369"/>
      <c r="D1076" s="369"/>
      <c r="E1076" s="369"/>
      <c r="F1076" s="369"/>
      <c r="G1076" s="374"/>
      <c r="H1076" s="375"/>
      <c r="I1076" s="35"/>
      <c r="J1076" s="74"/>
      <c r="K1076" s="74"/>
      <c r="L1076" s="74"/>
      <c r="M1076" s="74"/>
      <c r="N1076" s="74"/>
      <c r="O1076" s="74"/>
      <c r="P1076" s="74"/>
      <c r="Q1076" s="74"/>
      <c r="R1076" s="74"/>
      <c r="S1076" s="74"/>
      <c r="T1076" s="74"/>
      <c r="U1076" s="74"/>
      <c r="V1076" s="74"/>
      <c r="W1076" s="74"/>
      <c r="X1076" s="74"/>
      <c r="Y1076" s="74"/>
      <c r="Z1076" s="74"/>
      <c r="AA1076" s="74"/>
      <c r="AB1076" s="74"/>
    </row>
    <row r="1077" spans="1:28" ht="40.5" customHeight="1">
      <c r="A1077" s="434"/>
      <c r="B1077" s="435"/>
      <c r="C1077" s="369"/>
      <c r="D1077" s="369"/>
      <c r="E1077" s="369"/>
      <c r="F1077" s="369"/>
      <c r="G1077" s="374"/>
      <c r="H1077" s="375"/>
      <c r="I1077" s="35"/>
      <c r="J1077" s="74"/>
      <c r="K1077" s="74"/>
      <c r="L1077" s="74"/>
      <c r="M1077" s="74"/>
      <c r="N1077" s="74"/>
      <c r="O1077" s="74"/>
      <c r="P1077" s="74"/>
      <c r="Q1077" s="74"/>
      <c r="R1077" s="74"/>
      <c r="S1077" s="74"/>
      <c r="T1077" s="74"/>
      <c r="U1077" s="74"/>
      <c r="V1077" s="74"/>
      <c r="W1077" s="74"/>
      <c r="X1077" s="74"/>
      <c r="Y1077" s="74"/>
      <c r="Z1077" s="74"/>
      <c r="AA1077" s="74"/>
      <c r="AB1077" s="74"/>
    </row>
    <row r="1078" spans="1:28" ht="40.5" customHeight="1">
      <c r="A1078" s="434"/>
      <c r="B1078" s="435"/>
      <c r="C1078" s="369"/>
      <c r="D1078" s="369"/>
      <c r="E1078" s="369"/>
      <c r="F1078" s="369"/>
      <c r="G1078" s="374"/>
      <c r="H1078" s="375"/>
      <c r="I1078" s="35"/>
      <c r="J1078" s="74"/>
      <c r="K1078" s="74"/>
      <c r="L1078" s="74"/>
      <c r="M1078" s="74"/>
      <c r="N1078" s="74"/>
      <c r="O1078" s="74"/>
      <c r="P1078" s="74"/>
      <c r="Q1078" s="74"/>
      <c r="R1078" s="74"/>
      <c r="S1078" s="74"/>
      <c r="T1078" s="74"/>
      <c r="U1078" s="74"/>
      <c r="V1078" s="74"/>
      <c r="W1078" s="74"/>
      <c r="X1078" s="74"/>
      <c r="Y1078" s="74"/>
      <c r="Z1078" s="74"/>
      <c r="AA1078" s="74"/>
      <c r="AB1078" s="74"/>
    </row>
    <row r="1079" spans="1:28" ht="40.5" customHeight="1">
      <c r="A1079" s="434"/>
      <c r="B1079" s="435"/>
      <c r="C1079" s="369"/>
      <c r="D1079" s="369"/>
      <c r="E1079" s="369"/>
      <c r="F1079" s="369"/>
      <c r="G1079" s="374"/>
      <c r="H1079" s="375"/>
      <c r="I1079" s="35"/>
      <c r="J1079" s="74"/>
      <c r="K1079" s="74"/>
      <c r="L1079" s="74"/>
      <c r="M1079" s="74"/>
      <c r="N1079" s="74"/>
      <c r="O1079" s="74"/>
      <c r="P1079" s="74"/>
      <c r="Q1079" s="74"/>
      <c r="R1079" s="74"/>
      <c r="S1079" s="74"/>
      <c r="T1079" s="74"/>
      <c r="U1079" s="74"/>
      <c r="V1079" s="74"/>
      <c r="W1079" s="74"/>
      <c r="X1079" s="74"/>
      <c r="Y1079" s="74"/>
      <c r="Z1079" s="74"/>
      <c r="AA1079" s="74"/>
      <c r="AB1079" s="74"/>
    </row>
    <row r="1080" spans="1:28" ht="40.5" customHeight="1">
      <c r="A1080" s="434"/>
      <c r="B1080" s="435"/>
      <c r="C1080" s="369"/>
      <c r="D1080" s="369"/>
      <c r="E1080" s="369"/>
      <c r="F1080" s="369"/>
      <c r="G1080" s="374"/>
      <c r="H1080" s="375"/>
      <c r="I1080" s="35"/>
      <c r="J1080" s="74"/>
      <c r="K1080" s="74"/>
      <c r="L1080" s="74"/>
      <c r="M1080" s="74"/>
      <c r="N1080" s="74"/>
      <c r="O1080" s="74"/>
      <c r="P1080" s="74"/>
      <c r="Q1080" s="74"/>
      <c r="R1080" s="74"/>
      <c r="S1080" s="74"/>
      <c r="T1080" s="74"/>
      <c r="U1080" s="74"/>
      <c r="V1080" s="74"/>
      <c r="W1080" s="74"/>
      <c r="X1080" s="74"/>
      <c r="Y1080" s="74"/>
      <c r="Z1080" s="74"/>
      <c r="AA1080" s="74"/>
      <c r="AB1080" s="74"/>
    </row>
    <row r="1081" spans="1:28" ht="40.5" customHeight="1">
      <c r="A1081" s="434"/>
      <c r="B1081" s="435"/>
      <c r="C1081" s="369"/>
      <c r="D1081" s="369"/>
      <c r="E1081" s="369"/>
      <c r="F1081" s="369"/>
      <c r="G1081" s="374"/>
      <c r="H1081" s="375"/>
      <c r="I1081" s="35"/>
      <c r="J1081" s="74"/>
      <c r="K1081" s="74"/>
      <c r="L1081" s="74"/>
      <c r="M1081" s="74"/>
      <c r="N1081" s="74"/>
      <c r="O1081" s="74"/>
      <c r="P1081" s="74"/>
      <c r="Q1081" s="74"/>
      <c r="R1081" s="74"/>
      <c r="S1081" s="74"/>
      <c r="T1081" s="74"/>
      <c r="U1081" s="74"/>
      <c r="V1081" s="74"/>
      <c r="W1081" s="74"/>
      <c r="X1081" s="74"/>
      <c r="Y1081" s="74"/>
      <c r="Z1081" s="74"/>
      <c r="AA1081" s="74"/>
      <c r="AB1081" s="74"/>
    </row>
    <row r="1082" spans="1:28" ht="40.5" customHeight="1">
      <c r="A1082" s="434"/>
      <c r="B1082" s="435"/>
      <c r="C1082" s="369"/>
      <c r="D1082" s="369"/>
      <c r="E1082" s="369"/>
      <c r="F1082" s="369"/>
      <c r="G1082" s="374"/>
      <c r="H1082" s="375"/>
      <c r="I1082" s="35"/>
      <c r="J1082" s="74"/>
      <c r="K1082" s="74"/>
      <c r="L1082" s="74"/>
      <c r="M1082" s="74"/>
      <c r="N1082" s="74"/>
      <c r="O1082" s="74"/>
      <c r="P1082" s="74"/>
      <c r="Q1082" s="74"/>
      <c r="R1082" s="74"/>
      <c r="S1082" s="74"/>
      <c r="T1082" s="74"/>
      <c r="U1082" s="74"/>
      <c r="V1082" s="74"/>
      <c r="W1082" s="74"/>
      <c r="X1082" s="74"/>
      <c r="Y1082" s="74"/>
      <c r="Z1082" s="74"/>
      <c r="AA1082" s="74"/>
      <c r="AB1082" s="74"/>
    </row>
    <row r="1083" spans="1:28" ht="40.5" customHeight="1">
      <c r="A1083" s="434"/>
      <c r="B1083" s="435"/>
      <c r="C1083" s="369"/>
      <c r="D1083" s="369"/>
      <c r="E1083" s="369"/>
      <c r="F1083" s="369"/>
      <c r="G1083" s="374"/>
      <c r="H1083" s="375"/>
      <c r="I1083" s="35"/>
      <c r="J1083" s="74"/>
      <c r="K1083" s="74"/>
      <c r="L1083" s="74"/>
      <c r="M1083" s="74"/>
      <c r="N1083" s="74"/>
      <c r="O1083" s="74"/>
      <c r="P1083" s="74"/>
      <c r="Q1083" s="74"/>
      <c r="R1083" s="74"/>
      <c r="S1083" s="74"/>
      <c r="T1083" s="74"/>
      <c r="U1083" s="74"/>
      <c r="V1083" s="74"/>
      <c r="W1083" s="74"/>
      <c r="X1083" s="74"/>
      <c r="Y1083" s="74"/>
      <c r="Z1083" s="74"/>
      <c r="AA1083" s="74"/>
      <c r="AB1083" s="74"/>
    </row>
    <row r="1084" spans="1:28" ht="40.5" customHeight="1">
      <c r="A1084" s="434"/>
      <c r="B1084" s="435"/>
      <c r="C1084" s="369"/>
      <c r="D1084" s="369"/>
      <c r="E1084" s="369"/>
      <c r="F1084" s="369"/>
      <c r="G1084" s="374"/>
      <c r="H1084" s="375"/>
      <c r="I1084" s="35"/>
      <c r="J1084" s="74"/>
      <c r="K1084" s="74"/>
      <c r="L1084" s="74"/>
      <c r="M1084" s="74"/>
      <c r="N1084" s="74"/>
      <c r="O1084" s="74"/>
      <c r="P1084" s="74"/>
      <c r="Q1084" s="74"/>
      <c r="R1084" s="74"/>
      <c r="S1084" s="74"/>
      <c r="T1084" s="74"/>
      <c r="U1084" s="74"/>
      <c r="V1084" s="74"/>
      <c r="W1084" s="74"/>
      <c r="X1084" s="74"/>
      <c r="Y1084" s="74"/>
      <c r="Z1084" s="74"/>
      <c r="AA1084" s="74"/>
      <c r="AB1084" s="74"/>
    </row>
    <row r="1085" spans="1:28" ht="40.5" customHeight="1">
      <c r="A1085" s="434"/>
      <c r="B1085" s="435"/>
      <c r="C1085" s="369"/>
      <c r="D1085" s="369"/>
      <c r="E1085" s="369"/>
      <c r="F1085" s="369"/>
      <c r="G1085" s="374"/>
      <c r="H1085" s="375"/>
      <c r="I1085" s="35"/>
      <c r="J1085" s="74"/>
      <c r="K1085" s="74"/>
      <c r="L1085" s="74"/>
      <c r="M1085" s="74"/>
      <c r="N1085" s="74"/>
      <c r="O1085" s="74"/>
      <c r="P1085" s="74"/>
      <c r="Q1085" s="74"/>
      <c r="R1085" s="74"/>
      <c r="S1085" s="74"/>
      <c r="T1085" s="74"/>
      <c r="U1085" s="74"/>
      <c r="V1085" s="74"/>
      <c r="W1085" s="74"/>
      <c r="X1085" s="74"/>
      <c r="Y1085" s="74"/>
      <c r="Z1085" s="74"/>
      <c r="AA1085" s="74"/>
      <c r="AB1085" s="74"/>
    </row>
    <row r="1086" spans="1:28" ht="40.5" customHeight="1">
      <c r="A1086" s="434"/>
      <c r="B1086" s="435"/>
      <c r="C1086" s="369"/>
      <c r="D1086" s="369"/>
      <c r="E1086" s="369"/>
      <c r="F1086" s="369"/>
      <c r="G1086" s="374"/>
      <c r="H1086" s="375"/>
      <c r="I1086" s="35"/>
      <c r="J1086" s="74"/>
      <c r="K1086" s="74"/>
      <c r="L1086" s="74"/>
      <c r="M1086" s="74"/>
      <c r="N1086" s="74"/>
      <c r="O1086" s="74"/>
      <c r="P1086" s="74"/>
      <c r="Q1086" s="74"/>
      <c r="R1086" s="74"/>
      <c r="S1086" s="74"/>
      <c r="T1086" s="74"/>
      <c r="U1086" s="74"/>
      <c r="V1086" s="74"/>
      <c r="W1086" s="74"/>
      <c r="X1086" s="74"/>
      <c r="Y1086" s="74"/>
      <c r="Z1086" s="74"/>
      <c r="AA1086" s="74"/>
      <c r="AB1086" s="74"/>
    </row>
    <row r="1087" spans="1:28" ht="40.5" customHeight="1">
      <c r="A1087" s="434"/>
      <c r="B1087" s="435"/>
      <c r="C1087" s="369"/>
      <c r="D1087" s="369"/>
      <c r="E1087" s="369"/>
      <c r="F1087" s="369"/>
      <c r="G1087" s="374"/>
      <c r="H1087" s="375"/>
      <c r="I1087" s="35"/>
      <c r="J1087" s="74"/>
      <c r="K1087" s="74"/>
      <c r="L1087" s="74"/>
      <c r="M1087" s="74"/>
      <c r="N1087" s="74"/>
      <c r="O1087" s="74"/>
      <c r="P1087" s="74"/>
      <c r="Q1087" s="74"/>
      <c r="R1087" s="74"/>
      <c r="S1087" s="74"/>
      <c r="T1087" s="74"/>
      <c r="U1087" s="74"/>
      <c r="V1087" s="74"/>
      <c r="W1087" s="74"/>
      <c r="X1087" s="74"/>
      <c r="Y1087" s="74"/>
      <c r="Z1087" s="74"/>
      <c r="AA1087" s="74"/>
      <c r="AB1087" s="74"/>
    </row>
    <row r="1088" spans="1:28" ht="40.5" customHeight="1">
      <c r="A1088" s="434"/>
      <c r="B1088" s="435"/>
      <c r="C1088" s="369"/>
      <c r="D1088" s="369"/>
      <c r="E1088" s="369"/>
      <c r="F1088" s="369"/>
      <c r="G1088" s="374"/>
      <c r="H1088" s="375"/>
      <c r="I1088" s="35"/>
      <c r="J1088" s="74"/>
      <c r="K1088" s="74"/>
      <c r="L1088" s="74"/>
      <c r="M1088" s="74"/>
      <c r="N1088" s="74"/>
      <c r="O1088" s="74"/>
      <c r="P1088" s="74"/>
      <c r="Q1088" s="74"/>
      <c r="R1088" s="74"/>
      <c r="S1088" s="74"/>
      <c r="T1088" s="74"/>
      <c r="U1088" s="74"/>
      <c r="V1088" s="74"/>
      <c r="W1088" s="74"/>
      <c r="X1088" s="74"/>
      <c r="Y1088" s="74"/>
      <c r="Z1088" s="74"/>
      <c r="AA1088" s="74"/>
      <c r="AB1088" s="74"/>
    </row>
    <row r="1089" spans="1:28" ht="40.5" customHeight="1">
      <c r="A1089" s="434"/>
      <c r="B1089" s="435"/>
      <c r="C1089" s="369"/>
      <c r="D1089" s="369"/>
      <c r="E1089" s="369"/>
      <c r="F1089" s="369"/>
      <c r="G1089" s="374"/>
      <c r="H1089" s="375"/>
      <c r="I1089" s="35"/>
      <c r="J1089" s="74"/>
      <c r="K1089" s="74"/>
      <c r="L1089" s="74"/>
      <c r="M1089" s="74"/>
      <c r="N1089" s="74"/>
      <c r="O1089" s="74"/>
      <c r="P1089" s="74"/>
      <c r="Q1089" s="74"/>
      <c r="R1089" s="74"/>
      <c r="S1089" s="74"/>
      <c r="T1089" s="74"/>
      <c r="U1089" s="74"/>
      <c r="V1089" s="74"/>
      <c r="W1089" s="74"/>
      <c r="X1089" s="74"/>
      <c r="Y1089" s="74"/>
      <c r="Z1089" s="74"/>
      <c r="AA1089" s="74"/>
      <c r="AB1089" s="74"/>
    </row>
    <row r="1090" spans="1:28" ht="40.5" customHeight="1">
      <c r="A1090" s="434"/>
      <c r="B1090" s="435"/>
      <c r="C1090" s="369"/>
      <c r="D1090" s="369"/>
      <c r="E1090" s="369"/>
      <c r="F1090" s="369"/>
      <c r="G1090" s="374"/>
      <c r="H1090" s="375"/>
      <c r="I1090" s="35"/>
      <c r="J1090" s="74"/>
      <c r="K1090" s="74"/>
      <c r="L1090" s="74"/>
      <c r="M1090" s="74"/>
      <c r="N1090" s="74"/>
      <c r="O1090" s="74"/>
      <c r="P1090" s="74"/>
      <c r="Q1090" s="74"/>
      <c r="R1090" s="74"/>
      <c r="S1090" s="74"/>
      <c r="T1090" s="74"/>
      <c r="U1090" s="74"/>
      <c r="V1090" s="74"/>
      <c r="W1090" s="74"/>
      <c r="X1090" s="74"/>
      <c r="Y1090" s="74"/>
      <c r="Z1090" s="74"/>
      <c r="AA1090" s="74"/>
      <c r="AB1090" s="74"/>
    </row>
    <row r="1091" spans="1:28" ht="40.5" customHeight="1">
      <c r="A1091" s="434"/>
      <c r="B1091" s="435"/>
      <c r="C1091" s="369"/>
      <c r="D1091" s="369"/>
      <c r="E1091" s="369"/>
      <c r="F1091" s="369"/>
      <c r="G1091" s="374"/>
      <c r="H1091" s="375"/>
      <c r="I1091" s="35"/>
      <c r="J1091" s="74"/>
      <c r="K1091" s="74"/>
      <c r="L1091" s="74"/>
      <c r="M1091" s="74"/>
      <c r="N1091" s="74"/>
      <c r="O1091" s="74"/>
      <c r="P1091" s="74"/>
      <c r="Q1091" s="74"/>
      <c r="R1091" s="74"/>
      <c r="S1091" s="74"/>
      <c r="T1091" s="74"/>
      <c r="U1091" s="74"/>
      <c r="V1091" s="74"/>
      <c r="W1091" s="74"/>
      <c r="X1091" s="74"/>
      <c r="Y1091" s="74"/>
      <c r="Z1091" s="74"/>
      <c r="AA1091" s="74"/>
      <c r="AB1091" s="74"/>
    </row>
    <row r="1092" spans="1:28" ht="40.5" customHeight="1">
      <c r="A1092" s="434"/>
      <c r="B1092" s="435"/>
      <c r="C1092" s="369"/>
      <c r="D1092" s="369"/>
      <c r="E1092" s="369"/>
      <c r="F1092" s="369"/>
      <c r="G1092" s="374"/>
      <c r="H1092" s="375"/>
      <c r="I1092" s="35"/>
      <c r="J1092" s="74"/>
      <c r="K1092" s="74"/>
      <c r="L1092" s="74"/>
      <c r="M1092" s="74"/>
      <c r="N1092" s="74"/>
      <c r="O1092" s="74"/>
      <c r="P1092" s="74"/>
      <c r="Q1092" s="74"/>
      <c r="R1092" s="74"/>
      <c r="S1092" s="74"/>
      <c r="T1092" s="74"/>
      <c r="U1092" s="74"/>
      <c r="V1092" s="74"/>
      <c r="W1092" s="74"/>
      <c r="X1092" s="74"/>
      <c r="Y1092" s="74"/>
      <c r="Z1092" s="74"/>
      <c r="AA1092" s="74"/>
      <c r="AB1092" s="74"/>
    </row>
    <row r="1093" spans="1:28" ht="40.5" customHeight="1">
      <c r="A1093" s="434"/>
      <c r="B1093" s="435"/>
      <c r="C1093" s="369"/>
      <c r="D1093" s="369"/>
      <c r="E1093" s="369"/>
      <c r="F1093" s="369"/>
      <c r="G1093" s="374"/>
      <c r="H1093" s="375"/>
      <c r="I1093" s="35"/>
      <c r="J1093" s="74"/>
      <c r="K1093" s="74"/>
      <c r="L1093" s="74"/>
      <c r="M1093" s="74"/>
      <c r="N1093" s="74"/>
      <c r="O1093" s="74"/>
      <c r="P1093" s="74"/>
      <c r="Q1093" s="74"/>
      <c r="R1093" s="74"/>
      <c r="S1093" s="74"/>
      <c r="T1093" s="74"/>
      <c r="U1093" s="74"/>
      <c r="V1093" s="74"/>
      <c r="W1093" s="74"/>
      <c r="X1093" s="74"/>
      <c r="Y1093" s="74"/>
      <c r="Z1093" s="74"/>
      <c r="AA1093" s="74"/>
      <c r="AB1093" s="74"/>
    </row>
    <row r="1094" spans="1:28" ht="40.5" customHeight="1">
      <c r="A1094" s="434"/>
      <c r="B1094" s="435"/>
      <c r="C1094" s="369"/>
      <c r="D1094" s="369"/>
      <c r="E1094" s="369"/>
      <c r="F1094" s="369"/>
      <c r="G1094" s="374"/>
      <c r="H1094" s="375"/>
      <c r="I1094" s="35"/>
      <c r="J1094" s="74"/>
      <c r="K1094" s="74"/>
      <c r="L1094" s="74"/>
      <c r="M1094" s="74"/>
      <c r="N1094" s="74"/>
      <c r="O1094" s="74"/>
      <c r="P1094" s="74"/>
      <c r="Q1094" s="74"/>
      <c r="R1094" s="74"/>
      <c r="S1094" s="74"/>
      <c r="T1094" s="74"/>
      <c r="U1094" s="74"/>
      <c r="V1094" s="74"/>
      <c r="W1094" s="74"/>
      <c r="X1094" s="74"/>
      <c r="Y1094" s="74"/>
      <c r="Z1094" s="74"/>
      <c r="AA1094" s="74"/>
      <c r="AB1094" s="74"/>
    </row>
    <row r="1095" spans="1:28" ht="40.5" customHeight="1">
      <c r="A1095" s="434"/>
      <c r="B1095" s="435"/>
      <c r="C1095" s="369"/>
      <c r="D1095" s="369"/>
      <c r="E1095" s="369"/>
      <c r="F1095" s="369"/>
      <c r="G1095" s="374"/>
      <c r="H1095" s="375"/>
      <c r="I1095" s="35"/>
      <c r="J1095" s="74"/>
      <c r="K1095" s="74"/>
      <c r="L1095" s="74"/>
      <c r="M1095" s="74"/>
      <c r="N1095" s="74"/>
      <c r="O1095" s="74"/>
      <c r="P1095" s="74"/>
      <c r="Q1095" s="74"/>
      <c r="R1095" s="74"/>
      <c r="S1095" s="74"/>
      <c r="T1095" s="74"/>
      <c r="U1095" s="74"/>
      <c r="V1095" s="74"/>
      <c r="W1095" s="74"/>
      <c r="X1095" s="74"/>
      <c r="Y1095" s="74"/>
      <c r="Z1095" s="74"/>
      <c r="AA1095" s="74"/>
      <c r="AB1095" s="74"/>
    </row>
    <row r="1096" spans="1:28" ht="40.5" customHeight="1">
      <c r="A1096" s="434"/>
      <c r="B1096" s="435"/>
      <c r="C1096" s="369"/>
      <c r="D1096" s="369"/>
      <c r="E1096" s="369"/>
      <c r="F1096" s="369"/>
      <c r="G1096" s="374"/>
      <c r="H1096" s="375"/>
      <c r="I1096" s="35"/>
      <c r="J1096" s="74"/>
      <c r="K1096" s="74"/>
      <c r="L1096" s="74"/>
      <c r="M1096" s="74"/>
      <c r="N1096" s="74"/>
      <c r="O1096" s="74"/>
      <c r="P1096" s="74"/>
      <c r="Q1096" s="74"/>
      <c r="R1096" s="74"/>
      <c r="S1096" s="74"/>
      <c r="T1096" s="74"/>
      <c r="U1096" s="74"/>
      <c r="V1096" s="74"/>
      <c r="W1096" s="74"/>
      <c r="X1096" s="74"/>
      <c r="Y1096" s="74"/>
      <c r="Z1096" s="74"/>
      <c r="AA1096" s="74"/>
      <c r="AB1096" s="74"/>
    </row>
    <row r="1097" spans="1:28" ht="40.5" customHeight="1">
      <c r="A1097" s="434"/>
      <c r="B1097" s="435"/>
      <c r="C1097" s="369"/>
      <c r="D1097" s="369"/>
      <c r="E1097" s="369"/>
      <c r="F1097" s="369"/>
      <c r="G1097" s="374"/>
      <c r="H1097" s="375"/>
      <c r="I1097" s="35"/>
      <c r="J1097" s="74"/>
      <c r="K1097" s="74"/>
      <c r="L1097" s="74"/>
      <c r="M1097" s="74"/>
      <c r="N1097" s="74"/>
      <c r="O1097" s="74"/>
      <c r="P1097" s="74"/>
      <c r="Q1097" s="74"/>
      <c r="R1097" s="74"/>
      <c r="S1097" s="74"/>
      <c r="T1097" s="74"/>
      <c r="U1097" s="74"/>
      <c r="V1097" s="74"/>
      <c r="W1097" s="74"/>
      <c r="X1097" s="74"/>
      <c r="Y1097" s="74"/>
      <c r="Z1097" s="74"/>
      <c r="AA1097" s="74"/>
      <c r="AB1097" s="74"/>
    </row>
    <row r="1098" spans="1:28" ht="40.5" customHeight="1">
      <c r="A1098" s="434"/>
      <c r="B1098" s="435"/>
      <c r="C1098" s="369"/>
      <c r="D1098" s="369"/>
      <c r="E1098" s="369"/>
      <c r="F1098" s="369"/>
      <c r="G1098" s="374"/>
      <c r="H1098" s="375"/>
      <c r="I1098" s="35"/>
      <c r="J1098" s="74"/>
      <c r="K1098" s="74"/>
      <c r="L1098" s="74"/>
      <c r="M1098" s="74"/>
      <c r="N1098" s="74"/>
      <c r="O1098" s="74"/>
      <c r="P1098" s="74"/>
      <c r="Q1098" s="74"/>
      <c r="R1098" s="74"/>
      <c r="S1098" s="74"/>
      <c r="T1098" s="74"/>
      <c r="U1098" s="74"/>
      <c r="V1098" s="74"/>
      <c r="W1098" s="74"/>
      <c r="X1098" s="74"/>
      <c r="Y1098" s="74"/>
      <c r="Z1098" s="74"/>
      <c r="AA1098" s="74"/>
      <c r="AB1098" s="74"/>
    </row>
    <row r="1099" spans="1:28" ht="40.5" customHeight="1">
      <c r="A1099" s="434"/>
      <c r="B1099" s="435"/>
      <c r="C1099" s="369"/>
      <c r="D1099" s="369"/>
      <c r="E1099" s="369"/>
      <c r="F1099" s="369"/>
      <c r="G1099" s="374"/>
      <c r="H1099" s="375"/>
      <c r="I1099" s="35"/>
      <c r="J1099" s="74"/>
      <c r="K1099" s="74"/>
      <c r="L1099" s="74"/>
      <c r="M1099" s="74"/>
      <c r="N1099" s="74"/>
      <c r="O1099" s="74"/>
      <c r="P1099" s="74"/>
      <c r="Q1099" s="74"/>
      <c r="R1099" s="74"/>
      <c r="S1099" s="74"/>
      <c r="T1099" s="74"/>
      <c r="U1099" s="74"/>
      <c r="V1099" s="74"/>
      <c r="W1099" s="74"/>
      <c r="X1099" s="74"/>
      <c r="Y1099" s="74"/>
      <c r="Z1099" s="74"/>
      <c r="AA1099" s="74"/>
      <c r="AB1099" s="74"/>
    </row>
    <row r="1100" spans="1:28" ht="40.5" customHeight="1">
      <c r="A1100" s="434"/>
      <c r="B1100" s="435"/>
      <c r="C1100" s="369"/>
      <c r="D1100" s="369"/>
      <c r="E1100" s="369"/>
      <c r="F1100" s="369"/>
      <c r="G1100" s="374"/>
      <c r="H1100" s="375"/>
      <c r="I1100" s="35"/>
      <c r="J1100" s="74"/>
      <c r="K1100" s="74"/>
      <c r="L1100" s="74"/>
      <c r="M1100" s="74"/>
      <c r="N1100" s="74"/>
      <c r="O1100" s="74"/>
      <c r="P1100" s="74"/>
      <c r="Q1100" s="74"/>
      <c r="R1100" s="74"/>
      <c r="S1100" s="74"/>
      <c r="T1100" s="74"/>
      <c r="U1100" s="74"/>
      <c r="V1100" s="74"/>
      <c r="W1100" s="74"/>
      <c r="X1100" s="74"/>
      <c r="Y1100" s="74"/>
      <c r="Z1100" s="74"/>
      <c r="AA1100" s="74"/>
      <c r="AB1100" s="74"/>
    </row>
    <row r="1101" spans="1:28" ht="40.5" customHeight="1">
      <c r="A1101" s="434"/>
      <c r="B1101" s="435"/>
      <c r="C1101" s="369"/>
      <c r="D1101" s="369"/>
      <c r="E1101" s="369"/>
      <c r="F1101" s="369"/>
      <c r="G1101" s="374"/>
      <c r="H1101" s="375"/>
      <c r="I1101" s="35"/>
      <c r="J1101" s="74"/>
      <c r="K1101" s="74"/>
      <c r="L1101" s="74"/>
      <c r="M1101" s="74"/>
      <c r="N1101" s="74"/>
      <c r="O1101" s="74"/>
      <c r="P1101" s="74"/>
      <c r="Q1101" s="74"/>
      <c r="R1101" s="74"/>
      <c r="S1101" s="74"/>
      <c r="T1101" s="74"/>
      <c r="U1101" s="74"/>
      <c r="V1101" s="74"/>
      <c r="W1101" s="74"/>
      <c r="X1101" s="74"/>
      <c r="Y1101" s="74"/>
      <c r="Z1101" s="74"/>
      <c r="AA1101" s="74"/>
      <c r="AB1101" s="74"/>
    </row>
    <row r="1102" spans="1:28" ht="40.5" customHeight="1">
      <c r="A1102" s="434"/>
      <c r="B1102" s="435"/>
      <c r="C1102" s="369"/>
      <c r="D1102" s="369"/>
      <c r="E1102" s="369"/>
      <c r="F1102" s="369"/>
      <c r="G1102" s="374"/>
      <c r="H1102" s="375"/>
      <c r="I1102" s="35"/>
      <c r="J1102" s="74"/>
      <c r="K1102" s="74"/>
      <c r="L1102" s="74"/>
      <c r="M1102" s="74"/>
      <c r="N1102" s="74"/>
      <c r="O1102" s="74"/>
      <c r="P1102" s="74"/>
      <c r="Q1102" s="74"/>
      <c r="R1102" s="74"/>
      <c r="S1102" s="74"/>
      <c r="T1102" s="74"/>
      <c r="U1102" s="74"/>
      <c r="V1102" s="74"/>
      <c r="W1102" s="74"/>
      <c r="X1102" s="74"/>
      <c r="Y1102" s="74"/>
      <c r="Z1102" s="74"/>
      <c r="AA1102" s="74"/>
      <c r="AB1102" s="74"/>
    </row>
    <row r="1103" spans="1:28" ht="40.5" customHeight="1">
      <c r="A1103" s="434"/>
      <c r="B1103" s="435"/>
      <c r="C1103" s="369"/>
      <c r="D1103" s="369"/>
      <c r="E1103" s="369"/>
      <c r="F1103" s="369"/>
      <c r="G1103" s="374"/>
      <c r="H1103" s="375"/>
      <c r="I1103" s="35"/>
      <c r="J1103" s="74"/>
      <c r="K1103" s="74"/>
      <c r="L1103" s="74"/>
      <c r="M1103" s="74"/>
      <c r="N1103" s="74"/>
      <c r="O1103" s="74"/>
      <c r="P1103" s="74"/>
      <c r="Q1103" s="74"/>
      <c r="R1103" s="74"/>
      <c r="S1103" s="74"/>
      <c r="T1103" s="74"/>
      <c r="U1103" s="74"/>
      <c r="V1103" s="74"/>
      <c r="W1103" s="74"/>
      <c r="X1103" s="74"/>
      <c r="Y1103" s="74"/>
      <c r="Z1103" s="74"/>
      <c r="AA1103" s="74"/>
      <c r="AB1103" s="74"/>
    </row>
    <row r="1104" spans="1:28" ht="40.5" customHeight="1">
      <c r="A1104" s="434"/>
      <c r="B1104" s="435"/>
      <c r="C1104" s="369"/>
      <c r="D1104" s="369"/>
      <c r="E1104" s="369"/>
      <c r="F1104" s="369"/>
      <c r="G1104" s="374"/>
      <c r="H1104" s="375"/>
      <c r="I1104" s="35"/>
      <c r="J1104" s="74"/>
      <c r="K1104" s="74"/>
      <c r="L1104" s="74"/>
      <c r="M1104" s="74"/>
      <c r="N1104" s="74"/>
      <c r="O1104" s="74"/>
      <c r="P1104" s="74"/>
      <c r="Q1104" s="74"/>
      <c r="R1104" s="74"/>
      <c r="S1104" s="74"/>
      <c r="T1104" s="74"/>
      <c r="U1104" s="74"/>
      <c r="V1104" s="74"/>
      <c r="W1104" s="74"/>
      <c r="X1104" s="74"/>
      <c r="Y1104" s="74"/>
      <c r="Z1104" s="74"/>
      <c r="AA1104" s="74"/>
      <c r="AB1104" s="74"/>
    </row>
    <row r="1105" spans="1:28" ht="40.5" customHeight="1">
      <c r="A1105" s="434"/>
      <c r="B1105" s="435"/>
      <c r="C1105" s="369"/>
      <c r="D1105" s="369"/>
      <c r="E1105" s="369"/>
      <c r="F1105" s="369"/>
      <c r="G1105" s="374"/>
      <c r="H1105" s="375"/>
      <c r="I1105" s="35"/>
      <c r="J1105" s="74"/>
      <c r="K1105" s="74"/>
      <c r="L1105" s="74"/>
      <c r="M1105" s="74"/>
      <c r="N1105" s="74"/>
      <c r="O1105" s="74"/>
      <c r="P1105" s="74"/>
      <c r="Q1105" s="74"/>
      <c r="R1105" s="74"/>
      <c r="S1105" s="74"/>
      <c r="T1105" s="74"/>
      <c r="U1105" s="74"/>
      <c r="V1105" s="74"/>
      <c r="W1105" s="74"/>
      <c r="X1105" s="74"/>
      <c r="Y1105" s="74"/>
      <c r="Z1105" s="74"/>
      <c r="AA1105" s="74"/>
      <c r="AB1105" s="74"/>
    </row>
    <row r="1106" spans="1:28" ht="40.5" customHeight="1">
      <c r="A1106" s="434"/>
      <c r="B1106" s="435"/>
      <c r="C1106" s="369"/>
      <c r="D1106" s="369"/>
      <c r="E1106" s="369"/>
      <c r="F1106" s="369"/>
      <c r="G1106" s="374"/>
      <c r="H1106" s="375"/>
      <c r="I1106" s="35"/>
      <c r="J1106" s="74"/>
      <c r="K1106" s="74"/>
      <c r="L1106" s="74"/>
      <c r="M1106" s="74"/>
      <c r="N1106" s="74"/>
      <c r="O1106" s="74"/>
      <c r="P1106" s="74"/>
      <c r="Q1106" s="74"/>
      <c r="R1106" s="74"/>
      <c r="S1106" s="74"/>
      <c r="T1106" s="74"/>
      <c r="U1106" s="74"/>
      <c r="V1106" s="74"/>
      <c r="W1106" s="74"/>
      <c r="X1106" s="74"/>
      <c r="Y1106" s="74"/>
      <c r="Z1106" s="74"/>
      <c r="AA1106" s="74"/>
      <c r="AB1106" s="74"/>
    </row>
    <row r="1107" spans="1:28" ht="40.5" customHeight="1">
      <c r="A1107" s="434"/>
      <c r="B1107" s="435"/>
      <c r="C1107" s="369"/>
      <c r="D1107" s="369"/>
      <c r="E1107" s="369"/>
      <c r="F1107" s="369"/>
      <c r="G1107" s="374"/>
      <c r="H1107" s="375"/>
      <c r="I1107" s="35"/>
      <c r="J1107" s="74"/>
      <c r="K1107" s="74"/>
      <c r="L1107" s="74"/>
      <c r="M1107" s="74"/>
      <c r="N1107" s="74"/>
      <c r="O1107" s="74"/>
      <c r="P1107" s="74"/>
      <c r="Q1107" s="74"/>
      <c r="R1107" s="74"/>
      <c r="S1107" s="74"/>
      <c r="T1107" s="74"/>
      <c r="U1107" s="74"/>
      <c r="V1107" s="74"/>
      <c r="W1107" s="74"/>
      <c r="X1107" s="74"/>
      <c r="Y1107" s="74"/>
      <c r="Z1107" s="74"/>
      <c r="AA1107" s="74"/>
      <c r="AB1107" s="74"/>
    </row>
    <row r="1108" spans="1:28" ht="40.5" customHeight="1">
      <c r="A1108" s="434"/>
      <c r="B1108" s="435"/>
      <c r="C1108" s="369"/>
      <c r="D1108" s="369"/>
      <c r="E1108" s="369"/>
      <c r="F1108" s="369"/>
      <c r="G1108" s="374"/>
      <c r="H1108" s="375"/>
      <c r="I1108" s="35"/>
      <c r="J1108" s="74"/>
      <c r="K1108" s="74"/>
      <c r="L1108" s="74"/>
      <c r="M1108" s="74"/>
      <c r="N1108" s="74"/>
      <c r="O1108" s="74"/>
      <c r="P1108" s="74"/>
      <c r="Q1108" s="74"/>
      <c r="R1108" s="74"/>
      <c r="S1108" s="74"/>
      <c r="T1108" s="74"/>
      <c r="U1108" s="74"/>
      <c r="V1108" s="74"/>
      <c r="W1108" s="74"/>
      <c r="X1108" s="74"/>
      <c r="Y1108" s="74"/>
      <c r="Z1108" s="74"/>
      <c r="AA1108" s="74"/>
      <c r="AB1108" s="74"/>
    </row>
    <row r="1109" spans="1:28" ht="40.5" customHeight="1">
      <c r="A1109" s="434"/>
      <c r="B1109" s="435"/>
      <c r="C1109" s="369"/>
      <c r="D1109" s="369"/>
      <c r="E1109" s="369"/>
      <c r="F1109" s="369"/>
      <c r="G1109" s="374"/>
      <c r="H1109" s="375"/>
      <c r="I1109" s="35"/>
      <c r="J1109" s="74"/>
      <c r="K1109" s="74"/>
      <c r="L1109" s="74"/>
      <c r="M1109" s="74"/>
      <c r="N1109" s="74"/>
      <c r="O1109" s="74"/>
      <c r="P1109" s="74"/>
      <c r="Q1109" s="74"/>
      <c r="R1109" s="74"/>
      <c r="S1109" s="74"/>
      <c r="T1109" s="74"/>
      <c r="U1109" s="74"/>
      <c r="V1109" s="74"/>
      <c r="W1109" s="74"/>
      <c r="X1109" s="74"/>
      <c r="Y1109" s="74"/>
      <c r="Z1109" s="74"/>
      <c r="AA1109" s="74"/>
      <c r="AB1109" s="74"/>
    </row>
    <row r="1110" spans="1:28" ht="40.5" customHeight="1">
      <c r="A1110" s="434"/>
      <c r="B1110" s="435"/>
      <c r="C1110" s="369"/>
      <c r="D1110" s="369"/>
      <c r="E1110" s="369"/>
      <c r="F1110" s="369"/>
      <c r="G1110" s="374"/>
      <c r="H1110" s="375"/>
      <c r="I1110" s="35"/>
      <c r="J1110" s="74"/>
      <c r="K1110" s="74"/>
      <c r="L1110" s="74"/>
      <c r="M1110" s="74"/>
      <c r="N1110" s="74"/>
      <c r="O1110" s="74"/>
      <c r="P1110" s="74"/>
      <c r="Q1110" s="74"/>
      <c r="R1110" s="74"/>
      <c r="S1110" s="74"/>
      <c r="T1110" s="74"/>
      <c r="U1110" s="74"/>
      <c r="V1110" s="74"/>
      <c r="W1110" s="74"/>
      <c r="X1110" s="74"/>
      <c r="Y1110" s="74"/>
      <c r="Z1110" s="74"/>
      <c r="AA1110" s="74"/>
      <c r="AB1110" s="74"/>
    </row>
    <row r="1111" spans="1:28" ht="40.5" customHeight="1">
      <c r="A1111" s="434"/>
      <c r="B1111" s="435"/>
      <c r="C1111" s="369"/>
      <c r="D1111" s="369"/>
      <c r="E1111" s="369"/>
      <c r="F1111" s="369"/>
      <c r="G1111" s="374"/>
      <c r="H1111" s="375"/>
      <c r="I1111" s="35"/>
      <c r="J1111" s="74"/>
      <c r="K1111" s="74"/>
      <c r="L1111" s="74"/>
      <c r="M1111" s="74"/>
      <c r="N1111" s="74"/>
      <c r="O1111" s="74"/>
      <c r="P1111" s="74"/>
      <c r="Q1111" s="74"/>
      <c r="R1111" s="74"/>
      <c r="S1111" s="74"/>
      <c r="T1111" s="74"/>
      <c r="U1111" s="74"/>
      <c r="V1111" s="74"/>
      <c r="W1111" s="74"/>
      <c r="X1111" s="74"/>
      <c r="Y1111" s="74"/>
      <c r="Z1111" s="74"/>
      <c r="AA1111" s="74"/>
      <c r="AB1111" s="74"/>
    </row>
    <row r="1112" spans="1:28" ht="40.5" customHeight="1">
      <c r="A1112" s="434"/>
      <c r="B1112" s="435"/>
      <c r="C1112" s="369"/>
      <c r="D1112" s="369"/>
      <c r="E1112" s="369"/>
      <c r="F1112" s="369"/>
      <c r="G1112" s="374"/>
      <c r="H1112" s="375"/>
      <c r="I1112" s="35"/>
      <c r="J1112" s="74"/>
      <c r="K1112" s="74"/>
      <c r="L1112" s="74"/>
      <c r="M1112" s="74"/>
      <c r="N1112" s="74"/>
      <c r="O1112" s="74"/>
      <c r="P1112" s="74"/>
      <c r="Q1112" s="74"/>
      <c r="R1112" s="74"/>
      <c r="S1112" s="74"/>
      <c r="T1112" s="74"/>
      <c r="U1112" s="74"/>
      <c r="V1112" s="74"/>
      <c r="W1112" s="74"/>
      <c r="X1112" s="74"/>
      <c r="Y1112" s="74"/>
      <c r="Z1112" s="74"/>
      <c r="AA1112" s="74"/>
      <c r="AB1112" s="74"/>
    </row>
    <row r="1113" spans="1:28" ht="40.5" customHeight="1">
      <c r="A1113" s="434"/>
      <c r="B1113" s="435"/>
      <c r="C1113" s="369"/>
      <c r="D1113" s="369"/>
      <c r="E1113" s="369"/>
      <c r="F1113" s="369"/>
      <c r="G1113" s="374"/>
      <c r="H1113" s="375"/>
      <c r="I1113" s="35"/>
      <c r="J1113" s="74"/>
      <c r="K1113" s="74"/>
      <c r="L1113" s="74"/>
      <c r="M1113" s="74"/>
      <c r="N1113" s="74"/>
      <c r="O1113" s="74"/>
      <c r="P1113" s="74"/>
      <c r="Q1113" s="74"/>
      <c r="R1113" s="74"/>
      <c r="S1113" s="74"/>
      <c r="T1113" s="74"/>
      <c r="U1113" s="74"/>
      <c r="V1113" s="74"/>
      <c r="W1113" s="74"/>
      <c r="X1113" s="74"/>
      <c r="Y1113" s="74"/>
      <c r="Z1113" s="74"/>
      <c r="AA1113" s="74"/>
      <c r="AB1113" s="74"/>
    </row>
    <row r="1114" spans="1:28" ht="40.5" customHeight="1">
      <c r="A1114" s="434"/>
      <c r="B1114" s="435"/>
      <c r="C1114" s="369"/>
      <c r="D1114" s="369"/>
      <c r="E1114" s="369"/>
      <c r="F1114" s="369"/>
      <c r="G1114" s="374"/>
      <c r="H1114" s="375"/>
      <c r="I1114" s="35"/>
      <c r="J1114" s="74"/>
      <c r="K1114" s="74"/>
      <c r="L1114" s="74"/>
      <c r="M1114" s="74"/>
      <c r="N1114" s="74"/>
      <c r="O1114" s="74"/>
      <c r="P1114" s="74"/>
      <c r="Q1114" s="74"/>
      <c r="R1114" s="74"/>
      <c r="S1114" s="74"/>
      <c r="T1114" s="74"/>
      <c r="U1114" s="74"/>
      <c r="V1114" s="74"/>
      <c r="W1114" s="74"/>
      <c r="X1114" s="74"/>
      <c r="Y1114" s="74"/>
      <c r="Z1114" s="74"/>
      <c r="AA1114" s="74"/>
      <c r="AB1114" s="74"/>
    </row>
    <row r="1115" spans="1:28" ht="40.5" customHeight="1">
      <c r="A1115" s="434"/>
      <c r="B1115" s="435"/>
      <c r="C1115" s="369"/>
      <c r="D1115" s="369"/>
      <c r="E1115" s="369"/>
      <c r="F1115" s="369"/>
      <c r="G1115" s="374"/>
      <c r="H1115" s="375"/>
      <c r="I1115" s="35"/>
      <c r="J1115" s="74"/>
      <c r="K1115" s="74"/>
      <c r="L1115" s="74"/>
      <c r="M1115" s="74"/>
      <c r="N1115" s="74"/>
      <c r="O1115" s="74"/>
      <c r="P1115" s="74"/>
      <c r="Q1115" s="74"/>
      <c r="R1115" s="74"/>
      <c r="S1115" s="74"/>
      <c r="T1115" s="74"/>
      <c r="U1115" s="74"/>
      <c r="V1115" s="74"/>
      <c r="W1115" s="74"/>
      <c r="X1115" s="74"/>
      <c r="Y1115" s="74"/>
      <c r="Z1115" s="74"/>
      <c r="AA1115" s="74"/>
      <c r="AB1115" s="74"/>
    </row>
  </sheetData>
  <autoFilter ref="A5:AB169" xr:uid="{00000000-0009-0000-0000-000011000000}"/>
  <mergeCells count="3">
    <mergeCell ref="A1:H1"/>
    <mergeCell ref="A2:F2"/>
    <mergeCell ref="A4:F4"/>
  </mergeCells>
  <conditionalFormatting sqref="A166:F166 A331:F331">
    <cfRule type="notContainsBlanks" dxfId="1" priority="1">
      <formula>LEN(TRIM(A166))&gt;0</formula>
    </cfRule>
  </conditionalFormatting>
  <conditionalFormatting sqref="G217:AB217">
    <cfRule type="notContainsBlanks" dxfId="0" priority="2">
      <formula>LEN(TRIM(G217))&gt;0</formula>
    </cfRule>
  </conditionalFormatting>
  <hyperlinks>
    <hyperlink ref="F3" location="Menu por Procesos!A1" display="MENU" xr:uid="{00000000-0004-0000-1100-000000000000}"/>
    <hyperlink ref="A78" r:id="rId1" xr:uid="{00000000-0004-0000-1100-000001000000}"/>
    <hyperlink ref="A79" r:id="rId2" xr:uid="{00000000-0004-0000-1100-000002000000}"/>
    <hyperlink ref="A90" r:id="rId3" xr:uid="{00000000-0004-0000-1100-000003000000}"/>
    <hyperlink ref="A93" r:id="rId4" xr:uid="{00000000-0004-0000-1100-000004000000}"/>
    <hyperlink ref="A113" r:id="rId5" xr:uid="{00000000-0004-0000-1100-000005000000}"/>
    <hyperlink ref="A116" r:id="rId6" xr:uid="{00000000-0004-0000-1100-000006000000}"/>
    <hyperlink ref="A117" r:id="rId7" xr:uid="{00000000-0004-0000-1100-000007000000}"/>
    <hyperlink ref="A118" r:id="rId8" location=":~:text=Decreto%20090%20de%202020%20Alcald%C3%ADa,59%20horas%2C%20exceptuando%3A%201." xr:uid="{00000000-0004-0000-1100-000008000000}"/>
    <hyperlink ref="A119" r:id="rId9" xr:uid="{00000000-0004-0000-1100-000009000000}"/>
    <hyperlink ref="A120" r:id="rId10" xr:uid="{00000000-0004-0000-1100-00000A000000}"/>
    <hyperlink ref="A121" r:id="rId11" xr:uid="{00000000-0004-0000-1100-00000B000000}"/>
    <hyperlink ref="A122" r:id="rId12" xr:uid="{00000000-0004-0000-1100-00000C000000}"/>
    <hyperlink ref="A123" r:id="rId13" xr:uid="{00000000-0004-0000-1100-00000D000000}"/>
    <hyperlink ref="A124" r:id="rId14" xr:uid="{00000000-0004-0000-1100-00000E000000}"/>
    <hyperlink ref="A125" r:id="rId15" xr:uid="{00000000-0004-0000-1100-00000F000000}"/>
    <hyperlink ref="A126" r:id="rId16" location=":~:text=Conoce%20y%20descarga%20el%20decreto%20128%20del%2024%20de%20mayo,por%20COVID%2D19%20en%20Bogot%C3%A1." xr:uid="{00000000-0004-0000-1100-000010000000}"/>
    <hyperlink ref="A127" r:id="rId17" xr:uid="{00000000-0004-0000-1100-000011000000}"/>
    <hyperlink ref="A128" r:id="rId18" xr:uid="{00000000-0004-0000-1100-000012000000}"/>
    <hyperlink ref="A129" r:id="rId19" xr:uid="{00000000-0004-0000-1100-000013000000}"/>
    <hyperlink ref="A130" r:id="rId20" xr:uid="{00000000-0004-0000-1100-000014000000}"/>
    <hyperlink ref="A131" r:id="rId21" xr:uid="{00000000-0004-0000-1100-000015000000}"/>
    <hyperlink ref="A132" r:id="rId22" xr:uid="{00000000-0004-0000-1100-000016000000}"/>
    <hyperlink ref="A133" r:id="rId23" xr:uid="{00000000-0004-0000-1100-000017000000}"/>
    <hyperlink ref="A134" r:id="rId24" location=":~:text=ESTADO%20DE%20EMERGENCIA%20ECON%C3%93MICA%2C%20SOCIAL%20Y%20ECOL%C3%93GICA&amp;text=Se%C3%B1ala%20acciones%20para%20implementar%20en,de%20Salud%20y%20Protecci%C3%B3n%20Social." xr:uid="{00000000-0004-0000-1100-000018000000}"/>
    <hyperlink ref="A135" r:id="rId25" xr:uid="{00000000-0004-0000-1100-000019000000}"/>
    <hyperlink ref="A136" r:id="rId26" xr:uid="{00000000-0004-0000-1100-00001A000000}"/>
    <hyperlink ref="A137" r:id="rId27" xr:uid="{00000000-0004-0000-1100-00001B000000}"/>
    <hyperlink ref="A138" r:id="rId28" location=":~:text=Aislamiento%20preventivo%20obligatorio%20en%20Bogot%C3%A1,de%20la%20emergencia%20COVID%2D19." xr:uid="{00000000-0004-0000-1100-00001C000000}"/>
    <hyperlink ref="A139" r:id="rId29" xr:uid="{00000000-0004-0000-1100-00001D000000}"/>
    <hyperlink ref="A140" r:id="rId30" xr:uid="{00000000-0004-0000-1100-00001E000000}"/>
    <hyperlink ref="A141" r:id="rId31" xr:uid="{00000000-0004-0000-1100-00001F000000}"/>
    <hyperlink ref="A142" r:id="rId32" xr:uid="{00000000-0004-0000-1100-000020000000}"/>
    <hyperlink ref="A143" r:id="rId33" xr:uid="{00000000-0004-0000-1100-000021000000}"/>
    <hyperlink ref="A144" r:id="rId34" xr:uid="{00000000-0004-0000-1100-000022000000}"/>
    <hyperlink ref="A145" r:id="rId35" xr:uid="{00000000-0004-0000-1100-000023000000}"/>
    <hyperlink ref="A146" r:id="rId36" xr:uid="{00000000-0004-0000-1100-000024000000}"/>
    <hyperlink ref="A147" r:id="rId37" location=":~:text=Decreto%20263%20de%202020%20Alcald%C3%ADa,causa%20del%20Coronavirus%20COVID%2D19." xr:uid="{00000000-0004-0000-1100-000025000000}"/>
    <hyperlink ref="A148" r:id="rId38" xr:uid="{00000000-0004-0000-1100-000026000000}"/>
    <hyperlink ref="A149" r:id="rId39" xr:uid="{00000000-0004-0000-1100-000027000000}"/>
    <hyperlink ref="A150" r:id="rId40" xr:uid="{00000000-0004-0000-1100-000028000000}"/>
    <hyperlink ref="A151" r:id="rId41" xr:uid="{00000000-0004-0000-1100-000029000000}"/>
    <hyperlink ref="A152" r:id="rId42" location=":~:text=La%20Circular%20021%20de%202020%20expresa%3A,los%20requisitos%20establecidos%20para%20este%C2%BB." xr:uid="{00000000-0004-0000-1100-00002A000000}"/>
    <hyperlink ref="A153" r:id="rId43" xr:uid="{00000000-0004-0000-1100-00002B000000}"/>
    <hyperlink ref="A154" r:id="rId44" xr:uid="{00000000-0004-0000-1100-00002C000000}"/>
    <hyperlink ref="A155" r:id="rId45" xr:uid="{00000000-0004-0000-1100-00002D000000}"/>
    <hyperlink ref="A156" r:id="rId46" location=":~:text=Descripci%C3%B3n%3A,LP%2D001%2D2021." xr:uid="{00000000-0004-0000-1100-00002E000000}"/>
    <hyperlink ref="A157" r:id="rId47" xr:uid="{00000000-0004-0000-1100-00002F000000}"/>
    <hyperlink ref="A158" r:id="rId48" location=":~:text=La%20Circular%20047%20de%202021,COVID%2D19%20y%20otras%20medidas." xr:uid="{00000000-0004-0000-1100-000030000000}"/>
    <hyperlink ref="A159" r:id="rId49" location=":~:text=052%20DE%202021,-17%20Noviembre%2C%202021&amp;text=Mediante%20la%20cual%20se%20informan,Torneo%20BetPlay%20DIMAYOR%20II%2D2021." xr:uid="{00000000-0004-0000-1100-000031000000}"/>
    <hyperlink ref="A160" r:id="rId50" xr:uid="{00000000-0004-0000-1100-000032000000}"/>
    <hyperlink ref="A161" r:id="rId51" xr:uid="{00000000-0004-0000-1100-000033000000}"/>
    <hyperlink ref="A162" r:id="rId52" xr:uid="{00000000-0004-0000-1100-000034000000}"/>
    <hyperlink ref="A163" r:id="rId53" xr:uid="{00000000-0004-0000-1100-000035000000}"/>
    <hyperlink ref="A164" r:id="rId54" xr:uid="{00000000-0004-0000-1100-000036000000}"/>
    <hyperlink ref="A165" r:id="rId55" location=":~:text=Decreto%20159%20de%202021%20Alcald%C3%ADa,sobre%20la%20renta%20y%20complementarios." xr:uid="{00000000-0004-0000-1100-000037000000}"/>
    <hyperlink ref="A166" r:id="rId56" xr:uid="{00000000-0004-0000-1100-000038000000}"/>
    <hyperlink ref="A167" r:id="rId57" xr:uid="{00000000-0004-0000-1100-000039000000}"/>
    <hyperlink ref="A168" r:id="rId58" xr:uid="{00000000-0004-0000-1100-00003A000000}"/>
    <hyperlink ref="A169" r:id="rId59" xr:uid="{00000000-0004-0000-1100-00003B000000}"/>
    <hyperlink ref="A170" r:id="rId60" location=":~:text=LEY%202121%20DE%202021&amp;text=(agosto%2003)-,por%20medio%20de%20la%20cual%20se%20crea%20el%20r%C3%A9gimen%20de,y%20se%20dictan%20otras%20disposiciones." xr:uid="{00000000-0004-0000-1100-00003C000000}"/>
    <hyperlink ref="A171" r:id="rId61" xr:uid="{00000000-0004-0000-1100-00003D000000}"/>
    <hyperlink ref="A172" r:id="rId62" xr:uid="{00000000-0004-0000-1100-00003E000000}"/>
    <hyperlink ref="A173" r:id="rId63" xr:uid="{00000000-0004-0000-1100-00003F000000}"/>
    <hyperlink ref="A174" r:id="rId64" xr:uid="{00000000-0004-0000-1100-000040000000}"/>
    <hyperlink ref="A175" r:id="rId65" xr:uid="{00000000-0004-0000-1100-000041000000}"/>
    <hyperlink ref="A176" r:id="rId66" xr:uid="{00000000-0004-0000-1100-000042000000}"/>
    <hyperlink ref="A177" r:id="rId67" xr:uid="{00000000-0004-0000-1100-000043000000}"/>
    <hyperlink ref="A178" r:id="rId68" xr:uid="{00000000-0004-0000-1100-000044000000}"/>
    <hyperlink ref="A179" r:id="rId69" xr:uid="{00000000-0004-0000-1100-000045000000}"/>
    <hyperlink ref="A180" r:id="rId70" xr:uid="{00000000-0004-0000-1100-000046000000}"/>
    <hyperlink ref="A181" r:id="rId71" xr:uid="{00000000-0004-0000-1100-000047000000}"/>
    <hyperlink ref="A182" r:id="rId72" xr:uid="{00000000-0004-0000-1100-000048000000}"/>
    <hyperlink ref="A183" r:id="rId73" xr:uid="{00000000-0004-0000-1100-000049000000}"/>
    <hyperlink ref="A184" r:id="rId74" xr:uid="{00000000-0004-0000-1100-00004A000000}"/>
    <hyperlink ref="A185" r:id="rId75" xr:uid="{00000000-0004-0000-1100-00004B000000}"/>
    <hyperlink ref="A186" r:id="rId76" xr:uid="{00000000-0004-0000-1100-00004C000000}"/>
    <hyperlink ref="A187" r:id="rId77" xr:uid="{00000000-0004-0000-1100-00004D000000}"/>
    <hyperlink ref="A188" r:id="rId78" location=":~:text=Acuerdo%20805%20de%202021%20Concejo,del%20Distrito%20Capital%20de%20Bogot%C3%A1." xr:uid="{00000000-0004-0000-1100-00004E000000}"/>
    <hyperlink ref="A189" r:id="rId79" location=":~:text=Decreto%20007%20de%202021%20Por,a%20los%20servidores%20de%20la" xr:uid="{00000000-0004-0000-1100-00004F000000}"/>
    <hyperlink ref="A190" r:id="rId80" xr:uid="{00000000-0004-0000-1100-000050000000}"/>
    <hyperlink ref="A191" r:id="rId81" xr:uid="{00000000-0004-0000-1100-000051000000}"/>
    <hyperlink ref="A192" r:id="rId82" xr:uid="{00000000-0004-0000-1100-000052000000}"/>
    <hyperlink ref="A193" r:id="rId83" xr:uid="{00000000-0004-0000-1100-000053000000}"/>
    <hyperlink ref="A194" r:id="rId84" xr:uid="{00000000-0004-0000-1100-000054000000}"/>
    <hyperlink ref="A195" r:id="rId85" xr:uid="{00000000-0004-0000-1100-000055000000}"/>
    <hyperlink ref="A196" r:id="rId86" xr:uid="{00000000-0004-0000-1100-000056000000}"/>
    <hyperlink ref="A197" r:id="rId87" xr:uid="{00000000-0004-0000-1100-000057000000}"/>
    <hyperlink ref="A198" r:id="rId88" xr:uid="{00000000-0004-0000-1100-000058000000}"/>
    <hyperlink ref="A199" r:id="rId89" xr:uid="{00000000-0004-0000-1100-000059000000}"/>
    <hyperlink ref="A200" r:id="rId90" xr:uid="{00000000-0004-0000-1100-00005A000000}"/>
    <hyperlink ref="A201" r:id="rId91" xr:uid="{00000000-0004-0000-1100-00005B000000}"/>
    <hyperlink ref="A202" r:id="rId92" xr:uid="{00000000-0004-0000-1100-00005C000000}"/>
    <hyperlink ref="A203" r:id="rId93" xr:uid="{00000000-0004-0000-1100-00005D000000}"/>
    <hyperlink ref="A204" r:id="rId94" xr:uid="{00000000-0004-0000-1100-00005E000000}"/>
    <hyperlink ref="A205" r:id="rId95" xr:uid="{00000000-0004-0000-1100-00005F000000}"/>
    <hyperlink ref="A206" r:id="rId96" xr:uid="{00000000-0004-0000-1100-000060000000}"/>
    <hyperlink ref="A207" r:id="rId97" xr:uid="{00000000-0004-0000-1100-000061000000}"/>
    <hyperlink ref="A208" r:id="rId98" xr:uid="{00000000-0004-0000-1100-000062000000}"/>
    <hyperlink ref="A209" r:id="rId99" xr:uid="{00000000-0004-0000-1100-000063000000}"/>
    <hyperlink ref="A210" r:id="rId100" xr:uid="{00000000-0004-0000-1100-000064000000}"/>
    <hyperlink ref="A211" r:id="rId101" xr:uid="{00000000-0004-0000-1100-000065000000}"/>
    <hyperlink ref="A212" r:id="rId102" xr:uid="{00000000-0004-0000-1100-000066000000}"/>
    <hyperlink ref="A213" r:id="rId103" xr:uid="{00000000-0004-0000-1100-000067000000}"/>
    <hyperlink ref="A214" r:id="rId104" xr:uid="{00000000-0004-0000-1100-000068000000}"/>
    <hyperlink ref="A215" r:id="rId105" xr:uid="{00000000-0004-0000-1100-000069000000}"/>
    <hyperlink ref="A216" r:id="rId106" xr:uid="{00000000-0004-0000-1100-00006A000000}"/>
    <hyperlink ref="A217" r:id="rId107" xr:uid="{00000000-0004-0000-1100-00006B000000}"/>
    <hyperlink ref="A218" r:id="rId108" xr:uid="{00000000-0004-0000-1100-00006C000000}"/>
    <hyperlink ref="A219" r:id="rId109" xr:uid="{00000000-0004-0000-1100-00006D000000}"/>
    <hyperlink ref="A220" r:id="rId110" xr:uid="{00000000-0004-0000-1100-00006E000000}"/>
    <hyperlink ref="A221" r:id="rId111" xr:uid="{00000000-0004-0000-1100-00006F000000}"/>
    <hyperlink ref="A222" r:id="rId112" xr:uid="{00000000-0004-0000-1100-000070000000}"/>
  </hyperlinks>
  <pageMargins left="0.7" right="0.7" top="0.75" bottom="0.75" header="0" footer="0"/>
  <pageSetup orientation="landscape"/>
  <drawing r:id="rId113"/>
  <legacyDrawing r:id="rId11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A9D18E"/>
  </sheetPr>
  <dimension ref="A1:Z114"/>
  <sheetViews>
    <sheetView workbookViewId="0"/>
  </sheetViews>
  <sheetFormatPr baseColWidth="10" defaultColWidth="14.42578125" defaultRowHeight="15" customHeight="1"/>
  <cols>
    <col min="1" max="1" width="28.140625" customWidth="1"/>
    <col min="2" max="2" width="10" customWidth="1"/>
    <col min="3" max="3" width="19.7109375" customWidth="1"/>
    <col min="4" max="4" width="61.7109375" customWidth="1"/>
    <col min="5" max="5" width="12.42578125" customWidth="1"/>
    <col min="6" max="6" width="55.5703125" customWidth="1"/>
    <col min="7" max="7" width="15.140625" customWidth="1"/>
    <col min="8" max="8" width="18" customWidth="1"/>
    <col min="9" max="13" width="11.42578125" customWidth="1"/>
    <col min="14" max="14" width="16.28515625" customWidth="1"/>
    <col min="15" max="15" width="11.42578125" customWidth="1"/>
    <col min="16" max="16" width="15.140625" customWidth="1"/>
    <col min="17" max="26" width="11.42578125" customWidth="1"/>
  </cols>
  <sheetData>
    <row r="1" spans="1:26" ht="61.5" customHeight="1">
      <c r="G1" s="17"/>
      <c r="H1" s="18"/>
      <c r="I1" s="18"/>
      <c r="J1" s="18"/>
      <c r="K1" s="18"/>
      <c r="L1" s="18"/>
      <c r="M1" s="18"/>
      <c r="N1" s="18"/>
      <c r="O1" s="18"/>
      <c r="P1" s="18"/>
      <c r="Q1" s="18"/>
      <c r="R1" s="18"/>
      <c r="S1" s="18"/>
      <c r="T1" s="18"/>
      <c r="U1" s="18"/>
      <c r="V1" s="18"/>
      <c r="W1" s="18"/>
      <c r="X1" s="18"/>
      <c r="Y1" s="18"/>
      <c r="Z1" s="18"/>
    </row>
    <row r="2" spans="1:26" ht="23.25" customHeight="1">
      <c r="A2" s="784" t="s">
        <v>3473</v>
      </c>
      <c r="B2" s="769"/>
      <c r="C2" s="769"/>
      <c r="D2" s="769"/>
      <c r="E2" s="769"/>
      <c r="F2" s="769"/>
      <c r="G2" s="17"/>
      <c r="H2" s="18"/>
      <c r="I2" s="18"/>
      <c r="J2" s="18"/>
      <c r="K2" s="18"/>
      <c r="L2" s="18"/>
      <c r="M2" s="18"/>
      <c r="N2" s="18"/>
      <c r="O2" s="18"/>
      <c r="P2" s="18"/>
      <c r="Q2" s="18"/>
      <c r="R2" s="18"/>
      <c r="S2" s="18"/>
      <c r="T2" s="18"/>
      <c r="U2" s="18"/>
      <c r="V2" s="18"/>
      <c r="W2" s="18"/>
      <c r="X2" s="18"/>
      <c r="Y2" s="18"/>
      <c r="Z2" s="18"/>
    </row>
    <row r="3" spans="1:26" ht="22.5" customHeight="1">
      <c r="A3" s="779" t="s">
        <v>28</v>
      </c>
      <c r="B3" s="765"/>
      <c r="C3" s="765"/>
      <c r="D3" s="765"/>
      <c r="E3" s="765"/>
      <c r="F3" s="766"/>
      <c r="G3" s="17"/>
      <c r="H3" s="18"/>
      <c r="I3" s="18"/>
      <c r="J3" s="18"/>
      <c r="K3" s="18"/>
      <c r="L3" s="18"/>
      <c r="M3" s="18"/>
      <c r="N3" s="18"/>
      <c r="O3" s="18"/>
      <c r="P3" s="18"/>
      <c r="Q3" s="18"/>
      <c r="R3" s="18"/>
      <c r="S3" s="18"/>
      <c r="T3" s="18"/>
      <c r="U3" s="18"/>
      <c r="V3" s="18"/>
      <c r="W3" s="18"/>
      <c r="X3" s="18"/>
      <c r="Y3" s="18"/>
      <c r="Z3" s="18"/>
    </row>
    <row r="4" spans="1:26" ht="33" customHeight="1">
      <c r="A4" s="75" t="s">
        <v>3474</v>
      </c>
      <c r="B4" s="289"/>
      <c r="C4" s="289"/>
      <c r="D4" s="289"/>
      <c r="E4" s="289"/>
      <c r="F4" s="290" t="s">
        <v>30</v>
      </c>
      <c r="G4" s="17"/>
      <c r="H4" s="18"/>
      <c r="I4" s="18"/>
      <c r="J4" s="18"/>
      <c r="K4" s="18"/>
      <c r="L4" s="18"/>
      <c r="M4" s="18"/>
      <c r="N4" s="18"/>
      <c r="O4" s="18"/>
      <c r="P4" s="18"/>
      <c r="Q4" s="18"/>
      <c r="R4" s="18"/>
      <c r="S4" s="18"/>
      <c r="T4" s="18"/>
      <c r="U4" s="18"/>
      <c r="V4" s="18"/>
      <c r="W4" s="18"/>
      <c r="X4" s="18"/>
      <c r="Y4" s="18"/>
      <c r="Z4" s="18"/>
    </row>
    <row r="5" spans="1:26" ht="34.5" customHeight="1">
      <c r="A5" s="770"/>
      <c r="B5" s="765"/>
      <c r="C5" s="765"/>
      <c r="D5" s="765"/>
      <c r="E5" s="765"/>
      <c r="F5" s="766"/>
      <c r="G5" s="28"/>
      <c r="H5" s="29"/>
      <c r="I5" s="29"/>
      <c r="J5" s="29"/>
      <c r="K5" s="29"/>
      <c r="L5" s="29"/>
      <c r="M5" s="29"/>
      <c r="N5" s="29"/>
      <c r="O5" s="29"/>
      <c r="P5" s="29"/>
      <c r="Q5" s="29"/>
      <c r="R5" s="29"/>
      <c r="S5" s="29"/>
      <c r="T5" s="29"/>
      <c r="U5" s="29"/>
      <c r="V5" s="29"/>
      <c r="W5" s="29"/>
      <c r="X5" s="29"/>
      <c r="Y5" s="29"/>
      <c r="Z5" s="29"/>
    </row>
    <row r="6" spans="1:26" ht="25.5">
      <c r="A6" s="76" t="s">
        <v>235</v>
      </c>
      <c r="B6" s="24" t="s">
        <v>32</v>
      </c>
      <c r="C6" s="25" t="s">
        <v>33</v>
      </c>
      <c r="D6" s="25" t="s">
        <v>34</v>
      </c>
      <c r="E6" s="25" t="s">
        <v>35</v>
      </c>
      <c r="F6" s="25" t="s">
        <v>36</v>
      </c>
      <c r="G6" s="35"/>
      <c r="H6" s="36"/>
      <c r="I6" s="36"/>
      <c r="J6" s="36"/>
      <c r="K6" s="36"/>
      <c r="L6" s="36"/>
      <c r="M6" s="36"/>
      <c r="N6" s="36"/>
      <c r="O6" s="36"/>
      <c r="P6" s="36"/>
      <c r="Q6" s="36"/>
      <c r="R6" s="36"/>
      <c r="S6" s="36"/>
      <c r="T6" s="36"/>
      <c r="U6" s="36"/>
      <c r="V6" s="36"/>
      <c r="W6" s="36"/>
      <c r="X6" s="36"/>
      <c r="Y6" s="36"/>
      <c r="Z6" s="36"/>
    </row>
    <row r="7" spans="1:26" ht="24" customHeight="1">
      <c r="A7" s="436" t="str">
        <f>HYPERLINK("https://www.bogotajuridica.gov.co/sisjur/normas/Norma1.jsp?i=4125","CONSTITUCIÓN POLÍTICA DE COLOMBIA")</f>
        <v>CONSTITUCIÓN POLÍTICA DE COLOMBIA</v>
      </c>
      <c r="B7" s="163">
        <v>33423</v>
      </c>
      <c r="C7" s="437" t="s">
        <v>405</v>
      </c>
      <c r="D7" s="438" t="s">
        <v>2403</v>
      </c>
      <c r="E7" s="437" t="s">
        <v>2404</v>
      </c>
      <c r="F7" s="438" t="s">
        <v>2405</v>
      </c>
      <c r="G7" s="35"/>
      <c r="H7" s="36"/>
      <c r="I7" s="36"/>
      <c r="J7" s="36"/>
      <c r="K7" s="36"/>
      <c r="L7" s="36"/>
      <c r="M7" s="36"/>
      <c r="N7" s="36"/>
      <c r="O7" s="36"/>
      <c r="P7" s="36"/>
      <c r="Q7" s="36"/>
      <c r="R7" s="36"/>
      <c r="S7" s="36"/>
      <c r="T7" s="36"/>
      <c r="U7" s="36"/>
      <c r="V7" s="36"/>
      <c r="W7" s="36"/>
      <c r="X7" s="36"/>
      <c r="Y7" s="36"/>
      <c r="Z7" s="36"/>
    </row>
    <row r="8" spans="1:26" ht="48" customHeight="1">
      <c r="A8" s="439" t="str">
        <f>HYPERLINK("http://www.secretariasenado.gov.co/senado/basedoc/ley_0527_1999.html","LEY 527")</f>
        <v>LEY 527</v>
      </c>
      <c r="B8" s="440">
        <v>36390</v>
      </c>
      <c r="C8" s="437" t="s">
        <v>39</v>
      </c>
      <c r="D8" s="441" t="s">
        <v>2407</v>
      </c>
      <c r="E8" s="437" t="s">
        <v>41</v>
      </c>
      <c r="F8" s="437" t="s">
        <v>97</v>
      </c>
      <c r="G8" s="35"/>
      <c r="H8" s="36"/>
      <c r="I8" s="36"/>
      <c r="J8" s="36"/>
      <c r="K8" s="36"/>
      <c r="L8" s="36"/>
      <c r="M8" s="36"/>
      <c r="N8" s="36"/>
      <c r="O8" s="36"/>
      <c r="P8" s="36"/>
      <c r="Q8" s="36"/>
      <c r="R8" s="36"/>
      <c r="S8" s="36"/>
      <c r="T8" s="36"/>
      <c r="U8" s="36"/>
      <c r="V8" s="36"/>
      <c r="W8" s="36"/>
      <c r="X8" s="36"/>
      <c r="Y8" s="36"/>
      <c r="Z8" s="36"/>
    </row>
    <row r="9" spans="1:26" ht="24" customHeight="1">
      <c r="A9" s="439" t="str">
        <f>HYPERLINK("https://www.alcaldiabogota.gov.co/sisjur/normas/Norma1.jsp?i=4275","LEY 594")</f>
        <v>LEY 594</v>
      </c>
      <c r="B9" s="440">
        <v>36721</v>
      </c>
      <c r="C9" s="437" t="s">
        <v>39</v>
      </c>
      <c r="D9" s="441" t="s">
        <v>2409</v>
      </c>
      <c r="E9" s="437" t="s">
        <v>41</v>
      </c>
      <c r="F9" s="437" t="s">
        <v>97</v>
      </c>
      <c r="G9" s="35"/>
      <c r="H9" s="36"/>
      <c r="I9" s="36"/>
      <c r="J9" s="36"/>
      <c r="K9" s="36"/>
      <c r="L9" s="36"/>
      <c r="M9" s="36"/>
      <c r="N9" s="36"/>
      <c r="O9" s="36"/>
      <c r="P9" s="36"/>
      <c r="Q9" s="36"/>
      <c r="R9" s="36"/>
      <c r="S9" s="36"/>
      <c r="T9" s="36"/>
      <c r="U9" s="36"/>
      <c r="V9" s="36"/>
      <c r="W9" s="36"/>
      <c r="X9" s="36"/>
      <c r="Y9" s="36"/>
      <c r="Z9" s="36"/>
    </row>
    <row r="10" spans="1:26" ht="24" customHeight="1">
      <c r="A10" s="442" t="s">
        <v>3131</v>
      </c>
      <c r="B10" s="440">
        <v>44377</v>
      </c>
      <c r="C10" s="161" t="s">
        <v>507</v>
      </c>
      <c r="D10" s="442" t="s">
        <v>3475</v>
      </c>
      <c r="E10" s="391" t="s">
        <v>41</v>
      </c>
      <c r="F10" s="391" t="s">
        <v>42</v>
      </c>
      <c r="G10" s="443"/>
      <c r="H10" s="305"/>
      <c r="I10" s="305"/>
      <c r="J10" s="305"/>
      <c r="K10" s="305"/>
      <c r="L10" s="305"/>
      <c r="M10" s="305"/>
      <c r="N10" s="305"/>
      <c r="O10" s="305"/>
      <c r="P10" s="305"/>
      <c r="Q10" s="305"/>
      <c r="R10" s="305"/>
      <c r="S10" s="305"/>
      <c r="T10" s="305"/>
      <c r="U10" s="305"/>
      <c r="V10" s="305"/>
      <c r="W10" s="305"/>
      <c r="X10" s="305"/>
      <c r="Y10" s="305"/>
      <c r="Z10" s="305"/>
    </row>
    <row r="11" spans="1:26" ht="36" customHeight="1">
      <c r="A11" s="439" t="str">
        <f>HYPERLINK("http://www.secretariasenado.gov.co/senado/basedoc/ley_0790_2002.html","LEY 790")</f>
        <v>LEY 790</v>
      </c>
      <c r="B11" s="444">
        <v>37617</v>
      </c>
      <c r="C11" s="437" t="s">
        <v>39</v>
      </c>
      <c r="D11" s="441" t="s">
        <v>2411</v>
      </c>
      <c r="E11" s="391" t="s">
        <v>3476</v>
      </c>
      <c r="F11" s="391" t="s">
        <v>3477</v>
      </c>
      <c r="G11" s="35"/>
      <c r="H11" s="36"/>
      <c r="I11" s="36"/>
      <c r="J11" s="36"/>
      <c r="K11" s="36"/>
      <c r="L11" s="36"/>
      <c r="M11" s="36"/>
      <c r="N11" s="36"/>
      <c r="O11" s="36"/>
      <c r="P11" s="36"/>
      <c r="Q11" s="36"/>
      <c r="R11" s="36"/>
      <c r="S11" s="36"/>
      <c r="T11" s="36"/>
      <c r="U11" s="36"/>
      <c r="V11" s="36"/>
      <c r="W11" s="36"/>
      <c r="X11" s="36"/>
      <c r="Y11" s="36"/>
      <c r="Z11" s="36"/>
    </row>
    <row r="12" spans="1:26" ht="24" customHeight="1">
      <c r="A12" s="439" t="str">
        <f>HYPERLINK("http://www.secretariasenado.gov.co/senado/basedoc/ley_0906_2004.html","LEY 906")</f>
        <v>LEY 906</v>
      </c>
      <c r="B12" s="440">
        <v>38230</v>
      </c>
      <c r="C12" s="437" t="s">
        <v>39</v>
      </c>
      <c r="D12" s="441" t="s">
        <v>2413</v>
      </c>
      <c r="E12" s="437" t="s">
        <v>41</v>
      </c>
      <c r="F12" s="437" t="s">
        <v>97</v>
      </c>
      <c r="G12" s="35"/>
      <c r="H12" s="36"/>
      <c r="I12" s="36"/>
      <c r="J12" s="36"/>
      <c r="K12" s="36"/>
      <c r="L12" s="36"/>
      <c r="M12" s="36"/>
      <c r="N12" s="36"/>
      <c r="O12" s="36"/>
      <c r="P12" s="36"/>
      <c r="Q12" s="36"/>
      <c r="R12" s="36"/>
      <c r="S12" s="36"/>
      <c r="T12" s="36"/>
      <c r="U12" s="36"/>
      <c r="V12" s="36"/>
      <c r="W12" s="36"/>
      <c r="X12" s="36"/>
      <c r="Y12" s="36"/>
      <c r="Z12" s="36"/>
    </row>
    <row r="13" spans="1:26" ht="48" customHeight="1">
      <c r="A13" s="439" t="str">
        <f>HYPERLINK("http://www.secretariasenado.gov.co/senado/basedoc/ley_0962_2005.html","LEY 962")</f>
        <v>LEY 962</v>
      </c>
      <c r="B13" s="440">
        <v>38541</v>
      </c>
      <c r="C13" s="437" t="s">
        <v>39</v>
      </c>
      <c r="D13" s="441" t="s">
        <v>2414</v>
      </c>
      <c r="E13" s="437" t="s">
        <v>41</v>
      </c>
      <c r="F13" s="437" t="s">
        <v>97</v>
      </c>
      <c r="G13" s="35"/>
      <c r="H13" s="36"/>
      <c r="I13" s="36"/>
      <c r="J13" s="36"/>
      <c r="K13" s="36"/>
      <c r="L13" s="36"/>
      <c r="M13" s="36"/>
      <c r="N13" s="36"/>
      <c r="O13" s="36"/>
      <c r="P13" s="36"/>
      <c r="Q13" s="36"/>
      <c r="R13" s="36"/>
      <c r="S13" s="36"/>
      <c r="T13" s="36"/>
      <c r="U13" s="36"/>
      <c r="V13" s="36"/>
      <c r="W13" s="36"/>
      <c r="X13" s="36"/>
      <c r="Y13" s="36"/>
      <c r="Z13" s="36"/>
    </row>
    <row r="14" spans="1:26" ht="24" customHeight="1">
      <c r="A14" s="439" t="str">
        <f>HYPERLINK("http://www.secretariasenado.gov.co/senado/basedoc/ley_1221_2008.html","LEY 1221")</f>
        <v>LEY 1221</v>
      </c>
      <c r="B14" s="440">
        <v>39635</v>
      </c>
      <c r="C14" s="437" t="s">
        <v>39</v>
      </c>
      <c r="D14" s="441" t="s">
        <v>2415</v>
      </c>
      <c r="E14" s="437" t="s">
        <v>41</v>
      </c>
      <c r="F14" s="437" t="s">
        <v>97</v>
      </c>
      <c r="G14" s="35"/>
      <c r="H14" s="36"/>
      <c r="I14" s="36"/>
      <c r="J14" s="36"/>
      <c r="K14" s="36"/>
      <c r="L14" s="36"/>
      <c r="M14" s="36"/>
      <c r="N14" s="36"/>
      <c r="O14" s="36"/>
      <c r="P14" s="36"/>
      <c r="Q14" s="36"/>
      <c r="R14" s="36"/>
      <c r="S14" s="36"/>
      <c r="T14" s="36"/>
      <c r="U14" s="36"/>
      <c r="V14" s="36"/>
      <c r="W14" s="36"/>
      <c r="X14" s="36"/>
      <c r="Y14" s="36"/>
      <c r="Z14" s="36"/>
    </row>
    <row r="15" spans="1:26" ht="48" customHeight="1">
      <c r="A15" s="439" t="str">
        <f>HYPERLINK("https://www.funcionpublica.gov.co/eva/gestornormativo/norma.php?i=34488","LEY 1266")</f>
        <v>LEY 1266</v>
      </c>
      <c r="B15" s="444">
        <v>39813</v>
      </c>
      <c r="C15" s="437" t="s">
        <v>39</v>
      </c>
      <c r="D15" s="441" t="s">
        <v>2417</v>
      </c>
      <c r="E15" s="437" t="s">
        <v>41</v>
      </c>
      <c r="F15" s="437" t="s">
        <v>97</v>
      </c>
      <c r="G15" s="35"/>
      <c r="H15" s="36"/>
      <c r="I15" s="36"/>
      <c r="J15" s="36"/>
      <c r="K15" s="36"/>
      <c r="L15" s="36"/>
      <c r="M15" s="36"/>
      <c r="N15" s="36"/>
      <c r="O15" s="36"/>
      <c r="P15" s="36"/>
      <c r="Q15" s="36"/>
      <c r="R15" s="36"/>
      <c r="S15" s="36"/>
      <c r="T15" s="36"/>
      <c r="U15" s="36"/>
      <c r="V15" s="36"/>
      <c r="W15" s="36"/>
      <c r="X15" s="36"/>
      <c r="Y15" s="36"/>
      <c r="Z15" s="36"/>
    </row>
    <row r="16" spans="1:26" ht="60" customHeight="1">
      <c r="A16" s="439" t="str">
        <f>HYPERLINK("http://www.secretariasenado.gov.co/senado/basedoc/ley_1273_2009.html","Ley 1273")</f>
        <v>Ley 1273</v>
      </c>
      <c r="B16" s="440">
        <v>39818</v>
      </c>
      <c r="C16" s="437" t="s">
        <v>39</v>
      </c>
      <c r="D16" s="441" t="s">
        <v>505</v>
      </c>
      <c r="E16" s="437" t="s">
        <v>41</v>
      </c>
      <c r="F16" s="437" t="s">
        <v>97</v>
      </c>
      <c r="G16" s="35"/>
      <c r="H16" s="36"/>
      <c r="I16" s="36"/>
      <c r="J16" s="36"/>
      <c r="K16" s="36"/>
      <c r="L16" s="36"/>
      <c r="M16" s="36"/>
      <c r="N16" s="36"/>
      <c r="O16" s="36"/>
      <c r="P16" s="36"/>
      <c r="Q16" s="36"/>
      <c r="R16" s="36"/>
      <c r="S16" s="36"/>
      <c r="T16" s="36"/>
      <c r="U16" s="36"/>
      <c r="V16" s="36"/>
      <c r="W16" s="36"/>
      <c r="X16" s="36"/>
      <c r="Y16" s="36"/>
      <c r="Z16" s="36"/>
    </row>
    <row r="17" spans="1:26" ht="48" customHeight="1">
      <c r="A17" s="439" t="str">
        <f>HYPERLINK("http://www.secretariasenado.gov.co/senado/basedoc/ley_1341_2009.html","LEY 1341")</f>
        <v>LEY 1341</v>
      </c>
      <c r="B17" s="440">
        <v>40051</v>
      </c>
      <c r="C17" s="437" t="s">
        <v>39</v>
      </c>
      <c r="D17" s="441" t="s">
        <v>2419</v>
      </c>
      <c r="E17" s="437" t="s">
        <v>41</v>
      </c>
      <c r="F17" s="437" t="s">
        <v>97</v>
      </c>
      <c r="G17" s="35"/>
      <c r="H17" s="36"/>
      <c r="I17" s="36"/>
      <c r="J17" s="36"/>
      <c r="K17" s="36"/>
      <c r="L17" s="36"/>
      <c r="M17" s="36"/>
      <c r="N17" s="36"/>
      <c r="O17" s="36"/>
      <c r="P17" s="36"/>
      <c r="Q17" s="36"/>
      <c r="R17" s="36"/>
      <c r="S17" s="36"/>
      <c r="T17" s="36"/>
      <c r="U17" s="36"/>
      <c r="V17" s="36"/>
      <c r="W17" s="36"/>
      <c r="X17" s="36"/>
      <c r="Y17" s="36"/>
      <c r="Z17" s="36"/>
    </row>
    <row r="18" spans="1:26" ht="24" customHeight="1">
      <c r="A18" s="439" t="str">
        <f>HYPERLINK("http://www.secretariasenado.gov.co/senado/basedoc/ley_1581_2012.html","LEY 1581")</f>
        <v>LEY 1581</v>
      </c>
      <c r="B18" s="444">
        <v>41199</v>
      </c>
      <c r="C18" s="437" t="s">
        <v>39</v>
      </c>
      <c r="D18" s="441" t="s">
        <v>2420</v>
      </c>
      <c r="E18" s="437" t="s">
        <v>41</v>
      </c>
      <c r="F18" s="437" t="s">
        <v>97</v>
      </c>
      <c r="G18" s="35"/>
      <c r="H18" s="36"/>
      <c r="I18" s="36"/>
      <c r="J18" s="36"/>
      <c r="K18" s="36"/>
      <c r="L18" s="36"/>
      <c r="M18" s="36"/>
      <c r="N18" s="36"/>
      <c r="O18" s="36"/>
      <c r="P18" s="36"/>
      <c r="Q18" s="36"/>
      <c r="R18" s="36"/>
      <c r="S18" s="36"/>
      <c r="T18" s="36"/>
      <c r="U18" s="36"/>
      <c r="V18" s="36"/>
      <c r="W18" s="36"/>
      <c r="X18" s="36"/>
      <c r="Y18" s="36"/>
      <c r="Z18" s="36"/>
    </row>
    <row r="19" spans="1:26" ht="97.5" customHeight="1">
      <c r="A19" s="439" t="str">
        <f>HYPERLINK("https://discapacidadcolombia.com/phocadownloadpap/LEGISLACION/LEY%20ESTATUTARIA%201618%20DE%202013.pdf","LEY 1618")</f>
        <v>LEY 1618</v>
      </c>
      <c r="B19" s="440">
        <v>41332</v>
      </c>
      <c r="C19" s="437" t="s">
        <v>39</v>
      </c>
      <c r="D19" s="441" t="s">
        <v>2421</v>
      </c>
      <c r="E19" s="391" t="s">
        <v>3309</v>
      </c>
      <c r="F19" s="391" t="s">
        <v>3478</v>
      </c>
      <c r="G19" s="35"/>
      <c r="H19" s="36"/>
      <c r="I19" s="36"/>
      <c r="J19" s="36"/>
      <c r="K19" s="36"/>
      <c r="L19" s="36"/>
      <c r="M19" s="36"/>
      <c r="N19" s="36"/>
      <c r="O19" s="36"/>
      <c r="P19" s="36"/>
      <c r="Q19" s="36"/>
      <c r="R19" s="36"/>
      <c r="S19" s="36"/>
      <c r="T19" s="36"/>
      <c r="U19" s="36"/>
      <c r="V19" s="36"/>
      <c r="W19" s="36"/>
      <c r="X19" s="36"/>
      <c r="Y19" s="36"/>
      <c r="Z19" s="36"/>
    </row>
    <row r="20" spans="1:26" ht="36" customHeight="1">
      <c r="A20" s="439" t="str">
        <f>HYPERLINK("http://www.secretariasenado.gov.co/senado/basedoc/ley_1712_2014.html","LEY 1712")</f>
        <v>LEY 1712</v>
      </c>
      <c r="B20" s="440">
        <v>41704</v>
      </c>
      <c r="C20" s="437" t="s">
        <v>39</v>
      </c>
      <c r="D20" s="441" t="s">
        <v>987</v>
      </c>
      <c r="E20" s="437" t="s">
        <v>41</v>
      </c>
      <c r="F20" s="437" t="s">
        <v>97</v>
      </c>
      <c r="G20" s="35"/>
      <c r="H20" s="36"/>
      <c r="I20" s="36"/>
      <c r="J20" s="36"/>
      <c r="K20" s="36"/>
      <c r="L20" s="36"/>
      <c r="M20" s="36"/>
      <c r="N20" s="36"/>
      <c r="O20" s="36"/>
      <c r="P20" s="36"/>
      <c r="Q20" s="36"/>
      <c r="R20" s="36"/>
      <c r="S20" s="36"/>
      <c r="T20" s="36"/>
      <c r="U20" s="36"/>
      <c r="V20" s="36"/>
      <c r="W20" s="36"/>
      <c r="X20" s="36"/>
      <c r="Y20" s="36"/>
      <c r="Z20" s="36"/>
    </row>
    <row r="21" spans="1:26" ht="24" customHeight="1">
      <c r="A21" s="439" t="str">
        <f>HYPERLINK("http://www.secretariasenado.gov.co/senado/basedoc/ley_1928_2018.html","LEY 1928")</f>
        <v>LEY 1928</v>
      </c>
      <c r="B21" s="440">
        <v>43305</v>
      </c>
      <c r="C21" s="437" t="s">
        <v>39</v>
      </c>
      <c r="D21" s="176" t="s">
        <v>3479</v>
      </c>
      <c r="E21" s="437" t="s">
        <v>41</v>
      </c>
      <c r="F21" s="437" t="s">
        <v>97</v>
      </c>
      <c r="G21" s="35"/>
      <c r="H21" s="36"/>
      <c r="I21" s="36"/>
      <c r="J21" s="36"/>
      <c r="K21" s="36"/>
      <c r="L21" s="36"/>
      <c r="M21" s="36"/>
      <c r="N21" s="36"/>
      <c r="O21" s="36"/>
      <c r="P21" s="36"/>
      <c r="Q21" s="36"/>
      <c r="R21" s="36"/>
      <c r="S21" s="36"/>
      <c r="T21" s="36"/>
      <c r="U21" s="36"/>
      <c r="V21" s="36"/>
      <c r="W21" s="36"/>
      <c r="X21" s="36"/>
      <c r="Y21" s="36"/>
      <c r="Z21" s="36"/>
    </row>
    <row r="22" spans="1:26" ht="24" customHeight="1">
      <c r="A22" s="439" t="str">
        <f>HYPERLINK("https://www.alcaldiabogota.gov.co/sisjur/normas/Norma1.jsp?i=82448","LEY 1951")</f>
        <v>LEY 1951</v>
      </c>
      <c r="B22" s="440">
        <v>43489</v>
      </c>
      <c r="C22" s="437" t="s">
        <v>39</v>
      </c>
      <c r="D22" s="441" t="s">
        <v>3480</v>
      </c>
      <c r="E22" s="437" t="s">
        <v>41</v>
      </c>
      <c r="F22" s="437" t="s">
        <v>97</v>
      </c>
      <c r="G22" s="35"/>
      <c r="H22" s="36"/>
      <c r="I22" s="36"/>
      <c r="J22" s="36"/>
      <c r="K22" s="36"/>
      <c r="L22" s="36"/>
      <c r="M22" s="36"/>
      <c r="N22" s="36"/>
      <c r="O22" s="36"/>
      <c r="P22" s="36"/>
      <c r="Q22" s="36"/>
      <c r="R22" s="36"/>
      <c r="S22" s="36"/>
      <c r="T22" s="36"/>
      <c r="U22" s="36"/>
      <c r="V22" s="36"/>
      <c r="W22" s="36"/>
      <c r="X22" s="36"/>
      <c r="Y22" s="36"/>
      <c r="Z22" s="36"/>
    </row>
    <row r="23" spans="1:26" ht="36" customHeight="1">
      <c r="A23" s="439" t="str">
        <f>HYPERLINK("http://www.secretariasenado.gov.co/senado/basedoc/ley_1955_2019.html","LEY 1955")</f>
        <v>LEY 1955</v>
      </c>
      <c r="B23" s="440">
        <v>43590</v>
      </c>
      <c r="C23" s="437" t="s">
        <v>39</v>
      </c>
      <c r="D23" s="441" t="s">
        <v>3481</v>
      </c>
      <c r="E23" s="437" t="s">
        <v>3482</v>
      </c>
      <c r="F23" s="437" t="s">
        <v>3483</v>
      </c>
      <c r="G23" s="35"/>
      <c r="H23" s="36"/>
      <c r="I23" s="36"/>
      <c r="J23" s="36"/>
      <c r="K23" s="36"/>
      <c r="L23" s="36"/>
      <c r="M23" s="36"/>
      <c r="N23" s="36"/>
      <c r="O23" s="36"/>
      <c r="P23" s="36"/>
      <c r="Q23" s="36"/>
      <c r="R23" s="36"/>
      <c r="S23" s="36"/>
      <c r="T23" s="36"/>
      <c r="U23" s="36"/>
      <c r="V23" s="36"/>
      <c r="W23" s="36"/>
      <c r="X23" s="36"/>
      <c r="Y23" s="36"/>
      <c r="Z23" s="36"/>
    </row>
    <row r="24" spans="1:26" ht="24" customHeight="1">
      <c r="A24" s="439" t="str">
        <f>HYPERLINK("https://www.funcionpublica.gov.co/eva/gestornormativo/norma.php?i=98210","LEY 1978")</f>
        <v>LEY 1978</v>
      </c>
      <c r="B24" s="440">
        <v>43671</v>
      </c>
      <c r="C24" s="437" t="s">
        <v>39</v>
      </c>
      <c r="D24" s="441" t="s">
        <v>3484</v>
      </c>
      <c r="E24" s="437" t="s">
        <v>41</v>
      </c>
      <c r="F24" s="437" t="s">
        <v>97</v>
      </c>
      <c r="G24" s="35"/>
      <c r="H24" s="36"/>
      <c r="I24" s="36"/>
      <c r="J24" s="36"/>
      <c r="K24" s="36"/>
      <c r="L24" s="36"/>
      <c r="M24" s="36"/>
      <c r="N24" s="36"/>
      <c r="O24" s="36"/>
      <c r="P24" s="36"/>
      <c r="Q24" s="36"/>
      <c r="R24" s="36"/>
      <c r="S24" s="36"/>
      <c r="T24" s="36"/>
      <c r="U24" s="36"/>
      <c r="V24" s="36"/>
      <c r="W24" s="36"/>
      <c r="X24" s="36"/>
      <c r="Y24" s="36"/>
      <c r="Z24" s="36"/>
    </row>
    <row r="25" spans="1:26" ht="24" customHeight="1">
      <c r="A25" s="445" t="s">
        <v>3485</v>
      </c>
      <c r="B25" s="440">
        <v>44068</v>
      </c>
      <c r="C25" s="437" t="s">
        <v>39</v>
      </c>
      <c r="D25" s="441" t="s">
        <v>3486</v>
      </c>
      <c r="E25" s="391" t="s">
        <v>41</v>
      </c>
      <c r="F25" s="437" t="s">
        <v>97</v>
      </c>
      <c r="G25" s="35"/>
      <c r="H25" s="36"/>
      <c r="I25" s="36"/>
      <c r="J25" s="36"/>
      <c r="K25" s="36"/>
      <c r="L25" s="36"/>
      <c r="M25" s="36"/>
      <c r="N25" s="36"/>
      <c r="O25" s="36"/>
      <c r="P25" s="36"/>
      <c r="Q25" s="36"/>
      <c r="R25" s="36"/>
      <c r="S25" s="36"/>
      <c r="T25" s="36"/>
      <c r="U25" s="36"/>
      <c r="V25" s="36"/>
      <c r="W25" s="36"/>
      <c r="X25" s="36"/>
      <c r="Y25" s="36"/>
      <c r="Z25" s="36"/>
    </row>
    <row r="26" spans="1:26" ht="48">
      <c r="A26" s="446" t="s">
        <v>341</v>
      </c>
      <c r="B26" s="440">
        <v>44221</v>
      </c>
      <c r="C26" s="437" t="s">
        <v>39</v>
      </c>
      <c r="D26" s="441" t="s">
        <v>3487</v>
      </c>
      <c r="E26" s="391" t="s">
        <v>41</v>
      </c>
      <c r="F26" s="437" t="s">
        <v>97</v>
      </c>
      <c r="G26" s="35"/>
      <c r="H26" s="36"/>
      <c r="I26" s="36"/>
      <c r="J26" s="36"/>
      <c r="K26" s="36"/>
      <c r="L26" s="36"/>
      <c r="M26" s="36"/>
      <c r="N26" s="36"/>
      <c r="O26" s="36"/>
      <c r="P26" s="36"/>
      <c r="Q26" s="36"/>
      <c r="R26" s="36"/>
      <c r="S26" s="36"/>
      <c r="T26" s="36"/>
      <c r="U26" s="36"/>
      <c r="V26" s="36"/>
      <c r="W26" s="36"/>
      <c r="X26" s="36"/>
      <c r="Y26" s="36"/>
      <c r="Z26" s="36"/>
    </row>
    <row r="27" spans="1:26" ht="24" customHeight="1">
      <c r="A27" s="439" t="str">
        <f>HYPERLINK("https://www.funcionpublica.gov.co/eva/gestornormativo/norma.php?i=10575","DECRETO 1360")</f>
        <v>DECRETO 1360</v>
      </c>
      <c r="B27" s="440">
        <v>32682</v>
      </c>
      <c r="C27" s="437" t="s">
        <v>57</v>
      </c>
      <c r="D27" s="176" t="s">
        <v>3488</v>
      </c>
      <c r="E27" s="437" t="s">
        <v>41</v>
      </c>
      <c r="F27" s="437" t="s">
        <v>97</v>
      </c>
      <c r="G27" s="35"/>
      <c r="H27" s="36"/>
      <c r="I27" s="36"/>
      <c r="J27" s="36"/>
      <c r="K27" s="36"/>
      <c r="L27" s="36"/>
      <c r="M27" s="36"/>
      <c r="N27" s="36"/>
      <c r="O27" s="36"/>
      <c r="P27" s="36"/>
      <c r="Q27" s="36"/>
      <c r="R27" s="36"/>
      <c r="S27" s="36"/>
      <c r="T27" s="36"/>
      <c r="U27" s="36"/>
      <c r="V27" s="36"/>
      <c r="W27" s="36"/>
      <c r="X27" s="36"/>
      <c r="Y27" s="36"/>
      <c r="Z27" s="36"/>
    </row>
    <row r="28" spans="1:26" ht="36" customHeight="1">
      <c r="A28" s="439" t="str">
        <f>HYPERLINK("https://www.funcionpublica.gov.co/eva/gestornormativo/norma.php?i=1208","DECRETO 2150")</f>
        <v>DECRETO 2150</v>
      </c>
      <c r="B28" s="440">
        <v>35038</v>
      </c>
      <c r="C28" s="437" t="s">
        <v>520</v>
      </c>
      <c r="D28" s="441" t="s">
        <v>521</v>
      </c>
      <c r="E28" s="437" t="s">
        <v>41</v>
      </c>
      <c r="F28" s="437" t="s">
        <v>97</v>
      </c>
      <c r="G28" s="35"/>
      <c r="H28" s="36"/>
      <c r="I28" s="36"/>
      <c r="J28" s="36"/>
      <c r="K28" s="36"/>
      <c r="L28" s="36"/>
      <c r="M28" s="36"/>
      <c r="N28" s="36"/>
      <c r="O28" s="36"/>
      <c r="P28" s="36"/>
      <c r="Q28" s="36"/>
      <c r="R28" s="36"/>
      <c r="S28" s="36"/>
      <c r="T28" s="36"/>
      <c r="U28" s="36"/>
      <c r="V28" s="36"/>
      <c r="W28" s="36"/>
      <c r="X28" s="36"/>
      <c r="Y28" s="36"/>
      <c r="Z28" s="36"/>
    </row>
    <row r="29" spans="1:26" ht="36" customHeight="1">
      <c r="A29" s="439" t="str">
        <f>HYPERLINK("https://www.funcionpublica.gov.co/eva/gestornormativo/norma.php?i=4277","DECRETO 1747")</f>
        <v>DECRETO 1747</v>
      </c>
      <c r="B29" s="440">
        <v>36780</v>
      </c>
      <c r="C29" s="437" t="s">
        <v>57</v>
      </c>
      <c r="D29" s="441" t="s">
        <v>2426</v>
      </c>
      <c r="E29" s="437" t="s">
        <v>41</v>
      </c>
      <c r="F29" s="437" t="s">
        <v>97</v>
      </c>
      <c r="G29" s="35"/>
      <c r="H29" s="36"/>
      <c r="I29" s="36"/>
      <c r="J29" s="36"/>
      <c r="K29" s="36"/>
      <c r="L29" s="36"/>
      <c r="M29" s="36"/>
      <c r="N29" s="36"/>
      <c r="O29" s="36"/>
      <c r="P29" s="36"/>
      <c r="Q29" s="36"/>
      <c r="R29" s="36"/>
      <c r="S29" s="36"/>
      <c r="T29" s="36"/>
      <c r="U29" s="36"/>
      <c r="V29" s="36"/>
      <c r="W29" s="36"/>
      <c r="X29" s="36"/>
      <c r="Y29" s="36"/>
      <c r="Z29" s="36"/>
    </row>
    <row r="30" spans="1:26" ht="36" customHeight="1">
      <c r="A30" s="439" t="str">
        <f>HYPERLINK("https://www.funcionpublica.gov.co/eva/gestornormativo/norma.php?i=11233","DECRETO 3816")</f>
        <v>DECRETO 3816</v>
      </c>
      <c r="B30" s="444">
        <v>37986</v>
      </c>
      <c r="C30" s="437" t="s">
        <v>57</v>
      </c>
      <c r="D30" s="441" t="s">
        <v>2429</v>
      </c>
      <c r="E30" s="437" t="s">
        <v>41</v>
      </c>
      <c r="F30" s="437" t="s">
        <v>97</v>
      </c>
      <c r="G30" s="35"/>
      <c r="H30" s="36"/>
      <c r="I30" s="36"/>
      <c r="J30" s="36"/>
      <c r="K30" s="36"/>
      <c r="L30" s="36"/>
      <c r="M30" s="36"/>
      <c r="N30" s="36"/>
      <c r="O30" s="36"/>
      <c r="P30" s="36"/>
      <c r="Q30" s="36"/>
      <c r="R30" s="36"/>
      <c r="S30" s="36"/>
      <c r="T30" s="36"/>
      <c r="U30" s="36"/>
      <c r="V30" s="36"/>
      <c r="W30" s="36"/>
      <c r="X30" s="36"/>
      <c r="Y30" s="36"/>
      <c r="Z30" s="36"/>
    </row>
    <row r="31" spans="1:26" ht="36" customHeight="1">
      <c r="A31" s="439" t="str">
        <f>HYPERLINK("https://www.alcaldiabogota.gov.co/sisjur/normas/Norma1.jsp?i=28134","DECRETO 619")</f>
        <v>DECRETO 619</v>
      </c>
      <c r="B31" s="444">
        <v>39444</v>
      </c>
      <c r="C31" s="437" t="s">
        <v>61</v>
      </c>
      <c r="D31" s="441" t="s">
        <v>2431</v>
      </c>
      <c r="E31" s="437" t="s">
        <v>41</v>
      </c>
      <c r="F31" s="437" t="s">
        <v>97</v>
      </c>
      <c r="G31" s="35"/>
      <c r="H31" s="36"/>
      <c r="I31" s="36"/>
      <c r="J31" s="36"/>
      <c r="K31" s="36"/>
      <c r="L31" s="36"/>
      <c r="M31" s="36"/>
      <c r="N31" s="36"/>
      <c r="O31" s="36"/>
      <c r="P31" s="36"/>
      <c r="Q31" s="36"/>
      <c r="R31" s="36"/>
      <c r="S31" s="36"/>
      <c r="T31" s="36"/>
      <c r="U31" s="36"/>
      <c r="V31" s="36"/>
      <c r="W31" s="36"/>
      <c r="X31" s="36"/>
      <c r="Y31" s="36"/>
      <c r="Z31" s="36"/>
    </row>
    <row r="32" spans="1:26" ht="24" customHeight="1">
      <c r="A32" s="439" t="str">
        <f>HYPERLINK("https://www.alcaldiabogota.gov.co/sisjur/normas/Norma1.jsp?i=31005&amp;dt=S","DECRETO 185")</f>
        <v>DECRETO 185</v>
      </c>
      <c r="B32" s="440">
        <v>39616</v>
      </c>
      <c r="C32" s="437" t="s">
        <v>61</v>
      </c>
      <c r="D32" s="441" t="s">
        <v>2433</v>
      </c>
      <c r="E32" s="437" t="s">
        <v>41</v>
      </c>
      <c r="F32" s="437" t="s">
        <v>97</v>
      </c>
      <c r="G32" s="35"/>
      <c r="H32" s="36"/>
      <c r="I32" s="36"/>
      <c r="J32" s="36"/>
      <c r="K32" s="36"/>
      <c r="L32" s="36"/>
      <c r="M32" s="36"/>
      <c r="N32" s="36"/>
      <c r="O32" s="36"/>
      <c r="P32" s="36"/>
      <c r="Q32" s="36"/>
      <c r="R32" s="36"/>
      <c r="S32" s="36"/>
      <c r="T32" s="36"/>
      <c r="U32" s="36"/>
      <c r="V32" s="36"/>
      <c r="W32" s="36"/>
      <c r="X32" s="36"/>
      <c r="Y32" s="36"/>
      <c r="Z32" s="36"/>
    </row>
    <row r="33" spans="1:26" ht="36" customHeight="1">
      <c r="A33" s="439" t="str">
        <f>HYPERLINK("https://www.alcaldiabogota.gov.co/sisjur/normas/Norma1.jsp?i=32514","DECRETO 296")</f>
        <v>DECRETO 296</v>
      </c>
      <c r="B33" s="440">
        <v>39701</v>
      </c>
      <c r="C33" s="437" t="s">
        <v>61</v>
      </c>
      <c r="D33" s="441" t="s">
        <v>2435</v>
      </c>
      <c r="E33" s="437" t="s">
        <v>41</v>
      </c>
      <c r="F33" s="437" t="s">
        <v>97</v>
      </c>
      <c r="G33" s="35"/>
      <c r="H33" s="36"/>
      <c r="I33" s="36"/>
      <c r="J33" s="36"/>
      <c r="K33" s="36"/>
      <c r="L33" s="36"/>
      <c r="M33" s="36"/>
      <c r="N33" s="36"/>
      <c r="O33" s="36"/>
      <c r="P33" s="36"/>
      <c r="Q33" s="36"/>
      <c r="R33" s="36"/>
      <c r="S33" s="36"/>
      <c r="T33" s="36"/>
      <c r="U33" s="36"/>
      <c r="V33" s="36"/>
      <c r="W33" s="36"/>
      <c r="X33" s="36"/>
      <c r="Y33" s="36"/>
      <c r="Z33" s="36"/>
    </row>
    <row r="34" spans="1:26" ht="24" customHeight="1">
      <c r="A34" s="445" t="str">
        <f>HYPERLINK("https://www.alcaldiabogota.gov.co/sisjur/normas/Norma1.jsp?i=32819&amp;dt=S","DECRETO 316")</f>
        <v>DECRETO 316</v>
      </c>
      <c r="B34" s="440">
        <v>39717</v>
      </c>
      <c r="C34" s="437" t="s">
        <v>61</v>
      </c>
      <c r="D34" s="441" t="s">
        <v>2437</v>
      </c>
      <c r="E34" s="437" t="s">
        <v>41</v>
      </c>
      <c r="F34" s="437" t="s">
        <v>97</v>
      </c>
      <c r="G34" s="35"/>
      <c r="H34" s="36"/>
      <c r="I34" s="36"/>
      <c r="J34" s="36"/>
      <c r="K34" s="36"/>
      <c r="L34" s="36"/>
      <c r="M34" s="36"/>
      <c r="N34" s="36"/>
      <c r="O34" s="36"/>
      <c r="P34" s="36"/>
      <c r="Q34" s="36"/>
      <c r="R34" s="36"/>
      <c r="S34" s="36"/>
      <c r="T34" s="36"/>
      <c r="U34" s="36"/>
      <c r="V34" s="36"/>
      <c r="W34" s="36"/>
      <c r="X34" s="36"/>
      <c r="Y34" s="36"/>
      <c r="Z34" s="36"/>
    </row>
    <row r="35" spans="1:26" ht="24" customHeight="1">
      <c r="A35" s="439" t="str">
        <f>HYPERLINK("https://www.funcionpublica.gov.co/eva/gestornormativo/norma.php?i=29774","DECRETO 1151")</f>
        <v>DECRETO 1151</v>
      </c>
      <c r="B35" s="440">
        <v>39551</v>
      </c>
      <c r="C35" s="437" t="s">
        <v>61</v>
      </c>
      <c r="D35" s="441" t="s">
        <v>2439</v>
      </c>
      <c r="E35" s="437" t="s">
        <v>41</v>
      </c>
      <c r="F35" s="437" t="s">
        <v>97</v>
      </c>
      <c r="G35" s="35"/>
      <c r="H35" s="36"/>
      <c r="I35" s="36"/>
      <c r="J35" s="36"/>
      <c r="K35" s="36"/>
      <c r="L35" s="36"/>
      <c r="M35" s="36"/>
      <c r="N35" s="36"/>
      <c r="O35" s="36"/>
      <c r="P35" s="36"/>
      <c r="Q35" s="36"/>
      <c r="R35" s="36"/>
      <c r="S35" s="36"/>
      <c r="T35" s="36"/>
      <c r="U35" s="36"/>
      <c r="V35" s="36"/>
      <c r="W35" s="36"/>
      <c r="X35" s="36"/>
      <c r="Y35" s="36"/>
      <c r="Z35" s="36"/>
    </row>
    <row r="36" spans="1:26" ht="24" customHeight="1">
      <c r="A36" s="439" t="str">
        <f>HYPERLINK("https://www.funcionpublica.gov.co/eva/gestornormativo/norma.php?i=38743","DECRETO 235")</f>
        <v>DECRETO 235</v>
      </c>
      <c r="B36" s="440">
        <v>40206</v>
      </c>
      <c r="C36" s="437" t="s">
        <v>273</v>
      </c>
      <c r="D36" s="441" t="s">
        <v>2441</v>
      </c>
      <c r="E36" s="437" t="s">
        <v>41</v>
      </c>
      <c r="F36" s="437" t="s">
        <v>97</v>
      </c>
      <c r="G36" s="35"/>
      <c r="H36" s="36"/>
      <c r="I36" s="36"/>
      <c r="J36" s="36"/>
      <c r="K36" s="36"/>
      <c r="L36" s="36"/>
      <c r="M36" s="36"/>
      <c r="N36" s="36"/>
      <c r="O36" s="36"/>
      <c r="P36" s="36"/>
      <c r="Q36" s="36"/>
      <c r="R36" s="36"/>
      <c r="S36" s="36"/>
      <c r="T36" s="36"/>
      <c r="U36" s="36"/>
      <c r="V36" s="36"/>
      <c r="W36" s="36"/>
      <c r="X36" s="36"/>
      <c r="Y36" s="36"/>
      <c r="Z36" s="36"/>
    </row>
    <row r="37" spans="1:26" ht="24" customHeight="1">
      <c r="A37" s="439" t="str">
        <f>HYPERLINK("https://www.funcionpublica.gov.co/eva/gestornormativo/norma.php?i=45322","DECRETO - LEY 019")</f>
        <v>DECRETO - LEY 019</v>
      </c>
      <c r="B37" s="440">
        <v>40918</v>
      </c>
      <c r="C37" s="437" t="s">
        <v>57</v>
      </c>
      <c r="D37" s="441" t="s">
        <v>546</v>
      </c>
      <c r="E37" s="437" t="s">
        <v>41</v>
      </c>
      <c r="F37" s="437" t="s">
        <v>97</v>
      </c>
      <c r="G37" s="35"/>
      <c r="H37" s="36"/>
      <c r="I37" s="36"/>
      <c r="J37" s="36"/>
      <c r="K37" s="36"/>
      <c r="L37" s="36"/>
      <c r="M37" s="36"/>
      <c r="N37" s="36"/>
      <c r="O37" s="36"/>
      <c r="P37" s="36"/>
      <c r="Q37" s="36"/>
      <c r="R37" s="36"/>
      <c r="S37" s="36"/>
      <c r="T37" s="36"/>
      <c r="U37" s="36"/>
      <c r="V37" s="36"/>
      <c r="W37" s="36"/>
      <c r="X37" s="36"/>
      <c r="Y37" s="36"/>
      <c r="Z37" s="36"/>
    </row>
    <row r="38" spans="1:26" ht="24" customHeight="1">
      <c r="A38" s="439" t="str">
        <f>HYPERLINK("https://www.mintic.gov.co/portal/inicio/3638:Decreto-884-de-2012","DECRETO 884")</f>
        <v>DECRETO 884</v>
      </c>
      <c r="B38" s="440">
        <v>41028</v>
      </c>
      <c r="C38" s="437" t="s">
        <v>57</v>
      </c>
      <c r="D38" s="441" t="s">
        <v>2443</v>
      </c>
      <c r="E38" s="437" t="s">
        <v>41</v>
      </c>
      <c r="F38" s="437" t="s">
        <v>97</v>
      </c>
      <c r="G38" s="35"/>
      <c r="H38" s="36"/>
      <c r="I38" s="36"/>
      <c r="J38" s="36"/>
      <c r="K38" s="36"/>
      <c r="L38" s="36"/>
      <c r="M38" s="36"/>
      <c r="N38" s="36"/>
      <c r="O38" s="36"/>
      <c r="P38" s="36"/>
      <c r="Q38" s="36"/>
      <c r="R38" s="36"/>
      <c r="S38" s="36"/>
      <c r="T38" s="36"/>
      <c r="U38" s="36"/>
      <c r="V38" s="36"/>
      <c r="W38" s="36"/>
      <c r="X38" s="36"/>
      <c r="Y38" s="36"/>
      <c r="Z38" s="36"/>
    </row>
    <row r="39" spans="1:26" ht="24" customHeight="1">
      <c r="A39" s="439" t="str">
        <f>HYPERLINK("https://www.funcionpublica.gov.co/eva/gestornormativo/norma.php?i=50583","DECRETO 2364")</f>
        <v>DECRETO 2364</v>
      </c>
      <c r="B39" s="444">
        <v>41235</v>
      </c>
      <c r="C39" s="437" t="s">
        <v>57</v>
      </c>
      <c r="D39" s="441" t="s">
        <v>2445</v>
      </c>
      <c r="E39" s="437" t="s">
        <v>41</v>
      </c>
      <c r="F39" s="437" t="s">
        <v>97</v>
      </c>
      <c r="G39" s="35"/>
      <c r="H39" s="36"/>
      <c r="I39" s="36"/>
      <c r="J39" s="36"/>
      <c r="K39" s="36"/>
      <c r="L39" s="36"/>
      <c r="M39" s="36"/>
      <c r="N39" s="36"/>
      <c r="O39" s="36"/>
      <c r="P39" s="36"/>
      <c r="Q39" s="36"/>
      <c r="R39" s="36"/>
      <c r="S39" s="36"/>
      <c r="T39" s="36"/>
      <c r="U39" s="36"/>
      <c r="V39" s="36"/>
      <c r="W39" s="36"/>
      <c r="X39" s="36"/>
      <c r="Y39" s="36"/>
      <c r="Z39" s="36"/>
    </row>
    <row r="40" spans="1:26" ht="36" customHeight="1">
      <c r="A40" s="439" t="str">
        <f>HYPERLINK("https://www.alcaldiabogota.gov.co/sisjur/normas/Norma1.jsp?i=50958","DECRETO 2609")</f>
        <v>DECRETO 2609</v>
      </c>
      <c r="B40" s="444">
        <v>41257</v>
      </c>
      <c r="C40" s="437" t="s">
        <v>57</v>
      </c>
      <c r="D40" s="441" t="s">
        <v>2447</v>
      </c>
      <c r="E40" s="437" t="s">
        <v>41</v>
      </c>
      <c r="F40" s="437" t="s">
        <v>97</v>
      </c>
      <c r="G40" s="35"/>
      <c r="H40" s="36"/>
      <c r="I40" s="36"/>
      <c r="J40" s="36"/>
      <c r="K40" s="36"/>
      <c r="L40" s="36"/>
      <c r="M40" s="36"/>
      <c r="N40" s="36"/>
      <c r="O40" s="36"/>
      <c r="P40" s="36"/>
      <c r="Q40" s="36"/>
      <c r="R40" s="36"/>
      <c r="S40" s="36"/>
      <c r="T40" s="36"/>
      <c r="U40" s="36"/>
      <c r="V40" s="36"/>
      <c r="W40" s="36"/>
      <c r="X40" s="36"/>
      <c r="Y40" s="36"/>
      <c r="Z40" s="36"/>
    </row>
    <row r="41" spans="1:26" ht="24" customHeight="1">
      <c r="A41" s="439" t="str">
        <f>HYPERLINK("https://www.funcionpublica.gov.co/eva/gestornormativo/norma.php?i=53646","DECRETO 1377")</f>
        <v>DECRETO 1377</v>
      </c>
      <c r="B41" s="440">
        <v>41452</v>
      </c>
      <c r="C41" s="437" t="s">
        <v>57</v>
      </c>
      <c r="D41" s="441" t="s">
        <v>1878</v>
      </c>
      <c r="E41" s="437" t="s">
        <v>41</v>
      </c>
      <c r="F41" s="437" t="s">
        <v>97</v>
      </c>
      <c r="G41" s="35"/>
      <c r="H41" s="36"/>
      <c r="I41" s="36"/>
      <c r="J41" s="36"/>
      <c r="K41" s="36"/>
      <c r="L41" s="36"/>
      <c r="M41" s="36"/>
      <c r="N41" s="36"/>
      <c r="O41" s="36"/>
      <c r="P41" s="36"/>
      <c r="Q41" s="36"/>
      <c r="R41" s="36"/>
      <c r="S41" s="36"/>
      <c r="T41" s="36"/>
      <c r="U41" s="36"/>
      <c r="V41" s="36"/>
      <c r="W41" s="36"/>
      <c r="X41" s="36"/>
      <c r="Y41" s="36"/>
      <c r="Z41" s="36"/>
    </row>
    <row r="42" spans="1:26" ht="43.5" customHeight="1">
      <c r="A42" s="439" t="str">
        <f>HYPERLINK("https://www.alcaldiabogota.gov.co/sisjur/normas/Norma1.jsp?i=56032","DECRETO 596")</f>
        <v>DECRETO 596</v>
      </c>
      <c r="B42" s="444">
        <v>41634</v>
      </c>
      <c r="C42" s="437" t="s">
        <v>61</v>
      </c>
      <c r="D42" s="441" t="s">
        <v>2448</v>
      </c>
      <c r="E42" s="391" t="s">
        <v>3312</v>
      </c>
      <c r="F42" s="391" t="s">
        <v>3489</v>
      </c>
      <c r="G42" s="35"/>
      <c r="H42" s="36"/>
      <c r="I42" s="36"/>
      <c r="J42" s="36"/>
      <c r="K42" s="36"/>
      <c r="L42" s="36"/>
      <c r="M42" s="36"/>
      <c r="N42" s="36"/>
      <c r="O42" s="36"/>
      <c r="P42" s="36"/>
      <c r="Q42" s="36"/>
      <c r="R42" s="36"/>
      <c r="S42" s="36"/>
      <c r="T42" s="36"/>
      <c r="U42" s="36"/>
      <c r="V42" s="36"/>
      <c r="W42" s="36"/>
      <c r="X42" s="36"/>
      <c r="Y42" s="36"/>
      <c r="Z42" s="36"/>
    </row>
    <row r="43" spans="1:26" ht="24" customHeight="1">
      <c r="A43" s="439" t="str">
        <f>HYPERLINK("https://www.funcionpublica.gov.co/eva/gestornormativo/norma.php?i=56767","DECRETO 333")</f>
        <v>DECRETO 333</v>
      </c>
      <c r="B43" s="440">
        <v>41689</v>
      </c>
      <c r="C43" s="437" t="s">
        <v>57</v>
      </c>
      <c r="D43" s="441" t="s">
        <v>2450</v>
      </c>
      <c r="E43" s="437" t="s">
        <v>41</v>
      </c>
      <c r="F43" s="437" t="s">
        <v>97</v>
      </c>
      <c r="G43" s="35"/>
      <c r="H43" s="36"/>
      <c r="I43" s="36"/>
      <c r="J43" s="36"/>
      <c r="K43" s="36"/>
      <c r="L43" s="36"/>
      <c r="M43" s="36"/>
      <c r="N43" s="36"/>
      <c r="O43" s="36"/>
      <c r="P43" s="36"/>
      <c r="Q43" s="36"/>
      <c r="R43" s="36"/>
      <c r="S43" s="36"/>
      <c r="T43" s="36"/>
      <c r="U43" s="36"/>
      <c r="V43" s="36"/>
      <c r="W43" s="36"/>
      <c r="X43" s="36"/>
      <c r="Y43" s="36"/>
      <c r="Z43" s="36"/>
    </row>
    <row r="44" spans="1:26" ht="48" customHeight="1">
      <c r="A44" s="439" t="str">
        <f>HYPERLINK("https://www.funcionpublica.gov.co/eva/gestornormativo/norma.php?i=60596","DECRETO 2573")</f>
        <v>DECRETO 2573</v>
      </c>
      <c r="B44" s="444">
        <v>41985</v>
      </c>
      <c r="C44" s="437" t="s">
        <v>57</v>
      </c>
      <c r="D44" s="441" t="s">
        <v>1880</v>
      </c>
      <c r="E44" s="437" t="s">
        <v>41</v>
      </c>
      <c r="F44" s="437" t="s">
        <v>97</v>
      </c>
      <c r="G44" s="35"/>
      <c r="H44" s="36"/>
      <c r="I44" s="36"/>
      <c r="J44" s="36"/>
      <c r="K44" s="36"/>
      <c r="L44" s="36"/>
      <c r="M44" s="36"/>
      <c r="N44" s="36"/>
      <c r="O44" s="36"/>
      <c r="P44" s="36"/>
      <c r="Q44" s="36"/>
      <c r="R44" s="36"/>
      <c r="S44" s="36"/>
      <c r="T44" s="36"/>
      <c r="U44" s="36"/>
      <c r="V44" s="36"/>
      <c r="W44" s="36"/>
      <c r="X44" s="36"/>
      <c r="Y44" s="36"/>
      <c r="Z44" s="36"/>
    </row>
    <row r="45" spans="1:26" ht="36" customHeight="1">
      <c r="A45" s="439" t="str">
        <f>HYPERLINK("https://www.alcaldiabogota.gov.co/sisjur/normas/Norma1.jsp?i=60556","DECRETO 103")</f>
        <v>DECRETO 103</v>
      </c>
      <c r="B45" s="440">
        <v>42024</v>
      </c>
      <c r="C45" s="437" t="s">
        <v>57</v>
      </c>
      <c r="D45" s="441" t="s">
        <v>1881</v>
      </c>
      <c r="E45" s="437" t="s">
        <v>41</v>
      </c>
      <c r="F45" s="437" t="s">
        <v>97</v>
      </c>
      <c r="G45" s="35"/>
      <c r="H45" s="36"/>
      <c r="I45" s="36"/>
      <c r="J45" s="36"/>
      <c r="K45" s="36"/>
      <c r="L45" s="36"/>
      <c r="M45" s="36"/>
      <c r="N45" s="36"/>
      <c r="O45" s="36"/>
      <c r="P45" s="36"/>
      <c r="Q45" s="36"/>
      <c r="R45" s="36"/>
      <c r="S45" s="36"/>
      <c r="T45" s="36"/>
      <c r="U45" s="36"/>
      <c r="V45" s="36"/>
      <c r="W45" s="36"/>
      <c r="X45" s="36"/>
      <c r="Y45" s="36"/>
      <c r="Z45" s="36"/>
    </row>
    <row r="46" spans="1:26" ht="36" customHeight="1">
      <c r="A46" s="439" t="str">
        <f>HYPERLINK("https://www.mintic.gov.co/portal/inicio/9528:Decreto-1078-del-26-de-mayo-de-2015","DECRETO 1078")</f>
        <v>DECRETO 1078</v>
      </c>
      <c r="B46" s="440">
        <v>42150</v>
      </c>
      <c r="C46" s="437" t="s">
        <v>57</v>
      </c>
      <c r="D46" s="441" t="s">
        <v>1883</v>
      </c>
      <c r="E46" s="437" t="s">
        <v>41</v>
      </c>
      <c r="F46" s="437" t="s">
        <v>97</v>
      </c>
      <c r="G46" s="35"/>
      <c r="H46" s="36"/>
      <c r="I46" s="36"/>
      <c r="J46" s="36"/>
      <c r="K46" s="36"/>
      <c r="L46" s="36"/>
      <c r="M46" s="36"/>
      <c r="N46" s="36"/>
      <c r="O46" s="36"/>
      <c r="P46" s="36"/>
      <c r="Q46" s="36"/>
      <c r="R46" s="36"/>
      <c r="S46" s="36"/>
      <c r="T46" s="36"/>
      <c r="U46" s="36"/>
      <c r="V46" s="36"/>
      <c r="W46" s="36"/>
      <c r="X46" s="36"/>
      <c r="Y46" s="36"/>
      <c r="Z46" s="36"/>
    </row>
    <row r="47" spans="1:26" ht="24" customHeight="1">
      <c r="A47" s="439" t="str">
        <f>HYPERLINK("https://www.alcaldiabogota.gov.co/sisjur/normas/Norma1.jsp?i=62516&amp;dt=S","DECRETO 1081")</f>
        <v>DECRETO 1081</v>
      </c>
      <c r="B47" s="440">
        <v>42150</v>
      </c>
      <c r="C47" s="437" t="s">
        <v>57</v>
      </c>
      <c r="D47" s="441" t="s">
        <v>2451</v>
      </c>
      <c r="E47" s="437" t="s">
        <v>41</v>
      </c>
      <c r="F47" s="437" t="s">
        <v>97</v>
      </c>
      <c r="G47" s="35"/>
      <c r="H47" s="36"/>
      <c r="I47" s="36"/>
      <c r="J47" s="36"/>
      <c r="K47" s="36"/>
      <c r="L47" s="36"/>
      <c r="M47" s="36"/>
      <c r="N47" s="36"/>
      <c r="O47" s="36"/>
      <c r="P47" s="36"/>
      <c r="Q47" s="36"/>
      <c r="R47" s="36"/>
      <c r="S47" s="36"/>
      <c r="T47" s="36"/>
      <c r="U47" s="36"/>
      <c r="V47" s="36"/>
      <c r="W47" s="36"/>
      <c r="X47" s="36"/>
      <c r="Y47" s="36"/>
      <c r="Z47" s="36"/>
    </row>
    <row r="48" spans="1:26" ht="72" customHeight="1">
      <c r="A48" s="439" t="str">
        <f>HYPERLINK("https://www.mintic.gov.co/portal/604/w3-article-74903.html?_noredirect=1","Decreto 1008 ")</f>
        <v xml:space="preserve">Decreto 1008 </v>
      </c>
      <c r="B48" s="440">
        <v>43265</v>
      </c>
      <c r="C48" s="437" t="s">
        <v>599</v>
      </c>
      <c r="D48" s="441" t="s">
        <v>2453</v>
      </c>
      <c r="E48" s="437" t="s">
        <v>41</v>
      </c>
      <c r="F48" s="437" t="s">
        <v>42</v>
      </c>
      <c r="G48" s="35"/>
      <c r="H48" s="36"/>
      <c r="I48" s="36"/>
      <c r="J48" s="36"/>
      <c r="K48" s="36"/>
      <c r="L48" s="36"/>
      <c r="M48" s="36"/>
      <c r="N48" s="36"/>
      <c r="O48" s="36"/>
      <c r="P48" s="36"/>
      <c r="Q48" s="36"/>
      <c r="R48" s="36"/>
      <c r="S48" s="36"/>
      <c r="T48" s="36"/>
      <c r="U48" s="36"/>
      <c r="V48" s="36"/>
      <c r="W48" s="36"/>
      <c r="X48" s="36"/>
      <c r="Y48" s="36"/>
      <c r="Z48" s="36"/>
    </row>
    <row r="49" spans="1:26" ht="72" customHeight="1">
      <c r="A49" s="445" t="s">
        <v>3490</v>
      </c>
      <c r="B49" s="440">
        <v>43692</v>
      </c>
      <c r="C49" s="391" t="s">
        <v>116</v>
      </c>
      <c r="D49" s="176" t="s">
        <v>319</v>
      </c>
      <c r="E49" s="391" t="s">
        <v>3491</v>
      </c>
      <c r="F49" s="437" t="s">
        <v>42</v>
      </c>
      <c r="G49" s="35"/>
      <c r="H49" s="36"/>
      <c r="I49" s="36"/>
      <c r="J49" s="36"/>
      <c r="K49" s="36"/>
      <c r="L49" s="36"/>
      <c r="M49" s="36"/>
      <c r="N49" s="36"/>
      <c r="O49" s="36"/>
      <c r="P49" s="36"/>
      <c r="Q49" s="36"/>
      <c r="R49" s="36"/>
      <c r="S49" s="36"/>
      <c r="T49" s="36"/>
      <c r="U49" s="36"/>
      <c r="V49" s="36"/>
      <c r="W49" s="36"/>
      <c r="X49" s="36"/>
      <c r="Y49" s="36"/>
      <c r="Z49" s="36"/>
    </row>
    <row r="50" spans="1:26" ht="72" customHeight="1">
      <c r="A50" s="445" t="s">
        <v>3492</v>
      </c>
      <c r="B50" s="440">
        <v>43953</v>
      </c>
      <c r="C50" s="437" t="s">
        <v>599</v>
      </c>
      <c r="D50" s="176" t="s">
        <v>3493</v>
      </c>
      <c r="E50" s="391" t="s">
        <v>783</v>
      </c>
      <c r="F50" s="391" t="s">
        <v>42</v>
      </c>
      <c r="G50" s="35"/>
      <c r="H50" s="36"/>
      <c r="I50" s="36"/>
      <c r="J50" s="36"/>
      <c r="K50" s="36"/>
      <c r="L50" s="36"/>
      <c r="M50" s="36"/>
      <c r="N50" s="36"/>
      <c r="O50" s="36"/>
      <c r="P50" s="36"/>
      <c r="Q50" s="36"/>
      <c r="R50" s="36"/>
      <c r="S50" s="36"/>
      <c r="T50" s="36"/>
      <c r="U50" s="36"/>
      <c r="V50" s="36"/>
      <c r="W50" s="36"/>
      <c r="X50" s="36"/>
      <c r="Y50" s="36"/>
      <c r="Z50" s="36"/>
    </row>
    <row r="51" spans="1:26" ht="72" customHeight="1">
      <c r="A51" s="445" t="s">
        <v>3494</v>
      </c>
      <c r="B51" s="440">
        <v>39552</v>
      </c>
      <c r="C51" s="437" t="s">
        <v>599</v>
      </c>
      <c r="D51" s="176" t="s">
        <v>3495</v>
      </c>
      <c r="E51" s="437" t="s">
        <v>41</v>
      </c>
      <c r="F51" s="391" t="s">
        <v>42</v>
      </c>
      <c r="G51" s="35"/>
      <c r="H51" s="36"/>
      <c r="I51" s="36"/>
      <c r="J51" s="36"/>
      <c r="K51" s="36"/>
      <c r="L51" s="36"/>
      <c r="M51" s="36"/>
      <c r="N51" s="36"/>
      <c r="O51" s="36"/>
      <c r="P51" s="36"/>
      <c r="Q51" s="36"/>
      <c r="R51" s="36"/>
      <c r="S51" s="36"/>
      <c r="T51" s="36"/>
      <c r="U51" s="36"/>
      <c r="V51" s="36"/>
      <c r="W51" s="36"/>
      <c r="X51" s="36"/>
      <c r="Y51" s="36"/>
      <c r="Z51" s="36"/>
    </row>
    <row r="52" spans="1:26" ht="72" customHeight="1">
      <c r="A52" s="447" t="s">
        <v>3496</v>
      </c>
      <c r="B52" s="440">
        <v>44628</v>
      </c>
      <c r="C52" s="437" t="s">
        <v>599</v>
      </c>
      <c r="D52" s="176" t="s">
        <v>3497</v>
      </c>
      <c r="E52" s="391" t="s">
        <v>41</v>
      </c>
      <c r="F52" s="391" t="s">
        <v>42</v>
      </c>
      <c r="G52" s="35"/>
      <c r="H52" s="36"/>
      <c r="I52" s="36"/>
      <c r="J52" s="36"/>
      <c r="K52" s="36"/>
      <c r="L52" s="36"/>
      <c r="M52" s="36"/>
      <c r="N52" s="36"/>
      <c r="O52" s="36"/>
      <c r="P52" s="36"/>
      <c r="Q52" s="36"/>
      <c r="R52" s="36"/>
      <c r="S52" s="36"/>
      <c r="T52" s="36"/>
      <c r="U52" s="36"/>
      <c r="V52" s="36"/>
      <c r="W52" s="36"/>
      <c r="X52" s="36"/>
      <c r="Y52" s="36"/>
      <c r="Z52" s="36"/>
    </row>
    <row r="53" spans="1:26" ht="72" customHeight="1">
      <c r="A53" s="445" t="s">
        <v>3498</v>
      </c>
      <c r="B53" s="440">
        <v>44697</v>
      </c>
      <c r="C53" s="437" t="s">
        <v>599</v>
      </c>
      <c r="D53" s="176" t="s">
        <v>3499</v>
      </c>
      <c r="E53" s="391" t="s">
        <v>41</v>
      </c>
      <c r="F53" s="391" t="s">
        <v>42</v>
      </c>
      <c r="G53" s="35"/>
      <c r="H53" s="36"/>
      <c r="I53" s="36"/>
      <c r="J53" s="36"/>
      <c r="K53" s="36"/>
      <c r="L53" s="36"/>
      <c r="M53" s="36"/>
      <c r="N53" s="36"/>
      <c r="O53" s="36"/>
      <c r="P53" s="36"/>
      <c r="Q53" s="36"/>
      <c r="R53" s="36"/>
      <c r="S53" s="36"/>
      <c r="T53" s="36"/>
      <c r="U53" s="36"/>
      <c r="V53" s="36"/>
      <c r="W53" s="36"/>
      <c r="X53" s="36"/>
      <c r="Y53" s="36"/>
      <c r="Z53" s="36"/>
    </row>
    <row r="54" spans="1:26" ht="72" customHeight="1">
      <c r="A54" s="447" t="s">
        <v>2816</v>
      </c>
      <c r="B54" s="440">
        <v>44760</v>
      </c>
      <c r="C54" s="391" t="s">
        <v>3500</v>
      </c>
      <c r="D54" s="176" t="s">
        <v>3465</v>
      </c>
      <c r="E54" s="391" t="s">
        <v>41</v>
      </c>
      <c r="F54" s="391" t="s">
        <v>42</v>
      </c>
      <c r="G54" s="35"/>
      <c r="H54" s="36"/>
      <c r="I54" s="36"/>
      <c r="J54" s="36"/>
      <c r="K54" s="36"/>
      <c r="L54" s="36"/>
      <c r="M54" s="36"/>
      <c r="N54" s="36"/>
      <c r="O54" s="36"/>
      <c r="P54" s="36"/>
      <c r="Q54" s="36"/>
      <c r="R54" s="36"/>
      <c r="S54" s="36"/>
      <c r="T54" s="36"/>
      <c r="U54" s="36"/>
      <c r="V54" s="36"/>
      <c r="W54" s="36"/>
      <c r="X54" s="36"/>
      <c r="Y54" s="36"/>
      <c r="Z54" s="36"/>
    </row>
    <row r="55" spans="1:26" ht="72" customHeight="1">
      <c r="A55" s="445" t="s">
        <v>3501</v>
      </c>
      <c r="B55" s="440">
        <v>44764</v>
      </c>
      <c r="C55" s="437" t="s">
        <v>599</v>
      </c>
      <c r="D55" s="176" t="s">
        <v>3502</v>
      </c>
      <c r="E55" s="391" t="s">
        <v>41</v>
      </c>
      <c r="F55" s="391" t="s">
        <v>42</v>
      </c>
      <c r="G55" s="35"/>
      <c r="H55" s="36"/>
      <c r="I55" s="36"/>
      <c r="J55" s="36"/>
      <c r="K55" s="36"/>
      <c r="L55" s="36"/>
      <c r="M55" s="36"/>
      <c r="N55" s="36"/>
      <c r="O55" s="36"/>
      <c r="P55" s="36"/>
      <c r="Q55" s="36"/>
      <c r="R55" s="36"/>
      <c r="S55" s="36"/>
      <c r="T55" s="36"/>
      <c r="U55" s="36"/>
      <c r="V55" s="36"/>
      <c r="W55" s="36"/>
      <c r="X55" s="36"/>
      <c r="Y55" s="36"/>
      <c r="Z55" s="36"/>
    </row>
    <row r="56" spans="1:26" ht="72" customHeight="1">
      <c r="A56" s="445" t="str">
        <f>HYPERLINK("http://www.bogotajuridica.gov.co/sisjur/normas/Norma1.jsp?i=4784","ACUERDO 57")</f>
        <v>ACUERDO 57</v>
      </c>
      <c r="B56" s="440">
        <v>37363</v>
      </c>
      <c r="C56" s="437" t="s">
        <v>2333</v>
      </c>
      <c r="D56" s="441" t="s">
        <v>2455</v>
      </c>
      <c r="E56" s="437" t="s">
        <v>41</v>
      </c>
      <c r="F56" s="437" t="s">
        <v>97</v>
      </c>
      <c r="G56" s="35"/>
      <c r="H56" s="36"/>
      <c r="I56" s="36"/>
      <c r="J56" s="36"/>
      <c r="K56" s="36"/>
      <c r="L56" s="36"/>
      <c r="M56" s="36"/>
      <c r="N56" s="36"/>
      <c r="O56" s="36"/>
      <c r="P56" s="36"/>
      <c r="Q56" s="36"/>
      <c r="R56" s="36"/>
      <c r="S56" s="36"/>
      <c r="T56" s="36"/>
      <c r="U56" s="36"/>
      <c r="V56" s="36"/>
      <c r="W56" s="36"/>
      <c r="X56" s="36"/>
      <c r="Y56" s="36"/>
      <c r="Z56" s="36"/>
    </row>
    <row r="57" spans="1:26" ht="36" customHeight="1">
      <c r="A57" s="448" t="str">
        <f>HYPERLINK("https://www.alcaldiabogota.gov.co/sisjur/normas/Norma1.jsp?i=23574","ACUERDO 279")</f>
        <v>ACUERDO 279</v>
      </c>
      <c r="B57" s="440">
        <v>39170</v>
      </c>
      <c r="C57" s="437" t="s">
        <v>2333</v>
      </c>
      <c r="D57" s="441" t="s">
        <v>2457</v>
      </c>
      <c r="E57" s="437" t="s">
        <v>41</v>
      </c>
      <c r="F57" s="437" t="s">
        <v>97</v>
      </c>
      <c r="G57" s="35"/>
      <c r="H57" s="36"/>
      <c r="I57" s="36"/>
      <c r="J57" s="36"/>
      <c r="K57" s="36"/>
      <c r="L57" s="36"/>
      <c r="M57" s="36"/>
      <c r="N57" s="36"/>
      <c r="O57" s="36"/>
      <c r="P57" s="36"/>
      <c r="Q57" s="36"/>
      <c r="R57" s="36"/>
      <c r="S57" s="36"/>
      <c r="T57" s="36"/>
      <c r="U57" s="36"/>
      <c r="V57" s="36"/>
      <c r="W57" s="36"/>
      <c r="X57" s="36"/>
      <c r="Y57" s="36"/>
      <c r="Z57" s="36"/>
    </row>
    <row r="58" spans="1:26" ht="24" customHeight="1">
      <c r="A58" s="448" t="str">
        <f>HYPERLINK("https://www.funcionpublica.gov.co/eva/gestornormativo/norma.php?i=61770","ACUERDO 6")</f>
        <v>ACUERDO 6</v>
      </c>
      <c r="B58" s="444">
        <v>41927</v>
      </c>
      <c r="C58" s="437" t="s">
        <v>2458</v>
      </c>
      <c r="D58" s="441" t="s">
        <v>2459</v>
      </c>
      <c r="E58" s="437" t="s">
        <v>41</v>
      </c>
      <c r="F58" s="437" t="s">
        <v>97</v>
      </c>
      <c r="G58" s="35"/>
      <c r="H58" s="36"/>
      <c r="I58" s="36"/>
      <c r="J58" s="36"/>
      <c r="K58" s="36"/>
      <c r="L58" s="36"/>
      <c r="M58" s="36"/>
      <c r="N58" s="36"/>
      <c r="O58" s="36"/>
      <c r="P58" s="36"/>
      <c r="Q58" s="36"/>
      <c r="R58" s="36"/>
      <c r="S58" s="36"/>
      <c r="T58" s="36"/>
      <c r="U58" s="36"/>
      <c r="V58" s="36"/>
      <c r="W58" s="36"/>
      <c r="X58" s="36"/>
      <c r="Y58" s="36"/>
      <c r="Z58" s="36"/>
    </row>
    <row r="59" spans="1:26" ht="57" customHeight="1">
      <c r="A59" s="448" t="str">
        <f>HYPERLINK("https://www.funcionpublica.gov.co/eva/gestornormativo/norma.php?i=61731","ACUERDO 3")</f>
        <v>ACUERDO 3</v>
      </c>
      <c r="B59" s="440">
        <v>42052</v>
      </c>
      <c r="C59" s="437" t="s">
        <v>2458</v>
      </c>
      <c r="D59" s="441" t="s">
        <v>2461</v>
      </c>
      <c r="E59" s="437" t="s">
        <v>41</v>
      </c>
      <c r="F59" s="437" t="s">
        <v>97</v>
      </c>
      <c r="G59" s="35"/>
      <c r="H59" s="36"/>
      <c r="I59" s="36"/>
      <c r="J59" s="36"/>
      <c r="K59" s="36"/>
      <c r="L59" s="36"/>
      <c r="M59" s="36"/>
      <c r="N59" s="36"/>
      <c r="O59" s="36"/>
      <c r="P59" s="36"/>
      <c r="Q59" s="36"/>
      <c r="R59" s="36"/>
      <c r="S59" s="36"/>
      <c r="T59" s="36"/>
      <c r="U59" s="36"/>
      <c r="V59" s="36"/>
      <c r="W59" s="36"/>
      <c r="X59" s="36"/>
      <c r="Y59" s="36"/>
      <c r="Z59" s="36"/>
    </row>
    <row r="60" spans="1:26" ht="36" customHeight="1">
      <c r="A60" s="448" t="str">
        <f>HYPERLINK("http://concejodebogota.gov.co/acuerdos-aprobados-2018/cbogota/2018-05-08/095007.php","ACUERDO 702")</f>
        <v>ACUERDO 702</v>
      </c>
      <c r="B60" s="440">
        <v>43213</v>
      </c>
      <c r="C60" s="437" t="s">
        <v>2333</v>
      </c>
      <c r="D60" s="441" t="s">
        <v>3503</v>
      </c>
      <c r="E60" s="437" t="s">
        <v>41</v>
      </c>
      <c r="F60" s="437" t="s">
        <v>97</v>
      </c>
      <c r="G60" s="35"/>
      <c r="H60" s="36"/>
      <c r="I60" s="36"/>
      <c r="J60" s="36"/>
      <c r="K60" s="36"/>
      <c r="L60" s="36"/>
      <c r="M60" s="36"/>
      <c r="N60" s="36"/>
      <c r="O60" s="36"/>
      <c r="P60" s="36"/>
      <c r="Q60" s="36"/>
      <c r="R60" s="36"/>
      <c r="S60" s="36"/>
      <c r="T60" s="36"/>
      <c r="U60" s="36"/>
      <c r="V60" s="36"/>
      <c r="W60" s="36"/>
      <c r="X60" s="36"/>
      <c r="Y60" s="36"/>
      <c r="Z60" s="36"/>
    </row>
    <row r="61" spans="1:26" ht="60" customHeight="1">
      <c r="A61" s="439" t="str">
        <f>HYPERLINK("https://www.alcaldiabogota.gov.co/sisjur/normas/Norma1.jsp?i=33486","RESOLUCIÓN 305")</f>
        <v>RESOLUCIÓN 305</v>
      </c>
      <c r="B61" s="444">
        <v>39741</v>
      </c>
      <c r="C61" s="437" t="s">
        <v>2462</v>
      </c>
      <c r="D61" s="441" t="s">
        <v>2463</v>
      </c>
      <c r="E61" s="437" t="s">
        <v>41</v>
      </c>
      <c r="F61" s="437" t="s">
        <v>97</v>
      </c>
      <c r="G61" s="35"/>
      <c r="H61" s="36"/>
      <c r="I61" s="36"/>
      <c r="J61" s="36"/>
      <c r="K61" s="36"/>
      <c r="L61" s="36"/>
      <c r="M61" s="36"/>
      <c r="N61" s="36"/>
      <c r="O61" s="36"/>
      <c r="P61" s="36"/>
      <c r="Q61" s="36"/>
      <c r="R61" s="36"/>
      <c r="S61" s="36"/>
      <c r="T61" s="36"/>
      <c r="U61" s="36"/>
      <c r="V61" s="36"/>
      <c r="W61" s="36"/>
      <c r="X61" s="36"/>
      <c r="Y61" s="36"/>
      <c r="Z61" s="36"/>
    </row>
    <row r="62" spans="1:26" ht="36" customHeight="1">
      <c r="A62" s="439" t="str">
        <f>HYPERLINK("https://www.alcaldiabogota.gov.co/sisjur/normas/Norma1.jsp?i=60854&amp;dt=S","RESOLUCIÓN 766")</f>
        <v>RESOLUCIÓN 766</v>
      </c>
      <c r="B62" s="444">
        <v>42003</v>
      </c>
      <c r="C62" s="437" t="s">
        <v>1098</v>
      </c>
      <c r="D62" s="441" t="s">
        <v>2465</v>
      </c>
      <c r="E62" s="437" t="s">
        <v>41</v>
      </c>
      <c r="F62" s="437" t="s">
        <v>97</v>
      </c>
      <c r="G62" s="35"/>
      <c r="H62" s="36"/>
      <c r="I62" s="36"/>
      <c r="J62" s="36"/>
      <c r="K62" s="36"/>
      <c r="L62" s="36"/>
      <c r="M62" s="36"/>
      <c r="N62" s="36"/>
      <c r="O62" s="36"/>
      <c r="P62" s="36"/>
      <c r="Q62" s="36"/>
      <c r="R62" s="36"/>
      <c r="S62" s="36"/>
      <c r="T62" s="36"/>
      <c r="U62" s="36"/>
      <c r="V62" s="36"/>
      <c r="W62" s="36"/>
      <c r="X62" s="36"/>
      <c r="Y62" s="36"/>
      <c r="Z62" s="36"/>
    </row>
    <row r="63" spans="1:26" ht="24" customHeight="1">
      <c r="A63" s="441" t="s">
        <v>2466</v>
      </c>
      <c r="B63" s="437">
        <v>2015</v>
      </c>
      <c r="C63" s="437" t="s">
        <v>1098</v>
      </c>
      <c r="D63" s="176" t="s">
        <v>3504</v>
      </c>
      <c r="E63" s="437" t="s">
        <v>41</v>
      </c>
      <c r="F63" s="437" t="s">
        <v>97</v>
      </c>
      <c r="G63" s="35"/>
      <c r="H63" s="36"/>
      <c r="I63" s="36"/>
      <c r="J63" s="36"/>
      <c r="K63" s="36"/>
      <c r="L63" s="36"/>
      <c r="M63" s="36"/>
      <c r="N63" s="36"/>
      <c r="O63" s="36"/>
      <c r="P63" s="36"/>
      <c r="Q63" s="36"/>
      <c r="R63" s="36"/>
      <c r="S63" s="36"/>
      <c r="T63" s="36"/>
      <c r="U63" s="36"/>
      <c r="V63" s="36"/>
      <c r="W63" s="36"/>
      <c r="X63" s="36"/>
      <c r="Y63" s="36"/>
      <c r="Z63" s="36"/>
    </row>
    <row r="64" spans="1:26" ht="24" customHeight="1">
      <c r="A64" s="445" t="s">
        <v>702</v>
      </c>
      <c r="B64" s="444">
        <v>44196</v>
      </c>
      <c r="C64" s="437" t="s">
        <v>1098</v>
      </c>
      <c r="D64" s="176" t="s">
        <v>3505</v>
      </c>
      <c r="E64" s="437" t="s">
        <v>41</v>
      </c>
      <c r="F64" s="437" t="s">
        <v>97</v>
      </c>
      <c r="G64" s="35"/>
      <c r="H64" s="36"/>
      <c r="I64" s="36"/>
      <c r="J64" s="36"/>
      <c r="K64" s="36"/>
      <c r="L64" s="36"/>
      <c r="M64" s="36"/>
      <c r="N64" s="36"/>
      <c r="O64" s="36"/>
      <c r="P64" s="36"/>
      <c r="Q64" s="36"/>
      <c r="R64" s="36"/>
      <c r="S64" s="36"/>
      <c r="T64" s="36"/>
      <c r="U64" s="36"/>
      <c r="V64" s="36"/>
      <c r="W64" s="36"/>
      <c r="X64" s="36"/>
      <c r="Y64" s="36"/>
      <c r="Z64" s="36"/>
    </row>
    <row r="65" spans="1:26" ht="36" customHeight="1">
      <c r="A65" s="439" t="str">
        <f>HYPERLINK("http://ticbogota.gov.co/transparencia/marco-legal/normatividad/resoluci%C3%B3n-004-2017","Resolucion 004 ")</f>
        <v xml:space="preserve">Resolucion 004 </v>
      </c>
      <c r="B65" s="444">
        <v>43067</v>
      </c>
      <c r="C65" s="437" t="s">
        <v>856</v>
      </c>
      <c r="D65" s="441" t="s">
        <v>2470</v>
      </c>
      <c r="E65" s="437" t="s">
        <v>41</v>
      </c>
      <c r="F65" s="437" t="s">
        <v>42</v>
      </c>
      <c r="G65" s="35"/>
      <c r="H65" s="36"/>
      <c r="I65" s="36"/>
      <c r="J65" s="36"/>
      <c r="K65" s="36"/>
      <c r="L65" s="36"/>
      <c r="M65" s="36"/>
      <c r="N65" s="36"/>
      <c r="O65" s="36"/>
      <c r="P65" s="36"/>
      <c r="Q65" s="36"/>
      <c r="R65" s="36"/>
      <c r="S65" s="36"/>
      <c r="T65" s="36"/>
      <c r="U65" s="36"/>
      <c r="V65" s="36"/>
      <c r="W65" s="36"/>
      <c r="X65" s="36"/>
      <c r="Y65" s="36"/>
      <c r="Z65" s="36"/>
    </row>
    <row r="66" spans="1:26" ht="60" customHeight="1">
      <c r="A66" s="445" t="str">
        <f>HYPERLINK("https://www.alcaldiabogota.gov.co/sisjur/normas/Norma1.jsp?i=44944","Resolucion 001")</f>
        <v>Resolucion 001</v>
      </c>
      <c r="B66" s="440">
        <v>40878</v>
      </c>
      <c r="C66" s="391" t="s">
        <v>3506</v>
      </c>
      <c r="D66" s="176" t="s">
        <v>3507</v>
      </c>
      <c r="E66" s="391" t="s">
        <v>41</v>
      </c>
      <c r="F66" s="391" t="s">
        <v>42</v>
      </c>
      <c r="G66" s="35"/>
      <c r="H66" s="36"/>
      <c r="I66" s="36"/>
      <c r="J66" s="36"/>
      <c r="K66" s="36"/>
      <c r="L66" s="36"/>
      <c r="M66" s="36"/>
      <c r="N66" s="36"/>
      <c r="O66" s="36"/>
      <c r="P66" s="36"/>
      <c r="Q66" s="36"/>
      <c r="R66" s="36"/>
      <c r="S66" s="36"/>
      <c r="T66" s="36"/>
      <c r="U66" s="36"/>
      <c r="V66" s="36"/>
      <c r="W66" s="36"/>
      <c r="X66" s="36"/>
      <c r="Y66" s="36"/>
      <c r="Z66" s="36"/>
    </row>
    <row r="67" spans="1:26" ht="24" customHeight="1">
      <c r="A67" s="445" t="str">
        <f>HYPERLINK("https://www.shd.gov.co/shd/sites/default/files/files/tesoreria/Resoluci%C3%B3n%20SDH-316%202019%20(oct%2017)%20Nuevo%20Protocolo%20de%20Seguridad%20para%20tesorer%C3%ADas%20entidades%20Presupuesto%20Anual%20y%20FDL.pdf","Resolucion 316")</f>
        <v>Resolucion 316</v>
      </c>
      <c r="B67" s="440">
        <v>43755</v>
      </c>
      <c r="C67" s="391" t="s">
        <v>3508</v>
      </c>
      <c r="D67" s="176" t="s">
        <v>3509</v>
      </c>
      <c r="E67" s="391" t="s">
        <v>41</v>
      </c>
      <c r="F67" s="391" t="s">
        <v>42</v>
      </c>
      <c r="G67" s="35"/>
      <c r="H67" s="36"/>
      <c r="I67" s="36"/>
      <c r="J67" s="36"/>
      <c r="K67" s="36"/>
      <c r="L67" s="36"/>
      <c r="M67" s="36"/>
      <c r="N67" s="36"/>
      <c r="O67" s="36"/>
      <c r="P67" s="36"/>
      <c r="Q67" s="36"/>
      <c r="R67" s="36"/>
      <c r="S67" s="36"/>
      <c r="T67" s="36"/>
      <c r="U67" s="36"/>
      <c r="V67" s="36"/>
      <c r="W67" s="36"/>
      <c r="X67" s="36"/>
      <c r="Y67" s="36"/>
      <c r="Z67" s="36"/>
    </row>
    <row r="68" spans="1:26" ht="42" customHeight="1">
      <c r="A68" s="446" t="s">
        <v>3510</v>
      </c>
      <c r="B68" s="440">
        <v>44067</v>
      </c>
      <c r="C68" s="437" t="s">
        <v>599</v>
      </c>
      <c r="D68" s="441" t="s">
        <v>706</v>
      </c>
      <c r="E68" s="391" t="s">
        <v>41</v>
      </c>
      <c r="F68" s="391" t="s">
        <v>42</v>
      </c>
      <c r="G68" s="74"/>
      <c r="H68" s="36"/>
      <c r="I68" s="36"/>
      <c r="J68" s="36"/>
      <c r="K68" s="36"/>
      <c r="L68" s="36"/>
      <c r="M68" s="36"/>
      <c r="N68" s="36"/>
      <c r="O68" s="36"/>
      <c r="P68" s="36"/>
      <c r="Q68" s="36"/>
      <c r="R68" s="36"/>
      <c r="S68" s="36"/>
      <c r="T68" s="36"/>
      <c r="U68" s="36"/>
      <c r="V68" s="36"/>
      <c r="W68" s="36"/>
      <c r="X68" s="36"/>
      <c r="Y68" s="36"/>
      <c r="Z68" s="36"/>
    </row>
    <row r="69" spans="1:26" ht="60">
      <c r="A69" s="445" t="s">
        <v>3511</v>
      </c>
      <c r="B69" s="440">
        <v>44195</v>
      </c>
      <c r="C69" s="437" t="s">
        <v>599</v>
      </c>
      <c r="D69" s="441" t="s">
        <v>3512</v>
      </c>
      <c r="E69" s="391" t="s">
        <v>41</v>
      </c>
      <c r="F69" s="391" t="s">
        <v>42</v>
      </c>
      <c r="G69" s="74"/>
      <c r="H69" s="36"/>
      <c r="I69" s="36"/>
      <c r="J69" s="36"/>
      <c r="K69" s="36"/>
      <c r="L69" s="36"/>
      <c r="M69" s="36"/>
      <c r="N69" s="36"/>
      <c r="O69" s="36"/>
      <c r="P69" s="36"/>
      <c r="Q69" s="36"/>
      <c r="R69" s="36"/>
      <c r="S69" s="36"/>
      <c r="T69" s="36"/>
      <c r="U69" s="36"/>
      <c r="V69" s="36"/>
      <c r="W69" s="36"/>
      <c r="X69" s="36"/>
      <c r="Y69" s="36"/>
      <c r="Z69" s="36"/>
    </row>
    <row r="70" spans="1:26" ht="24" customHeight="1">
      <c r="A70" s="446" t="s">
        <v>3513</v>
      </c>
      <c r="B70" s="440">
        <v>44631</v>
      </c>
      <c r="C70" s="437" t="s">
        <v>599</v>
      </c>
      <c r="D70" s="176" t="s">
        <v>3514</v>
      </c>
      <c r="E70" s="391" t="s">
        <v>41</v>
      </c>
      <c r="F70" s="391" t="s">
        <v>42</v>
      </c>
      <c r="G70" s="35"/>
      <c r="H70" s="36"/>
      <c r="I70" s="36"/>
      <c r="J70" s="36"/>
      <c r="K70" s="36"/>
      <c r="L70" s="36"/>
      <c r="M70" s="36"/>
      <c r="N70" s="36"/>
      <c r="O70" s="36"/>
      <c r="P70" s="36"/>
      <c r="Q70" s="36"/>
      <c r="R70" s="36"/>
      <c r="S70" s="36"/>
      <c r="T70" s="36"/>
      <c r="U70" s="36"/>
      <c r="V70" s="36"/>
      <c r="W70" s="36"/>
      <c r="X70" s="36"/>
      <c r="Y70" s="36"/>
      <c r="Z70" s="36"/>
    </row>
    <row r="71" spans="1:26" ht="24" customHeight="1">
      <c r="A71" s="445" t="str">
        <f>HYPERLINK("http://webcache.googleusercontent.com/search?q=cache:bqMLbU6d_Y0J:www.derechodeautor.gov.co/documents/10181/287765/Circular%2B17%2Bde%2B2011/3e6df29e-fef6-45ac-aa83-65423db86a62+&amp;cd=3&amp;hl=es-419&amp;ct=clnk&amp;gl=co&amp;client=firefox-b-d","CIRCULAR 17")</f>
        <v>CIRCULAR 17</v>
      </c>
      <c r="B71" s="440">
        <v>40695</v>
      </c>
      <c r="C71" s="391" t="s">
        <v>3515</v>
      </c>
      <c r="D71" s="441" t="s">
        <v>2475</v>
      </c>
      <c r="E71" s="437" t="s">
        <v>41</v>
      </c>
      <c r="F71" s="437" t="s">
        <v>97</v>
      </c>
      <c r="G71" s="35"/>
      <c r="H71" s="36"/>
      <c r="I71" s="36"/>
      <c r="J71" s="36"/>
      <c r="K71" s="36"/>
      <c r="L71" s="36"/>
      <c r="M71" s="36"/>
      <c r="N71" s="36"/>
      <c r="O71" s="36"/>
      <c r="P71" s="36"/>
      <c r="Q71" s="36"/>
      <c r="R71" s="36"/>
      <c r="S71" s="36"/>
      <c r="T71" s="36"/>
      <c r="U71" s="36"/>
      <c r="V71" s="36"/>
      <c r="W71" s="36"/>
      <c r="X71" s="36"/>
      <c r="Y71" s="36"/>
      <c r="Z71" s="36"/>
    </row>
    <row r="72" spans="1:26" ht="24" customHeight="1">
      <c r="A72" s="439" t="str">
        <f>HYPERLINK("https://www.mintic.gov.co/portal/inicio/3518:Circular-58-de-2009","CIRCULAR 58")</f>
        <v>CIRCULAR 58</v>
      </c>
      <c r="B72" s="440">
        <v>40070</v>
      </c>
      <c r="C72" s="437" t="s">
        <v>334</v>
      </c>
      <c r="D72" s="441" t="s">
        <v>2477</v>
      </c>
      <c r="E72" s="437" t="s">
        <v>41</v>
      </c>
      <c r="F72" s="437" t="s">
        <v>97</v>
      </c>
      <c r="G72" s="35"/>
      <c r="H72" s="36"/>
      <c r="I72" s="36"/>
      <c r="J72" s="36"/>
      <c r="K72" s="36"/>
      <c r="L72" s="36"/>
      <c r="M72" s="36"/>
      <c r="N72" s="36"/>
      <c r="O72" s="36"/>
      <c r="P72" s="36"/>
      <c r="Q72" s="36"/>
      <c r="R72" s="36"/>
      <c r="S72" s="36"/>
      <c r="T72" s="36"/>
      <c r="U72" s="36"/>
      <c r="V72" s="36"/>
      <c r="W72" s="36"/>
      <c r="X72" s="36"/>
      <c r="Y72" s="36"/>
      <c r="Z72" s="36"/>
    </row>
    <row r="73" spans="1:26" ht="24" customHeight="1">
      <c r="A73" s="439" t="str">
        <f>HYPERLINK("https://www.funcionpublica.gov.co/eva/gestornormativo/norma.php?i=61830","CIRCULAR 5")</f>
        <v>CIRCULAR 5</v>
      </c>
      <c r="B73" s="440">
        <v>41163</v>
      </c>
      <c r="C73" s="437" t="s">
        <v>2458</v>
      </c>
      <c r="D73" s="441" t="s">
        <v>2478</v>
      </c>
      <c r="E73" s="437" t="s">
        <v>41</v>
      </c>
      <c r="F73" s="437" t="s">
        <v>97</v>
      </c>
      <c r="G73" s="35"/>
      <c r="H73" s="36"/>
      <c r="I73" s="36"/>
      <c r="J73" s="36"/>
      <c r="K73" s="36"/>
      <c r="L73" s="36"/>
      <c r="M73" s="36"/>
      <c r="N73" s="36"/>
      <c r="O73" s="36"/>
      <c r="P73" s="36"/>
      <c r="Q73" s="36"/>
      <c r="R73" s="36"/>
      <c r="S73" s="36"/>
      <c r="T73" s="36"/>
      <c r="U73" s="36"/>
      <c r="V73" s="36"/>
      <c r="W73" s="36"/>
      <c r="X73" s="36"/>
      <c r="Y73" s="36"/>
      <c r="Z73" s="36"/>
    </row>
    <row r="74" spans="1:26" ht="36" customHeight="1">
      <c r="A74" s="439" t="str">
        <f>HYPERLINK("http://ticbogota.gov.co/sites/default/files/marco-legal/circulares%20001-2016.pdf","CIRCULAR 1")</f>
        <v>CIRCULAR 1</v>
      </c>
      <c r="B74" s="440">
        <v>42409</v>
      </c>
      <c r="C74" s="391" t="s">
        <v>3516</v>
      </c>
      <c r="D74" s="449" t="s">
        <v>3517</v>
      </c>
      <c r="E74" s="437" t="s">
        <v>41</v>
      </c>
      <c r="F74" s="437" t="s">
        <v>97</v>
      </c>
      <c r="G74" s="35"/>
      <c r="H74" s="36"/>
      <c r="I74" s="36"/>
      <c r="J74" s="36"/>
      <c r="K74" s="36"/>
      <c r="L74" s="36"/>
      <c r="M74" s="36"/>
      <c r="N74" s="36"/>
      <c r="O74" s="36"/>
      <c r="P74" s="36"/>
      <c r="Q74" s="36"/>
      <c r="R74" s="36"/>
      <c r="S74" s="36"/>
      <c r="T74" s="36"/>
      <c r="U74" s="36"/>
      <c r="V74" s="36"/>
      <c r="W74" s="36"/>
      <c r="X74" s="36"/>
      <c r="Y74" s="36"/>
      <c r="Z74" s="36"/>
    </row>
    <row r="75" spans="1:26" ht="24" customHeight="1">
      <c r="A75" s="439" t="str">
        <f>HYPERLINK("https://www.alcaldiabogota.gov.co/sisjur/normas/Norma1.jsp?i=65756&amp;dt=S","CIRCULAR 9")</f>
        <v>CIRCULAR 9</v>
      </c>
      <c r="B75" s="440">
        <v>42464</v>
      </c>
      <c r="C75" s="391" t="s">
        <v>3516</v>
      </c>
      <c r="D75" s="441" t="s">
        <v>2485</v>
      </c>
      <c r="E75" s="437" t="s">
        <v>41</v>
      </c>
      <c r="F75" s="437" t="s">
        <v>97</v>
      </c>
      <c r="G75" s="35"/>
      <c r="H75" s="36"/>
      <c r="I75" s="36"/>
      <c r="J75" s="36"/>
      <c r="K75" s="36"/>
      <c r="L75" s="36"/>
      <c r="M75" s="36"/>
      <c r="N75" s="36"/>
      <c r="O75" s="36"/>
      <c r="P75" s="36"/>
      <c r="Q75" s="36"/>
      <c r="R75" s="36"/>
      <c r="S75" s="36"/>
      <c r="T75" s="36"/>
      <c r="U75" s="36"/>
      <c r="V75" s="36"/>
      <c r="W75" s="36"/>
      <c r="X75" s="36"/>
      <c r="Y75" s="36"/>
      <c r="Z75" s="36"/>
    </row>
    <row r="76" spans="1:26" ht="36" customHeight="1">
      <c r="A76" s="439" t="str">
        <f>HYPERLINK("http://ticbogota.gov.co/sites/default/files/marco-legal/CIRCULAR%2041.pdf","Circular 041 ")</f>
        <v xml:space="preserve">Circular 041 </v>
      </c>
      <c r="B76" s="440">
        <v>43340</v>
      </c>
      <c r="C76" s="391" t="s">
        <v>3516</v>
      </c>
      <c r="D76" s="441" t="s">
        <v>2491</v>
      </c>
      <c r="E76" s="437" t="s">
        <v>41</v>
      </c>
      <c r="F76" s="437" t="s">
        <v>42</v>
      </c>
      <c r="G76" s="35"/>
      <c r="H76" s="36"/>
      <c r="I76" s="36"/>
      <c r="J76" s="36"/>
      <c r="K76" s="36"/>
      <c r="L76" s="36"/>
      <c r="M76" s="36"/>
      <c r="N76" s="36"/>
      <c r="O76" s="36"/>
      <c r="P76" s="36"/>
      <c r="Q76" s="36"/>
      <c r="R76" s="36"/>
      <c r="S76" s="36"/>
      <c r="T76" s="36"/>
      <c r="U76" s="36"/>
      <c r="V76" s="36"/>
      <c r="W76" s="36"/>
      <c r="X76" s="36"/>
      <c r="Y76" s="36"/>
      <c r="Z76" s="36"/>
    </row>
    <row r="77" spans="1:26" ht="24" customHeight="1">
      <c r="A77" s="445" t="str">
        <f>HYPERLINK("http://ticbogota.gov.co/sites/default/files/marco-legal/CIRCULAR%2040.pdf","Circular 040 ")</f>
        <v xml:space="preserve">Circular 040 </v>
      </c>
      <c r="B77" s="440">
        <v>43269</v>
      </c>
      <c r="C77" s="391" t="s">
        <v>3516</v>
      </c>
      <c r="D77" s="176" t="s">
        <v>3518</v>
      </c>
      <c r="E77" s="391" t="s">
        <v>41</v>
      </c>
      <c r="F77" s="391" t="s">
        <v>3519</v>
      </c>
      <c r="G77" s="35"/>
      <c r="H77" s="36"/>
      <c r="I77" s="36"/>
      <c r="J77" s="36"/>
      <c r="K77" s="36"/>
      <c r="L77" s="36"/>
      <c r="M77" s="36"/>
      <c r="N77" s="36"/>
      <c r="O77" s="36"/>
      <c r="P77" s="36"/>
      <c r="Q77" s="36"/>
      <c r="R77" s="36"/>
      <c r="S77" s="36"/>
      <c r="T77" s="36"/>
      <c r="U77" s="36"/>
      <c r="V77" s="36"/>
      <c r="W77" s="36"/>
      <c r="X77" s="36"/>
      <c r="Y77" s="36"/>
      <c r="Z77" s="36"/>
    </row>
    <row r="78" spans="1:26" ht="24" customHeight="1">
      <c r="A78" s="439" t="str">
        <f>HYPERLINK("http://ticbogota.gov.co/sites/default/files/marco-legal/CIRCULAR%2045.pdf","Circular 045")</f>
        <v>Circular 045</v>
      </c>
      <c r="B78" s="440">
        <v>43309</v>
      </c>
      <c r="C78" s="391" t="s">
        <v>3516</v>
      </c>
      <c r="D78" s="441" t="s">
        <v>2493</v>
      </c>
      <c r="E78" s="437" t="s">
        <v>41</v>
      </c>
      <c r="F78" s="437" t="s">
        <v>42</v>
      </c>
      <c r="G78" s="35"/>
      <c r="H78" s="36"/>
      <c r="I78" s="36"/>
      <c r="J78" s="36"/>
      <c r="K78" s="36"/>
      <c r="L78" s="36"/>
      <c r="M78" s="36"/>
      <c r="N78" s="36"/>
      <c r="O78" s="36"/>
      <c r="P78" s="36"/>
      <c r="Q78" s="36"/>
      <c r="R78" s="36"/>
      <c r="S78" s="36"/>
      <c r="T78" s="36"/>
      <c r="U78" s="36"/>
      <c r="V78" s="36"/>
      <c r="W78" s="36"/>
      <c r="X78" s="36"/>
      <c r="Y78" s="36"/>
      <c r="Z78" s="36"/>
    </row>
    <row r="79" spans="1:26" ht="24" customHeight="1">
      <c r="A79" s="445" t="str">
        <f>HYPERLINK("http://ticbogota.gov.co/sites/default/files/marco-legal/2-2019-5068_1.pdf","Circular 006")</f>
        <v>Circular 006</v>
      </c>
      <c r="B79" s="440">
        <v>43523</v>
      </c>
      <c r="C79" s="391" t="s">
        <v>3516</v>
      </c>
      <c r="D79" s="441" t="s">
        <v>3520</v>
      </c>
      <c r="E79" s="391" t="s">
        <v>41</v>
      </c>
      <c r="F79" s="437" t="s">
        <v>42</v>
      </c>
      <c r="G79" s="35"/>
      <c r="H79" s="36"/>
      <c r="I79" s="36"/>
      <c r="J79" s="36"/>
      <c r="K79" s="36"/>
      <c r="L79" s="36"/>
      <c r="M79" s="36"/>
      <c r="N79" s="36"/>
      <c r="O79" s="36"/>
      <c r="P79" s="36"/>
      <c r="Q79" s="36"/>
      <c r="R79" s="36"/>
      <c r="S79" s="36"/>
      <c r="T79" s="36"/>
      <c r="U79" s="36"/>
      <c r="V79" s="36"/>
      <c r="W79" s="36"/>
      <c r="X79" s="36"/>
      <c r="Y79" s="36"/>
      <c r="Z79" s="36"/>
    </row>
    <row r="80" spans="1:26" ht="24" customHeight="1">
      <c r="A80" s="445" t="str">
        <f>HYPERLINK("http://ticbogota.gov.co/sites/default/files/marco-legal/circular%2010.pdf","Circular 010")</f>
        <v>Circular 010</v>
      </c>
      <c r="B80" s="440">
        <v>43591</v>
      </c>
      <c r="C80" s="391" t="s">
        <v>3516</v>
      </c>
      <c r="D80" s="176" t="s">
        <v>3521</v>
      </c>
      <c r="E80" s="391" t="s">
        <v>41</v>
      </c>
      <c r="F80" s="437" t="s">
        <v>42</v>
      </c>
      <c r="G80" s="35"/>
      <c r="H80" s="36"/>
      <c r="I80" s="36"/>
      <c r="J80" s="36"/>
      <c r="K80" s="36"/>
      <c r="L80" s="36"/>
      <c r="M80" s="36"/>
      <c r="N80" s="36"/>
      <c r="O80" s="36"/>
      <c r="P80" s="36"/>
      <c r="Q80" s="36"/>
      <c r="R80" s="36"/>
      <c r="S80" s="36"/>
      <c r="T80" s="36"/>
      <c r="U80" s="36"/>
      <c r="V80" s="36"/>
      <c r="W80" s="36"/>
      <c r="X80" s="36"/>
      <c r="Y80" s="36"/>
      <c r="Z80" s="36"/>
    </row>
    <row r="81" spans="1:26" ht="24" customHeight="1">
      <c r="A81" s="445" t="str">
        <f>HYPERLINK("http://ticbogota.gov.co/sites/default/files/marco-legal/CIRCULAR%2013.pdf","Circular 13")</f>
        <v>Circular 13</v>
      </c>
      <c r="B81" s="440">
        <v>43616</v>
      </c>
      <c r="C81" s="391" t="s">
        <v>3516</v>
      </c>
      <c r="D81" s="176" t="s">
        <v>3522</v>
      </c>
      <c r="E81" s="391" t="s">
        <v>41</v>
      </c>
      <c r="F81" s="391" t="s">
        <v>42</v>
      </c>
      <c r="G81" s="35"/>
      <c r="H81" s="36"/>
      <c r="I81" s="36"/>
      <c r="J81" s="36"/>
      <c r="K81" s="36"/>
      <c r="L81" s="36"/>
      <c r="M81" s="36"/>
      <c r="N81" s="36"/>
      <c r="O81" s="36"/>
      <c r="P81" s="36"/>
      <c r="Q81" s="36"/>
      <c r="R81" s="36"/>
      <c r="S81" s="36"/>
      <c r="T81" s="36"/>
      <c r="U81" s="36"/>
      <c r="V81" s="36"/>
      <c r="W81" s="36"/>
      <c r="X81" s="36"/>
      <c r="Y81" s="36"/>
      <c r="Z81" s="36"/>
    </row>
    <row r="82" spans="1:26" ht="24" customHeight="1">
      <c r="A82" s="445" t="s">
        <v>3523</v>
      </c>
      <c r="B82" s="440">
        <v>44578</v>
      </c>
      <c r="C82" s="437" t="s">
        <v>2495</v>
      </c>
      <c r="D82" s="176" t="s">
        <v>3524</v>
      </c>
      <c r="E82" s="391" t="s">
        <v>41</v>
      </c>
      <c r="F82" s="391" t="s">
        <v>42</v>
      </c>
      <c r="G82" s="35"/>
      <c r="H82" s="36"/>
      <c r="I82" s="36"/>
      <c r="J82" s="36"/>
      <c r="K82" s="36"/>
      <c r="L82" s="36"/>
      <c r="M82" s="36"/>
      <c r="N82" s="36"/>
      <c r="O82" s="36"/>
      <c r="P82" s="36"/>
      <c r="Q82" s="36"/>
      <c r="R82" s="36"/>
      <c r="S82" s="36"/>
      <c r="T82" s="36"/>
      <c r="U82" s="36"/>
      <c r="V82" s="36"/>
      <c r="W82" s="36"/>
      <c r="X82" s="36"/>
      <c r="Y82" s="36"/>
      <c r="Z82" s="36"/>
    </row>
    <row r="83" spans="1:26" ht="24" customHeight="1">
      <c r="A83" s="445" t="s">
        <v>3525</v>
      </c>
      <c r="B83" s="440">
        <v>44616</v>
      </c>
      <c r="C83" s="437" t="s">
        <v>2495</v>
      </c>
      <c r="D83" s="176" t="s">
        <v>3526</v>
      </c>
      <c r="E83" s="391" t="s">
        <v>41</v>
      </c>
      <c r="F83" s="391" t="s">
        <v>42</v>
      </c>
      <c r="G83" s="35"/>
      <c r="H83" s="36"/>
      <c r="I83" s="36"/>
      <c r="J83" s="36"/>
      <c r="K83" s="36"/>
      <c r="L83" s="36"/>
      <c r="M83" s="36"/>
      <c r="N83" s="36"/>
      <c r="O83" s="36"/>
      <c r="P83" s="36"/>
      <c r="Q83" s="36"/>
      <c r="R83" s="36"/>
      <c r="S83" s="36"/>
      <c r="T83" s="36"/>
      <c r="U83" s="36"/>
      <c r="V83" s="36"/>
      <c r="W83" s="36"/>
      <c r="X83" s="36"/>
      <c r="Y83" s="36"/>
      <c r="Z83" s="36"/>
    </row>
    <row r="84" spans="1:26" ht="24" customHeight="1">
      <c r="A84" s="445" t="s">
        <v>3527</v>
      </c>
      <c r="B84" s="440">
        <v>44270</v>
      </c>
      <c r="C84" s="437" t="s">
        <v>2495</v>
      </c>
      <c r="D84" s="176" t="s">
        <v>3528</v>
      </c>
      <c r="E84" s="391" t="s">
        <v>783</v>
      </c>
      <c r="F84" s="391" t="s">
        <v>42</v>
      </c>
      <c r="G84" s="35"/>
      <c r="H84" s="36"/>
      <c r="I84" s="36"/>
      <c r="J84" s="36"/>
      <c r="K84" s="36"/>
      <c r="L84" s="36"/>
      <c r="M84" s="36"/>
      <c r="N84" s="36"/>
      <c r="O84" s="36"/>
      <c r="P84" s="36"/>
      <c r="Q84" s="36"/>
      <c r="R84" s="36"/>
      <c r="S84" s="36"/>
      <c r="T84" s="36"/>
      <c r="U84" s="36"/>
      <c r="V84" s="36"/>
      <c r="W84" s="36"/>
      <c r="X84" s="36"/>
      <c r="Y84" s="36"/>
      <c r="Z84" s="36"/>
    </row>
    <row r="85" spans="1:26" ht="24" customHeight="1">
      <c r="A85" s="445" t="s">
        <v>3529</v>
      </c>
      <c r="B85" s="440">
        <v>44113</v>
      </c>
      <c r="C85" s="437" t="s">
        <v>61</v>
      </c>
      <c r="D85" s="176" t="s">
        <v>3530</v>
      </c>
      <c r="E85" s="391" t="s">
        <v>41</v>
      </c>
      <c r="F85" s="391" t="s">
        <v>42</v>
      </c>
      <c r="G85" s="35"/>
      <c r="H85" s="36"/>
      <c r="I85" s="36"/>
      <c r="J85" s="36"/>
      <c r="K85" s="36"/>
      <c r="L85" s="36"/>
      <c r="M85" s="36"/>
      <c r="N85" s="36"/>
      <c r="O85" s="36"/>
      <c r="P85" s="36"/>
      <c r="Q85" s="36"/>
      <c r="R85" s="36"/>
      <c r="S85" s="36"/>
      <c r="T85" s="36"/>
      <c r="U85" s="36"/>
      <c r="V85" s="36"/>
      <c r="W85" s="36"/>
      <c r="X85" s="36"/>
      <c r="Y85" s="36"/>
      <c r="Z85" s="36"/>
    </row>
    <row r="86" spans="1:26" ht="24" customHeight="1">
      <c r="A86" s="439" t="str">
        <f>HYPERLINK("https://www.alcaldiabogota.gov.co/sisjur/normas/Norma1.jsp?i=4813","DIRECTIVA PRESIDENCIAL 02")</f>
        <v>DIRECTIVA PRESIDENCIAL 02</v>
      </c>
      <c r="B86" s="440">
        <v>37299</v>
      </c>
      <c r="C86" s="437" t="s">
        <v>2495</v>
      </c>
      <c r="D86" s="441" t="s">
        <v>2496</v>
      </c>
      <c r="E86" s="437" t="s">
        <v>41</v>
      </c>
      <c r="F86" s="437" t="s">
        <v>97</v>
      </c>
      <c r="G86" s="35"/>
      <c r="H86" s="36"/>
      <c r="I86" s="36"/>
      <c r="J86" s="36"/>
      <c r="K86" s="36"/>
      <c r="L86" s="36"/>
      <c r="M86" s="36"/>
      <c r="N86" s="36"/>
      <c r="O86" s="36"/>
      <c r="P86" s="36"/>
      <c r="Q86" s="36"/>
      <c r="R86" s="36"/>
      <c r="S86" s="36"/>
      <c r="T86" s="36"/>
      <c r="U86" s="36"/>
      <c r="V86" s="36"/>
      <c r="W86" s="36"/>
      <c r="X86" s="36"/>
      <c r="Y86" s="36"/>
      <c r="Z86" s="36"/>
    </row>
    <row r="87" spans="1:26" ht="24" customHeight="1">
      <c r="A87" s="439" t="str">
        <f>HYPERLINK("https://www.alcaldiabogota.gov.co/sisjur/normas/Norma1.jsp?i=46724","DIRECTIVA 2")</f>
        <v>DIRECTIVA 2</v>
      </c>
      <c r="B87" s="440">
        <v>40998</v>
      </c>
      <c r="C87" s="437" t="s">
        <v>61</v>
      </c>
      <c r="D87" s="441" t="s">
        <v>2499</v>
      </c>
      <c r="E87" s="437" t="s">
        <v>41</v>
      </c>
      <c r="F87" s="437" t="s">
        <v>97</v>
      </c>
      <c r="G87" s="35"/>
      <c r="H87" s="36"/>
      <c r="I87" s="36"/>
      <c r="J87" s="36"/>
      <c r="K87" s="36"/>
      <c r="L87" s="36"/>
      <c r="M87" s="36"/>
      <c r="N87" s="36"/>
      <c r="O87" s="36"/>
      <c r="P87" s="36"/>
      <c r="Q87" s="36"/>
      <c r="R87" s="36"/>
      <c r="S87" s="36"/>
      <c r="T87" s="36"/>
      <c r="U87" s="36"/>
      <c r="V87" s="36"/>
      <c r="W87" s="36"/>
      <c r="X87" s="36"/>
      <c r="Y87" s="36"/>
      <c r="Z87" s="36"/>
    </row>
    <row r="88" spans="1:26" ht="24" customHeight="1">
      <c r="A88" s="439" t="str">
        <f>HYPERLINK("https://www.alcaldiabogota.gov.co/sisjur/normas/Norma1.jsp?i=45545","DIRECTIVA  22")</f>
        <v>DIRECTIVA  22</v>
      </c>
      <c r="B88" s="444">
        <v>40904</v>
      </c>
      <c r="C88" s="437" t="s">
        <v>61</v>
      </c>
      <c r="D88" s="441" t="s">
        <v>2501</v>
      </c>
      <c r="E88" s="437" t="s">
        <v>41</v>
      </c>
      <c r="F88" s="437" t="s">
        <v>97</v>
      </c>
      <c r="G88" s="35"/>
      <c r="H88" s="36"/>
      <c r="I88" s="36"/>
      <c r="J88" s="36"/>
      <c r="K88" s="36"/>
      <c r="L88" s="36"/>
      <c r="M88" s="36"/>
      <c r="N88" s="36"/>
      <c r="O88" s="36"/>
      <c r="P88" s="36"/>
      <c r="Q88" s="36"/>
      <c r="R88" s="36"/>
      <c r="S88" s="36"/>
      <c r="T88" s="36"/>
      <c r="U88" s="36"/>
      <c r="V88" s="36"/>
      <c r="W88" s="36"/>
      <c r="X88" s="36"/>
      <c r="Y88" s="36"/>
      <c r="Z88" s="36"/>
    </row>
    <row r="89" spans="1:26" ht="24" customHeight="1">
      <c r="A89" s="439" t="str">
        <f>HYPERLINK("https://www.alcaldiabogota.gov.co/sisjur/normas/Norma1.jsp?i=50214","DIRECTIVA  11")</f>
        <v>DIRECTIVA  11</v>
      </c>
      <c r="B89" s="440">
        <v>41214</v>
      </c>
      <c r="C89" s="437" t="s">
        <v>61</v>
      </c>
      <c r="D89" s="441" t="s">
        <v>2497</v>
      </c>
      <c r="E89" s="437" t="s">
        <v>41</v>
      </c>
      <c r="F89" s="437" t="s">
        <v>97</v>
      </c>
      <c r="G89" s="35"/>
      <c r="H89" s="36"/>
      <c r="I89" s="36"/>
      <c r="J89" s="36"/>
      <c r="K89" s="36"/>
      <c r="L89" s="36"/>
      <c r="M89" s="36"/>
      <c r="N89" s="36"/>
      <c r="O89" s="36"/>
      <c r="P89" s="36"/>
      <c r="Q89" s="36"/>
      <c r="R89" s="36"/>
      <c r="S89" s="36"/>
      <c r="T89" s="36"/>
      <c r="U89" s="36"/>
      <c r="V89" s="36"/>
      <c r="W89" s="36"/>
      <c r="X89" s="36"/>
      <c r="Y89" s="36"/>
      <c r="Z89" s="36"/>
    </row>
    <row r="90" spans="1:26" ht="24" customHeight="1">
      <c r="A90" s="439" t="str">
        <f>HYPERLINK("https://www.alcaldiabogota.gov.co/sisjur/normas/Norma1.jsp?i=17424","DIRECTIVA  5")</f>
        <v>DIRECTIVA  5</v>
      </c>
      <c r="B90" s="440">
        <v>38576</v>
      </c>
      <c r="C90" s="437" t="s">
        <v>61</v>
      </c>
      <c r="D90" s="441" t="s">
        <v>2503</v>
      </c>
      <c r="E90" s="437" t="s">
        <v>41</v>
      </c>
      <c r="F90" s="437" t="s">
        <v>97</v>
      </c>
      <c r="G90" s="35"/>
      <c r="H90" s="36"/>
      <c r="I90" s="36"/>
      <c r="J90" s="36"/>
      <c r="K90" s="36"/>
      <c r="L90" s="36"/>
      <c r="M90" s="36"/>
      <c r="N90" s="36"/>
      <c r="O90" s="36"/>
      <c r="P90" s="36"/>
      <c r="Q90" s="36"/>
      <c r="R90" s="36"/>
      <c r="S90" s="36"/>
      <c r="T90" s="36"/>
      <c r="U90" s="36"/>
      <c r="V90" s="36"/>
      <c r="W90" s="36"/>
      <c r="X90" s="36"/>
      <c r="Y90" s="36"/>
      <c r="Z90" s="36"/>
    </row>
    <row r="91" spans="1:26" ht="24" customHeight="1">
      <c r="A91" s="445" t="str">
        <f>HYPERLINK("https://tienda.icontec.org/wp-content/uploads/pdfs/NTC-ISO-IEC27001.pdf","ISO 27001")</f>
        <v>ISO 27001</v>
      </c>
      <c r="B91" s="440">
        <v>41619</v>
      </c>
      <c r="C91" s="437" t="s">
        <v>1101</v>
      </c>
      <c r="D91" s="441" t="s">
        <v>2505</v>
      </c>
      <c r="E91" s="437" t="s">
        <v>41</v>
      </c>
      <c r="F91" s="437" t="s">
        <v>97</v>
      </c>
      <c r="G91" s="35"/>
      <c r="H91" s="36"/>
      <c r="I91" s="36"/>
      <c r="J91" s="36"/>
      <c r="K91" s="36"/>
      <c r="L91" s="36"/>
      <c r="M91" s="36"/>
      <c r="N91" s="36"/>
      <c r="O91" s="36"/>
      <c r="P91" s="36"/>
      <c r="Q91" s="36"/>
      <c r="R91" s="36"/>
      <c r="S91" s="36"/>
      <c r="T91" s="36"/>
      <c r="U91" s="36"/>
      <c r="V91" s="36"/>
      <c r="W91" s="36"/>
      <c r="X91" s="36"/>
      <c r="Y91" s="36"/>
      <c r="Z91" s="36"/>
    </row>
    <row r="92" spans="1:26" ht="24" customHeight="1">
      <c r="A92" s="439" t="str">
        <f>HYPERLINK("https://www.armada.mil.co/sites/default/files/conpes_2790-gestion_publica_resultados.pdf","DOCUMENTO CONPES 2790")</f>
        <v>DOCUMENTO CONPES 2790</v>
      </c>
      <c r="B92" s="440">
        <v>34871</v>
      </c>
      <c r="C92" s="437" t="s">
        <v>302</v>
      </c>
      <c r="D92" s="441" t="s">
        <v>2507</v>
      </c>
      <c r="E92" s="437" t="s">
        <v>41</v>
      </c>
      <c r="F92" s="437" t="s">
        <v>97</v>
      </c>
      <c r="G92" s="35"/>
      <c r="H92" s="36"/>
      <c r="I92" s="36"/>
      <c r="J92" s="36"/>
      <c r="K92" s="36"/>
      <c r="L92" s="36"/>
      <c r="M92" s="36"/>
      <c r="N92" s="36"/>
      <c r="O92" s="36"/>
      <c r="P92" s="36"/>
      <c r="Q92" s="36"/>
      <c r="R92" s="36"/>
      <c r="S92" s="36"/>
      <c r="T92" s="36"/>
      <c r="U92" s="36"/>
      <c r="V92" s="36"/>
      <c r="W92" s="36"/>
      <c r="X92" s="36"/>
      <c r="Y92" s="36"/>
      <c r="Z92" s="36"/>
    </row>
    <row r="93" spans="1:26" ht="24" customHeight="1">
      <c r="A93" s="439" t="str">
        <f>HYPERLINK("https://www.mintic.gov.co/portal/604/articles-3499_documento.pdf","DOCUMENTO CONPES 3248")</f>
        <v>DOCUMENTO CONPES 3248</v>
      </c>
      <c r="B93" s="444">
        <v>37914</v>
      </c>
      <c r="C93" s="437" t="s">
        <v>302</v>
      </c>
      <c r="D93" s="441" t="s">
        <v>2511</v>
      </c>
      <c r="E93" s="437" t="s">
        <v>41</v>
      </c>
      <c r="F93" s="437" t="s">
        <v>97</v>
      </c>
      <c r="G93" s="35"/>
      <c r="H93" s="36"/>
      <c r="I93" s="36"/>
      <c r="J93" s="36"/>
      <c r="K93" s="36"/>
      <c r="L93" s="36"/>
      <c r="M93" s="36"/>
      <c r="N93" s="36"/>
      <c r="O93" s="36"/>
      <c r="P93" s="36"/>
      <c r="Q93" s="36"/>
      <c r="R93" s="36"/>
      <c r="S93" s="36"/>
      <c r="T93" s="36"/>
      <c r="U93" s="36"/>
      <c r="V93" s="36"/>
      <c r="W93" s="36"/>
      <c r="X93" s="36"/>
      <c r="Y93" s="36"/>
      <c r="Z93" s="36"/>
    </row>
    <row r="94" spans="1:26" ht="72" customHeight="1">
      <c r="A94" s="439" t="str">
        <f>HYPERLINK("https://www.mintic.gov.co/portal/604/articles-3510_documento.pdf","DOCUMENTO CONPES 3701")</f>
        <v>DOCUMENTO CONPES 3701</v>
      </c>
      <c r="B94" s="440">
        <v>40747</v>
      </c>
      <c r="C94" s="437" t="s">
        <v>302</v>
      </c>
      <c r="D94" s="441" t="s">
        <v>2513</v>
      </c>
      <c r="E94" s="437" t="s">
        <v>41</v>
      </c>
      <c r="F94" s="437" t="s">
        <v>97</v>
      </c>
      <c r="G94" s="35"/>
      <c r="H94" s="36"/>
      <c r="I94" s="36"/>
      <c r="J94" s="36"/>
      <c r="K94" s="36"/>
      <c r="L94" s="36"/>
      <c r="M94" s="36"/>
      <c r="N94" s="36"/>
      <c r="O94" s="36"/>
      <c r="P94" s="36"/>
      <c r="Q94" s="36"/>
      <c r="R94" s="36"/>
      <c r="S94" s="36"/>
      <c r="T94" s="36"/>
      <c r="U94" s="36"/>
      <c r="V94" s="36"/>
      <c r="W94" s="36"/>
      <c r="X94" s="36"/>
      <c r="Y94" s="36"/>
      <c r="Z94" s="36"/>
    </row>
    <row r="95" spans="1:26" ht="48" customHeight="1">
      <c r="A95" s="439" t="str">
        <f>HYPERLINK("https://www.google.com/url?sa=t&amp;rct=j&amp;q=&amp;esrc=s&amp;source=web&amp;cd=1&amp;ved=2ahUKEwjQitaui-3lAhULnlkKHat0AIQQFjAAegQIABAC&amp;url=https%3A%2F%2Fcolaboracion.dnp.gov.co%2FCDT%2FConpes%2FEcon%25C3%25B3micos%2F3854.pdf&amp;usg=AOvVaw0CkF2NCHPpfYFfcrCJoz1U","DOCUMENTO CONPES 3854")</f>
        <v>DOCUMENTO CONPES 3854</v>
      </c>
      <c r="B95" s="440">
        <v>42471</v>
      </c>
      <c r="C95" s="437" t="s">
        <v>302</v>
      </c>
      <c r="D95" s="441" t="s">
        <v>2515</v>
      </c>
      <c r="E95" s="437" t="s">
        <v>41</v>
      </c>
      <c r="F95" s="437" t="s">
        <v>97</v>
      </c>
      <c r="G95" s="35"/>
      <c r="H95" s="36"/>
      <c r="I95" s="36"/>
      <c r="J95" s="36"/>
      <c r="K95" s="36"/>
      <c r="L95" s="36"/>
      <c r="M95" s="36"/>
      <c r="N95" s="36"/>
      <c r="O95" s="36"/>
      <c r="P95" s="36"/>
      <c r="Q95" s="36"/>
      <c r="R95" s="36"/>
      <c r="S95" s="36"/>
      <c r="T95" s="36"/>
      <c r="U95" s="36"/>
      <c r="V95" s="36"/>
      <c r="W95" s="36"/>
      <c r="X95" s="36"/>
      <c r="Y95" s="36"/>
      <c r="Z95" s="36"/>
    </row>
    <row r="96" spans="1:26" ht="24" customHeight="1">
      <c r="A96" s="439" t="str">
        <f>HYPERLINK("https://ntc5854.accesibilidadweb.co/","NTC 5854 ICONTEC 2012 ")</f>
        <v xml:space="preserve">NTC 5854 ICONTEC 2012 </v>
      </c>
      <c r="B96" s="440">
        <v>41085</v>
      </c>
      <c r="C96" s="437" t="s">
        <v>1101</v>
      </c>
      <c r="D96" s="441" t="s">
        <v>2517</v>
      </c>
      <c r="E96" s="437" t="s">
        <v>41</v>
      </c>
      <c r="F96" s="437" t="s">
        <v>97</v>
      </c>
      <c r="G96" s="35"/>
      <c r="H96" s="36"/>
      <c r="I96" s="36"/>
      <c r="J96" s="36"/>
      <c r="K96" s="36"/>
      <c r="L96" s="36"/>
      <c r="M96" s="36"/>
      <c r="N96" s="36"/>
      <c r="O96" s="36"/>
      <c r="P96" s="36"/>
      <c r="Q96" s="36"/>
      <c r="R96" s="36"/>
      <c r="S96" s="36"/>
      <c r="T96" s="36"/>
      <c r="U96" s="36"/>
      <c r="V96" s="36"/>
      <c r="W96" s="36"/>
      <c r="X96" s="36"/>
      <c r="Y96" s="36"/>
      <c r="Z96" s="36"/>
    </row>
    <row r="97" spans="1:26" ht="24" customHeight="1">
      <c r="A97" s="439" t="str">
        <f>HYPERLINK("https://www.colciencias.gov.co/node/301","DOCUMENTO CONPES 3582")</f>
        <v>DOCUMENTO CONPES 3582</v>
      </c>
      <c r="B97" s="440">
        <v>39930</v>
      </c>
      <c r="C97" s="437" t="s">
        <v>302</v>
      </c>
      <c r="D97" s="441" t="s">
        <v>2519</v>
      </c>
      <c r="E97" s="437" t="s">
        <v>41</v>
      </c>
      <c r="F97" s="437" t="s">
        <v>97</v>
      </c>
      <c r="G97" s="35"/>
      <c r="H97" s="36"/>
      <c r="I97" s="36"/>
      <c r="J97" s="36"/>
      <c r="K97" s="36"/>
      <c r="L97" s="36"/>
      <c r="M97" s="36"/>
      <c r="N97" s="36"/>
      <c r="O97" s="36"/>
      <c r="P97" s="36"/>
      <c r="Q97" s="36"/>
      <c r="R97" s="36"/>
      <c r="S97" s="36"/>
      <c r="T97" s="36"/>
      <c r="U97" s="36"/>
      <c r="V97" s="36"/>
      <c r="W97" s="36"/>
      <c r="X97" s="36"/>
      <c r="Y97" s="36"/>
      <c r="Z97" s="36"/>
    </row>
    <row r="98" spans="1:26" ht="36" customHeight="1">
      <c r="A98" s="439" t="str">
        <f>HYPERLINK("https://www.google.com/url?sa=t&amp;rct=j&amp;q=&amp;esrc=s&amp;source=web&amp;cd=1&amp;cad=rja&amp;uact=8&amp;ved=2ahUKEwiw_cv7jO3lAhWhuVkKHUQxDmAQFjAAegQIAxAC&amp;url=https%3A%2F%2Fcolaboracion.dnp.gov.co%2FCDT%2FConpes%2FEcon%25C3%25B3micos%2F3920.pdf&amp;usg=AOvVaw3b5kylSnGcUegHu_awnvoR","DOCUMENTO CONPES 3920")</f>
        <v>DOCUMENTO CONPES 3920</v>
      </c>
      <c r="B98" s="440">
        <v>43207</v>
      </c>
      <c r="C98" s="437" t="s">
        <v>302</v>
      </c>
      <c r="D98" s="441" t="s">
        <v>2521</v>
      </c>
      <c r="E98" s="437" t="s">
        <v>41</v>
      </c>
      <c r="F98" s="437" t="s">
        <v>97</v>
      </c>
      <c r="G98" s="35"/>
      <c r="H98" s="36"/>
      <c r="I98" s="36"/>
      <c r="J98" s="36"/>
      <c r="K98" s="36"/>
      <c r="L98" s="36"/>
      <c r="M98" s="36"/>
      <c r="N98" s="36"/>
      <c r="O98" s="36"/>
      <c r="P98" s="36"/>
      <c r="Q98" s="36"/>
      <c r="R98" s="36"/>
      <c r="S98" s="36"/>
      <c r="T98" s="36"/>
      <c r="U98" s="36"/>
      <c r="V98" s="36"/>
      <c r="W98" s="36"/>
      <c r="X98" s="36"/>
      <c r="Y98" s="36"/>
      <c r="Z98" s="36"/>
    </row>
    <row r="99" spans="1:26" ht="24" customHeight="1">
      <c r="A99" s="439" t="str">
        <f>HYPERLINK("https://www.mintic.gov.co/portal/604/articles-107147_recurso_1.pdf","DOCUMENTO CONPES 3920")</f>
        <v>DOCUMENTO CONPES 3920</v>
      </c>
      <c r="B99" s="163">
        <v>43777</v>
      </c>
      <c r="C99" s="437" t="s">
        <v>302</v>
      </c>
      <c r="D99" s="175" t="s">
        <v>3531</v>
      </c>
      <c r="E99" s="158" t="s">
        <v>41</v>
      </c>
      <c r="F99" s="437" t="s">
        <v>97</v>
      </c>
      <c r="G99" s="35"/>
      <c r="H99" s="36"/>
      <c r="I99" s="36"/>
      <c r="J99" s="36"/>
      <c r="K99" s="36"/>
      <c r="L99" s="36"/>
      <c r="M99" s="36"/>
      <c r="N99" s="36"/>
      <c r="O99" s="36"/>
      <c r="P99" s="36"/>
      <c r="Q99" s="36"/>
      <c r="R99" s="36"/>
      <c r="S99" s="36"/>
      <c r="T99" s="36"/>
      <c r="U99" s="36"/>
      <c r="V99" s="36"/>
      <c r="W99" s="36"/>
      <c r="X99" s="36"/>
      <c r="Y99" s="36"/>
      <c r="Z99" s="36"/>
    </row>
    <row r="100" spans="1:26" ht="24" customHeight="1">
      <c r="A100" s="450" t="str">
        <f>HYPERLINK("https://www.mintic.gov.co/portal/604/articles-59399_documento.pdf","DECRETO 1413")</f>
        <v>DECRETO 1413</v>
      </c>
      <c r="B100" s="440">
        <v>42972</v>
      </c>
      <c r="C100" s="437" t="s">
        <v>599</v>
      </c>
      <c r="D100" s="441" t="s">
        <v>2523</v>
      </c>
      <c r="E100" s="437" t="s">
        <v>41</v>
      </c>
      <c r="F100" s="437" t="s">
        <v>97</v>
      </c>
      <c r="G100" s="35"/>
      <c r="H100" s="36"/>
      <c r="I100" s="36"/>
      <c r="J100" s="36"/>
      <c r="K100" s="36"/>
      <c r="L100" s="36"/>
      <c r="M100" s="36"/>
      <c r="N100" s="36"/>
      <c r="O100" s="36"/>
      <c r="P100" s="36"/>
      <c r="Q100" s="36"/>
      <c r="R100" s="36"/>
      <c r="S100" s="36"/>
      <c r="T100" s="36"/>
      <c r="U100" s="36"/>
      <c r="V100" s="36"/>
      <c r="W100" s="36"/>
      <c r="X100" s="36"/>
      <c r="Y100" s="36"/>
      <c r="Z100" s="36"/>
    </row>
    <row r="101" spans="1:26" ht="24" customHeight="1">
      <c r="A101" s="439" t="str">
        <f>HYPERLINK("https://www.google.com/url?sa=t&amp;rct=j&amp;q=&amp;esrc=s&amp;source=web&amp;cd=1&amp;cad=rja&amp;uact=8&amp;ved=2ahUKEwiM96H_ju3lAhVP2FkKHcQ2BikQFjAAegQIABAC&amp;url=https%3A%2F%2Fwww.mintic.gov.co%2Fportal%2F604%2Farticles-14673_documento.pdf&amp;usg=AOvVaw26a3ZJWKHXpL7lh1ACh5Md","DECRETO 2753 ")</f>
        <v xml:space="preserve">DECRETO 2753 </v>
      </c>
      <c r="B101" s="444">
        <v>41985</v>
      </c>
      <c r="C101" s="437" t="s">
        <v>599</v>
      </c>
      <c r="D101" s="441" t="s">
        <v>2525</v>
      </c>
      <c r="E101" s="437" t="s">
        <v>41</v>
      </c>
      <c r="F101" s="437" t="s">
        <v>97</v>
      </c>
      <c r="G101" s="35"/>
      <c r="H101" s="36"/>
      <c r="I101" s="36"/>
      <c r="J101" s="36"/>
      <c r="K101" s="36"/>
      <c r="L101" s="36"/>
      <c r="M101" s="36"/>
      <c r="N101" s="36"/>
      <c r="O101" s="36"/>
      <c r="P101" s="36"/>
      <c r="Q101" s="36"/>
      <c r="R101" s="36"/>
      <c r="S101" s="36"/>
      <c r="T101" s="36"/>
      <c r="U101" s="36"/>
      <c r="V101" s="36"/>
      <c r="W101" s="36"/>
      <c r="X101" s="36"/>
      <c r="Y101" s="36"/>
      <c r="Z101" s="36"/>
    </row>
    <row r="102" spans="1:26" ht="24" customHeight="1">
      <c r="A102" s="451" t="str">
        <f>HYPERLINK("http://www.alcaldiabogota.gov.co/sisjur/normas/Norma1.jsp?i=15385","Acuerdo 130")</f>
        <v>Acuerdo 130</v>
      </c>
      <c r="B102" s="440">
        <v>38328</v>
      </c>
      <c r="C102" s="437" t="s">
        <v>2527</v>
      </c>
      <c r="D102" s="441" t="s">
        <v>2528</v>
      </c>
      <c r="E102" s="437" t="s">
        <v>41</v>
      </c>
      <c r="F102" s="437" t="s">
        <v>97</v>
      </c>
      <c r="G102" s="35"/>
      <c r="H102" s="36"/>
      <c r="I102" s="36"/>
      <c r="J102" s="36"/>
      <c r="K102" s="36"/>
      <c r="L102" s="36"/>
      <c r="M102" s="36"/>
      <c r="N102" s="36"/>
      <c r="O102" s="36"/>
      <c r="P102" s="36"/>
      <c r="Q102" s="36"/>
      <c r="R102" s="36"/>
      <c r="S102" s="36"/>
      <c r="T102" s="36"/>
      <c r="U102" s="36"/>
      <c r="V102" s="36"/>
      <c r="W102" s="36"/>
      <c r="X102" s="36"/>
      <c r="Y102" s="36"/>
      <c r="Z102" s="36"/>
    </row>
    <row r="103" spans="1:26" ht="12" customHeight="1">
      <c r="A103" s="450" t="s">
        <v>3532</v>
      </c>
      <c r="B103" s="440">
        <v>44446</v>
      </c>
      <c r="C103" s="437" t="s">
        <v>2527</v>
      </c>
      <c r="D103" s="441" t="s">
        <v>3533</v>
      </c>
      <c r="E103" s="391" t="s">
        <v>41</v>
      </c>
      <c r="F103" s="391" t="s">
        <v>97</v>
      </c>
      <c r="G103" s="35"/>
      <c r="H103" s="36"/>
      <c r="I103" s="36"/>
      <c r="J103" s="36"/>
      <c r="K103" s="36"/>
      <c r="L103" s="36"/>
      <c r="M103" s="36"/>
      <c r="N103" s="36"/>
      <c r="O103" s="36"/>
      <c r="P103" s="36"/>
      <c r="Q103" s="36"/>
      <c r="R103" s="36"/>
      <c r="S103" s="36"/>
      <c r="T103" s="36"/>
      <c r="U103" s="36"/>
      <c r="V103" s="36"/>
      <c r="W103" s="36"/>
      <c r="X103" s="36"/>
      <c r="Y103" s="36"/>
      <c r="Z103" s="36"/>
    </row>
    <row r="104" spans="1:26" ht="12" customHeight="1">
      <c r="A104" s="450" t="s">
        <v>2529</v>
      </c>
      <c r="B104" s="440">
        <v>43164</v>
      </c>
      <c r="C104" s="437" t="s">
        <v>2530</v>
      </c>
      <c r="D104" s="441" t="s">
        <v>2531</v>
      </c>
      <c r="E104" s="437" t="s">
        <v>41</v>
      </c>
      <c r="F104" s="437" t="s">
        <v>97</v>
      </c>
      <c r="G104" s="35"/>
      <c r="H104" s="36"/>
      <c r="I104" s="36"/>
      <c r="J104" s="36"/>
      <c r="K104" s="36"/>
      <c r="L104" s="36"/>
      <c r="M104" s="36"/>
      <c r="N104" s="36"/>
      <c r="O104" s="36"/>
      <c r="P104" s="36"/>
      <c r="Q104" s="36"/>
      <c r="R104" s="36"/>
      <c r="S104" s="36"/>
      <c r="T104" s="36"/>
      <c r="U104" s="36"/>
      <c r="V104" s="36"/>
      <c r="W104" s="36"/>
      <c r="X104" s="36"/>
      <c r="Y104" s="36"/>
      <c r="Z104" s="36"/>
    </row>
    <row r="105" spans="1:26" ht="12" customHeight="1">
      <c r="A105" s="450" t="s">
        <v>2532</v>
      </c>
      <c r="B105" s="440">
        <v>43164</v>
      </c>
      <c r="C105" s="437" t="s">
        <v>2530</v>
      </c>
      <c r="D105" s="441" t="s">
        <v>2533</v>
      </c>
      <c r="E105" s="437" t="s">
        <v>41</v>
      </c>
      <c r="F105" s="437" t="s">
        <v>97</v>
      </c>
      <c r="G105" s="35"/>
      <c r="H105" s="36"/>
      <c r="I105" s="36"/>
      <c r="J105" s="36"/>
      <c r="K105" s="36"/>
      <c r="L105" s="36"/>
      <c r="M105" s="36"/>
      <c r="N105" s="36"/>
      <c r="O105" s="36"/>
      <c r="P105" s="36"/>
      <c r="Q105" s="36"/>
      <c r="R105" s="36"/>
      <c r="S105" s="36"/>
      <c r="T105" s="36"/>
      <c r="U105" s="36"/>
      <c r="V105" s="36"/>
      <c r="W105" s="36"/>
      <c r="X105" s="36"/>
      <c r="Y105" s="36"/>
      <c r="Z105" s="36"/>
    </row>
    <row r="106" spans="1:26" ht="12" customHeight="1">
      <c r="A106" s="450" t="s">
        <v>2534</v>
      </c>
      <c r="B106" s="440">
        <v>43164</v>
      </c>
      <c r="C106" s="437" t="s">
        <v>2530</v>
      </c>
      <c r="D106" s="441" t="s">
        <v>2535</v>
      </c>
      <c r="E106" s="437" t="s">
        <v>41</v>
      </c>
      <c r="F106" s="437" t="s">
        <v>97</v>
      </c>
      <c r="G106" s="35"/>
      <c r="H106" s="74"/>
      <c r="I106" s="74"/>
      <c r="J106" s="74"/>
      <c r="K106" s="74"/>
      <c r="L106" s="74"/>
      <c r="M106" s="74"/>
      <c r="N106" s="74"/>
      <c r="O106" s="74"/>
      <c r="P106" s="74"/>
      <c r="Q106" s="74"/>
      <c r="R106" s="74"/>
      <c r="S106" s="74"/>
      <c r="T106" s="74"/>
      <c r="U106" s="74"/>
      <c r="V106" s="74"/>
      <c r="W106" s="74"/>
      <c r="X106" s="74"/>
      <c r="Y106" s="74"/>
      <c r="Z106" s="74"/>
    </row>
    <row r="107" spans="1:26" ht="12" customHeight="1">
      <c r="A107" s="450" t="s">
        <v>2536</v>
      </c>
      <c r="B107" s="444">
        <v>43067</v>
      </c>
      <c r="C107" s="437" t="s">
        <v>2530</v>
      </c>
      <c r="D107" s="441" t="s">
        <v>2537</v>
      </c>
      <c r="E107" s="437" t="s">
        <v>41</v>
      </c>
      <c r="F107" s="437" t="s">
        <v>97</v>
      </c>
      <c r="G107" s="35"/>
      <c r="H107" s="74"/>
      <c r="I107" s="74"/>
      <c r="J107" s="74"/>
      <c r="K107" s="74"/>
      <c r="L107" s="74"/>
      <c r="M107" s="74"/>
      <c r="N107" s="74"/>
      <c r="O107" s="74"/>
      <c r="P107" s="74"/>
      <c r="Q107" s="74"/>
      <c r="R107" s="74"/>
      <c r="S107" s="74"/>
      <c r="T107" s="74"/>
      <c r="U107" s="74"/>
      <c r="V107" s="74"/>
      <c r="W107" s="74"/>
      <c r="X107" s="74"/>
      <c r="Y107" s="74"/>
      <c r="Z107" s="74"/>
    </row>
    <row r="108" spans="1:26" ht="12" customHeight="1">
      <c r="A108" s="450" t="s">
        <v>2534</v>
      </c>
      <c r="B108" s="440">
        <v>42989</v>
      </c>
      <c r="C108" s="437" t="s">
        <v>2530</v>
      </c>
      <c r="D108" s="441" t="s">
        <v>2538</v>
      </c>
      <c r="E108" s="437" t="s">
        <v>41</v>
      </c>
      <c r="F108" s="437" t="s">
        <v>97</v>
      </c>
      <c r="G108" s="35"/>
      <c r="H108" s="74"/>
      <c r="I108" s="74"/>
      <c r="J108" s="74"/>
      <c r="K108" s="74"/>
      <c r="L108" s="74"/>
      <c r="M108" s="74"/>
      <c r="N108" s="74"/>
      <c r="O108" s="74"/>
      <c r="P108" s="74"/>
      <c r="Q108" s="74"/>
      <c r="R108" s="74"/>
      <c r="S108" s="74"/>
      <c r="T108" s="74"/>
      <c r="U108" s="74"/>
      <c r="V108" s="74"/>
      <c r="W108" s="74"/>
      <c r="X108" s="74"/>
      <c r="Y108" s="74"/>
      <c r="Z108" s="74"/>
    </row>
    <row r="109" spans="1:26" ht="12" customHeight="1">
      <c r="A109" s="439" t="s">
        <v>3534</v>
      </c>
      <c r="B109" s="440">
        <v>44585</v>
      </c>
      <c r="C109" s="391" t="s">
        <v>3535</v>
      </c>
      <c r="D109" s="176" t="s">
        <v>3536</v>
      </c>
      <c r="E109" s="391" t="s">
        <v>41</v>
      </c>
      <c r="F109" s="391" t="s">
        <v>97</v>
      </c>
      <c r="G109" s="35"/>
      <c r="H109" s="74"/>
      <c r="I109" s="74"/>
      <c r="J109" s="74"/>
      <c r="K109" s="74"/>
      <c r="L109" s="74"/>
      <c r="M109" s="74"/>
      <c r="N109" s="74"/>
      <c r="O109" s="74"/>
      <c r="P109" s="74"/>
      <c r="Q109" s="74"/>
      <c r="R109" s="74"/>
      <c r="S109" s="74"/>
      <c r="T109" s="74"/>
      <c r="U109" s="74"/>
      <c r="V109" s="74"/>
      <c r="W109" s="74"/>
      <c r="X109" s="74"/>
      <c r="Y109" s="74"/>
      <c r="Z109" s="74"/>
    </row>
    <row r="110" spans="1:26" ht="12" customHeight="1">
      <c r="A110" s="452"/>
      <c r="B110" s="453"/>
      <c r="C110" s="454"/>
      <c r="D110" s="455"/>
      <c r="E110" s="456"/>
      <c r="F110" s="457"/>
      <c r="G110" s="35"/>
      <c r="H110" s="74"/>
      <c r="I110" s="74"/>
      <c r="J110" s="74"/>
      <c r="K110" s="74"/>
      <c r="L110" s="74"/>
      <c r="M110" s="74"/>
      <c r="N110" s="74"/>
      <c r="O110" s="74"/>
      <c r="P110" s="74"/>
      <c r="Q110" s="74"/>
      <c r="R110" s="74"/>
      <c r="S110" s="74"/>
      <c r="T110" s="74"/>
      <c r="U110" s="74"/>
      <c r="V110" s="74"/>
      <c r="W110" s="74"/>
      <c r="X110" s="74"/>
      <c r="Y110" s="74"/>
      <c r="Z110" s="74"/>
    </row>
    <row r="111" spans="1:26" ht="12" customHeight="1">
      <c r="A111" s="452"/>
      <c r="B111" s="453"/>
      <c r="C111" s="454"/>
      <c r="D111" s="452"/>
      <c r="E111" s="456"/>
      <c r="F111" s="457"/>
      <c r="G111" s="35"/>
      <c r="H111" s="74"/>
      <c r="I111" s="74"/>
      <c r="J111" s="74"/>
      <c r="K111" s="74"/>
      <c r="L111" s="74"/>
      <c r="M111" s="74"/>
      <c r="N111" s="74"/>
      <c r="O111" s="74"/>
      <c r="P111" s="74"/>
      <c r="Q111" s="74"/>
      <c r="R111" s="74"/>
      <c r="S111" s="74"/>
      <c r="T111" s="74"/>
      <c r="U111" s="74"/>
      <c r="V111" s="74"/>
      <c r="W111" s="74"/>
      <c r="X111" s="74"/>
      <c r="Y111" s="74"/>
      <c r="Z111" s="74"/>
    </row>
    <row r="112" spans="1:26" ht="12" customHeight="1">
      <c r="A112" s="452"/>
      <c r="B112" s="453"/>
      <c r="C112" s="454"/>
      <c r="D112" s="452"/>
      <c r="E112" s="456"/>
      <c r="F112" s="457"/>
      <c r="G112" s="35"/>
      <c r="H112" s="74"/>
      <c r="I112" s="74"/>
      <c r="J112" s="74"/>
      <c r="K112" s="74"/>
      <c r="L112" s="74"/>
      <c r="M112" s="74"/>
      <c r="N112" s="74"/>
      <c r="O112" s="74"/>
      <c r="P112" s="74"/>
      <c r="Q112" s="74"/>
      <c r="R112" s="74"/>
      <c r="S112" s="74"/>
      <c r="T112" s="74"/>
      <c r="U112" s="74"/>
      <c r="V112" s="74"/>
      <c r="W112" s="74"/>
      <c r="X112" s="74"/>
      <c r="Y112" s="74"/>
      <c r="Z112" s="74"/>
    </row>
    <row r="113" spans="1:26" ht="12" customHeight="1">
      <c r="A113" s="452"/>
      <c r="B113" s="453"/>
      <c r="C113" s="454"/>
      <c r="D113" s="452"/>
      <c r="E113" s="456"/>
      <c r="F113" s="457"/>
      <c r="G113" s="35"/>
      <c r="H113" s="74"/>
      <c r="I113" s="74"/>
      <c r="J113" s="74"/>
      <c r="K113" s="74"/>
      <c r="L113" s="74"/>
      <c r="M113" s="74"/>
      <c r="N113" s="74"/>
      <c r="O113" s="74"/>
      <c r="P113" s="74"/>
      <c r="Q113" s="74"/>
      <c r="R113" s="74"/>
      <c r="S113" s="74"/>
      <c r="T113" s="74"/>
      <c r="U113" s="74"/>
      <c r="V113" s="74"/>
      <c r="W113" s="74"/>
      <c r="X113" s="74"/>
      <c r="Y113" s="74"/>
      <c r="Z113" s="74"/>
    </row>
    <row r="114" spans="1:26" ht="12" customHeight="1">
      <c r="A114" s="452"/>
      <c r="B114" s="453"/>
      <c r="C114" s="454"/>
      <c r="D114" s="452"/>
      <c r="E114" s="456"/>
      <c r="F114" s="457"/>
      <c r="G114" s="35"/>
      <c r="H114" s="74"/>
      <c r="I114" s="74"/>
      <c r="J114" s="74"/>
      <c r="K114" s="74"/>
      <c r="L114" s="74"/>
      <c r="M114" s="74"/>
      <c r="N114" s="74"/>
      <c r="O114" s="74"/>
      <c r="P114" s="74"/>
      <c r="Q114" s="74"/>
      <c r="R114" s="74"/>
      <c r="S114" s="74"/>
      <c r="T114" s="74"/>
      <c r="U114" s="74"/>
      <c r="V114" s="74"/>
      <c r="W114" s="74"/>
      <c r="X114" s="74"/>
      <c r="Y114" s="74"/>
      <c r="Z114" s="74"/>
    </row>
  </sheetData>
  <autoFilter ref="A6:Z110" xr:uid="{00000000-0009-0000-0000-000012000000}"/>
  <mergeCells count="3">
    <mergeCell ref="A2:F2"/>
    <mergeCell ref="A3:F3"/>
    <mergeCell ref="A5:F5"/>
  </mergeCells>
  <hyperlinks>
    <hyperlink ref="F4" location="Menu por Procesos!A1" display="MENU" xr:uid="{00000000-0004-0000-1200-000000000000}"/>
    <hyperlink ref="A25" r:id="rId1" xr:uid="{00000000-0004-0000-1200-000001000000}"/>
    <hyperlink ref="A49" r:id="rId2" xr:uid="{00000000-0004-0000-1200-000002000000}"/>
    <hyperlink ref="A50" r:id="rId3" xr:uid="{00000000-0004-0000-1200-000003000000}"/>
    <hyperlink ref="A52" r:id="rId4" xr:uid="{00000000-0004-0000-1200-000004000000}"/>
    <hyperlink ref="A54" r:id="rId5" xr:uid="{00000000-0004-0000-1200-000005000000}"/>
    <hyperlink ref="A64" r:id="rId6" xr:uid="{00000000-0004-0000-1200-000006000000}"/>
    <hyperlink ref="A69" r:id="rId7" xr:uid="{00000000-0004-0000-1200-000007000000}"/>
    <hyperlink ref="A82" r:id="rId8" xr:uid="{00000000-0004-0000-1200-000008000000}"/>
    <hyperlink ref="A83" r:id="rId9" xr:uid="{00000000-0004-0000-1200-000009000000}"/>
    <hyperlink ref="A84" r:id="rId10" xr:uid="{00000000-0004-0000-1200-00000A000000}"/>
    <hyperlink ref="A85" r:id="rId11" xr:uid="{00000000-0004-0000-1200-00000B000000}"/>
    <hyperlink ref="A103" r:id="rId12" xr:uid="{00000000-0004-0000-1200-00000C000000}"/>
    <hyperlink ref="A104" r:id="rId13" xr:uid="{00000000-0004-0000-1200-00000D000000}"/>
    <hyperlink ref="A105" r:id="rId14" xr:uid="{00000000-0004-0000-1200-00000E000000}"/>
    <hyperlink ref="A106" r:id="rId15" xr:uid="{00000000-0004-0000-1200-00000F000000}"/>
    <hyperlink ref="A107" r:id="rId16" xr:uid="{00000000-0004-0000-1200-000010000000}"/>
    <hyperlink ref="A108" r:id="rId17" xr:uid="{00000000-0004-0000-1200-000011000000}"/>
    <hyperlink ref="A109" r:id="rId18" xr:uid="{00000000-0004-0000-1200-000012000000}"/>
  </hyperlinks>
  <pageMargins left="0.7" right="0.7" top="0.75" bottom="0.75" header="0" footer="0"/>
  <pageSetup orientation="landscape"/>
  <drawing r:id="rId19"/>
  <legacyDrawing r:id="rId2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74E13"/>
  </sheetPr>
  <dimension ref="A1:AB132"/>
  <sheetViews>
    <sheetView workbookViewId="0">
      <pane ySplit="4" topLeftCell="A5" activePane="bottomLeft" state="frozen"/>
      <selection pane="bottomLeft" activeCell="B6" sqref="B6"/>
    </sheetView>
  </sheetViews>
  <sheetFormatPr baseColWidth="10" defaultColWidth="14.42578125" defaultRowHeight="15" customHeight="1"/>
  <cols>
    <col min="1" max="1" width="37.85546875" customWidth="1"/>
    <col min="2" max="2" width="19"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2.25" customHeight="1">
      <c r="A1" s="767" t="s">
        <v>28</v>
      </c>
      <c r="B1" s="765"/>
      <c r="C1" s="765"/>
      <c r="D1" s="765"/>
      <c r="E1" s="765"/>
      <c r="F1" s="766"/>
      <c r="G1" s="15"/>
      <c r="H1" s="16"/>
      <c r="I1" s="17"/>
      <c r="J1" s="18"/>
      <c r="K1" s="18"/>
      <c r="L1" s="18"/>
      <c r="M1" s="18"/>
      <c r="N1" s="18"/>
      <c r="O1" s="18"/>
      <c r="P1" s="18"/>
      <c r="Q1" s="18"/>
      <c r="R1" s="18"/>
      <c r="S1" s="18"/>
      <c r="T1" s="18"/>
      <c r="U1" s="18"/>
      <c r="V1" s="18"/>
      <c r="W1" s="18"/>
      <c r="X1" s="18"/>
      <c r="Y1" s="18"/>
      <c r="Z1" s="18"/>
      <c r="AA1" s="18"/>
      <c r="AB1" s="18"/>
    </row>
    <row r="2" spans="1:28" ht="24" customHeight="1">
      <c r="A2" s="768" t="s">
        <v>29</v>
      </c>
      <c r="B2" s="769"/>
      <c r="C2" s="769"/>
      <c r="D2" s="769"/>
      <c r="E2" s="19"/>
      <c r="F2" s="20" t="s">
        <v>30</v>
      </c>
      <c r="G2" s="19"/>
      <c r="H2" s="21"/>
      <c r="I2" s="17"/>
      <c r="J2" s="18"/>
      <c r="K2" s="18"/>
      <c r="L2" s="18"/>
      <c r="M2" s="18"/>
      <c r="N2" s="18"/>
      <c r="O2" s="18"/>
      <c r="P2" s="18"/>
      <c r="Q2" s="18"/>
      <c r="R2" s="18"/>
      <c r="S2" s="18"/>
      <c r="T2" s="18"/>
      <c r="U2" s="18"/>
      <c r="V2" s="18"/>
      <c r="W2" s="18"/>
      <c r="X2" s="18"/>
      <c r="Y2" s="18"/>
      <c r="Z2" s="18"/>
      <c r="AA2" s="18"/>
      <c r="AB2" s="18"/>
    </row>
    <row r="3" spans="1:28" ht="26.25" customHeight="1">
      <c r="A3" s="770" t="s">
        <v>31</v>
      </c>
      <c r="B3" s="765"/>
      <c r="C3" s="765"/>
      <c r="D3" s="765"/>
      <c r="E3" s="765"/>
      <c r="F3" s="766"/>
      <c r="G3" s="16"/>
      <c r="H3" s="22"/>
      <c r="I3" s="17"/>
      <c r="J3" s="18"/>
      <c r="K3" s="18"/>
      <c r="L3" s="18"/>
      <c r="M3" s="18"/>
      <c r="N3" s="18"/>
      <c r="O3" s="18"/>
      <c r="P3" s="18"/>
      <c r="Q3" s="18"/>
      <c r="R3" s="18"/>
      <c r="S3" s="18"/>
      <c r="T3" s="18"/>
      <c r="U3" s="18"/>
      <c r="V3" s="18"/>
      <c r="W3" s="18"/>
      <c r="X3" s="18"/>
      <c r="Y3" s="18"/>
      <c r="Z3" s="18"/>
      <c r="AA3" s="18"/>
      <c r="AB3" s="18"/>
    </row>
    <row r="4" spans="1:28" ht="33" customHeight="1">
      <c r="A4" s="23" t="s">
        <v>31</v>
      </c>
      <c r="B4" s="24" t="s">
        <v>32</v>
      </c>
      <c r="C4" s="25" t="s">
        <v>33</v>
      </c>
      <c r="D4" s="25" t="s">
        <v>34</v>
      </c>
      <c r="E4" s="25" t="s">
        <v>35</v>
      </c>
      <c r="F4" s="25" t="s">
        <v>36</v>
      </c>
      <c r="G4" s="26" t="s">
        <v>37</v>
      </c>
      <c r="H4" s="27" t="s">
        <v>38</v>
      </c>
      <c r="I4" s="28"/>
      <c r="J4" s="29"/>
      <c r="K4" s="29"/>
      <c r="L4" s="29"/>
      <c r="M4" s="29"/>
      <c r="N4" s="29"/>
      <c r="O4" s="29"/>
      <c r="P4" s="29"/>
      <c r="Q4" s="29"/>
      <c r="R4" s="29"/>
      <c r="S4" s="29"/>
      <c r="T4" s="29"/>
      <c r="U4" s="29"/>
      <c r="V4" s="29"/>
      <c r="W4" s="29"/>
      <c r="X4" s="29"/>
      <c r="Y4" s="29"/>
      <c r="Z4" s="29"/>
      <c r="AA4" s="29"/>
      <c r="AB4" s="29"/>
    </row>
    <row r="5" spans="1:28">
      <c r="A5" s="30" t="str">
        <f>HYPERLINK("https://www.alcaldiabogota.gov.co/sisjur/normas/Norma1.jsp?i=1177","LEY  9")</f>
        <v>LEY  9</v>
      </c>
      <c r="B5" s="31">
        <v>28879</v>
      </c>
      <c r="C5" s="32" t="s">
        <v>39</v>
      </c>
      <c r="D5" s="33" t="s">
        <v>40</v>
      </c>
      <c r="E5" s="32" t="s">
        <v>41</v>
      </c>
      <c r="F5" s="32" t="s">
        <v>42</v>
      </c>
      <c r="G5" s="34" t="s">
        <v>43</v>
      </c>
      <c r="H5" s="34" t="s">
        <v>44</v>
      </c>
      <c r="I5" s="35"/>
      <c r="J5" s="36"/>
      <c r="K5" s="36"/>
      <c r="L5" s="36"/>
      <c r="M5" s="36"/>
      <c r="N5" s="36"/>
      <c r="O5" s="36"/>
      <c r="P5" s="36"/>
      <c r="Q5" s="36"/>
      <c r="R5" s="36"/>
      <c r="S5" s="36"/>
      <c r="T5" s="36"/>
      <c r="U5" s="36"/>
      <c r="V5" s="36"/>
      <c r="W5" s="36"/>
      <c r="X5" s="36"/>
      <c r="Y5" s="36"/>
      <c r="Z5" s="36"/>
      <c r="AA5" s="36"/>
      <c r="AB5" s="36"/>
    </row>
    <row r="6" spans="1:28" ht="36">
      <c r="A6" s="30" t="str">
        <f>HYPERLINK("http://www.suin-juriscol.gov.co/viewDocument.asp?ruta=Leyes/1572747","LEY  16")</f>
        <v>LEY  16</v>
      </c>
      <c r="B6" s="31">
        <v>33273</v>
      </c>
      <c r="C6" s="32" t="s">
        <v>39</v>
      </c>
      <c r="D6" s="33" t="s">
        <v>45</v>
      </c>
      <c r="E6" s="32" t="s">
        <v>41</v>
      </c>
      <c r="F6" s="32" t="s">
        <v>42</v>
      </c>
      <c r="G6" s="34" t="s">
        <v>43</v>
      </c>
      <c r="H6" s="34" t="s">
        <v>44</v>
      </c>
      <c r="I6" s="35"/>
      <c r="J6" s="36"/>
      <c r="K6" s="36"/>
      <c r="L6" s="36"/>
      <c r="M6" s="36"/>
      <c r="N6" s="36"/>
      <c r="O6" s="36"/>
      <c r="P6" s="36"/>
      <c r="Q6" s="36"/>
      <c r="R6" s="36"/>
      <c r="S6" s="36"/>
      <c r="T6" s="36"/>
      <c r="U6" s="36"/>
      <c r="V6" s="36"/>
      <c r="W6" s="36"/>
      <c r="X6" s="36"/>
      <c r="Y6" s="36"/>
      <c r="Z6" s="36"/>
      <c r="AA6" s="36"/>
      <c r="AB6" s="36"/>
    </row>
    <row r="7" spans="1:28" ht="24">
      <c r="A7" s="37" t="s">
        <v>46</v>
      </c>
      <c r="B7" s="38">
        <v>34270</v>
      </c>
      <c r="C7" s="32" t="s">
        <v>39</v>
      </c>
      <c r="D7" s="39" t="s">
        <v>47</v>
      </c>
      <c r="E7" s="40" t="s">
        <v>41</v>
      </c>
      <c r="F7" s="32"/>
      <c r="G7" s="34"/>
      <c r="H7" s="34"/>
      <c r="I7" s="35"/>
      <c r="J7" s="36"/>
      <c r="K7" s="36"/>
      <c r="L7" s="36"/>
      <c r="M7" s="36"/>
      <c r="N7" s="36"/>
      <c r="O7" s="36"/>
      <c r="P7" s="36"/>
      <c r="Q7" s="36"/>
      <c r="R7" s="36"/>
      <c r="S7" s="36"/>
      <c r="T7" s="36"/>
      <c r="U7" s="36"/>
      <c r="V7" s="36"/>
      <c r="W7" s="36"/>
      <c r="X7" s="36"/>
      <c r="Y7" s="36"/>
      <c r="Z7" s="36"/>
      <c r="AA7" s="36"/>
      <c r="AB7" s="36"/>
    </row>
    <row r="8" spans="1:28" ht="60">
      <c r="A8" s="30" t="str">
        <f>HYPERLINK("http://www.suin-juriscol.gov.co/viewDocument.asp?ruta=Leyes/1666964","LEY  715")</f>
        <v>LEY  715</v>
      </c>
      <c r="B8" s="38">
        <v>37246</v>
      </c>
      <c r="C8" s="32" t="s">
        <v>39</v>
      </c>
      <c r="D8" s="39" t="s">
        <v>48</v>
      </c>
      <c r="E8" s="32" t="s">
        <v>41</v>
      </c>
      <c r="F8" s="32" t="s">
        <v>42</v>
      </c>
      <c r="G8" s="34" t="s">
        <v>43</v>
      </c>
      <c r="H8" s="34" t="s">
        <v>44</v>
      </c>
      <c r="I8" s="35"/>
      <c r="J8" s="36"/>
      <c r="K8" s="36"/>
      <c r="L8" s="36"/>
      <c r="M8" s="36"/>
      <c r="N8" s="36"/>
      <c r="O8" s="36"/>
      <c r="P8" s="36"/>
      <c r="Q8" s="36"/>
      <c r="R8" s="36"/>
      <c r="S8" s="36"/>
      <c r="T8" s="36"/>
      <c r="U8" s="36"/>
      <c r="V8" s="36"/>
      <c r="W8" s="36"/>
      <c r="X8" s="36"/>
      <c r="Y8" s="36"/>
      <c r="Z8" s="36"/>
      <c r="AA8" s="36"/>
      <c r="AB8" s="36"/>
    </row>
    <row r="9" spans="1:28">
      <c r="A9" s="30" t="str">
        <f>HYPERLINK("http://www.suin-juriscol.gov.co/viewDocument.asp?ruta=Leyes/1669667","LEY  850")</f>
        <v>LEY  850</v>
      </c>
      <c r="B9" s="38">
        <v>37943</v>
      </c>
      <c r="C9" s="32" t="s">
        <v>39</v>
      </c>
      <c r="D9" s="33" t="s">
        <v>49</v>
      </c>
      <c r="E9" s="32" t="s">
        <v>41</v>
      </c>
      <c r="F9" s="32" t="s">
        <v>42</v>
      </c>
      <c r="G9" s="34" t="s">
        <v>43</v>
      </c>
      <c r="H9" s="34" t="s">
        <v>44</v>
      </c>
      <c r="I9" s="35"/>
      <c r="J9" s="36"/>
      <c r="K9" s="36"/>
      <c r="L9" s="36"/>
      <c r="M9" s="36"/>
      <c r="N9" s="36"/>
      <c r="O9" s="36"/>
      <c r="P9" s="36"/>
      <c r="Q9" s="36"/>
      <c r="R9" s="36"/>
      <c r="S9" s="36"/>
      <c r="T9" s="36"/>
      <c r="U9" s="36"/>
      <c r="V9" s="36"/>
      <c r="W9" s="36"/>
      <c r="X9" s="36"/>
      <c r="Y9" s="36"/>
      <c r="Z9" s="36"/>
      <c r="AA9" s="36"/>
      <c r="AB9" s="36"/>
    </row>
    <row r="10" spans="1:28">
      <c r="A10" s="30" t="str">
        <f>HYPERLINK("http://www.suin-juriscol.gov.co/viewDocument.asp?ruta=Leyes/1671073","LEY  916")</f>
        <v>LEY  916</v>
      </c>
      <c r="B10" s="38">
        <v>38317</v>
      </c>
      <c r="C10" s="32" t="s">
        <v>39</v>
      </c>
      <c r="D10" s="33" t="s">
        <v>50</v>
      </c>
      <c r="E10" s="32" t="s">
        <v>41</v>
      </c>
      <c r="F10" s="32" t="s">
        <v>42</v>
      </c>
      <c r="G10" s="34" t="s">
        <v>43</v>
      </c>
      <c r="H10" s="34" t="s">
        <v>44</v>
      </c>
      <c r="I10" s="35"/>
      <c r="J10" s="36"/>
      <c r="K10" s="36"/>
      <c r="L10" s="36"/>
      <c r="M10" s="36"/>
      <c r="N10" s="36"/>
      <c r="O10" s="36"/>
      <c r="P10" s="36"/>
      <c r="Q10" s="36"/>
      <c r="R10" s="36"/>
      <c r="S10" s="36"/>
      <c r="T10" s="36"/>
      <c r="U10" s="36"/>
      <c r="V10" s="36"/>
      <c r="W10" s="36"/>
      <c r="X10" s="36"/>
      <c r="Y10" s="36"/>
      <c r="Z10" s="36"/>
      <c r="AA10" s="36"/>
      <c r="AB10" s="36"/>
    </row>
    <row r="11" spans="1:28">
      <c r="A11" s="30" t="str">
        <f>HYPERLINK("http://www.suin-juriscol.gov.co/viewDocument.asp?ruta=Leyes/1675573","LEY  1209")</f>
        <v>LEY  1209</v>
      </c>
      <c r="B11" s="31">
        <v>39643</v>
      </c>
      <c r="C11" s="32" t="s">
        <v>39</v>
      </c>
      <c r="D11" s="33" t="s">
        <v>51</v>
      </c>
      <c r="E11" s="32" t="s">
        <v>41</v>
      </c>
      <c r="F11" s="32" t="s">
        <v>42</v>
      </c>
      <c r="G11" s="34" t="s">
        <v>43</v>
      </c>
      <c r="H11" s="34" t="s">
        <v>44</v>
      </c>
      <c r="I11" s="35"/>
      <c r="J11" s="36"/>
      <c r="K11" s="36"/>
      <c r="L11" s="36"/>
      <c r="M11" s="36"/>
      <c r="N11" s="36"/>
      <c r="O11" s="36"/>
      <c r="P11" s="36"/>
      <c r="Q11" s="36"/>
      <c r="R11" s="36"/>
      <c r="S11" s="36"/>
      <c r="T11" s="36"/>
      <c r="U11" s="36"/>
      <c r="V11" s="36"/>
      <c r="W11" s="36"/>
      <c r="X11" s="36"/>
      <c r="Y11" s="36"/>
      <c r="Z11" s="36"/>
      <c r="AA11" s="36"/>
      <c r="AB11" s="36"/>
    </row>
    <row r="12" spans="1:28" ht="60">
      <c r="A12" s="30" t="str">
        <f>HYPERLINK("http://www.suin-juriscol.gov.co/viewDocument.asp?ruta=Leyes/1675729","LEY  1225")</f>
        <v>LEY  1225</v>
      </c>
      <c r="B12" s="31">
        <v>39645</v>
      </c>
      <c r="C12" s="32" t="s">
        <v>39</v>
      </c>
      <c r="D12" s="33" t="s">
        <v>52</v>
      </c>
      <c r="E12" s="32" t="s">
        <v>41</v>
      </c>
      <c r="F12" s="32" t="s">
        <v>42</v>
      </c>
      <c r="G12" s="34" t="s">
        <v>43</v>
      </c>
      <c r="H12" s="34" t="s">
        <v>44</v>
      </c>
      <c r="I12" s="35"/>
      <c r="J12" s="36"/>
      <c r="K12" s="36"/>
      <c r="L12" s="36"/>
      <c r="M12" s="36"/>
      <c r="N12" s="36"/>
      <c r="O12" s="36"/>
      <c r="P12" s="36"/>
      <c r="Q12" s="36"/>
      <c r="R12" s="36"/>
      <c r="S12" s="36"/>
      <c r="T12" s="36"/>
      <c r="U12" s="36"/>
      <c r="V12" s="36"/>
      <c r="W12" s="36"/>
      <c r="X12" s="36"/>
      <c r="Y12" s="36"/>
      <c r="Z12" s="36"/>
      <c r="AA12" s="36"/>
      <c r="AB12" s="36"/>
    </row>
    <row r="13" spans="1:28" ht="48">
      <c r="A13" s="30" t="str">
        <f>HYPERLINK("http://www.suin-juriscol.gov.co/viewDocument.asp?ruta=Leyes/1677762","LEY  1341")</f>
        <v>LEY  1341</v>
      </c>
      <c r="B13" s="31">
        <v>40024</v>
      </c>
      <c r="C13" s="32" t="s">
        <v>39</v>
      </c>
      <c r="D13" s="33" t="s">
        <v>53</v>
      </c>
      <c r="E13" s="32" t="s">
        <v>41</v>
      </c>
      <c r="F13" s="32" t="s">
        <v>42</v>
      </c>
      <c r="G13" s="34" t="s">
        <v>43</v>
      </c>
      <c r="H13" s="34" t="s">
        <v>44</v>
      </c>
      <c r="I13" s="35"/>
      <c r="J13" s="36"/>
      <c r="K13" s="36"/>
      <c r="L13" s="36"/>
      <c r="M13" s="36"/>
      <c r="N13" s="36"/>
      <c r="O13" s="36"/>
      <c r="P13" s="36"/>
      <c r="Q13" s="36"/>
      <c r="R13" s="36"/>
      <c r="S13" s="36"/>
      <c r="T13" s="36"/>
      <c r="U13" s="36"/>
      <c r="V13" s="36"/>
      <c r="W13" s="36"/>
      <c r="X13" s="36"/>
      <c r="Y13" s="36"/>
      <c r="Z13" s="36"/>
      <c r="AA13" s="36"/>
      <c r="AB13" s="36"/>
    </row>
    <row r="14" spans="1:28" ht="36">
      <c r="A14" s="30" t="str">
        <f>HYPERLINK("http://www.suin-juriscol.gov.co/viewDocument.asp?ruta=Leyes/1681594","LEY 1474")</f>
        <v>LEY 1474</v>
      </c>
      <c r="B14" s="41">
        <v>40736</v>
      </c>
      <c r="C14" s="32" t="s">
        <v>39</v>
      </c>
      <c r="D14" s="33" t="s">
        <v>54</v>
      </c>
      <c r="E14" s="32" t="s">
        <v>41</v>
      </c>
      <c r="F14" s="32" t="s">
        <v>42</v>
      </c>
      <c r="G14" s="34" t="s">
        <v>43</v>
      </c>
      <c r="H14" s="34" t="s">
        <v>44</v>
      </c>
      <c r="I14" s="35"/>
      <c r="J14" s="36"/>
      <c r="K14" s="36"/>
      <c r="L14" s="36"/>
      <c r="M14" s="36"/>
      <c r="N14" s="36"/>
      <c r="O14" s="36"/>
      <c r="P14" s="36"/>
      <c r="Q14" s="36"/>
      <c r="R14" s="36"/>
      <c r="S14" s="36"/>
      <c r="T14" s="36"/>
      <c r="U14" s="36"/>
      <c r="V14" s="36"/>
      <c r="W14" s="36"/>
      <c r="X14" s="36"/>
      <c r="Y14" s="36"/>
      <c r="Z14" s="36"/>
      <c r="AA14" s="36"/>
      <c r="AB14" s="36"/>
    </row>
    <row r="15" spans="1:28" ht="48">
      <c r="A15" s="30" t="str">
        <f>HYPERLINK("http://www.suin-juriscol.gov.co/viewDocument.asp?ruta=Leyes/1682249","LEY  1493")</f>
        <v>LEY  1493</v>
      </c>
      <c r="B15" s="38">
        <v>40903</v>
      </c>
      <c r="C15" s="32" t="s">
        <v>39</v>
      </c>
      <c r="D15" s="33" t="s">
        <v>55</v>
      </c>
      <c r="E15" s="32" t="s">
        <v>41</v>
      </c>
      <c r="F15" s="32" t="s">
        <v>42</v>
      </c>
      <c r="G15" s="34" t="s">
        <v>43</v>
      </c>
      <c r="H15" s="34" t="s">
        <v>44</v>
      </c>
      <c r="I15" s="35"/>
      <c r="J15" s="36"/>
      <c r="K15" s="36"/>
      <c r="L15" s="36"/>
      <c r="M15" s="36"/>
      <c r="N15" s="36"/>
      <c r="O15" s="36"/>
      <c r="P15" s="36"/>
      <c r="Q15" s="36"/>
      <c r="R15" s="36"/>
      <c r="S15" s="36"/>
      <c r="T15" s="36"/>
      <c r="U15" s="36"/>
      <c r="V15" s="36"/>
      <c r="W15" s="36"/>
      <c r="X15" s="36"/>
      <c r="Y15" s="36"/>
      <c r="Z15" s="36"/>
      <c r="AA15" s="36"/>
      <c r="AB15" s="36"/>
    </row>
    <row r="16" spans="1:28">
      <c r="A16" s="30" t="str">
        <f>HYPERLINK("http://www.suin-juriscol.gov.co/viewDocument.asp?ruta=Leyes/30021736","LEY  1801")</f>
        <v>LEY  1801</v>
      </c>
      <c r="B16" s="31">
        <v>42580</v>
      </c>
      <c r="C16" s="32" t="s">
        <v>39</v>
      </c>
      <c r="D16" s="33" t="s">
        <v>56</v>
      </c>
      <c r="E16" s="32" t="s">
        <v>41</v>
      </c>
      <c r="F16" s="32" t="s">
        <v>42</v>
      </c>
      <c r="G16" s="34" t="s">
        <v>43</v>
      </c>
      <c r="H16" s="34" t="s">
        <v>44</v>
      </c>
      <c r="I16" s="35"/>
      <c r="J16" s="36"/>
      <c r="K16" s="36"/>
      <c r="L16" s="36"/>
      <c r="M16" s="36"/>
      <c r="N16" s="36"/>
      <c r="O16" s="36"/>
      <c r="P16" s="36"/>
      <c r="Q16" s="36"/>
      <c r="R16" s="36"/>
      <c r="S16" s="36"/>
      <c r="T16" s="36"/>
      <c r="U16" s="36"/>
      <c r="V16" s="36"/>
      <c r="W16" s="36"/>
      <c r="X16" s="36"/>
      <c r="Y16" s="36"/>
      <c r="Z16" s="36"/>
      <c r="AA16" s="36"/>
      <c r="AB16" s="36"/>
    </row>
    <row r="17" spans="1:28" ht="108">
      <c r="A17" s="30" t="str">
        <f>HYPERLINK("http://www.suin-juriscol.gov.co/viewDocument.asp?ruta=Decretos/1283760","DECRETO LEY  1421")</f>
        <v>DECRETO LEY  1421</v>
      </c>
      <c r="B17" s="31">
        <v>34171</v>
      </c>
      <c r="C17" s="32" t="s">
        <v>57</v>
      </c>
      <c r="D17" s="33" t="s">
        <v>58</v>
      </c>
      <c r="E17" s="32" t="s">
        <v>59</v>
      </c>
      <c r="F17" s="33" t="s">
        <v>60</v>
      </c>
      <c r="G17" s="34" t="s">
        <v>43</v>
      </c>
      <c r="H17" s="34" t="s">
        <v>44</v>
      </c>
      <c r="I17" s="35"/>
      <c r="J17" s="36"/>
      <c r="K17" s="36"/>
      <c r="L17" s="36"/>
      <c r="M17" s="36"/>
      <c r="N17" s="36"/>
      <c r="O17" s="36"/>
      <c r="P17" s="36"/>
      <c r="Q17" s="36"/>
      <c r="R17" s="36"/>
      <c r="S17" s="36"/>
      <c r="T17" s="36"/>
      <c r="U17" s="36"/>
      <c r="V17" s="36"/>
      <c r="W17" s="36"/>
      <c r="X17" s="36"/>
      <c r="Y17" s="36"/>
      <c r="Z17" s="36"/>
      <c r="AA17" s="36"/>
      <c r="AB17" s="36"/>
    </row>
    <row r="18" spans="1:28" ht="24">
      <c r="A18" s="30" t="str">
        <f>HYPERLINK("http://sisjur.bogotajuridica.gov.co/sisjur/normas/Norma1.jsp?i=1925","DECRETO  640")</f>
        <v>DECRETO  640</v>
      </c>
      <c r="B18" s="31">
        <v>36420</v>
      </c>
      <c r="C18" s="32" t="s">
        <v>61</v>
      </c>
      <c r="D18" s="33" t="s">
        <v>62</v>
      </c>
      <c r="E18" s="32" t="s">
        <v>41</v>
      </c>
      <c r="F18" s="32" t="s">
        <v>42</v>
      </c>
      <c r="G18" s="34" t="s">
        <v>43</v>
      </c>
      <c r="H18" s="34" t="s">
        <v>44</v>
      </c>
      <c r="I18" s="35"/>
      <c r="J18" s="36"/>
      <c r="K18" s="36"/>
      <c r="L18" s="36"/>
      <c r="M18" s="36"/>
      <c r="N18" s="36"/>
      <c r="O18" s="36"/>
      <c r="P18" s="36"/>
      <c r="Q18" s="36"/>
      <c r="R18" s="36"/>
      <c r="S18" s="36"/>
      <c r="T18" s="36"/>
      <c r="U18" s="36"/>
      <c r="V18" s="36"/>
      <c r="W18" s="36"/>
      <c r="X18" s="36"/>
      <c r="Y18" s="36"/>
      <c r="Z18" s="36"/>
      <c r="AA18" s="36"/>
      <c r="AB18" s="36"/>
    </row>
    <row r="19" spans="1:28" ht="24">
      <c r="A19" s="30" t="str">
        <f>HYPERLINK("http://sisjur.bogotajuridica.gov.co/sisjur/normas/Norma1.jsp?i=4523","DECRETO  897")</f>
        <v>DECRETO  897</v>
      </c>
      <c r="B19" s="38">
        <v>36810</v>
      </c>
      <c r="C19" s="32" t="s">
        <v>61</v>
      </c>
      <c r="D19" s="33" t="s">
        <v>63</v>
      </c>
      <c r="E19" s="32" t="s">
        <v>41</v>
      </c>
      <c r="F19" s="32" t="s">
        <v>42</v>
      </c>
      <c r="G19" s="34" t="s">
        <v>43</v>
      </c>
      <c r="H19" s="34" t="s">
        <v>44</v>
      </c>
      <c r="I19" s="35"/>
      <c r="J19" s="36"/>
      <c r="K19" s="36"/>
      <c r="L19" s="36"/>
      <c r="M19" s="36"/>
      <c r="N19" s="36"/>
      <c r="O19" s="36"/>
      <c r="P19" s="36"/>
      <c r="Q19" s="36"/>
      <c r="R19" s="36"/>
      <c r="S19" s="36"/>
      <c r="T19" s="36"/>
      <c r="U19" s="36"/>
      <c r="V19" s="36"/>
      <c r="W19" s="36"/>
      <c r="X19" s="36"/>
      <c r="Y19" s="36"/>
      <c r="Z19" s="36"/>
      <c r="AA19" s="36"/>
      <c r="AB19" s="36"/>
    </row>
    <row r="20" spans="1:28">
      <c r="A20" s="42"/>
      <c r="B20" s="31"/>
      <c r="C20" s="32"/>
      <c r="D20" s="33"/>
      <c r="E20" s="32"/>
      <c r="F20" s="32"/>
      <c r="G20" s="34"/>
      <c r="H20" s="34"/>
      <c r="I20" s="35"/>
      <c r="J20" s="36"/>
      <c r="K20" s="36"/>
      <c r="L20" s="36"/>
      <c r="M20" s="36"/>
      <c r="N20" s="36"/>
      <c r="O20" s="36"/>
      <c r="P20" s="36"/>
      <c r="Q20" s="36"/>
      <c r="R20" s="36"/>
      <c r="S20" s="36"/>
      <c r="T20" s="36"/>
      <c r="U20" s="36"/>
      <c r="V20" s="36"/>
      <c r="W20" s="36"/>
      <c r="X20" s="36"/>
      <c r="Y20" s="36"/>
      <c r="Z20" s="36"/>
      <c r="AA20" s="36"/>
      <c r="AB20" s="36"/>
    </row>
    <row r="21" spans="1:28" ht="36">
      <c r="A21" s="30" t="str">
        <f>HYPERLINK("http://sisjur.bogotajuridica.gov.co/sisjur/normas/Norma1.jsp?i=8123","DECRETO  154")</f>
        <v>DECRETO  154</v>
      </c>
      <c r="B21" s="31">
        <v>37764</v>
      </c>
      <c r="C21" s="32" t="s">
        <v>61</v>
      </c>
      <c r="D21" s="33" t="s">
        <v>64</v>
      </c>
      <c r="E21" s="32" t="s">
        <v>41</v>
      </c>
      <c r="F21" s="32" t="s">
        <v>42</v>
      </c>
      <c r="G21" s="34" t="s">
        <v>43</v>
      </c>
      <c r="H21" s="34" t="s">
        <v>44</v>
      </c>
      <c r="I21" s="35"/>
      <c r="J21" s="36"/>
      <c r="K21" s="36"/>
      <c r="L21" s="36"/>
      <c r="M21" s="36"/>
      <c r="N21" s="36"/>
      <c r="O21" s="36"/>
      <c r="P21" s="36"/>
      <c r="Q21" s="36"/>
      <c r="R21" s="36"/>
      <c r="S21" s="36"/>
      <c r="T21" s="36"/>
      <c r="U21" s="36"/>
      <c r="V21" s="36"/>
      <c r="W21" s="36"/>
      <c r="X21" s="36"/>
      <c r="Y21" s="36"/>
      <c r="Z21" s="36"/>
      <c r="AA21" s="36"/>
      <c r="AB21" s="36"/>
    </row>
    <row r="22" spans="1:28" ht="36">
      <c r="A22" s="30" t="str">
        <f>HYPERLINK("http://sisjur.bogotajuridica.gov.co/sisjur/normas/Norma1.jsp?i=9127","DECRETO  263")</f>
        <v>DECRETO  263</v>
      </c>
      <c r="B22" s="31">
        <v>37858</v>
      </c>
      <c r="C22" s="32" t="s">
        <v>61</v>
      </c>
      <c r="D22" s="33" t="s">
        <v>65</v>
      </c>
      <c r="E22" s="32" t="s">
        <v>41</v>
      </c>
      <c r="F22" s="32" t="s">
        <v>42</v>
      </c>
      <c r="G22" s="34" t="s">
        <v>43</v>
      </c>
      <c r="H22" s="34" t="s">
        <v>44</v>
      </c>
      <c r="I22" s="35"/>
      <c r="J22" s="36"/>
      <c r="K22" s="36"/>
      <c r="L22" s="36"/>
      <c r="M22" s="36"/>
      <c r="N22" s="36"/>
      <c r="O22" s="36"/>
      <c r="P22" s="36"/>
      <c r="Q22" s="36"/>
      <c r="R22" s="36"/>
      <c r="S22" s="36"/>
      <c r="T22" s="36"/>
      <c r="U22" s="36"/>
      <c r="V22" s="36"/>
      <c r="W22" s="36"/>
      <c r="X22" s="36"/>
      <c r="Y22" s="36"/>
      <c r="Z22" s="36"/>
      <c r="AA22" s="36"/>
      <c r="AB22" s="36"/>
    </row>
    <row r="23" spans="1:28" ht="36">
      <c r="A23" s="30" t="str">
        <f>HYPERLINK("http://sisjur.bogotajuridica.gov.co/sisjur/normas/Norma1.jsp?i=11062","DECRETO  435")</f>
        <v>DECRETO  435</v>
      </c>
      <c r="B23" s="38">
        <v>37953</v>
      </c>
      <c r="C23" s="32" t="s">
        <v>61</v>
      </c>
      <c r="D23" s="33" t="s">
        <v>66</v>
      </c>
      <c r="E23" s="32" t="s">
        <v>41</v>
      </c>
      <c r="F23" s="32" t="s">
        <v>42</v>
      </c>
      <c r="G23" s="34" t="s">
        <v>43</v>
      </c>
      <c r="H23" s="34" t="s">
        <v>44</v>
      </c>
      <c r="I23" s="35"/>
      <c r="J23" s="36"/>
      <c r="K23" s="36"/>
      <c r="L23" s="36"/>
      <c r="M23" s="36"/>
      <c r="N23" s="36"/>
      <c r="O23" s="36"/>
      <c r="P23" s="36"/>
      <c r="Q23" s="36"/>
      <c r="R23" s="36"/>
      <c r="S23" s="36"/>
      <c r="T23" s="36"/>
      <c r="U23" s="36"/>
      <c r="V23" s="36"/>
      <c r="W23" s="36"/>
      <c r="X23" s="36"/>
      <c r="Y23" s="36"/>
      <c r="Z23" s="36"/>
      <c r="AA23" s="36"/>
      <c r="AB23" s="36"/>
    </row>
    <row r="24" spans="1:28" ht="36">
      <c r="A24" s="43" t="str">
        <f>HYPERLINK("http://sisjur.bogotajuridica.gov.co/sisjur/normas/Norma1.jsp?i=15837","DECRETO 37")</f>
        <v>DECRETO 37</v>
      </c>
      <c r="B24" s="31">
        <v>38401</v>
      </c>
      <c r="C24" s="32" t="s">
        <v>61</v>
      </c>
      <c r="D24" s="33" t="s">
        <v>67</v>
      </c>
      <c r="E24" s="32" t="s">
        <v>41</v>
      </c>
      <c r="F24" s="32" t="s">
        <v>42</v>
      </c>
      <c r="G24" s="34" t="s">
        <v>43</v>
      </c>
      <c r="H24" s="34" t="s">
        <v>44</v>
      </c>
      <c r="I24" s="35"/>
      <c r="J24" s="36"/>
      <c r="K24" s="36"/>
      <c r="L24" s="36"/>
      <c r="M24" s="36"/>
      <c r="N24" s="36"/>
      <c r="O24" s="36"/>
      <c r="P24" s="36"/>
      <c r="Q24" s="36"/>
      <c r="R24" s="36"/>
      <c r="S24" s="36"/>
      <c r="T24" s="36"/>
      <c r="U24" s="36"/>
      <c r="V24" s="36"/>
      <c r="W24" s="36"/>
      <c r="X24" s="36"/>
      <c r="Y24" s="36"/>
      <c r="Z24" s="36"/>
      <c r="AA24" s="36"/>
      <c r="AB24" s="36"/>
    </row>
    <row r="25" spans="1:28" ht="24">
      <c r="A25" s="30" t="str">
        <f>HYPERLINK("http://sisjur.bogotajuridica.gov.co/sisjur/normas/Norma1.jsp?i=16476","DECRETO  145")</f>
        <v>DECRETO  145</v>
      </c>
      <c r="B25" s="31">
        <v>38485</v>
      </c>
      <c r="C25" s="32" t="s">
        <v>61</v>
      </c>
      <c r="D25" s="33" t="s">
        <v>68</v>
      </c>
      <c r="E25" s="32" t="s">
        <v>41</v>
      </c>
      <c r="F25" s="32" t="s">
        <v>42</v>
      </c>
      <c r="G25" s="34" t="s">
        <v>43</v>
      </c>
      <c r="H25" s="34" t="s">
        <v>44</v>
      </c>
      <c r="I25" s="35"/>
      <c r="J25" s="36"/>
      <c r="K25" s="36"/>
      <c r="L25" s="36"/>
      <c r="M25" s="36"/>
      <c r="N25" s="36"/>
      <c r="O25" s="36"/>
      <c r="P25" s="36"/>
      <c r="Q25" s="36"/>
      <c r="R25" s="36"/>
      <c r="S25" s="36"/>
      <c r="T25" s="36"/>
      <c r="U25" s="36"/>
      <c r="V25" s="36"/>
      <c r="W25" s="36"/>
      <c r="X25" s="36"/>
      <c r="Y25" s="36"/>
      <c r="Z25" s="36"/>
      <c r="AA25" s="36"/>
      <c r="AB25" s="36"/>
    </row>
    <row r="26" spans="1:28" ht="36">
      <c r="A26" s="30" t="str">
        <f>HYPERLINK("http://www.suin-juriscol.gov.co/viewDocument.asp?ruta=Decretos/1044419","DECRETO  195")</f>
        <v>DECRETO  195</v>
      </c>
      <c r="B26" s="31">
        <v>38383</v>
      </c>
      <c r="C26" s="32" t="s">
        <v>57</v>
      </c>
      <c r="D26" s="33" t="s">
        <v>69</v>
      </c>
      <c r="E26" s="32" t="s">
        <v>41</v>
      </c>
      <c r="F26" s="32" t="s">
        <v>42</v>
      </c>
      <c r="G26" s="34" t="s">
        <v>43</v>
      </c>
      <c r="H26" s="34" t="s">
        <v>44</v>
      </c>
      <c r="I26" s="35"/>
      <c r="J26" s="36"/>
      <c r="K26" s="36"/>
      <c r="L26" s="36"/>
      <c r="M26" s="36"/>
      <c r="N26" s="36"/>
      <c r="O26" s="36"/>
      <c r="P26" s="36"/>
      <c r="Q26" s="36"/>
      <c r="R26" s="36"/>
      <c r="S26" s="36"/>
      <c r="T26" s="36"/>
      <c r="U26" s="36"/>
      <c r="V26" s="36"/>
      <c r="W26" s="36"/>
      <c r="X26" s="36"/>
      <c r="Y26" s="36"/>
      <c r="Z26" s="36"/>
      <c r="AA26" s="36"/>
      <c r="AB26" s="36"/>
    </row>
    <row r="27" spans="1:28" ht="24">
      <c r="A27" s="30" t="str">
        <f>HYPERLINK("http://sisjur.bogotajuridica.gov.co/sisjur/normas/Norma1.jsp?i=16984","DECRETO  215")</f>
        <v>DECRETO  215</v>
      </c>
      <c r="B27" s="31">
        <v>38540</v>
      </c>
      <c r="C27" s="32" t="s">
        <v>61</v>
      </c>
      <c r="D27" s="33" t="s">
        <v>70</v>
      </c>
      <c r="E27" s="32" t="s">
        <v>41</v>
      </c>
      <c r="F27" s="32" t="s">
        <v>42</v>
      </c>
      <c r="G27" s="34" t="s">
        <v>43</v>
      </c>
      <c r="H27" s="34" t="s">
        <v>44</v>
      </c>
      <c r="I27" s="35"/>
      <c r="J27" s="36"/>
      <c r="K27" s="36"/>
      <c r="L27" s="36"/>
      <c r="M27" s="36"/>
      <c r="N27" s="36"/>
      <c r="O27" s="36"/>
      <c r="P27" s="36"/>
      <c r="Q27" s="36"/>
      <c r="R27" s="36"/>
      <c r="S27" s="36"/>
      <c r="T27" s="36"/>
      <c r="U27" s="36"/>
      <c r="V27" s="36"/>
      <c r="W27" s="36"/>
      <c r="X27" s="36"/>
      <c r="Y27" s="36"/>
      <c r="Z27" s="36"/>
      <c r="AA27" s="36"/>
      <c r="AB27" s="36"/>
    </row>
    <row r="28" spans="1:28">
      <c r="A28" s="44" t="s">
        <v>71</v>
      </c>
      <c r="B28" s="45">
        <v>38434</v>
      </c>
      <c r="C28" s="46" t="s">
        <v>57</v>
      </c>
      <c r="D28" s="47" t="s">
        <v>72</v>
      </c>
      <c r="E28" s="46" t="s">
        <v>41</v>
      </c>
      <c r="F28" s="40" t="s">
        <v>42</v>
      </c>
      <c r="G28" s="34"/>
      <c r="H28" s="34"/>
      <c r="I28" s="35"/>
      <c r="J28" s="36"/>
      <c r="K28" s="36"/>
      <c r="L28" s="36"/>
      <c r="M28" s="36"/>
      <c r="N28" s="36"/>
      <c r="O28" s="36"/>
      <c r="P28" s="36"/>
      <c r="Q28" s="36"/>
      <c r="R28" s="36"/>
      <c r="S28" s="36"/>
      <c r="T28" s="36"/>
      <c r="U28" s="36"/>
      <c r="V28" s="36"/>
      <c r="W28" s="36"/>
      <c r="X28" s="36"/>
      <c r="Y28" s="36"/>
      <c r="Z28" s="36"/>
      <c r="AA28" s="36"/>
      <c r="AB28" s="36"/>
    </row>
    <row r="29" spans="1:28" ht="24">
      <c r="A29" s="30" t="str">
        <f>HYPERLINK("http://sisjur.bogotajuridica.gov.co/sisjur/normas/Norma1.jsp?i=21064","DECRETO  317")</f>
        <v>DECRETO  317</v>
      </c>
      <c r="B29" s="31">
        <v>38944</v>
      </c>
      <c r="C29" s="32" t="s">
        <v>61</v>
      </c>
      <c r="D29" s="33" t="s">
        <v>73</v>
      </c>
      <c r="E29" s="32" t="s">
        <v>41</v>
      </c>
      <c r="F29" s="32" t="s">
        <v>42</v>
      </c>
      <c r="G29" s="34" t="s">
        <v>43</v>
      </c>
      <c r="H29" s="34" t="s">
        <v>44</v>
      </c>
      <c r="I29" s="35"/>
      <c r="J29" s="36"/>
      <c r="K29" s="36"/>
      <c r="L29" s="36"/>
      <c r="M29" s="36"/>
      <c r="N29" s="36"/>
      <c r="O29" s="36"/>
      <c r="P29" s="36"/>
      <c r="Q29" s="36"/>
      <c r="R29" s="36"/>
      <c r="S29" s="36"/>
      <c r="T29" s="36"/>
      <c r="U29" s="36"/>
      <c r="V29" s="36"/>
      <c r="W29" s="36"/>
      <c r="X29" s="36"/>
      <c r="Y29" s="36"/>
      <c r="Z29" s="36"/>
      <c r="AA29" s="36"/>
      <c r="AB29" s="36"/>
    </row>
    <row r="30" spans="1:28" ht="24">
      <c r="A30" s="30" t="str">
        <f>HYPERLINK("http://sisjur.bogotajuridica.gov.co/sisjur/normas/Norma1.jsp?i=22069","DECRETO  449")</f>
        <v>DECRETO  449</v>
      </c>
      <c r="B30" s="38">
        <v>39021</v>
      </c>
      <c r="C30" s="32" t="s">
        <v>61</v>
      </c>
      <c r="D30" s="33" t="s">
        <v>74</v>
      </c>
      <c r="E30" s="32" t="s">
        <v>41</v>
      </c>
      <c r="F30" s="32" t="s">
        <v>42</v>
      </c>
      <c r="G30" s="34" t="s">
        <v>43</v>
      </c>
      <c r="H30" s="34" t="s">
        <v>44</v>
      </c>
      <c r="I30" s="35"/>
      <c r="J30" s="36"/>
      <c r="K30" s="36"/>
      <c r="L30" s="36"/>
      <c r="M30" s="36"/>
      <c r="N30" s="36"/>
      <c r="O30" s="36"/>
      <c r="P30" s="36"/>
      <c r="Q30" s="36"/>
      <c r="R30" s="36"/>
      <c r="S30" s="36"/>
      <c r="T30" s="36"/>
      <c r="U30" s="36"/>
      <c r="V30" s="36"/>
      <c r="W30" s="36"/>
      <c r="X30" s="36"/>
      <c r="Y30" s="36"/>
      <c r="Z30" s="36"/>
      <c r="AA30" s="36"/>
      <c r="AB30" s="36"/>
    </row>
    <row r="31" spans="1:28" ht="36">
      <c r="A31" s="30" t="str">
        <f>HYPERLINK("http://sisjur.bogotajuridica.gov.co/sisjur/normas/Norma1.jsp?i=27139","DECRETO  484")</f>
        <v>DECRETO  484</v>
      </c>
      <c r="B31" s="38">
        <v>39377</v>
      </c>
      <c r="C31" s="32" t="s">
        <v>61</v>
      </c>
      <c r="D31" s="33" t="s">
        <v>75</v>
      </c>
      <c r="E31" s="32" t="s">
        <v>41</v>
      </c>
      <c r="F31" s="32" t="s">
        <v>42</v>
      </c>
      <c r="G31" s="34" t="s">
        <v>43</v>
      </c>
      <c r="H31" s="34" t="s">
        <v>44</v>
      </c>
      <c r="I31" s="35"/>
      <c r="J31" s="36"/>
      <c r="K31" s="36"/>
      <c r="L31" s="36"/>
      <c r="M31" s="36"/>
      <c r="N31" s="36"/>
      <c r="O31" s="36"/>
      <c r="P31" s="36"/>
      <c r="Q31" s="36"/>
      <c r="R31" s="36"/>
      <c r="S31" s="36"/>
      <c r="T31" s="36"/>
      <c r="U31" s="36"/>
      <c r="V31" s="36"/>
      <c r="W31" s="36"/>
      <c r="X31" s="36"/>
      <c r="Y31" s="36"/>
      <c r="Z31" s="36"/>
      <c r="AA31" s="36"/>
      <c r="AB31" s="36"/>
    </row>
    <row r="32" spans="1:28" ht="36">
      <c r="A32" s="30" t="str">
        <f>HYPERLINK("http://sisjur.bogotajuridica.gov.co/sisjur/normas/Norma1.jsp?i=28087","DECRETO  603")</f>
        <v>DECRETO  603</v>
      </c>
      <c r="B32" s="38">
        <v>39444</v>
      </c>
      <c r="C32" s="32" t="s">
        <v>61</v>
      </c>
      <c r="D32" s="33" t="s">
        <v>76</v>
      </c>
      <c r="E32" s="32" t="s">
        <v>41</v>
      </c>
      <c r="F32" s="32" t="s">
        <v>42</v>
      </c>
      <c r="G32" s="34" t="s">
        <v>43</v>
      </c>
      <c r="H32" s="34" t="s">
        <v>44</v>
      </c>
      <c r="I32" s="35"/>
      <c r="J32" s="36"/>
      <c r="K32" s="36"/>
      <c r="L32" s="36"/>
      <c r="M32" s="36"/>
      <c r="N32" s="36"/>
      <c r="O32" s="36"/>
      <c r="P32" s="36"/>
      <c r="Q32" s="36"/>
      <c r="R32" s="36"/>
      <c r="S32" s="36"/>
      <c r="T32" s="36"/>
      <c r="U32" s="36"/>
      <c r="V32" s="36"/>
      <c r="W32" s="36"/>
      <c r="X32" s="36"/>
      <c r="Y32" s="36"/>
      <c r="Z32" s="36"/>
      <c r="AA32" s="36"/>
      <c r="AB32" s="36"/>
    </row>
    <row r="33" spans="1:28" ht="36">
      <c r="A33" s="30" t="str">
        <f>HYPERLINK("http://sisjur.bogotajuridica.gov.co/sisjur/normas/Norma1.jsp?i=40983","DECRETO  531")</f>
        <v>DECRETO  531</v>
      </c>
      <c r="B33" s="38">
        <v>40535</v>
      </c>
      <c r="C33" s="32" t="s">
        <v>61</v>
      </c>
      <c r="D33" s="33" t="s">
        <v>77</v>
      </c>
      <c r="E33" s="32" t="s">
        <v>41</v>
      </c>
      <c r="F33" s="32" t="s">
        <v>42</v>
      </c>
      <c r="G33" s="34" t="s">
        <v>43</v>
      </c>
      <c r="H33" s="34" t="s">
        <v>44</v>
      </c>
      <c r="I33" s="35"/>
      <c r="J33" s="36"/>
      <c r="K33" s="36"/>
      <c r="L33" s="36"/>
      <c r="M33" s="36"/>
      <c r="N33" s="36"/>
      <c r="O33" s="36"/>
      <c r="P33" s="36"/>
      <c r="Q33" s="36"/>
      <c r="R33" s="36"/>
      <c r="S33" s="36"/>
      <c r="T33" s="36"/>
      <c r="U33" s="36"/>
      <c r="V33" s="36"/>
      <c r="W33" s="36"/>
      <c r="X33" s="36"/>
      <c r="Y33" s="36"/>
      <c r="Z33" s="36"/>
      <c r="AA33" s="36"/>
      <c r="AB33" s="36"/>
    </row>
    <row r="34" spans="1:28" ht="24">
      <c r="A34" s="37" t="s">
        <v>78</v>
      </c>
      <c r="B34" s="31">
        <v>40863</v>
      </c>
      <c r="C34" s="32" t="s">
        <v>61</v>
      </c>
      <c r="D34" s="39" t="s">
        <v>79</v>
      </c>
      <c r="E34" s="40" t="s">
        <v>41</v>
      </c>
      <c r="F34" s="32"/>
      <c r="G34" s="34"/>
      <c r="H34" s="34"/>
      <c r="I34" s="35"/>
      <c r="J34" s="36"/>
      <c r="K34" s="36"/>
      <c r="L34" s="36"/>
      <c r="M34" s="36"/>
      <c r="N34" s="36"/>
      <c r="O34" s="36"/>
      <c r="P34" s="36"/>
      <c r="Q34" s="36"/>
      <c r="R34" s="36"/>
      <c r="S34" s="36"/>
      <c r="T34" s="36"/>
      <c r="U34" s="36"/>
      <c r="V34" s="36"/>
      <c r="W34" s="36"/>
      <c r="X34" s="36"/>
      <c r="Y34" s="36"/>
      <c r="Z34" s="36"/>
      <c r="AA34" s="36"/>
      <c r="AB34" s="36"/>
    </row>
    <row r="35" spans="1:28" ht="24">
      <c r="A35" s="30" t="str">
        <f>HYPERLINK("http://www.suin-juriscol.gov.co/viewDocument.asp?ruta=Decretos/1253895","DECRETO  1258")</f>
        <v>DECRETO  1258</v>
      </c>
      <c r="B35" s="31">
        <v>41074</v>
      </c>
      <c r="C35" s="32" t="s">
        <v>57</v>
      </c>
      <c r="D35" s="33" t="s">
        <v>80</v>
      </c>
      <c r="E35" s="32" t="s">
        <v>41</v>
      </c>
      <c r="F35" s="32" t="s">
        <v>42</v>
      </c>
      <c r="G35" s="34" t="s">
        <v>43</v>
      </c>
      <c r="H35" s="34" t="s">
        <v>44</v>
      </c>
      <c r="I35" s="35"/>
      <c r="J35" s="36"/>
      <c r="K35" s="36"/>
      <c r="L35" s="36"/>
      <c r="M35" s="36"/>
      <c r="N35" s="36"/>
      <c r="O35" s="36"/>
      <c r="P35" s="36"/>
      <c r="Q35" s="36"/>
      <c r="R35" s="36"/>
      <c r="S35" s="36"/>
      <c r="T35" s="36"/>
      <c r="U35" s="36"/>
      <c r="V35" s="36"/>
      <c r="W35" s="36"/>
      <c r="X35" s="36"/>
      <c r="Y35" s="36"/>
      <c r="Z35" s="36"/>
      <c r="AA35" s="36"/>
      <c r="AB35" s="36"/>
    </row>
    <row r="36" spans="1:28" ht="24">
      <c r="A36" s="30" t="str">
        <f>HYPERLINK("http://sisjur.bogotajuridica.gov.co/sisjur/normas/Norma1.jsp?i=48610","DECRETO  358")</f>
        <v>DECRETO  358</v>
      </c>
      <c r="B36" s="31">
        <v>41116</v>
      </c>
      <c r="C36" s="32" t="s">
        <v>61</v>
      </c>
      <c r="D36" s="33" t="s">
        <v>81</v>
      </c>
      <c r="E36" s="32" t="s">
        <v>41</v>
      </c>
      <c r="F36" s="32" t="s">
        <v>42</v>
      </c>
      <c r="G36" s="34" t="s">
        <v>43</v>
      </c>
      <c r="H36" s="34" t="s">
        <v>44</v>
      </c>
      <c r="I36" s="35"/>
      <c r="J36" s="36"/>
      <c r="K36" s="36"/>
      <c r="L36" s="36"/>
      <c r="M36" s="36"/>
      <c r="N36" s="36"/>
      <c r="O36" s="36"/>
      <c r="P36" s="36"/>
      <c r="Q36" s="36"/>
      <c r="R36" s="36"/>
      <c r="S36" s="36"/>
      <c r="T36" s="36"/>
      <c r="U36" s="36"/>
      <c r="V36" s="36"/>
      <c r="W36" s="36"/>
      <c r="X36" s="36"/>
      <c r="Y36" s="36"/>
      <c r="Z36" s="36"/>
      <c r="AA36" s="36"/>
      <c r="AB36" s="36"/>
    </row>
    <row r="37" spans="1:28" ht="24">
      <c r="A37" s="30" t="str">
        <f>HYPERLINK("http://sisjur.bogotajuridica.gov.co/sisjur/normas/Norma1.jsp?i=52263","DECRETO  106")</f>
        <v>DECRETO  106</v>
      </c>
      <c r="B37" s="31">
        <v>41348</v>
      </c>
      <c r="C37" s="32" t="s">
        <v>61</v>
      </c>
      <c r="D37" s="33" t="s">
        <v>82</v>
      </c>
      <c r="E37" s="32" t="s">
        <v>41</v>
      </c>
      <c r="F37" s="32" t="s">
        <v>42</v>
      </c>
      <c r="G37" s="34" t="s">
        <v>43</v>
      </c>
      <c r="H37" s="34" t="s">
        <v>44</v>
      </c>
      <c r="I37" s="35"/>
      <c r="J37" s="36"/>
      <c r="K37" s="36"/>
      <c r="L37" s="36"/>
      <c r="M37" s="36"/>
      <c r="N37" s="36"/>
      <c r="O37" s="36"/>
      <c r="P37" s="36"/>
      <c r="Q37" s="36"/>
      <c r="R37" s="36"/>
      <c r="S37" s="36"/>
      <c r="T37" s="36"/>
      <c r="U37" s="36"/>
      <c r="V37" s="36"/>
      <c r="W37" s="36"/>
      <c r="X37" s="36"/>
      <c r="Y37" s="36"/>
      <c r="Z37" s="36"/>
      <c r="AA37" s="36"/>
      <c r="AB37" s="36"/>
    </row>
    <row r="38" spans="1:28" ht="24">
      <c r="A38" s="30" t="str">
        <f>HYPERLINK("http://sisjur.bogotajuridica.gov.co/sisjur/normas/Norma1.jsp?i=53166","DECRETO  219")</f>
        <v>DECRETO  219</v>
      </c>
      <c r="B38" s="31">
        <v>41417</v>
      </c>
      <c r="C38" s="32" t="s">
        <v>61</v>
      </c>
      <c r="D38" s="33" t="s">
        <v>82</v>
      </c>
      <c r="E38" s="32" t="s">
        <v>41</v>
      </c>
      <c r="F38" s="32" t="s">
        <v>42</v>
      </c>
      <c r="G38" s="34" t="s">
        <v>43</v>
      </c>
      <c r="H38" s="34" t="s">
        <v>44</v>
      </c>
      <c r="I38" s="35"/>
      <c r="J38" s="36"/>
      <c r="K38" s="36"/>
      <c r="L38" s="36"/>
      <c r="M38" s="36"/>
      <c r="N38" s="36"/>
      <c r="O38" s="36"/>
      <c r="P38" s="36"/>
      <c r="Q38" s="36"/>
      <c r="R38" s="36"/>
      <c r="S38" s="36"/>
      <c r="T38" s="36"/>
      <c r="U38" s="36"/>
      <c r="V38" s="36"/>
      <c r="W38" s="36"/>
      <c r="X38" s="36"/>
      <c r="Y38" s="36"/>
      <c r="Z38" s="36"/>
      <c r="AA38" s="36"/>
      <c r="AB38" s="36"/>
    </row>
    <row r="39" spans="1:28" ht="72">
      <c r="A39" s="43" t="str">
        <f>HYPERLINK("http://sisjur.bogotajuridica.gov.co/sisjur/normas/Norma1.jsp?i=56034","DECRETO  599
Modificado parcialmente por el Decreto Distrital 622 de 2016")</f>
        <v>DECRETO  599
Modificado parcialmente por el Decreto Distrital 622 de 2016</v>
      </c>
      <c r="B39" s="38">
        <v>41634</v>
      </c>
      <c r="C39" s="32" t="s">
        <v>61</v>
      </c>
      <c r="D39" s="39" t="s">
        <v>83</v>
      </c>
      <c r="E39" s="32" t="s">
        <v>41</v>
      </c>
      <c r="F39" s="32" t="s">
        <v>42</v>
      </c>
      <c r="G39" s="34" t="s">
        <v>43</v>
      </c>
      <c r="H39" s="34" t="s">
        <v>44</v>
      </c>
      <c r="I39" s="35"/>
      <c r="J39" s="36"/>
      <c r="K39" s="36"/>
      <c r="L39" s="36"/>
      <c r="M39" s="36"/>
      <c r="N39" s="36"/>
      <c r="O39" s="36"/>
      <c r="P39" s="36"/>
      <c r="Q39" s="36"/>
      <c r="R39" s="36"/>
      <c r="S39" s="36"/>
      <c r="T39" s="36"/>
      <c r="U39" s="36"/>
      <c r="V39" s="36"/>
      <c r="W39" s="36"/>
      <c r="X39" s="36"/>
      <c r="Y39" s="36"/>
      <c r="Z39" s="36"/>
      <c r="AA39" s="36"/>
      <c r="AB39" s="36"/>
    </row>
    <row r="40" spans="1:28" ht="24">
      <c r="A40" s="30" t="str">
        <f>HYPERLINK("http://www.suin-juriscol.gov.co/viewDocument.asp?ruta=Decretos/1250601","DECRETO  1240")</f>
        <v>DECRETO  1240</v>
      </c>
      <c r="B40" s="31">
        <v>41439</v>
      </c>
      <c r="C40" s="32" t="s">
        <v>57</v>
      </c>
      <c r="D40" s="33" t="s">
        <v>84</v>
      </c>
      <c r="E40" s="32" t="s">
        <v>41</v>
      </c>
      <c r="F40" s="32" t="s">
        <v>42</v>
      </c>
      <c r="G40" s="34" t="s">
        <v>43</v>
      </c>
      <c r="H40" s="34" t="s">
        <v>44</v>
      </c>
      <c r="I40" s="35"/>
      <c r="J40" s="36"/>
      <c r="K40" s="36"/>
      <c r="L40" s="36"/>
      <c r="M40" s="36"/>
      <c r="N40" s="36"/>
      <c r="O40" s="36"/>
      <c r="P40" s="36"/>
      <c r="Q40" s="36"/>
      <c r="R40" s="36"/>
      <c r="S40" s="36"/>
      <c r="T40" s="36"/>
      <c r="U40" s="36"/>
      <c r="V40" s="36"/>
      <c r="W40" s="36"/>
      <c r="X40" s="36"/>
      <c r="Y40" s="36"/>
      <c r="Z40" s="36"/>
      <c r="AA40" s="36"/>
      <c r="AB40" s="36"/>
    </row>
    <row r="41" spans="1:28" ht="24">
      <c r="A41" s="30" t="str">
        <f>HYPERLINK("http://www.suin-juriscol.gov.co/viewDocument.asp?ruta=Decretos/1505864","DECRETO  2981")</f>
        <v>DECRETO  2981</v>
      </c>
      <c r="B41" s="38">
        <v>41628</v>
      </c>
      <c r="C41" s="32" t="s">
        <v>57</v>
      </c>
      <c r="D41" s="33" t="s">
        <v>85</v>
      </c>
      <c r="E41" s="32" t="s">
        <v>41</v>
      </c>
      <c r="F41" s="32" t="s">
        <v>42</v>
      </c>
      <c r="G41" s="34" t="s">
        <v>43</v>
      </c>
      <c r="H41" s="34" t="s">
        <v>44</v>
      </c>
      <c r="I41" s="35"/>
      <c r="J41" s="36"/>
      <c r="K41" s="36"/>
      <c r="L41" s="36"/>
      <c r="M41" s="36"/>
      <c r="N41" s="36"/>
      <c r="O41" s="36"/>
      <c r="P41" s="36"/>
      <c r="Q41" s="36"/>
      <c r="R41" s="36"/>
      <c r="S41" s="36"/>
      <c r="T41" s="36"/>
      <c r="U41" s="36"/>
      <c r="V41" s="36"/>
      <c r="W41" s="36"/>
      <c r="X41" s="36"/>
      <c r="Y41" s="36"/>
      <c r="Z41" s="36"/>
      <c r="AA41" s="36"/>
      <c r="AB41" s="36"/>
    </row>
    <row r="42" spans="1:28" ht="24">
      <c r="A42" s="30" t="str">
        <f>HYPERLINK("http://sisjur.bogotajuridica.gov.co/sisjur/normas/Norma1.jsp?i=52019","DECRETO  75")</f>
        <v>DECRETO  75</v>
      </c>
      <c r="B42" s="31">
        <v>41327</v>
      </c>
      <c r="C42" s="32" t="s">
        <v>61</v>
      </c>
      <c r="D42" s="33" t="s">
        <v>86</v>
      </c>
      <c r="E42" s="32" t="s">
        <v>41</v>
      </c>
      <c r="F42" s="32" t="s">
        <v>42</v>
      </c>
      <c r="G42" s="34" t="s">
        <v>43</v>
      </c>
      <c r="H42" s="34" t="s">
        <v>44</v>
      </c>
      <c r="I42" s="35"/>
      <c r="J42" s="36"/>
      <c r="K42" s="36"/>
      <c r="L42" s="36"/>
      <c r="M42" s="36"/>
      <c r="N42" s="36"/>
      <c r="O42" s="36"/>
      <c r="P42" s="36"/>
      <c r="Q42" s="36"/>
      <c r="R42" s="36"/>
      <c r="S42" s="36"/>
      <c r="T42" s="36"/>
      <c r="U42" s="36"/>
      <c r="V42" s="36"/>
      <c r="W42" s="36"/>
      <c r="X42" s="36"/>
      <c r="Y42" s="36"/>
      <c r="Z42" s="36"/>
      <c r="AA42" s="36"/>
      <c r="AB42" s="36"/>
    </row>
    <row r="43" spans="1:28" ht="72">
      <c r="A43" s="43" t="str">
        <f>HYPERLINK("http://sisjur.bogotajuridica.gov.co/sisjur/normas/Norma1.jsp?i=56034","DECRETO  599
Modificado parcialmente por el Decreto Distrital 622 de 2016")</f>
        <v>DECRETO  599
Modificado parcialmente por el Decreto Distrital 622 de 2016</v>
      </c>
      <c r="B43" s="38">
        <v>41634</v>
      </c>
      <c r="C43" s="32" t="s">
        <v>61</v>
      </c>
      <c r="D43" s="33" t="s">
        <v>87</v>
      </c>
      <c r="E43" s="32" t="s">
        <v>41</v>
      </c>
      <c r="F43" s="32" t="s">
        <v>42</v>
      </c>
      <c r="G43" s="34" t="s">
        <v>43</v>
      </c>
      <c r="H43" s="34" t="s">
        <v>44</v>
      </c>
      <c r="I43" s="35"/>
      <c r="J43" s="36"/>
      <c r="K43" s="36"/>
      <c r="L43" s="36"/>
      <c r="M43" s="36"/>
      <c r="N43" s="36"/>
      <c r="O43" s="36"/>
      <c r="P43" s="36"/>
      <c r="Q43" s="36"/>
      <c r="R43" s="36"/>
      <c r="S43" s="36"/>
      <c r="T43" s="36"/>
      <c r="U43" s="36"/>
      <c r="V43" s="36"/>
      <c r="W43" s="36"/>
      <c r="X43" s="36"/>
      <c r="Y43" s="36"/>
      <c r="Z43" s="36"/>
      <c r="AA43" s="36"/>
      <c r="AB43" s="36"/>
    </row>
    <row r="44" spans="1:28" ht="24">
      <c r="A44" s="30" t="str">
        <f>HYPERLINK("http://sisjur.bogotajuridica.gov.co/sisjur/normas/Norma1.jsp?i=61995","DECRETO  229")</f>
        <v>DECRETO  229</v>
      </c>
      <c r="B44" s="31">
        <v>42171</v>
      </c>
      <c r="C44" s="32" t="s">
        <v>61</v>
      </c>
      <c r="D44" s="33" t="s">
        <v>88</v>
      </c>
      <c r="E44" s="32" t="s">
        <v>41</v>
      </c>
      <c r="F44" s="32" t="s">
        <v>42</v>
      </c>
      <c r="G44" s="34" t="s">
        <v>43</v>
      </c>
      <c r="H44" s="34" t="s">
        <v>44</v>
      </c>
      <c r="I44" s="35"/>
      <c r="J44" s="36"/>
      <c r="K44" s="36"/>
      <c r="L44" s="36"/>
      <c r="M44" s="36"/>
      <c r="N44" s="36"/>
      <c r="O44" s="36"/>
      <c r="P44" s="36"/>
      <c r="Q44" s="36"/>
      <c r="R44" s="36"/>
      <c r="S44" s="36"/>
      <c r="T44" s="36"/>
      <c r="U44" s="36"/>
      <c r="V44" s="36"/>
      <c r="W44" s="36"/>
      <c r="X44" s="36"/>
      <c r="Y44" s="36"/>
      <c r="Z44" s="36"/>
      <c r="AA44" s="36"/>
      <c r="AB44" s="36"/>
    </row>
    <row r="45" spans="1:28" ht="24">
      <c r="A45" s="30" t="str">
        <f>HYPERLINK("http://sisjur.bogotajuridica.gov.co/sisjur/normas/Norma1.jsp?i=64097","DECRETO  529")</f>
        <v>DECRETO  529</v>
      </c>
      <c r="B45" s="38">
        <v>42353</v>
      </c>
      <c r="C45" s="32" t="s">
        <v>61</v>
      </c>
      <c r="D45" s="33" t="s">
        <v>89</v>
      </c>
      <c r="E45" s="32" t="s">
        <v>41</v>
      </c>
      <c r="F45" s="32" t="s">
        <v>42</v>
      </c>
      <c r="G45" s="34" t="s">
        <v>43</v>
      </c>
      <c r="H45" s="34" t="s">
        <v>44</v>
      </c>
      <c r="I45" s="35"/>
      <c r="J45" s="36"/>
      <c r="K45" s="36"/>
      <c r="L45" s="36"/>
      <c r="M45" s="36"/>
      <c r="N45" s="36"/>
      <c r="O45" s="36"/>
      <c r="P45" s="36"/>
      <c r="Q45" s="36"/>
      <c r="R45" s="36"/>
      <c r="S45" s="36"/>
      <c r="T45" s="36"/>
      <c r="U45" s="36"/>
      <c r="V45" s="36"/>
      <c r="W45" s="36"/>
      <c r="X45" s="36"/>
      <c r="Y45" s="36"/>
      <c r="Z45" s="36"/>
      <c r="AA45" s="36"/>
      <c r="AB45" s="36"/>
    </row>
    <row r="46" spans="1:28" ht="36">
      <c r="A46" s="30" t="str">
        <f>HYPERLINK("http://sisjur.bogotajuridica.gov.co/sisjur/normas/Norma1.jsp?i=64114","DECRETO  541")</f>
        <v>DECRETO  541</v>
      </c>
      <c r="B46" s="38">
        <v>42355</v>
      </c>
      <c r="C46" s="32" t="s">
        <v>61</v>
      </c>
      <c r="D46" s="33" t="s">
        <v>90</v>
      </c>
      <c r="E46" s="32" t="s">
        <v>41</v>
      </c>
      <c r="F46" s="32" t="s">
        <v>42</v>
      </c>
      <c r="G46" s="34" t="s">
        <v>43</v>
      </c>
      <c r="H46" s="34" t="s">
        <v>44</v>
      </c>
      <c r="I46" s="35"/>
      <c r="J46" s="36"/>
      <c r="K46" s="36"/>
      <c r="L46" s="36"/>
      <c r="M46" s="36"/>
      <c r="N46" s="36"/>
      <c r="O46" s="36"/>
      <c r="P46" s="36"/>
      <c r="Q46" s="36"/>
      <c r="R46" s="36"/>
      <c r="S46" s="36"/>
      <c r="T46" s="36"/>
      <c r="U46" s="36"/>
      <c r="V46" s="36"/>
      <c r="W46" s="36"/>
      <c r="X46" s="36"/>
      <c r="Y46" s="36"/>
      <c r="Z46" s="36"/>
      <c r="AA46" s="36"/>
      <c r="AB46" s="36"/>
    </row>
    <row r="47" spans="1:28" ht="24">
      <c r="A47" s="30" t="str">
        <f>HYPERLINK("http://sisjur.bogotajuridica.gov.co/sisjur/normas/Norma1.jsp?i=64241","DECRETO  589")</f>
        <v>DECRETO  589</v>
      </c>
      <c r="B47" s="38">
        <v>42367</v>
      </c>
      <c r="C47" s="32" t="s">
        <v>61</v>
      </c>
      <c r="D47" s="33" t="s">
        <v>91</v>
      </c>
      <c r="E47" s="32" t="s">
        <v>41</v>
      </c>
      <c r="F47" s="32" t="s">
        <v>42</v>
      </c>
      <c r="G47" s="34" t="s">
        <v>43</v>
      </c>
      <c r="H47" s="34" t="s">
        <v>44</v>
      </c>
      <c r="I47" s="35"/>
      <c r="J47" s="36"/>
      <c r="K47" s="36"/>
      <c r="L47" s="36"/>
      <c r="M47" s="36"/>
      <c r="N47" s="36"/>
      <c r="O47" s="36"/>
      <c r="P47" s="36"/>
      <c r="Q47" s="36"/>
      <c r="R47" s="36"/>
      <c r="S47" s="36"/>
      <c r="T47" s="36"/>
      <c r="U47" s="36"/>
      <c r="V47" s="36"/>
      <c r="W47" s="36"/>
      <c r="X47" s="36"/>
      <c r="Y47" s="36"/>
      <c r="Z47" s="36"/>
      <c r="AA47" s="36"/>
      <c r="AB47" s="36"/>
    </row>
    <row r="48" spans="1:28" ht="48">
      <c r="A48" s="30" t="str">
        <f>HYPERLINK("http://sisjur.bogotajuridica.gov.co/sisjur/normas/Norma1.jsp?i=64248","DECRETO  597")</f>
        <v>DECRETO  597</v>
      </c>
      <c r="B48" s="38">
        <v>42368</v>
      </c>
      <c r="C48" s="32" t="s">
        <v>61</v>
      </c>
      <c r="D48" s="33" t="s">
        <v>92</v>
      </c>
      <c r="E48" s="32" t="s">
        <v>41</v>
      </c>
      <c r="F48" s="32" t="s">
        <v>42</v>
      </c>
      <c r="G48" s="34" t="s">
        <v>43</v>
      </c>
      <c r="H48" s="34" t="s">
        <v>44</v>
      </c>
      <c r="I48" s="35"/>
      <c r="J48" s="36"/>
      <c r="K48" s="36"/>
      <c r="L48" s="36"/>
      <c r="M48" s="36"/>
      <c r="N48" s="36"/>
      <c r="O48" s="36"/>
      <c r="P48" s="36"/>
      <c r="Q48" s="36"/>
      <c r="R48" s="36"/>
      <c r="S48" s="36"/>
      <c r="T48" s="36"/>
      <c r="U48" s="36"/>
      <c r="V48" s="36"/>
      <c r="W48" s="36"/>
      <c r="X48" s="36"/>
      <c r="Y48" s="36"/>
      <c r="Z48" s="36"/>
      <c r="AA48" s="36"/>
      <c r="AB48" s="36"/>
    </row>
    <row r="49" spans="1:28" ht="60">
      <c r="A49" s="30" t="str">
        <f>HYPERLINK("http://www.suin-juriscol.gov.co/viewDocument.asp?ruta=Decretos/30020036","DECRETO 1077 ")</f>
        <v xml:space="preserve">DECRETO 1077 </v>
      </c>
      <c r="B49" s="31">
        <v>42150</v>
      </c>
      <c r="C49" s="32" t="s">
        <v>57</v>
      </c>
      <c r="D49" s="33" t="s">
        <v>93</v>
      </c>
      <c r="E49" s="32" t="s">
        <v>94</v>
      </c>
      <c r="F49" s="33" t="s">
        <v>95</v>
      </c>
      <c r="G49" s="34" t="s">
        <v>43</v>
      </c>
      <c r="H49" s="34" t="s">
        <v>44</v>
      </c>
      <c r="I49" s="35"/>
      <c r="J49" s="36"/>
      <c r="K49" s="36"/>
      <c r="L49" s="36"/>
      <c r="M49" s="36"/>
      <c r="N49" s="36"/>
      <c r="O49" s="36"/>
      <c r="P49" s="36"/>
      <c r="Q49" s="36"/>
      <c r="R49" s="36"/>
      <c r="S49" s="36"/>
      <c r="T49" s="36"/>
      <c r="U49" s="36"/>
      <c r="V49" s="36"/>
      <c r="W49" s="36"/>
      <c r="X49" s="36"/>
      <c r="Y49" s="36"/>
      <c r="Z49" s="36"/>
      <c r="AA49" s="36"/>
      <c r="AB49" s="36"/>
    </row>
    <row r="50" spans="1:28" ht="60">
      <c r="A50" s="30" t="str">
        <f>HYPERLINK("http://www.suin-juriscol.gov.co/viewDocument.asp?ruta=Decretos/30019898","DECRETO 1080")</f>
        <v>DECRETO 1080</v>
      </c>
      <c r="B50" s="31">
        <v>42150</v>
      </c>
      <c r="C50" s="32" t="s">
        <v>57</v>
      </c>
      <c r="D50" s="33" t="s">
        <v>96</v>
      </c>
      <c r="E50" s="32" t="s">
        <v>41</v>
      </c>
      <c r="F50" s="32" t="s">
        <v>97</v>
      </c>
      <c r="G50" s="34" t="s">
        <v>43</v>
      </c>
      <c r="H50" s="34" t="s">
        <v>44</v>
      </c>
      <c r="I50" s="35"/>
      <c r="J50" s="36"/>
      <c r="K50" s="36"/>
      <c r="L50" s="36"/>
      <c r="M50" s="36"/>
      <c r="N50" s="36"/>
      <c r="O50" s="36"/>
      <c r="P50" s="36"/>
      <c r="Q50" s="36"/>
      <c r="R50" s="36"/>
      <c r="S50" s="36"/>
      <c r="T50" s="36"/>
      <c r="U50" s="36"/>
      <c r="V50" s="36"/>
      <c r="W50" s="36"/>
      <c r="X50" s="36"/>
      <c r="Y50" s="36"/>
      <c r="Z50" s="36"/>
      <c r="AA50" s="36"/>
      <c r="AB50" s="36"/>
    </row>
    <row r="51" spans="1:28" ht="84">
      <c r="A51" s="30" t="str">
        <f>HYPERLINK("http://sisjur.bogotajuridica.gov.co/sisjur/normas/Norma1.jsp?i=67805","DECRETO 622")</f>
        <v>DECRETO 622</v>
      </c>
      <c r="B51" s="38">
        <v>42727</v>
      </c>
      <c r="C51" s="32" t="s">
        <v>61</v>
      </c>
      <c r="D51" s="33" t="s">
        <v>98</v>
      </c>
      <c r="E51" s="32" t="s">
        <v>41</v>
      </c>
      <c r="F51" s="32" t="s">
        <v>42</v>
      </c>
      <c r="G51" s="34" t="s">
        <v>43</v>
      </c>
      <c r="H51" s="34" t="s">
        <v>44</v>
      </c>
      <c r="I51" s="35"/>
      <c r="J51" s="36"/>
      <c r="K51" s="36"/>
      <c r="L51" s="36"/>
      <c r="M51" s="36"/>
      <c r="N51" s="36"/>
      <c r="O51" s="36"/>
      <c r="P51" s="36"/>
      <c r="Q51" s="36"/>
      <c r="R51" s="36"/>
      <c r="S51" s="36"/>
      <c r="T51" s="36"/>
      <c r="U51" s="36"/>
      <c r="V51" s="36"/>
      <c r="W51" s="36"/>
      <c r="X51" s="36"/>
      <c r="Y51" s="36"/>
      <c r="Z51" s="36"/>
      <c r="AA51" s="36"/>
      <c r="AB51" s="36"/>
    </row>
    <row r="52" spans="1:28" ht="48">
      <c r="A52" s="30" t="str">
        <f>HYPERLINK("http://sisjur.bogotajuridica.gov.co/sisjur/normas/Norma1.jsp?i=70337","DECRETO 397")</f>
        <v>DECRETO 397</v>
      </c>
      <c r="B52" s="31">
        <v>42949</v>
      </c>
      <c r="C52" s="32" t="s">
        <v>61</v>
      </c>
      <c r="D52" s="33" t="s">
        <v>99</v>
      </c>
      <c r="E52" s="32" t="s">
        <v>41</v>
      </c>
      <c r="F52" s="32" t="s">
        <v>42</v>
      </c>
      <c r="G52" s="34" t="s">
        <v>43</v>
      </c>
      <c r="H52" s="34" t="s">
        <v>44</v>
      </c>
      <c r="I52" s="35"/>
      <c r="J52" s="36"/>
      <c r="K52" s="36"/>
      <c r="L52" s="36"/>
      <c r="M52" s="36"/>
      <c r="N52" s="36"/>
      <c r="O52" s="36"/>
      <c r="P52" s="36"/>
      <c r="Q52" s="36"/>
      <c r="R52" s="36"/>
      <c r="S52" s="36"/>
      <c r="T52" s="36"/>
      <c r="U52" s="36"/>
      <c r="V52" s="36"/>
      <c r="W52" s="36"/>
      <c r="X52" s="36"/>
      <c r="Y52" s="36"/>
      <c r="Z52" s="36"/>
      <c r="AA52" s="36"/>
      <c r="AB52" s="36"/>
    </row>
    <row r="53" spans="1:28" ht="72">
      <c r="A53" s="30" t="str">
        <f>HYPERLINK("http://sisjur.bogotajuridica.gov.co/sisjur/normas/Norma1.jsp?i=71202","DECRETO 472")</f>
        <v>DECRETO 472</v>
      </c>
      <c r="B53" s="31">
        <v>42984</v>
      </c>
      <c r="C53" s="32" t="s">
        <v>61</v>
      </c>
      <c r="D53" s="33" t="s">
        <v>100</v>
      </c>
      <c r="E53" s="32" t="s">
        <v>41</v>
      </c>
      <c r="F53" s="32" t="s">
        <v>42</v>
      </c>
      <c r="G53" s="34" t="s">
        <v>43</v>
      </c>
      <c r="H53" s="34" t="s">
        <v>44</v>
      </c>
      <c r="I53" s="35"/>
      <c r="J53" s="36"/>
      <c r="K53" s="36"/>
      <c r="L53" s="36"/>
      <c r="M53" s="36"/>
      <c r="N53" s="36"/>
      <c r="O53" s="36"/>
      <c r="P53" s="36"/>
      <c r="Q53" s="36"/>
      <c r="R53" s="36"/>
      <c r="S53" s="36"/>
      <c r="T53" s="36"/>
      <c r="U53" s="36"/>
      <c r="V53" s="36"/>
      <c r="W53" s="36"/>
      <c r="X53" s="36"/>
      <c r="Y53" s="36"/>
      <c r="Z53" s="36"/>
      <c r="AA53" s="36"/>
      <c r="AB53" s="36"/>
    </row>
    <row r="54" spans="1:28" ht="36">
      <c r="A54" s="37" t="s">
        <v>101</v>
      </c>
      <c r="B54" s="31">
        <v>43329</v>
      </c>
      <c r="C54" s="32" t="s">
        <v>61</v>
      </c>
      <c r="D54" s="39" t="s">
        <v>102</v>
      </c>
      <c r="E54" s="40" t="s">
        <v>41</v>
      </c>
      <c r="F54" s="32"/>
      <c r="G54" s="34"/>
      <c r="H54" s="34"/>
      <c r="I54" s="35"/>
      <c r="J54" s="36"/>
      <c r="K54" s="36"/>
      <c r="L54" s="36"/>
      <c r="M54" s="36"/>
      <c r="N54" s="36"/>
      <c r="O54" s="36"/>
      <c r="P54" s="36"/>
      <c r="Q54" s="36"/>
      <c r="R54" s="36"/>
      <c r="S54" s="36"/>
      <c r="T54" s="36"/>
      <c r="U54" s="36"/>
      <c r="V54" s="36"/>
      <c r="W54" s="36"/>
      <c r="X54" s="36"/>
      <c r="Y54" s="36"/>
      <c r="Z54" s="36"/>
      <c r="AA54" s="36"/>
      <c r="AB54" s="36"/>
    </row>
    <row r="55" spans="1:28" ht="36">
      <c r="A55" s="48" t="str">
        <f>HYPERLINK("http://sisjur.bogotajuridica.gov.co/sisjur/normas/Norma1.jsp?i=81065","DECRETO 552")</f>
        <v>DECRETO 552</v>
      </c>
      <c r="B55" s="31">
        <v>43369</v>
      </c>
      <c r="C55" s="32" t="s">
        <v>61</v>
      </c>
      <c r="D55" s="33" t="s">
        <v>103</v>
      </c>
      <c r="E55" s="32" t="s">
        <v>41</v>
      </c>
      <c r="F55" s="32" t="s">
        <v>42</v>
      </c>
      <c r="G55" s="34" t="s">
        <v>43</v>
      </c>
      <c r="H55" s="34" t="s">
        <v>44</v>
      </c>
      <c r="I55" s="35"/>
      <c r="J55" s="36"/>
      <c r="K55" s="36"/>
      <c r="L55" s="36"/>
      <c r="M55" s="36"/>
      <c r="N55" s="36"/>
      <c r="O55" s="36"/>
      <c r="P55" s="36"/>
      <c r="Q55" s="36"/>
      <c r="R55" s="36"/>
      <c r="S55" s="36"/>
      <c r="T55" s="36"/>
      <c r="U55" s="36"/>
      <c r="V55" s="36"/>
      <c r="W55" s="36"/>
      <c r="X55" s="36"/>
      <c r="Y55" s="36"/>
      <c r="Z55" s="36"/>
      <c r="AA55" s="36"/>
      <c r="AB55" s="36"/>
    </row>
    <row r="56" spans="1:28" ht="48">
      <c r="A56" s="37" t="s">
        <v>104</v>
      </c>
      <c r="B56" s="31">
        <v>43370</v>
      </c>
      <c r="C56" s="32" t="s">
        <v>61</v>
      </c>
      <c r="D56" s="39" t="s">
        <v>105</v>
      </c>
      <c r="E56" s="40" t="s">
        <v>41</v>
      </c>
      <c r="F56" s="32"/>
      <c r="G56" s="34"/>
      <c r="H56" s="34"/>
      <c r="I56" s="35"/>
      <c r="J56" s="36"/>
      <c r="K56" s="36"/>
      <c r="L56" s="36"/>
      <c r="M56" s="36"/>
      <c r="N56" s="36"/>
      <c r="O56" s="36"/>
      <c r="P56" s="36"/>
      <c r="Q56" s="36"/>
      <c r="R56" s="36"/>
      <c r="S56" s="36"/>
      <c r="T56" s="36"/>
      <c r="U56" s="36"/>
      <c r="V56" s="36"/>
      <c r="W56" s="36"/>
      <c r="X56" s="36"/>
      <c r="Y56" s="36"/>
      <c r="Z56" s="36"/>
      <c r="AA56" s="36"/>
      <c r="AB56" s="36"/>
    </row>
    <row r="57" spans="1:28" ht="48">
      <c r="A57" s="49" t="str">
        <f>HYPERLINK("http://sisjur.bogotajuridica.gov.co/sisjur/normas/Norma1.jsp?i=82631","DECRETO 052")</f>
        <v>DECRETO 052</v>
      </c>
      <c r="B57" s="31">
        <v>43509</v>
      </c>
      <c r="C57" s="32" t="s">
        <v>61</v>
      </c>
      <c r="D57" s="33" t="s">
        <v>106</v>
      </c>
      <c r="E57" s="32" t="s">
        <v>41</v>
      </c>
      <c r="F57" s="32" t="s">
        <v>42</v>
      </c>
      <c r="G57" s="34" t="s">
        <v>43</v>
      </c>
      <c r="H57" s="34" t="s">
        <v>44</v>
      </c>
      <c r="I57" s="35"/>
      <c r="J57" s="36"/>
      <c r="K57" s="36"/>
      <c r="L57" s="36"/>
      <c r="M57" s="36"/>
      <c r="N57" s="36"/>
      <c r="O57" s="36"/>
      <c r="P57" s="36"/>
      <c r="Q57" s="36"/>
      <c r="R57" s="36"/>
      <c r="S57" s="36"/>
      <c r="T57" s="36"/>
      <c r="U57" s="36"/>
      <c r="V57" s="36"/>
      <c r="W57" s="36"/>
      <c r="X57" s="36"/>
      <c r="Y57" s="36"/>
      <c r="Z57" s="36"/>
      <c r="AA57" s="36"/>
      <c r="AB57" s="36"/>
    </row>
    <row r="58" spans="1:28" ht="48">
      <c r="A58" s="49" t="str">
        <f>HYPERLINK("http://sisjur.bogotajuridica.gov.co/sisjur/normas/Norma1.jsp?i=83208","Decreto 149")</f>
        <v>Decreto 149</v>
      </c>
      <c r="B58" s="50">
        <v>43559</v>
      </c>
      <c r="C58" s="51" t="s">
        <v>61</v>
      </c>
      <c r="D58" s="52" t="s">
        <v>107</v>
      </c>
      <c r="E58" s="51" t="s">
        <v>41</v>
      </c>
      <c r="F58" s="51" t="s">
        <v>42</v>
      </c>
      <c r="G58" s="53" t="s">
        <v>43</v>
      </c>
      <c r="H58" s="53" t="s">
        <v>44</v>
      </c>
      <c r="I58" s="35"/>
      <c r="J58" s="36"/>
      <c r="K58" s="36"/>
      <c r="L58" s="36"/>
      <c r="M58" s="36"/>
      <c r="N58" s="36"/>
      <c r="O58" s="36"/>
      <c r="P58" s="36"/>
      <c r="Q58" s="36"/>
      <c r="R58" s="36"/>
      <c r="S58" s="36"/>
      <c r="T58" s="36"/>
      <c r="U58" s="36"/>
      <c r="V58" s="36"/>
      <c r="W58" s="36"/>
      <c r="X58" s="36"/>
      <c r="Y58" s="36"/>
      <c r="Z58" s="36"/>
      <c r="AA58" s="36"/>
      <c r="AB58" s="36"/>
    </row>
    <row r="59" spans="1:28" ht="24">
      <c r="A59" s="49" t="str">
        <f>HYPERLINK("http://sisjur.bogotajuridica.gov.co/sisjur/normas/Norma1.jsp?i=85025","Decreto 375")</f>
        <v>Decreto 375</v>
      </c>
      <c r="B59" s="50">
        <v>43637</v>
      </c>
      <c r="C59" s="51" t="s">
        <v>61</v>
      </c>
      <c r="D59" s="52" t="s">
        <v>108</v>
      </c>
      <c r="E59" s="51" t="s">
        <v>41</v>
      </c>
      <c r="F59" s="51" t="s">
        <v>42</v>
      </c>
      <c r="G59" s="53" t="s">
        <v>43</v>
      </c>
      <c r="H59" s="53" t="s">
        <v>44</v>
      </c>
      <c r="I59" s="35"/>
      <c r="J59" s="36"/>
      <c r="K59" s="36"/>
      <c r="L59" s="36"/>
      <c r="M59" s="36"/>
      <c r="N59" s="36"/>
      <c r="O59" s="36"/>
      <c r="P59" s="36"/>
      <c r="Q59" s="36"/>
      <c r="R59" s="36"/>
      <c r="S59" s="36"/>
      <c r="T59" s="36"/>
      <c r="U59" s="36"/>
      <c r="V59" s="36"/>
      <c r="W59" s="36"/>
      <c r="X59" s="36"/>
      <c r="Y59" s="36"/>
      <c r="Z59" s="36"/>
      <c r="AA59" s="36"/>
      <c r="AB59" s="36"/>
    </row>
    <row r="60" spans="1:28" ht="36">
      <c r="A60" s="37" t="s">
        <v>109</v>
      </c>
      <c r="B60" s="50">
        <v>43791</v>
      </c>
      <c r="C60" s="32" t="s">
        <v>57</v>
      </c>
      <c r="D60" s="54" t="s">
        <v>110</v>
      </c>
      <c r="E60" s="55" t="s">
        <v>111</v>
      </c>
      <c r="F60" s="54" t="s">
        <v>112</v>
      </c>
      <c r="G60" s="53"/>
      <c r="H60" s="53"/>
      <c r="I60" s="35"/>
      <c r="J60" s="36"/>
      <c r="K60" s="36"/>
      <c r="L60" s="36"/>
      <c r="M60" s="36"/>
      <c r="N60" s="36"/>
      <c r="O60" s="36"/>
      <c r="P60" s="36"/>
      <c r="Q60" s="36"/>
      <c r="R60" s="36"/>
      <c r="S60" s="36"/>
      <c r="T60" s="36"/>
      <c r="U60" s="36"/>
      <c r="V60" s="36"/>
      <c r="W60" s="36"/>
      <c r="X60" s="36"/>
      <c r="Y60" s="36"/>
      <c r="Z60" s="36"/>
      <c r="AA60" s="36"/>
      <c r="AB60" s="36"/>
    </row>
    <row r="61" spans="1:28" ht="48">
      <c r="A61" s="37" t="s">
        <v>113</v>
      </c>
      <c r="B61" s="50">
        <v>43901</v>
      </c>
      <c r="C61" s="51" t="s">
        <v>61</v>
      </c>
      <c r="D61" s="52" t="s">
        <v>114</v>
      </c>
      <c r="E61" s="51" t="s">
        <v>41</v>
      </c>
      <c r="F61" s="51" t="s">
        <v>42</v>
      </c>
      <c r="G61" s="53" t="s">
        <v>43</v>
      </c>
      <c r="H61" s="53" t="s">
        <v>44</v>
      </c>
      <c r="I61" s="35"/>
      <c r="J61" s="36"/>
      <c r="K61" s="36"/>
      <c r="L61" s="36"/>
      <c r="M61" s="36"/>
      <c r="N61" s="36"/>
      <c r="O61" s="36"/>
      <c r="P61" s="36"/>
      <c r="Q61" s="36"/>
      <c r="R61" s="36"/>
      <c r="S61" s="36"/>
      <c r="T61" s="36"/>
      <c r="U61" s="36"/>
      <c r="V61" s="36"/>
      <c r="W61" s="36"/>
      <c r="X61" s="36"/>
      <c r="Y61" s="36"/>
      <c r="Z61" s="36"/>
      <c r="AA61" s="36"/>
      <c r="AB61" s="36"/>
    </row>
    <row r="62" spans="1:28" ht="24.75">
      <c r="A62" s="56" t="s">
        <v>115</v>
      </c>
      <c r="B62" s="57">
        <v>43829</v>
      </c>
      <c r="C62" s="58" t="s">
        <v>116</v>
      </c>
      <c r="D62" s="59" t="s">
        <v>117</v>
      </c>
      <c r="E62" s="60" t="s">
        <v>41</v>
      </c>
      <c r="F62" s="60" t="s">
        <v>42</v>
      </c>
      <c r="G62" s="61"/>
      <c r="H62" s="61"/>
      <c r="I62" s="62"/>
      <c r="J62" s="62"/>
      <c r="K62" s="62"/>
      <c r="L62" s="62"/>
      <c r="M62" s="62"/>
      <c r="N62" s="62"/>
      <c r="O62" s="62"/>
      <c r="P62" s="62"/>
      <c r="Q62" s="62"/>
      <c r="R62" s="62"/>
      <c r="S62" s="62"/>
      <c r="T62" s="62"/>
      <c r="U62" s="62"/>
      <c r="V62" s="62"/>
      <c r="W62" s="62"/>
      <c r="X62" s="62"/>
      <c r="Y62" s="62"/>
      <c r="Z62" s="62"/>
      <c r="AA62" s="36"/>
      <c r="AB62" s="36"/>
    </row>
    <row r="63" spans="1:28" ht="36">
      <c r="A63" s="37" t="s">
        <v>118</v>
      </c>
      <c r="B63" s="50">
        <v>43915</v>
      </c>
      <c r="C63" s="51" t="s">
        <v>61</v>
      </c>
      <c r="D63" s="52" t="s">
        <v>119</v>
      </c>
      <c r="E63" s="51" t="s">
        <v>41</v>
      </c>
      <c r="F63" s="51" t="s">
        <v>42</v>
      </c>
      <c r="G63" s="53" t="s">
        <v>43</v>
      </c>
      <c r="H63" s="53" t="s">
        <v>44</v>
      </c>
      <c r="I63" s="35"/>
      <c r="J63" s="36"/>
      <c r="K63" s="36"/>
      <c r="L63" s="36"/>
      <c r="M63" s="36"/>
      <c r="N63" s="36"/>
      <c r="O63" s="36"/>
      <c r="P63" s="36"/>
      <c r="Q63" s="36"/>
      <c r="R63" s="36"/>
      <c r="S63" s="36"/>
      <c r="T63" s="36"/>
      <c r="U63" s="36"/>
      <c r="V63" s="36"/>
      <c r="W63" s="36"/>
      <c r="X63" s="36"/>
      <c r="Y63" s="36"/>
      <c r="Z63" s="36"/>
      <c r="AA63" s="36"/>
      <c r="AB63" s="36"/>
    </row>
    <row r="64" spans="1:28" ht="48">
      <c r="A64" s="37" t="s">
        <v>120</v>
      </c>
      <c r="B64" s="31">
        <v>44369</v>
      </c>
      <c r="C64" s="32" t="s">
        <v>57</v>
      </c>
      <c r="D64" s="39" t="s">
        <v>121</v>
      </c>
      <c r="E64" s="40" t="s">
        <v>41</v>
      </c>
      <c r="F64" s="40" t="s">
        <v>42</v>
      </c>
      <c r="G64" s="34"/>
      <c r="H64" s="34"/>
      <c r="I64" s="35"/>
      <c r="J64" s="36"/>
      <c r="K64" s="36"/>
      <c r="L64" s="36"/>
      <c r="M64" s="36"/>
      <c r="N64" s="36"/>
      <c r="O64" s="36"/>
      <c r="P64" s="36"/>
      <c r="Q64" s="36"/>
      <c r="R64" s="36"/>
      <c r="S64" s="36"/>
      <c r="T64" s="36"/>
      <c r="U64" s="36"/>
      <c r="V64" s="36"/>
      <c r="W64" s="36"/>
      <c r="X64" s="36"/>
      <c r="Y64" s="36"/>
      <c r="Z64" s="36"/>
      <c r="AA64" s="36"/>
      <c r="AB64" s="36"/>
    </row>
    <row r="65" spans="1:28" ht="48">
      <c r="A65" s="37" t="s">
        <v>122</v>
      </c>
      <c r="B65" s="31">
        <v>44379</v>
      </c>
      <c r="C65" s="32" t="s">
        <v>57</v>
      </c>
      <c r="D65" s="39" t="s">
        <v>123</v>
      </c>
      <c r="E65" s="40" t="s">
        <v>41</v>
      </c>
      <c r="F65" s="40" t="s">
        <v>42</v>
      </c>
      <c r="G65" s="34"/>
      <c r="H65" s="34"/>
      <c r="I65" s="35"/>
      <c r="J65" s="36"/>
      <c r="K65" s="36"/>
      <c r="L65" s="36"/>
      <c r="M65" s="36"/>
      <c r="N65" s="36"/>
      <c r="O65" s="36"/>
      <c r="P65" s="36"/>
      <c r="Q65" s="36"/>
      <c r="R65" s="36"/>
      <c r="S65" s="36"/>
      <c r="T65" s="36"/>
      <c r="U65" s="36"/>
      <c r="V65" s="36"/>
      <c r="W65" s="36"/>
      <c r="X65" s="36"/>
      <c r="Y65" s="36"/>
      <c r="Z65" s="36"/>
      <c r="AA65" s="36"/>
      <c r="AB65" s="36"/>
    </row>
    <row r="66" spans="1:28">
      <c r="A66" s="30" t="str">
        <f>HYPERLINK("http://sisjur.bogotajuridica.gov.co/sisjur/normas/Norma1.jsp?i=4922","RESOLUCIÓN  982")</f>
        <v>RESOLUCIÓN  982</v>
      </c>
      <c r="B66" s="31">
        <v>34388</v>
      </c>
      <c r="C66" s="32" t="s">
        <v>124</v>
      </c>
      <c r="D66" s="33" t="s">
        <v>125</v>
      </c>
      <c r="E66" s="32" t="s">
        <v>41</v>
      </c>
      <c r="F66" s="32" t="s">
        <v>42</v>
      </c>
      <c r="G66" s="34" t="s">
        <v>43</v>
      </c>
      <c r="H66" s="34" t="s">
        <v>44</v>
      </c>
      <c r="I66" s="35"/>
      <c r="J66" s="36"/>
      <c r="K66" s="36"/>
      <c r="L66" s="36"/>
      <c r="M66" s="36"/>
      <c r="N66" s="36"/>
      <c r="O66" s="36"/>
      <c r="P66" s="36"/>
      <c r="Q66" s="36"/>
      <c r="R66" s="36"/>
      <c r="S66" s="36"/>
      <c r="T66" s="36"/>
      <c r="U66" s="36"/>
      <c r="V66" s="36"/>
      <c r="W66" s="36"/>
      <c r="X66" s="36"/>
      <c r="Y66" s="36"/>
      <c r="Z66" s="36"/>
      <c r="AA66" s="36"/>
      <c r="AB66" s="36"/>
    </row>
    <row r="67" spans="1:28" ht="48">
      <c r="A67" s="30" t="str">
        <f>HYPERLINK("http://sisjur.bogotajuridica.gov.co/sisjur/normas/Norma1.jsp?i=17157","RESOLUCIÓN  119")</f>
        <v>RESOLUCIÓN  119</v>
      </c>
      <c r="B67" s="31">
        <v>38516</v>
      </c>
      <c r="C67" s="32" t="s">
        <v>126</v>
      </c>
      <c r="D67" s="33" t="s">
        <v>127</v>
      </c>
      <c r="E67" s="32" t="s">
        <v>41</v>
      </c>
      <c r="F67" s="32" t="s">
        <v>42</v>
      </c>
      <c r="G67" s="34" t="s">
        <v>43</v>
      </c>
      <c r="H67" s="34" t="s">
        <v>44</v>
      </c>
      <c r="I67" s="35"/>
      <c r="J67" s="36"/>
      <c r="K67" s="36"/>
      <c r="L67" s="36"/>
      <c r="M67" s="36"/>
      <c r="N67" s="36"/>
      <c r="O67" s="36"/>
      <c r="P67" s="36"/>
      <c r="Q67" s="36"/>
      <c r="R67" s="36"/>
      <c r="S67" s="36"/>
      <c r="T67" s="36"/>
      <c r="U67" s="36"/>
      <c r="V67" s="36"/>
      <c r="W67" s="36"/>
      <c r="X67" s="36"/>
      <c r="Y67" s="36"/>
      <c r="Z67" s="36"/>
      <c r="AA67" s="36"/>
      <c r="AB67" s="36"/>
    </row>
    <row r="68" spans="1:28" ht="36">
      <c r="A68" s="30" t="str">
        <f>HYPERLINK("http://sisjur.bogotajuridica.gov.co/sisjur/normas/Norma1.jsp?i=19982","RESOLUCION  627")</f>
        <v>RESOLUCION  627</v>
      </c>
      <c r="B68" s="31">
        <v>38814</v>
      </c>
      <c r="C68" s="32" t="s">
        <v>128</v>
      </c>
      <c r="D68" s="33" t="s">
        <v>129</v>
      </c>
      <c r="E68" s="32" t="s">
        <v>41</v>
      </c>
      <c r="F68" s="32" t="s">
        <v>42</v>
      </c>
      <c r="G68" s="34" t="s">
        <v>43</v>
      </c>
      <c r="H68" s="34" t="s">
        <v>44</v>
      </c>
      <c r="I68" s="35"/>
      <c r="J68" s="36"/>
      <c r="K68" s="36"/>
      <c r="L68" s="36"/>
      <c r="M68" s="36"/>
      <c r="N68" s="36"/>
      <c r="O68" s="36"/>
      <c r="P68" s="36"/>
      <c r="Q68" s="36"/>
      <c r="R68" s="36"/>
      <c r="S68" s="36"/>
      <c r="T68" s="36"/>
      <c r="U68" s="36"/>
      <c r="V68" s="36"/>
      <c r="W68" s="36"/>
      <c r="X68" s="36"/>
      <c r="Y68" s="36"/>
      <c r="Z68" s="36"/>
      <c r="AA68" s="36"/>
      <c r="AB68" s="36"/>
    </row>
    <row r="69" spans="1:28" ht="45">
      <c r="A69" s="43" t="str">
        <f>HYPERLINK("http://sisjur.bogotajuridica.gov.co/sisjur/normas/Norma1.jsp?i=25617","RESOLUCIÓN IDRD  277
Modificada por la Resolución del I.D.R.D. 583 de 2008")</f>
        <v>RESOLUCIÓN IDRD  277
Modificada por la Resolución del I.D.R.D. 583 de 2008</v>
      </c>
      <c r="B69" s="31">
        <v>39252</v>
      </c>
      <c r="C69" s="32" t="s">
        <v>130</v>
      </c>
      <c r="D69" s="33" t="s">
        <v>131</v>
      </c>
      <c r="E69" s="32" t="s">
        <v>41</v>
      </c>
      <c r="F69" s="32" t="s">
        <v>42</v>
      </c>
      <c r="G69" s="34" t="s">
        <v>43</v>
      </c>
      <c r="H69" s="34" t="s">
        <v>44</v>
      </c>
      <c r="I69" s="35"/>
      <c r="J69" s="36"/>
      <c r="K69" s="36"/>
      <c r="L69" s="36"/>
      <c r="M69" s="36"/>
      <c r="N69" s="36"/>
      <c r="O69" s="36"/>
      <c r="P69" s="36"/>
      <c r="Q69" s="36"/>
      <c r="R69" s="36"/>
      <c r="S69" s="36"/>
      <c r="T69" s="36"/>
      <c r="U69" s="36"/>
      <c r="V69" s="36"/>
      <c r="W69" s="36"/>
      <c r="X69" s="36"/>
      <c r="Y69" s="36"/>
      <c r="Z69" s="36"/>
      <c r="AA69" s="36"/>
      <c r="AB69" s="36"/>
    </row>
    <row r="70" spans="1:28" ht="36">
      <c r="A70" s="30" t="str">
        <f>HYPERLINK("http://sisjur.bogotajuridica.gov.co/sisjur/normas/Norma1.jsp?i=35322","RESOLUCIÓN IDRD  583")</f>
        <v>RESOLUCIÓN IDRD  583</v>
      </c>
      <c r="B70" s="38">
        <v>39797</v>
      </c>
      <c r="C70" s="32" t="s">
        <v>130</v>
      </c>
      <c r="D70" s="33" t="s">
        <v>132</v>
      </c>
      <c r="E70" s="32" t="s">
        <v>41</v>
      </c>
      <c r="F70" s="32" t="s">
        <v>42</v>
      </c>
      <c r="G70" s="34" t="s">
        <v>43</v>
      </c>
      <c r="H70" s="34" t="s">
        <v>44</v>
      </c>
      <c r="I70" s="35"/>
      <c r="J70" s="36"/>
      <c r="K70" s="36"/>
      <c r="L70" s="36"/>
      <c r="M70" s="36"/>
      <c r="N70" s="36"/>
      <c r="O70" s="36"/>
      <c r="P70" s="36"/>
      <c r="Q70" s="36"/>
      <c r="R70" s="36"/>
      <c r="S70" s="36"/>
      <c r="T70" s="36"/>
      <c r="U70" s="36"/>
      <c r="V70" s="36"/>
      <c r="W70" s="36"/>
      <c r="X70" s="36"/>
      <c r="Y70" s="36"/>
      <c r="Z70" s="36"/>
      <c r="AA70" s="36"/>
      <c r="AB70" s="36"/>
    </row>
    <row r="71" spans="1:28" ht="24">
      <c r="A71" s="30" t="str">
        <f>HYPERLINK("http://www.suin-juriscol.gov.co/viewDocument.asp?ruta=Resolucion/30033869","RESOLUCIÓN  4150")</f>
        <v>RESOLUCIÓN  4150</v>
      </c>
      <c r="B71" s="38">
        <v>40116</v>
      </c>
      <c r="C71" s="32" t="s">
        <v>133</v>
      </c>
      <c r="D71" s="33" t="s">
        <v>134</v>
      </c>
      <c r="E71" s="32" t="s">
        <v>41</v>
      </c>
      <c r="F71" s="32" t="s">
        <v>42</v>
      </c>
      <c r="G71" s="34" t="s">
        <v>43</v>
      </c>
      <c r="H71" s="34" t="s">
        <v>44</v>
      </c>
      <c r="I71" s="35"/>
      <c r="J71" s="36"/>
      <c r="K71" s="36"/>
      <c r="L71" s="36"/>
      <c r="M71" s="36"/>
      <c r="N71" s="36"/>
      <c r="O71" s="36"/>
      <c r="P71" s="36"/>
      <c r="Q71" s="36"/>
      <c r="R71" s="36"/>
      <c r="S71" s="36"/>
      <c r="T71" s="36"/>
      <c r="U71" s="36"/>
      <c r="V71" s="36"/>
      <c r="W71" s="36"/>
      <c r="X71" s="36"/>
      <c r="Y71" s="36"/>
      <c r="Z71" s="36"/>
      <c r="AA71" s="36"/>
      <c r="AB71" s="36"/>
    </row>
    <row r="72" spans="1:28" ht="36">
      <c r="A72" s="30" t="str">
        <f>HYPERLINK("http://sisjur.bogotajuridica.gov.co/sisjur/normas/Norma1.jsp?i=40177","RESOLUCIÓN IDRD  338")</f>
        <v>RESOLUCIÓN IDRD  338</v>
      </c>
      <c r="B72" s="31">
        <v>40389</v>
      </c>
      <c r="C72" s="32" t="s">
        <v>130</v>
      </c>
      <c r="D72" s="33" t="s">
        <v>135</v>
      </c>
      <c r="E72" s="32" t="s">
        <v>41</v>
      </c>
      <c r="F72" s="32" t="s">
        <v>42</v>
      </c>
      <c r="G72" s="34" t="s">
        <v>43</v>
      </c>
      <c r="H72" s="34" t="s">
        <v>44</v>
      </c>
      <c r="I72" s="35"/>
      <c r="J72" s="36"/>
      <c r="K72" s="36"/>
      <c r="L72" s="36"/>
      <c r="M72" s="36"/>
      <c r="N72" s="36"/>
      <c r="O72" s="36"/>
      <c r="P72" s="36"/>
      <c r="Q72" s="36"/>
      <c r="R72" s="36"/>
      <c r="S72" s="36"/>
      <c r="T72" s="36"/>
      <c r="U72" s="36"/>
      <c r="V72" s="36"/>
      <c r="W72" s="36"/>
      <c r="X72" s="36"/>
      <c r="Y72" s="36"/>
      <c r="Z72" s="36"/>
      <c r="AA72" s="36"/>
      <c r="AB72" s="36"/>
    </row>
    <row r="73" spans="1:28" ht="36">
      <c r="A73" s="30" t="str">
        <f>HYPERLINK("http://sisjur.bogotajuridica.gov.co/sisjur/normas/Norma1.jsp?i=39370","RESOLUCIÓN  958")</f>
        <v>RESOLUCIÓN  958</v>
      </c>
      <c r="B73" s="31">
        <v>40288</v>
      </c>
      <c r="C73" s="32" t="s">
        <v>136</v>
      </c>
      <c r="D73" s="33" t="s">
        <v>137</v>
      </c>
      <c r="E73" s="32" t="s">
        <v>41</v>
      </c>
      <c r="F73" s="32" t="s">
        <v>42</v>
      </c>
      <c r="G73" s="34" t="s">
        <v>43</v>
      </c>
      <c r="H73" s="34" t="s">
        <v>44</v>
      </c>
      <c r="I73" s="35"/>
      <c r="J73" s="36"/>
      <c r="K73" s="36"/>
      <c r="L73" s="36"/>
      <c r="M73" s="36"/>
      <c r="N73" s="36"/>
      <c r="O73" s="36"/>
      <c r="P73" s="36"/>
      <c r="Q73" s="36"/>
      <c r="R73" s="36"/>
      <c r="S73" s="36"/>
      <c r="T73" s="36"/>
      <c r="U73" s="36"/>
      <c r="V73" s="36"/>
      <c r="W73" s="36"/>
      <c r="X73" s="36"/>
      <c r="Y73" s="36"/>
      <c r="Z73" s="36"/>
      <c r="AA73" s="36"/>
      <c r="AB73" s="36"/>
    </row>
    <row r="74" spans="1:28" ht="60">
      <c r="A74" s="37" t="s">
        <v>138</v>
      </c>
      <c r="B74" s="31">
        <v>40665</v>
      </c>
      <c r="C74" s="32" t="s">
        <v>139</v>
      </c>
      <c r="D74" s="33" t="s">
        <v>140</v>
      </c>
      <c r="E74" s="32" t="s">
        <v>41</v>
      </c>
      <c r="F74" s="32" t="s">
        <v>42</v>
      </c>
      <c r="G74" s="34" t="s">
        <v>43</v>
      </c>
      <c r="H74" s="34" t="s">
        <v>44</v>
      </c>
      <c r="I74" s="35"/>
      <c r="J74" s="36"/>
      <c r="K74" s="36"/>
      <c r="L74" s="36"/>
      <c r="M74" s="36"/>
      <c r="N74" s="36"/>
      <c r="O74" s="36"/>
      <c r="P74" s="36"/>
      <c r="Q74" s="36"/>
      <c r="R74" s="36"/>
      <c r="S74" s="36"/>
      <c r="T74" s="36"/>
      <c r="U74" s="36"/>
      <c r="V74" s="36"/>
      <c r="W74" s="36"/>
      <c r="X74" s="36"/>
      <c r="Y74" s="36"/>
      <c r="Z74" s="36"/>
      <c r="AA74" s="36"/>
      <c r="AB74" s="36"/>
    </row>
    <row r="75" spans="1:28" ht="24">
      <c r="A75" s="30" t="str">
        <f>HYPERLINK("http://sisjur.bogotajuridica.gov.co/sisjur/normas/Norma1.jsp?i=46298","RESOLUCIÓN  829")</f>
        <v>RESOLUCIÓN  829</v>
      </c>
      <c r="B75" s="38">
        <v>40907</v>
      </c>
      <c r="C75" s="32" t="s">
        <v>130</v>
      </c>
      <c r="D75" s="33" t="s">
        <v>141</v>
      </c>
      <c r="E75" s="32" t="s">
        <v>41</v>
      </c>
      <c r="F75" s="32" t="s">
        <v>42</v>
      </c>
      <c r="G75" s="34" t="s">
        <v>43</v>
      </c>
      <c r="H75" s="34" t="s">
        <v>44</v>
      </c>
      <c r="I75" s="35"/>
      <c r="J75" s="36"/>
      <c r="K75" s="36"/>
      <c r="L75" s="36"/>
      <c r="M75" s="36"/>
      <c r="N75" s="36"/>
      <c r="O75" s="36"/>
      <c r="P75" s="36"/>
      <c r="Q75" s="36"/>
      <c r="R75" s="36"/>
      <c r="S75" s="36"/>
      <c r="T75" s="36"/>
      <c r="U75" s="36"/>
      <c r="V75" s="36"/>
      <c r="W75" s="36"/>
      <c r="X75" s="36"/>
      <c r="Y75" s="36"/>
      <c r="Z75" s="36"/>
      <c r="AA75" s="36"/>
      <c r="AB75" s="36"/>
    </row>
    <row r="76" spans="1:28" ht="24">
      <c r="A76" s="30" t="str">
        <f>HYPERLINK("http://sisjur.bogotajuridica.gov.co/sisjur/normas/Norma1.jsp?i=46403","RESOLUCIÓN  60")</f>
        <v>RESOLUCIÓN  60</v>
      </c>
      <c r="B76" s="31">
        <v>40967</v>
      </c>
      <c r="C76" s="32" t="s">
        <v>130</v>
      </c>
      <c r="D76" s="33" t="s">
        <v>142</v>
      </c>
      <c r="E76" s="32" t="s">
        <v>41</v>
      </c>
      <c r="F76" s="32" t="s">
        <v>42</v>
      </c>
      <c r="G76" s="34" t="s">
        <v>43</v>
      </c>
      <c r="H76" s="34" t="s">
        <v>44</v>
      </c>
      <c r="I76" s="35"/>
      <c r="J76" s="36"/>
      <c r="K76" s="36"/>
      <c r="L76" s="36"/>
      <c r="M76" s="36"/>
      <c r="N76" s="36"/>
      <c r="O76" s="36"/>
      <c r="P76" s="36"/>
      <c r="Q76" s="36"/>
      <c r="R76" s="36"/>
      <c r="S76" s="36"/>
      <c r="T76" s="36"/>
      <c r="U76" s="36"/>
      <c r="V76" s="36"/>
      <c r="W76" s="36"/>
      <c r="X76" s="36"/>
      <c r="Y76" s="36"/>
      <c r="Z76" s="36"/>
      <c r="AA76" s="36"/>
      <c r="AB76" s="36"/>
    </row>
    <row r="77" spans="1:28" ht="24">
      <c r="A77" s="30" t="str">
        <f>HYPERLINK("http://sisjur.bogotajuridica.gov.co/sisjur/normas/Norma1.jsp?i=50384","RESOLUCIÓN  596")</f>
        <v>RESOLUCIÓN  596</v>
      </c>
      <c r="B77" s="38">
        <v>41193</v>
      </c>
      <c r="C77" s="32" t="s">
        <v>130</v>
      </c>
      <c r="D77" s="33" t="s">
        <v>143</v>
      </c>
      <c r="E77" s="32" t="s">
        <v>41</v>
      </c>
      <c r="F77" s="32" t="s">
        <v>42</v>
      </c>
      <c r="G77" s="34" t="s">
        <v>43</v>
      </c>
      <c r="H77" s="34" t="s">
        <v>44</v>
      </c>
      <c r="I77" s="35"/>
      <c r="J77" s="36"/>
      <c r="K77" s="36"/>
      <c r="L77" s="36"/>
      <c r="M77" s="36"/>
      <c r="N77" s="36"/>
      <c r="O77" s="36"/>
      <c r="P77" s="36"/>
      <c r="Q77" s="36"/>
      <c r="R77" s="36"/>
      <c r="S77" s="36"/>
      <c r="T77" s="36"/>
      <c r="U77" s="36"/>
      <c r="V77" s="36"/>
      <c r="W77" s="36"/>
      <c r="X77" s="36"/>
      <c r="Y77" s="36"/>
      <c r="Z77" s="36"/>
      <c r="AA77" s="36"/>
      <c r="AB77" s="36"/>
    </row>
    <row r="78" spans="1:28" ht="24">
      <c r="A78" s="37" t="s">
        <v>144</v>
      </c>
      <c r="B78" s="31">
        <v>41394</v>
      </c>
      <c r="C78" s="32" t="s">
        <v>130</v>
      </c>
      <c r="D78" s="39" t="s">
        <v>145</v>
      </c>
      <c r="E78" s="40" t="s">
        <v>41</v>
      </c>
      <c r="F78" s="32"/>
      <c r="G78" s="34"/>
      <c r="H78" s="34"/>
      <c r="I78" s="35"/>
      <c r="J78" s="36"/>
      <c r="K78" s="36"/>
      <c r="L78" s="36"/>
      <c r="M78" s="36"/>
      <c r="N78" s="36"/>
      <c r="O78" s="36"/>
      <c r="P78" s="36"/>
      <c r="Q78" s="36"/>
      <c r="R78" s="36"/>
      <c r="S78" s="36"/>
      <c r="T78" s="36"/>
      <c r="U78" s="36"/>
      <c r="V78" s="36"/>
      <c r="W78" s="36"/>
      <c r="X78" s="36"/>
      <c r="Y78" s="36"/>
      <c r="Z78" s="36"/>
      <c r="AA78" s="36"/>
      <c r="AB78" s="36"/>
    </row>
    <row r="79" spans="1:28" ht="36">
      <c r="A79" s="30" t="str">
        <f>HYPERLINK("http://sisjur.bogotajuridica.gov.co/sisjur/normas/Norma1.jsp?i=53207","RESOLUCIÓN IDRD  316")</f>
        <v>RESOLUCIÓN IDRD  316</v>
      </c>
      <c r="B79" s="31">
        <v>41415</v>
      </c>
      <c r="C79" s="32" t="s">
        <v>130</v>
      </c>
      <c r="D79" s="33" t="s">
        <v>146</v>
      </c>
      <c r="E79" s="32" t="s">
        <v>41</v>
      </c>
      <c r="F79" s="32" t="s">
        <v>42</v>
      </c>
      <c r="G79" s="34" t="s">
        <v>43</v>
      </c>
      <c r="H79" s="34" t="s">
        <v>44</v>
      </c>
      <c r="I79" s="35"/>
      <c r="J79" s="36"/>
      <c r="K79" s="36"/>
      <c r="L79" s="36"/>
      <c r="M79" s="36"/>
      <c r="N79" s="36"/>
      <c r="O79" s="36"/>
      <c r="P79" s="36"/>
      <c r="Q79" s="36"/>
      <c r="R79" s="36"/>
      <c r="S79" s="36"/>
      <c r="T79" s="36"/>
      <c r="U79" s="36"/>
      <c r="V79" s="36"/>
      <c r="W79" s="36"/>
      <c r="X79" s="36"/>
      <c r="Y79" s="36"/>
      <c r="Z79" s="36"/>
      <c r="AA79" s="36"/>
      <c r="AB79" s="36"/>
    </row>
    <row r="80" spans="1:28" ht="24">
      <c r="A80" s="30" t="str">
        <f>HYPERLINK("http://sisjur.bogotajuridica.gov.co/sisjur/normas/Norma1.jsp?i=53227","RESOLUCIÓN  282")</f>
        <v>RESOLUCIÓN  282</v>
      </c>
      <c r="B80" s="31">
        <v>41404</v>
      </c>
      <c r="C80" s="32" t="s">
        <v>130</v>
      </c>
      <c r="D80" s="33" t="s">
        <v>147</v>
      </c>
      <c r="E80" s="32" t="s">
        <v>41</v>
      </c>
      <c r="F80" s="32" t="s">
        <v>42</v>
      </c>
      <c r="G80" s="34" t="s">
        <v>43</v>
      </c>
      <c r="H80" s="34" t="s">
        <v>44</v>
      </c>
      <c r="I80" s="35"/>
      <c r="J80" s="36"/>
      <c r="K80" s="36"/>
      <c r="L80" s="36"/>
      <c r="M80" s="36"/>
      <c r="N80" s="36"/>
      <c r="O80" s="36"/>
      <c r="P80" s="36"/>
      <c r="Q80" s="36"/>
      <c r="R80" s="36"/>
      <c r="S80" s="36"/>
      <c r="T80" s="36"/>
      <c r="U80" s="36"/>
      <c r="V80" s="36"/>
      <c r="W80" s="36"/>
      <c r="X80" s="36"/>
      <c r="Y80" s="36"/>
      <c r="Z80" s="36"/>
      <c r="AA80" s="36"/>
      <c r="AB80" s="36"/>
    </row>
    <row r="81" spans="1:28" ht="48">
      <c r="A81" s="37" t="s">
        <v>148</v>
      </c>
      <c r="B81" s="31">
        <v>41828</v>
      </c>
      <c r="C81" s="32" t="s">
        <v>139</v>
      </c>
      <c r="D81" s="33" t="s">
        <v>149</v>
      </c>
      <c r="E81" s="32" t="s">
        <v>41</v>
      </c>
      <c r="F81" s="32" t="s">
        <v>42</v>
      </c>
      <c r="G81" s="34" t="s">
        <v>43</v>
      </c>
      <c r="H81" s="34" t="s">
        <v>44</v>
      </c>
      <c r="I81" s="35"/>
      <c r="J81" s="36"/>
      <c r="K81" s="36"/>
      <c r="L81" s="36"/>
      <c r="M81" s="36"/>
      <c r="N81" s="36"/>
      <c r="O81" s="36"/>
      <c r="P81" s="36"/>
      <c r="Q81" s="36"/>
      <c r="R81" s="36"/>
      <c r="S81" s="36"/>
      <c r="T81" s="36"/>
      <c r="U81" s="36"/>
      <c r="V81" s="36"/>
      <c r="W81" s="36"/>
      <c r="X81" s="36"/>
      <c r="Y81" s="36"/>
      <c r="Z81" s="36"/>
      <c r="AA81" s="36"/>
      <c r="AB81" s="36"/>
    </row>
    <row r="82" spans="1:28" ht="48">
      <c r="A82" s="37" t="s">
        <v>150</v>
      </c>
      <c r="B82" s="31">
        <v>41703</v>
      </c>
      <c r="C82" s="32" t="s">
        <v>139</v>
      </c>
      <c r="D82" s="33" t="s">
        <v>151</v>
      </c>
      <c r="E82" s="32" t="s">
        <v>41</v>
      </c>
      <c r="F82" s="32" t="s">
        <v>42</v>
      </c>
      <c r="G82" s="34" t="s">
        <v>43</v>
      </c>
      <c r="H82" s="34" t="s">
        <v>44</v>
      </c>
      <c r="I82" s="35"/>
      <c r="J82" s="36"/>
      <c r="K82" s="36"/>
      <c r="L82" s="36"/>
      <c r="M82" s="36"/>
      <c r="N82" s="36"/>
      <c r="O82" s="36"/>
      <c r="P82" s="36"/>
      <c r="Q82" s="36"/>
      <c r="R82" s="36"/>
      <c r="S82" s="36"/>
      <c r="T82" s="36"/>
      <c r="U82" s="36"/>
      <c r="V82" s="36"/>
      <c r="W82" s="36"/>
      <c r="X82" s="36"/>
      <c r="Y82" s="36"/>
      <c r="Z82" s="36"/>
      <c r="AA82" s="36"/>
      <c r="AB82" s="36"/>
    </row>
    <row r="83" spans="1:28" ht="36">
      <c r="A83" s="30" t="str">
        <f>HYPERLINK("http://sisjur.bogotajuridica.gov.co/sisjur/normas/Norma1.jsp?i=59906","RESOLUCIÓN  569")</f>
        <v>RESOLUCIÓN  569</v>
      </c>
      <c r="B83" s="38">
        <v>41929</v>
      </c>
      <c r="C83" s="32" t="s">
        <v>152</v>
      </c>
      <c r="D83" s="33" t="s">
        <v>153</v>
      </c>
      <c r="E83" s="32" t="s">
        <v>41</v>
      </c>
      <c r="F83" s="32" t="s">
        <v>42</v>
      </c>
      <c r="G83" s="34" t="s">
        <v>43</v>
      </c>
      <c r="H83" s="34" t="s">
        <v>44</v>
      </c>
      <c r="I83" s="35"/>
      <c r="J83" s="36"/>
      <c r="K83" s="36"/>
      <c r="L83" s="36"/>
      <c r="M83" s="36"/>
      <c r="N83" s="36"/>
      <c r="O83" s="36"/>
      <c r="P83" s="36"/>
      <c r="Q83" s="36"/>
      <c r="R83" s="36"/>
      <c r="S83" s="36"/>
      <c r="T83" s="36"/>
      <c r="U83" s="36"/>
      <c r="V83" s="36"/>
      <c r="W83" s="36"/>
      <c r="X83" s="36"/>
      <c r="Y83" s="36"/>
      <c r="Z83" s="36"/>
      <c r="AA83" s="36"/>
      <c r="AB83" s="36"/>
    </row>
    <row r="84" spans="1:28" ht="36">
      <c r="A84" s="30" t="str">
        <f>HYPERLINK("http://sisjur.bogotajuridica.gov.co/sisjur/normas/Norma1.jsp?i=59931","RESOLUCIÓN  613")</f>
        <v>RESOLUCIÓN  613</v>
      </c>
      <c r="B84" s="38">
        <v>41935</v>
      </c>
      <c r="C84" s="32" t="s">
        <v>130</v>
      </c>
      <c r="D84" s="33" t="s">
        <v>154</v>
      </c>
      <c r="E84" s="32" t="s">
        <v>41</v>
      </c>
      <c r="F84" s="32" t="s">
        <v>42</v>
      </c>
      <c r="G84" s="34" t="s">
        <v>43</v>
      </c>
      <c r="H84" s="34" t="s">
        <v>44</v>
      </c>
      <c r="I84" s="35"/>
      <c r="J84" s="36"/>
      <c r="K84" s="36"/>
      <c r="L84" s="36"/>
      <c r="M84" s="36"/>
      <c r="N84" s="36"/>
      <c r="O84" s="36"/>
      <c r="P84" s="36"/>
      <c r="Q84" s="36"/>
      <c r="R84" s="36"/>
      <c r="S84" s="36"/>
      <c r="T84" s="36"/>
      <c r="U84" s="36"/>
      <c r="V84" s="36"/>
      <c r="W84" s="36"/>
      <c r="X84" s="36"/>
      <c r="Y84" s="36"/>
      <c r="Z84" s="36"/>
      <c r="AA84" s="36"/>
      <c r="AB84" s="36"/>
    </row>
    <row r="85" spans="1:28" ht="48">
      <c r="A85" s="63" t="s">
        <v>155</v>
      </c>
      <c r="B85" s="64">
        <v>2015</v>
      </c>
      <c r="C85" s="32" t="s">
        <v>126</v>
      </c>
      <c r="D85" s="33" t="s">
        <v>156</v>
      </c>
      <c r="E85" s="32" t="s">
        <v>41</v>
      </c>
      <c r="F85" s="32" t="s">
        <v>42</v>
      </c>
      <c r="G85" s="34" t="s">
        <v>43</v>
      </c>
      <c r="H85" s="34" t="s">
        <v>44</v>
      </c>
      <c r="I85" s="35"/>
      <c r="J85" s="36"/>
      <c r="K85" s="36"/>
      <c r="L85" s="36"/>
      <c r="M85" s="36"/>
      <c r="N85" s="36"/>
      <c r="O85" s="36"/>
      <c r="P85" s="36"/>
      <c r="Q85" s="36"/>
      <c r="R85" s="36"/>
      <c r="S85" s="36"/>
      <c r="T85" s="36"/>
      <c r="U85" s="36"/>
      <c r="V85" s="36"/>
      <c r="W85" s="36"/>
      <c r="X85" s="36"/>
      <c r="Y85" s="36"/>
      <c r="Z85" s="36"/>
      <c r="AA85" s="36"/>
      <c r="AB85" s="36"/>
    </row>
    <row r="86" spans="1:28" ht="48">
      <c r="A86" s="30" t="str">
        <f>HYPERLINK("http://sisjur.bogotajuridica.gov.co/sisjur/normas/Norma1.jsp?i=61276","RESOLUCION  190")</f>
        <v>RESOLUCION  190</v>
      </c>
      <c r="B86" s="31">
        <v>42072</v>
      </c>
      <c r="C86" s="32" t="s">
        <v>130</v>
      </c>
      <c r="D86" s="33" t="s">
        <v>157</v>
      </c>
      <c r="E86" s="32" t="s">
        <v>41</v>
      </c>
      <c r="F86" s="32" t="s">
        <v>42</v>
      </c>
      <c r="G86" s="34" t="s">
        <v>43</v>
      </c>
      <c r="H86" s="34" t="s">
        <v>44</v>
      </c>
      <c r="I86" s="35"/>
      <c r="J86" s="36"/>
      <c r="K86" s="36"/>
      <c r="L86" s="36"/>
      <c r="M86" s="36"/>
      <c r="N86" s="36"/>
      <c r="O86" s="36"/>
      <c r="P86" s="36"/>
      <c r="Q86" s="36"/>
      <c r="R86" s="36"/>
      <c r="S86" s="36"/>
      <c r="T86" s="36"/>
      <c r="U86" s="36"/>
      <c r="V86" s="36"/>
      <c r="W86" s="36"/>
      <c r="X86" s="36"/>
      <c r="Y86" s="36"/>
      <c r="Z86" s="36"/>
      <c r="AA86" s="36"/>
      <c r="AB86" s="36"/>
    </row>
    <row r="87" spans="1:28" ht="36">
      <c r="A87" s="63" t="s">
        <v>158</v>
      </c>
      <c r="B87" s="64">
        <v>2015</v>
      </c>
      <c r="C87" s="32" t="s">
        <v>159</v>
      </c>
      <c r="D87" s="33" t="s">
        <v>160</v>
      </c>
      <c r="E87" s="32" t="s">
        <v>41</v>
      </c>
      <c r="F87" s="32" t="s">
        <v>42</v>
      </c>
      <c r="G87" s="34" t="s">
        <v>43</v>
      </c>
      <c r="H87" s="34" t="s">
        <v>44</v>
      </c>
      <c r="I87" s="35"/>
      <c r="J87" s="36"/>
      <c r="K87" s="36"/>
      <c r="L87" s="36"/>
      <c r="M87" s="36"/>
      <c r="N87" s="36"/>
      <c r="O87" s="36"/>
      <c r="P87" s="36"/>
      <c r="Q87" s="36"/>
      <c r="R87" s="36"/>
      <c r="S87" s="36"/>
      <c r="T87" s="36"/>
      <c r="U87" s="36"/>
      <c r="V87" s="36"/>
      <c r="W87" s="36"/>
      <c r="X87" s="36"/>
      <c r="Y87" s="36"/>
      <c r="Z87" s="36"/>
      <c r="AA87" s="36"/>
      <c r="AB87" s="36"/>
    </row>
    <row r="88" spans="1:28" ht="48">
      <c r="A88" s="30" t="str">
        <f>HYPERLINK("http://sisjur.bogotajuridica.gov.co/sisjur/normas/Norma1.jsp?i=68018","RESOLUCIÓN  388")</f>
        <v>RESOLUCIÓN  388</v>
      </c>
      <c r="B88" s="38">
        <v>42703</v>
      </c>
      <c r="C88" s="32" t="s">
        <v>139</v>
      </c>
      <c r="D88" s="33" t="s">
        <v>161</v>
      </c>
      <c r="E88" s="32" t="s">
        <v>41</v>
      </c>
      <c r="F88" s="32" t="s">
        <v>42</v>
      </c>
      <c r="G88" s="34" t="s">
        <v>43</v>
      </c>
      <c r="H88" s="34" t="s">
        <v>44</v>
      </c>
      <c r="I88" s="35"/>
      <c r="J88" s="36"/>
      <c r="K88" s="36"/>
      <c r="L88" s="36"/>
      <c r="M88" s="36"/>
      <c r="N88" s="36"/>
      <c r="O88" s="36"/>
      <c r="P88" s="36"/>
      <c r="Q88" s="36"/>
      <c r="R88" s="36"/>
      <c r="S88" s="36"/>
      <c r="T88" s="36"/>
      <c r="U88" s="36"/>
      <c r="V88" s="36"/>
      <c r="W88" s="36"/>
      <c r="X88" s="36"/>
      <c r="Y88" s="36"/>
      <c r="Z88" s="36"/>
      <c r="AA88" s="36"/>
      <c r="AB88" s="36"/>
    </row>
    <row r="89" spans="1:28" ht="84">
      <c r="A89" s="30" t="str">
        <f>HYPERLINK("http://sisjur.bogotajuridica.gov.co/sisjur/normas/Norma1.jsp?i=76411","RESOLUCIÓN  400")</f>
        <v>RESOLUCIÓN  400</v>
      </c>
      <c r="B89" s="38">
        <v>43098</v>
      </c>
      <c r="C89" s="32" t="s">
        <v>162</v>
      </c>
      <c r="D89" s="33" t="s">
        <v>163</v>
      </c>
      <c r="E89" s="32" t="s">
        <v>41</v>
      </c>
      <c r="F89" s="32" t="s">
        <v>42</v>
      </c>
      <c r="G89" s="34" t="s">
        <v>43</v>
      </c>
      <c r="H89" s="34" t="s">
        <v>44</v>
      </c>
      <c r="I89" s="35"/>
      <c r="J89" s="36"/>
      <c r="K89" s="36"/>
      <c r="L89" s="36"/>
      <c r="M89" s="36"/>
      <c r="N89" s="36"/>
      <c r="O89" s="36"/>
      <c r="P89" s="36"/>
      <c r="Q89" s="36"/>
      <c r="R89" s="36"/>
      <c r="S89" s="36"/>
      <c r="T89" s="36"/>
      <c r="U89" s="36"/>
      <c r="V89" s="36"/>
      <c r="W89" s="36"/>
      <c r="X89" s="36"/>
      <c r="Y89" s="36"/>
      <c r="Z89" s="36"/>
      <c r="AA89" s="36"/>
      <c r="AB89" s="36"/>
    </row>
    <row r="90" spans="1:28" ht="36">
      <c r="A90" s="30" t="str">
        <f>HYPERLINK("http://sisjur.bogotajuridica.gov.co/sisjur/normas/Norma1.jsp?i=73258","RESOLUCIÓN  788")</f>
        <v>RESOLUCIÓN  788</v>
      </c>
      <c r="B90" s="38">
        <v>43069</v>
      </c>
      <c r="C90" s="32" t="s">
        <v>164</v>
      </c>
      <c r="D90" s="33" t="s">
        <v>165</v>
      </c>
      <c r="E90" s="32" t="s">
        <v>41</v>
      </c>
      <c r="F90" s="32" t="s">
        <v>42</v>
      </c>
      <c r="G90" s="34" t="s">
        <v>43</v>
      </c>
      <c r="H90" s="34" t="s">
        <v>44</v>
      </c>
      <c r="I90" s="35"/>
      <c r="J90" s="36"/>
      <c r="K90" s="36"/>
      <c r="L90" s="36"/>
      <c r="M90" s="36"/>
      <c r="N90" s="36"/>
      <c r="O90" s="36"/>
      <c r="P90" s="36"/>
      <c r="Q90" s="36"/>
      <c r="R90" s="36"/>
      <c r="S90" s="36"/>
      <c r="T90" s="36"/>
      <c r="U90" s="36"/>
      <c r="V90" s="36"/>
      <c r="W90" s="36"/>
      <c r="X90" s="36"/>
      <c r="Y90" s="36"/>
      <c r="Z90" s="36"/>
      <c r="AA90" s="36"/>
      <c r="AB90" s="36"/>
    </row>
    <row r="91" spans="1:28" ht="24">
      <c r="A91" s="37" t="s">
        <v>166</v>
      </c>
      <c r="B91" s="31">
        <v>43007</v>
      </c>
      <c r="C91" s="32" t="s">
        <v>167</v>
      </c>
      <c r="D91" s="33" t="s">
        <v>168</v>
      </c>
      <c r="E91" s="32" t="s">
        <v>41</v>
      </c>
      <c r="F91" s="32" t="s">
        <v>42</v>
      </c>
      <c r="G91" s="34" t="s">
        <v>43</v>
      </c>
      <c r="H91" s="34" t="s">
        <v>44</v>
      </c>
      <c r="I91" s="35"/>
      <c r="J91" s="36"/>
      <c r="K91" s="36"/>
      <c r="L91" s="36"/>
      <c r="M91" s="36"/>
      <c r="N91" s="36"/>
      <c r="O91" s="36"/>
      <c r="P91" s="36"/>
      <c r="Q91" s="36"/>
      <c r="R91" s="36"/>
      <c r="S91" s="36"/>
      <c r="T91" s="36"/>
      <c r="U91" s="36"/>
      <c r="V91" s="36"/>
      <c r="W91" s="36"/>
      <c r="X91" s="36"/>
      <c r="Y91" s="36"/>
      <c r="Z91" s="36"/>
      <c r="AA91" s="36"/>
      <c r="AB91" s="36"/>
    </row>
    <row r="92" spans="1:28" ht="36">
      <c r="A92" s="65" t="str">
        <f>HYPERLINK("http://sisjur.bogotajuridica.gov.co/sisjur/normas/Norma1.jsp?i=79034","RESOLUCIÓN 333")</f>
        <v>RESOLUCIÓN 333</v>
      </c>
      <c r="B92" s="31">
        <v>43266</v>
      </c>
      <c r="C92" s="32" t="s">
        <v>169</v>
      </c>
      <c r="D92" s="33" t="s">
        <v>170</v>
      </c>
      <c r="E92" s="32" t="s">
        <v>41</v>
      </c>
      <c r="F92" s="32" t="s">
        <v>42</v>
      </c>
      <c r="G92" s="34" t="s">
        <v>43</v>
      </c>
      <c r="H92" s="34" t="s">
        <v>44</v>
      </c>
      <c r="I92" s="35"/>
      <c r="J92" s="36"/>
      <c r="K92" s="36"/>
      <c r="L92" s="36"/>
      <c r="M92" s="36"/>
      <c r="N92" s="36"/>
      <c r="O92" s="36"/>
      <c r="P92" s="36"/>
      <c r="Q92" s="36"/>
      <c r="R92" s="36"/>
      <c r="S92" s="36"/>
      <c r="T92" s="36"/>
      <c r="U92" s="36"/>
      <c r="V92" s="36"/>
      <c r="W92" s="36"/>
      <c r="X92" s="36"/>
      <c r="Y92" s="36"/>
      <c r="Z92" s="36"/>
      <c r="AA92" s="36"/>
      <c r="AB92" s="36"/>
    </row>
    <row r="93" spans="1:28" ht="60">
      <c r="A93" s="37" t="s">
        <v>171</v>
      </c>
      <c r="B93" s="31">
        <v>43613</v>
      </c>
      <c r="C93" s="32" t="s">
        <v>130</v>
      </c>
      <c r="D93" s="39" t="s">
        <v>172</v>
      </c>
      <c r="E93" s="40" t="s">
        <v>41</v>
      </c>
      <c r="F93" s="40" t="s">
        <v>42</v>
      </c>
      <c r="G93" s="34"/>
      <c r="H93" s="34"/>
      <c r="I93" s="35"/>
      <c r="J93" s="36"/>
      <c r="K93" s="36"/>
      <c r="L93" s="36"/>
      <c r="M93" s="36"/>
      <c r="N93" s="36"/>
      <c r="O93" s="36"/>
      <c r="P93" s="36"/>
      <c r="Q93" s="36"/>
      <c r="R93" s="36"/>
      <c r="S93" s="36"/>
      <c r="T93" s="36"/>
      <c r="U93" s="36"/>
      <c r="V93" s="36"/>
      <c r="W93" s="36"/>
      <c r="X93" s="36"/>
      <c r="Y93" s="36"/>
      <c r="Z93" s="36"/>
      <c r="AA93" s="36"/>
      <c r="AB93" s="36"/>
    </row>
    <row r="94" spans="1:28" ht="72">
      <c r="A94" s="37" t="s">
        <v>173</v>
      </c>
      <c r="B94" s="31">
        <v>43697</v>
      </c>
      <c r="C94" s="32" t="s">
        <v>162</v>
      </c>
      <c r="D94" s="39" t="s">
        <v>174</v>
      </c>
      <c r="E94" s="40" t="s">
        <v>41</v>
      </c>
      <c r="F94" s="40" t="s">
        <v>42</v>
      </c>
      <c r="G94" s="34"/>
      <c r="H94" s="34"/>
      <c r="I94" s="35"/>
      <c r="J94" s="36"/>
      <c r="K94" s="36"/>
      <c r="L94" s="36"/>
      <c r="M94" s="36"/>
      <c r="N94" s="36"/>
      <c r="O94" s="36"/>
      <c r="P94" s="36"/>
      <c r="Q94" s="36"/>
      <c r="R94" s="36"/>
      <c r="S94" s="36"/>
      <c r="T94" s="36"/>
      <c r="U94" s="36"/>
      <c r="V94" s="36"/>
      <c r="W94" s="36"/>
      <c r="X94" s="36"/>
      <c r="Y94" s="36"/>
      <c r="Z94" s="36"/>
      <c r="AA94" s="36"/>
      <c r="AB94" s="36"/>
    </row>
    <row r="95" spans="1:28" ht="24">
      <c r="A95" s="37" t="s">
        <v>175</v>
      </c>
      <c r="B95" s="31">
        <v>43902</v>
      </c>
      <c r="C95" s="32" t="s">
        <v>176</v>
      </c>
      <c r="D95" s="33" t="s">
        <v>177</v>
      </c>
      <c r="E95" s="32" t="s">
        <v>41</v>
      </c>
      <c r="F95" s="32" t="s">
        <v>42</v>
      </c>
      <c r="G95" s="34"/>
      <c r="H95" s="34"/>
      <c r="I95" s="35"/>
      <c r="J95" s="36"/>
      <c r="K95" s="36"/>
      <c r="L95" s="36"/>
      <c r="M95" s="36"/>
      <c r="N95" s="36"/>
      <c r="O95" s="36"/>
      <c r="P95" s="36"/>
      <c r="Q95" s="36"/>
      <c r="R95" s="36"/>
      <c r="S95" s="36"/>
      <c r="T95" s="36"/>
      <c r="U95" s="36"/>
      <c r="V95" s="36"/>
      <c r="W95" s="36"/>
      <c r="X95" s="36"/>
      <c r="Y95" s="36"/>
      <c r="Z95" s="36"/>
      <c r="AA95" s="36"/>
      <c r="AB95" s="36"/>
    </row>
    <row r="96" spans="1:28" ht="60">
      <c r="A96" s="37" t="s">
        <v>178</v>
      </c>
      <c r="B96" s="31">
        <v>43909</v>
      </c>
      <c r="C96" s="32" t="s">
        <v>169</v>
      </c>
      <c r="D96" s="33" t="s">
        <v>179</v>
      </c>
      <c r="E96" s="32" t="s">
        <v>41</v>
      </c>
      <c r="F96" s="32" t="s">
        <v>42</v>
      </c>
      <c r="G96" s="34"/>
      <c r="H96" s="34"/>
      <c r="I96" s="35"/>
      <c r="J96" s="36"/>
      <c r="K96" s="36"/>
      <c r="L96" s="36"/>
      <c r="M96" s="36"/>
      <c r="N96" s="36"/>
      <c r="O96" s="36"/>
      <c r="P96" s="36"/>
      <c r="Q96" s="36"/>
      <c r="R96" s="36"/>
      <c r="S96" s="36"/>
      <c r="T96" s="36"/>
      <c r="U96" s="36"/>
      <c r="V96" s="36"/>
      <c r="W96" s="36"/>
      <c r="X96" s="36"/>
      <c r="Y96" s="36"/>
      <c r="Z96" s="36"/>
      <c r="AA96" s="36"/>
      <c r="AB96" s="36"/>
    </row>
    <row r="97" spans="1:28" ht="24">
      <c r="A97" s="37" t="s">
        <v>180</v>
      </c>
      <c r="B97" s="31">
        <v>43909</v>
      </c>
      <c r="C97" s="32" t="s">
        <v>169</v>
      </c>
      <c r="D97" s="33" t="s">
        <v>181</v>
      </c>
      <c r="E97" s="32" t="s">
        <v>41</v>
      </c>
      <c r="F97" s="32" t="s">
        <v>42</v>
      </c>
      <c r="G97" s="34"/>
      <c r="H97" s="34"/>
      <c r="I97" s="35"/>
      <c r="J97" s="36"/>
      <c r="K97" s="36"/>
      <c r="L97" s="36"/>
      <c r="M97" s="36"/>
      <c r="N97" s="36"/>
      <c r="O97" s="36"/>
      <c r="P97" s="36"/>
      <c r="Q97" s="36"/>
      <c r="R97" s="36"/>
      <c r="S97" s="36"/>
      <c r="T97" s="36"/>
      <c r="U97" s="36"/>
      <c r="V97" s="36"/>
      <c r="W97" s="36"/>
      <c r="X97" s="36"/>
      <c r="Y97" s="36"/>
      <c r="Z97" s="36"/>
      <c r="AA97" s="36"/>
      <c r="AB97" s="36"/>
    </row>
    <row r="98" spans="1:28" ht="36">
      <c r="A98" s="37" t="s">
        <v>182</v>
      </c>
      <c r="B98" s="31">
        <v>43914</v>
      </c>
      <c r="C98" s="32" t="s">
        <v>169</v>
      </c>
      <c r="D98" s="33" t="s">
        <v>183</v>
      </c>
      <c r="E98" s="32" t="s">
        <v>41</v>
      </c>
      <c r="F98" s="32" t="s">
        <v>42</v>
      </c>
      <c r="G98" s="34"/>
      <c r="H98" s="34"/>
      <c r="I98" s="35"/>
      <c r="J98" s="36"/>
      <c r="K98" s="36"/>
      <c r="L98" s="36"/>
      <c r="M98" s="36"/>
      <c r="N98" s="36"/>
      <c r="O98" s="36"/>
      <c r="P98" s="36"/>
      <c r="Q98" s="36"/>
      <c r="R98" s="36"/>
      <c r="S98" s="36"/>
      <c r="T98" s="36"/>
      <c r="U98" s="36"/>
      <c r="V98" s="36"/>
      <c r="W98" s="36"/>
      <c r="X98" s="36"/>
      <c r="Y98" s="36"/>
      <c r="Z98" s="36"/>
      <c r="AA98" s="36"/>
      <c r="AB98" s="36"/>
    </row>
    <row r="99" spans="1:28" ht="48">
      <c r="A99" s="37" t="s">
        <v>184</v>
      </c>
      <c r="B99" s="31">
        <v>43934</v>
      </c>
      <c r="C99" s="32" t="s">
        <v>169</v>
      </c>
      <c r="D99" s="33" t="s">
        <v>185</v>
      </c>
      <c r="E99" s="32" t="s">
        <v>41</v>
      </c>
      <c r="F99" s="32" t="s">
        <v>42</v>
      </c>
      <c r="G99" s="34"/>
      <c r="H99" s="34"/>
      <c r="I99" s="35"/>
      <c r="J99" s="36"/>
      <c r="K99" s="36"/>
      <c r="L99" s="36"/>
      <c r="M99" s="36"/>
      <c r="N99" s="36"/>
      <c r="O99" s="36"/>
      <c r="P99" s="36"/>
      <c r="Q99" s="36"/>
      <c r="R99" s="36"/>
      <c r="S99" s="36"/>
      <c r="T99" s="36"/>
      <c r="U99" s="36"/>
      <c r="V99" s="36"/>
      <c r="W99" s="36"/>
      <c r="X99" s="36"/>
      <c r="Y99" s="36"/>
      <c r="Z99" s="36"/>
      <c r="AA99" s="36"/>
      <c r="AB99" s="36"/>
    </row>
    <row r="100" spans="1:28" ht="48">
      <c r="A100" s="37" t="s">
        <v>186</v>
      </c>
      <c r="B100" s="31">
        <v>43927</v>
      </c>
      <c r="C100" s="32" t="s">
        <v>169</v>
      </c>
      <c r="D100" s="33" t="s">
        <v>187</v>
      </c>
      <c r="E100" s="32" t="s">
        <v>41</v>
      </c>
      <c r="F100" s="32" t="s">
        <v>42</v>
      </c>
      <c r="G100" s="34"/>
      <c r="H100" s="34"/>
      <c r="I100" s="35"/>
      <c r="J100" s="36"/>
      <c r="K100" s="36"/>
      <c r="L100" s="36"/>
      <c r="M100" s="36"/>
      <c r="N100" s="36"/>
      <c r="O100" s="36"/>
      <c r="P100" s="36"/>
      <c r="Q100" s="36"/>
      <c r="R100" s="36"/>
      <c r="S100" s="36"/>
      <c r="T100" s="36"/>
      <c r="U100" s="36"/>
      <c r="V100" s="36"/>
      <c r="W100" s="36"/>
      <c r="X100" s="36"/>
      <c r="Y100" s="36"/>
      <c r="Z100" s="36"/>
      <c r="AA100" s="36"/>
      <c r="AB100" s="36"/>
    </row>
    <row r="101" spans="1:28" ht="120">
      <c r="A101" s="66" t="s">
        <v>188</v>
      </c>
      <c r="B101" s="38">
        <v>43979</v>
      </c>
      <c r="C101" s="32" t="s">
        <v>169</v>
      </c>
      <c r="D101" s="39" t="s">
        <v>189</v>
      </c>
      <c r="E101" s="40" t="s">
        <v>41</v>
      </c>
      <c r="F101" s="40" t="s">
        <v>42</v>
      </c>
      <c r="G101" s="34"/>
      <c r="H101" s="34"/>
      <c r="I101" s="35"/>
      <c r="J101" s="36"/>
      <c r="K101" s="36"/>
      <c r="L101" s="36"/>
      <c r="M101" s="36"/>
      <c r="N101" s="36"/>
      <c r="O101" s="36"/>
      <c r="P101" s="36"/>
      <c r="Q101" s="36"/>
      <c r="R101" s="36"/>
      <c r="S101" s="36"/>
      <c r="T101" s="36"/>
      <c r="U101" s="36"/>
      <c r="V101" s="36"/>
      <c r="W101" s="36"/>
      <c r="X101" s="36"/>
      <c r="Y101" s="36"/>
      <c r="Z101" s="36"/>
      <c r="AA101" s="36"/>
      <c r="AB101" s="36"/>
    </row>
    <row r="102" spans="1:28" ht="60">
      <c r="A102" s="66" t="s">
        <v>190</v>
      </c>
      <c r="B102" s="38">
        <v>44273</v>
      </c>
      <c r="C102" s="32" t="s">
        <v>169</v>
      </c>
      <c r="D102" s="39" t="s">
        <v>191</v>
      </c>
      <c r="E102" s="40" t="s">
        <v>41</v>
      </c>
      <c r="F102" s="40" t="s">
        <v>42</v>
      </c>
      <c r="G102" s="34"/>
      <c r="H102" s="34"/>
      <c r="I102" s="35"/>
      <c r="J102" s="36"/>
      <c r="K102" s="36"/>
      <c r="L102" s="36"/>
      <c r="M102" s="36"/>
      <c r="N102" s="36"/>
      <c r="O102" s="36"/>
      <c r="P102" s="36"/>
      <c r="Q102" s="36"/>
      <c r="R102" s="36"/>
      <c r="S102" s="36"/>
      <c r="T102" s="36"/>
      <c r="U102" s="36"/>
      <c r="V102" s="36"/>
      <c r="W102" s="36"/>
      <c r="X102" s="36"/>
      <c r="Y102" s="36"/>
      <c r="Z102" s="36"/>
      <c r="AA102" s="36"/>
      <c r="AB102" s="36"/>
    </row>
    <row r="103" spans="1:28" ht="24">
      <c r="A103" s="66" t="s">
        <v>192</v>
      </c>
      <c r="B103" s="38">
        <v>44364</v>
      </c>
      <c r="C103" s="40" t="s">
        <v>193</v>
      </c>
      <c r="D103" s="39" t="s">
        <v>194</v>
      </c>
      <c r="E103" s="40" t="s">
        <v>41</v>
      </c>
      <c r="F103" s="40" t="s">
        <v>42</v>
      </c>
      <c r="G103" s="34"/>
      <c r="H103" s="34"/>
      <c r="I103" s="35"/>
      <c r="J103" s="36"/>
      <c r="K103" s="36"/>
      <c r="L103" s="36"/>
      <c r="M103" s="36"/>
      <c r="N103" s="36"/>
      <c r="O103" s="36"/>
      <c r="P103" s="36"/>
      <c r="Q103" s="36"/>
      <c r="R103" s="36"/>
      <c r="S103" s="36"/>
      <c r="T103" s="36"/>
      <c r="U103" s="36"/>
      <c r="V103" s="36"/>
      <c r="W103" s="36"/>
      <c r="X103" s="36"/>
      <c r="Y103" s="36"/>
      <c r="Z103" s="36"/>
      <c r="AA103" s="36"/>
      <c r="AB103" s="36"/>
    </row>
    <row r="104" spans="1:28" ht="36">
      <c r="A104" s="67" t="str">
        <f>HYPERLINK("http://sisjur.bogotajuridica.gov.co/sisjur/normas/Norma1.jsp?i=6824","ACUERDO  78")</f>
        <v>ACUERDO  78</v>
      </c>
      <c r="B104" s="38">
        <v>37620</v>
      </c>
      <c r="C104" s="32" t="s">
        <v>195</v>
      </c>
      <c r="D104" s="33" t="s">
        <v>196</v>
      </c>
      <c r="E104" s="32" t="s">
        <v>41</v>
      </c>
      <c r="F104" s="32" t="s">
        <v>42</v>
      </c>
      <c r="G104" s="34" t="s">
        <v>43</v>
      </c>
      <c r="H104" s="34" t="s">
        <v>44</v>
      </c>
      <c r="I104" s="35"/>
      <c r="J104" s="36"/>
      <c r="K104" s="36"/>
      <c r="L104" s="36"/>
      <c r="M104" s="36"/>
      <c r="N104" s="36"/>
      <c r="O104" s="36"/>
      <c r="P104" s="36"/>
      <c r="Q104" s="36"/>
      <c r="R104" s="36"/>
      <c r="S104" s="36"/>
      <c r="T104" s="36"/>
      <c r="U104" s="36"/>
      <c r="V104" s="36"/>
      <c r="W104" s="36"/>
      <c r="X104" s="36"/>
      <c r="Y104" s="36"/>
      <c r="Z104" s="36"/>
      <c r="AA104" s="36"/>
      <c r="AB104" s="36"/>
    </row>
    <row r="105" spans="1:28" ht="36">
      <c r="A105" s="67" t="str">
        <f>HYPERLINK("http://sisjur.bogotajuridica.gov.co/sisjur/normas/Norma1.jsp?i=22307","ACUERDO  257")</f>
        <v>ACUERDO  257</v>
      </c>
      <c r="B105" s="38">
        <v>39051</v>
      </c>
      <c r="C105" s="32" t="s">
        <v>195</v>
      </c>
      <c r="D105" s="33" t="s">
        <v>197</v>
      </c>
      <c r="E105" s="32" t="s">
        <v>41</v>
      </c>
      <c r="F105" s="32" t="s">
        <v>42</v>
      </c>
      <c r="G105" s="34" t="s">
        <v>43</v>
      </c>
      <c r="H105" s="34" t="s">
        <v>44</v>
      </c>
      <c r="I105" s="35"/>
      <c r="J105" s="36"/>
      <c r="K105" s="36"/>
      <c r="L105" s="36"/>
      <c r="M105" s="36"/>
      <c r="N105" s="36"/>
      <c r="O105" s="36"/>
      <c r="P105" s="36"/>
      <c r="Q105" s="36"/>
      <c r="R105" s="36"/>
      <c r="S105" s="36"/>
      <c r="T105" s="36"/>
      <c r="U105" s="36"/>
      <c r="V105" s="36"/>
      <c r="W105" s="36"/>
      <c r="X105" s="36"/>
      <c r="Y105" s="36"/>
      <c r="Z105" s="36"/>
      <c r="AA105" s="36"/>
      <c r="AB105" s="36"/>
    </row>
    <row r="106" spans="1:28" ht="36">
      <c r="A106" s="67" t="str">
        <f>HYPERLINK("http://sisjur.bogotajuridica.gov.co/sisjur/normas/Norma1.jsp?i=33886","ACUERDO  339")</f>
        <v>ACUERDO  339</v>
      </c>
      <c r="B106" s="38">
        <v>39776</v>
      </c>
      <c r="C106" s="32" t="s">
        <v>195</v>
      </c>
      <c r="D106" s="33" t="s">
        <v>198</v>
      </c>
      <c r="E106" s="32" t="s">
        <v>41</v>
      </c>
      <c r="F106" s="32" t="s">
        <v>42</v>
      </c>
      <c r="G106" s="34" t="s">
        <v>43</v>
      </c>
      <c r="H106" s="34" t="s">
        <v>44</v>
      </c>
      <c r="I106" s="35"/>
      <c r="J106" s="36"/>
      <c r="K106" s="36"/>
      <c r="L106" s="36"/>
      <c r="M106" s="36"/>
      <c r="N106" s="36"/>
      <c r="O106" s="36"/>
      <c r="P106" s="36"/>
      <c r="Q106" s="36"/>
      <c r="R106" s="36"/>
      <c r="S106" s="36"/>
      <c r="T106" s="36"/>
      <c r="U106" s="36"/>
      <c r="V106" s="36"/>
      <c r="W106" s="36"/>
      <c r="X106" s="36"/>
      <c r="Y106" s="36"/>
      <c r="Z106" s="36"/>
      <c r="AA106" s="36"/>
      <c r="AB106" s="36"/>
    </row>
    <row r="107" spans="1:28" ht="36">
      <c r="A107" s="68" t="str">
        <f>HYPERLINK("http://sisjur.bogotajuridica.gov.co/sisjur/normas/Norma1.jsp?i=34291","ACUERDO  352")</f>
        <v>ACUERDO  352</v>
      </c>
      <c r="B107" s="38">
        <v>39805</v>
      </c>
      <c r="C107" s="32" t="s">
        <v>195</v>
      </c>
      <c r="D107" s="33" t="s">
        <v>199</v>
      </c>
      <c r="E107" s="32" t="s">
        <v>41</v>
      </c>
      <c r="F107" s="32" t="s">
        <v>42</v>
      </c>
      <c r="G107" s="34" t="s">
        <v>43</v>
      </c>
      <c r="H107" s="34" t="s">
        <v>44</v>
      </c>
      <c r="I107" s="35"/>
      <c r="J107" s="36"/>
      <c r="K107" s="36"/>
      <c r="L107" s="36"/>
      <c r="M107" s="36"/>
      <c r="N107" s="36"/>
      <c r="O107" s="36"/>
      <c r="P107" s="36"/>
      <c r="Q107" s="36"/>
      <c r="R107" s="36"/>
      <c r="S107" s="36"/>
      <c r="T107" s="36"/>
      <c r="U107" s="36"/>
      <c r="V107" s="36"/>
      <c r="W107" s="36"/>
      <c r="X107" s="36"/>
      <c r="Y107" s="36"/>
      <c r="Z107" s="36"/>
      <c r="AA107" s="36"/>
      <c r="AB107" s="36"/>
    </row>
    <row r="108" spans="1:28" ht="36">
      <c r="A108" s="67" t="str">
        <f>HYPERLINK("http://sisjur.bogotajuridica.gov.co/sisjur/normas/Norma1.jsp?i=39290","ACUERDO  433")</f>
        <v>ACUERDO  433</v>
      </c>
      <c r="B108" s="31">
        <v>40266</v>
      </c>
      <c r="C108" s="32" t="s">
        <v>195</v>
      </c>
      <c r="D108" s="33" t="s">
        <v>200</v>
      </c>
      <c r="E108" s="32" t="s">
        <v>41</v>
      </c>
      <c r="F108" s="32" t="s">
        <v>42</v>
      </c>
      <c r="G108" s="34" t="s">
        <v>43</v>
      </c>
      <c r="H108" s="34" t="s">
        <v>44</v>
      </c>
      <c r="I108" s="35"/>
      <c r="J108" s="36"/>
      <c r="K108" s="36"/>
      <c r="L108" s="36"/>
      <c r="M108" s="36"/>
      <c r="N108" s="36"/>
      <c r="O108" s="36"/>
      <c r="P108" s="36"/>
      <c r="Q108" s="36"/>
      <c r="R108" s="36"/>
      <c r="S108" s="36"/>
      <c r="T108" s="36"/>
      <c r="U108" s="36"/>
      <c r="V108" s="36"/>
      <c r="W108" s="36"/>
      <c r="X108" s="36"/>
      <c r="Y108" s="36"/>
      <c r="Z108" s="36"/>
      <c r="AA108" s="36"/>
      <c r="AB108" s="36"/>
    </row>
    <row r="109" spans="1:28" ht="24">
      <c r="A109" s="67" t="str">
        <f>HYPERLINK("http://sisjur.bogotajuridica.gov.co/sisjur/normas/Norma1.jsp?i=39292","ACUERDO  435")</f>
        <v>ACUERDO  435</v>
      </c>
      <c r="B109" s="31">
        <v>40266</v>
      </c>
      <c r="C109" s="32" t="s">
        <v>195</v>
      </c>
      <c r="D109" s="33" t="s">
        <v>201</v>
      </c>
      <c r="E109" s="32" t="s">
        <v>41</v>
      </c>
      <c r="F109" s="32" t="s">
        <v>42</v>
      </c>
      <c r="G109" s="34" t="s">
        <v>43</v>
      </c>
      <c r="H109" s="34" t="s">
        <v>44</v>
      </c>
      <c r="I109" s="35"/>
      <c r="J109" s="36"/>
      <c r="K109" s="36"/>
      <c r="L109" s="36"/>
      <c r="M109" s="36"/>
      <c r="N109" s="36"/>
      <c r="O109" s="36"/>
      <c r="P109" s="36"/>
      <c r="Q109" s="36"/>
      <c r="R109" s="36"/>
      <c r="S109" s="36"/>
      <c r="T109" s="36"/>
      <c r="U109" s="36"/>
      <c r="V109" s="36"/>
      <c r="W109" s="36"/>
      <c r="X109" s="36"/>
      <c r="Y109" s="36"/>
      <c r="Z109" s="36"/>
      <c r="AA109" s="36"/>
      <c r="AB109" s="36"/>
    </row>
    <row r="110" spans="1:28" ht="36">
      <c r="A110" s="67" t="str">
        <f>HYPERLINK("http://sisjur.bogotajuridica.gov.co/sisjur/normas/Norma1.jsp?i=40382","ACUERDO  450")</f>
        <v>ACUERDO  450</v>
      </c>
      <c r="B110" s="31">
        <v>40443</v>
      </c>
      <c r="C110" s="32" t="s">
        <v>195</v>
      </c>
      <c r="D110" s="33" t="s">
        <v>202</v>
      </c>
      <c r="E110" s="32" t="s">
        <v>41</v>
      </c>
      <c r="F110" s="32" t="s">
        <v>42</v>
      </c>
      <c r="G110" s="34" t="s">
        <v>43</v>
      </c>
      <c r="H110" s="34" t="s">
        <v>44</v>
      </c>
      <c r="I110" s="35"/>
      <c r="J110" s="36"/>
      <c r="K110" s="36"/>
      <c r="L110" s="36"/>
      <c r="M110" s="36"/>
      <c r="N110" s="36"/>
      <c r="O110" s="36"/>
      <c r="P110" s="36"/>
      <c r="Q110" s="36"/>
      <c r="R110" s="36"/>
      <c r="S110" s="36"/>
      <c r="T110" s="36"/>
      <c r="U110" s="36"/>
      <c r="V110" s="36"/>
      <c r="W110" s="36"/>
      <c r="X110" s="36"/>
      <c r="Y110" s="36"/>
      <c r="Z110" s="36"/>
      <c r="AA110" s="36"/>
      <c r="AB110" s="36"/>
    </row>
    <row r="111" spans="1:28" ht="48">
      <c r="A111" s="67" t="str">
        <f>HYPERLINK("http://sisjur.bogotajuridica.gov.co/sisjur/normas/Norma1.jsp?i=40493","ACUERDO  452")</f>
        <v>ACUERDO  452</v>
      </c>
      <c r="B111" s="31">
        <v>40449</v>
      </c>
      <c r="C111" s="32" t="s">
        <v>195</v>
      </c>
      <c r="D111" s="33" t="s">
        <v>203</v>
      </c>
      <c r="E111" s="32" t="s">
        <v>41</v>
      </c>
      <c r="F111" s="32" t="s">
        <v>42</v>
      </c>
      <c r="G111" s="34" t="s">
        <v>43</v>
      </c>
      <c r="H111" s="34" t="s">
        <v>44</v>
      </c>
      <c r="I111" s="35"/>
      <c r="J111" s="36"/>
      <c r="K111" s="36"/>
      <c r="L111" s="36"/>
      <c r="M111" s="36"/>
      <c r="N111" s="36"/>
      <c r="O111" s="36"/>
      <c r="P111" s="36"/>
      <c r="Q111" s="36"/>
      <c r="R111" s="36"/>
      <c r="S111" s="36"/>
      <c r="T111" s="36"/>
      <c r="U111" s="36"/>
      <c r="V111" s="36"/>
      <c r="W111" s="36"/>
      <c r="X111" s="36"/>
      <c r="Y111" s="36"/>
      <c r="Z111" s="36"/>
      <c r="AA111" s="36"/>
      <c r="AB111" s="36"/>
    </row>
    <row r="112" spans="1:28" ht="24">
      <c r="A112" s="67" t="str">
        <f>HYPERLINK("http://sisjur.bogotajuridica.gov.co/sisjur/normas/Norma1.jsp?i=40028","ACUERDO  455")</f>
        <v>ACUERDO  455</v>
      </c>
      <c r="B112" s="38">
        <v>40528</v>
      </c>
      <c r="C112" s="32" t="s">
        <v>195</v>
      </c>
      <c r="D112" s="33" t="s">
        <v>204</v>
      </c>
      <c r="E112" s="32" t="s">
        <v>41</v>
      </c>
      <c r="F112" s="32" t="s">
        <v>42</v>
      </c>
      <c r="G112" s="34" t="s">
        <v>43</v>
      </c>
      <c r="H112" s="34" t="s">
        <v>44</v>
      </c>
      <c r="I112" s="35"/>
      <c r="J112" s="36"/>
      <c r="K112" s="36"/>
      <c r="L112" s="36"/>
      <c r="M112" s="36"/>
      <c r="N112" s="36"/>
      <c r="O112" s="36"/>
      <c r="P112" s="36"/>
      <c r="Q112" s="36"/>
      <c r="R112" s="36"/>
      <c r="S112" s="36"/>
      <c r="T112" s="36"/>
      <c r="U112" s="36"/>
      <c r="V112" s="36"/>
      <c r="W112" s="36"/>
      <c r="X112" s="36"/>
      <c r="Y112" s="36"/>
      <c r="Z112" s="36"/>
      <c r="AA112" s="36"/>
      <c r="AB112" s="36"/>
    </row>
    <row r="113" spans="1:28" ht="24">
      <c r="A113" s="67" t="str">
        <f>HYPERLINK("http://sisjur.bogotajuridica.gov.co/sisjur/normas/Norma1.jsp?i=41027","ACUERDO  459")</f>
        <v>ACUERDO  459</v>
      </c>
      <c r="B113" s="38">
        <v>40534</v>
      </c>
      <c r="C113" s="32" t="s">
        <v>195</v>
      </c>
      <c r="D113" s="33" t="s">
        <v>205</v>
      </c>
      <c r="E113" s="32" t="s">
        <v>41</v>
      </c>
      <c r="F113" s="32" t="s">
        <v>42</v>
      </c>
      <c r="G113" s="34" t="s">
        <v>43</v>
      </c>
      <c r="H113" s="34" t="s">
        <v>44</v>
      </c>
      <c r="I113" s="35"/>
      <c r="J113" s="36"/>
      <c r="K113" s="36"/>
      <c r="L113" s="36"/>
      <c r="M113" s="36"/>
      <c r="N113" s="36"/>
      <c r="O113" s="36"/>
      <c r="P113" s="36"/>
      <c r="Q113" s="36"/>
      <c r="R113" s="36"/>
      <c r="S113" s="36"/>
      <c r="T113" s="36"/>
      <c r="U113" s="36"/>
      <c r="V113" s="36"/>
      <c r="W113" s="36"/>
      <c r="X113" s="36"/>
      <c r="Y113" s="36"/>
      <c r="Z113" s="36"/>
      <c r="AA113" s="36"/>
      <c r="AB113" s="36"/>
    </row>
    <row r="114" spans="1:28" ht="24">
      <c r="A114" s="67" t="str">
        <f>HYPERLINK("http://sisjur.bogotajuridica.gov.co/sisjur/normas/Norma1.jsp?i=41669","ACUERDO  469")</f>
        <v>ACUERDO  469</v>
      </c>
      <c r="B114" s="31">
        <v>40596</v>
      </c>
      <c r="C114" s="32" t="s">
        <v>195</v>
      </c>
      <c r="D114" s="33" t="s">
        <v>206</v>
      </c>
      <c r="E114" s="32" t="s">
        <v>41</v>
      </c>
      <c r="F114" s="32" t="s">
        <v>42</v>
      </c>
      <c r="G114" s="34" t="s">
        <v>43</v>
      </c>
      <c r="H114" s="34" t="s">
        <v>44</v>
      </c>
      <c r="I114" s="35"/>
      <c r="J114" s="36"/>
      <c r="K114" s="36"/>
      <c r="L114" s="36"/>
      <c r="M114" s="36"/>
      <c r="N114" s="36"/>
      <c r="O114" s="36"/>
      <c r="P114" s="36"/>
      <c r="Q114" s="36"/>
      <c r="R114" s="36"/>
      <c r="S114" s="36"/>
      <c r="T114" s="36"/>
      <c r="U114" s="36"/>
      <c r="V114" s="36"/>
      <c r="W114" s="36"/>
      <c r="X114" s="36"/>
      <c r="Y114" s="36"/>
      <c r="Z114" s="36"/>
      <c r="AA114" s="36"/>
      <c r="AB114" s="36"/>
    </row>
    <row r="115" spans="1:28" ht="24">
      <c r="A115" s="67" t="str">
        <f>HYPERLINK("http://sisjur.bogotajuridica.gov.co/sisjur/normas/Norma1.jsp?i=45118","ACUERDO  481")</f>
        <v>ACUERDO  481</v>
      </c>
      <c r="B115" s="38">
        <v>40903</v>
      </c>
      <c r="C115" s="32" t="s">
        <v>195</v>
      </c>
      <c r="D115" s="33" t="s">
        <v>207</v>
      </c>
      <c r="E115" s="32" t="s">
        <v>41</v>
      </c>
      <c r="F115" s="32" t="s">
        <v>42</v>
      </c>
      <c r="G115" s="34" t="s">
        <v>43</v>
      </c>
      <c r="H115" s="34" t="s">
        <v>44</v>
      </c>
      <c r="I115" s="35"/>
      <c r="J115" s="36"/>
      <c r="K115" s="36"/>
      <c r="L115" s="36"/>
      <c r="M115" s="36"/>
      <c r="N115" s="36"/>
      <c r="O115" s="36"/>
      <c r="P115" s="36"/>
      <c r="Q115" s="36"/>
      <c r="R115" s="36"/>
      <c r="S115" s="36"/>
      <c r="T115" s="36"/>
      <c r="U115" s="36"/>
      <c r="V115" s="36"/>
      <c r="W115" s="36"/>
      <c r="X115" s="36"/>
      <c r="Y115" s="36"/>
      <c r="Z115" s="36"/>
      <c r="AA115" s="36"/>
      <c r="AB115" s="36"/>
    </row>
    <row r="116" spans="1:28" ht="24">
      <c r="A116" s="67" t="str">
        <f>HYPERLINK("http://sisjur.bogotajuridica.gov.co/sisjur/normas/Norma1.jsp?i=45018","ACUERDO  482")</f>
        <v>ACUERDO  482</v>
      </c>
      <c r="B116" s="38">
        <v>40903</v>
      </c>
      <c r="C116" s="32" t="s">
        <v>195</v>
      </c>
      <c r="D116" s="33" t="s">
        <v>208</v>
      </c>
      <c r="E116" s="32" t="s">
        <v>41</v>
      </c>
      <c r="F116" s="32" t="s">
        <v>42</v>
      </c>
      <c r="G116" s="34" t="s">
        <v>43</v>
      </c>
      <c r="H116" s="34" t="s">
        <v>44</v>
      </c>
      <c r="I116" s="35"/>
      <c r="J116" s="36"/>
      <c r="K116" s="36"/>
      <c r="L116" s="36"/>
      <c r="M116" s="36"/>
      <c r="N116" s="36"/>
      <c r="O116" s="36"/>
      <c r="P116" s="36"/>
      <c r="Q116" s="36"/>
      <c r="R116" s="36"/>
      <c r="S116" s="36"/>
      <c r="T116" s="36"/>
      <c r="U116" s="36"/>
      <c r="V116" s="36"/>
      <c r="W116" s="36"/>
      <c r="X116" s="36"/>
      <c r="Y116" s="36"/>
      <c r="Z116" s="36"/>
      <c r="AA116" s="36"/>
      <c r="AB116" s="36"/>
    </row>
    <row r="117" spans="1:28" ht="45">
      <c r="A117" s="69" t="s">
        <v>209</v>
      </c>
      <c r="B117" s="64">
        <v>2012</v>
      </c>
      <c r="C117" s="32" t="s">
        <v>195</v>
      </c>
      <c r="D117" s="33" t="s">
        <v>210</v>
      </c>
      <c r="E117" s="32" t="s">
        <v>41</v>
      </c>
      <c r="F117" s="32" t="s">
        <v>42</v>
      </c>
      <c r="G117" s="34" t="s">
        <v>43</v>
      </c>
      <c r="H117" s="34" t="s">
        <v>44</v>
      </c>
      <c r="I117" s="35"/>
      <c r="J117" s="36"/>
      <c r="K117" s="36"/>
      <c r="L117" s="36"/>
      <c r="M117" s="36"/>
      <c r="N117" s="36"/>
      <c r="O117" s="36"/>
      <c r="P117" s="36"/>
      <c r="Q117" s="36"/>
      <c r="R117" s="36"/>
      <c r="S117" s="36"/>
      <c r="T117" s="36"/>
      <c r="U117" s="36"/>
      <c r="V117" s="36"/>
      <c r="W117" s="36"/>
      <c r="X117" s="36"/>
      <c r="Y117" s="36"/>
      <c r="Z117" s="36"/>
      <c r="AA117" s="36"/>
      <c r="AB117" s="36"/>
    </row>
    <row r="118" spans="1:28" ht="36">
      <c r="A118" s="67" t="str">
        <f>HYPERLINK("http://sisjur.bogotajuridica.gov.co/sisjur/normas/Norma1.jsp?i=49482","ACUERDO  496")</f>
        <v>ACUERDO  496</v>
      </c>
      <c r="B118" s="31">
        <v>41177</v>
      </c>
      <c r="C118" s="32" t="s">
        <v>195</v>
      </c>
      <c r="D118" s="33" t="s">
        <v>211</v>
      </c>
      <c r="E118" s="32" t="s">
        <v>41</v>
      </c>
      <c r="F118" s="32" t="s">
        <v>42</v>
      </c>
      <c r="G118" s="34" t="s">
        <v>43</v>
      </c>
      <c r="H118" s="34" t="s">
        <v>44</v>
      </c>
      <c r="I118" s="35"/>
      <c r="J118" s="36"/>
      <c r="K118" s="36"/>
      <c r="L118" s="36"/>
      <c r="M118" s="36"/>
      <c r="N118" s="36"/>
      <c r="O118" s="36"/>
      <c r="P118" s="36"/>
      <c r="Q118" s="36"/>
      <c r="R118" s="36"/>
      <c r="S118" s="36"/>
      <c r="T118" s="36"/>
      <c r="U118" s="36"/>
      <c r="V118" s="36"/>
      <c r="W118" s="36"/>
      <c r="X118" s="36"/>
      <c r="Y118" s="36"/>
      <c r="Z118" s="36"/>
      <c r="AA118" s="36"/>
      <c r="AB118" s="36"/>
    </row>
    <row r="119" spans="1:28" ht="36">
      <c r="A119" s="67" t="str">
        <f>HYPERLINK("http://sisjur.bogotajuridica.gov.co/sisjur/normas/Norma1.jsp?i=57738","ACUERDO  554")</f>
        <v>ACUERDO  554</v>
      </c>
      <c r="B119" s="31">
        <v>41806</v>
      </c>
      <c r="C119" s="32" t="s">
        <v>195</v>
      </c>
      <c r="D119" s="33" t="s">
        <v>212</v>
      </c>
      <c r="E119" s="32" t="s">
        <v>41</v>
      </c>
      <c r="F119" s="32" t="s">
        <v>42</v>
      </c>
      <c r="G119" s="34" t="s">
        <v>43</v>
      </c>
      <c r="H119" s="34" t="s">
        <v>44</v>
      </c>
      <c r="I119" s="35"/>
      <c r="J119" s="36"/>
      <c r="K119" s="36"/>
      <c r="L119" s="36"/>
      <c r="M119" s="36"/>
      <c r="N119" s="36"/>
      <c r="O119" s="36"/>
      <c r="P119" s="36"/>
      <c r="Q119" s="36"/>
      <c r="R119" s="36"/>
      <c r="S119" s="36"/>
      <c r="T119" s="36"/>
      <c r="U119" s="36"/>
      <c r="V119" s="36"/>
      <c r="W119" s="36"/>
      <c r="X119" s="36"/>
      <c r="Y119" s="36"/>
      <c r="Z119" s="36"/>
      <c r="AA119" s="36"/>
      <c r="AB119" s="36"/>
    </row>
    <row r="120" spans="1:28" ht="24">
      <c r="A120" s="67" t="str">
        <f>HYPERLINK("http://sisjur.bogotajuridica.gov.co/sisjur/normas/Norma1.jsp?i=59566","ACUERDO  567")</f>
        <v>ACUERDO  567</v>
      </c>
      <c r="B120" s="31">
        <v>41908</v>
      </c>
      <c r="C120" s="32" t="s">
        <v>195</v>
      </c>
      <c r="D120" s="33" t="s">
        <v>213</v>
      </c>
      <c r="E120" s="32" t="s">
        <v>41</v>
      </c>
      <c r="F120" s="32" t="s">
        <v>42</v>
      </c>
      <c r="G120" s="34" t="s">
        <v>43</v>
      </c>
      <c r="H120" s="34" t="s">
        <v>44</v>
      </c>
      <c r="I120" s="35"/>
      <c r="J120" s="36"/>
      <c r="K120" s="36"/>
      <c r="L120" s="36"/>
      <c r="M120" s="36"/>
      <c r="N120" s="36"/>
      <c r="O120" s="36"/>
      <c r="P120" s="36"/>
      <c r="Q120" s="36"/>
      <c r="R120" s="36"/>
      <c r="S120" s="36"/>
      <c r="T120" s="36"/>
      <c r="U120" s="36"/>
      <c r="V120" s="36"/>
      <c r="W120" s="36"/>
      <c r="X120" s="36"/>
      <c r="Y120" s="36"/>
      <c r="Z120" s="36"/>
      <c r="AA120" s="36"/>
      <c r="AB120" s="36"/>
    </row>
    <row r="121" spans="1:28" ht="24">
      <c r="A121" s="67" t="str">
        <f>HYPERLINK("http://sisjur.bogotajuridica.gov.co/sisjur/normas/Norma1.jsp?i=61080","ACUERDO  580")</f>
        <v>ACUERDO  580</v>
      </c>
      <c r="B121" s="31">
        <v>42072</v>
      </c>
      <c r="C121" s="32" t="s">
        <v>195</v>
      </c>
      <c r="D121" s="33" t="s">
        <v>214</v>
      </c>
      <c r="E121" s="32" t="s">
        <v>41</v>
      </c>
      <c r="F121" s="32" t="s">
        <v>42</v>
      </c>
      <c r="G121" s="34" t="s">
        <v>43</v>
      </c>
      <c r="H121" s="34" t="s">
        <v>44</v>
      </c>
      <c r="I121" s="35"/>
      <c r="J121" s="36"/>
      <c r="K121" s="36"/>
      <c r="L121" s="36"/>
      <c r="M121" s="36"/>
      <c r="N121" s="36"/>
      <c r="O121" s="36"/>
      <c r="P121" s="36"/>
      <c r="Q121" s="36"/>
      <c r="R121" s="36"/>
      <c r="S121" s="36"/>
      <c r="T121" s="36"/>
      <c r="U121" s="36"/>
      <c r="V121" s="36"/>
      <c r="W121" s="36"/>
      <c r="X121" s="36"/>
      <c r="Y121" s="36"/>
      <c r="Z121" s="36"/>
      <c r="AA121" s="36"/>
      <c r="AB121" s="36"/>
    </row>
    <row r="122" spans="1:28" ht="24">
      <c r="A122" s="67" t="str">
        <f>HYPERLINK("http://sisjur.bogotajuridica.gov.co/sisjur/normas/Norma1.jsp?i=62063","ACUERDO  594")</f>
        <v>ACUERDO  594</v>
      </c>
      <c r="B122" s="31">
        <v>42167</v>
      </c>
      <c r="C122" s="32" t="s">
        <v>195</v>
      </c>
      <c r="D122" s="33" t="s">
        <v>215</v>
      </c>
      <c r="E122" s="32" t="s">
        <v>41</v>
      </c>
      <c r="F122" s="32" t="s">
        <v>42</v>
      </c>
      <c r="G122" s="34" t="s">
        <v>43</v>
      </c>
      <c r="H122" s="34" t="s">
        <v>44</v>
      </c>
      <c r="I122" s="35"/>
      <c r="J122" s="36"/>
      <c r="K122" s="36"/>
      <c r="L122" s="36"/>
      <c r="M122" s="36"/>
      <c r="N122" s="36"/>
      <c r="O122" s="36"/>
      <c r="P122" s="36"/>
      <c r="Q122" s="36"/>
      <c r="R122" s="36"/>
      <c r="S122" s="36"/>
      <c r="T122" s="36"/>
      <c r="U122" s="36"/>
      <c r="V122" s="36"/>
      <c r="W122" s="36"/>
      <c r="X122" s="36"/>
      <c r="Y122" s="36"/>
      <c r="Z122" s="36"/>
      <c r="AA122" s="36"/>
      <c r="AB122" s="36"/>
    </row>
    <row r="123" spans="1:28" ht="36">
      <c r="A123" s="67" t="str">
        <f>HYPERLINK("http://sisjur.bogotajuridica.gov.co/sisjur/normas/Norma1.jsp?i=63086","ACUERDO  616")</f>
        <v>ACUERDO  616</v>
      </c>
      <c r="B123" s="31">
        <v>42270</v>
      </c>
      <c r="C123" s="32" t="s">
        <v>195</v>
      </c>
      <c r="D123" s="33" t="s">
        <v>216</v>
      </c>
      <c r="E123" s="32" t="s">
        <v>41</v>
      </c>
      <c r="F123" s="32" t="s">
        <v>42</v>
      </c>
      <c r="G123" s="34" t="s">
        <v>43</v>
      </c>
      <c r="H123" s="34" t="s">
        <v>44</v>
      </c>
      <c r="I123" s="35"/>
      <c r="J123" s="36"/>
      <c r="K123" s="36"/>
      <c r="L123" s="36"/>
      <c r="M123" s="36"/>
      <c r="N123" s="36"/>
      <c r="O123" s="36"/>
      <c r="P123" s="36"/>
      <c r="Q123" s="36"/>
      <c r="R123" s="36"/>
      <c r="S123" s="36"/>
      <c r="T123" s="36"/>
      <c r="U123" s="36"/>
      <c r="V123" s="36"/>
      <c r="W123" s="36"/>
      <c r="X123" s="36"/>
      <c r="Y123" s="36"/>
      <c r="Z123" s="36"/>
      <c r="AA123" s="36"/>
      <c r="AB123" s="36"/>
    </row>
    <row r="124" spans="1:28" ht="24">
      <c r="A124" s="67" t="str">
        <f>HYPERLINK("http://sisjur.bogotajuridica.gov.co/sisjur/normas/Norma1.jsp?i=64347","ACUERDO  628")</f>
        <v>ACUERDO  628</v>
      </c>
      <c r="B124" s="38">
        <v>42367</v>
      </c>
      <c r="C124" s="32" t="s">
        <v>195</v>
      </c>
      <c r="D124" s="33" t="s">
        <v>217</v>
      </c>
      <c r="E124" s="32" t="s">
        <v>41</v>
      </c>
      <c r="F124" s="32" t="s">
        <v>42</v>
      </c>
      <c r="G124" s="34" t="s">
        <v>43</v>
      </c>
      <c r="H124" s="34" t="s">
        <v>44</v>
      </c>
      <c r="I124" s="35"/>
      <c r="J124" s="36"/>
      <c r="K124" s="36"/>
      <c r="L124" s="36"/>
      <c r="M124" s="36"/>
      <c r="N124" s="36"/>
      <c r="O124" s="36"/>
      <c r="P124" s="36"/>
      <c r="Q124" s="36"/>
      <c r="R124" s="36"/>
      <c r="S124" s="36"/>
      <c r="T124" s="36"/>
      <c r="U124" s="36"/>
      <c r="V124" s="36"/>
      <c r="W124" s="36"/>
      <c r="X124" s="36"/>
      <c r="Y124" s="36"/>
      <c r="Z124" s="36"/>
      <c r="AA124" s="36"/>
      <c r="AB124" s="36"/>
    </row>
    <row r="125" spans="1:28" ht="48">
      <c r="A125" s="67" t="str">
        <f>HYPERLINK("http://sisjur.bogotajuridica.gov.co/sisjur/normas/Norma1.jsp?i=78011","ACUERDO  707")</f>
        <v>ACUERDO  707</v>
      </c>
      <c r="B125" s="31">
        <v>43238</v>
      </c>
      <c r="C125" s="32" t="s">
        <v>195</v>
      </c>
      <c r="D125" s="33" t="s">
        <v>218</v>
      </c>
      <c r="E125" s="32" t="s">
        <v>41</v>
      </c>
      <c r="F125" s="32" t="s">
        <v>42</v>
      </c>
      <c r="G125" s="34" t="s">
        <v>43</v>
      </c>
      <c r="H125" s="34" t="s">
        <v>44</v>
      </c>
      <c r="I125" s="35"/>
      <c r="J125" s="36"/>
      <c r="K125" s="36"/>
      <c r="L125" s="36"/>
      <c r="M125" s="36"/>
      <c r="N125" s="36"/>
      <c r="O125" s="36"/>
      <c r="P125" s="36"/>
      <c r="Q125" s="36"/>
      <c r="R125" s="36"/>
      <c r="S125" s="36"/>
      <c r="T125" s="36"/>
      <c r="U125" s="36"/>
      <c r="V125" s="36"/>
      <c r="W125" s="36"/>
      <c r="X125" s="36"/>
      <c r="Y125" s="36"/>
      <c r="Z125" s="36"/>
      <c r="AA125" s="36"/>
      <c r="AB125" s="36"/>
    </row>
    <row r="126" spans="1:28" ht="48">
      <c r="A126" s="30" t="str">
        <f>HYPERLINK("http://sisjur.bogotajuridica.gov.co/sisjur/normas/Norma1.jsp?i=41383","DIRECTIVA  1")</f>
        <v>DIRECTIVA  1</v>
      </c>
      <c r="B126" s="41">
        <v>40574</v>
      </c>
      <c r="C126" s="32" t="s">
        <v>61</v>
      </c>
      <c r="D126" s="33" t="s">
        <v>219</v>
      </c>
      <c r="E126" s="32" t="s">
        <v>41</v>
      </c>
      <c r="F126" s="32" t="s">
        <v>42</v>
      </c>
      <c r="G126" s="34" t="s">
        <v>43</v>
      </c>
      <c r="H126" s="34" t="s">
        <v>44</v>
      </c>
      <c r="I126" s="35"/>
      <c r="J126" s="36"/>
      <c r="K126" s="36"/>
      <c r="L126" s="36"/>
      <c r="M126" s="36"/>
      <c r="N126" s="36"/>
      <c r="O126" s="36"/>
      <c r="P126" s="36"/>
      <c r="Q126" s="36"/>
      <c r="R126" s="36"/>
      <c r="S126" s="36"/>
      <c r="T126" s="36"/>
      <c r="U126" s="36"/>
      <c r="V126" s="36"/>
      <c r="W126" s="36"/>
      <c r="X126" s="36"/>
      <c r="Y126" s="36"/>
      <c r="Z126" s="36"/>
      <c r="AA126" s="36"/>
      <c r="AB126" s="36"/>
    </row>
    <row r="127" spans="1:28" ht="24">
      <c r="A127" s="30" t="str">
        <f>HYPERLINK("http://sisjur.bogotajuridica.gov.co/sisjur/normas/Norma1.jsp?i=43966","DIRECTIVA  18")</f>
        <v>DIRECTIVA  18</v>
      </c>
      <c r="B127" s="31">
        <v>40795</v>
      </c>
      <c r="C127" s="32" t="s">
        <v>61</v>
      </c>
      <c r="D127" s="33" t="s">
        <v>220</v>
      </c>
      <c r="E127" s="32" t="s">
        <v>41</v>
      </c>
      <c r="F127" s="32" t="s">
        <v>42</v>
      </c>
      <c r="G127" s="34" t="s">
        <v>43</v>
      </c>
      <c r="H127" s="34" t="s">
        <v>44</v>
      </c>
      <c r="I127" s="35"/>
      <c r="J127" s="36"/>
      <c r="K127" s="36"/>
      <c r="L127" s="36"/>
      <c r="M127" s="36"/>
      <c r="N127" s="36"/>
      <c r="O127" s="36"/>
      <c r="P127" s="36"/>
      <c r="Q127" s="36"/>
      <c r="R127" s="36"/>
      <c r="S127" s="36"/>
      <c r="T127" s="36"/>
      <c r="U127" s="36"/>
      <c r="V127" s="36"/>
      <c r="W127" s="36"/>
      <c r="X127" s="36"/>
      <c r="Y127" s="36"/>
      <c r="Z127" s="36"/>
      <c r="AA127" s="36"/>
      <c r="AB127" s="36"/>
    </row>
    <row r="128" spans="1:28" ht="24">
      <c r="A128" s="30" t="str">
        <f>HYPERLINK("http://sisjur.bogotajuridica.gov.co/sisjur/normas/Norma1.jsp?i=46647","DIRECTIVA  2")</f>
        <v>DIRECTIVA  2</v>
      </c>
      <c r="B128" s="38">
        <v>41267</v>
      </c>
      <c r="C128" s="32" t="s">
        <v>61</v>
      </c>
      <c r="D128" s="33" t="s">
        <v>221</v>
      </c>
      <c r="E128" s="32" t="s">
        <v>41</v>
      </c>
      <c r="F128" s="32" t="s">
        <v>42</v>
      </c>
      <c r="G128" s="34" t="s">
        <v>43</v>
      </c>
      <c r="H128" s="34" t="s">
        <v>44</v>
      </c>
      <c r="I128" s="35"/>
      <c r="J128" s="36"/>
      <c r="K128" s="36"/>
      <c r="L128" s="36"/>
      <c r="M128" s="36"/>
      <c r="N128" s="36"/>
      <c r="O128" s="36"/>
      <c r="P128" s="36"/>
      <c r="Q128" s="36"/>
      <c r="R128" s="36"/>
      <c r="S128" s="36"/>
      <c r="T128" s="36"/>
      <c r="U128" s="36"/>
      <c r="V128" s="36"/>
      <c r="W128" s="36"/>
      <c r="X128" s="36"/>
      <c r="Y128" s="36"/>
      <c r="Z128" s="36"/>
      <c r="AA128" s="36"/>
      <c r="AB128" s="36"/>
    </row>
    <row r="129" spans="1:28" ht="24">
      <c r="A129" s="70" t="s">
        <v>222</v>
      </c>
      <c r="B129" s="31">
        <v>44218</v>
      </c>
      <c r="C129" s="40" t="s">
        <v>223</v>
      </c>
      <c r="D129" s="39" t="s">
        <v>224</v>
      </c>
      <c r="E129" s="40" t="s">
        <v>41</v>
      </c>
      <c r="F129" s="40" t="s">
        <v>42</v>
      </c>
      <c r="G129" s="34"/>
      <c r="H129" s="34"/>
      <c r="I129" s="35"/>
      <c r="J129" s="36"/>
      <c r="K129" s="36"/>
      <c r="L129" s="36"/>
      <c r="M129" s="36"/>
      <c r="N129" s="36"/>
      <c r="O129" s="36"/>
      <c r="P129" s="36"/>
      <c r="Q129" s="36"/>
      <c r="R129" s="36"/>
      <c r="S129" s="36"/>
      <c r="T129" s="36"/>
      <c r="U129" s="36"/>
      <c r="V129" s="36"/>
      <c r="W129" s="36"/>
      <c r="X129" s="36"/>
      <c r="Y129" s="36"/>
      <c r="Z129" s="36"/>
      <c r="AA129" s="36"/>
      <c r="AB129" s="36"/>
    </row>
    <row r="130" spans="1:28" ht="36">
      <c r="A130" s="30" t="str">
        <f>HYPERLINK("http://sisjur.bogotajuridica.gov.co/sisjur/normas/Norma1.jsp?i=45963","CIRCULAR  16")</f>
        <v>CIRCULAR  16</v>
      </c>
      <c r="B130" s="31">
        <v>40952</v>
      </c>
      <c r="C130" s="32" t="s">
        <v>225</v>
      </c>
      <c r="D130" s="33" t="s">
        <v>226</v>
      </c>
      <c r="E130" s="32" t="s">
        <v>41</v>
      </c>
      <c r="F130" s="32" t="s">
        <v>42</v>
      </c>
      <c r="G130" s="34" t="s">
        <v>43</v>
      </c>
      <c r="H130" s="34" t="s">
        <v>44</v>
      </c>
      <c r="I130" s="35"/>
      <c r="J130" s="36"/>
      <c r="K130" s="36"/>
      <c r="L130" s="36"/>
      <c r="M130" s="36"/>
      <c r="N130" s="36"/>
      <c r="O130" s="36"/>
      <c r="P130" s="36"/>
      <c r="Q130" s="36"/>
      <c r="R130" s="36"/>
      <c r="S130" s="36"/>
      <c r="T130" s="36"/>
      <c r="U130" s="36"/>
      <c r="V130" s="36"/>
      <c r="W130" s="36"/>
      <c r="X130" s="36"/>
      <c r="Y130" s="36"/>
      <c r="Z130" s="36"/>
      <c r="AA130" s="36"/>
      <c r="AB130" s="36"/>
    </row>
    <row r="131" spans="1:28" ht="24.75">
      <c r="A131" s="56" t="s">
        <v>227</v>
      </c>
      <c r="B131" s="71">
        <v>43833</v>
      </c>
      <c r="C131" s="58" t="s">
        <v>228</v>
      </c>
      <c r="D131" s="59" t="s">
        <v>229</v>
      </c>
      <c r="E131" s="60" t="s">
        <v>41</v>
      </c>
      <c r="F131" s="60" t="s">
        <v>42</v>
      </c>
      <c r="G131" s="61"/>
      <c r="H131" s="61"/>
      <c r="I131" s="62"/>
      <c r="J131" s="62"/>
      <c r="K131" s="62"/>
      <c r="L131" s="62"/>
      <c r="M131" s="62"/>
      <c r="N131" s="62"/>
      <c r="O131" s="62"/>
      <c r="P131" s="62"/>
      <c r="Q131" s="62"/>
      <c r="R131" s="62"/>
      <c r="S131" s="62"/>
      <c r="T131" s="62"/>
      <c r="U131" s="62"/>
      <c r="V131" s="62"/>
      <c r="W131" s="62"/>
      <c r="X131" s="62"/>
      <c r="Y131" s="62"/>
      <c r="Z131" s="62"/>
      <c r="AA131" s="36"/>
      <c r="AB131" s="36"/>
    </row>
    <row r="132" spans="1:28" ht="48">
      <c r="A132" s="72" t="s">
        <v>230</v>
      </c>
      <c r="B132" s="71">
        <v>44355</v>
      </c>
      <c r="C132" s="58" t="s">
        <v>193</v>
      </c>
      <c r="D132" s="73" t="s">
        <v>231</v>
      </c>
      <c r="E132" s="60" t="s">
        <v>41</v>
      </c>
      <c r="F132" s="60" t="s">
        <v>42</v>
      </c>
      <c r="G132" s="61"/>
      <c r="H132" s="61"/>
      <c r="I132" s="62"/>
      <c r="J132" s="62"/>
      <c r="K132" s="62"/>
      <c r="L132" s="62"/>
      <c r="M132" s="62"/>
      <c r="N132" s="62"/>
      <c r="O132" s="62"/>
      <c r="P132" s="62"/>
      <c r="Q132" s="62"/>
      <c r="R132" s="62"/>
      <c r="S132" s="62"/>
      <c r="T132" s="62"/>
      <c r="U132" s="62"/>
      <c r="V132" s="62"/>
      <c r="W132" s="62"/>
      <c r="X132" s="62"/>
      <c r="Y132" s="62"/>
      <c r="Z132" s="62"/>
      <c r="AA132" s="74"/>
      <c r="AB132" s="74"/>
    </row>
  </sheetData>
  <autoFilter ref="A4:AB19" xr:uid="{00000000-0009-0000-0000-000001000000}"/>
  <mergeCells count="3">
    <mergeCell ref="A1:F1"/>
    <mergeCell ref="A2:D2"/>
    <mergeCell ref="A3:F3"/>
  </mergeCells>
  <hyperlinks>
    <hyperlink ref="F2" location="Menu por Procesos!A1" display="MENU" xr:uid="{00000000-0004-0000-0100-000000000000}"/>
    <hyperlink ref="A7" r:id="rId1" xr:uid="{00000000-0004-0000-0100-000001000000}"/>
    <hyperlink ref="A28" r:id="rId2" xr:uid="{00000000-0004-0000-0100-000002000000}"/>
    <hyperlink ref="A34" r:id="rId3" xr:uid="{00000000-0004-0000-0100-000003000000}"/>
    <hyperlink ref="A54" r:id="rId4" xr:uid="{00000000-0004-0000-0100-000004000000}"/>
    <hyperlink ref="A56" r:id="rId5" xr:uid="{00000000-0004-0000-0100-000005000000}"/>
    <hyperlink ref="A60" r:id="rId6" xr:uid="{00000000-0004-0000-0100-000006000000}"/>
    <hyperlink ref="A61" r:id="rId7" xr:uid="{00000000-0004-0000-0100-000007000000}"/>
    <hyperlink ref="A62" r:id="rId8" xr:uid="{00000000-0004-0000-0100-000008000000}"/>
    <hyperlink ref="A63" r:id="rId9" xr:uid="{00000000-0004-0000-0100-000009000000}"/>
    <hyperlink ref="A64" r:id="rId10" xr:uid="{00000000-0004-0000-0100-00000A000000}"/>
    <hyperlink ref="A65" r:id="rId11" xr:uid="{00000000-0004-0000-0100-00000B000000}"/>
    <hyperlink ref="A74" r:id="rId12" xr:uid="{00000000-0004-0000-0100-00000C000000}"/>
    <hyperlink ref="A78" r:id="rId13" xr:uid="{00000000-0004-0000-0100-00000D000000}"/>
    <hyperlink ref="A81" r:id="rId14" xr:uid="{00000000-0004-0000-0100-00000E000000}"/>
    <hyperlink ref="A82" r:id="rId15" xr:uid="{00000000-0004-0000-0100-00000F000000}"/>
    <hyperlink ref="A91" r:id="rId16" xr:uid="{00000000-0004-0000-0100-000010000000}"/>
    <hyperlink ref="A93" r:id="rId17" xr:uid="{00000000-0004-0000-0100-000011000000}"/>
    <hyperlink ref="A94" r:id="rId18" xr:uid="{00000000-0004-0000-0100-000012000000}"/>
    <hyperlink ref="A95" r:id="rId19" xr:uid="{00000000-0004-0000-0100-000013000000}"/>
    <hyperlink ref="A96" r:id="rId20" xr:uid="{00000000-0004-0000-0100-000014000000}"/>
    <hyperlink ref="A97" r:id="rId21" xr:uid="{00000000-0004-0000-0100-000015000000}"/>
    <hyperlink ref="A98" r:id="rId22" xr:uid="{00000000-0004-0000-0100-000016000000}"/>
    <hyperlink ref="A99" r:id="rId23" xr:uid="{00000000-0004-0000-0100-000017000000}"/>
    <hyperlink ref="A100" r:id="rId24" xr:uid="{00000000-0004-0000-0100-000018000000}"/>
    <hyperlink ref="A101" r:id="rId25" xr:uid="{00000000-0004-0000-0100-000019000000}"/>
    <hyperlink ref="A102" r:id="rId26" xr:uid="{00000000-0004-0000-0100-00001A000000}"/>
    <hyperlink ref="A103" r:id="rId27" xr:uid="{00000000-0004-0000-0100-00001B000000}"/>
    <hyperlink ref="A131" r:id="rId28" xr:uid="{00000000-0004-0000-0100-00001C000000}"/>
    <hyperlink ref="A132" r:id="rId29" xr:uid="{00000000-0004-0000-0100-00001D000000}"/>
  </hyperlinks>
  <pageMargins left="0.7" right="0.7" top="0.75" bottom="0.75" header="0" footer="0"/>
  <pageSetup orientation="landscape"/>
  <drawing r:id="rId30"/>
  <legacyDrawing r:id="rId3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A9D18E"/>
  </sheetPr>
  <dimension ref="A1:AA98"/>
  <sheetViews>
    <sheetView workbookViewId="0"/>
  </sheetViews>
  <sheetFormatPr baseColWidth="10" defaultColWidth="14.42578125" defaultRowHeight="15" customHeight="1"/>
  <cols>
    <col min="1" max="1" width="41.85546875" customWidth="1"/>
    <col min="2" max="2" width="12.85546875" customWidth="1"/>
    <col min="3" max="3" width="38.7109375" customWidth="1"/>
    <col min="4" max="4" width="61.7109375" customWidth="1"/>
    <col min="5" max="5" width="23.140625" customWidth="1"/>
    <col min="6" max="6" width="71.42578125" customWidth="1"/>
    <col min="7" max="8" width="10" hidden="1" customWidth="1"/>
    <col min="9" max="9" width="18" customWidth="1"/>
    <col min="10" max="14" width="11.42578125" customWidth="1"/>
    <col min="15" max="15" width="16.28515625" customWidth="1"/>
    <col min="16" max="16" width="11.42578125" customWidth="1"/>
    <col min="17" max="17" width="15.140625" customWidth="1"/>
    <col min="18" max="27" width="11.42578125" customWidth="1"/>
  </cols>
  <sheetData>
    <row r="1" spans="1:27" ht="61.5" customHeight="1">
      <c r="A1" s="774"/>
      <c r="B1" s="769"/>
      <c r="C1" s="769"/>
      <c r="D1" s="769"/>
      <c r="E1" s="769"/>
      <c r="F1" s="769"/>
      <c r="G1" s="769"/>
      <c r="H1" s="769"/>
      <c r="I1" s="18"/>
      <c r="J1" s="18"/>
      <c r="K1" s="18"/>
      <c r="L1" s="18"/>
      <c r="M1" s="18"/>
      <c r="N1" s="18"/>
      <c r="O1" s="18"/>
      <c r="P1" s="18"/>
      <c r="Q1" s="18"/>
      <c r="R1" s="18"/>
      <c r="S1" s="18"/>
      <c r="T1" s="18"/>
      <c r="U1" s="18"/>
      <c r="V1" s="18"/>
      <c r="W1" s="18"/>
      <c r="X1" s="18"/>
      <c r="Y1" s="18"/>
      <c r="Z1" s="18"/>
      <c r="AA1" s="18"/>
    </row>
    <row r="2" spans="1:27" ht="30" customHeight="1">
      <c r="A2" s="779" t="s">
        <v>28</v>
      </c>
      <c r="B2" s="765"/>
      <c r="C2" s="765"/>
      <c r="D2" s="765"/>
      <c r="E2" s="765"/>
      <c r="F2" s="766"/>
      <c r="G2" s="15"/>
      <c r="H2" s="16"/>
      <c r="I2" s="18"/>
      <c r="J2" s="18"/>
      <c r="K2" s="18"/>
      <c r="L2" s="18"/>
      <c r="M2" s="18"/>
      <c r="N2" s="18"/>
      <c r="O2" s="18"/>
      <c r="P2" s="18"/>
      <c r="Q2" s="18"/>
      <c r="R2" s="18"/>
      <c r="S2" s="18"/>
      <c r="T2" s="18"/>
      <c r="U2" s="18"/>
      <c r="V2" s="18"/>
      <c r="W2" s="18"/>
      <c r="X2" s="18"/>
      <c r="Y2" s="18"/>
      <c r="Z2" s="18"/>
      <c r="AA2" s="18"/>
    </row>
    <row r="3" spans="1:27" ht="25.5" customHeight="1">
      <c r="A3" s="75" t="s">
        <v>3537</v>
      </c>
      <c r="B3" s="315"/>
      <c r="C3" s="315"/>
      <c r="D3" s="356"/>
      <c r="E3" s="315"/>
      <c r="F3" s="317" t="s">
        <v>30</v>
      </c>
      <c r="G3" s="19"/>
      <c r="H3" s="21"/>
      <c r="I3" s="18"/>
      <c r="J3" s="18"/>
      <c r="K3" s="18"/>
      <c r="L3" s="18"/>
      <c r="M3" s="18"/>
      <c r="N3" s="18"/>
      <c r="O3" s="18"/>
      <c r="P3" s="18"/>
      <c r="Q3" s="18"/>
      <c r="R3" s="18"/>
      <c r="S3" s="18"/>
      <c r="T3" s="18"/>
      <c r="U3" s="18"/>
      <c r="V3" s="18"/>
      <c r="W3" s="18"/>
      <c r="X3" s="18"/>
      <c r="Y3" s="18"/>
      <c r="Z3" s="18"/>
      <c r="AA3" s="18"/>
    </row>
    <row r="4" spans="1:27" ht="33" customHeight="1">
      <c r="A4" s="785" t="s">
        <v>463</v>
      </c>
      <c r="B4" s="777"/>
      <c r="C4" s="777"/>
      <c r="D4" s="777"/>
      <c r="E4" s="777"/>
      <c r="F4" s="778"/>
      <c r="G4" s="22"/>
      <c r="H4" s="22"/>
      <c r="I4" s="18"/>
      <c r="J4" s="18"/>
      <c r="K4" s="18"/>
      <c r="L4" s="18"/>
      <c r="M4" s="18"/>
      <c r="N4" s="18"/>
      <c r="O4" s="18"/>
      <c r="P4" s="18"/>
      <c r="Q4" s="18"/>
      <c r="R4" s="18"/>
      <c r="S4" s="18"/>
      <c r="T4" s="18"/>
      <c r="U4" s="18"/>
      <c r="V4" s="18"/>
      <c r="W4" s="18"/>
      <c r="X4" s="18"/>
      <c r="Y4" s="18"/>
      <c r="Z4" s="18"/>
      <c r="AA4" s="18"/>
    </row>
    <row r="5" spans="1:27" ht="34.5" customHeight="1">
      <c r="A5" s="76" t="s">
        <v>235</v>
      </c>
      <c r="B5" s="24" t="s">
        <v>32</v>
      </c>
      <c r="C5" s="25" t="s">
        <v>33</v>
      </c>
      <c r="D5" s="25" t="s">
        <v>34</v>
      </c>
      <c r="E5" s="25" t="s">
        <v>35</v>
      </c>
      <c r="F5" s="25" t="s">
        <v>36</v>
      </c>
      <c r="G5" s="26" t="s">
        <v>37</v>
      </c>
      <c r="H5" s="458" t="s">
        <v>38</v>
      </c>
      <c r="I5" s="459"/>
      <c r="J5" s="29"/>
      <c r="K5" s="29"/>
      <c r="L5" s="29"/>
      <c r="M5" s="29"/>
      <c r="N5" s="29"/>
      <c r="O5" s="29"/>
      <c r="P5" s="29"/>
      <c r="Q5" s="29"/>
      <c r="R5" s="29"/>
      <c r="S5" s="29"/>
      <c r="T5" s="29"/>
      <c r="U5" s="29"/>
      <c r="V5" s="29"/>
      <c r="W5" s="29"/>
      <c r="X5" s="29"/>
      <c r="Y5" s="29"/>
      <c r="Z5" s="29"/>
      <c r="AA5" s="29"/>
    </row>
    <row r="6" spans="1:27" ht="19.5" customHeight="1">
      <c r="A6" s="114" t="str">
        <f>HYPERLINK("https://www.bogotajuridica.gov.co/sisjur/normas/Norma1.jsp?i=4125","CONSTITUCIÓN POLÍTICA DE COLOMBIA")</f>
        <v>CONSTITUCIÓN POLÍTICA DE COLOMBIA</v>
      </c>
      <c r="B6" s="78">
        <v>33423</v>
      </c>
      <c r="C6" s="81" t="s">
        <v>405</v>
      </c>
      <c r="D6" s="308" t="s">
        <v>406</v>
      </c>
      <c r="E6" s="81" t="s">
        <v>2539</v>
      </c>
      <c r="F6" s="460" t="s">
        <v>406</v>
      </c>
      <c r="G6" s="94" t="s">
        <v>43</v>
      </c>
      <c r="H6" s="81" t="s">
        <v>2540</v>
      </c>
      <c r="I6" s="461"/>
      <c r="J6" s="36"/>
      <c r="K6" s="36"/>
      <c r="L6" s="36"/>
      <c r="M6" s="36"/>
      <c r="N6" s="36"/>
      <c r="O6" s="36"/>
      <c r="P6" s="36"/>
      <c r="Q6" s="36"/>
      <c r="R6" s="36"/>
      <c r="S6" s="36"/>
      <c r="T6" s="36"/>
      <c r="U6" s="36"/>
      <c r="V6" s="36"/>
      <c r="W6" s="36"/>
      <c r="X6" s="36"/>
      <c r="Y6" s="36"/>
      <c r="Z6" s="36"/>
      <c r="AA6" s="36"/>
    </row>
    <row r="7" spans="1:27" ht="24" customHeight="1">
      <c r="A7" s="122" t="str">
        <f>HYPERLINK("http://www.suin-juriscol.gov.co/viewDocument.asp?ruta=Leyes/1601250","LEY 47")</f>
        <v>LEY 47</v>
      </c>
      <c r="B7" s="86">
        <v>7609</v>
      </c>
      <c r="C7" s="81" t="s">
        <v>39</v>
      </c>
      <c r="D7" s="308" t="s">
        <v>2545</v>
      </c>
      <c r="E7" s="81" t="s">
        <v>41</v>
      </c>
      <c r="F7" s="115" t="s">
        <v>3538</v>
      </c>
      <c r="G7" s="94" t="s">
        <v>43</v>
      </c>
      <c r="H7" s="81" t="s">
        <v>2540</v>
      </c>
      <c r="I7" s="461"/>
      <c r="J7" s="36"/>
      <c r="K7" s="36"/>
      <c r="L7" s="36"/>
      <c r="M7" s="36"/>
      <c r="N7" s="36"/>
      <c r="O7" s="36"/>
      <c r="P7" s="36"/>
      <c r="Q7" s="36"/>
      <c r="R7" s="36"/>
      <c r="S7" s="36"/>
      <c r="T7" s="36"/>
      <c r="U7" s="36"/>
      <c r="V7" s="36"/>
      <c r="W7" s="36"/>
      <c r="X7" s="36"/>
      <c r="Y7" s="36"/>
      <c r="Z7" s="36"/>
      <c r="AA7" s="36"/>
    </row>
    <row r="8" spans="1:27" ht="24" customHeight="1">
      <c r="A8" s="122" t="str">
        <f>HYPERLINK("https://www.alcaldiabogota.gov.co/sisjur/normas/Norma1.jsp?i=3431","LEY 23")</f>
        <v>LEY 23</v>
      </c>
      <c r="B8" s="84">
        <v>29979</v>
      </c>
      <c r="C8" s="81" t="s">
        <v>39</v>
      </c>
      <c r="D8" s="308" t="s">
        <v>2546</v>
      </c>
      <c r="E8" s="81" t="s">
        <v>3539</v>
      </c>
      <c r="F8" s="81" t="s">
        <v>3540</v>
      </c>
      <c r="G8" s="94" t="s">
        <v>43</v>
      </c>
      <c r="H8" s="81" t="s">
        <v>2540</v>
      </c>
      <c r="I8" s="461"/>
      <c r="J8" s="36"/>
      <c r="K8" s="36"/>
      <c r="L8" s="36"/>
      <c r="M8" s="36"/>
      <c r="N8" s="36"/>
      <c r="O8" s="36"/>
      <c r="P8" s="36"/>
      <c r="Q8" s="36"/>
      <c r="R8" s="36"/>
      <c r="S8" s="36"/>
      <c r="T8" s="36"/>
      <c r="U8" s="36"/>
      <c r="V8" s="36"/>
      <c r="W8" s="36"/>
      <c r="X8" s="36"/>
      <c r="Y8" s="36"/>
      <c r="Z8" s="36"/>
      <c r="AA8" s="36"/>
    </row>
    <row r="9" spans="1:27" ht="48" customHeight="1">
      <c r="A9" s="122" t="str">
        <f>HYPERLINK("https://www.bogotajuridica.gov.co/sisjur/normas/Norma1.jsp?i=276","LEY 57")</f>
        <v>LEY 57</v>
      </c>
      <c r="B9" s="84">
        <v>31233</v>
      </c>
      <c r="C9" s="81" t="s">
        <v>39</v>
      </c>
      <c r="D9" s="308" t="s">
        <v>2406</v>
      </c>
      <c r="E9" s="81" t="s">
        <v>41</v>
      </c>
      <c r="F9" s="81" t="s">
        <v>3541</v>
      </c>
      <c r="G9" s="94" t="s">
        <v>43</v>
      </c>
      <c r="H9" s="81" t="s">
        <v>2540</v>
      </c>
      <c r="I9" s="461"/>
      <c r="J9" s="36"/>
      <c r="K9" s="36"/>
      <c r="L9" s="36"/>
      <c r="M9" s="36"/>
      <c r="N9" s="36"/>
      <c r="O9" s="36"/>
      <c r="P9" s="36"/>
      <c r="Q9" s="36"/>
      <c r="R9" s="36"/>
      <c r="S9" s="36"/>
      <c r="T9" s="36"/>
      <c r="U9" s="36"/>
      <c r="V9" s="36"/>
      <c r="W9" s="36"/>
      <c r="X9" s="36"/>
      <c r="Y9" s="36"/>
      <c r="Z9" s="36"/>
      <c r="AA9" s="36"/>
    </row>
    <row r="10" spans="1:27" ht="24" customHeight="1">
      <c r="A10" s="122" t="str">
        <f>HYPERLINK("http://www.secretariasenado.gov.co/senado/basedoc/ley_0044_1993.html","LEY 44")</f>
        <v>LEY 44</v>
      </c>
      <c r="B10" s="84">
        <v>34005</v>
      </c>
      <c r="C10" s="81" t="s">
        <v>39</v>
      </c>
      <c r="D10" s="308" t="s">
        <v>2549</v>
      </c>
      <c r="E10" s="81" t="s">
        <v>2550</v>
      </c>
      <c r="F10" s="81" t="s">
        <v>3542</v>
      </c>
      <c r="G10" s="94" t="s">
        <v>43</v>
      </c>
      <c r="H10" s="81" t="s">
        <v>2540</v>
      </c>
      <c r="I10" s="461"/>
      <c r="J10" s="36"/>
      <c r="K10" s="36"/>
      <c r="L10" s="36"/>
      <c r="M10" s="36"/>
      <c r="N10" s="36"/>
      <c r="O10" s="36"/>
      <c r="P10" s="36"/>
      <c r="Q10" s="36"/>
      <c r="R10" s="36"/>
      <c r="S10" s="36"/>
      <c r="T10" s="36"/>
      <c r="U10" s="36"/>
      <c r="V10" s="36"/>
      <c r="W10" s="36"/>
      <c r="X10" s="36"/>
      <c r="Y10" s="36"/>
      <c r="Z10" s="36"/>
      <c r="AA10" s="36"/>
    </row>
    <row r="11" spans="1:27" ht="24" customHeight="1">
      <c r="A11" s="122" t="str">
        <f>HYPERLINK("https://www.alcaldiabogota.gov.co/sisjur/normas/Norma1.jsp?i=5998","LEY 80")</f>
        <v>LEY 80</v>
      </c>
      <c r="B11" s="84">
        <v>32864</v>
      </c>
      <c r="C11" s="81" t="s">
        <v>39</v>
      </c>
      <c r="D11" s="80" t="s">
        <v>2551</v>
      </c>
      <c r="E11" s="81" t="s">
        <v>2552</v>
      </c>
      <c r="F11" s="81" t="s">
        <v>3543</v>
      </c>
      <c r="G11" s="94" t="s">
        <v>43</v>
      </c>
      <c r="H11" s="81" t="s">
        <v>2540</v>
      </c>
      <c r="I11" s="461"/>
      <c r="J11" s="36"/>
      <c r="K11" s="36"/>
      <c r="L11" s="36"/>
      <c r="M11" s="36"/>
      <c r="N11" s="36"/>
      <c r="O11" s="36"/>
      <c r="P11" s="36"/>
      <c r="Q11" s="36"/>
      <c r="R11" s="36"/>
      <c r="S11" s="36"/>
      <c r="T11" s="36"/>
      <c r="U11" s="36"/>
      <c r="V11" s="36"/>
      <c r="W11" s="36"/>
      <c r="X11" s="36"/>
      <c r="Y11" s="36"/>
      <c r="Z11" s="36"/>
      <c r="AA11" s="36"/>
    </row>
    <row r="12" spans="1:27" ht="24" customHeight="1">
      <c r="A12" s="122" t="str">
        <f>HYPERLINK("https://www.bogotajuridica.gov.co/sisjur/normas/Norma1.jsp?i=321","LEY 190")</f>
        <v>LEY 190</v>
      </c>
      <c r="B12" s="84">
        <v>34856</v>
      </c>
      <c r="C12" s="81" t="s">
        <v>39</v>
      </c>
      <c r="D12" s="308" t="s">
        <v>1129</v>
      </c>
      <c r="E12" s="81" t="s">
        <v>3544</v>
      </c>
      <c r="F12" s="81" t="s">
        <v>3545</v>
      </c>
      <c r="G12" s="94" t="s">
        <v>43</v>
      </c>
      <c r="H12" s="81" t="s">
        <v>2540</v>
      </c>
      <c r="I12" s="461"/>
      <c r="J12" s="36"/>
      <c r="K12" s="36"/>
      <c r="L12" s="36"/>
      <c r="M12" s="36"/>
      <c r="N12" s="36"/>
      <c r="O12" s="36"/>
      <c r="P12" s="36"/>
      <c r="Q12" s="36"/>
      <c r="R12" s="36"/>
      <c r="S12" s="36"/>
      <c r="T12" s="36"/>
      <c r="U12" s="36"/>
      <c r="V12" s="36"/>
      <c r="W12" s="36"/>
      <c r="X12" s="36"/>
      <c r="Y12" s="36"/>
      <c r="Z12" s="36"/>
      <c r="AA12" s="36"/>
    </row>
    <row r="13" spans="1:27" ht="36" customHeight="1">
      <c r="A13" s="122" t="str">
        <f>HYPERLINK("https://www.alcaldiabogota.gov.co/sisjur/normas/Norma1.jsp?i=4276#0","LEY 527")</f>
        <v>LEY 527</v>
      </c>
      <c r="B13" s="84">
        <v>36390</v>
      </c>
      <c r="C13" s="81" t="s">
        <v>39</v>
      </c>
      <c r="D13" s="308" t="s">
        <v>2407</v>
      </c>
      <c r="E13" s="81" t="s">
        <v>41</v>
      </c>
      <c r="F13" s="81" t="s">
        <v>3546</v>
      </c>
      <c r="G13" s="94" t="s">
        <v>43</v>
      </c>
      <c r="H13" s="81" t="s">
        <v>2540</v>
      </c>
      <c r="I13" s="461"/>
      <c r="J13" s="36"/>
      <c r="K13" s="36"/>
      <c r="L13" s="36"/>
      <c r="M13" s="36"/>
      <c r="N13" s="36"/>
      <c r="O13" s="36"/>
      <c r="P13" s="36"/>
      <c r="Q13" s="36"/>
      <c r="R13" s="36"/>
      <c r="S13" s="36"/>
      <c r="T13" s="36"/>
      <c r="U13" s="36"/>
      <c r="V13" s="36"/>
      <c r="W13" s="36"/>
      <c r="X13" s="36"/>
      <c r="Y13" s="36"/>
      <c r="Z13" s="36"/>
      <c r="AA13" s="36"/>
    </row>
    <row r="14" spans="1:27" ht="48" customHeight="1">
      <c r="A14" s="122" t="str">
        <f>HYPERLINK("https://www.alcaldiabogota.gov.co/sisjur/normas/Norma1.jsp?i=4275","LEY 594")</f>
        <v>LEY 594</v>
      </c>
      <c r="B14" s="84">
        <v>36721</v>
      </c>
      <c r="C14" s="81" t="s">
        <v>39</v>
      </c>
      <c r="D14" s="308" t="s">
        <v>2409</v>
      </c>
      <c r="E14" s="81" t="s">
        <v>41</v>
      </c>
      <c r="F14" s="81" t="s">
        <v>3547</v>
      </c>
      <c r="G14" s="94" t="s">
        <v>43</v>
      </c>
      <c r="H14" s="81" t="s">
        <v>2540</v>
      </c>
      <c r="I14" s="461"/>
      <c r="J14" s="36"/>
      <c r="K14" s="36"/>
      <c r="L14" s="36"/>
      <c r="M14" s="36"/>
      <c r="N14" s="36"/>
      <c r="O14" s="36"/>
      <c r="P14" s="36"/>
      <c r="Q14" s="36"/>
      <c r="R14" s="36"/>
      <c r="S14" s="36"/>
      <c r="T14" s="36"/>
      <c r="U14" s="36"/>
      <c r="V14" s="36"/>
      <c r="W14" s="36"/>
      <c r="X14" s="36"/>
      <c r="Y14" s="36"/>
      <c r="Z14" s="36"/>
      <c r="AA14" s="36"/>
    </row>
    <row r="15" spans="1:27" ht="36" customHeight="1">
      <c r="A15" s="122" t="str">
        <f>HYPERLINK("https://www.alcaldiabogota.gov.co/sisjur/normas/Norma1.jsp?i=6388","LEY 599")</f>
        <v>LEY 599</v>
      </c>
      <c r="B15" s="84">
        <v>36731</v>
      </c>
      <c r="C15" s="81" t="s">
        <v>39</v>
      </c>
      <c r="D15" s="308" t="s">
        <v>2554</v>
      </c>
      <c r="E15" s="81" t="s">
        <v>41</v>
      </c>
      <c r="F15" s="81" t="s">
        <v>3548</v>
      </c>
      <c r="G15" s="94" t="s">
        <v>43</v>
      </c>
      <c r="H15" s="81" t="s">
        <v>2540</v>
      </c>
      <c r="I15" s="461"/>
      <c r="J15" s="36"/>
      <c r="K15" s="36"/>
      <c r="L15" s="36"/>
      <c r="M15" s="36"/>
      <c r="N15" s="36"/>
      <c r="O15" s="36"/>
      <c r="P15" s="36"/>
      <c r="Q15" s="36"/>
      <c r="R15" s="36"/>
      <c r="S15" s="36"/>
      <c r="T15" s="36"/>
      <c r="U15" s="36"/>
      <c r="V15" s="36"/>
      <c r="W15" s="36"/>
      <c r="X15" s="36"/>
      <c r="Y15" s="36"/>
      <c r="Z15" s="36"/>
      <c r="AA15" s="36"/>
    </row>
    <row r="16" spans="1:27" ht="24" customHeight="1">
      <c r="A16" s="122" t="str">
        <f>HYPERLINK("https://www.alcaldiabogota.gov.co/sisjur/normas/Norma1.jsp?i=16161","Ley 951")</f>
        <v>Ley 951</v>
      </c>
      <c r="B16" s="84">
        <v>38442</v>
      </c>
      <c r="C16" s="81" t="s">
        <v>39</v>
      </c>
      <c r="D16" s="308" t="s">
        <v>2559</v>
      </c>
      <c r="E16" s="81" t="s">
        <v>41</v>
      </c>
      <c r="F16" s="81" t="s">
        <v>3549</v>
      </c>
      <c r="G16" s="94" t="s">
        <v>43</v>
      </c>
      <c r="H16" s="81" t="s">
        <v>2540</v>
      </c>
      <c r="I16" s="461"/>
      <c r="J16" s="36"/>
      <c r="K16" s="36"/>
      <c r="L16" s="36"/>
      <c r="M16" s="36"/>
      <c r="N16" s="36"/>
      <c r="O16" s="36"/>
      <c r="P16" s="36"/>
      <c r="Q16" s="36"/>
      <c r="R16" s="36"/>
      <c r="S16" s="36"/>
      <c r="T16" s="36"/>
      <c r="U16" s="36"/>
      <c r="V16" s="36"/>
      <c r="W16" s="36"/>
      <c r="X16" s="36"/>
      <c r="Y16" s="36"/>
      <c r="Z16" s="36"/>
      <c r="AA16" s="36"/>
    </row>
    <row r="17" spans="1:27" ht="24" customHeight="1">
      <c r="A17" s="122" t="str">
        <f>HYPERLINK("https://www.alcaldiabogota.gov.co/sisjur/normas/Norma1.jsp?i=17004","LEY 962")</f>
        <v>LEY 962</v>
      </c>
      <c r="B17" s="84">
        <v>38541</v>
      </c>
      <c r="C17" s="81" t="s">
        <v>39</v>
      </c>
      <c r="D17" s="308" t="s">
        <v>2414</v>
      </c>
      <c r="E17" s="81" t="s">
        <v>3550</v>
      </c>
      <c r="F17" s="81" t="s">
        <v>3551</v>
      </c>
      <c r="G17" s="94" t="s">
        <v>43</v>
      </c>
      <c r="H17" s="81" t="s">
        <v>2540</v>
      </c>
      <c r="I17" s="461"/>
      <c r="J17" s="36"/>
      <c r="K17" s="36"/>
      <c r="L17" s="36"/>
      <c r="M17" s="36"/>
      <c r="N17" s="36"/>
      <c r="O17" s="36"/>
      <c r="P17" s="36"/>
      <c r="Q17" s="36"/>
      <c r="R17" s="36"/>
      <c r="S17" s="36"/>
      <c r="T17" s="36"/>
      <c r="U17" s="36"/>
      <c r="V17" s="36"/>
      <c r="W17" s="36"/>
      <c r="X17" s="36"/>
      <c r="Y17" s="36"/>
      <c r="Z17" s="36"/>
      <c r="AA17" s="36"/>
    </row>
    <row r="18" spans="1:27" ht="24" customHeight="1">
      <c r="A18" s="122" t="str">
        <f>HYPERLINK("https://www.alcaldiabogota.gov.co/sisjur/normas/Norma1.jsp?i=25678#0","LEY 1150")</f>
        <v>LEY 1150</v>
      </c>
      <c r="B18" s="84">
        <v>39279</v>
      </c>
      <c r="C18" s="81" t="s">
        <v>39</v>
      </c>
      <c r="D18" s="308" t="s">
        <v>2561</v>
      </c>
      <c r="E18" s="81" t="s">
        <v>3552</v>
      </c>
      <c r="F18" s="81" t="s">
        <v>97</v>
      </c>
      <c r="G18" s="94" t="s">
        <v>43</v>
      </c>
      <c r="H18" s="81" t="s">
        <v>2540</v>
      </c>
      <c r="I18" s="461"/>
      <c r="J18" s="36"/>
      <c r="K18" s="36"/>
      <c r="L18" s="36"/>
      <c r="M18" s="36"/>
      <c r="N18" s="36"/>
      <c r="O18" s="36"/>
      <c r="P18" s="36"/>
      <c r="Q18" s="36"/>
      <c r="R18" s="36"/>
      <c r="S18" s="36"/>
      <c r="T18" s="36"/>
      <c r="U18" s="36"/>
      <c r="V18" s="36"/>
      <c r="W18" s="36"/>
      <c r="X18" s="36"/>
      <c r="Y18" s="36"/>
      <c r="Z18" s="36"/>
      <c r="AA18" s="36"/>
    </row>
    <row r="19" spans="1:27" ht="24" customHeight="1">
      <c r="A19" s="122" t="str">
        <f>HYPERLINK("https://www.alcaldiabogota.gov.co/sisjur/normas/Norma1.jsp?i=29324#0","Ley 1185")</f>
        <v>Ley 1185</v>
      </c>
      <c r="B19" s="84">
        <v>39519</v>
      </c>
      <c r="C19" s="81" t="s">
        <v>39</v>
      </c>
      <c r="D19" s="308" t="s">
        <v>2564</v>
      </c>
      <c r="E19" s="81" t="s">
        <v>41</v>
      </c>
      <c r="F19" s="81" t="s">
        <v>97</v>
      </c>
      <c r="G19" s="94" t="s">
        <v>43</v>
      </c>
      <c r="H19" s="81" t="s">
        <v>2540</v>
      </c>
      <c r="I19" s="461"/>
      <c r="J19" s="36"/>
      <c r="K19" s="36"/>
      <c r="L19" s="36"/>
      <c r="M19" s="36"/>
      <c r="N19" s="36"/>
      <c r="O19" s="36"/>
      <c r="P19" s="36"/>
      <c r="Q19" s="36"/>
      <c r="R19" s="36"/>
      <c r="S19" s="36"/>
      <c r="T19" s="36"/>
      <c r="U19" s="36"/>
      <c r="V19" s="36"/>
      <c r="W19" s="36"/>
      <c r="X19" s="36"/>
      <c r="Y19" s="36"/>
      <c r="Z19" s="36"/>
      <c r="AA19" s="36"/>
    </row>
    <row r="20" spans="1:27" ht="36" customHeight="1">
      <c r="A20" s="122" t="str">
        <f>HYPERLINK("http://www.secretariasenado.gov.co/senado/basedoc/ley_1273_2009.html","Ley 1273")</f>
        <v>Ley 1273</v>
      </c>
      <c r="B20" s="84">
        <v>39818</v>
      </c>
      <c r="C20" s="81" t="s">
        <v>39</v>
      </c>
      <c r="D20" s="308" t="s">
        <v>505</v>
      </c>
      <c r="E20" s="81" t="s">
        <v>2565</v>
      </c>
      <c r="F20" s="81" t="s">
        <v>97</v>
      </c>
      <c r="G20" s="94" t="s">
        <v>43</v>
      </c>
      <c r="H20" s="81" t="s">
        <v>2540</v>
      </c>
      <c r="I20" s="461"/>
      <c r="J20" s="36"/>
      <c r="K20" s="36"/>
      <c r="L20" s="36"/>
      <c r="M20" s="36"/>
      <c r="N20" s="36"/>
      <c r="O20" s="36"/>
      <c r="P20" s="36"/>
      <c r="Q20" s="36"/>
      <c r="R20" s="36"/>
      <c r="S20" s="36"/>
      <c r="T20" s="36"/>
      <c r="U20" s="36"/>
      <c r="V20" s="36"/>
      <c r="W20" s="36"/>
      <c r="X20" s="36"/>
      <c r="Y20" s="36"/>
      <c r="Z20" s="36"/>
      <c r="AA20" s="36"/>
    </row>
    <row r="21" spans="1:27" ht="60" customHeight="1">
      <c r="A21" s="122" t="str">
        <f>HYPERLINK("https://www.alcaldiabogota.gov.co/sisjur/normas/Norma1.jsp?i=41249","LEY 1437")</f>
        <v>LEY 1437</v>
      </c>
      <c r="B21" s="84">
        <v>40561</v>
      </c>
      <c r="C21" s="81" t="s">
        <v>39</v>
      </c>
      <c r="D21" s="308" t="s">
        <v>2259</v>
      </c>
      <c r="E21" s="81" t="s">
        <v>3553</v>
      </c>
      <c r="F21" s="81" t="s">
        <v>97</v>
      </c>
      <c r="G21" s="94" t="s">
        <v>43</v>
      </c>
      <c r="H21" s="81" t="s">
        <v>2540</v>
      </c>
      <c r="I21" s="461"/>
      <c r="J21" s="36"/>
      <c r="K21" s="36"/>
      <c r="L21" s="36"/>
      <c r="M21" s="36"/>
      <c r="N21" s="36"/>
      <c r="O21" s="36"/>
      <c r="P21" s="36"/>
      <c r="Q21" s="36"/>
      <c r="R21" s="36"/>
      <c r="S21" s="36"/>
      <c r="T21" s="36"/>
      <c r="U21" s="36"/>
      <c r="V21" s="36"/>
      <c r="W21" s="36"/>
      <c r="X21" s="36"/>
      <c r="Y21" s="36"/>
      <c r="Z21" s="36"/>
      <c r="AA21" s="36"/>
    </row>
    <row r="22" spans="1:27" ht="41.25" customHeight="1">
      <c r="A22" s="122" t="str">
        <f>HYPERLINK("https://www.alcaldiabogota.gov.co/sisjur/normas/Norma1.jsp?i=45322","DECRETO - LEY 019")</f>
        <v>DECRETO - LEY 019</v>
      </c>
      <c r="B22" s="84">
        <v>40918</v>
      </c>
      <c r="C22" s="81" t="s">
        <v>57</v>
      </c>
      <c r="D22" s="308" t="s">
        <v>546</v>
      </c>
      <c r="E22" s="81" t="s">
        <v>3554</v>
      </c>
      <c r="F22" s="81" t="s">
        <v>97</v>
      </c>
      <c r="G22" s="94" t="s">
        <v>43</v>
      </c>
      <c r="H22" s="81" t="s">
        <v>2540</v>
      </c>
      <c r="I22" s="461"/>
      <c r="J22" s="36"/>
      <c r="K22" s="36"/>
      <c r="L22" s="36"/>
      <c r="M22" s="36"/>
      <c r="N22" s="36"/>
      <c r="O22" s="36"/>
      <c r="P22" s="36"/>
      <c r="Q22" s="36"/>
      <c r="R22" s="36"/>
      <c r="S22" s="36"/>
      <c r="T22" s="36"/>
      <c r="U22" s="36"/>
      <c r="V22" s="36"/>
      <c r="W22" s="36"/>
      <c r="X22" s="36"/>
      <c r="Y22" s="36"/>
      <c r="Z22" s="36"/>
      <c r="AA22" s="36"/>
    </row>
    <row r="23" spans="1:27" ht="48" customHeight="1">
      <c r="A23" s="122" t="str">
        <f>HYPERLINK("https://www.alcaldiabogota.gov.co/sisjur/normas/Norma1.jsp?i=48425","LEY 1564")</f>
        <v>LEY 1564</v>
      </c>
      <c r="B23" s="84">
        <v>41102</v>
      </c>
      <c r="C23" s="81" t="s">
        <v>39</v>
      </c>
      <c r="D23" s="308" t="s">
        <v>416</v>
      </c>
      <c r="E23" s="81" t="s">
        <v>2569</v>
      </c>
      <c r="F23" s="81" t="s">
        <v>97</v>
      </c>
      <c r="G23" s="94" t="s">
        <v>43</v>
      </c>
      <c r="H23" s="81" t="s">
        <v>2540</v>
      </c>
      <c r="I23" s="461"/>
      <c r="J23" s="36"/>
      <c r="K23" s="36"/>
      <c r="L23" s="36"/>
      <c r="M23" s="36"/>
      <c r="N23" s="36"/>
      <c r="O23" s="36"/>
      <c r="P23" s="36"/>
      <c r="Q23" s="36"/>
      <c r="R23" s="36"/>
      <c r="S23" s="36"/>
      <c r="T23" s="36"/>
      <c r="U23" s="36"/>
      <c r="V23" s="36"/>
      <c r="W23" s="36"/>
      <c r="X23" s="36"/>
      <c r="Y23" s="36"/>
      <c r="Z23" s="36"/>
      <c r="AA23" s="36"/>
    </row>
    <row r="24" spans="1:27" ht="60" customHeight="1">
      <c r="A24" s="122" t="str">
        <f>HYPERLINK("https://www.alcaldiabogota.gov.co/sisjur/normas/Norma1.jsp?i=56882#0","LEY 1712")</f>
        <v>LEY 1712</v>
      </c>
      <c r="B24" s="84">
        <v>41704</v>
      </c>
      <c r="C24" s="81" t="s">
        <v>39</v>
      </c>
      <c r="D24" s="308" t="s">
        <v>987</v>
      </c>
      <c r="E24" s="81" t="s">
        <v>41</v>
      </c>
      <c r="F24" s="81" t="s">
        <v>97</v>
      </c>
      <c r="G24" s="94" t="s">
        <v>43</v>
      </c>
      <c r="H24" s="81" t="s">
        <v>2540</v>
      </c>
      <c r="I24" s="461"/>
      <c r="J24" s="36"/>
      <c r="K24" s="36"/>
      <c r="L24" s="36"/>
      <c r="M24" s="36"/>
      <c r="N24" s="36"/>
      <c r="O24" s="36"/>
      <c r="P24" s="36"/>
      <c r="Q24" s="36"/>
      <c r="R24" s="36"/>
      <c r="S24" s="36"/>
      <c r="T24" s="36"/>
      <c r="U24" s="36"/>
      <c r="V24" s="36"/>
      <c r="W24" s="36"/>
      <c r="X24" s="36"/>
      <c r="Y24" s="36"/>
      <c r="Z24" s="36"/>
      <c r="AA24" s="36"/>
    </row>
    <row r="25" spans="1:27" ht="36" customHeight="1">
      <c r="A25" s="122" t="str">
        <f>HYPERLINK("https://www.alcaldiabogota.gov.co/sisjur/normas/Norma1.jsp?i=62152","LEY 1755")</f>
        <v>LEY 1755</v>
      </c>
      <c r="B25" s="84">
        <v>42185</v>
      </c>
      <c r="C25" s="81" t="s">
        <v>39</v>
      </c>
      <c r="D25" s="308" t="s">
        <v>1874</v>
      </c>
      <c r="E25" s="81" t="s">
        <v>3555</v>
      </c>
      <c r="F25" s="81" t="s">
        <v>97</v>
      </c>
      <c r="G25" s="94" t="s">
        <v>43</v>
      </c>
      <c r="H25" s="81" t="s">
        <v>2540</v>
      </c>
      <c r="I25" s="461"/>
      <c r="J25" s="36"/>
      <c r="K25" s="36"/>
      <c r="L25" s="36"/>
      <c r="M25" s="36"/>
      <c r="N25" s="36"/>
      <c r="O25" s="36"/>
      <c r="P25" s="36"/>
      <c r="Q25" s="36"/>
      <c r="R25" s="36"/>
      <c r="S25" s="36"/>
      <c r="T25" s="36"/>
      <c r="U25" s="36"/>
      <c r="V25" s="36"/>
      <c r="W25" s="36"/>
      <c r="X25" s="36"/>
      <c r="Y25" s="36"/>
      <c r="Z25" s="36"/>
      <c r="AA25" s="36"/>
    </row>
    <row r="26" spans="1:27" ht="40.5" customHeight="1">
      <c r="A26" s="462" t="str">
        <f>HYPERLINK("https://www.alcaldiabogota.gov.co/sisjur/normas/Norma1.jsp?i=82445#265","LEY 1952 ")</f>
        <v xml:space="preserve">LEY 1952 </v>
      </c>
      <c r="B26" s="97">
        <v>43493</v>
      </c>
      <c r="C26" s="81" t="s">
        <v>39</v>
      </c>
      <c r="D26" s="96" t="s">
        <v>3556</v>
      </c>
      <c r="E26" s="98" t="s">
        <v>3557</v>
      </c>
      <c r="F26" s="81" t="s">
        <v>97</v>
      </c>
      <c r="G26" s="463"/>
      <c r="H26" s="100"/>
      <c r="I26" s="464"/>
      <c r="J26" s="465"/>
      <c r="K26" s="465"/>
      <c r="L26" s="465"/>
      <c r="M26" s="465"/>
      <c r="N26" s="465"/>
      <c r="O26" s="465"/>
      <c r="P26" s="465"/>
      <c r="Q26" s="465"/>
      <c r="R26" s="465"/>
      <c r="S26" s="465"/>
      <c r="T26" s="465"/>
      <c r="U26" s="465"/>
      <c r="V26" s="465"/>
      <c r="W26" s="465"/>
      <c r="X26" s="465"/>
      <c r="Y26" s="465"/>
      <c r="Z26" s="465"/>
      <c r="AA26" s="465"/>
    </row>
    <row r="27" spans="1:27" ht="25.5" customHeight="1">
      <c r="A27" s="122" t="str">
        <f>HYPERLINK("https://www.alcaldiabogota.gov.co/sisjur/normas/Norma1.jsp?i=5224&amp;dt=S","DECRETO 3354")</f>
        <v>DECRETO 3354</v>
      </c>
      <c r="B27" s="86">
        <v>20046</v>
      </c>
      <c r="C27" s="81" t="s">
        <v>2458</v>
      </c>
      <c r="D27" s="308" t="s">
        <v>2574</v>
      </c>
      <c r="E27" s="81" t="s">
        <v>41</v>
      </c>
      <c r="F27" s="81" t="s">
        <v>97</v>
      </c>
      <c r="G27" s="94" t="s">
        <v>43</v>
      </c>
      <c r="H27" s="81" t="s">
        <v>2540</v>
      </c>
      <c r="I27" s="461"/>
      <c r="J27" s="36"/>
      <c r="K27" s="36"/>
      <c r="L27" s="36"/>
      <c r="M27" s="36"/>
      <c r="N27" s="36"/>
      <c r="O27" s="36"/>
      <c r="P27" s="36"/>
      <c r="Q27" s="36"/>
      <c r="R27" s="36"/>
      <c r="S27" s="36"/>
      <c r="T27" s="36"/>
      <c r="U27" s="36"/>
      <c r="V27" s="36"/>
      <c r="W27" s="36"/>
      <c r="X27" s="36"/>
      <c r="Y27" s="36"/>
      <c r="Z27" s="36"/>
      <c r="AA27" s="36"/>
    </row>
    <row r="28" spans="1:27" ht="36" customHeight="1">
      <c r="A28" s="122" t="str">
        <f>HYPERLINK("http://www.suin-juriscol.gov.co/viewDocument.asp?ruta=Decretos/1429428","DECRETO  2274")</f>
        <v>DECRETO  2274</v>
      </c>
      <c r="B28" s="84">
        <v>32449</v>
      </c>
      <c r="C28" s="81" t="s">
        <v>57</v>
      </c>
      <c r="D28" s="308" t="s">
        <v>3558</v>
      </c>
      <c r="E28" s="81" t="s">
        <v>3559</v>
      </c>
      <c r="F28" s="81" t="s">
        <v>97</v>
      </c>
      <c r="G28" s="94" t="s">
        <v>43</v>
      </c>
      <c r="H28" s="81" t="s">
        <v>2540</v>
      </c>
      <c r="I28" s="461"/>
      <c r="J28" s="36"/>
      <c r="K28" s="36"/>
      <c r="L28" s="36"/>
      <c r="M28" s="36"/>
      <c r="N28" s="36"/>
      <c r="O28" s="36"/>
      <c r="P28" s="36"/>
      <c r="Q28" s="36"/>
      <c r="R28" s="36"/>
      <c r="S28" s="36"/>
      <c r="T28" s="36"/>
      <c r="U28" s="36"/>
      <c r="V28" s="36"/>
      <c r="W28" s="36"/>
      <c r="X28" s="36"/>
      <c r="Y28" s="36"/>
      <c r="Z28" s="36"/>
      <c r="AA28" s="36"/>
    </row>
    <row r="29" spans="1:27" ht="60" customHeight="1">
      <c r="A29" s="122" t="str">
        <f>HYPERLINK("https://www.mintic.gov.co/arquitecturati/630/articles-9034_documento.pdf","DECRETO 2620")</f>
        <v>DECRETO 2620</v>
      </c>
      <c r="B29" s="86">
        <v>34326</v>
      </c>
      <c r="C29" s="81" t="s">
        <v>39</v>
      </c>
      <c r="D29" s="308" t="s">
        <v>2578</v>
      </c>
      <c r="E29" s="81" t="s">
        <v>41</v>
      </c>
      <c r="F29" s="81" t="s">
        <v>97</v>
      </c>
      <c r="G29" s="94" t="s">
        <v>43</v>
      </c>
      <c r="H29" s="81" t="s">
        <v>2540</v>
      </c>
      <c r="I29" s="461"/>
      <c r="J29" s="36"/>
      <c r="K29" s="36"/>
      <c r="L29" s="36"/>
      <c r="M29" s="36"/>
      <c r="N29" s="36"/>
      <c r="O29" s="36"/>
      <c r="P29" s="36"/>
      <c r="Q29" s="36"/>
      <c r="R29" s="36"/>
      <c r="S29" s="36"/>
      <c r="T29" s="36"/>
      <c r="U29" s="36"/>
      <c r="V29" s="36"/>
      <c r="W29" s="36"/>
      <c r="X29" s="36"/>
      <c r="Y29" s="36"/>
      <c r="Z29" s="36"/>
      <c r="AA29" s="36"/>
    </row>
    <row r="30" spans="1:27" ht="24" customHeight="1">
      <c r="A30" s="122" t="str">
        <f>HYPERLINK("https://www.alcaldiabogota.gov.co/sisjur/normas/Norma1.jsp?i=9863","DECRETO 2649")</f>
        <v>DECRETO 2649</v>
      </c>
      <c r="B30" s="86">
        <v>34332</v>
      </c>
      <c r="C30" s="81" t="s">
        <v>39</v>
      </c>
      <c r="D30" s="175" t="s">
        <v>2580</v>
      </c>
      <c r="E30" s="81" t="s">
        <v>2581</v>
      </c>
      <c r="F30" s="81" t="s">
        <v>97</v>
      </c>
      <c r="G30" s="94" t="s">
        <v>43</v>
      </c>
      <c r="H30" s="81" t="s">
        <v>2540</v>
      </c>
      <c r="I30" s="461"/>
      <c r="J30" s="36"/>
      <c r="K30" s="36"/>
      <c r="L30" s="36"/>
      <c r="M30" s="36"/>
      <c r="N30" s="36"/>
      <c r="O30" s="36"/>
      <c r="P30" s="36"/>
      <c r="Q30" s="36"/>
      <c r="R30" s="36"/>
      <c r="S30" s="36"/>
      <c r="T30" s="36"/>
      <c r="U30" s="36"/>
      <c r="V30" s="36"/>
      <c r="W30" s="36"/>
      <c r="X30" s="36"/>
      <c r="Y30" s="36"/>
      <c r="Z30" s="36"/>
      <c r="AA30" s="36"/>
    </row>
    <row r="31" spans="1:27" ht="24" customHeight="1">
      <c r="A31" s="122" t="str">
        <f>HYPERLINK("https://www.alcaldiabogota.gov.co/sisjur/normas/Norma1.jsp?i=1208","DECRETO 2150")</f>
        <v>DECRETO 2150</v>
      </c>
      <c r="B31" s="84">
        <v>35038</v>
      </c>
      <c r="C31" s="81" t="s">
        <v>57</v>
      </c>
      <c r="D31" s="308" t="s">
        <v>2584</v>
      </c>
      <c r="E31" s="81" t="s">
        <v>2585</v>
      </c>
      <c r="F31" s="81" t="s">
        <v>97</v>
      </c>
      <c r="G31" s="94" t="s">
        <v>43</v>
      </c>
      <c r="H31" s="81" t="s">
        <v>2540</v>
      </c>
      <c r="I31" s="461"/>
      <c r="J31" s="36"/>
      <c r="K31" s="36"/>
      <c r="L31" s="36"/>
      <c r="M31" s="36"/>
      <c r="N31" s="36"/>
      <c r="O31" s="36"/>
      <c r="P31" s="36"/>
      <c r="Q31" s="36"/>
      <c r="R31" s="36"/>
      <c r="S31" s="36"/>
      <c r="T31" s="36"/>
      <c r="U31" s="36"/>
      <c r="V31" s="36"/>
      <c r="W31" s="36"/>
      <c r="X31" s="36"/>
      <c r="Y31" s="36"/>
      <c r="Z31" s="36"/>
      <c r="AA31" s="36"/>
    </row>
    <row r="32" spans="1:27" ht="48" customHeight="1">
      <c r="A32" s="466" t="str">
        <f>HYPERLINK("https://www.alcaldiabogota.gov.co/sisjur/normas/Norma1.jsp?i=13729","DECRETO 173")</f>
        <v>DECRETO 173</v>
      </c>
      <c r="B32" s="84">
        <v>38142</v>
      </c>
      <c r="C32" s="81" t="s">
        <v>61</v>
      </c>
      <c r="D32" s="308" t="s">
        <v>2587</v>
      </c>
      <c r="E32" s="81" t="s">
        <v>41</v>
      </c>
      <c r="F32" s="81" t="s">
        <v>97</v>
      </c>
      <c r="G32" s="94" t="s">
        <v>43</v>
      </c>
      <c r="H32" s="81" t="s">
        <v>2540</v>
      </c>
      <c r="I32" s="461"/>
      <c r="J32" s="36"/>
      <c r="K32" s="36"/>
      <c r="L32" s="36"/>
      <c r="M32" s="36"/>
      <c r="N32" s="36"/>
      <c r="O32" s="36"/>
      <c r="P32" s="36"/>
      <c r="Q32" s="36"/>
      <c r="R32" s="36"/>
      <c r="S32" s="36"/>
      <c r="T32" s="36"/>
      <c r="U32" s="36"/>
      <c r="V32" s="36"/>
      <c r="W32" s="36"/>
      <c r="X32" s="36"/>
      <c r="Y32" s="36"/>
      <c r="Z32" s="36"/>
      <c r="AA32" s="36"/>
    </row>
    <row r="33" spans="1:27" ht="36" customHeight="1">
      <c r="A33" s="122" t="str">
        <f>HYPERLINK("https://www.alcaldiabogota.gov.co/sisjur/normas/Norma1.jsp?i=22475","DECRETO 514")</f>
        <v>DECRETO 514</v>
      </c>
      <c r="B33" s="86">
        <v>39071</v>
      </c>
      <c r="C33" s="81" t="s">
        <v>61</v>
      </c>
      <c r="D33" s="308" t="s">
        <v>2589</v>
      </c>
      <c r="E33" s="81" t="s">
        <v>2590</v>
      </c>
      <c r="F33" s="81" t="s">
        <v>97</v>
      </c>
      <c r="G33" s="94" t="s">
        <v>43</v>
      </c>
      <c r="H33" s="81" t="s">
        <v>2540</v>
      </c>
      <c r="I33" s="461"/>
      <c r="J33" s="36"/>
      <c r="K33" s="36"/>
      <c r="L33" s="36"/>
      <c r="M33" s="36"/>
      <c r="N33" s="36"/>
      <c r="O33" s="36"/>
      <c r="P33" s="36"/>
      <c r="Q33" s="36"/>
      <c r="R33" s="36"/>
      <c r="S33" s="36"/>
      <c r="T33" s="36"/>
      <c r="U33" s="36"/>
      <c r="V33" s="36"/>
      <c r="W33" s="36"/>
      <c r="X33" s="36"/>
      <c r="Y33" s="36"/>
      <c r="Z33" s="36"/>
      <c r="AA33" s="36"/>
    </row>
    <row r="34" spans="1:27" ht="24" customHeight="1">
      <c r="A34" s="467"/>
      <c r="B34" s="86"/>
      <c r="C34" s="81"/>
      <c r="D34" s="308"/>
      <c r="E34" s="81"/>
      <c r="F34" s="81"/>
      <c r="G34" s="94"/>
      <c r="H34" s="81"/>
      <c r="I34" s="461"/>
      <c r="J34" s="36"/>
      <c r="K34" s="36"/>
      <c r="L34" s="36"/>
      <c r="M34" s="36"/>
      <c r="N34" s="36"/>
      <c r="O34" s="36"/>
      <c r="P34" s="36"/>
      <c r="Q34" s="36"/>
      <c r="R34" s="36"/>
      <c r="S34" s="36"/>
      <c r="T34" s="36"/>
      <c r="U34" s="36"/>
      <c r="V34" s="36"/>
      <c r="W34" s="36"/>
      <c r="X34" s="36"/>
      <c r="Y34" s="36"/>
      <c r="Z34" s="36"/>
      <c r="AA34" s="36"/>
    </row>
    <row r="35" spans="1:27" ht="24" customHeight="1">
      <c r="A35" s="122" t="str">
        <f>HYPERLINK("https://www.alcaldiabogota.gov.co/sisjur/normas/Norma1.jsp?i=38272#0","DECRETO 545")</f>
        <v>DECRETO 545</v>
      </c>
      <c r="B35" s="86">
        <v>40165</v>
      </c>
      <c r="C35" s="81" t="s">
        <v>61</v>
      </c>
      <c r="D35" s="308" t="s">
        <v>2592</v>
      </c>
      <c r="E35" s="81" t="s">
        <v>41</v>
      </c>
      <c r="F35" s="81" t="s">
        <v>97</v>
      </c>
      <c r="G35" s="94" t="s">
        <v>43</v>
      </c>
      <c r="H35" s="81" t="s">
        <v>2540</v>
      </c>
      <c r="I35" s="461"/>
      <c r="J35" s="36"/>
      <c r="K35" s="36"/>
      <c r="L35" s="36"/>
      <c r="M35" s="36"/>
      <c r="N35" s="36"/>
      <c r="O35" s="36"/>
      <c r="P35" s="36"/>
      <c r="Q35" s="36"/>
      <c r="R35" s="36"/>
      <c r="S35" s="36"/>
      <c r="T35" s="36"/>
      <c r="U35" s="36"/>
      <c r="V35" s="36"/>
      <c r="W35" s="36"/>
      <c r="X35" s="36"/>
      <c r="Y35" s="36"/>
      <c r="Z35" s="36"/>
      <c r="AA35" s="36"/>
    </row>
    <row r="36" spans="1:27" ht="24" customHeight="1">
      <c r="A36" s="122" t="str">
        <f>HYPERLINK("https://www.alcaldiabogota.gov.co/sisjur/normas/Norma1.jsp?i=53899&amp;dt=S","DECRETO 329")</f>
        <v>DECRETO 329</v>
      </c>
      <c r="B36" s="84">
        <v>41478</v>
      </c>
      <c r="C36" s="81" t="s">
        <v>61</v>
      </c>
      <c r="D36" s="308" t="s">
        <v>2594</v>
      </c>
      <c r="E36" s="81" t="s">
        <v>41</v>
      </c>
      <c r="F36" s="81" t="s">
        <v>97</v>
      </c>
      <c r="G36" s="94" t="s">
        <v>43</v>
      </c>
      <c r="H36" s="81" t="s">
        <v>2540</v>
      </c>
      <c r="I36" s="461"/>
      <c r="J36" s="36"/>
      <c r="K36" s="36"/>
      <c r="L36" s="36"/>
      <c r="M36" s="36"/>
      <c r="N36" s="36"/>
      <c r="O36" s="36"/>
      <c r="P36" s="36"/>
      <c r="Q36" s="36"/>
      <c r="R36" s="36"/>
      <c r="S36" s="36"/>
      <c r="T36" s="36"/>
      <c r="U36" s="36"/>
      <c r="V36" s="36"/>
      <c r="W36" s="36"/>
      <c r="X36" s="36"/>
      <c r="Y36" s="36"/>
      <c r="Z36" s="36"/>
      <c r="AA36" s="36"/>
    </row>
    <row r="37" spans="1:27" ht="24" customHeight="1">
      <c r="A37" s="122" t="str">
        <f>HYPERLINK("https://www.alcaldiabogota.gov.co/sisjur/normas/Norma1.jsp?i=56767","DECRETO 333")</f>
        <v>DECRETO 333</v>
      </c>
      <c r="B37" s="84">
        <v>41689</v>
      </c>
      <c r="C37" s="81" t="s">
        <v>57</v>
      </c>
      <c r="D37" s="80" t="s">
        <v>2595</v>
      </c>
      <c r="E37" s="81" t="s">
        <v>41</v>
      </c>
      <c r="F37" s="81" t="s">
        <v>97</v>
      </c>
      <c r="G37" s="94" t="s">
        <v>43</v>
      </c>
      <c r="H37" s="81" t="s">
        <v>2540</v>
      </c>
      <c r="I37" s="461"/>
      <c r="J37" s="36"/>
      <c r="K37" s="36"/>
      <c r="L37" s="36"/>
      <c r="M37" s="36"/>
      <c r="N37" s="36"/>
      <c r="O37" s="36"/>
      <c r="P37" s="36"/>
      <c r="Q37" s="36"/>
      <c r="R37" s="36"/>
      <c r="S37" s="36"/>
      <c r="T37" s="36"/>
      <c r="U37" s="36"/>
      <c r="V37" s="36"/>
      <c r="W37" s="36"/>
      <c r="X37" s="36"/>
      <c r="Y37" s="36"/>
      <c r="Z37" s="36"/>
      <c r="AA37" s="36"/>
    </row>
    <row r="38" spans="1:27" ht="36" customHeight="1">
      <c r="A38" s="122" t="str">
        <f>HYPERLINK("https://normativa.archivogeneral.gov.co/decreto-029-de-2015/","DECRETO 029")</f>
        <v>DECRETO 029</v>
      </c>
      <c r="B38" s="84">
        <v>42018</v>
      </c>
      <c r="C38" s="81" t="s">
        <v>2597</v>
      </c>
      <c r="D38" s="308" t="s">
        <v>2598</v>
      </c>
      <c r="E38" s="81" t="s">
        <v>41</v>
      </c>
      <c r="F38" s="81" t="s">
        <v>97</v>
      </c>
      <c r="G38" s="94" t="s">
        <v>43</v>
      </c>
      <c r="H38" s="81" t="s">
        <v>2540</v>
      </c>
      <c r="I38" s="461"/>
      <c r="J38" s="36"/>
      <c r="K38" s="36"/>
      <c r="L38" s="36"/>
      <c r="M38" s="36"/>
      <c r="N38" s="36"/>
      <c r="O38" s="36"/>
      <c r="P38" s="36"/>
      <c r="Q38" s="36"/>
      <c r="R38" s="36"/>
      <c r="S38" s="36"/>
      <c r="T38" s="36"/>
      <c r="U38" s="36"/>
      <c r="V38" s="36"/>
      <c r="W38" s="36"/>
      <c r="X38" s="36"/>
      <c r="Y38" s="36"/>
      <c r="Z38" s="36"/>
      <c r="AA38" s="36"/>
    </row>
    <row r="39" spans="1:27" ht="33.75" customHeight="1">
      <c r="A39" s="122" t="str">
        <f>HYPERLINK("https://www.alcaldiabogota.gov.co/sisjur/normas/Norma1.jsp?i=60556","DECRETO 103")</f>
        <v>DECRETO 103</v>
      </c>
      <c r="B39" s="78">
        <v>42024</v>
      </c>
      <c r="C39" s="81" t="s">
        <v>57</v>
      </c>
      <c r="D39" s="308" t="s">
        <v>299</v>
      </c>
      <c r="E39" s="81" t="s">
        <v>41</v>
      </c>
      <c r="F39" s="81" t="s">
        <v>97</v>
      </c>
      <c r="G39" s="94" t="s">
        <v>43</v>
      </c>
      <c r="H39" s="81" t="s">
        <v>2540</v>
      </c>
      <c r="I39" s="461"/>
      <c r="J39" s="36"/>
      <c r="K39" s="36"/>
      <c r="L39" s="36"/>
      <c r="M39" s="36"/>
      <c r="N39" s="36"/>
      <c r="O39" s="36"/>
      <c r="P39" s="36"/>
      <c r="Q39" s="36"/>
      <c r="R39" s="36"/>
      <c r="S39" s="36"/>
      <c r="T39" s="36"/>
      <c r="U39" s="36"/>
      <c r="V39" s="36"/>
      <c r="W39" s="36"/>
      <c r="X39" s="36"/>
      <c r="Y39" s="36"/>
      <c r="Z39" s="36"/>
      <c r="AA39" s="36"/>
    </row>
    <row r="40" spans="1:27" ht="36" customHeight="1">
      <c r="A40" s="122" t="str">
        <f>HYPERLINK("https://www.alcaldiabogota.gov.co/sisjur/normas/Norma1.jsp?i=62515&amp;dt=S","DECRETO 1080")</f>
        <v>DECRETO 1080</v>
      </c>
      <c r="B40" s="84">
        <v>42150</v>
      </c>
      <c r="C40" s="81" t="s">
        <v>57</v>
      </c>
      <c r="D40" s="308" t="s">
        <v>3560</v>
      </c>
      <c r="E40" s="81" t="s">
        <v>41</v>
      </c>
      <c r="F40" s="81" t="s">
        <v>97</v>
      </c>
      <c r="G40" s="94" t="s">
        <v>43</v>
      </c>
      <c r="H40" s="81" t="s">
        <v>2540</v>
      </c>
      <c r="I40" s="461"/>
      <c r="J40" s="36"/>
      <c r="K40" s="36"/>
      <c r="L40" s="36"/>
      <c r="M40" s="36"/>
      <c r="N40" s="36"/>
      <c r="O40" s="36"/>
      <c r="P40" s="36"/>
      <c r="Q40" s="36"/>
      <c r="R40" s="36"/>
      <c r="S40" s="36"/>
      <c r="T40" s="36"/>
      <c r="U40" s="36"/>
      <c r="V40" s="36"/>
      <c r="W40" s="36"/>
      <c r="X40" s="36"/>
      <c r="Y40" s="36"/>
      <c r="Z40" s="36"/>
      <c r="AA40" s="36"/>
    </row>
    <row r="41" spans="1:27" ht="48" customHeight="1">
      <c r="A41" s="122" t="str">
        <f>HYPERLINK("https://www.alcaldiabogota.gov.co/sisjur/normas/Norma1.jsp?i=50875","DECRETO 2578")</f>
        <v>DECRETO 2578</v>
      </c>
      <c r="B41" s="86">
        <v>41256</v>
      </c>
      <c r="C41" s="81" t="s">
        <v>57</v>
      </c>
      <c r="D41" s="308" t="s">
        <v>2600</v>
      </c>
      <c r="E41" s="81" t="s">
        <v>41</v>
      </c>
      <c r="F41" s="81" t="s">
        <v>97</v>
      </c>
      <c r="G41" s="94" t="s">
        <v>43</v>
      </c>
      <c r="H41" s="81" t="s">
        <v>2540</v>
      </c>
      <c r="I41" s="461"/>
      <c r="J41" s="36"/>
      <c r="K41" s="36"/>
      <c r="L41" s="36"/>
      <c r="M41" s="36"/>
      <c r="N41" s="36"/>
      <c r="O41" s="36"/>
      <c r="P41" s="36"/>
      <c r="Q41" s="36"/>
      <c r="R41" s="36"/>
      <c r="S41" s="36"/>
      <c r="T41" s="36"/>
      <c r="U41" s="36"/>
      <c r="V41" s="36"/>
      <c r="W41" s="36"/>
      <c r="X41" s="36"/>
      <c r="Y41" s="36"/>
      <c r="Z41" s="36"/>
      <c r="AA41" s="36"/>
    </row>
    <row r="42" spans="1:27" ht="48" customHeight="1">
      <c r="A42" s="122" t="str">
        <f>HYPERLINK("https://www.alcaldiabogota.gov.co/sisjur/normas/Norma1.jsp?i=50958","DECRETO 2609")</f>
        <v>DECRETO 2609</v>
      </c>
      <c r="B42" s="86">
        <v>41257</v>
      </c>
      <c r="C42" s="81" t="s">
        <v>57</v>
      </c>
      <c r="D42" s="308" t="s">
        <v>2602</v>
      </c>
      <c r="E42" s="81" t="s">
        <v>41</v>
      </c>
      <c r="F42" s="81" t="s">
        <v>97</v>
      </c>
      <c r="G42" s="94" t="s">
        <v>43</v>
      </c>
      <c r="H42" s="81" t="s">
        <v>2540</v>
      </c>
      <c r="I42" s="461"/>
      <c r="J42" s="36"/>
      <c r="K42" s="36"/>
      <c r="L42" s="36"/>
      <c r="M42" s="36"/>
      <c r="N42" s="36"/>
      <c r="O42" s="36"/>
      <c r="P42" s="36"/>
      <c r="Q42" s="36"/>
      <c r="R42" s="36"/>
      <c r="S42" s="36"/>
      <c r="T42" s="36"/>
      <c r="U42" s="36"/>
      <c r="V42" s="36"/>
      <c r="W42" s="36"/>
      <c r="X42" s="36"/>
      <c r="Y42" s="36"/>
      <c r="Z42" s="36"/>
      <c r="AA42" s="36"/>
    </row>
    <row r="43" spans="1:27" ht="24" customHeight="1">
      <c r="A43" s="122" t="str">
        <f>HYPERLINK("https://www.alcaldiabogota.gov.co/sisjur/normas/Norma1.jsp?i=53880","DECRETO 1515")</f>
        <v>DECRETO 1515</v>
      </c>
      <c r="B43" s="86">
        <v>41474</v>
      </c>
      <c r="C43" s="81" t="s">
        <v>57</v>
      </c>
      <c r="D43" s="308" t="s">
        <v>2604</v>
      </c>
      <c r="E43" s="81" t="s">
        <v>41</v>
      </c>
      <c r="F43" s="81" t="s">
        <v>97</v>
      </c>
      <c r="G43" s="94" t="s">
        <v>43</v>
      </c>
      <c r="H43" s="81" t="s">
        <v>2540</v>
      </c>
      <c r="I43" s="461"/>
      <c r="J43" s="36"/>
      <c r="K43" s="36"/>
      <c r="L43" s="36"/>
      <c r="M43" s="36"/>
      <c r="N43" s="36"/>
      <c r="O43" s="36"/>
      <c r="P43" s="36"/>
      <c r="Q43" s="36"/>
      <c r="R43" s="36"/>
      <c r="S43" s="36"/>
      <c r="T43" s="36"/>
      <c r="U43" s="36"/>
      <c r="V43" s="36"/>
      <c r="W43" s="36"/>
      <c r="X43" s="36"/>
      <c r="Y43" s="36"/>
      <c r="Z43" s="36"/>
      <c r="AA43" s="36"/>
    </row>
    <row r="44" spans="1:27" ht="24" customHeight="1">
      <c r="A44" s="122" t="str">
        <f>HYPERLINK("https://www.alcaldiabogota.gov.co/sisjur/normas/Norma1.jsp?i=61834","DECRETO 2758")</f>
        <v>DECRETO 2758</v>
      </c>
      <c r="B44" s="86">
        <v>41604</v>
      </c>
      <c r="C44" s="81" t="s">
        <v>57</v>
      </c>
      <c r="D44" s="308" t="s">
        <v>2606</v>
      </c>
      <c r="E44" s="81" t="s">
        <v>41</v>
      </c>
      <c r="F44" s="81" t="s">
        <v>97</v>
      </c>
      <c r="G44" s="94" t="s">
        <v>43</v>
      </c>
      <c r="H44" s="81" t="s">
        <v>2540</v>
      </c>
      <c r="I44" s="461"/>
      <c r="J44" s="36"/>
      <c r="K44" s="36"/>
      <c r="L44" s="36"/>
      <c r="M44" s="36"/>
      <c r="N44" s="36"/>
      <c r="O44" s="36"/>
      <c r="P44" s="36"/>
      <c r="Q44" s="36"/>
      <c r="R44" s="36"/>
      <c r="S44" s="36"/>
      <c r="T44" s="36"/>
      <c r="U44" s="36"/>
      <c r="V44" s="36"/>
      <c r="W44" s="36"/>
      <c r="X44" s="36"/>
      <c r="Y44" s="36"/>
      <c r="Z44" s="36"/>
      <c r="AA44" s="36"/>
    </row>
    <row r="45" spans="1:27" ht="36" customHeight="1">
      <c r="A45" s="122" t="str">
        <f>HYPERLINK("https://www.funcionpublica.gov.co/eva/gestornormativo/norma.php?i=85742","DECRETO 612")</f>
        <v>DECRETO 612</v>
      </c>
      <c r="B45" s="84">
        <v>43194</v>
      </c>
      <c r="C45" s="81" t="s">
        <v>3561</v>
      </c>
      <c r="D45" s="308" t="s">
        <v>1066</v>
      </c>
      <c r="E45" s="81" t="s">
        <v>41</v>
      </c>
      <c r="F45" s="81" t="s">
        <v>97</v>
      </c>
      <c r="G45" s="94" t="s">
        <v>43</v>
      </c>
      <c r="H45" s="81" t="s">
        <v>2540</v>
      </c>
      <c r="I45" s="461"/>
      <c r="J45" s="36"/>
      <c r="K45" s="36"/>
      <c r="L45" s="36"/>
      <c r="M45" s="36"/>
      <c r="N45" s="36"/>
      <c r="O45" s="36"/>
      <c r="P45" s="36"/>
      <c r="Q45" s="36"/>
      <c r="R45" s="36"/>
      <c r="S45" s="36"/>
      <c r="T45" s="36"/>
      <c r="U45" s="36"/>
      <c r="V45" s="36"/>
      <c r="W45" s="36"/>
      <c r="X45" s="36"/>
      <c r="Y45" s="36"/>
      <c r="Z45" s="36"/>
      <c r="AA45" s="36"/>
    </row>
    <row r="46" spans="1:27" ht="24" customHeight="1">
      <c r="A46" s="467" t="s">
        <v>1057</v>
      </c>
      <c r="B46" s="86">
        <v>42989</v>
      </c>
      <c r="C46" s="81"/>
      <c r="D46" s="308"/>
      <c r="E46" s="468" t="s">
        <v>3562</v>
      </c>
      <c r="F46" s="81"/>
      <c r="G46" s="94"/>
      <c r="H46" s="81"/>
      <c r="I46" s="461"/>
      <c r="J46" s="36"/>
      <c r="K46" s="36"/>
      <c r="L46" s="36"/>
      <c r="M46" s="36"/>
      <c r="N46" s="36"/>
      <c r="O46" s="36"/>
      <c r="P46" s="36"/>
      <c r="Q46" s="36"/>
      <c r="R46" s="36"/>
      <c r="S46" s="36"/>
      <c r="T46" s="36"/>
      <c r="U46" s="36"/>
      <c r="V46" s="36"/>
      <c r="W46" s="36"/>
      <c r="X46" s="36"/>
      <c r="Y46" s="36"/>
      <c r="Z46" s="36"/>
      <c r="AA46" s="36"/>
    </row>
    <row r="47" spans="1:27" ht="24" customHeight="1">
      <c r="A47" s="122" t="str">
        <f>HYPERLINK("https://secretariageneral.gov.co/sites/default/files/marco-legal/decreto_distrital_828_2018.pdf","DECRETO 828")</f>
        <v>DECRETO 828</v>
      </c>
      <c r="B47" s="86">
        <v>43461</v>
      </c>
      <c r="C47" s="81" t="s">
        <v>61</v>
      </c>
      <c r="D47" s="308" t="s">
        <v>3563</v>
      </c>
      <c r="E47" s="81" t="s">
        <v>41</v>
      </c>
      <c r="F47" s="81" t="s">
        <v>97</v>
      </c>
      <c r="G47" s="94" t="s">
        <v>43</v>
      </c>
      <c r="H47" s="81" t="s">
        <v>2540</v>
      </c>
      <c r="I47" s="461"/>
      <c r="J47" s="36"/>
      <c r="K47" s="36"/>
      <c r="L47" s="36"/>
      <c r="M47" s="36"/>
      <c r="N47" s="36"/>
      <c r="O47" s="36"/>
      <c r="P47" s="36"/>
      <c r="Q47" s="36"/>
      <c r="R47" s="36"/>
      <c r="S47" s="36"/>
      <c r="T47" s="36"/>
      <c r="U47" s="36"/>
      <c r="V47" s="36"/>
      <c r="W47" s="36"/>
      <c r="X47" s="36"/>
      <c r="Y47" s="36"/>
      <c r="Z47" s="36"/>
      <c r="AA47" s="36"/>
    </row>
    <row r="48" spans="1:27" ht="120.75" customHeight="1">
      <c r="A48" s="469" t="str">
        <f>HYPERLINK("https://dapre.presidencia.gov.co/normativa/normativa/DECRETO%202106%20DEL%2022%20DE%20NOVIEMBRE%20DE%202019.pdf","DECRETO 2106")</f>
        <v>DECRETO 2106</v>
      </c>
      <c r="B48" s="470">
        <v>43791</v>
      </c>
      <c r="C48" s="344" t="s">
        <v>57</v>
      </c>
      <c r="D48" s="471" t="s">
        <v>3564</v>
      </c>
      <c r="E48" s="344" t="s">
        <v>3565</v>
      </c>
      <c r="F48" s="40" t="s">
        <v>3566</v>
      </c>
      <c r="G48" s="124"/>
      <c r="H48" s="344"/>
      <c r="I48" s="461"/>
      <c r="J48" s="36"/>
      <c r="K48" s="36"/>
      <c r="L48" s="36"/>
      <c r="M48" s="36"/>
      <c r="N48" s="36"/>
      <c r="O48" s="36"/>
      <c r="P48" s="36"/>
      <c r="Q48" s="36"/>
      <c r="R48" s="36"/>
      <c r="S48" s="36"/>
      <c r="T48" s="36"/>
      <c r="U48" s="36"/>
      <c r="V48" s="36"/>
      <c r="W48" s="36"/>
      <c r="X48" s="36"/>
      <c r="Y48" s="36"/>
      <c r="Z48" s="36"/>
      <c r="AA48" s="36"/>
    </row>
    <row r="49" spans="1:27" ht="60" customHeight="1">
      <c r="A49" s="114" t="str">
        <f>HYPERLINK("https://www.alcaldiabogota.gov.co/sisjur/normas/Norma1.jsp?i=27903&amp;dt=S","ACUERDO 007")</f>
        <v>ACUERDO 007</v>
      </c>
      <c r="B49" s="84">
        <v>34514</v>
      </c>
      <c r="C49" s="81" t="s">
        <v>2458</v>
      </c>
      <c r="D49" s="308" t="s">
        <v>2613</v>
      </c>
      <c r="E49" s="81" t="s">
        <v>41</v>
      </c>
      <c r="F49" s="81" t="s">
        <v>97</v>
      </c>
      <c r="G49" s="94" t="s">
        <v>43</v>
      </c>
      <c r="H49" s="81" t="s">
        <v>2540</v>
      </c>
      <c r="I49" s="461"/>
      <c r="J49" s="36"/>
      <c r="K49" s="36"/>
      <c r="L49" s="36"/>
      <c r="M49" s="36"/>
      <c r="N49" s="36"/>
      <c r="O49" s="36"/>
      <c r="P49" s="36"/>
      <c r="Q49" s="36"/>
      <c r="R49" s="36"/>
      <c r="S49" s="36"/>
      <c r="T49" s="36"/>
      <c r="U49" s="36"/>
      <c r="V49" s="36"/>
      <c r="W49" s="36"/>
      <c r="X49" s="36"/>
      <c r="Y49" s="36"/>
      <c r="Z49" s="36"/>
      <c r="AA49" s="36"/>
    </row>
    <row r="50" spans="1:27" ht="46.5" customHeight="1">
      <c r="A50" s="114" t="str">
        <f>HYPERLINK("https://www.alcaldiabogota.gov.co/sisjur/normas/Norma1.jsp?i=10553","ACUERDO 012")</f>
        <v>ACUERDO 012</v>
      </c>
      <c r="B50" s="86">
        <v>34990</v>
      </c>
      <c r="C50" s="81" t="s">
        <v>2458</v>
      </c>
      <c r="D50" s="308" t="s">
        <v>2614</v>
      </c>
      <c r="E50" s="81" t="s">
        <v>41</v>
      </c>
      <c r="F50" s="81" t="s">
        <v>97</v>
      </c>
      <c r="G50" s="94" t="s">
        <v>43</v>
      </c>
      <c r="H50" s="81" t="s">
        <v>2540</v>
      </c>
      <c r="I50" s="461"/>
      <c r="J50" s="36"/>
      <c r="K50" s="36"/>
      <c r="L50" s="36"/>
      <c r="M50" s="36"/>
      <c r="N50" s="36"/>
      <c r="O50" s="36"/>
      <c r="P50" s="36"/>
      <c r="Q50" s="36"/>
      <c r="R50" s="36"/>
      <c r="S50" s="36"/>
      <c r="T50" s="36"/>
      <c r="U50" s="36"/>
      <c r="V50" s="36"/>
      <c r="W50" s="36"/>
      <c r="X50" s="36"/>
      <c r="Y50" s="36"/>
      <c r="Z50" s="36"/>
      <c r="AA50" s="36"/>
    </row>
    <row r="51" spans="1:27" ht="33" customHeight="1">
      <c r="A51" s="114" t="str">
        <f>HYPERLINK("https://www.alcaldiabogota.gov.co/sisjur/normas/Norma1.jsp?i=5990&amp;dt=S","ACUERDO 011")</f>
        <v>ACUERDO 011</v>
      </c>
      <c r="B51" s="84">
        <v>35207</v>
      </c>
      <c r="C51" s="81" t="s">
        <v>2458</v>
      </c>
      <c r="D51" s="308" t="s">
        <v>2616</v>
      </c>
      <c r="E51" s="81" t="s">
        <v>41</v>
      </c>
      <c r="F51" s="81" t="s">
        <v>97</v>
      </c>
      <c r="G51" s="94" t="s">
        <v>43</v>
      </c>
      <c r="H51" s="81" t="s">
        <v>2540</v>
      </c>
      <c r="I51" s="461"/>
      <c r="J51" s="36"/>
      <c r="K51" s="36"/>
      <c r="L51" s="36"/>
      <c r="M51" s="36"/>
      <c r="N51" s="36"/>
      <c r="O51" s="36"/>
      <c r="P51" s="36"/>
      <c r="Q51" s="36"/>
      <c r="R51" s="36"/>
      <c r="S51" s="36"/>
      <c r="T51" s="36"/>
      <c r="U51" s="36"/>
      <c r="V51" s="36"/>
      <c r="W51" s="36"/>
      <c r="X51" s="36"/>
      <c r="Y51" s="36"/>
      <c r="Z51" s="36"/>
      <c r="AA51" s="36"/>
    </row>
    <row r="52" spans="1:27" ht="24" customHeight="1">
      <c r="A52" s="114" t="str">
        <f>HYPERLINK("https://www.funcionpublica.gov.co/eva/gestornormativo/norma.php?i=10529","ACUERDO 022")</f>
        <v>ACUERDO 022</v>
      </c>
      <c r="B52" s="84">
        <v>36560</v>
      </c>
      <c r="C52" s="81" t="s">
        <v>2458</v>
      </c>
      <c r="D52" s="308" t="s">
        <v>2618</v>
      </c>
      <c r="E52" s="81" t="s">
        <v>41</v>
      </c>
      <c r="F52" s="81" t="s">
        <v>97</v>
      </c>
      <c r="G52" s="94" t="s">
        <v>43</v>
      </c>
      <c r="H52" s="81" t="s">
        <v>2540</v>
      </c>
      <c r="I52" s="461"/>
      <c r="J52" s="36"/>
      <c r="K52" s="36"/>
      <c r="L52" s="36"/>
      <c r="M52" s="36"/>
      <c r="N52" s="36"/>
      <c r="O52" s="36"/>
      <c r="P52" s="36"/>
      <c r="Q52" s="36"/>
      <c r="R52" s="36"/>
      <c r="S52" s="36"/>
      <c r="T52" s="36"/>
      <c r="U52" s="36"/>
      <c r="V52" s="36"/>
      <c r="W52" s="36"/>
      <c r="X52" s="36"/>
      <c r="Y52" s="36"/>
      <c r="Z52" s="36"/>
      <c r="AA52" s="36"/>
    </row>
    <row r="53" spans="1:27" ht="60" customHeight="1">
      <c r="A53" s="114" t="str">
        <f>HYPERLINK("https://www.alcaldiabogota.gov.co/sisjur/normas/Norma1.jsp?i=6277","ACUERDO 049")</f>
        <v>ACUERDO 049</v>
      </c>
      <c r="B53" s="84">
        <v>36651</v>
      </c>
      <c r="C53" s="81" t="s">
        <v>2458</v>
      </c>
      <c r="D53" s="308" t="s">
        <v>2620</v>
      </c>
      <c r="E53" s="81" t="s">
        <v>41</v>
      </c>
      <c r="F53" s="81" t="s">
        <v>97</v>
      </c>
      <c r="G53" s="94" t="s">
        <v>43</v>
      </c>
      <c r="H53" s="81" t="s">
        <v>2540</v>
      </c>
      <c r="I53" s="461"/>
      <c r="J53" s="36"/>
      <c r="K53" s="36"/>
      <c r="L53" s="36"/>
      <c r="M53" s="36"/>
      <c r="N53" s="36"/>
      <c r="O53" s="36"/>
      <c r="P53" s="36"/>
      <c r="Q53" s="36"/>
      <c r="R53" s="36"/>
      <c r="S53" s="36"/>
      <c r="T53" s="36"/>
      <c r="U53" s="36"/>
      <c r="V53" s="36"/>
      <c r="W53" s="36"/>
      <c r="X53" s="36"/>
      <c r="Y53" s="36"/>
      <c r="Z53" s="36"/>
      <c r="AA53" s="36"/>
    </row>
    <row r="54" spans="1:27" ht="24" customHeight="1">
      <c r="A54" s="114" t="str">
        <f>HYPERLINK("https://www.alcaldiabogota.gov.co/sisjur/normas/Norma1.jsp?i=6275","ACUERDO 047")</f>
        <v>ACUERDO 047</v>
      </c>
      <c r="B54" s="84">
        <v>36651</v>
      </c>
      <c r="C54" s="81" t="s">
        <v>2458</v>
      </c>
      <c r="D54" s="308" t="s">
        <v>2622</v>
      </c>
      <c r="E54" s="81" t="s">
        <v>41</v>
      </c>
      <c r="F54" s="81" t="s">
        <v>97</v>
      </c>
      <c r="G54" s="94" t="s">
        <v>43</v>
      </c>
      <c r="H54" s="81" t="s">
        <v>2540</v>
      </c>
      <c r="I54" s="461"/>
      <c r="J54" s="36"/>
      <c r="K54" s="36"/>
      <c r="L54" s="36"/>
      <c r="M54" s="36"/>
      <c r="N54" s="36"/>
      <c r="O54" s="36"/>
      <c r="P54" s="36"/>
      <c r="Q54" s="36"/>
      <c r="R54" s="36"/>
      <c r="S54" s="36"/>
      <c r="T54" s="36"/>
      <c r="U54" s="36"/>
      <c r="V54" s="36"/>
      <c r="W54" s="36"/>
      <c r="X54" s="36"/>
      <c r="Y54" s="36"/>
      <c r="Z54" s="36"/>
      <c r="AA54" s="36"/>
    </row>
    <row r="55" spans="1:27" ht="36" customHeight="1">
      <c r="A55" s="114" t="str">
        <f>HYPERLINK("https://www.alcaldiabogota.gov.co/sisjur/normas/Norma1.jsp?i=6278","ACUERDO 050")</f>
        <v>ACUERDO 050</v>
      </c>
      <c r="B55" s="84">
        <v>36651</v>
      </c>
      <c r="C55" s="81" t="s">
        <v>2458</v>
      </c>
      <c r="D55" s="308" t="s">
        <v>2624</v>
      </c>
      <c r="E55" s="81" t="s">
        <v>41</v>
      </c>
      <c r="F55" s="81" t="s">
        <v>97</v>
      </c>
      <c r="G55" s="94" t="s">
        <v>43</v>
      </c>
      <c r="H55" s="81" t="s">
        <v>2540</v>
      </c>
      <c r="I55" s="461"/>
      <c r="J55" s="36"/>
      <c r="K55" s="36"/>
      <c r="L55" s="36"/>
      <c r="M55" s="36"/>
      <c r="N55" s="36"/>
      <c r="O55" s="36"/>
      <c r="P55" s="36"/>
      <c r="Q55" s="36"/>
      <c r="R55" s="36"/>
      <c r="S55" s="36"/>
      <c r="T55" s="36"/>
      <c r="U55" s="36"/>
      <c r="V55" s="36"/>
      <c r="W55" s="36"/>
      <c r="X55" s="36"/>
      <c r="Y55" s="36"/>
      <c r="Z55" s="36"/>
      <c r="AA55" s="36"/>
    </row>
    <row r="56" spans="1:27" ht="36" customHeight="1">
      <c r="A56" s="114" t="str">
        <f>HYPERLINK("https://www.alcaldiabogota.gov.co/sisjur/normas/Norma1.jsp?i=10549","ACUERDO 056")</f>
        <v>ACUERDO 056</v>
      </c>
      <c r="B56" s="84">
        <v>36712</v>
      </c>
      <c r="C56" s="81" t="s">
        <v>2458</v>
      </c>
      <c r="D56" s="308" t="s">
        <v>2626</v>
      </c>
      <c r="E56" s="81" t="s">
        <v>41</v>
      </c>
      <c r="F56" s="81" t="s">
        <v>97</v>
      </c>
      <c r="G56" s="94" t="s">
        <v>43</v>
      </c>
      <c r="H56" s="81" t="s">
        <v>2540</v>
      </c>
      <c r="I56" s="461"/>
      <c r="J56" s="36"/>
      <c r="K56" s="36"/>
      <c r="L56" s="36"/>
      <c r="M56" s="36"/>
      <c r="N56" s="36"/>
      <c r="O56" s="36"/>
      <c r="P56" s="36"/>
      <c r="Q56" s="36"/>
      <c r="R56" s="36"/>
      <c r="S56" s="36"/>
      <c r="T56" s="36"/>
      <c r="U56" s="36"/>
      <c r="V56" s="36"/>
      <c r="W56" s="36"/>
      <c r="X56" s="36"/>
      <c r="Y56" s="36"/>
      <c r="Z56" s="36"/>
      <c r="AA56" s="36"/>
    </row>
    <row r="57" spans="1:27" ht="36" customHeight="1">
      <c r="A57" s="114" t="str">
        <f>HYPERLINK("https://www.alcaldiabogota.gov.co/sisjur/normas/Norma1.jsp?i=10551","ACUERDO 060")</f>
        <v>ACUERDO 060</v>
      </c>
      <c r="B57" s="86">
        <v>37194</v>
      </c>
      <c r="C57" s="81" t="s">
        <v>2458</v>
      </c>
      <c r="D57" s="308" t="s">
        <v>2628</v>
      </c>
      <c r="E57" s="81" t="s">
        <v>41</v>
      </c>
      <c r="F57" s="81" t="s">
        <v>97</v>
      </c>
      <c r="G57" s="94" t="s">
        <v>43</v>
      </c>
      <c r="H57" s="81" t="s">
        <v>2540</v>
      </c>
      <c r="I57" s="461"/>
      <c r="J57" s="36"/>
      <c r="K57" s="36"/>
      <c r="L57" s="36"/>
      <c r="M57" s="36"/>
      <c r="N57" s="36"/>
      <c r="O57" s="36"/>
      <c r="P57" s="36"/>
      <c r="Q57" s="36"/>
      <c r="R57" s="36"/>
      <c r="S57" s="36"/>
      <c r="T57" s="36"/>
      <c r="U57" s="36"/>
      <c r="V57" s="36"/>
      <c r="W57" s="36"/>
      <c r="X57" s="36"/>
      <c r="Y57" s="36"/>
      <c r="Z57" s="36"/>
      <c r="AA57" s="36"/>
    </row>
    <row r="58" spans="1:27" ht="24" customHeight="1">
      <c r="A58" s="114" t="str">
        <f>HYPERLINK("https://www.alcaldiabogota.gov.co/sisjur/normas/Norma1.jsp?i=10544","ACUERDO 038")</f>
        <v>ACUERDO 038</v>
      </c>
      <c r="B58" s="84">
        <v>37519</v>
      </c>
      <c r="C58" s="81" t="s">
        <v>2458</v>
      </c>
      <c r="D58" s="308" t="s">
        <v>2630</v>
      </c>
      <c r="E58" s="81" t="s">
        <v>41</v>
      </c>
      <c r="F58" s="81" t="s">
        <v>97</v>
      </c>
      <c r="G58" s="94" t="s">
        <v>43</v>
      </c>
      <c r="H58" s="81" t="s">
        <v>2540</v>
      </c>
      <c r="I58" s="461"/>
      <c r="J58" s="36"/>
      <c r="K58" s="36"/>
      <c r="L58" s="36"/>
      <c r="M58" s="36"/>
      <c r="N58" s="36"/>
      <c r="O58" s="36"/>
      <c r="P58" s="36"/>
      <c r="Q58" s="36"/>
      <c r="R58" s="36"/>
      <c r="S58" s="36"/>
      <c r="T58" s="36"/>
      <c r="U58" s="36"/>
      <c r="V58" s="36"/>
      <c r="W58" s="36"/>
      <c r="X58" s="36"/>
      <c r="Y58" s="36"/>
      <c r="Z58" s="36"/>
      <c r="AA58" s="36"/>
    </row>
    <row r="59" spans="1:27" ht="24" customHeight="1">
      <c r="A59" s="114" t="str">
        <f>HYPERLINK("https://www.alcaldiabogota.gov.co/sisjur/normas/Norma1.jsp?i=6349","ACUERDO 042")</f>
        <v>ACUERDO 042</v>
      </c>
      <c r="B59" s="81" t="s">
        <v>3567</v>
      </c>
      <c r="C59" s="81" t="s">
        <v>2458</v>
      </c>
      <c r="D59" s="308" t="s">
        <v>2632</v>
      </c>
      <c r="E59" s="81" t="s">
        <v>41</v>
      </c>
      <c r="F59" s="81" t="s">
        <v>97</v>
      </c>
      <c r="G59" s="94" t="s">
        <v>43</v>
      </c>
      <c r="H59" s="81" t="s">
        <v>2540</v>
      </c>
      <c r="I59" s="461"/>
      <c r="J59" s="36"/>
      <c r="K59" s="36"/>
      <c r="L59" s="36"/>
      <c r="M59" s="36"/>
      <c r="N59" s="36"/>
      <c r="O59" s="36"/>
      <c r="P59" s="36"/>
      <c r="Q59" s="36"/>
      <c r="R59" s="36"/>
      <c r="S59" s="36"/>
      <c r="T59" s="36"/>
      <c r="U59" s="36"/>
      <c r="V59" s="36"/>
      <c r="W59" s="36"/>
      <c r="X59" s="36"/>
      <c r="Y59" s="36"/>
      <c r="Z59" s="36"/>
      <c r="AA59" s="36"/>
    </row>
    <row r="60" spans="1:27" ht="36" customHeight="1">
      <c r="A60" s="114" t="str">
        <f>HYPERLINK("https://normativa.archivogeneral.gov.co/acuerdo-002-de-2014-2/","ACUERDO 002")</f>
        <v>ACUERDO 002</v>
      </c>
      <c r="B60" s="84">
        <v>38009</v>
      </c>
      <c r="C60" s="81" t="s">
        <v>2458</v>
      </c>
      <c r="D60" s="308" t="s">
        <v>2634</v>
      </c>
      <c r="E60" s="81" t="s">
        <v>41</v>
      </c>
      <c r="F60" s="81" t="s">
        <v>97</v>
      </c>
      <c r="G60" s="94" t="s">
        <v>43</v>
      </c>
      <c r="H60" s="81" t="s">
        <v>2540</v>
      </c>
      <c r="I60" s="461"/>
      <c r="J60" s="36"/>
      <c r="K60" s="36"/>
      <c r="L60" s="36"/>
      <c r="M60" s="36"/>
      <c r="N60" s="36"/>
      <c r="O60" s="36"/>
      <c r="P60" s="36"/>
      <c r="Q60" s="36"/>
      <c r="R60" s="36"/>
      <c r="S60" s="36"/>
      <c r="T60" s="36"/>
      <c r="U60" s="36"/>
      <c r="V60" s="36"/>
      <c r="W60" s="36"/>
      <c r="X60" s="36"/>
      <c r="Y60" s="36"/>
      <c r="Z60" s="36"/>
      <c r="AA60" s="36"/>
    </row>
    <row r="61" spans="1:27" ht="36" customHeight="1">
      <c r="A61" s="114" t="str">
        <f>HYPERLINK("https://www.alcaldiabogota.gov.co/sisjur/normas/Norma1.jsp?i=52521","ACUERDO 005")</f>
        <v>ACUERDO 005</v>
      </c>
      <c r="B61" s="84">
        <v>41348</v>
      </c>
      <c r="C61" s="81" t="s">
        <v>2458</v>
      </c>
      <c r="D61" s="308" t="s">
        <v>2638</v>
      </c>
      <c r="E61" s="81" t="s">
        <v>41</v>
      </c>
      <c r="F61" s="81" t="s">
        <v>97</v>
      </c>
      <c r="G61" s="94" t="s">
        <v>43</v>
      </c>
      <c r="H61" s="81" t="s">
        <v>2540</v>
      </c>
      <c r="I61" s="461"/>
      <c r="J61" s="36"/>
      <c r="K61" s="36"/>
      <c r="L61" s="36"/>
      <c r="M61" s="36"/>
      <c r="N61" s="36"/>
      <c r="O61" s="36"/>
      <c r="P61" s="36"/>
      <c r="Q61" s="36"/>
      <c r="R61" s="36"/>
      <c r="S61" s="36"/>
      <c r="T61" s="36"/>
      <c r="U61" s="36"/>
      <c r="V61" s="36"/>
      <c r="W61" s="36"/>
      <c r="X61" s="36"/>
      <c r="Y61" s="36"/>
      <c r="Z61" s="36"/>
      <c r="AA61" s="36"/>
    </row>
    <row r="62" spans="1:27" ht="36" customHeight="1">
      <c r="A62" s="114" t="str">
        <f>HYPERLINK("https://www.funcionpublica.gov.co/eva/gestornormativo/norma.php?i=61730","ACUERDO 002")</f>
        <v>ACUERDO 002</v>
      </c>
      <c r="B62" s="84">
        <v>41712</v>
      </c>
      <c r="C62" s="81" t="s">
        <v>2458</v>
      </c>
      <c r="D62" s="308" t="s">
        <v>2639</v>
      </c>
      <c r="E62" s="81" t="s">
        <v>41</v>
      </c>
      <c r="F62" s="81" t="s">
        <v>97</v>
      </c>
      <c r="G62" s="94" t="s">
        <v>43</v>
      </c>
      <c r="H62" s="81" t="s">
        <v>2540</v>
      </c>
      <c r="I62" s="461"/>
      <c r="J62" s="36"/>
      <c r="K62" s="36"/>
      <c r="L62" s="36"/>
      <c r="M62" s="36"/>
      <c r="N62" s="36"/>
      <c r="O62" s="36"/>
      <c r="P62" s="36"/>
      <c r="Q62" s="36"/>
      <c r="R62" s="36"/>
      <c r="S62" s="36"/>
      <c r="T62" s="36"/>
      <c r="U62" s="36"/>
      <c r="V62" s="36"/>
      <c r="W62" s="36"/>
      <c r="X62" s="36"/>
      <c r="Y62" s="36"/>
      <c r="Z62" s="36"/>
      <c r="AA62" s="36"/>
    </row>
    <row r="63" spans="1:27" ht="24" customHeight="1">
      <c r="A63" s="114" t="str">
        <f>HYPERLINK("https://www.alcaldiabogota.gov.co/sisjur/normas/Norma1.jsp?i=61770","ACUERDO 006")</f>
        <v>ACUERDO 006</v>
      </c>
      <c r="B63" s="86">
        <v>41927</v>
      </c>
      <c r="C63" s="81" t="s">
        <v>2458</v>
      </c>
      <c r="D63" s="308" t="s">
        <v>2459</v>
      </c>
      <c r="E63" s="81" t="s">
        <v>41</v>
      </c>
      <c r="F63" s="81" t="s">
        <v>3568</v>
      </c>
      <c r="G63" s="94" t="s">
        <v>43</v>
      </c>
      <c r="H63" s="81" t="s">
        <v>2540</v>
      </c>
      <c r="I63" s="461"/>
      <c r="J63" s="36"/>
      <c r="K63" s="36"/>
      <c r="L63" s="36"/>
      <c r="M63" s="36"/>
      <c r="N63" s="36"/>
      <c r="O63" s="36"/>
      <c r="P63" s="36"/>
      <c r="Q63" s="36"/>
      <c r="R63" s="36"/>
      <c r="S63" s="36"/>
      <c r="T63" s="36"/>
      <c r="U63" s="36"/>
      <c r="V63" s="36"/>
      <c r="W63" s="36"/>
      <c r="X63" s="36"/>
      <c r="Y63" s="36"/>
      <c r="Z63" s="36"/>
      <c r="AA63" s="36"/>
    </row>
    <row r="64" spans="1:27" ht="24" customHeight="1">
      <c r="A64" s="114" t="str">
        <f>HYPERLINK("https://www.alcaldiabogota.gov.co/sisjur/normas/Norma1.jsp?i=61790","ACUERDO 007")</f>
        <v>ACUERDO 007</v>
      </c>
      <c r="B64" s="86">
        <v>41927</v>
      </c>
      <c r="C64" s="81" t="s">
        <v>2458</v>
      </c>
      <c r="D64" s="308" t="s">
        <v>2640</v>
      </c>
      <c r="E64" s="81" t="s">
        <v>41</v>
      </c>
      <c r="F64" s="81" t="s">
        <v>3569</v>
      </c>
      <c r="G64" s="94" t="s">
        <v>43</v>
      </c>
      <c r="H64" s="81" t="s">
        <v>2540</v>
      </c>
      <c r="I64" s="461"/>
      <c r="J64" s="36"/>
      <c r="K64" s="36"/>
      <c r="L64" s="36"/>
      <c r="M64" s="36"/>
      <c r="N64" s="36"/>
      <c r="O64" s="36"/>
      <c r="P64" s="36"/>
      <c r="Q64" s="36"/>
      <c r="R64" s="36"/>
      <c r="S64" s="36"/>
      <c r="T64" s="36"/>
      <c r="U64" s="36"/>
      <c r="V64" s="36"/>
      <c r="W64" s="36"/>
      <c r="X64" s="36"/>
      <c r="Y64" s="36"/>
      <c r="Z64" s="36"/>
      <c r="AA64" s="36"/>
    </row>
    <row r="65" spans="1:27" ht="24" customHeight="1">
      <c r="A65" s="114" t="str">
        <f>HYPERLINK("https://www.alcaldiabogota.gov.co/sisjur/normas/Norma1.jsp?i=61791","ACUERDO 008")</f>
        <v>ACUERDO 008</v>
      </c>
      <c r="B65" s="86">
        <v>41943</v>
      </c>
      <c r="C65" s="81" t="s">
        <v>2458</v>
      </c>
      <c r="D65" s="308" t="s">
        <v>2642</v>
      </c>
      <c r="E65" s="81" t="s">
        <v>41</v>
      </c>
      <c r="F65" s="81" t="s">
        <v>97</v>
      </c>
      <c r="G65" s="94" t="s">
        <v>43</v>
      </c>
      <c r="H65" s="81" t="s">
        <v>2540</v>
      </c>
      <c r="I65" s="461"/>
      <c r="J65" s="36"/>
      <c r="K65" s="36"/>
      <c r="L65" s="36"/>
      <c r="M65" s="36"/>
      <c r="N65" s="36"/>
      <c r="O65" s="36"/>
      <c r="P65" s="36"/>
      <c r="Q65" s="36"/>
      <c r="R65" s="36"/>
      <c r="S65" s="36"/>
      <c r="T65" s="36"/>
      <c r="U65" s="36"/>
      <c r="V65" s="36"/>
      <c r="W65" s="36"/>
      <c r="X65" s="36"/>
      <c r="Y65" s="36"/>
      <c r="Z65" s="36"/>
      <c r="AA65" s="36"/>
    </row>
    <row r="66" spans="1:27" ht="24" customHeight="1">
      <c r="A66" s="114" t="str">
        <f>HYPERLINK("https://www.funcionpublica.gov.co/eva/gestornormativo/norma.php?i=61731","ACUERDO 003")</f>
        <v>ACUERDO 003</v>
      </c>
      <c r="B66" s="84">
        <v>42052</v>
      </c>
      <c r="C66" s="81" t="s">
        <v>2458</v>
      </c>
      <c r="D66" s="308" t="s">
        <v>2461</v>
      </c>
      <c r="E66" s="81" t="s">
        <v>41</v>
      </c>
      <c r="F66" s="81" t="s">
        <v>97</v>
      </c>
      <c r="G66" s="94" t="s">
        <v>43</v>
      </c>
      <c r="H66" s="81" t="s">
        <v>2540</v>
      </c>
      <c r="I66" s="461"/>
      <c r="J66" s="36"/>
      <c r="K66" s="36"/>
      <c r="L66" s="36"/>
      <c r="M66" s="36"/>
      <c r="N66" s="36"/>
      <c r="O66" s="36"/>
      <c r="P66" s="36"/>
      <c r="Q66" s="36"/>
      <c r="R66" s="36"/>
      <c r="S66" s="36"/>
      <c r="T66" s="36"/>
      <c r="U66" s="36"/>
      <c r="V66" s="36"/>
      <c r="W66" s="36"/>
      <c r="X66" s="36"/>
      <c r="Y66" s="36"/>
      <c r="Z66" s="36"/>
      <c r="AA66" s="36"/>
    </row>
    <row r="67" spans="1:27" ht="36" customHeight="1">
      <c r="A67" s="114" t="str">
        <f>HYPERLINK("https://normativa.archivogeneral.gov.co/acuerdo-004-de-2015/","ACUERDO 004")</f>
        <v>ACUERDO 004</v>
      </c>
      <c r="B67" s="84">
        <v>42115</v>
      </c>
      <c r="C67" s="81" t="s">
        <v>2458</v>
      </c>
      <c r="D67" s="308" t="s">
        <v>2643</v>
      </c>
      <c r="E67" s="81" t="s">
        <v>41</v>
      </c>
      <c r="F67" s="81" t="s">
        <v>97</v>
      </c>
      <c r="G67" s="94" t="s">
        <v>43</v>
      </c>
      <c r="H67" s="81" t="s">
        <v>2540</v>
      </c>
      <c r="I67" s="461"/>
      <c r="J67" s="36"/>
      <c r="K67" s="36"/>
      <c r="L67" s="36"/>
      <c r="M67" s="36"/>
      <c r="N67" s="36"/>
      <c r="O67" s="36"/>
      <c r="P67" s="36"/>
      <c r="Q67" s="36"/>
      <c r="R67" s="36"/>
      <c r="S67" s="36"/>
      <c r="T67" s="36"/>
      <c r="U67" s="36"/>
      <c r="V67" s="36"/>
      <c r="W67" s="36"/>
      <c r="X67" s="36"/>
      <c r="Y67" s="36"/>
      <c r="Z67" s="36"/>
      <c r="AA67" s="36"/>
    </row>
    <row r="68" spans="1:27" ht="60" customHeight="1">
      <c r="A68" s="114" t="str">
        <f>HYPERLINK("https://www.cancilleria.gov.co/sites/default/files/Normograma/docs/acuerdo_archivo_0006_2015.htm","ACUERDO 006")</f>
        <v>ACUERDO 006</v>
      </c>
      <c r="B68" s="84">
        <v>42195</v>
      </c>
      <c r="C68" s="81" t="s">
        <v>2458</v>
      </c>
      <c r="D68" s="308" t="s">
        <v>2644</v>
      </c>
      <c r="E68" s="95"/>
      <c r="F68" s="81" t="s">
        <v>97</v>
      </c>
      <c r="G68" s="94" t="s">
        <v>43</v>
      </c>
      <c r="H68" s="81" t="s">
        <v>2540</v>
      </c>
      <c r="I68" s="461"/>
      <c r="J68" s="36"/>
      <c r="K68" s="36"/>
      <c r="L68" s="36"/>
      <c r="M68" s="36"/>
      <c r="N68" s="36"/>
      <c r="O68" s="36"/>
      <c r="P68" s="36"/>
      <c r="Q68" s="36"/>
      <c r="R68" s="36"/>
      <c r="S68" s="36"/>
      <c r="T68" s="36"/>
      <c r="U68" s="36"/>
      <c r="V68" s="36"/>
      <c r="W68" s="36"/>
      <c r="X68" s="36"/>
      <c r="Y68" s="36"/>
      <c r="Z68" s="36"/>
      <c r="AA68" s="36"/>
    </row>
    <row r="69" spans="1:27" ht="106.5" customHeight="1">
      <c r="A69" s="114" t="str">
        <f>HYPERLINK("http://legal.legis.com.co/document/Index?obra=legcol&amp;document=legcol_b08c6c6754474c75bf2a892dc3e13b2a","ACUERDO 003")</f>
        <v>ACUERDO 003</v>
      </c>
      <c r="B69" s="84">
        <v>43200</v>
      </c>
      <c r="C69" s="81" t="s">
        <v>2458</v>
      </c>
      <c r="D69" s="308" t="s">
        <v>2647</v>
      </c>
      <c r="E69" s="81" t="s">
        <v>41</v>
      </c>
      <c r="F69" s="81" t="s">
        <v>97</v>
      </c>
      <c r="G69" s="94" t="s">
        <v>43</v>
      </c>
      <c r="H69" s="81" t="s">
        <v>2540</v>
      </c>
      <c r="I69" s="461"/>
      <c r="J69" s="36"/>
      <c r="K69" s="36"/>
      <c r="L69" s="36"/>
      <c r="M69" s="36"/>
      <c r="N69" s="36"/>
      <c r="O69" s="36"/>
      <c r="P69" s="36"/>
      <c r="Q69" s="36"/>
      <c r="R69" s="36"/>
      <c r="S69" s="36"/>
      <c r="T69" s="36"/>
      <c r="U69" s="36"/>
      <c r="V69" s="36"/>
      <c r="W69" s="36"/>
      <c r="X69" s="36"/>
      <c r="Y69" s="36"/>
      <c r="Z69" s="36"/>
      <c r="AA69" s="36"/>
    </row>
    <row r="70" spans="1:27" ht="36" customHeight="1">
      <c r="A70" s="114" t="str">
        <f>HYPERLINK("https://normativa.archivogeneral.gov.co/acuerdo-004-de-2019/","ACUERDO 004")</f>
        <v>ACUERDO 004</v>
      </c>
      <c r="B70" s="84">
        <v>43585</v>
      </c>
      <c r="C70" s="81" t="s">
        <v>2458</v>
      </c>
      <c r="D70" s="308" t="s">
        <v>3570</v>
      </c>
      <c r="E70" s="81" t="s">
        <v>41</v>
      </c>
      <c r="F70" s="81" t="s">
        <v>97</v>
      </c>
      <c r="G70" s="94" t="s">
        <v>43</v>
      </c>
      <c r="H70" s="81" t="s">
        <v>2540</v>
      </c>
      <c r="I70" s="461"/>
      <c r="J70" s="36"/>
      <c r="K70" s="36"/>
      <c r="L70" s="36"/>
      <c r="M70" s="36"/>
      <c r="N70" s="36"/>
      <c r="O70" s="36"/>
      <c r="P70" s="36"/>
      <c r="Q70" s="36"/>
      <c r="R70" s="36"/>
      <c r="S70" s="36"/>
      <c r="T70" s="36"/>
      <c r="U70" s="36"/>
      <c r="V70" s="36"/>
      <c r="W70" s="36"/>
      <c r="X70" s="36"/>
      <c r="Y70" s="36"/>
      <c r="Z70" s="36"/>
      <c r="AA70" s="36"/>
    </row>
    <row r="71" spans="1:27" ht="36" customHeight="1">
      <c r="A71" s="114" t="str">
        <f>HYPERLINK("https://normativa.archivogeneral.gov.co/acuerdo-006-de-2019/","ACUERDO 006")</f>
        <v>ACUERDO 006</v>
      </c>
      <c r="B71" s="84">
        <v>43630</v>
      </c>
      <c r="C71" s="81" t="s">
        <v>2458</v>
      </c>
      <c r="D71" s="308" t="s">
        <v>3571</v>
      </c>
      <c r="E71" s="81" t="s">
        <v>41</v>
      </c>
      <c r="F71" s="81" t="s">
        <v>97</v>
      </c>
      <c r="G71" s="94" t="s">
        <v>43</v>
      </c>
      <c r="H71" s="81" t="s">
        <v>2540</v>
      </c>
      <c r="I71" s="461"/>
      <c r="J71" s="36"/>
      <c r="K71" s="36"/>
      <c r="L71" s="36"/>
      <c r="M71" s="36"/>
      <c r="N71" s="36"/>
      <c r="O71" s="36"/>
      <c r="P71" s="36"/>
      <c r="Q71" s="36"/>
      <c r="R71" s="36"/>
      <c r="S71" s="36"/>
      <c r="T71" s="36"/>
      <c r="U71" s="36"/>
      <c r="V71" s="36"/>
      <c r="W71" s="36"/>
      <c r="X71" s="36"/>
      <c r="Y71" s="36"/>
      <c r="Z71" s="36"/>
      <c r="AA71" s="36"/>
    </row>
    <row r="72" spans="1:27" ht="24" customHeight="1">
      <c r="A72" s="122" t="str">
        <f>HYPERLINK("https://www.alcaldiabogota.gov.co/sisjur/normas/Norma1.jsp?i=15614","RESOLUCIÓN 535")</f>
        <v>RESOLUCIÓN 535</v>
      </c>
      <c r="B72" s="86">
        <v>38344</v>
      </c>
      <c r="C72" s="81" t="s">
        <v>3572</v>
      </c>
      <c r="D72" s="308" t="s">
        <v>2650</v>
      </c>
      <c r="E72" s="81" t="s">
        <v>41</v>
      </c>
      <c r="F72" s="81" t="s">
        <v>97</v>
      </c>
      <c r="G72" s="94" t="s">
        <v>43</v>
      </c>
      <c r="H72" s="81" t="s">
        <v>2540</v>
      </c>
      <c r="I72" s="461"/>
      <c r="J72" s="36"/>
      <c r="K72" s="36"/>
      <c r="L72" s="36"/>
      <c r="M72" s="36"/>
      <c r="N72" s="36"/>
      <c r="O72" s="36"/>
      <c r="P72" s="36"/>
      <c r="Q72" s="36"/>
      <c r="R72" s="36"/>
      <c r="S72" s="36"/>
      <c r="T72" s="36"/>
      <c r="U72" s="36"/>
      <c r="V72" s="36"/>
      <c r="W72" s="36"/>
      <c r="X72" s="36"/>
      <c r="Y72" s="36"/>
      <c r="Z72" s="36"/>
      <c r="AA72" s="36"/>
    </row>
    <row r="73" spans="1:27" ht="48" customHeight="1">
      <c r="A73" s="122" t="str">
        <f>HYPERLINK("https://www.idrd.gov.co/sitio/idrd/sites/default/files/imagenes/resolucion%20224%20de%2020110.pdf","RESOLUCIÓN 224")</f>
        <v>RESOLUCIÓN 224</v>
      </c>
      <c r="B73" s="84">
        <v>40674</v>
      </c>
      <c r="C73" s="81" t="s">
        <v>1098</v>
      </c>
      <c r="D73" s="308" t="s">
        <v>2656</v>
      </c>
      <c r="E73" s="81" t="s">
        <v>41</v>
      </c>
      <c r="F73" s="81" t="s">
        <v>97</v>
      </c>
      <c r="G73" s="94" t="s">
        <v>43</v>
      </c>
      <c r="H73" s="81" t="s">
        <v>2540</v>
      </c>
      <c r="I73" s="461"/>
      <c r="J73" s="36"/>
      <c r="K73" s="36"/>
      <c r="L73" s="36"/>
      <c r="M73" s="36"/>
      <c r="N73" s="36"/>
      <c r="O73" s="36"/>
      <c r="P73" s="36"/>
      <c r="Q73" s="36"/>
      <c r="R73" s="36"/>
      <c r="S73" s="36"/>
      <c r="T73" s="36"/>
      <c r="U73" s="36"/>
      <c r="V73" s="36"/>
      <c r="W73" s="36"/>
      <c r="X73" s="36"/>
      <c r="Y73" s="36"/>
      <c r="Z73" s="36"/>
      <c r="AA73" s="36"/>
    </row>
    <row r="74" spans="1:27" ht="24" customHeight="1">
      <c r="A74" s="122" t="str">
        <f>HYPERLINK("https://www.alcaldiabogota.gov.co/sisjur/normas/Norma1.jsp?i=63322","RESOLUCIÓN 697")</f>
        <v>RESOLUCIÓN 697</v>
      </c>
      <c r="B74" s="84">
        <v>42263</v>
      </c>
      <c r="C74" s="81" t="s">
        <v>1098</v>
      </c>
      <c r="D74" s="308" t="s">
        <v>2660</v>
      </c>
      <c r="E74" s="81" t="s">
        <v>41</v>
      </c>
      <c r="F74" s="81" t="s">
        <v>97</v>
      </c>
      <c r="G74" s="94" t="s">
        <v>43</v>
      </c>
      <c r="H74" s="81" t="s">
        <v>2540</v>
      </c>
      <c r="I74" s="461"/>
      <c r="J74" s="36"/>
      <c r="K74" s="36"/>
      <c r="L74" s="36"/>
      <c r="M74" s="36"/>
      <c r="N74" s="36"/>
      <c r="O74" s="36"/>
      <c r="P74" s="36"/>
      <c r="Q74" s="36"/>
      <c r="R74" s="36"/>
      <c r="S74" s="36"/>
      <c r="T74" s="36"/>
      <c r="U74" s="36"/>
      <c r="V74" s="36"/>
      <c r="W74" s="36"/>
      <c r="X74" s="36"/>
      <c r="Y74" s="36"/>
      <c r="Z74" s="36"/>
      <c r="AA74" s="36"/>
    </row>
    <row r="75" spans="1:27" ht="24" customHeight="1">
      <c r="A75" s="122" t="str">
        <f>HYPERLINK("https://www.idrd.gov.co/sites/default/files/marco-legal/resolucion_502.pdf","RESOLUCIÓN 502")</f>
        <v>RESOLUCIÓN 502</v>
      </c>
      <c r="B75" s="86">
        <v>42559</v>
      </c>
      <c r="C75" s="81" t="s">
        <v>1098</v>
      </c>
      <c r="D75" s="308" t="s">
        <v>3573</v>
      </c>
      <c r="E75" s="81" t="s">
        <v>41</v>
      </c>
      <c r="F75" s="81" t="s">
        <v>97</v>
      </c>
      <c r="G75" s="94"/>
      <c r="H75" s="81"/>
      <c r="I75" s="461"/>
      <c r="J75" s="36"/>
      <c r="K75" s="36"/>
      <c r="L75" s="36"/>
      <c r="M75" s="36"/>
      <c r="N75" s="36"/>
      <c r="O75" s="36"/>
      <c r="P75" s="36"/>
      <c r="Q75" s="36"/>
      <c r="R75" s="36"/>
      <c r="S75" s="36"/>
      <c r="T75" s="36"/>
      <c r="U75" s="36"/>
      <c r="V75" s="36"/>
      <c r="W75" s="36"/>
      <c r="X75" s="36"/>
      <c r="Y75" s="36"/>
      <c r="Z75" s="36"/>
      <c r="AA75" s="36"/>
    </row>
    <row r="76" spans="1:27" ht="24" customHeight="1">
      <c r="A76" s="122" t="str">
        <f>HYPERLINK("https://www.idrd.gov.co/sitio/idrd/sites/default/files/imagenes/RESOLUCION%201057%20PARA%20PUBLICAR.pdf","RESOLUCIÓN 1057")</f>
        <v>RESOLUCIÓN 1057</v>
      </c>
      <c r="B76" s="86">
        <v>42709</v>
      </c>
      <c r="C76" s="81" t="s">
        <v>1098</v>
      </c>
      <c r="D76" s="308" t="s">
        <v>3574</v>
      </c>
      <c r="E76" s="81" t="s">
        <v>41</v>
      </c>
      <c r="F76" s="81" t="s">
        <v>97</v>
      </c>
      <c r="G76" s="94"/>
      <c r="H76" s="81"/>
      <c r="I76" s="461"/>
      <c r="J76" s="36"/>
      <c r="K76" s="36"/>
      <c r="L76" s="36"/>
      <c r="M76" s="36"/>
      <c r="N76" s="36"/>
      <c r="O76" s="36"/>
      <c r="P76" s="36"/>
      <c r="Q76" s="36"/>
      <c r="R76" s="36"/>
      <c r="S76" s="36"/>
      <c r="T76" s="36"/>
      <c r="U76" s="36"/>
      <c r="V76" s="36"/>
      <c r="W76" s="36"/>
      <c r="X76" s="36"/>
      <c r="Y76" s="36"/>
      <c r="Z76" s="36"/>
      <c r="AA76" s="36"/>
    </row>
    <row r="77" spans="1:27" ht="24" customHeight="1">
      <c r="A77" s="462" t="str">
        <f>HYPERLINK("https://drive.google.com/drive/folders/1iXT7qSUqOh-ePCb-n5nY5I6w3U6k6jQV","RESOLUCIÓN 925")</f>
        <v>RESOLUCIÓN 925</v>
      </c>
      <c r="B77" s="86">
        <v>43453</v>
      </c>
      <c r="C77" s="81" t="s">
        <v>1098</v>
      </c>
      <c r="D77" s="96" t="s">
        <v>2662</v>
      </c>
      <c r="E77" s="81" t="s">
        <v>41</v>
      </c>
      <c r="F77" s="81" t="s">
        <v>97</v>
      </c>
      <c r="G77" s="94" t="s">
        <v>43</v>
      </c>
      <c r="H77" s="81" t="s">
        <v>2540</v>
      </c>
      <c r="I77" s="461"/>
      <c r="J77" s="36"/>
      <c r="K77" s="36"/>
      <c r="L77" s="36"/>
      <c r="M77" s="36"/>
      <c r="N77" s="36"/>
      <c r="O77" s="36"/>
      <c r="P77" s="36"/>
      <c r="Q77" s="36"/>
      <c r="R77" s="36"/>
      <c r="S77" s="36"/>
      <c r="T77" s="36"/>
      <c r="U77" s="36"/>
      <c r="V77" s="36"/>
      <c r="W77" s="36"/>
      <c r="X77" s="36"/>
      <c r="Y77" s="36"/>
      <c r="Z77" s="36"/>
      <c r="AA77" s="36"/>
    </row>
    <row r="78" spans="1:27" ht="24" customHeight="1">
      <c r="A78" s="472" t="str">
        <f>HYPERLINK("http://archivobogota.secretariageneral.gov.co/sites/default/files/Resolucion_006_de_2019_0.pdf","RESOLUCIÓN 006")</f>
        <v>RESOLUCIÓN 006</v>
      </c>
      <c r="B78" s="470">
        <v>43812</v>
      </c>
      <c r="C78" s="40" t="s">
        <v>3575</v>
      </c>
      <c r="D78" s="473" t="s">
        <v>3576</v>
      </c>
      <c r="E78" s="344" t="s">
        <v>41</v>
      </c>
      <c r="F78" s="344" t="s">
        <v>97</v>
      </c>
      <c r="G78" s="124"/>
      <c r="H78" s="344"/>
      <c r="I78" s="461"/>
      <c r="J78" s="36"/>
      <c r="K78" s="36"/>
      <c r="L78" s="36"/>
      <c r="M78" s="36"/>
      <c r="N78" s="36"/>
      <c r="O78" s="36"/>
      <c r="P78" s="36"/>
      <c r="Q78" s="36"/>
      <c r="R78" s="36"/>
      <c r="S78" s="36"/>
      <c r="T78" s="36"/>
      <c r="U78" s="36"/>
      <c r="V78" s="36"/>
      <c r="W78" s="36"/>
      <c r="X78" s="36"/>
      <c r="Y78" s="36"/>
      <c r="Z78" s="36"/>
      <c r="AA78" s="36"/>
    </row>
    <row r="79" spans="1:27" ht="36" customHeight="1">
      <c r="A79" s="122" t="str">
        <f>HYPERLINK("https://normativa.archivogeneral.gov.co/circular-2-de-1997/","CIRCULAR 2")</f>
        <v>CIRCULAR 2</v>
      </c>
      <c r="B79" s="84">
        <v>35577</v>
      </c>
      <c r="C79" s="81" t="s">
        <v>2458</v>
      </c>
      <c r="D79" s="308" t="s">
        <v>3577</v>
      </c>
      <c r="E79" s="81" t="s">
        <v>2552</v>
      </c>
      <c r="F79" s="81" t="s">
        <v>97</v>
      </c>
      <c r="G79" s="94" t="s">
        <v>43</v>
      </c>
      <c r="H79" s="81" t="s">
        <v>2540</v>
      </c>
      <c r="I79" s="461"/>
      <c r="J79" s="36"/>
      <c r="K79" s="36"/>
      <c r="L79" s="36"/>
      <c r="M79" s="36"/>
      <c r="N79" s="36"/>
      <c r="O79" s="36"/>
      <c r="P79" s="36"/>
      <c r="Q79" s="36"/>
      <c r="R79" s="36"/>
      <c r="S79" s="36"/>
      <c r="T79" s="36"/>
      <c r="U79" s="36"/>
      <c r="V79" s="36"/>
      <c r="W79" s="36"/>
      <c r="X79" s="36"/>
      <c r="Y79" s="36"/>
      <c r="Z79" s="36"/>
      <c r="AA79" s="36"/>
    </row>
    <row r="80" spans="1:27" ht="24" customHeight="1">
      <c r="A80" s="122" t="str">
        <f>HYPERLINK("https://www.usco.edu.co/archivosUsuarios/12/archivo_central/NORMATIVIDAD/21.%20Circular%20del%20AGN%2013%20de%201999.pdf","CIRCULAR 13")</f>
        <v>CIRCULAR 13</v>
      </c>
      <c r="B80" s="86">
        <v>36445</v>
      </c>
      <c r="C80" s="81" t="s">
        <v>2458</v>
      </c>
      <c r="D80" s="308" t="s">
        <v>2665</v>
      </c>
      <c r="E80" s="81" t="s">
        <v>2552</v>
      </c>
      <c r="F80" s="81" t="s">
        <v>97</v>
      </c>
      <c r="G80" s="94" t="s">
        <v>43</v>
      </c>
      <c r="H80" s="81" t="s">
        <v>2540</v>
      </c>
      <c r="I80" s="461"/>
      <c r="J80" s="36"/>
      <c r="K80" s="36"/>
      <c r="L80" s="36"/>
      <c r="M80" s="36"/>
      <c r="N80" s="36"/>
      <c r="O80" s="36"/>
      <c r="P80" s="36"/>
      <c r="Q80" s="36"/>
      <c r="R80" s="36"/>
      <c r="S80" s="36"/>
      <c r="T80" s="36"/>
      <c r="U80" s="36"/>
      <c r="V80" s="36"/>
      <c r="W80" s="36"/>
      <c r="X80" s="36"/>
      <c r="Y80" s="36"/>
      <c r="Z80" s="36"/>
      <c r="AA80" s="36"/>
    </row>
    <row r="81" spans="1:27" ht="48" customHeight="1">
      <c r="A81" s="122" t="str">
        <f>HYPERLINK("https://innova.com.co/wp-content/uploads/2017/07/Circular-2003-001-Conservaci%C3%B3n-Doc-Archivo.pdf","CIRCULAR 001")</f>
        <v>CIRCULAR 001</v>
      </c>
      <c r="B81" s="84">
        <v>37869</v>
      </c>
      <c r="C81" s="81" t="s">
        <v>2458</v>
      </c>
      <c r="D81" s="308" t="s">
        <v>2672</v>
      </c>
      <c r="E81" s="81" t="s">
        <v>41</v>
      </c>
      <c r="F81" s="81" t="s">
        <v>97</v>
      </c>
      <c r="G81" s="94" t="s">
        <v>43</v>
      </c>
      <c r="H81" s="81" t="s">
        <v>2540</v>
      </c>
      <c r="I81" s="461"/>
      <c r="J81" s="36"/>
      <c r="K81" s="36"/>
      <c r="L81" s="36"/>
      <c r="M81" s="36"/>
      <c r="N81" s="36"/>
      <c r="O81" s="36"/>
      <c r="P81" s="36"/>
      <c r="Q81" s="36"/>
      <c r="R81" s="36"/>
      <c r="S81" s="36"/>
      <c r="T81" s="36"/>
      <c r="U81" s="36"/>
      <c r="V81" s="36"/>
      <c r="W81" s="36"/>
      <c r="X81" s="36"/>
      <c r="Y81" s="36"/>
      <c r="Z81" s="36"/>
      <c r="AA81" s="36"/>
    </row>
    <row r="82" spans="1:27" ht="36" customHeight="1">
      <c r="A82" s="122" t="str">
        <f>HYPERLINK("https://www.usco.edu.co/archivosUsuarios/12/archivo_central/NORMATIVIDAD/22.%20Circular%20del%20AGN%20004%20de%202003%20Historias%20Laborales.pdf","CIRCULAR 004")</f>
        <v>CIRCULAR 004</v>
      </c>
      <c r="B82" s="84">
        <v>37778</v>
      </c>
      <c r="C82" s="81" t="s">
        <v>2673</v>
      </c>
      <c r="D82" s="308" t="s">
        <v>2674</v>
      </c>
      <c r="E82" s="81" t="s">
        <v>2552</v>
      </c>
      <c r="F82" s="81" t="s">
        <v>97</v>
      </c>
      <c r="G82" s="94" t="s">
        <v>43</v>
      </c>
      <c r="H82" s="81" t="s">
        <v>2540</v>
      </c>
      <c r="I82" s="474" t="s">
        <v>2898</v>
      </c>
      <c r="J82" s="36"/>
      <c r="K82" s="36"/>
      <c r="L82" s="36"/>
      <c r="M82" s="36"/>
      <c r="N82" s="36"/>
      <c r="O82" s="36"/>
      <c r="P82" s="36"/>
      <c r="Q82" s="36"/>
      <c r="R82" s="36"/>
      <c r="S82" s="36"/>
      <c r="T82" s="36"/>
      <c r="U82" s="36"/>
      <c r="V82" s="36"/>
      <c r="W82" s="36"/>
      <c r="X82" s="36"/>
      <c r="Y82" s="36"/>
      <c r="Z82" s="36"/>
      <c r="AA82" s="36"/>
    </row>
    <row r="83" spans="1:27" ht="48" customHeight="1">
      <c r="A83" s="122" t="str">
        <f>HYPERLINK("https://normativa.archivogeneral.gov.co/circular-012-de-2004/","CIRCULAR 012")</f>
        <v>CIRCULAR 012</v>
      </c>
      <c r="B83" s="84">
        <v>38007</v>
      </c>
      <c r="C83" s="81" t="s">
        <v>2673</v>
      </c>
      <c r="D83" s="308" t="s">
        <v>2675</v>
      </c>
      <c r="E83" s="460" t="s">
        <v>2676</v>
      </c>
      <c r="F83" s="81" t="s">
        <v>97</v>
      </c>
      <c r="G83" s="94" t="s">
        <v>43</v>
      </c>
      <c r="H83" s="81" t="s">
        <v>2540</v>
      </c>
      <c r="I83" s="461"/>
      <c r="J83" s="36"/>
      <c r="K83" s="36"/>
      <c r="L83" s="36"/>
      <c r="M83" s="36"/>
      <c r="N83" s="36"/>
      <c r="O83" s="36"/>
      <c r="P83" s="36"/>
      <c r="Q83" s="36"/>
      <c r="R83" s="36"/>
      <c r="S83" s="36"/>
      <c r="T83" s="36"/>
      <c r="U83" s="36"/>
      <c r="V83" s="36"/>
      <c r="W83" s="36"/>
      <c r="X83" s="36"/>
      <c r="Y83" s="36"/>
      <c r="Z83" s="36"/>
      <c r="AA83" s="36"/>
    </row>
    <row r="84" spans="1:27" ht="36" customHeight="1">
      <c r="A84" s="122" t="str">
        <f>HYPERLINK("https://www.alcaldiabogota.gov.co/sisjur/normas/Norma1.jsp?i=15426&amp;dt=S","CIRCULAR 046")</f>
        <v>CIRCULAR 046</v>
      </c>
      <c r="B84" s="86">
        <v>38332</v>
      </c>
      <c r="C84" s="81" t="s">
        <v>3572</v>
      </c>
      <c r="D84" s="308" t="s">
        <v>2678</v>
      </c>
      <c r="E84" s="81" t="s">
        <v>41</v>
      </c>
      <c r="F84" s="81" t="s">
        <v>97</v>
      </c>
      <c r="G84" s="94" t="s">
        <v>43</v>
      </c>
      <c r="H84" s="81" t="s">
        <v>2540</v>
      </c>
      <c r="I84" s="461"/>
      <c r="J84" s="36"/>
      <c r="K84" s="36"/>
      <c r="L84" s="36"/>
      <c r="M84" s="36"/>
      <c r="N84" s="36"/>
      <c r="O84" s="36"/>
      <c r="P84" s="36"/>
      <c r="Q84" s="36"/>
      <c r="R84" s="36"/>
      <c r="S84" s="36"/>
      <c r="T84" s="36"/>
      <c r="U84" s="36"/>
      <c r="V84" s="36"/>
      <c r="W84" s="36"/>
      <c r="X84" s="36"/>
      <c r="Y84" s="36"/>
      <c r="Z84" s="36"/>
      <c r="AA84" s="36"/>
    </row>
    <row r="85" spans="1:27" ht="24" customHeight="1">
      <c r="A85" s="122" t="str">
        <f>HYPERLINK("https://normativa.archivogeneral.gov.co/circular-002-de-2010/","CIRCULAR 002")</f>
        <v>CIRCULAR 002</v>
      </c>
      <c r="B85" s="84">
        <v>40396</v>
      </c>
      <c r="C85" s="81" t="s">
        <v>302</v>
      </c>
      <c r="D85" s="308" t="s">
        <v>2680</v>
      </c>
      <c r="E85" s="81" t="s">
        <v>41</v>
      </c>
      <c r="F85" s="81" t="s">
        <v>97</v>
      </c>
      <c r="G85" s="94" t="s">
        <v>43</v>
      </c>
      <c r="H85" s="81" t="s">
        <v>2540</v>
      </c>
      <c r="I85" s="461"/>
      <c r="J85" s="36"/>
      <c r="K85" s="36"/>
      <c r="L85" s="36"/>
      <c r="M85" s="36"/>
      <c r="N85" s="36"/>
      <c r="O85" s="36"/>
      <c r="P85" s="36"/>
      <c r="Q85" s="36"/>
      <c r="R85" s="36"/>
      <c r="S85" s="36"/>
      <c r="T85" s="36"/>
      <c r="U85" s="36"/>
      <c r="V85" s="36"/>
      <c r="W85" s="36"/>
      <c r="X85" s="36"/>
      <c r="Y85" s="36"/>
      <c r="Z85" s="36"/>
      <c r="AA85" s="36"/>
    </row>
    <row r="86" spans="1:27" ht="36" customHeight="1">
      <c r="A86" s="122" t="str">
        <f>HYPERLINK("https://www.funcionpublica.gov.co/eva/gestornormativo/norma.php?i=61824","CIRCULAR 004")</f>
        <v>CIRCULAR 004</v>
      </c>
      <c r="B86" s="84">
        <v>40396</v>
      </c>
      <c r="C86" s="81" t="s">
        <v>302</v>
      </c>
      <c r="D86" s="308" t="s">
        <v>2681</v>
      </c>
      <c r="E86" s="81" t="s">
        <v>41</v>
      </c>
      <c r="F86" s="81" t="s">
        <v>97</v>
      </c>
      <c r="G86" s="94" t="s">
        <v>43</v>
      </c>
      <c r="H86" s="81" t="s">
        <v>2540</v>
      </c>
      <c r="I86" s="461"/>
      <c r="J86" s="36"/>
      <c r="K86" s="36"/>
      <c r="L86" s="36"/>
      <c r="M86" s="36"/>
      <c r="N86" s="36"/>
      <c r="O86" s="36"/>
      <c r="P86" s="36"/>
      <c r="Q86" s="36"/>
      <c r="R86" s="36"/>
      <c r="S86" s="36"/>
      <c r="T86" s="36"/>
      <c r="U86" s="36"/>
      <c r="V86" s="36"/>
      <c r="W86" s="36"/>
      <c r="X86" s="36"/>
      <c r="Y86" s="36"/>
      <c r="Z86" s="36"/>
      <c r="AA86" s="36"/>
    </row>
    <row r="87" spans="1:27" ht="24" customHeight="1">
      <c r="A87" s="122" t="str">
        <f>HYPERLINK("https://normativa.archivogeneral.gov.co/circular-externa-003-de-2011/","CIRCULAR 003")</f>
        <v>CIRCULAR 003</v>
      </c>
      <c r="B87" s="84">
        <v>40820</v>
      </c>
      <c r="C87" s="81" t="s">
        <v>2458</v>
      </c>
      <c r="D87" s="308" t="s">
        <v>2682</v>
      </c>
      <c r="E87" s="81" t="s">
        <v>41</v>
      </c>
      <c r="F87" s="81" t="s">
        <v>97</v>
      </c>
      <c r="G87" s="94" t="s">
        <v>43</v>
      </c>
      <c r="H87" s="81" t="s">
        <v>2540</v>
      </c>
      <c r="I87" s="461"/>
      <c r="J87" s="36"/>
      <c r="K87" s="36"/>
      <c r="L87" s="36"/>
      <c r="M87" s="36"/>
      <c r="N87" s="36"/>
      <c r="O87" s="36"/>
      <c r="P87" s="36"/>
      <c r="Q87" s="36"/>
      <c r="R87" s="36"/>
      <c r="S87" s="36"/>
      <c r="T87" s="36"/>
      <c r="U87" s="36"/>
      <c r="V87" s="36"/>
      <c r="W87" s="36"/>
      <c r="X87" s="36"/>
      <c r="Y87" s="36"/>
      <c r="Z87" s="36"/>
      <c r="AA87" s="36"/>
    </row>
    <row r="88" spans="1:27" ht="48" customHeight="1">
      <c r="A88" s="122" t="str">
        <f>HYPERLINK("https://normativa.archivogeneral.gov.co/circular-externa-005-de-2011/","CIRCULAR EXTERNA 005")</f>
        <v>CIRCULAR EXTERNA 005</v>
      </c>
      <c r="B88" s="84">
        <v>40820</v>
      </c>
      <c r="C88" s="81" t="s">
        <v>2673</v>
      </c>
      <c r="D88" s="308" t="s">
        <v>2683</v>
      </c>
      <c r="E88" s="81" t="s">
        <v>2552</v>
      </c>
      <c r="F88" s="81" t="s">
        <v>97</v>
      </c>
      <c r="G88" s="94" t="s">
        <v>43</v>
      </c>
      <c r="H88" s="81" t="s">
        <v>2540</v>
      </c>
      <c r="I88" s="461"/>
      <c r="J88" s="36"/>
      <c r="K88" s="36"/>
      <c r="L88" s="36"/>
      <c r="M88" s="36"/>
      <c r="N88" s="36"/>
      <c r="O88" s="36"/>
      <c r="P88" s="36"/>
      <c r="Q88" s="36"/>
      <c r="R88" s="36"/>
      <c r="S88" s="36"/>
      <c r="T88" s="36"/>
      <c r="U88" s="36"/>
      <c r="V88" s="36"/>
      <c r="W88" s="36"/>
      <c r="X88" s="36"/>
      <c r="Y88" s="36"/>
      <c r="Z88" s="36"/>
      <c r="AA88" s="36"/>
    </row>
    <row r="89" spans="1:27" ht="24" customHeight="1">
      <c r="A89" s="122" t="str">
        <f>HYPERLINK("https://normativa.archivogeneral.gov.co/circular-externa-002-de-2012/","CIRCULAR EXTERNA 002")</f>
        <v>CIRCULAR EXTERNA 002</v>
      </c>
      <c r="B89" s="84">
        <v>40974</v>
      </c>
      <c r="C89" s="81" t="s">
        <v>2458</v>
      </c>
      <c r="D89" s="308" t="s">
        <v>2684</v>
      </c>
      <c r="E89" s="81" t="s">
        <v>41</v>
      </c>
      <c r="F89" s="81" t="s">
        <v>97</v>
      </c>
      <c r="G89" s="94" t="s">
        <v>43</v>
      </c>
      <c r="H89" s="81" t="s">
        <v>2540</v>
      </c>
      <c r="I89" s="461"/>
      <c r="J89" s="36"/>
      <c r="K89" s="36"/>
      <c r="L89" s="36"/>
      <c r="M89" s="36"/>
      <c r="N89" s="36"/>
      <c r="O89" s="36"/>
      <c r="P89" s="36"/>
      <c r="Q89" s="36"/>
      <c r="R89" s="36"/>
      <c r="S89" s="36"/>
      <c r="T89" s="36"/>
      <c r="U89" s="36"/>
      <c r="V89" s="36"/>
      <c r="W89" s="36"/>
      <c r="X89" s="36"/>
      <c r="Y89" s="36"/>
      <c r="Z89" s="36"/>
      <c r="AA89" s="36"/>
    </row>
    <row r="90" spans="1:27" ht="48" customHeight="1">
      <c r="A90" s="122" t="str">
        <f>HYPERLINK("https://www.funcionpublica.gov.co/eva/gestornormativo/norma.php?i=61830","CIRCULAR EXTERNA 005")</f>
        <v>CIRCULAR EXTERNA 005</v>
      </c>
      <c r="B90" s="84">
        <v>41153</v>
      </c>
      <c r="C90" s="81" t="s">
        <v>2458</v>
      </c>
      <c r="D90" s="308" t="s">
        <v>2478</v>
      </c>
      <c r="E90" s="81" t="s">
        <v>41</v>
      </c>
      <c r="F90" s="81" t="s">
        <v>97</v>
      </c>
      <c r="G90" s="94" t="s">
        <v>43</v>
      </c>
      <c r="H90" s="81" t="s">
        <v>2540</v>
      </c>
      <c r="I90" s="461"/>
      <c r="J90" s="36"/>
      <c r="K90" s="36"/>
      <c r="L90" s="36"/>
      <c r="M90" s="36"/>
      <c r="N90" s="36"/>
      <c r="O90" s="36"/>
      <c r="P90" s="36"/>
      <c r="Q90" s="36"/>
      <c r="R90" s="36"/>
      <c r="S90" s="36"/>
      <c r="T90" s="36"/>
      <c r="U90" s="36"/>
      <c r="V90" s="36"/>
      <c r="W90" s="36"/>
      <c r="X90" s="36"/>
      <c r="Y90" s="36"/>
      <c r="Z90" s="36"/>
      <c r="AA90" s="36"/>
    </row>
    <row r="91" spans="1:27" ht="36" customHeight="1">
      <c r="A91" s="122" t="str">
        <f>HYPERLINK("https://normativa.archivogeneral.gov.co/circular-externa-001-de-2015/","CIRCULAR EXTERNA 001")</f>
        <v>CIRCULAR EXTERNA 001</v>
      </c>
      <c r="B91" s="84">
        <v>42055</v>
      </c>
      <c r="C91" s="81" t="s">
        <v>2458</v>
      </c>
      <c r="D91" s="308" t="s">
        <v>2687</v>
      </c>
      <c r="E91" s="81" t="s">
        <v>41</v>
      </c>
      <c r="F91" s="81" t="s">
        <v>97</v>
      </c>
      <c r="G91" s="94" t="s">
        <v>43</v>
      </c>
      <c r="H91" s="81" t="s">
        <v>2540</v>
      </c>
      <c r="I91" s="461"/>
      <c r="J91" s="36"/>
      <c r="K91" s="36"/>
      <c r="L91" s="36"/>
      <c r="M91" s="36"/>
      <c r="N91" s="36"/>
      <c r="O91" s="36"/>
      <c r="P91" s="36"/>
      <c r="Q91" s="36"/>
      <c r="R91" s="36"/>
      <c r="S91" s="36"/>
      <c r="T91" s="36"/>
      <c r="U91" s="36"/>
      <c r="V91" s="36"/>
      <c r="W91" s="36"/>
      <c r="X91" s="36"/>
      <c r="Y91" s="36"/>
      <c r="Z91" s="36"/>
      <c r="AA91" s="36"/>
    </row>
    <row r="92" spans="1:27" ht="36" customHeight="1">
      <c r="A92" s="122" t="str">
        <f>HYPERLINK("https://www.funcionpublica.gov.co/eva/gestornormativo/norma.php?i=61815","CIRCULAR EXTERNA 003")</f>
        <v>CIRCULAR EXTERNA 003</v>
      </c>
      <c r="B92" s="84">
        <v>42062</v>
      </c>
      <c r="C92" s="81" t="s">
        <v>2458</v>
      </c>
      <c r="D92" s="308" t="s">
        <v>2689</v>
      </c>
      <c r="E92" s="81" t="s">
        <v>41</v>
      </c>
      <c r="F92" s="81" t="s">
        <v>97</v>
      </c>
      <c r="G92" s="94" t="s">
        <v>43</v>
      </c>
      <c r="H92" s="81" t="s">
        <v>2540</v>
      </c>
      <c r="I92" s="461"/>
      <c r="J92" s="36"/>
      <c r="K92" s="36"/>
      <c r="L92" s="36"/>
      <c r="M92" s="36"/>
      <c r="N92" s="36"/>
      <c r="O92" s="36"/>
      <c r="P92" s="36"/>
      <c r="Q92" s="36"/>
      <c r="R92" s="36"/>
      <c r="S92" s="36"/>
      <c r="T92" s="36"/>
      <c r="U92" s="36"/>
      <c r="V92" s="36"/>
      <c r="W92" s="36"/>
      <c r="X92" s="36"/>
      <c r="Y92" s="36"/>
      <c r="Z92" s="36"/>
      <c r="AA92" s="36"/>
    </row>
    <row r="93" spans="1:27" ht="48" customHeight="1">
      <c r="A93" s="122" t="str">
        <f>HYPERLINK("https://www.alcaldiabogota.gov.co/sisjur/normas/Norma1.jsp?i=67035&amp;dt=S","CIRCULAR 075")</f>
        <v>CIRCULAR 075</v>
      </c>
      <c r="B93" s="84">
        <v>42627</v>
      </c>
      <c r="C93" s="81" t="s">
        <v>61</v>
      </c>
      <c r="D93" s="308" t="s">
        <v>2691</v>
      </c>
      <c r="E93" s="81" t="s">
        <v>41</v>
      </c>
      <c r="F93" s="81" t="s">
        <v>3578</v>
      </c>
      <c r="G93" s="94" t="s">
        <v>43</v>
      </c>
      <c r="H93" s="81" t="s">
        <v>2540</v>
      </c>
      <c r="I93" s="461"/>
      <c r="J93" s="36"/>
      <c r="K93" s="36"/>
      <c r="L93" s="36"/>
      <c r="M93" s="36"/>
      <c r="N93" s="36"/>
      <c r="O93" s="36"/>
      <c r="P93" s="36"/>
      <c r="Q93" s="36"/>
      <c r="R93" s="36"/>
      <c r="S93" s="36"/>
      <c r="T93" s="36"/>
      <c r="U93" s="36"/>
      <c r="V93" s="36"/>
      <c r="W93" s="36"/>
      <c r="X93" s="36"/>
      <c r="Y93" s="36"/>
      <c r="Z93" s="36"/>
      <c r="AA93" s="36"/>
    </row>
    <row r="94" spans="1:27" ht="24" customHeight="1">
      <c r="A94" s="120" t="str">
        <f>HYPERLINK("https://secretariageneral.gov.co/sites/default/files/marco-legal/2-2018-1532_circular001de2018_0.pdf","CIRCULAR 001")</f>
        <v>CIRCULAR 001</v>
      </c>
      <c r="B94" s="475">
        <v>43129</v>
      </c>
      <c r="C94" s="476" t="s">
        <v>665</v>
      </c>
      <c r="D94" s="175" t="s">
        <v>2693</v>
      </c>
      <c r="E94" s="476" t="s">
        <v>41</v>
      </c>
      <c r="F94" s="476" t="s">
        <v>97</v>
      </c>
      <c r="G94" s="477" t="s">
        <v>43</v>
      </c>
      <c r="H94" s="476" t="s">
        <v>2540</v>
      </c>
      <c r="I94" s="461"/>
      <c r="J94" s="36"/>
      <c r="K94" s="36"/>
      <c r="L94" s="36"/>
      <c r="M94" s="36"/>
      <c r="N94" s="36"/>
      <c r="O94" s="36"/>
      <c r="P94" s="36"/>
      <c r="Q94" s="36"/>
      <c r="R94" s="36"/>
      <c r="S94" s="36"/>
      <c r="T94" s="36"/>
      <c r="U94" s="36"/>
      <c r="V94" s="36"/>
      <c r="W94" s="36"/>
      <c r="X94" s="36"/>
      <c r="Y94" s="36"/>
      <c r="Z94" s="36"/>
      <c r="AA94" s="36"/>
    </row>
    <row r="95" spans="1:27" ht="24" customHeight="1">
      <c r="A95" s="122" t="str">
        <f>HYPERLINK("https://www.alcaldiabogota.gov.co/sisjur/normas/Norma1.jsp?i=50155","DIRECTIVA 04")</f>
        <v>DIRECTIVA 04</v>
      </c>
      <c r="B95" s="84">
        <v>41002</v>
      </c>
      <c r="C95" s="81" t="s">
        <v>57</v>
      </c>
      <c r="D95" s="308" t="s">
        <v>2695</v>
      </c>
      <c r="E95" s="81" t="s">
        <v>41</v>
      </c>
      <c r="F95" s="81" t="s">
        <v>3579</v>
      </c>
      <c r="G95" s="94" t="s">
        <v>43</v>
      </c>
      <c r="H95" s="81" t="s">
        <v>2540</v>
      </c>
      <c r="I95" s="461"/>
      <c r="J95" s="36"/>
      <c r="K95" s="36"/>
      <c r="L95" s="36"/>
      <c r="M95" s="36"/>
      <c r="N95" s="36"/>
      <c r="O95" s="36"/>
      <c r="P95" s="36"/>
      <c r="Q95" s="36"/>
      <c r="R95" s="36"/>
      <c r="S95" s="36"/>
      <c r="T95" s="36"/>
      <c r="U95" s="36"/>
      <c r="V95" s="36"/>
      <c r="W95" s="36"/>
      <c r="X95" s="36"/>
      <c r="Y95" s="36"/>
      <c r="Z95" s="36"/>
      <c r="AA95" s="36"/>
    </row>
    <row r="96" spans="1:27" ht="36" customHeight="1">
      <c r="A96" s="120" t="str">
        <f>HYPERLINK("https://www.bogotajuridica.gov.co/sisjur/normas/Norma1.jsp?i=75925","DIRECTIVA 002")</f>
        <v>DIRECTIVA 002</v>
      </c>
      <c r="B96" s="475">
        <v>43137</v>
      </c>
      <c r="C96" s="476" t="s">
        <v>665</v>
      </c>
      <c r="D96" s="175" t="s">
        <v>3580</v>
      </c>
      <c r="E96" s="476" t="s">
        <v>41</v>
      </c>
      <c r="F96" s="478" t="s">
        <v>3581</v>
      </c>
      <c r="G96" s="477" t="s">
        <v>43</v>
      </c>
      <c r="H96" s="476" t="s">
        <v>2540</v>
      </c>
      <c r="I96" s="461"/>
      <c r="J96" s="36"/>
      <c r="K96" s="36"/>
      <c r="L96" s="36"/>
      <c r="M96" s="36"/>
      <c r="N96" s="36"/>
      <c r="O96" s="36"/>
      <c r="P96" s="36"/>
      <c r="Q96" s="36"/>
      <c r="R96" s="36"/>
      <c r="S96" s="36"/>
      <c r="T96" s="36"/>
      <c r="U96" s="36"/>
      <c r="V96" s="36"/>
      <c r="W96" s="36"/>
      <c r="X96" s="36"/>
      <c r="Y96" s="36"/>
      <c r="Z96" s="36"/>
      <c r="AA96" s="36"/>
    </row>
    <row r="97" spans="1:27" ht="12" customHeight="1">
      <c r="A97" s="260"/>
      <c r="B97" s="104"/>
      <c r="C97" s="104"/>
      <c r="D97" s="260"/>
      <c r="E97" s="104"/>
      <c r="F97" s="104"/>
      <c r="G97" s="35"/>
      <c r="H97" s="104"/>
      <c r="I97" s="36"/>
      <c r="J97" s="36"/>
      <c r="K97" s="36"/>
      <c r="L97" s="36"/>
      <c r="M97" s="36"/>
      <c r="N97" s="36"/>
      <c r="O97" s="36"/>
      <c r="P97" s="36"/>
      <c r="Q97" s="36"/>
      <c r="R97" s="36"/>
      <c r="S97" s="36"/>
      <c r="T97" s="36"/>
      <c r="U97" s="36"/>
      <c r="V97" s="36"/>
      <c r="W97" s="36"/>
      <c r="X97" s="36"/>
      <c r="Y97" s="36"/>
      <c r="Z97" s="36"/>
      <c r="AA97" s="36"/>
    </row>
    <row r="98" spans="1:27" ht="12" customHeight="1">
      <c r="A98" s="260"/>
      <c r="B98" s="104"/>
      <c r="C98" s="104"/>
      <c r="D98" s="260"/>
      <c r="E98" s="104"/>
      <c r="F98" s="104"/>
      <c r="G98" s="35"/>
      <c r="H98" s="104"/>
      <c r="I98" s="36"/>
      <c r="J98" s="36"/>
      <c r="K98" s="36"/>
      <c r="L98" s="36"/>
      <c r="M98" s="36"/>
      <c r="N98" s="36"/>
      <c r="O98" s="36"/>
      <c r="P98" s="36"/>
      <c r="Q98" s="36"/>
      <c r="R98" s="36"/>
      <c r="S98" s="36"/>
      <c r="T98" s="36"/>
      <c r="U98" s="36"/>
      <c r="V98" s="36"/>
      <c r="W98" s="36"/>
      <c r="X98" s="36"/>
      <c r="Y98" s="36"/>
      <c r="Z98" s="36"/>
      <c r="AA98" s="36"/>
    </row>
  </sheetData>
  <autoFilter ref="A5:AA96" xr:uid="{00000000-0009-0000-0000-000013000000}"/>
  <mergeCells count="3">
    <mergeCell ref="A1:H1"/>
    <mergeCell ref="A2:F2"/>
    <mergeCell ref="A4:F4"/>
  </mergeCells>
  <hyperlinks>
    <hyperlink ref="F3" location="Menu por Procesos!A1" display="MENU" xr:uid="{00000000-0004-0000-1300-000000000000}"/>
  </hyperlinks>
  <pageMargins left="0.7" right="0.7" top="0.75" bottom="0.75" header="0" footer="0"/>
  <pageSetup orientation="landscape"/>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9D18E"/>
  </sheetPr>
  <dimension ref="A1:AB133"/>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773"/>
      <c r="B1" s="769"/>
      <c r="C1" s="769"/>
      <c r="D1" s="769"/>
      <c r="E1" s="769"/>
      <c r="F1" s="769"/>
      <c r="G1" s="769"/>
      <c r="H1" s="769"/>
      <c r="I1" s="17"/>
      <c r="J1" s="18"/>
      <c r="K1" s="18"/>
      <c r="L1" s="18"/>
      <c r="M1" s="18"/>
      <c r="N1" s="18"/>
      <c r="O1" s="18"/>
      <c r="P1" s="18"/>
      <c r="Q1" s="18"/>
      <c r="R1" s="18"/>
      <c r="S1" s="18"/>
      <c r="T1" s="18"/>
      <c r="U1" s="18"/>
      <c r="V1" s="18"/>
      <c r="W1" s="18"/>
      <c r="X1" s="18"/>
      <c r="Y1" s="18"/>
      <c r="Z1" s="18"/>
      <c r="AA1" s="18"/>
      <c r="AB1" s="18"/>
    </row>
    <row r="2" spans="1:28" ht="26.25" customHeight="1">
      <c r="A2" s="779" t="s">
        <v>28</v>
      </c>
      <c r="B2" s="765"/>
      <c r="C2" s="765"/>
      <c r="D2" s="765"/>
      <c r="E2" s="765"/>
      <c r="F2" s="766"/>
      <c r="G2" s="15"/>
      <c r="H2" s="16"/>
      <c r="I2" s="17"/>
      <c r="J2" s="18"/>
      <c r="K2" s="18"/>
      <c r="L2" s="18"/>
      <c r="M2" s="18"/>
      <c r="N2" s="18"/>
      <c r="O2" s="18"/>
      <c r="P2" s="18"/>
      <c r="Q2" s="18"/>
      <c r="R2" s="18"/>
      <c r="S2" s="18"/>
      <c r="T2" s="18"/>
      <c r="U2" s="18"/>
      <c r="V2" s="18"/>
      <c r="W2" s="18"/>
      <c r="X2" s="18"/>
      <c r="Y2" s="18"/>
      <c r="Z2" s="18"/>
      <c r="AA2" s="18"/>
      <c r="AB2" s="18"/>
    </row>
    <row r="3" spans="1:28" ht="25.5" customHeight="1">
      <c r="A3" s="75" t="s">
        <v>3582</v>
      </c>
      <c r="B3" s="315"/>
      <c r="C3" s="315"/>
      <c r="D3" s="315"/>
      <c r="E3" s="315"/>
      <c r="F3" s="317" t="s">
        <v>30</v>
      </c>
      <c r="G3" s="19"/>
      <c r="H3" s="21"/>
      <c r="I3" s="17"/>
      <c r="J3" s="18"/>
      <c r="K3" s="18"/>
      <c r="L3" s="18"/>
      <c r="M3" s="18"/>
      <c r="N3" s="18"/>
      <c r="O3" s="18"/>
      <c r="P3" s="18"/>
      <c r="Q3" s="18"/>
      <c r="R3" s="18"/>
      <c r="S3" s="18"/>
      <c r="T3" s="18"/>
      <c r="U3" s="18"/>
      <c r="V3" s="18"/>
      <c r="W3" s="18"/>
      <c r="X3" s="18"/>
      <c r="Y3" s="18"/>
      <c r="Z3" s="18"/>
      <c r="AA3" s="18"/>
      <c r="AB3" s="18"/>
    </row>
    <row r="4" spans="1:28" ht="33" customHeight="1">
      <c r="A4" s="786" t="s">
        <v>3583</v>
      </c>
      <c r="B4" s="777"/>
      <c r="C4" s="777"/>
      <c r="D4" s="777"/>
      <c r="E4" s="777"/>
      <c r="F4" s="778"/>
      <c r="G4" s="22"/>
      <c r="H4" s="22"/>
      <c r="I4" s="17"/>
      <c r="J4" s="18"/>
      <c r="K4" s="18"/>
      <c r="L4" s="18"/>
      <c r="M4" s="18"/>
      <c r="N4" s="18"/>
      <c r="O4" s="18"/>
      <c r="P4" s="18"/>
      <c r="Q4" s="18"/>
      <c r="R4" s="18"/>
      <c r="S4" s="18"/>
      <c r="T4" s="18"/>
      <c r="U4" s="18"/>
      <c r="V4" s="18"/>
      <c r="W4" s="18"/>
      <c r="X4" s="18"/>
      <c r="Y4" s="18"/>
      <c r="Z4" s="18"/>
      <c r="AA4" s="18"/>
      <c r="AB4" s="18"/>
    </row>
    <row r="5" spans="1:28" ht="34.5" customHeight="1">
      <c r="A5" s="76" t="s">
        <v>235</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ht="27" customHeight="1">
      <c r="A6" s="479" t="str">
        <f>HYPERLINK("http://www.secretariasenado.gov.co/senado/basedoc/constitucion_politica_1991.html","CONSTITUCION POLÍTICA DE COLOMBIA")</f>
        <v>CONSTITUCION POLÍTICA DE COLOMBIA</v>
      </c>
      <c r="B6" s="163">
        <v>33439</v>
      </c>
      <c r="C6" s="437" t="s">
        <v>405</v>
      </c>
      <c r="D6" s="438" t="s">
        <v>406</v>
      </c>
      <c r="E6" s="438" t="s">
        <v>749</v>
      </c>
      <c r="F6" s="437" t="s">
        <v>42</v>
      </c>
      <c r="G6" s="116" t="s">
        <v>43</v>
      </c>
      <c r="H6" s="117" t="s">
        <v>750</v>
      </c>
      <c r="I6" s="35"/>
      <c r="J6" s="36"/>
      <c r="K6" s="36"/>
      <c r="L6" s="36"/>
      <c r="M6" s="36"/>
      <c r="N6" s="36"/>
      <c r="O6" s="36"/>
      <c r="P6" s="36"/>
      <c r="Q6" s="36"/>
      <c r="R6" s="36"/>
      <c r="S6" s="36"/>
      <c r="T6" s="36"/>
      <c r="U6" s="36"/>
      <c r="V6" s="36"/>
      <c r="W6" s="36"/>
      <c r="X6" s="36"/>
      <c r="Y6" s="36"/>
      <c r="Z6" s="36"/>
      <c r="AA6" s="36"/>
      <c r="AB6" s="36"/>
    </row>
    <row r="7" spans="1:28" ht="48" customHeight="1">
      <c r="A7" s="67" t="str">
        <f>HYPERLINK("https://www.funcionpublica.gov.co/eva/gestornormativo/norma.php?i=35442","LEY 30")</f>
        <v>LEY 30</v>
      </c>
      <c r="B7" s="480">
        <v>26287</v>
      </c>
      <c r="C7" s="437" t="s">
        <v>39</v>
      </c>
      <c r="D7" s="438" t="s">
        <v>751</v>
      </c>
      <c r="E7" s="437" t="s">
        <v>41</v>
      </c>
      <c r="F7" s="437" t="s">
        <v>42</v>
      </c>
      <c r="G7" s="116" t="s">
        <v>43</v>
      </c>
      <c r="H7" s="117" t="s">
        <v>750</v>
      </c>
      <c r="I7" s="35"/>
      <c r="J7" s="36"/>
      <c r="K7" s="36"/>
      <c r="L7" s="36"/>
      <c r="M7" s="36"/>
      <c r="N7" s="36"/>
      <c r="O7" s="36"/>
      <c r="P7" s="36"/>
      <c r="Q7" s="36"/>
      <c r="R7" s="36"/>
      <c r="S7" s="36"/>
      <c r="T7" s="36"/>
      <c r="U7" s="36"/>
      <c r="V7" s="36"/>
      <c r="W7" s="36"/>
      <c r="X7" s="36"/>
      <c r="Y7" s="36"/>
      <c r="Z7" s="36"/>
      <c r="AA7" s="36"/>
      <c r="AB7" s="36"/>
    </row>
    <row r="8" spans="1:28" ht="110.25" customHeight="1">
      <c r="A8" s="67" t="str">
        <f>HYPERLINK("https://www.alcaldiabogota.gov.co/sisjur/normas/Norma1.jsp?i=14811","LEY 38")</f>
        <v>LEY 38</v>
      </c>
      <c r="B8" s="481">
        <v>32619</v>
      </c>
      <c r="C8" s="437" t="s">
        <v>39</v>
      </c>
      <c r="D8" s="438" t="s">
        <v>752</v>
      </c>
      <c r="E8" s="437" t="s">
        <v>753</v>
      </c>
      <c r="F8" s="438" t="s">
        <v>754</v>
      </c>
      <c r="G8" s="116" t="s">
        <v>43</v>
      </c>
      <c r="H8" s="117" t="s">
        <v>750</v>
      </c>
      <c r="I8" s="35"/>
      <c r="J8" s="36"/>
      <c r="K8" s="36"/>
      <c r="L8" s="36"/>
      <c r="M8" s="36"/>
      <c r="N8" s="36"/>
      <c r="O8" s="36"/>
      <c r="P8" s="36"/>
      <c r="Q8" s="36"/>
      <c r="R8" s="36"/>
      <c r="S8" s="36"/>
      <c r="T8" s="36"/>
      <c r="U8" s="36"/>
      <c r="V8" s="36"/>
      <c r="W8" s="36"/>
      <c r="X8" s="36"/>
      <c r="Y8" s="36"/>
      <c r="Z8" s="36"/>
      <c r="AA8" s="36"/>
      <c r="AB8" s="36"/>
    </row>
    <row r="9" spans="1:28" ht="42" customHeight="1">
      <c r="A9" s="68" t="str">
        <f>HYPERLINK("http://www.secretariasenado.gov.co/senado/basedoc/ley_0152_1994.html","LEY 152")</f>
        <v>LEY 152</v>
      </c>
      <c r="B9" s="481">
        <v>34530</v>
      </c>
      <c r="C9" s="437" t="s">
        <v>39</v>
      </c>
      <c r="D9" s="438" t="s">
        <v>755</v>
      </c>
      <c r="E9" s="437" t="s">
        <v>41</v>
      </c>
      <c r="F9" s="437" t="s">
        <v>42</v>
      </c>
      <c r="G9" s="116" t="s">
        <v>43</v>
      </c>
      <c r="H9" s="117" t="s">
        <v>750</v>
      </c>
      <c r="I9" s="35"/>
      <c r="J9" s="36"/>
      <c r="K9" s="36"/>
      <c r="L9" s="36"/>
      <c r="M9" s="36"/>
      <c r="N9" s="36"/>
      <c r="O9" s="36"/>
      <c r="P9" s="36"/>
      <c r="Q9" s="36"/>
      <c r="R9" s="36"/>
      <c r="S9" s="36"/>
      <c r="T9" s="36"/>
      <c r="U9" s="36"/>
      <c r="V9" s="36"/>
      <c r="W9" s="36"/>
      <c r="X9" s="36"/>
      <c r="Y9" s="36"/>
      <c r="Z9" s="36"/>
      <c r="AA9" s="36"/>
      <c r="AB9" s="36"/>
    </row>
    <row r="10" spans="1:28" ht="396" customHeight="1">
      <c r="A10" s="67" t="str">
        <f>HYPERLINK("https://www.funcionpublica.gov.co/eva/gestornormativo/norma.php?i=3424","LEY 181")</f>
        <v>LEY 181</v>
      </c>
      <c r="B10" s="481">
        <v>34717</v>
      </c>
      <c r="C10" s="437" t="s">
        <v>39</v>
      </c>
      <c r="D10" s="438" t="s">
        <v>471</v>
      </c>
      <c r="E10" s="437" t="s">
        <v>756</v>
      </c>
      <c r="F10" s="438" t="s">
        <v>757</v>
      </c>
      <c r="G10" s="116" t="s">
        <v>43</v>
      </c>
      <c r="H10" s="117" t="s">
        <v>750</v>
      </c>
      <c r="I10" s="35"/>
      <c r="J10" s="36"/>
      <c r="K10" s="36"/>
      <c r="L10" s="36"/>
      <c r="M10" s="36"/>
      <c r="N10" s="36"/>
      <c r="O10" s="36"/>
      <c r="P10" s="36"/>
      <c r="Q10" s="36"/>
      <c r="R10" s="36"/>
      <c r="S10" s="36"/>
      <c r="T10" s="36"/>
      <c r="U10" s="36"/>
      <c r="V10" s="36"/>
      <c r="W10" s="36"/>
      <c r="X10" s="36"/>
      <c r="Y10" s="36"/>
      <c r="Z10" s="36"/>
      <c r="AA10" s="36"/>
      <c r="AB10" s="36"/>
    </row>
    <row r="11" spans="1:28" ht="36" customHeight="1">
      <c r="A11" s="67" t="str">
        <f>HYPERLINK("https://www.alcaldiabogota.gov.co/sisjur/normas/Norma1.jsp?i=321","LEY 190")</f>
        <v>LEY 190</v>
      </c>
      <c r="B11" s="481">
        <v>34856</v>
      </c>
      <c r="C11" s="437" t="s">
        <v>39</v>
      </c>
      <c r="D11" s="438" t="s">
        <v>758</v>
      </c>
      <c r="E11" s="437" t="s">
        <v>41</v>
      </c>
      <c r="F11" s="437" t="s">
        <v>42</v>
      </c>
      <c r="G11" s="116" t="s">
        <v>43</v>
      </c>
      <c r="H11" s="117" t="s">
        <v>750</v>
      </c>
      <c r="I11" s="35"/>
      <c r="J11" s="36"/>
      <c r="K11" s="36"/>
      <c r="L11" s="36"/>
      <c r="M11" s="36"/>
      <c r="N11" s="36"/>
      <c r="O11" s="36"/>
      <c r="P11" s="36"/>
      <c r="Q11" s="36"/>
      <c r="R11" s="36"/>
      <c r="S11" s="36"/>
      <c r="T11" s="36"/>
      <c r="U11" s="36"/>
      <c r="V11" s="36"/>
      <c r="W11" s="36"/>
      <c r="X11" s="36"/>
      <c r="Y11" s="36"/>
      <c r="Z11" s="36"/>
      <c r="AA11" s="36"/>
      <c r="AB11" s="36"/>
    </row>
    <row r="12" spans="1:28" ht="24" customHeight="1">
      <c r="A12" s="67" t="str">
        <f>HYPERLINK("https://www.funcionpublica.gov.co/eva/gestornormativo/norma.php?i=187","LEY 488")</f>
        <v>LEY 488</v>
      </c>
      <c r="B12" s="480">
        <v>36153</v>
      </c>
      <c r="C12" s="437" t="s">
        <v>39</v>
      </c>
      <c r="D12" s="438" t="s">
        <v>759</v>
      </c>
      <c r="E12" s="437" t="s">
        <v>41</v>
      </c>
      <c r="F12" s="437" t="s">
        <v>42</v>
      </c>
      <c r="G12" s="116" t="s">
        <v>43</v>
      </c>
      <c r="H12" s="117" t="s">
        <v>750</v>
      </c>
      <c r="I12" s="35"/>
      <c r="J12" s="36"/>
      <c r="K12" s="36"/>
      <c r="L12" s="36"/>
      <c r="M12" s="36"/>
      <c r="N12" s="36"/>
      <c r="O12" s="36"/>
      <c r="P12" s="36"/>
      <c r="Q12" s="36"/>
      <c r="R12" s="36"/>
      <c r="S12" s="36"/>
      <c r="T12" s="36"/>
      <c r="U12" s="36"/>
      <c r="V12" s="36"/>
      <c r="W12" s="36"/>
      <c r="X12" s="36"/>
      <c r="Y12" s="36"/>
      <c r="Z12" s="36"/>
      <c r="AA12" s="36"/>
      <c r="AB12" s="36"/>
    </row>
    <row r="13" spans="1:28" ht="60" customHeight="1">
      <c r="A13" s="67" t="str">
        <f>HYPERLINK("https://www.alcaldiabogota.gov.co/sisjur/normas/Norma1.jsp?i=3771","LEY 617")</f>
        <v>LEY 617</v>
      </c>
      <c r="B13" s="481">
        <v>36805</v>
      </c>
      <c r="C13" s="437" t="s">
        <v>39</v>
      </c>
      <c r="D13" s="438" t="s">
        <v>486</v>
      </c>
      <c r="E13" s="437" t="s">
        <v>41</v>
      </c>
      <c r="F13" s="437" t="s">
        <v>42</v>
      </c>
      <c r="G13" s="116" t="s">
        <v>43</v>
      </c>
      <c r="H13" s="117" t="s">
        <v>750</v>
      </c>
      <c r="I13" s="35"/>
      <c r="J13" s="36"/>
      <c r="K13" s="36"/>
      <c r="L13" s="36"/>
      <c r="M13" s="36"/>
      <c r="N13" s="36"/>
      <c r="O13" s="36"/>
      <c r="P13" s="36"/>
      <c r="Q13" s="36"/>
      <c r="R13" s="36"/>
      <c r="S13" s="36"/>
      <c r="T13" s="36"/>
      <c r="U13" s="36"/>
      <c r="V13" s="36"/>
      <c r="W13" s="36"/>
      <c r="X13" s="36"/>
      <c r="Y13" s="36"/>
      <c r="Z13" s="36"/>
      <c r="AA13" s="36"/>
      <c r="AB13" s="36"/>
    </row>
    <row r="14" spans="1:28" ht="48" customHeight="1">
      <c r="A14" s="67" t="str">
        <f>HYPERLINK("https://www.alcaldiabogota.gov.co/sisjur/normas/Norma1.jsp?i=6285","LEY 633")</f>
        <v>LEY 633</v>
      </c>
      <c r="B14" s="480">
        <v>36889</v>
      </c>
      <c r="C14" s="437" t="s">
        <v>39</v>
      </c>
      <c r="D14" s="438" t="s">
        <v>760</v>
      </c>
      <c r="E14" s="437" t="s">
        <v>41</v>
      </c>
      <c r="F14" s="437" t="s">
        <v>42</v>
      </c>
      <c r="G14" s="116" t="s">
        <v>43</v>
      </c>
      <c r="H14" s="117" t="s">
        <v>750</v>
      </c>
      <c r="I14" s="35"/>
      <c r="J14" s="36"/>
      <c r="K14" s="36"/>
      <c r="L14" s="36"/>
      <c r="M14" s="36"/>
      <c r="N14" s="36"/>
      <c r="O14" s="36"/>
      <c r="P14" s="36"/>
      <c r="Q14" s="36"/>
      <c r="R14" s="36"/>
      <c r="S14" s="36"/>
      <c r="T14" s="36"/>
      <c r="U14" s="36"/>
      <c r="V14" s="36"/>
      <c r="W14" s="36"/>
      <c r="X14" s="36"/>
      <c r="Y14" s="36"/>
      <c r="Z14" s="36"/>
      <c r="AA14" s="36"/>
      <c r="AB14" s="36"/>
    </row>
    <row r="15" spans="1:28" ht="48" customHeight="1">
      <c r="A15" s="67" t="str">
        <f>HYPERLINK("https://www.alcaldiabogota.gov.co/sisjur/normas/Norma1.jsp?i=4164","LEY 678")</f>
        <v>LEY 678</v>
      </c>
      <c r="B15" s="481">
        <v>37106</v>
      </c>
      <c r="C15" s="437" t="s">
        <v>39</v>
      </c>
      <c r="D15" s="438" t="s">
        <v>488</v>
      </c>
      <c r="E15" s="437" t="s">
        <v>41</v>
      </c>
      <c r="F15" s="437" t="s">
        <v>42</v>
      </c>
      <c r="G15" s="116" t="s">
        <v>43</v>
      </c>
      <c r="H15" s="117" t="s">
        <v>750</v>
      </c>
      <c r="I15" s="35"/>
      <c r="J15" s="36"/>
      <c r="K15" s="36"/>
      <c r="L15" s="36"/>
      <c r="M15" s="36"/>
      <c r="N15" s="36"/>
      <c r="O15" s="36"/>
      <c r="P15" s="36"/>
      <c r="Q15" s="36"/>
      <c r="R15" s="36"/>
      <c r="S15" s="36"/>
      <c r="T15" s="36"/>
      <c r="U15" s="36"/>
      <c r="V15" s="36"/>
      <c r="W15" s="36"/>
      <c r="X15" s="36"/>
      <c r="Y15" s="36"/>
      <c r="Z15" s="36"/>
      <c r="AA15" s="36"/>
      <c r="AB15" s="36"/>
    </row>
    <row r="16" spans="1:28" ht="60" customHeight="1">
      <c r="A16" s="67" t="str">
        <f>HYPERLINK("https://www.alcaldiabogota.gov.co/sisjur/normas/Norma1.jsp?i=4452","LEY 715")</f>
        <v>LEY 715</v>
      </c>
      <c r="B16" s="480">
        <v>37246</v>
      </c>
      <c r="C16" s="437" t="s">
        <v>39</v>
      </c>
      <c r="D16" s="438" t="s">
        <v>761</v>
      </c>
      <c r="E16" s="437" t="s">
        <v>41</v>
      </c>
      <c r="F16" s="437" t="s">
        <v>42</v>
      </c>
      <c r="G16" s="116" t="s">
        <v>43</v>
      </c>
      <c r="H16" s="117" t="s">
        <v>750</v>
      </c>
      <c r="I16" s="35"/>
      <c r="J16" s="36"/>
      <c r="K16" s="36"/>
      <c r="L16" s="36"/>
      <c r="M16" s="36"/>
      <c r="N16" s="36"/>
      <c r="O16" s="36"/>
      <c r="P16" s="36"/>
      <c r="Q16" s="36"/>
      <c r="R16" s="36"/>
      <c r="S16" s="36"/>
      <c r="T16" s="36"/>
      <c r="U16" s="36"/>
      <c r="V16" s="36"/>
      <c r="W16" s="36"/>
      <c r="X16" s="36"/>
      <c r="Y16" s="36"/>
      <c r="Z16" s="36"/>
      <c r="AA16" s="36"/>
      <c r="AB16" s="36"/>
    </row>
    <row r="17" spans="1:28" ht="24" customHeight="1">
      <c r="A17" s="67" t="str">
        <f>HYPERLINK("https://www.funcionpublica.gov.co/eva/gestornormativo/norma.php?i=7260","LEY 788")</f>
        <v>LEY 788</v>
      </c>
      <c r="B17" s="480">
        <v>37617</v>
      </c>
      <c r="C17" s="437" t="s">
        <v>39</v>
      </c>
      <c r="D17" s="438" t="s">
        <v>764</v>
      </c>
      <c r="E17" s="437" t="s">
        <v>41</v>
      </c>
      <c r="F17" s="437" t="s">
        <v>42</v>
      </c>
      <c r="G17" s="116" t="s">
        <v>43</v>
      </c>
      <c r="H17" s="117" t="s">
        <v>750</v>
      </c>
      <c r="I17" s="35"/>
      <c r="J17" s="36"/>
      <c r="K17" s="36"/>
      <c r="L17" s="36"/>
      <c r="M17" s="36"/>
      <c r="N17" s="36"/>
      <c r="O17" s="36"/>
      <c r="P17" s="36"/>
      <c r="Q17" s="36"/>
      <c r="R17" s="36"/>
      <c r="S17" s="36"/>
      <c r="T17" s="36"/>
      <c r="U17" s="36"/>
      <c r="V17" s="36"/>
      <c r="W17" s="36"/>
      <c r="X17" s="36"/>
      <c r="Y17" s="36"/>
      <c r="Z17" s="36"/>
      <c r="AA17" s="36"/>
      <c r="AB17" s="36"/>
    </row>
    <row r="18" spans="1:28" ht="24" customHeight="1">
      <c r="A18" s="67" t="str">
        <f>HYPERLINK("https://www.alcaldiabogota.gov.co/sisjur/normas/Norma1.jsp?i=13712","LEY 819")</f>
        <v>LEY 819</v>
      </c>
      <c r="B18" s="481">
        <v>37811</v>
      </c>
      <c r="C18" s="437" t="s">
        <v>39</v>
      </c>
      <c r="D18" s="438" t="s">
        <v>492</v>
      </c>
      <c r="E18" s="437" t="s">
        <v>41</v>
      </c>
      <c r="F18" s="437" t="s">
        <v>42</v>
      </c>
      <c r="G18" s="116" t="s">
        <v>43</v>
      </c>
      <c r="H18" s="117" t="s">
        <v>750</v>
      </c>
      <c r="I18" s="35"/>
      <c r="J18" s="36"/>
      <c r="K18" s="36"/>
      <c r="L18" s="36"/>
      <c r="M18" s="36"/>
      <c r="N18" s="36"/>
      <c r="O18" s="36"/>
      <c r="P18" s="36"/>
      <c r="Q18" s="36"/>
      <c r="R18" s="36"/>
      <c r="S18" s="36"/>
      <c r="T18" s="36"/>
      <c r="U18" s="36"/>
      <c r="V18" s="36"/>
      <c r="W18" s="36"/>
      <c r="X18" s="36"/>
      <c r="Y18" s="36"/>
      <c r="Z18" s="36"/>
      <c r="AA18" s="36"/>
      <c r="AB18" s="36"/>
    </row>
    <row r="19" spans="1:28" ht="36" customHeight="1">
      <c r="A19" s="67" t="str">
        <f>HYPERLINK("https://www.alcaldiabogota.gov.co/sisjur/normas/Norma1.jsp?i=11172","LEY 863")</f>
        <v>LEY 863</v>
      </c>
      <c r="B19" s="480">
        <v>37984</v>
      </c>
      <c r="C19" s="437" t="s">
        <v>39</v>
      </c>
      <c r="D19" s="438" t="s">
        <v>494</v>
      </c>
      <c r="E19" s="437" t="s">
        <v>41</v>
      </c>
      <c r="F19" s="437" t="s">
        <v>42</v>
      </c>
      <c r="G19" s="116" t="s">
        <v>43</v>
      </c>
      <c r="H19" s="117" t="s">
        <v>750</v>
      </c>
      <c r="I19" s="35"/>
      <c r="J19" s="36"/>
      <c r="K19" s="36"/>
      <c r="L19" s="36"/>
      <c r="M19" s="36"/>
      <c r="N19" s="36"/>
      <c r="O19" s="36"/>
      <c r="P19" s="36"/>
      <c r="Q19" s="36"/>
      <c r="R19" s="36"/>
      <c r="S19" s="36"/>
      <c r="T19" s="36"/>
      <c r="U19" s="36"/>
      <c r="V19" s="36"/>
      <c r="W19" s="36"/>
      <c r="X19" s="36"/>
      <c r="Y19" s="36"/>
      <c r="Z19" s="36"/>
      <c r="AA19" s="36"/>
      <c r="AB19" s="36"/>
    </row>
    <row r="20" spans="1:28" ht="60" customHeight="1">
      <c r="A20" s="67" t="str">
        <f>HYPERLINK("https://www.alcaldiabogota.gov.co/sisjur/normas/Norma1.jsp?i=22412","LEY 964")</f>
        <v>LEY 964</v>
      </c>
      <c r="B20" s="481">
        <v>38541</v>
      </c>
      <c r="C20" s="437" t="s">
        <v>39</v>
      </c>
      <c r="D20" s="438" t="s">
        <v>765</v>
      </c>
      <c r="E20" s="437" t="s">
        <v>41</v>
      </c>
      <c r="F20" s="437" t="s">
        <v>42</v>
      </c>
      <c r="G20" s="116" t="s">
        <v>43</v>
      </c>
      <c r="H20" s="117" t="s">
        <v>750</v>
      </c>
      <c r="I20" s="35"/>
      <c r="J20" s="36"/>
      <c r="K20" s="36"/>
      <c r="L20" s="36"/>
      <c r="M20" s="36"/>
      <c r="N20" s="36"/>
      <c r="O20" s="36"/>
      <c r="P20" s="36"/>
      <c r="Q20" s="36"/>
      <c r="R20" s="36"/>
      <c r="S20" s="36"/>
      <c r="T20" s="36"/>
      <c r="U20" s="36"/>
      <c r="V20" s="36"/>
      <c r="W20" s="36"/>
      <c r="X20" s="36"/>
      <c r="Y20" s="36"/>
      <c r="Z20" s="36"/>
      <c r="AA20" s="36"/>
      <c r="AB20" s="36"/>
    </row>
    <row r="21" spans="1:28" ht="24" customHeight="1">
      <c r="A21" s="67" t="str">
        <f>HYPERLINK("https://www.alcaldiabogota.gov.co/sisjur/normas/Norma1.jsp?i=20866","LEY 1066")</f>
        <v>LEY 1066</v>
      </c>
      <c r="B21" s="481">
        <v>38927</v>
      </c>
      <c r="C21" s="437" t="s">
        <v>39</v>
      </c>
      <c r="D21" s="438" t="s">
        <v>766</v>
      </c>
      <c r="E21" s="437" t="s">
        <v>41</v>
      </c>
      <c r="F21" s="437" t="s">
        <v>42</v>
      </c>
      <c r="G21" s="116" t="s">
        <v>43</v>
      </c>
      <c r="H21" s="117" t="s">
        <v>750</v>
      </c>
      <c r="I21" s="35"/>
      <c r="J21" s="36"/>
      <c r="K21" s="36"/>
      <c r="L21" s="36"/>
      <c r="M21" s="36"/>
      <c r="N21" s="36"/>
      <c r="O21" s="36"/>
      <c r="P21" s="36"/>
      <c r="Q21" s="36"/>
      <c r="R21" s="36"/>
      <c r="S21" s="36"/>
      <c r="T21" s="36"/>
      <c r="U21" s="36"/>
      <c r="V21" s="36"/>
      <c r="W21" s="36"/>
      <c r="X21" s="36"/>
      <c r="Y21" s="36"/>
      <c r="Z21" s="36"/>
      <c r="AA21" s="36"/>
      <c r="AB21" s="36"/>
    </row>
    <row r="22" spans="1:28" ht="27.75" customHeight="1">
      <c r="A22" s="67" t="str">
        <f>HYPERLINK("https://www.funcionpublica.gov.co/eva/gestornormativo/norma.php?i=22106","LEY 1098")</f>
        <v>LEY 1098</v>
      </c>
      <c r="B22" s="481">
        <v>39029</v>
      </c>
      <c r="C22" s="437" t="s">
        <v>39</v>
      </c>
      <c r="D22" s="438" t="s">
        <v>767</v>
      </c>
      <c r="E22" s="437" t="s">
        <v>41</v>
      </c>
      <c r="F22" s="437" t="s">
        <v>42</v>
      </c>
      <c r="G22" s="116" t="s">
        <v>43</v>
      </c>
      <c r="H22" s="117" t="s">
        <v>750</v>
      </c>
      <c r="I22" s="35"/>
      <c r="J22" s="36"/>
      <c r="K22" s="36"/>
      <c r="L22" s="36"/>
      <c r="M22" s="36"/>
      <c r="N22" s="36"/>
      <c r="O22" s="36"/>
      <c r="P22" s="36"/>
      <c r="Q22" s="36"/>
      <c r="R22" s="36"/>
      <c r="S22" s="36"/>
      <c r="T22" s="36"/>
      <c r="U22" s="36"/>
      <c r="V22" s="36"/>
      <c r="W22" s="36"/>
      <c r="X22" s="36"/>
      <c r="Y22" s="36"/>
      <c r="Z22" s="36"/>
      <c r="AA22" s="36"/>
      <c r="AB22" s="36"/>
    </row>
    <row r="23" spans="1:28" ht="24" customHeight="1">
      <c r="A23" s="67" t="str">
        <f>HYPERLINK("https://www.alcaldiabogota.gov.co/sisjur/normas/Norma1.jsp?i=22580","LEY 1111")</f>
        <v>LEY 1111</v>
      </c>
      <c r="B23" s="480">
        <v>39078</v>
      </c>
      <c r="C23" s="437" t="s">
        <v>39</v>
      </c>
      <c r="D23" s="438" t="s">
        <v>497</v>
      </c>
      <c r="E23" s="437" t="s">
        <v>41</v>
      </c>
      <c r="F23" s="437" t="s">
        <v>42</v>
      </c>
      <c r="G23" s="116" t="s">
        <v>43</v>
      </c>
      <c r="H23" s="117" t="s">
        <v>750</v>
      </c>
      <c r="I23" s="35"/>
      <c r="J23" s="36"/>
      <c r="K23" s="36"/>
      <c r="L23" s="36"/>
      <c r="M23" s="36"/>
      <c r="N23" s="36"/>
      <c r="O23" s="36"/>
      <c r="P23" s="36"/>
      <c r="Q23" s="36"/>
      <c r="R23" s="36"/>
      <c r="S23" s="36"/>
      <c r="T23" s="36"/>
      <c r="U23" s="36"/>
      <c r="V23" s="36"/>
      <c r="W23" s="36"/>
      <c r="X23" s="36"/>
      <c r="Y23" s="36"/>
      <c r="Z23" s="36"/>
      <c r="AA23" s="36"/>
      <c r="AB23" s="36"/>
    </row>
    <row r="24" spans="1:28" ht="24" customHeight="1">
      <c r="A24" s="67" t="str">
        <f>HYPERLINK("https://www.funcionpublica.gov.co/eva/gestornormativo/norma.php?i=28306","LEY 1176")</f>
        <v>LEY 1176</v>
      </c>
      <c r="B24" s="480">
        <v>39443</v>
      </c>
      <c r="C24" s="437" t="s">
        <v>39</v>
      </c>
      <c r="D24" s="438" t="s">
        <v>768</v>
      </c>
      <c r="E24" s="437" t="s">
        <v>41</v>
      </c>
      <c r="F24" s="437" t="s">
        <v>42</v>
      </c>
      <c r="G24" s="116" t="s">
        <v>43</v>
      </c>
      <c r="H24" s="117" t="s">
        <v>750</v>
      </c>
      <c r="I24" s="35"/>
      <c r="J24" s="36"/>
      <c r="K24" s="36"/>
      <c r="L24" s="36"/>
      <c r="M24" s="36"/>
      <c r="N24" s="36"/>
      <c r="O24" s="36"/>
      <c r="P24" s="36"/>
      <c r="Q24" s="36"/>
      <c r="R24" s="36"/>
      <c r="S24" s="36"/>
      <c r="T24" s="36"/>
      <c r="U24" s="36"/>
      <c r="V24" s="36"/>
      <c r="W24" s="36"/>
      <c r="X24" s="36"/>
      <c r="Y24" s="36"/>
      <c r="Z24" s="36"/>
      <c r="AA24" s="36"/>
      <c r="AB24" s="36"/>
    </row>
    <row r="25" spans="1:28" ht="24" customHeight="1">
      <c r="A25" s="67" t="str">
        <f>HYPERLINK("https://www.alcaldiabogota.gov.co/sisjur/normas/Norma1.jsp?i=35440","LEY 1289")</f>
        <v>LEY 1289</v>
      </c>
      <c r="B25" s="481">
        <v>39878</v>
      </c>
      <c r="C25" s="437" t="s">
        <v>39</v>
      </c>
      <c r="D25" s="438" t="s">
        <v>769</v>
      </c>
      <c r="E25" s="437" t="s">
        <v>41</v>
      </c>
      <c r="F25" s="437" t="s">
        <v>42</v>
      </c>
      <c r="G25" s="116" t="s">
        <v>43</v>
      </c>
      <c r="H25" s="117" t="s">
        <v>750</v>
      </c>
      <c r="I25" s="35"/>
      <c r="J25" s="36"/>
      <c r="K25" s="36"/>
      <c r="L25" s="36"/>
      <c r="M25" s="36"/>
      <c r="N25" s="36"/>
      <c r="O25" s="36"/>
      <c r="P25" s="36"/>
      <c r="Q25" s="36"/>
      <c r="R25" s="36"/>
      <c r="S25" s="36"/>
      <c r="T25" s="36"/>
      <c r="U25" s="36"/>
      <c r="V25" s="36"/>
      <c r="W25" s="36"/>
      <c r="X25" s="36"/>
      <c r="Y25" s="36"/>
      <c r="Z25" s="36"/>
      <c r="AA25" s="36"/>
      <c r="AB25" s="36"/>
    </row>
    <row r="26" spans="1:28" ht="24" customHeight="1">
      <c r="A26" s="67" t="str">
        <f>HYPERLINK("https://www.alcaldiabogota.gov.co/sisjur/normas/Norma1.jsp?i=41249","LEY 1437")</f>
        <v>LEY 1437</v>
      </c>
      <c r="B26" s="481">
        <v>40561</v>
      </c>
      <c r="C26" s="437" t="s">
        <v>39</v>
      </c>
      <c r="D26" s="438" t="s">
        <v>281</v>
      </c>
      <c r="E26" s="437" t="s">
        <v>41</v>
      </c>
      <c r="F26" s="437" t="s">
        <v>42</v>
      </c>
      <c r="G26" s="116" t="s">
        <v>43</v>
      </c>
      <c r="H26" s="117" t="s">
        <v>750</v>
      </c>
      <c r="I26" s="35"/>
      <c r="J26" s="36"/>
      <c r="K26" s="36"/>
      <c r="L26" s="36"/>
      <c r="M26" s="36"/>
      <c r="N26" s="36"/>
      <c r="O26" s="36"/>
      <c r="P26" s="36"/>
      <c r="Q26" s="36"/>
      <c r="R26" s="36"/>
      <c r="S26" s="36"/>
      <c r="T26" s="36"/>
      <c r="U26" s="36"/>
      <c r="V26" s="36"/>
      <c r="W26" s="36"/>
      <c r="X26" s="36"/>
      <c r="Y26" s="36"/>
      <c r="Z26" s="36"/>
      <c r="AA26" s="36"/>
      <c r="AB26" s="36"/>
    </row>
    <row r="27" spans="1:28" ht="36" customHeight="1">
      <c r="A27" s="67" t="str">
        <f>HYPERLINK("https://www.alcaldiabogota.gov.co/sisjur/normas/Norma1.jsp?i=43292","LEY 1474")</f>
        <v>LEY 1474</v>
      </c>
      <c r="B27" s="481">
        <v>40736</v>
      </c>
      <c r="C27" s="437" t="s">
        <v>39</v>
      </c>
      <c r="D27" s="438" t="s">
        <v>54</v>
      </c>
      <c r="E27" s="437" t="s">
        <v>41</v>
      </c>
      <c r="F27" s="437" t="s">
        <v>42</v>
      </c>
      <c r="G27" s="116" t="s">
        <v>43</v>
      </c>
      <c r="H27" s="117" t="s">
        <v>750</v>
      </c>
      <c r="I27" s="35"/>
      <c r="J27" s="36"/>
      <c r="K27" s="36"/>
      <c r="L27" s="36"/>
      <c r="M27" s="36"/>
      <c r="N27" s="36"/>
      <c r="O27" s="36"/>
      <c r="P27" s="36"/>
      <c r="Q27" s="36"/>
      <c r="R27" s="36"/>
      <c r="S27" s="36"/>
      <c r="T27" s="36"/>
      <c r="U27" s="36"/>
      <c r="V27" s="36"/>
      <c r="W27" s="36"/>
      <c r="X27" s="36"/>
      <c r="Y27" s="36"/>
      <c r="Z27" s="36"/>
      <c r="AA27" s="36"/>
      <c r="AB27" s="36"/>
    </row>
    <row r="28" spans="1:28" ht="48" customHeight="1">
      <c r="A28" s="67" t="str">
        <f>HYPERLINK("https://www.funcionpublica.gov.co/eva/gestornormativo/norma.php?i=45246","LEY 1493")</f>
        <v>LEY 1493</v>
      </c>
      <c r="B28" s="480">
        <v>40903</v>
      </c>
      <c r="C28" s="437" t="s">
        <v>39</v>
      </c>
      <c r="D28" s="438" t="s">
        <v>55</v>
      </c>
      <c r="E28" s="437" t="s">
        <v>41</v>
      </c>
      <c r="F28" s="437" t="s">
        <v>42</v>
      </c>
      <c r="G28" s="116" t="s">
        <v>43</v>
      </c>
      <c r="H28" s="117" t="s">
        <v>750</v>
      </c>
      <c r="I28" s="35"/>
      <c r="J28" s="36"/>
      <c r="K28" s="36"/>
      <c r="L28" s="36"/>
      <c r="M28" s="36"/>
      <c r="N28" s="36"/>
      <c r="O28" s="36"/>
      <c r="P28" s="36"/>
      <c r="Q28" s="36"/>
      <c r="R28" s="36"/>
      <c r="S28" s="36"/>
      <c r="T28" s="36"/>
      <c r="U28" s="36"/>
      <c r="V28" s="36"/>
      <c r="W28" s="36"/>
      <c r="X28" s="36"/>
      <c r="Y28" s="36"/>
      <c r="Z28" s="36"/>
      <c r="AA28" s="36"/>
      <c r="AB28" s="36"/>
    </row>
    <row r="29" spans="1:28" ht="36" customHeight="1">
      <c r="A29" s="67" t="str">
        <f>HYPERLINK("https://www.alcaldiabogota.gov.co/sisjur/normas/Norma1.jsp?i=44949","LEY 1483")</f>
        <v>LEY 1483</v>
      </c>
      <c r="B29" s="481">
        <v>40886</v>
      </c>
      <c r="C29" s="437" t="s">
        <v>39</v>
      </c>
      <c r="D29" s="438" t="s">
        <v>770</v>
      </c>
      <c r="E29" s="437" t="s">
        <v>41</v>
      </c>
      <c r="F29" s="437" t="s">
        <v>42</v>
      </c>
      <c r="G29" s="116" t="s">
        <v>43</v>
      </c>
      <c r="H29" s="117" t="s">
        <v>750</v>
      </c>
      <c r="I29" s="35"/>
      <c r="J29" s="36"/>
      <c r="K29" s="36"/>
      <c r="L29" s="36"/>
      <c r="M29" s="36"/>
      <c r="N29" s="36"/>
      <c r="O29" s="36"/>
      <c r="P29" s="36"/>
      <c r="Q29" s="36"/>
      <c r="R29" s="36"/>
      <c r="S29" s="36"/>
      <c r="T29" s="36"/>
      <c r="U29" s="36"/>
      <c r="V29" s="36"/>
      <c r="W29" s="36"/>
      <c r="X29" s="36"/>
      <c r="Y29" s="36"/>
      <c r="Z29" s="36"/>
      <c r="AA29" s="36"/>
      <c r="AB29" s="36"/>
    </row>
    <row r="30" spans="1:28" ht="24" customHeight="1">
      <c r="A30" s="67" t="str">
        <f>HYPERLINK("http://www.secretariasenado.gov.co/senado/basedoc/ley_1527_2012.html","LEY 1527")</f>
        <v>LEY 1527</v>
      </c>
      <c r="B30" s="481">
        <v>41026</v>
      </c>
      <c r="C30" s="437" t="s">
        <v>39</v>
      </c>
      <c r="D30" s="438" t="s">
        <v>772</v>
      </c>
      <c r="E30" s="437" t="s">
        <v>41</v>
      </c>
      <c r="F30" s="437" t="s">
        <v>42</v>
      </c>
      <c r="G30" s="116" t="s">
        <v>43</v>
      </c>
      <c r="H30" s="117" t="s">
        <v>750</v>
      </c>
      <c r="I30" s="35"/>
      <c r="J30" s="36"/>
      <c r="K30" s="36"/>
      <c r="L30" s="36"/>
      <c r="M30" s="36"/>
      <c r="N30" s="36"/>
      <c r="O30" s="36"/>
      <c r="P30" s="36"/>
      <c r="Q30" s="36"/>
      <c r="R30" s="36"/>
      <c r="S30" s="36"/>
      <c r="T30" s="36"/>
      <c r="U30" s="36"/>
      <c r="V30" s="36"/>
      <c r="W30" s="36"/>
      <c r="X30" s="36"/>
      <c r="Y30" s="36"/>
      <c r="Z30" s="36"/>
      <c r="AA30" s="36"/>
      <c r="AB30" s="36"/>
    </row>
    <row r="31" spans="1:28" ht="24" customHeight="1">
      <c r="A31" s="67" t="str">
        <f>HYPERLINK("http://www.secretariasenado.gov.co/senado/basedoc/ley_1607_2012.html","LEY 1607    ")</f>
        <v xml:space="preserve">LEY 1607    </v>
      </c>
      <c r="B31" s="480">
        <v>41269</v>
      </c>
      <c r="C31" s="437" t="s">
        <v>39</v>
      </c>
      <c r="D31" s="438" t="s">
        <v>774</v>
      </c>
      <c r="E31" s="437" t="s">
        <v>41</v>
      </c>
      <c r="F31" s="437" t="s">
        <v>42</v>
      </c>
      <c r="G31" s="116" t="s">
        <v>43</v>
      </c>
      <c r="H31" s="117" t="s">
        <v>750</v>
      </c>
      <c r="I31" s="35"/>
      <c r="J31" s="36"/>
      <c r="K31" s="36"/>
      <c r="L31" s="36"/>
      <c r="M31" s="36"/>
      <c r="N31" s="36"/>
      <c r="O31" s="36"/>
      <c r="P31" s="36"/>
      <c r="Q31" s="36"/>
      <c r="R31" s="36"/>
      <c r="S31" s="36"/>
      <c r="T31" s="36"/>
      <c r="U31" s="36"/>
      <c r="V31" s="36"/>
      <c r="W31" s="36"/>
      <c r="X31" s="36"/>
      <c r="Y31" s="36"/>
      <c r="Z31" s="36"/>
      <c r="AA31" s="36"/>
      <c r="AB31" s="36"/>
    </row>
    <row r="32" spans="1:28" ht="36" customHeight="1">
      <c r="A32" s="67" t="str">
        <f>HYPERLINK("http://www.secretariasenado.gov.co/senado/basedoc/ley_1508_2012.html","LEY 1508")</f>
        <v>LEY 1508</v>
      </c>
      <c r="B32" s="481">
        <v>40918</v>
      </c>
      <c r="C32" s="437" t="s">
        <v>39</v>
      </c>
      <c r="D32" s="438" t="s">
        <v>291</v>
      </c>
      <c r="E32" s="437" t="s">
        <v>41</v>
      </c>
      <c r="F32" s="437" t="s">
        <v>42</v>
      </c>
      <c r="G32" s="116" t="s">
        <v>43</v>
      </c>
      <c r="H32" s="117" t="s">
        <v>750</v>
      </c>
      <c r="I32" s="35"/>
      <c r="J32" s="36"/>
      <c r="K32" s="36"/>
      <c r="L32" s="36"/>
      <c r="M32" s="36"/>
      <c r="N32" s="36"/>
      <c r="O32" s="36"/>
      <c r="P32" s="36"/>
      <c r="Q32" s="36"/>
      <c r="R32" s="36"/>
      <c r="S32" s="36"/>
      <c r="T32" s="36"/>
      <c r="U32" s="36"/>
      <c r="V32" s="36"/>
      <c r="W32" s="36"/>
      <c r="X32" s="36"/>
      <c r="Y32" s="36"/>
      <c r="Z32" s="36"/>
      <c r="AA32" s="36"/>
      <c r="AB32" s="36"/>
    </row>
    <row r="33" spans="1:28" ht="24" customHeight="1">
      <c r="A33" s="67" t="str">
        <f>HYPERLINK("http://www.secretariasenado.gov.co/senado/basedoc/ley_1530_2012.html","LEY 1530")</f>
        <v>LEY 1530</v>
      </c>
      <c r="B33" s="481">
        <v>41046</v>
      </c>
      <c r="C33" s="437" t="s">
        <v>39</v>
      </c>
      <c r="D33" s="438" t="s">
        <v>776</v>
      </c>
      <c r="E33" s="437" t="s">
        <v>41</v>
      </c>
      <c r="F33" s="437" t="s">
        <v>42</v>
      </c>
      <c r="G33" s="116" t="s">
        <v>43</v>
      </c>
      <c r="H33" s="117" t="s">
        <v>750</v>
      </c>
      <c r="I33" s="35"/>
      <c r="J33" s="36"/>
      <c r="K33" s="36"/>
      <c r="L33" s="36"/>
      <c r="M33" s="36"/>
      <c r="N33" s="36"/>
      <c r="O33" s="36"/>
      <c r="P33" s="36"/>
      <c r="Q33" s="36"/>
      <c r="R33" s="36"/>
      <c r="S33" s="36"/>
      <c r="T33" s="36"/>
      <c r="U33" s="36"/>
      <c r="V33" s="36"/>
      <c r="W33" s="36"/>
      <c r="X33" s="36"/>
      <c r="Y33" s="36"/>
      <c r="Z33" s="36"/>
      <c r="AA33" s="36"/>
      <c r="AB33" s="36"/>
    </row>
    <row r="34" spans="1:28" ht="36.75" customHeight="1">
      <c r="A34" s="67" t="str">
        <f>HYPERLINK("http://www.secretariasenado.gov.co/senado/basedoc/ley_1739_2014.html","LEY 1739")</f>
        <v>LEY 1739</v>
      </c>
      <c r="B34" s="480">
        <v>41996</v>
      </c>
      <c r="C34" s="437" t="s">
        <v>39</v>
      </c>
      <c r="D34" s="438" t="s">
        <v>778</v>
      </c>
      <c r="E34" s="437" t="s">
        <v>41</v>
      </c>
      <c r="F34" s="437" t="s">
        <v>42</v>
      </c>
      <c r="G34" s="116" t="s">
        <v>43</v>
      </c>
      <c r="H34" s="117" t="s">
        <v>750</v>
      </c>
      <c r="I34" s="35"/>
      <c r="J34" s="36"/>
      <c r="K34" s="36"/>
      <c r="L34" s="36"/>
      <c r="M34" s="36"/>
      <c r="N34" s="36"/>
      <c r="O34" s="36"/>
      <c r="P34" s="36"/>
      <c r="Q34" s="36"/>
      <c r="R34" s="36"/>
      <c r="S34" s="36"/>
      <c r="T34" s="36"/>
      <c r="U34" s="36"/>
      <c r="V34" s="36"/>
      <c r="W34" s="36"/>
      <c r="X34" s="36"/>
      <c r="Y34" s="36"/>
      <c r="Z34" s="36"/>
      <c r="AA34" s="36"/>
      <c r="AB34" s="36"/>
    </row>
    <row r="35" spans="1:28" ht="24" customHeight="1">
      <c r="A35" s="67" t="str">
        <f>HYPERLINK("http://www.secretariasenado.gov.co/senado/basedoc/ley_1753_2015.html","LEY 1753")</f>
        <v>LEY 1753</v>
      </c>
      <c r="B35" s="481">
        <v>42164</v>
      </c>
      <c r="C35" s="437" t="s">
        <v>39</v>
      </c>
      <c r="D35" s="438" t="s">
        <v>509</v>
      </c>
      <c r="E35" s="437" t="s">
        <v>41</v>
      </c>
      <c r="F35" s="437" t="s">
        <v>42</v>
      </c>
      <c r="G35" s="116" t="s">
        <v>43</v>
      </c>
      <c r="H35" s="117" t="s">
        <v>750</v>
      </c>
      <c r="I35" s="35"/>
      <c r="J35" s="36"/>
      <c r="K35" s="36"/>
      <c r="L35" s="36"/>
      <c r="M35" s="36"/>
      <c r="N35" s="36"/>
      <c r="O35" s="36"/>
      <c r="P35" s="36"/>
      <c r="Q35" s="36"/>
      <c r="R35" s="36"/>
      <c r="S35" s="36"/>
      <c r="T35" s="36"/>
      <c r="U35" s="36"/>
      <c r="V35" s="36"/>
      <c r="W35" s="36"/>
      <c r="X35" s="36"/>
      <c r="Y35" s="36"/>
      <c r="Z35" s="36"/>
      <c r="AA35" s="36"/>
      <c r="AB35" s="36"/>
    </row>
    <row r="36" spans="1:28" ht="36" customHeight="1">
      <c r="A36" s="67" t="str">
        <f>HYPERLINK("http://www.secretariasenado.gov.co/senado/basedoc/ley_1943_2018.html","Ley de Financiamiento 1943 -Reforma Tributaria")</f>
        <v>Ley de Financiamiento 1943 -Reforma Tributaria</v>
      </c>
      <c r="B36" s="482">
        <v>43462</v>
      </c>
      <c r="C36" s="483" t="s">
        <v>781</v>
      </c>
      <c r="D36" s="484" t="s">
        <v>782</v>
      </c>
      <c r="E36" s="483" t="s">
        <v>783</v>
      </c>
      <c r="F36" s="485" t="s">
        <v>42</v>
      </c>
      <c r="G36" s="219" t="s">
        <v>43</v>
      </c>
      <c r="H36" s="201" t="s">
        <v>750</v>
      </c>
      <c r="I36" s="35"/>
      <c r="J36" s="36"/>
      <c r="K36" s="36"/>
      <c r="L36" s="36"/>
      <c r="M36" s="36"/>
      <c r="N36" s="36"/>
      <c r="O36" s="36"/>
      <c r="P36" s="36"/>
      <c r="Q36" s="36"/>
      <c r="R36" s="36"/>
      <c r="S36" s="36"/>
      <c r="T36" s="36"/>
      <c r="U36" s="36"/>
      <c r="V36" s="36"/>
      <c r="W36" s="36"/>
      <c r="X36" s="36"/>
      <c r="Y36" s="36"/>
      <c r="Z36" s="36"/>
      <c r="AA36" s="36"/>
      <c r="AB36" s="36"/>
    </row>
    <row r="37" spans="1:28" ht="30.75" customHeight="1">
      <c r="A37" s="68" t="str">
        <f>HYPERLINK("https://www.alcaldiabogota.gov.co/sisjur/normas/Norma1.jsp?i=82445#265","LEY 1952")</f>
        <v>LEY 1952</v>
      </c>
      <c r="B37" s="481">
        <v>43493</v>
      </c>
      <c r="C37" s="391" t="s">
        <v>781</v>
      </c>
      <c r="D37" s="442" t="s">
        <v>418</v>
      </c>
      <c r="E37" s="391" t="s">
        <v>41</v>
      </c>
      <c r="F37" s="391" t="s">
        <v>42</v>
      </c>
      <c r="G37" s="279"/>
      <c r="H37" s="117"/>
      <c r="I37" s="35"/>
      <c r="J37" s="36"/>
      <c r="K37" s="36"/>
      <c r="L37" s="36"/>
      <c r="M37" s="36"/>
      <c r="N37" s="36"/>
      <c r="O37" s="36"/>
      <c r="P37" s="36"/>
      <c r="Q37" s="36"/>
      <c r="R37" s="36"/>
      <c r="S37" s="36"/>
      <c r="T37" s="36"/>
      <c r="U37" s="36"/>
      <c r="V37" s="36"/>
      <c r="W37" s="36"/>
      <c r="X37" s="36"/>
      <c r="Y37" s="36"/>
      <c r="Z37" s="36"/>
      <c r="AA37" s="36"/>
      <c r="AB37" s="36"/>
    </row>
    <row r="38" spans="1:28" ht="30.75" customHeight="1">
      <c r="A38" s="67" t="str">
        <f>HYPERLINK("http://www.secretariasenado.gov.co/senado/basedoc/acto_legislativo_03_2011.html","ACTO LEGISLATIVO 3")</f>
        <v>ACTO LEGISLATIVO 3</v>
      </c>
      <c r="B38" s="481">
        <v>40725</v>
      </c>
      <c r="C38" s="437" t="s">
        <v>39</v>
      </c>
      <c r="D38" s="438" t="s">
        <v>785</v>
      </c>
      <c r="E38" s="437" t="s">
        <v>41</v>
      </c>
      <c r="F38" s="437" t="s">
        <v>42</v>
      </c>
      <c r="G38" s="116" t="s">
        <v>43</v>
      </c>
      <c r="H38" s="117" t="s">
        <v>750</v>
      </c>
      <c r="I38" s="35"/>
      <c r="J38" s="36"/>
      <c r="K38" s="36"/>
      <c r="L38" s="36"/>
      <c r="M38" s="36"/>
      <c r="N38" s="36"/>
      <c r="O38" s="36"/>
      <c r="P38" s="36"/>
      <c r="Q38" s="36"/>
      <c r="R38" s="36"/>
      <c r="S38" s="36"/>
      <c r="T38" s="36"/>
      <c r="U38" s="36"/>
      <c r="V38" s="36"/>
      <c r="W38" s="36"/>
      <c r="X38" s="36"/>
      <c r="Y38" s="36"/>
      <c r="Z38" s="36"/>
      <c r="AA38" s="36"/>
      <c r="AB38" s="36"/>
    </row>
    <row r="39" spans="1:28" ht="36" customHeight="1">
      <c r="A39" s="67" t="str">
        <f>HYPERLINK("https://www.funcionpublica.gov.co/eva/gestornormativo/norma.php?i=43391","ACTO LEGISLATIVO 5")</f>
        <v>ACTO LEGISLATIVO 5</v>
      </c>
      <c r="B39" s="481">
        <v>40742</v>
      </c>
      <c r="C39" s="437" t="s">
        <v>39</v>
      </c>
      <c r="D39" s="438" t="s">
        <v>787</v>
      </c>
      <c r="E39" s="437" t="s">
        <v>41</v>
      </c>
      <c r="F39" s="437" t="s">
        <v>42</v>
      </c>
      <c r="G39" s="116" t="s">
        <v>43</v>
      </c>
      <c r="H39" s="117" t="s">
        <v>750</v>
      </c>
      <c r="I39" s="35"/>
      <c r="J39" s="36"/>
      <c r="K39" s="36"/>
      <c r="L39" s="36"/>
      <c r="M39" s="36"/>
      <c r="N39" s="36"/>
      <c r="O39" s="36"/>
      <c r="P39" s="36"/>
      <c r="Q39" s="36"/>
      <c r="R39" s="36"/>
      <c r="S39" s="36"/>
      <c r="T39" s="36"/>
      <c r="U39" s="36"/>
      <c r="V39" s="36"/>
      <c r="W39" s="36"/>
      <c r="X39" s="36"/>
      <c r="Y39" s="36"/>
      <c r="Z39" s="36"/>
      <c r="AA39" s="36"/>
      <c r="AB39" s="36"/>
    </row>
    <row r="40" spans="1:28" ht="24" customHeight="1">
      <c r="A40" s="49" t="str">
        <f>HYPERLINK("https://www.funcionpublica.gov.co/eva/gestornormativo/norma.php?i=6533","DECRETO 624")</f>
        <v>DECRETO 624</v>
      </c>
      <c r="B40" s="481">
        <v>32597</v>
      </c>
      <c r="C40" s="437" t="s">
        <v>57</v>
      </c>
      <c r="D40" s="438" t="s">
        <v>497</v>
      </c>
      <c r="E40" s="437" t="s">
        <v>41</v>
      </c>
      <c r="F40" s="437" t="s">
        <v>42</v>
      </c>
      <c r="G40" s="116" t="s">
        <v>43</v>
      </c>
      <c r="H40" s="117" t="s">
        <v>750</v>
      </c>
      <c r="I40" s="35"/>
      <c r="J40" s="36"/>
      <c r="K40" s="36"/>
      <c r="L40" s="36"/>
      <c r="M40" s="36"/>
      <c r="N40" s="36"/>
      <c r="O40" s="36"/>
      <c r="P40" s="36"/>
      <c r="Q40" s="36"/>
      <c r="R40" s="36"/>
      <c r="S40" s="36"/>
      <c r="T40" s="36"/>
      <c r="U40" s="36"/>
      <c r="V40" s="36"/>
      <c r="W40" s="36"/>
      <c r="X40" s="36"/>
      <c r="Y40" s="36"/>
      <c r="Z40" s="36"/>
      <c r="AA40" s="36"/>
      <c r="AB40" s="36"/>
    </row>
    <row r="41" spans="1:28" ht="24" customHeight="1">
      <c r="A41" s="49" t="str">
        <f>HYPERLINK("http://www.secretariasenado.gov.co/senado/basedoc/decreto_1421_1993.html","DECRETO LEY 1421")</f>
        <v>DECRETO LEY 1421</v>
      </c>
      <c r="B41" s="481">
        <v>34172</v>
      </c>
      <c r="C41" s="437" t="s">
        <v>57</v>
      </c>
      <c r="D41" s="438" t="s">
        <v>513</v>
      </c>
      <c r="E41" s="437" t="s">
        <v>41</v>
      </c>
      <c r="F41" s="437" t="s">
        <v>42</v>
      </c>
      <c r="G41" s="116" t="s">
        <v>43</v>
      </c>
      <c r="H41" s="117" t="s">
        <v>750</v>
      </c>
      <c r="I41" s="35"/>
      <c r="J41" s="36"/>
      <c r="K41" s="36"/>
      <c r="L41" s="36"/>
      <c r="M41" s="36"/>
      <c r="N41" s="36"/>
      <c r="O41" s="36"/>
      <c r="P41" s="36"/>
      <c r="Q41" s="36"/>
      <c r="R41" s="36"/>
      <c r="S41" s="36"/>
      <c r="T41" s="36"/>
      <c r="U41" s="36"/>
      <c r="V41" s="36"/>
      <c r="W41" s="36"/>
      <c r="X41" s="36"/>
      <c r="Y41" s="36"/>
      <c r="Z41" s="36"/>
      <c r="AA41" s="36"/>
      <c r="AB41" s="36"/>
    </row>
    <row r="42" spans="1:28" ht="204" customHeight="1">
      <c r="A42" s="49" t="str">
        <f>HYPERLINK("http://www.secretariasenado.gov.co/senado/basedoc/decreto_0111_1996.html","DECRETO 111")</f>
        <v>DECRETO 111</v>
      </c>
      <c r="B42" s="481">
        <v>35082</v>
      </c>
      <c r="C42" s="437" t="s">
        <v>57</v>
      </c>
      <c r="D42" s="438" t="s">
        <v>791</v>
      </c>
      <c r="E42" s="437" t="s">
        <v>792</v>
      </c>
      <c r="F42" s="438" t="s">
        <v>793</v>
      </c>
      <c r="G42" s="116" t="s">
        <v>43</v>
      </c>
      <c r="H42" s="117" t="s">
        <v>750</v>
      </c>
      <c r="I42" s="35"/>
      <c r="J42" s="36"/>
      <c r="K42" s="36"/>
      <c r="L42" s="36"/>
      <c r="M42" s="36"/>
      <c r="N42" s="36"/>
      <c r="O42" s="36"/>
      <c r="P42" s="36"/>
      <c r="Q42" s="36"/>
      <c r="R42" s="36"/>
      <c r="S42" s="36"/>
      <c r="T42" s="36"/>
      <c r="U42" s="36"/>
      <c r="V42" s="36"/>
      <c r="W42" s="36"/>
      <c r="X42" s="36"/>
      <c r="Y42" s="36"/>
      <c r="Z42" s="36"/>
      <c r="AA42" s="36"/>
      <c r="AB42" s="36"/>
    </row>
    <row r="43" spans="1:28" ht="48" customHeight="1">
      <c r="A43" s="49" t="str">
        <f>HYPERLINK("https://www.funcionpublica.gov.co/eva/gestornormativo/norma.php?i=7215","DECRETO 115")</f>
        <v>DECRETO 115</v>
      </c>
      <c r="B43" s="481">
        <v>35079</v>
      </c>
      <c r="C43" s="437" t="s">
        <v>57</v>
      </c>
      <c r="D43" s="438" t="s">
        <v>795</v>
      </c>
      <c r="E43" s="437" t="s">
        <v>41</v>
      </c>
      <c r="F43" s="437" t="s">
        <v>42</v>
      </c>
      <c r="G43" s="116" t="s">
        <v>43</v>
      </c>
      <c r="H43" s="117" t="s">
        <v>750</v>
      </c>
      <c r="I43" s="35"/>
      <c r="J43" s="36"/>
      <c r="K43" s="36"/>
      <c r="L43" s="36"/>
      <c r="M43" s="36"/>
      <c r="N43" s="36"/>
      <c r="O43" s="36"/>
      <c r="P43" s="36"/>
      <c r="Q43" s="36"/>
      <c r="R43" s="36"/>
      <c r="S43" s="36"/>
      <c r="T43" s="36"/>
      <c r="U43" s="36"/>
      <c r="V43" s="36"/>
      <c r="W43" s="36"/>
      <c r="X43" s="36"/>
      <c r="Y43" s="36"/>
      <c r="Z43" s="36"/>
      <c r="AA43" s="36"/>
      <c r="AB43" s="36"/>
    </row>
    <row r="44" spans="1:28" ht="24" customHeight="1">
      <c r="A44" s="49" t="str">
        <f>HYPERLINK("https://www.alcaldiabogota.gov.co/sisjur/normas/Norma1.jsp?i=3135#1","DECRETO 396")</f>
        <v>DECRETO 396</v>
      </c>
      <c r="B44" s="481">
        <v>35227</v>
      </c>
      <c r="C44" s="437" t="s">
        <v>61</v>
      </c>
      <c r="D44" s="438" t="s">
        <v>797</v>
      </c>
      <c r="E44" s="437" t="s">
        <v>41</v>
      </c>
      <c r="F44" s="437" t="s">
        <v>42</v>
      </c>
      <c r="G44" s="116" t="s">
        <v>43</v>
      </c>
      <c r="H44" s="117" t="s">
        <v>750</v>
      </c>
      <c r="I44" s="35"/>
      <c r="J44" s="36"/>
      <c r="K44" s="36"/>
      <c r="L44" s="36"/>
      <c r="M44" s="36"/>
      <c r="N44" s="36"/>
      <c r="O44" s="36"/>
      <c r="P44" s="36"/>
      <c r="Q44" s="36"/>
      <c r="R44" s="36"/>
      <c r="S44" s="36"/>
      <c r="T44" s="36"/>
      <c r="U44" s="36"/>
      <c r="V44" s="36"/>
      <c r="W44" s="36"/>
      <c r="X44" s="36"/>
      <c r="Y44" s="36"/>
      <c r="Z44" s="36"/>
      <c r="AA44" s="36"/>
      <c r="AB44" s="36"/>
    </row>
    <row r="45" spans="1:28" ht="24" customHeight="1">
      <c r="A45" s="48" t="str">
        <f>HYPERLINK("http://www.bogotajuridica.gov.co/sisjur/normas/Norma1.jsp?i=1693","DECRETO 714")</f>
        <v>DECRETO 714</v>
      </c>
      <c r="B45" s="480">
        <v>35384</v>
      </c>
      <c r="C45" s="437" t="s">
        <v>61</v>
      </c>
      <c r="D45" s="438" t="s">
        <v>523</v>
      </c>
      <c r="E45" s="437" t="s">
        <v>41</v>
      </c>
      <c r="F45" s="437" t="s">
        <v>42</v>
      </c>
      <c r="G45" s="116" t="s">
        <v>43</v>
      </c>
      <c r="H45" s="117" t="s">
        <v>750</v>
      </c>
      <c r="I45" s="35"/>
      <c r="J45" s="36"/>
      <c r="K45" s="36"/>
      <c r="L45" s="36"/>
      <c r="M45" s="36"/>
      <c r="N45" s="36"/>
      <c r="O45" s="36"/>
      <c r="P45" s="36"/>
      <c r="Q45" s="36"/>
      <c r="R45" s="36"/>
      <c r="S45" s="36"/>
      <c r="T45" s="36"/>
      <c r="U45" s="36"/>
      <c r="V45" s="36"/>
      <c r="W45" s="36"/>
      <c r="X45" s="36"/>
      <c r="Y45" s="36"/>
      <c r="Z45" s="36"/>
      <c r="AA45" s="36"/>
      <c r="AB45" s="36"/>
    </row>
    <row r="46" spans="1:28" ht="24" customHeight="1">
      <c r="A46" s="48" t="str">
        <f>HYPERLINK("https://www.alcaldiabogota.gov.co/sisjur/normas/Norma1.jsp?i=9706&amp;dt=S","DECRETO 350")</f>
        <v>DECRETO 350</v>
      </c>
      <c r="B46" s="481">
        <v>37902</v>
      </c>
      <c r="C46" s="437" t="s">
        <v>61</v>
      </c>
      <c r="D46" s="438" t="s">
        <v>534</v>
      </c>
      <c r="E46" s="437" t="s">
        <v>41</v>
      </c>
      <c r="F46" s="437" t="s">
        <v>42</v>
      </c>
      <c r="G46" s="116" t="s">
        <v>43</v>
      </c>
      <c r="H46" s="117" t="s">
        <v>750</v>
      </c>
      <c r="I46" s="35"/>
      <c r="J46" s="36"/>
      <c r="K46" s="36"/>
      <c r="L46" s="36"/>
      <c r="M46" s="36"/>
      <c r="N46" s="36"/>
      <c r="O46" s="36"/>
      <c r="P46" s="36"/>
      <c r="Q46" s="36"/>
      <c r="R46" s="36"/>
      <c r="S46" s="36"/>
      <c r="T46" s="36"/>
      <c r="U46" s="36"/>
      <c r="V46" s="36"/>
      <c r="W46" s="36"/>
      <c r="X46" s="36"/>
      <c r="Y46" s="36"/>
      <c r="Z46" s="36"/>
      <c r="AA46" s="36"/>
      <c r="AB46" s="36"/>
    </row>
    <row r="47" spans="1:28" ht="48" customHeight="1">
      <c r="A47" s="49" t="str">
        <f>HYPERLINK("https://www.alcaldiabogota.gov.co/sisjur/normas/Norma1.jsp?i=14968&amp;dt=S","DECRETO 321")</f>
        <v>DECRETO 321</v>
      </c>
      <c r="B47" s="481">
        <v>38268</v>
      </c>
      <c r="C47" s="437" t="s">
        <v>61</v>
      </c>
      <c r="D47" s="438" t="s">
        <v>535</v>
      </c>
      <c r="E47" s="437" t="s">
        <v>41</v>
      </c>
      <c r="F47" s="437" t="s">
        <v>42</v>
      </c>
      <c r="G47" s="116" t="s">
        <v>43</v>
      </c>
      <c r="H47" s="117" t="s">
        <v>750</v>
      </c>
      <c r="I47" s="35"/>
      <c r="J47" s="36"/>
      <c r="K47" s="36"/>
      <c r="L47" s="36"/>
      <c r="M47" s="36"/>
      <c r="N47" s="36"/>
      <c r="O47" s="36"/>
      <c r="P47" s="36"/>
      <c r="Q47" s="36"/>
      <c r="R47" s="36"/>
      <c r="S47" s="36"/>
      <c r="T47" s="36"/>
      <c r="U47" s="36"/>
      <c r="V47" s="36"/>
      <c r="W47" s="36"/>
      <c r="X47" s="36"/>
      <c r="Y47" s="36"/>
      <c r="Z47" s="36"/>
      <c r="AA47" s="36"/>
      <c r="AB47" s="36"/>
    </row>
    <row r="48" spans="1:28" ht="36" customHeight="1">
      <c r="A48" s="48" t="str">
        <f>HYPERLINK("https://www.alcaldiabogota.gov.co/sisjur/normas/Norma1.jsp?i=14970","DECRETO 323")</f>
        <v>DECRETO 323</v>
      </c>
      <c r="B48" s="481">
        <v>38268</v>
      </c>
      <c r="C48" s="437" t="s">
        <v>61</v>
      </c>
      <c r="D48" s="438" t="s">
        <v>802</v>
      </c>
      <c r="E48" s="437" t="s">
        <v>41</v>
      </c>
      <c r="F48" s="437" t="s">
        <v>42</v>
      </c>
      <c r="G48" s="116" t="s">
        <v>43</v>
      </c>
      <c r="H48" s="117" t="s">
        <v>750</v>
      </c>
      <c r="I48" s="35"/>
      <c r="J48" s="36"/>
      <c r="K48" s="36"/>
      <c r="L48" s="36"/>
      <c r="M48" s="36"/>
      <c r="N48" s="36"/>
      <c r="O48" s="36"/>
      <c r="P48" s="36"/>
      <c r="Q48" s="36"/>
      <c r="R48" s="36"/>
      <c r="S48" s="36"/>
      <c r="T48" s="36"/>
      <c r="U48" s="36"/>
      <c r="V48" s="36"/>
      <c r="W48" s="36"/>
      <c r="X48" s="36"/>
      <c r="Y48" s="36"/>
      <c r="Z48" s="36"/>
      <c r="AA48" s="36"/>
      <c r="AB48" s="36"/>
    </row>
    <row r="49" spans="1:28" ht="36" customHeight="1">
      <c r="A49" s="49" t="str">
        <f>HYPERLINK("https://bibliotecadigital.ccb.org.co/bitstream/handle/11520/13679/Decreto%20037%20de%202005.pdf?sequence=1&amp;isAllowed=y","DECRETO DISTRITAL 37")</f>
        <v>DECRETO DISTRITAL 37</v>
      </c>
      <c r="B49" s="481">
        <v>38401</v>
      </c>
      <c r="C49" s="437" t="s">
        <v>61</v>
      </c>
      <c r="D49" s="438" t="s">
        <v>67</v>
      </c>
      <c r="E49" s="437" t="s">
        <v>41</v>
      </c>
      <c r="F49" s="437" t="s">
        <v>42</v>
      </c>
      <c r="G49" s="116" t="s">
        <v>43</v>
      </c>
      <c r="H49" s="117" t="s">
        <v>750</v>
      </c>
      <c r="I49" s="35"/>
      <c r="J49" s="36"/>
      <c r="K49" s="36"/>
      <c r="L49" s="36"/>
      <c r="M49" s="36"/>
      <c r="N49" s="36"/>
      <c r="O49" s="36"/>
      <c r="P49" s="36"/>
      <c r="Q49" s="36"/>
      <c r="R49" s="36"/>
      <c r="S49" s="36"/>
      <c r="T49" s="36"/>
      <c r="U49" s="36"/>
      <c r="V49" s="36"/>
      <c r="W49" s="36"/>
      <c r="X49" s="36"/>
      <c r="Y49" s="36"/>
      <c r="Z49" s="36"/>
      <c r="AA49" s="36"/>
      <c r="AB49" s="36"/>
    </row>
    <row r="50" spans="1:28" ht="24" customHeight="1">
      <c r="A50" s="49" t="str">
        <f>HYPERLINK("https://www.alcaldiabogota.gov.co/sisjur/normas/Norma1.jsp?i=18712#30","DECRETO 4730")</f>
        <v>DECRETO 4730</v>
      </c>
      <c r="B50" s="480">
        <v>38714</v>
      </c>
      <c r="C50" s="437" t="s">
        <v>57</v>
      </c>
      <c r="D50" s="438" t="s">
        <v>805</v>
      </c>
      <c r="E50" s="437" t="s">
        <v>41</v>
      </c>
      <c r="F50" s="437" t="s">
        <v>42</v>
      </c>
      <c r="G50" s="116" t="s">
        <v>43</v>
      </c>
      <c r="H50" s="117" t="s">
        <v>750</v>
      </c>
      <c r="I50" s="35"/>
      <c r="J50" s="36"/>
      <c r="K50" s="36"/>
      <c r="L50" s="36"/>
      <c r="M50" s="36"/>
      <c r="N50" s="36"/>
      <c r="O50" s="36"/>
      <c r="P50" s="36"/>
      <c r="Q50" s="36"/>
      <c r="R50" s="36"/>
      <c r="S50" s="36"/>
      <c r="T50" s="36"/>
      <c r="U50" s="36"/>
      <c r="V50" s="36"/>
      <c r="W50" s="36"/>
      <c r="X50" s="36"/>
      <c r="Y50" s="36"/>
      <c r="Z50" s="36"/>
      <c r="AA50" s="36"/>
      <c r="AB50" s="36"/>
    </row>
    <row r="51" spans="1:28" ht="24" customHeight="1">
      <c r="A51" s="49" t="str">
        <f>HYPERLINK("http://www.shd.gov.co/shd/node/665","DECRETO 390")</f>
        <v>DECRETO 390</v>
      </c>
      <c r="B51" s="480">
        <v>39765</v>
      </c>
      <c r="C51" s="437" t="s">
        <v>61</v>
      </c>
      <c r="D51" s="438" t="s">
        <v>809</v>
      </c>
      <c r="E51" s="437" t="s">
        <v>41</v>
      </c>
      <c r="F51" s="437" t="s">
        <v>42</v>
      </c>
      <c r="G51" s="116" t="s">
        <v>43</v>
      </c>
      <c r="H51" s="117" t="s">
        <v>750</v>
      </c>
      <c r="I51" s="35"/>
      <c r="J51" s="36"/>
      <c r="K51" s="36"/>
      <c r="L51" s="36"/>
      <c r="M51" s="36"/>
      <c r="N51" s="36"/>
      <c r="O51" s="36"/>
      <c r="P51" s="36"/>
      <c r="Q51" s="36"/>
      <c r="R51" s="36"/>
      <c r="S51" s="36"/>
      <c r="T51" s="36"/>
      <c r="U51" s="36"/>
      <c r="V51" s="36"/>
      <c r="W51" s="36"/>
      <c r="X51" s="36"/>
      <c r="Y51" s="36"/>
      <c r="Z51" s="36"/>
      <c r="AA51" s="36"/>
      <c r="AB51" s="36"/>
    </row>
    <row r="52" spans="1:28" ht="24" customHeight="1">
      <c r="A52" s="49" t="str">
        <f>HYPERLINK("https://www.alcaldiabogota.gov.co/sisjur/normas/Norma1.jsp?i=30211","DECRETO 1525")</f>
        <v>DECRETO 1525</v>
      </c>
      <c r="B52" s="481">
        <v>39577</v>
      </c>
      <c r="C52" s="437" t="s">
        <v>57</v>
      </c>
      <c r="D52" s="438" t="s">
        <v>811</v>
      </c>
      <c r="E52" s="437" t="s">
        <v>41</v>
      </c>
      <c r="F52" s="437" t="s">
        <v>42</v>
      </c>
      <c r="G52" s="116" t="s">
        <v>43</v>
      </c>
      <c r="H52" s="117" t="s">
        <v>750</v>
      </c>
      <c r="I52" s="35"/>
      <c r="J52" s="36"/>
      <c r="K52" s="36"/>
      <c r="L52" s="36"/>
      <c r="M52" s="36"/>
      <c r="N52" s="36"/>
      <c r="O52" s="36"/>
      <c r="P52" s="36"/>
      <c r="Q52" s="36"/>
      <c r="R52" s="36"/>
      <c r="S52" s="36"/>
      <c r="T52" s="36"/>
      <c r="U52" s="36"/>
      <c r="V52" s="36"/>
      <c r="W52" s="36"/>
      <c r="X52" s="36"/>
      <c r="Y52" s="36"/>
      <c r="Z52" s="36"/>
      <c r="AA52" s="36"/>
      <c r="AB52" s="36"/>
    </row>
    <row r="53" spans="1:28" ht="24" customHeight="1">
      <c r="A53" s="49" t="str">
        <f>HYPERLINK("https://www.funcionpublica.gov.co/eva/gestornormativo/norma.php?i=28750","DECRETO 313")</f>
        <v>DECRETO 313</v>
      </c>
      <c r="B53" s="481">
        <v>39484</v>
      </c>
      <c r="C53" s="437" t="s">
        <v>57</v>
      </c>
      <c r="D53" s="438" t="s">
        <v>813</v>
      </c>
      <c r="E53" s="437" t="s">
        <v>41</v>
      </c>
      <c r="F53" s="437" t="s">
        <v>42</v>
      </c>
      <c r="G53" s="116" t="s">
        <v>43</v>
      </c>
      <c r="H53" s="117" t="s">
        <v>750</v>
      </c>
      <c r="I53" s="35"/>
      <c r="J53" s="36"/>
      <c r="K53" s="36"/>
      <c r="L53" s="36"/>
      <c r="M53" s="36"/>
      <c r="N53" s="36"/>
      <c r="O53" s="36"/>
      <c r="P53" s="36"/>
      <c r="Q53" s="36"/>
      <c r="R53" s="36"/>
      <c r="S53" s="36"/>
      <c r="T53" s="36"/>
      <c r="U53" s="36"/>
      <c r="V53" s="36"/>
      <c r="W53" s="36"/>
      <c r="X53" s="36"/>
      <c r="Y53" s="36"/>
      <c r="Z53" s="36"/>
      <c r="AA53" s="36"/>
      <c r="AB53" s="36"/>
    </row>
    <row r="54" spans="1:28" ht="24" customHeight="1">
      <c r="A54" s="49" t="str">
        <f>HYPERLINK("https://www.alcaldiabogota.gov.co/sisjur/normas/Norma1.jsp?i=36199","DECRETO 1716")</f>
        <v>DECRETO 1716</v>
      </c>
      <c r="B54" s="481">
        <v>40039</v>
      </c>
      <c r="C54" s="437" t="s">
        <v>57</v>
      </c>
      <c r="D54" s="438" t="s">
        <v>815</v>
      </c>
      <c r="E54" s="437" t="s">
        <v>41</v>
      </c>
      <c r="F54" s="437" t="s">
        <v>42</v>
      </c>
      <c r="G54" s="116" t="s">
        <v>43</v>
      </c>
      <c r="H54" s="117" t="s">
        <v>750</v>
      </c>
      <c r="I54" s="35"/>
      <c r="J54" s="36"/>
      <c r="K54" s="36"/>
      <c r="L54" s="36"/>
      <c r="M54" s="36"/>
      <c r="N54" s="36"/>
      <c r="O54" s="36"/>
      <c r="P54" s="36"/>
      <c r="Q54" s="36"/>
      <c r="R54" s="36"/>
      <c r="S54" s="36"/>
      <c r="T54" s="36"/>
      <c r="U54" s="36"/>
      <c r="V54" s="36"/>
      <c r="W54" s="36"/>
      <c r="X54" s="36"/>
      <c r="Y54" s="36"/>
      <c r="Z54" s="36"/>
      <c r="AA54" s="36"/>
      <c r="AB54" s="36"/>
    </row>
    <row r="55" spans="1:28" ht="24" customHeight="1">
      <c r="A55" s="49" t="str">
        <f>HYPERLINK("https://j.accounter.co/images/stories/Documento/dec493918122009.pdf","DECRETO 4939")</f>
        <v>DECRETO 4939</v>
      </c>
      <c r="B55" s="480">
        <v>40165</v>
      </c>
      <c r="C55" s="437" t="s">
        <v>260</v>
      </c>
      <c r="D55" s="438" t="s">
        <v>817</v>
      </c>
      <c r="E55" s="437" t="s">
        <v>41</v>
      </c>
      <c r="F55" s="437" t="s">
        <v>42</v>
      </c>
      <c r="G55" s="116" t="s">
        <v>43</v>
      </c>
      <c r="H55" s="117" t="s">
        <v>750</v>
      </c>
      <c r="I55" s="35"/>
      <c r="J55" s="36"/>
      <c r="K55" s="36"/>
      <c r="L55" s="36"/>
      <c r="M55" s="36"/>
      <c r="N55" s="36"/>
      <c r="O55" s="36"/>
      <c r="P55" s="36"/>
      <c r="Q55" s="36"/>
      <c r="R55" s="36"/>
      <c r="S55" s="36"/>
      <c r="T55" s="36"/>
      <c r="U55" s="36"/>
      <c r="V55" s="36"/>
      <c r="W55" s="36"/>
      <c r="X55" s="36"/>
      <c r="Y55" s="36"/>
      <c r="Z55" s="36"/>
      <c r="AA55" s="36"/>
      <c r="AB55" s="36"/>
    </row>
    <row r="56" spans="1:28" ht="36" customHeight="1">
      <c r="A56" s="49" t="str">
        <f>HYPERLINK("https://www.funcionpublica.gov.co/eva/gestornormativo/norma.php?i=40032","DECRETO 2555")</f>
        <v>DECRETO 2555</v>
      </c>
      <c r="B56" s="481">
        <v>40374</v>
      </c>
      <c r="C56" s="437" t="s">
        <v>260</v>
      </c>
      <c r="D56" s="438" t="s">
        <v>819</v>
      </c>
      <c r="E56" s="437" t="s">
        <v>41</v>
      </c>
      <c r="F56" s="437" t="s">
        <v>42</v>
      </c>
      <c r="G56" s="116" t="s">
        <v>43</v>
      </c>
      <c r="H56" s="117" t="s">
        <v>750</v>
      </c>
      <c r="I56" s="35"/>
      <c r="J56" s="36"/>
      <c r="K56" s="36"/>
      <c r="L56" s="36"/>
      <c r="M56" s="36"/>
      <c r="N56" s="36"/>
      <c r="O56" s="36"/>
      <c r="P56" s="36"/>
      <c r="Q56" s="36"/>
      <c r="R56" s="36"/>
      <c r="S56" s="36"/>
      <c r="T56" s="36"/>
      <c r="U56" s="36"/>
      <c r="V56" s="36"/>
      <c r="W56" s="36"/>
      <c r="X56" s="36"/>
      <c r="Y56" s="36"/>
      <c r="Z56" s="36"/>
      <c r="AA56" s="36"/>
      <c r="AB56" s="36"/>
    </row>
    <row r="57" spans="1:28" ht="24" customHeight="1">
      <c r="A57" s="49" t="str">
        <f>HYPERLINK("http://www.shd.gov.co/shd/node/668","DECRETO 397")</f>
        <v>DECRETO 397</v>
      </c>
      <c r="B57" s="481">
        <v>40781</v>
      </c>
      <c r="C57" s="437" t="s">
        <v>61</v>
      </c>
      <c r="D57" s="438" t="s">
        <v>823</v>
      </c>
      <c r="E57" s="437" t="s">
        <v>41</v>
      </c>
      <c r="F57" s="437" t="s">
        <v>42</v>
      </c>
      <c r="G57" s="116" t="s">
        <v>43</v>
      </c>
      <c r="H57" s="117" t="s">
        <v>750</v>
      </c>
      <c r="I57" s="35"/>
      <c r="J57" s="36"/>
      <c r="K57" s="36"/>
      <c r="L57" s="36"/>
      <c r="M57" s="36"/>
      <c r="N57" s="36"/>
      <c r="O57" s="36"/>
      <c r="P57" s="36"/>
      <c r="Q57" s="36"/>
      <c r="R57" s="36"/>
      <c r="S57" s="36"/>
      <c r="T57" s="36"/>
      <c r="U57" s="36"/>
      <c r="V57" s="36"/>
      <c r="W57" s="36"/>
      <c r="X57" s="36"/>
      <c r="Y57" s="36"/>
      <c r="Z57" s="36"/>
      <c r="AA57" s="36"/>
      <c r="AB57" s="36"/>
    </row>
    <row r="58" spans="1:28" ht="24" customHeight="1">
      <c r="A58" s="49" t="str">
        <f>HYPERLINK("https://www.funcionpublica.gov.co/eva/gestornormativo/norma.php?i=51140","DECRETO 2767")</f>
        <v>DECRETO 2767</v>
      </c>
      <c r="B58" s="480">
        <v>41271</v>
      </c>
      <c r="C58" s="437" t="s">
        <v>57</v>
      </c>
      <c r="D58" s="438" t="s">
        <v>825</v>
      </c>
      <c r="E58" s="437" t="s">
        <v>41</v>
      </c>
      <c r="F58" s="437" t="s">
        <v>42</v>
      </c>
      <c r="G58" s="116" t="s">
        <v>43</v>
      </c>
      <c r="H58" s="117" t="s">
        <v>750</v>
      </c>
      <c r="I58" s="35"/>
      <c r="J58" s="36"/>
      <c r="K58" s="36"/>
      <c r="L58" s="36"/>
      <c r="M58" s="36"/>
      <c r="N58" s="36"/>
      <c r="O58" s="36"/>
      <c r="P58" s="36"/>
      <c r="Q58" s="36"/>
      <c r="R58" s="36"/>
      <c r="S58" s="36"/>
      <c r="T58" s="36"/>
      <c r="U58" s="36"/>
      <c r="V58" s="36"/>
      <c r="W58" s="36"/>
      <c r="X58" s="36"/>
      <c r="Y58" s="36"/>
      <c r="Z58" s="36"/>
      <c r="AA58" s="36"/>
      <c r="AB58" s="36"/>
    </row>
    <row r="59" spans="1:28" ht="24" customHeight="1">
      <c r="A59" s="49" t="str">
        <f>HYPERLINK("https://www.alcaldiabogota.gov.co/sisjur/normas/Norma1.jsp?i=48266#0","DECRETO 1467")</f>
        <v>DECRETO 1467</v>
      </c>
      <c r="B59" s="481">
        <v>41096</v>
      </c>
      <c r="C59" s="437" t="s">
        <v>57</v>
      </c>
      <c r="D59" s="438" t="s">
        <v>827</v>
      </c>
      <c r="E59" s="437" t="s">
        <v>41</v>
      </c>
      <c r="F59" s="437" t="s">
        <v>42</v>
      </c>
      <c r="G59" s="116" t="s">
        <v>43</v>
      </c>
      <c r="H59" s="117" t="s">
        <v>750</v>
      </c>
      <c r="I59" s="35"/>
      <c r="J59" s="36"/>
      <c r="K59" s="36"/>
      <c r="L59" s="36"/>
      <c r="M59" s="36"/>
      <c r="N59" s="36"/>
      <c r="O59" s="36"/>
      <c r="P59" s="36"/>
      <c r="Q59" s="36"/>
      <c r="R59" s="36"/>
      <c r="S59" s="36"/>
      <c r="T59" s="36"/>
      <c r="U59" s="36"/>
      <c r="V59" s="36"/>
      <c r="W59" s="36"/>
      <c r="X59" s="36"/>
      <c r="Y59" s="36"/>
      <c r="Z59" s="36"/>
      <c r="AA59" s="36"/>
      <c r="AB59" s="36"/>
    </row>
    <row r="60" spans="1:28" ht="24" customHeight="1">
      <c r="A60" s="49" t="str">
        <f>HYPERLINK("https://www.alcaldiabogota.gov.co/sisjur/normas/Norma1.jsp?i=49580#75","DECRETO 1949")</f>
        <v>DECRETO 1949</v>
      </c>
      <c r="B60" s="481">
        <v>41171</v>
      </c>
      <c r="C60" s="437" t="s">
        <v>302</v>
      </c>
      <c r="D60" s="438" t="s">
        <v>829</v>
      </c>
      <c r="E60" s="437" t="s">
        <v>41</v>
      </c>
      <c r="F60" s="437" t="s">
        <v>42</v>
      </c>
      <c r="G60" s="116" t="s">
        <v>43</v>
      </c>
      <c r="H60" s="117" t="s">
        <v>750</v>
      </c>
      <c r="I60" s="35"/>
      <c r="J60" s="36"/>
      <c r="K60" s="36"/>
      <c r="L60" s="36"/>
      <c r="M60" s="36"/>
      <c r="N60" s="36"/>
      <c r="O60" s="36"/>
      <c r="P60" s="36"/>
      <c r="Q60" s="36"/>
      <c r="R60" s="36"/>
      <c r="S60" s="36"/>
      <c r="T60" s="36"/>
      <c r="U60" s="36"/>
      <c r="V60" s="36"/>
      <c r="W60" s="36"/>
      <c r="X60" s="36"/>
      <c r="Y60" s="36"/>
      <c r="Z60" s="36"/>
      <c r="AA60" s="36"/>
      <c r="AB60" s="36"/>
    </row>
    <row r="61" spans="1:28" ht="36" customHeight="1">
      <c r="A61" s="49" t="str">
        <f>HYPERLINK("http://www.secretariasenado.gov.co/senado/basedoc/decreto_0019_2012.html","DECRETO - LEY 019")</f>
        <v>DECRETO - LEY 019</v>
      </c>
      <c r="B61" s="481">
        <v>40918</v>
      </c>
      <c r="C61" s="437" t="s">
        <v>57</v>
      </c>
      <c r="D61" s="438" t="s">
        <v>546</v>
      </c>
      <c r="E61" s="437" t="s">
        <v>41</v>
      </c>
      <c r="F61" s="437" t="s">
        <v>42</v>
      </c>
      <c r="G61" s="116" t="s">
        <v>43</v>
      </c>
      <c r="H61" s="117" t="s">
        <v>750</v>
      </c>
      <c r="I61" s="35"/>
      <c r="J61" s="36"/>
      <c r="K61" s="36"/>
      <c r="L61" s="36"/>
      <c r="M61" s="36"/>
      <c r="N61" s="36"/>
      <c r="O61" s="36"/>
      <c r="P61" s="36"/>
      <c r="Q61" s="36"/>
      <c r="R61" s="36"/>
      <c r="S61" s="36"/>
      <c r="T61" s="36"/>
      <c r="U61" s="36"/>
      <c r="V61" s="36"/>
      <c r="W61" s="36"/>
      <c r="X61" s="36"/>
      <c r="Y61" s="36"/>
      <c r="Z61" s="36"/>
      <c r="AA61" s="36"/>
      <c r="AB61" s="36"/>
    </row>
    <row r="62" spans="1:28" ht="48" customHeight="1">
      <c r="A62" s="49" t="str">
        <f>HYPERLINK("https://www.alcaldiabogota.gov.co/sisjur/normas/Norma1.jsp?i=55073","DECRETO 364")</f>
        <v>DECRETO 364</v>
      </c>
      <c r="B62" s="481">
        <v>41512</v>
      </c>
      <c r="C62" s="437" t="s">
        <v>61</v>
      </c>
      <c r="D62" s="438" t="s">
        <v>833</v>
      </c>
      <c r="E62" s="437" t="s">
        <v>41</v>
      </c>
      <c r="F62" s="437" t="s">
        <v>42</v>
      </c>
      <c r="G62" s="116" t="s">
        <v>43</v>
      </c>
      <c r="H62" s="117" t="s">
        <v>750</v>
      </c>
      <c r="I62" s="35"/>
      <c r="J62" s="36"/>
      <c r="K62" s="36"/>
      <c r="L62" s="36"/>
      <c r="M62" s="36"/>
      <c r="N62" s="36"/>
      <c r="O62" s="36"/>
      <c r="P62" s="36"/>
      <c r="Q62" s="36"/>
      <c r="R62" s="36"/>
      <c r="S62" s="36"/>
      <c r="T62" s="36"/>
      <c r="U62" s="36"/>
      <c r="V62" s="36"/>
      <c r="W62" s="36"/>
      <c r="X62" s="36"/>
      <c r="Y62" s="36"/>
      <c r="Z62" s="36"/>
      <c r="AA62" s="36"/>
      <c r="AB62" s="36"/>
    </row>
    <row r="63" spans="1:28" ht="24" customHeight="1">
      <c r="A63" s="49" t="str">
        <f>HYPERLINK("https://www.alcaldiabogota.gov.co/sisjur/normas/Norma1.jsp?i=54978&amp;dt=S","DECRETO 456")</f>
        <v>DECRETO 456</v>
      </c>
      <c r="B63" s="480">
        <v>41558</v>
      </c>
      <c r="C63" s="437" t="s">
        <v>61</v>
      </c>
      <c r="D63" s="438" t="s">
        <v>547</v>
      </c>
      <c r="E63" s="437" t="s">
        <v>41</v>
      </c>
      <c r="F63" s="437" t="s">
        <v>42</v>
      </c>
      <c r="G63" s="116" t="s">
        <v>43</v>
      </c>
      <c r="H63" s="117" t="s">
        <v>750</v>
      </c>
      <c r="I63" s="35"/>
      <c r="J63" s="36"/>
      <c r="K63" s="36"/>
      <c r="L63" s="36"/>
      <c r="M63" s="36"/>
      <c r="N63" s="36"/>
      <c r="O63" s="36"/>
      <c r="P63" s="36"/>
      <c r="Q63" s="36"/>
      <c r="R63" s="36"/>
      <c r="S63" s="36"/>
      <c r="T63" s="36"/>
      <c r="U63" s="36"/>
      <c r="V63" s="36"/>
      <c r="W63" s="36"/>
      <c r="X63" s="36"/>
      <c r="Y63" s="36"/>
      <c r="Z63" s="36"/>
      <c r="AA63" s="36"/>
      <c r="AB63" s="36"/>
    </row>
    <row r="64" spans="1:28" ht="36" customHeight="1">
      <c r="A64" s="49" t="str">
        <f>HYPERLINK("https://www.alcaldiabogota.gov.co/sisjur/normas/Norma1.jsp?i=59913","DECRETO 490")</f>
        <v>DECRETO 490</v>
      </c>
      <c r="B64" s="481">
        <v>41947</v>
      </c>
      <c r="C64" s="437" t="s">
        <v>61</v>
      </c>
      <c r="D64" s="438" t="s">
        <v>836</v>
      </c>
      <c r="E64" s="437" t="s">
        <v>41</v>
      </c>
      <c r="F64" s="437" t="s">
        <v>42</v>
      </c>
      <c r="G64" s="116" t="s">
        <v>43</v>
      </c>
      <c r="H64" s="117" t="s">
        <v>750</v>
      </c>
      <c r="I64" s="35"/>
      <c r="J64" s="36"/>
      <c r="K64" s="36"/>
      <c r="L64" s="36"/>
      <c r="M64" s="36"/>
      <c r="N64" s="36"/>
      <c r="O64" s="36"/>
      <c r="P64" s="36"/>
      <c r="Q64" s="36"/>
      <c r="R64" s="36"/>
      <c r="S64" s="36"/>
      <c r="T64" s="36"/>
      <c r="U64" s="36"/>
      <c r="V64" s="36"/>
      <c r="W64" s="36"/>
      <c r="X64" s="36"/>
      <c r="Y64" s="36"/>
      <c r="Z64" s="36"/>
      <c r="AA64" s="36"/>
      <c r="AB64" s="36"/>
    </row>
    <row r="65" spans="1:28" ht="36" customHeight="1">
      <c r="A65" s="49" t="str">
        <f>HYPERLINK("http://www.shd.gov.co/shd/node/21946","DECRETO 584")</f>
        <v>DECRETO 584</v>
      </c>
      <c r="B65" s="481">
        <v>41829</v>
      </c>
      <c r="C65" s="437" t="s">
        <v>61</v>
      </c>
      <c r="D65" s="438" t="s">
        <v>840</v>
      </c>
      <c r="E65" s="437" t="s">
        <v>41</v>
      </c>
      <c r="F65" s="437" t="s">
        <v>42</v>
      </c>
      <c r="G65" s="116" t="s">
        <v>43</v>
      </c>
      <c r="H65" s="117" t="s">
        <v>750</v>
      </c>
      <c r="I65" s="35"/>
      <c r="J65" s="36"/>
      <c r="K65" s="36"/>
      <c r="L65" s="36"/>
      <c r="M65" s="36"/>
      <c r="N65" s="36"/>
      <c r="O65" s="36"/>
      <c r="P65" s="36"/>
      <c r="Q65" s="36"/>
      <c r="R65" s="36"/>
      <c r="S65" s="36"/>
      <c r="T65" s="36"/>
      <c r="U65" s="36"/>
      <c r="V65" s="36"/>
      <c r="W65" s="36"/>
      <c r="X65" s="36"/>
      <c r="Y65" s="36"/>
      <c r="Z65" s="36"/>
      <c r="AA65" s="36"/>
      <c r="AB65" s="36"/>
    </row>
    <row r="66" spans="1:28" ht="24" customHeight="1">
      <c r="A66" s="49" t="str">
        <f>HYPERLINK("http://www.shd.gov.co/shd/node/21840","DECRETO 234")</f>
        <v>DECRETO 234</v>
      </c>
      <c r="B66" s="481">
        <v>42172</v>
      </c>
      <c r="C66" s="437" t="s">
        <v>61</v>
      </c>
      <c r="D66" s="438" t="s">
        <v>844</v>
      </c>
      <c r="E66" s="437" t="s">
        <v>41</v>
      </c>
      <c r="F66" s="437" t="s">
        <v>42</v>
      </c>
      <c r="G66" s="116" t="s">
        <v>43</v>
      </c>
      <c r="H66" s="117" t="s">
        <v>750</v>
      </c>
      <c r="I66" s="35"/>
      <c r="J66" s="36"/>
      <c r="K66" s="36"/>
      <c r="L66" s="36"/>
      <c r="M66" s="36"/>
      <c r="N66" s="36"/>
      <c r="O66" s="36"/>
      <c r="P66" s="36"/>
      <c r="Q66" s="36"/>
      <c r="R66" s="36"/>
      <c r="S66" s="36"/>
      <c r="T66" s="36"/>
      <c r="U66" s="36"/>
      <c r="V66" s="36"/>
      <c r="W66" s="36"/>
      <c r="X66" s="36"/>
      <c r="Y66" s="36"/>
      <c r="Z66" s="36"/>
      <c r="AA66" s="36"/>
      <c r="AB66" s="36"/>
    </row>
    <row r="67" spans="1:28" ht="24" customHeight="1">
      <c r="A67" s="49" t="str">
        <f>HYPERLINK("http://www.shd.gov.co/shd/node/21947","DECRETO 176")</f>
        <v>DECRETO 176</v>
      </c>
      <c r="B67" s="481">
        <v>42194</v>
      </c>
      <c r="C67" s="437" t="s">
        <v>61</v>
      </c>
      <c r="D67" s="438" t="s">
        <v>848</v>
      </c>
      <c r="E67" s="437" t="s">
        <v>41</v>
      </c>
      <c r="F67" s="437" t="s">
        <v>42</v>
      </c>
      <c r="G67" s="116" t="s">
        <v>43</v>
      </c>
      <c r="H67" s="117" t="s">
        <v>750</v>
      </c>
      <c r="I67" s="35"/>
      <c r="J67" s="36"/>
      <c r="K67" s="36"/>
      <c r="L67" s="36"/>
      <c r="M67" s="36"/>
      <c r="N67" s="36"/>
      <c r="O67" s="36"/>
      <c r="P67" s="36"/>
      <c r="Q67" s="36"/>
      <c r="R67" s="36"/>
      <c r="S67" s="36"/>
      <c r="T67" s="36"/>
      <c r="U67" s="36"/>
      <c r="V67" s="36"/>
      <c r="W67" s="36"/>
      <c r="X67" s="36"/>
      <c r="Y67" s="36"/>
      <c r="Z67" s="36"/>
      <c r="AA67" s="36"/>
      <c r="AB67" s="36"/>
    </row>
    <row r="68" spans="1:28" ht="24" customHeight="1">
      <c r="A68" s="49" t="str">
        <f>HYPERLINK("https://www.alcaldiabogota.gov.co/sisjur/normas/Norma1.jsp?i=65144#1","DECRETO 79")</f>
        <v>DECRETO 79</v>
      </c>
      <c r="B68" s="481">
        <v>42422</v>
      </c>
      <c r="C68" s="437" t="s">
        <v>61</v>
      </c>
      <c r="D68" s="438" t="s">
        <v>854</v>
      </c>
      <c r="E68" s="437" t="s">
        <v>41</v>
      </c>
      <c r="F68" s="437" t="s">
        <v>42</v>
      </c>
      <c r="G68" s="116" t="s">
        <v>43</v>
      </c>
      <c r="H68" s="117" t="s">
        <v>750</v>
      </c>
      <c r="I68" s="35"/>
      <c r="J68" s="36"/>
      <c r="K68" s="36"/>
      <c r="L68" s="36"/>
      <c r="M68" s="36"/>
      <c r="N68" s="36"/>
      <c r="O68" s="36"/>
      <c r="P68" s="36"/>
      <c r="Q68" s="36"/>
      <c r="R68" s="36"/>
      <c r="S68" s="36"/>
      <c r="T68" s="36"/>
      <c r="U68" s="36"/>
      <c r="V68" s="36"/>
      <c r="W68" s="36"/>
      <c r="X68" s="36"/>
      <c r="Y68" s="36"/>
      <c r="Z68" s="36"/>
      <c r="AA68" s="36"/>
      <c r="AB68" s="36"/>
    </row>
    <row r="69" spans="1:28" ht="60" customHeight="1">
      <c r="A69" s="48" t="str">
        <f>HYPERLINK("https://www.alcaldiabogota.gov.co/sisjur/normas/Norma1.jsp?dt=S&amp;i=81431#68","DECRETO 662")</f>
        <v>DECRETO 662</v>
      </c>
      <c r="B69" s="482">
        <v>43423</v>
      </c>
      <c r="C69" s="437" t="s">
        <v>61</v>
      </c>
      <c r="D69" s="486" t="s">
        <v>3584</v>
      </c>
      <c r="E69" s="485" t="s">
        <v>41</v>
      </c>
      <c r="F69" s="485" t="s">
        <v>42</v>
      </c>
      <c r="G69" s="487"/>
      <c r="H69" s="201"/>
      <c r="I69" s="35"/>
      <c r="J69" s="36"/>
      <c r="K69" s="36"/>
      <c r="L69" s="36"/>
      <c r="M69" s="36"/>
      <c r="N69" s="36"/>
      <c r="O69" s="36"/>
      <c r="P69" s="36"/>
      <c r="Q69" s="36"/>
      <c r="R69" s="36"/>
      <c r="S69" s="36"/>
      <c r="T69" s="36"/>
      <c r="U69" s="36"/>
      <c r="V69" s="36"/>
      <c r="W69" s="36"/>
      <c r="X69" s="36"/>
      <c r="Y69" s="36"/>
      <c r="Z69" s="36"/>
      <c r="AA69" s="36"/>
      <c r="AB69" s="36"/>
    </row>
    <row r="70" spans="1:28" ht="60" customHeight="1">
      <c r="A70" s="67" t="str">
        <f>HYPERLINK("https://www.alcaldiabogota.gov.co/sisjur/normas/Norma1.jsp?i=524","ACUERDO 12")</f>
        <v>ACUERDO 12</v>
      </c>
      <c r="B70" s="437">
        <v>1994</v>
      </c>
      <c r="C70" s="437" t="s">
        <v>61</v>
      </c>
      <c r="D70" s="438" t="s">
        <v>859</v>
      </c>
      <c r="E70" s="437" t="s">
        <v>41</v>
      </c>
      <c r="F70" s="437" t="s">
        <v>42</v>
      </c>
      <c r="G70" s="116" t="s">
        <v>43</v>
      </c>
      <c r="H70" s="117" t="s">
        <v>750</v>
      </c>
      <c r="I70" s="35"/>
      <c r="J70" s="36"/>
      <c r="K70" s="36"/>
      <c r="L70" s="36"/>
      <c r="M70" s="36"/>
      <c r="N70" s="36"/>
      <c r="O70" s="36"/>
      <c r="P70" s="36"/>
      <c r="Q70" s="36"/>
      <c r="R70" s="36"/>
      <c r="S70" s="36"/>
      <c r="T70" s="36"/>
      <c r="U70" s="36"/>
      <c r="V70" s="36"/>
      <c r="W70" s="36"/>
      <c r="X70" s="36"/>
      <c r="Y70" s="36"/>
      <c r="Z70" s="36"/>
      <c r="AA70" s="36"/>
      <c r="AB70" s="36"/>
    </row>
    <row r="71" spans="1:28" ht="120" customHeight="1">
      <c r="A71" s="67" t="str">
        <f>HYPERLINK("https://www.alcaldiabogota.gov.co/sisjur/normas/Norma1.jsp?i=2047","ACUERDO 24")</f>
        <v>ACUERDO 24</v>
      </c>
      <c r="B71" s="480">
        <v>35032</v>
      </c>
      <c r="C71" s="437" t="s">
        <v>195</v>
      </c>
      <c r="D71" s="438" t="s">
        <v>861</v>
      </c>
      <c r="E71" s="437" t="s">
        <v>862</v>
      </c>
      <c r="F71" s="438" t="s">
        <v>863</v>
      </c>
      <c r="G71" s="116" t="s">
        <v>43</v>
      </c>
      <c r="H71" s="117" t="s">
        <v>750</v>
      </c>
      <c r="I71" s="35"/>
      <c r="J71" s="36"/>
      <c r="K71" s="36"/>
      <c r="L71" s="36"/>
      <c r="M71" s="36"/>
      <c r="N71" s="36"/>
      <c r="O71" s="36"/>
      <c r="P71" s="36"/>
      <c r="Q71" s="36"/>
      <c r="R71" s="36"/>
      <c r="S71" s="36"/>
      <c r="T71" s="36"/>
      <c r="U71" s="36"/>
      <c r="V71" s="36"/>
      <c r="W71" s="36"/>
      <c r="X71" s="36"/>
      <c r="Y71" s="36"/>
      <c r="Z71" s="36"/>
      <c r="AA71" s="36"/>
      <c r="AB71" s="36"/>
    </row>
    <row r="72" spans="1:28" ht="93" customHeight="1">
      <c r="A72" s="67" t="str">
        <f>HYPERLINK("http://www.bogotajuridica.gov.co/sisjur/normas/Norma1.jsp?i=2051","ACUERDO 20")</f>
        <v>ACUERDO 20</v>
      </c>
      <c r="B72" s="480">
        <v>35354</v>
      </c>
      <c r="C72" s="437" t="s">
        <v>195</v>
      </c>
      <c r="D72" s="438" t="s">
        <v>865</v>
      </c>
      <c r="E72" s="437" t="s">
        <v>866</v>
      </c>
      <c r="F72" s="438" t="s">
        <v>867</v>
      </c>
      <c r="G72" s="116" t="s">
        <v>43</v>
      </c>
      <c r="H72" s="117" t="s">
        <v>750</v>
      </c>
      <c r="I72" s="35"/>
      <c r="J72" s="36"/>
      <c r="K72" s="36"/>
      <c r="L72" s="36"/>
      <c r="M72" s="36"/>
      <c r="N72" s="36"/>
      <c r="O72" s="36"/>
      <c r="P72" s="36"/>
      <c r="Q72" s="36"/>
      <c r="R72" s="36"/>
      <c r="S72" s="36"/>
      <c r="T72" s="36"/>
      <c r="U72" s="36"/>
      <c r="V72" s="36"/>
      <c r="W72" s="36"/>
      <c r="X72" s="36"/>
      <c r="Y72" s="36"/>
      <c r="Z72" s="36"/>
      <c r="AA72" s="36"/>
      <c r="AB72" s="36"/>
    </row>
    <row r="73" spans="1:28" ht="24" customHeight="1">
      <c r="A73" s="67" t="str">
        <f>HYPERLINK("http://www.bogotajuridica.gov.co/sisjur/normas/Norma1.jsp?i=5124","ACUERDO 63")</f>
        <v>ACUERDO 63</v>
      </c>
      <c r="B73" s="481">
        <v>37403</v>
      </c>
      <c r="C73" s="437" t="s">
        <v>195</v>
      </c>
      <c r="D73" s="438" t="s">
        <v>869</v>
      </c>
      <c r="E73" s="437" t="s">
        <v>41</v>
      </c>
      <c r="F73" s="437" t="s">
        <v>42</v>
      </c>
      <c r="G73" s="116" t="s">
        <v>43</v>
      </c>
      <c r="H73" s="117" t="s">
        <v>750</v>
      </c>
      <c r="I73" s="35"/>
      <c r="J73" s="36"/>
      <c r="K73" s="36"/>
      <c r="L73" s="36"/>
      <c r="M73" s="36"/>
      <c r="N73" s="36"/>
      <c r="O73" s="36"/>
      <c r="P73" s="36"/>
      <c r="Q73" s="36"/>
      <c r="R73" s="36"/>
      <c r="S73" s="36"/>
      <c r="T73" s="36"/>
      <c r="U73" s="36"/>
      <c r="V73" s="36"/>
      <c r="W73" s="36"/>
      <c r="X73" s="36"/>
      <c r="Y73" s="36"/>
      <c r="Z73" s="36"/>
      <c r="AA73" s="36"/>
      <c r="AB73" s="36"/>
    </row>
    <row r="74" spans="1:28" ht="24" customHeight="1">
      <c r="A74" s="67" t="str">
        <f>HYPERLINK("https://www.alcaldiabogota.gov.co/sisjur/normas/Norma1.jsp?i=11025","ACUERDO 118")</f>
        <v>ACUERDO 118</v>
      </c>
      <c r="B74" s="480">
        <v>37985</v>
      </c>
      <c r="C74" s="437" t="s">
        <v>195</v>
      </c>
      <c r="D74" s="438" t="s">
        <v>871</v>
      </c>
      <c r="E74" s="437" t="s">
        <v>41</v>
      </c>
      <c r="F74" s="437" t="s">
        <v>42</v>
      </c>
      <c r="G74" s="116" t="s">
        <v>43</v>
      </c>
      <c r="H74" s="117" t="s">
        <v>750</v>
      </c>
      <c r="I74" s="35"/>
      <c r="J74" s="36"/>
      <c r="K74" s="36"/>
      <c r="L74" s="36"/>
      <c r="M74" s="36"/>
      <c r="N74" s="36"/>
      <c r="O74" s="36"/>
      <c r="P74" s="36"/>
      <c r="Q74" s="36"/>
      <c r="R74" s="36"/>
      <c r="S74" s="36"/>
      <c r="T74" s="36"/>
      <c r="U74" s="36"/>
      <c r="V74" s="36"/>
      <c r="W74" s="36"/>
      <c r="X74" s="36"/>
      <c r="Y74" s="36"/>
      <c r="Z74" s="36"/>
      <c r="AA74" s="36"/>
      <c r="AB74" s="36"/>
    </row>
    <row r="75" spans="1:28" ht="24" customHeight="1">
      <c r="A75" s="48" t="str">
        <f>HYPERLINK("https://www.alcaldiabogota.gov.co/sisjur/normas/Norma1.jsp?i=39289#0","ACUERDO 432")</f>
        <v>ACUERDO 432</v>
      </c>
      <c r="B75" s="481">
        <v>40266</v>
      </c>
      <c r="C75" s="437" t="s">
        <v>61</v>
      </c>
      <c r="D75" s="438" t="s">
        <v>821</v>
      </c>
      <c r="E75" s="437" t="s">
        <v>41</v>
      </c>
      <c r="F75" s="437" t="s">
        <v>42</v>
      </c>
      <c r="G75" s="116"/>
      <c r="H75" s="117"/>
      <c r="I75" s="35"/>
      <c r="J75" s="36"/>
      <c r="K75" s="36"/>
      <c r="L75" s="36"/>
      <c r="M75" s="36"/>
      <c r="N75" s="36"/>
      <c r="O75" s="36"/>
      <c r="P75" s="36"/>
      <c r="Q75" s="36"/>
      <c r="R75" s="36"/>
      <c r="S75" s="36"/>
      <c r="T75" s="36"/>
      <c r="U75" s="36"/>
      <c r="V75" s="36"/>
      <c r="W75" s="36"/>
      <c r="X75" s="36"/>
      <c r="Y75" s="36"/>
      <c r="Z75" s="36"/>
      <c r="AA75" s="36"/>
      <c r="AB75" s="36"/>
    </row>
    <row r="76" spans="1:28" ht="24" customHeight="1">
      <c r="A76" s="49" t="str">
        <f>HYPERLINK("https://www.alcaldiabogota.gov.co/sisjur/normas/Norma1.jsp?i=18560","ACUERDO 190")</f>
        <v>ACUERDO 190</v>
      </c>
      <c r="B76" s="480">
        <v>38706</v>
      </c>
      <c r="C76" s="437" t="s">
        <v>195</v>
      </c>
      <c r="D76" s="438" t="s">
        <v>873</v>
      </c>
      <c r="E76" s="437" t="s">
        <v>41</v>
      </c>
      <c r="F76" s="437" t="s">
        <v>42</v>
      </c>
      <c r="G76" s="116" t="s">
        <v>43</v>
      </c>
      <c r="H76" s="117" t="s">
        <v>750</v>
      </c>
      <c r="I76" s="35"/>
      <c r="J76" s="36"/>
      <c r="K76" s="36"/>
      <c r="L76" s="36"/>
      <c r="M76" s="36"/>
      <c r="N76" s="36"/>
      <c r="O76" s="36"/>
      <c r="P76" s="36"/>
      <c r="Q76" s="36"/>
      <c r="R76" s="36"/>
      <c r="S76" s="36"/>
      <c r="T76" s="36"/>
      <c r="U76" s="36"/>
      <c r="V76" s="36"/>
      <c r="W76" s="36"/>
      <c r="X76" s="36"/>
      <c r="Y76" s="36"/>
      <c r="Z76" s="36"/>
      <c r="AA76" s="36"/>
      <c r="AB76" s="36"/>
    </row>
    <row r="77" spans="1:28" ht="36" customHeight="1">
      <c r="A77" s="49" t="str">
        <f>HYPERLINK("https://www.alcaldiabogota.gov.co/sisjur/normas/Norma1.jsp?i=53730#0","ACUERDO 523")</f>
        <v>ACUERDO 523</v>
      </c>
      <c r="B77" s="481">
        <v>41463</v>
      </c>
      <c r="C77" s="437" t="s">
        <v>195</v>
      </c>
      <c r="D77" s="438" t="s">
        <v>879</v>
      </c>
      <c r="E77" s="437" t="s">
        <v>41</v>
      </c>
      <c r="F77" s="437" t="s">
        <v>42</v>
      </c>
      <c r="G77" s="116" t="s">
        <v>43</v>
      </c>
      <c r="H77" s="117" t="s">
        <v>750</v>
      </c>
      <c r="I77" s="35"/>
      <c r="J77" s="36"/>
      <c r="K77" s="36"/>
      <c r="L77" s="36"/>
      <c r="M77" s="36"/>
      <c r="N77" s="36"/>
      <c r="O77" s="36"/>
      <c r="P77" s="36"/>
      <c r="Q77" s="36"/>
      <c r="R77" s="36"/>
      <c r="S77" s="36"/>
      <c r="T77" s="36"/>
      <c r="U77" s="36"/>
      <c r="V77" s="36"/>
      <c r="W77" s="36"/>
      <c r="X77" s="36"/>
      <c r="Y77" s="36"/>
      <c r="Z77" s="36"/>
      <c r="AA77" s="36"/>
      <c r="AB77" s="36"/>
    </row>
    <row r="78" spans="1:28" ht="36" customHeight="1">
      <c r="A78" s="67" t="str">
        <f>HYPERLINK("https://www.alcaldiabogota.gov.co/sisjur/normas/Norma1.jsp?i=66271#164","ACUERDO 645")</f>
        <v>ACUERDO 645</v>
      </c>
      <c r="B78" s="481">
        <v>42530</v>
      </c>
      <c r="C78" s="437" t="s">
        <v>195</v>
      </c>
      <c r="D78" s="438" t="s">
        <v>563</v>
      </c>
      <c r="E78" s="437" t="s">
        <v>41</v>
      </c>
      <c r="F78" s="437" t="s">
        <v>42</v>
      </c>
      <c r="G78" s="116" t="s">
        <v>43</v>
      </c>
      <c r="H78" s="117" t="s">
        <v>750</v>
      </c>
      <c r="I78" s="35"/>
      <c r="J78" s="36"/>
      <c r="K78" s="36"/>
      <c r="L78" s="36"/>
      <c r="M78" s="36"/>
      <c r="N78" s="36"/>
      <c r="O78" s="36"/>
      <c r="P78" s="36"/>
      <c r="Q78" s="36"/>
      <c r="R78" s="36"/>
      <c r="S78" s="36"/>
      <c r="T78" s="36"/>
      <c r="U78" s="36"/>
      <c r="V78" s="36"/>
      <c r="W78" s="36"/>
      <c r="X78" s="36"/>
      <c r="Y78" s="36"/>
      <c r="Z78" s="36"/>
      <c r="AA78" s="36"/>
      <c r="AB78" s="36"/>
    </row>
    <row r="79" spans="1:28" ht="24" customHeight="1">
      <c r="A79" s="49" t="str">
        <f>HYPERLINK("https://bibliotecadigital.ccb.org.co/bitstream/handle/11520/13920/Resoluci%c3%b3n%204444%20de%201995.pdf?sequence=1&amp;isAllowed=y","RESOLUCIÓN 4444")</f>
        <v>RESOLUCIÓN 4444</v>
      </c>
      <c r="B79" s="437">
        <v>1995</v>
      </c>
      <c r="C79" s="437" t="s">
        <v>681</v>
      </c>
      <c r="D79" s="438" t="s">
        <v>882</v>
      </c>
      <c r="E79" s="437" t="s">
        <v>41</v>
      </c>
      <c r="F79" s="437" t="s">
        <v>42</v>
      </c>
      <c r="G79" s="116" t="s">
        <v>43</v>
      </c>
      <c r="H79" s="117" t="s">
        <v>750</v>
      </c>
      <c r="I79" s="35"/>
      <c r="J79" s="36"/>
      <c r="K79" s="36"/>
      <c r="L79" s="36"/>
      <c r="M79" s="36"/>
      <c r="N79" s="36"/>
      <c r="O79" s="36"/>
      <c r="P79" s="36"/>
      <c r="Q79" s="36"/>
      <c r="R79" s="36"/>
      <c r="S79" s="36"/>
      <c r="T79" s="36"/>
      <c r="U79" s="36"/>
      <c r="V79" s="36"/>
      <c r="W79" s="36"/>
      <c r="X79" s="36"/>
      <c r="Y79" s="36"/>
      <c r="Z79" s="36"/>
      <c r="AA79" s="36"/>
      <c r="AB79" s="36"/>
    </row>
    <row r="80" spans="1:28" ht="36" customHeight="1">
      <c r="A80" s="48" t="str">
        <f>HYPERLINK("https://www.alcaldiabogota.gov.co/sisjur/normas/Norma1.jsp?i=25617&amp;dt=S","RESOLUCIÓN 277")</f>
        <v>RESOLUCIÓN 277</v>
      </c>
      <c r="B80" s="481">
        <v>39252</v>
      </c>
      <c r="C80" s="437" t="s">
        <v>130</v>
      </c>
      <c r="D80" s="438" t="s">
        <v>889</v>
      </c>
      <c r="E80" s="437" t="s">
        <v>41</v>
      </c>
      <c r="F80" s="437" t="s">
        <v>42</v>
      </c>
      <c r="G80" s="116" t="s">
        <v>43</v>
      </c>
      <c r="H80" s="117" t="s">
        <v>750</v>
      </c>
      <c r="I80" s="35"/>
      <c r="J80" s="36"/>
      <c r="K80" s="36"/>
      <c r="L80" s="36"/>
      <c r="M80" s="36"/>
      <c r="N80" s="36"/>
      <c r="O80" s="36"/>
      <c r="P80" s="36"/>
      <c r="Q80" s="36"/>
      <c r="R80" s="36"/>
      <c r="S80" s="36"/>
      <c r="T80" s="36"/>
      <c r="U80" s="36"/>
      <c r="V80" s="36"/>
      <c r="W80" s="36"/>
      <c r="X80" s="36"/>
      <c r="Y80" s="36"/>
      <c r="Z80" s="36"/>
      <c r="AA80" s="36"/>
      <c r="AB80" s="36"/>
    </row>
    <row r="81" spans="1:28" ht="24" customHeight="1">
      <c r="A81" s="49" t="str">
        <f>HYPERLINK("https://www.alcaldiabogota.gov.co/sisjur/normas/Norma1.jsp?i=26612","RESOLUCIÓN 354")</f>
        <v>RESOLUCIÓN 354</v>
      </c>
      <c r="B81" s="481">
        <v>39330</v>
      </c>
      <c r="C81" s="437" t="s">
        <v>681</v>
      </c>
      <c r="D81" s="438" t="s">
        <v>891</v>
      </c>
      <c r="E81" s="437" t="s">
        <v>41</v>
      </c>
      <c r="F81" s="437" t="s">
        <v>42</v>
      </c>
      <c r="G81" s="116" t="s">
        <v>43</v>
      </c>
      <c r="H81" s="117" t="s">
        <v>750</v>
      </c>
      <c r="I81" s="35"/>
      <c r="J81" s="36"/>
      <c r="K81" s="36"/>
      <c r="L81" s="36"/>
      <c r="M81" s="36"/>
      <c r="N81" s="36"/>
      <c r="O81" s="36"/>
      <c r="P81" s="36"/>
      <c r="Q81" s="36"/>
      <c r="R81" s="36"/>
      <c r="S81" s="36"/>
      <c r="T81" s="36"/>
      <c r="U81" s="36"/>
      <c r="V81" s="36"/>
      <c r="W81" s="36"/>
      <c r="X81" s="36"/>
      <c r="Y81" s="36"/>
      <c r="Z81" s="36"/>
      <c r="AA81" s="36"/>
      <c r="AB81" s="36"/>
    </row>
    <row r="82" spans="1:28" ht="24" customHeight="1">
      <c r="A82" s="49" t="str">
        <f>HYPERLINK("https://www.alcaldiabogota.gov.co/sisjur/normas/Norma1.jsp?i=63054&amp;dt=S","RESOLUCIÓN 397")</f>
        <v>RESOLUCIÓN 397</v>
      </c>
      <c r="B82" s="480">
        <v>39813</v>
      </c>
      <c r="C82" s="437" t="s">
        <v>884</v>
      </c>
      <c r="D82" s="438" t="s">
        <v>895</v>
      </c>
      <c r="E82" s="437" t="s">
        <v>41</v>
      </c>
      <c r="F82" s="437" t="s">
        <v>42</v>
      </c>
      <c r="G82" s="116" t="s">
        <v>43</v>
      </c>
      <c r="H82" s="117" t="s">
        <v>750</v>
      </c>
      <c r="I82" s="35"/>
      <c r="J82" s="36"/>
      <c r="K82" s="36"/>
      <c r="L82" s="36"/>
      <c r="M82" s="36"/>
      <c r="N82" s="36"/>
      <c r="O82" s="36"/>
      <c r="P82" s="36"/>
      <c r="Q82" s="36"/>
      <c r="R82" s="36"/>
      <c r="S82" s="36"/>
      <c r="T82" s="36"/>
      <c r="U82" s="36"/>
      <c r="V82" s="36"/>
      <c r="W82" s="36"/>
      <c r="X82" s="36"/>
      <c r="Y82" s="36"/>
      <c r="Z82" s="36"/>
      <c r="AA82" s="36"/>
      <c r="AB82" s="36"/>
    </row>
    <row r="83" spans="1:28" ht="36" customHeight="1">
      <c r="A83" s="48" t="str">
        <f>HYPERLINK("https://www.alcaldiabogota.gov.co/sisjur/normas/Norma1.jsp?i=35322&amp;dt=S","RESOLUCIÓN 583")</f>
        <v>RESOLUCIÓN 583</v>
      </c>
      <c r="B83" s="480">
        <v>39797</v>
      </c>
      <c r="C83" s="437" t="s">
        <v>130</v>
      </c>
      <c r="D83" s="438" t="s">
        <v>897</v>
      </c>
      <c r="E83" s="437" t="s">
        <v>41</v>
      </c>
      <c r="F83" s="437" t="s">
        <v>42</v>
      </c>
      <c r="G83" s="116" t="s">
        <v>43</v>
      </c>
      <c r="H83" s="117" t="s">
        <v>750</v>
      </c>
      <c r="I83" s="35"/>
      <c r="J83" s="36"/>
      <c r="K83" s="36"/>
      <c r="L83" s="36"/>
      <c r="M83" s="36"/>
      <c r="N83" s="36"/>
      <c r="O83" s="36"/>
      <c r="P83" s="36"/>
      <c r="Q83" s="36"/>
      <c r="R83" s="36"/>
      <c r="S83" s="36"/>
      <c r="T83" s="36"/>
      <c r="U83" s="36"/>
      <c r="V83" s="36"/>
      <c r="W83" s="36"/>
      <c r="X83" s="36"/>
      <c r="Y83" s="36"/>
      <c r="Z83" s="36"/>
      <c r="AA83" s="36"/>
      <c r="AB83" s="36"/>
    </row>
    <row r="84" spans="1:28" ht="36" customHeight="1">
      <c r="A84" s="49" t="str">
        <f>HYPERLINK("http://www.shd.gov.co/shd/node/16617","RESOLUCIÓN 314")</f>
        <v>RESOLUCIÓN 314</v>
      </c>
      <c r="B84" s="481">
        <v>40086</v>
      </c>
      <c r="C84" s="437" t="s">
        <v>884</v>
      </c>
      <c r="D84" s="438" t="s">
        <v>899</v>
      </c>
      <c r="E84" s="437" t="s">
        <v>41</v>
      </c>
      <c r="F84" s="437" t="s">
        <v>42</v>
      </c>
      <c r="G84" s="116" t="s">
        <v>43</v>
      </c>
      <c r="H84" s="117" t="s">
        <v>750</v>
      </c>
      <c r="I84" s="35"/>
      <c r="J84" s="36"/>
      <c r="K84" s="36"/>
      <c r="L84" s="36"/>
      <c r="M84" s="36"/>
      <c r="N84" s="36"/>
      <c r="O84" s="36"/>
      <c r="P84" s="36"/>
      <c r="Q84" s="36"/>
      <c r="R84" s="36"/>
      <c r="S84" s="36"/>
      <c r="T84" s="36"/>
      <c r="U84" s="36"/>
      <c r="V84" s="36"/>
      <c r="W84" s="36"/>
      <c r="X84" s="36"/>
      <c r="Y84" s="36"/>
      <c r="Z84" s="36"/>
      <c r="AA84" s="36"/>
      <c r="AB84" s="36"/>
    </row>
    <row r="85" spans="1:28" ht="36" customHeight="1">
      <c r="A85" s="48" t="s">
        <v>1812</v>
      </c>
      <c r="B85" s="437">
        <v>2010</v>
      </c>
      <c r="C85" s="437" t="s">
        <v>130</v>
      </c>
      <c r="D85" s="438" t="s">
        <v>135</v>
      </c>
      <c r="E85" s="437" t="s">
        <v>41</v>
      </c>
      <c r="F85" s="437" t="s">
        <v>42</v>
      </c>
      <c r="G85" s="116" t="s">
        <v>43</v>
      </c>
      <c r="H85" s="117" t="s">
        <v>750</v>
      </c>
      <c r="I85" s="35"/>
      <c r="J85" s="36"/>
      <c r="K85" s="36"/>
      <c r="L85" s="36"/>
      <c r="M85" s="36"/>
      <c r="N85" s="36"/>
      <c r="O85" s="36"/>
      <c r="P85" s="36"/>
      <c r="Q85" s="36"/>
      <c r="R85" s="36"/>
      <c r="S85" s="36"/>
      <c r="T85" s="36"/>
      <c r="U85" s="36"/>
      <c r="V85" s="36"/>
      <c r="W85" s="36"/>
      <c r="X85" s="36"/>
      <c r="Y85" s="36"/>
      <c r="Z85" s="36"/>
      <c r="AA85" s="36"/>
      <c r="AB85" s="36"/>
    </row>
    <row r="86" spans="1:28" ht="36" customHeight="1">
      <c r="A86" s="49" t="str">
        <f>HYPERLINK("https://www.alcaldiabogota.gov.co/sisjur/normas/Norma1.jsp?i=46442","RESOLUCIÓN 660")</f>
        <v>RESOLUCIÓN 660</v>
      </c>
      <c r="B86" s="480">
        <v>40906</v>
      </c>
      <c r="C86" s="437" t="s">
        <v>884</v>
      </c>
      <c r="D86" s="438" t="s">
        <v>902</v>
      </c>
      <c r="E86" s="437" t="s">
        <v>41</v>
      </c>
      <c r="F86" s="437" t="s">
        <v>42</v>
      </c>
      <c r="G86" s="116" t="s">
        <v>43</v>
      </c>
      <c r="H86" s="117" t="s">
        <v>750</v>
      </c>
      <c r="I86" s="35"/>
      <c r="J86" s="36"/>
      <c r="K86" s="36"/>
      <c r="L86" s="36"/>
      <c r="M86" s="36"/>
      <c r="N86" s="36"/>
      <c r="O86" s="36"/>
      <c r="P86" s="36"/>
      <c r="Q86" s="36"/>
      <c r="R86" s="36"/>
      <c r="S86" s="36"/>
      <c r="T86" s="36"/>
      <c r="U86" s="36"/>
      <c r="V86" s="36"/>
      <c r="W86" s="36"/>
      <c r="X86" s="36"/>
      <c r="Y86" s="36"/>
      <c r="Z86" s="36"/>
      <c r="AA86" s="36"/>
      <c r="AB86" s="36"/>
    </row>
    <row r="87" spans="1:28" ht="36" customHeight="1">
      <c r="A87" s="49" t="str">
        <f>HYPERLINK("http://www.shd.gov.co/shd/node/336","RESOLUCIÓN 143")</f>
        <v>RESOLUCIÓN 143</v>
      </c>
      <c r="B87" s="481">
        <v>41410</v>
      </c>
      <c r="C87" s="437" t="s">
        <v>884</v>
      </c>
      <c r="D87" s="438" t="s">
        <v>906</v>
      </c>
      <c r="E87" s="437" t="s">
        <v>41</v>
      </c>
      <c r="F87" s="437" t="s">
        <v>42</v>
      </c>
      <c r="G87" s="116" t="s">
        <v>43</v>
      </c>
      <c r="H87" s="117" t="s">
        <v>750</v>
      </c>
      <c r="I87" s="35"/>
      <c r="J87" s="36"/>
      <c r="K87" s="36"/>
      <c r="L87" s="36"/>
      <c r="M87" s="36"/>
      <c r="N87" s="36"/>
      <c r="O87" s="36"/>
      <c r="P87" s="36"/>
      <c r="Q87" s="36"/>
      <c r="R87" s="36"/>
      <c r="S87" s="36"/>
      <c r="T87" s="36"/>
      <c r="U87" s="36"/>
      <c r="V87" s="36"/>
      <c r="W87" s="36"/>
      <c r="X87" s="36"/>
      <c r="Y87" s="36"/>
      <c r="Z87" s="36"/>
      <c r="AA87" s="36"/>
      <c r="AB87" s="36"/>
    </row>
    <row r="88" spans="1:28" ht="60" customHeight="1">
      <c r="A88" s="49" t="str">
        <f>HYPERLINK("https://www.alcaldiabogota.gov.co/sisjur/normas/Norma1.jsp?i=57002","RESOLUCIÓN REGLAMENTARIA 11")</f>
        <v>RESOLUCIÓN REGLAMENTARIA 11</v>
      </c>
      <c r="B88" s="481">
        <v>41698</v>
      </c>
      <c r="C88" s="437" t="s">
        <v>908</v>
      </c>
      <c r="D88" s="438" t="s">
        <v>909</v>
      </c>
      <c r="E88" s="437" t="s">
        <v>41</v>
      </c>
      <c r="F88" s="437" t="s">
        <v>42</v>
      </c>
      <c r="G88" s="116" t="s">
        <v>43</v>
      </c>
      <c r="H88" s="117" t="s">
        <v>750</v>
      </c>
      <c r="I88" s="35"/>
      <c r="J88" s="36"/>
      <c r="K88" s="36"/>
      <c r="L88" s="36"/>
      <c r="M88" s="36"/>
      <c r="N88" s="36"/>
      <c r="O88" s="36"/>
      <c r="P88" s="36"/>
      <c r="Q88" s="36"/>
      <c r="R88" s="36"/>
      <c r="S88" s="36"/>
      <c r="T88" s="36"/>
      <c r="U88" s="36"/>
      <c r="V88" s="36"/>
      <c r="W88" s="36"/>
      <c r="X88" s="36"/>
      <c r="Y88" s="36"/>
      <c r="Z88" s="36"/>
      <c r="AA88" s="36"/>
      <c r="AB88" s="36"/>
    </row>
    <row r="89" spans="1:28" ht="24" customHeight="1">
      <c r="A89" s="49" t="str">
        <f>HYPERLINK("http://www.comunidadcontable.com/BancoMedios/Documentos%20PDF/resolucion_000219_31102014.pdf","RESOLUCIÓN 219")</f>
        <v>RESOLUCIÓN 219</v>
      </c>
      <c r="B89" s="480">
        <v>41943</v>
      </c>
      <c r="C89" s="437" t="s">
        <v>911</v>
      </c>
      <c r="D89" s="438" t="s">
        <v>912</v>
      </c>
      <c r="E89" s="437" t="s">
        <v>41</v>
      </c>
      <c r="F89" s="437" t="s">
        <v>42</v>
      </c>
      <c r="G89" s="116" t="s">
        <v>43</v>
      </c>
      <c r="H89" s="117" t="s">
        <v>750</v>
      </c>
      <c r="I89" s="35"/>
      <c r="J89" s="36"/>
      <c r="K89" s="36"/>
      <c r="L89" s="36"/>
      <c r="M89" s="36"/>
      <c r="N89" s="36"/>
      <c r="O89" s="36"/>
      <c r="P89" s="36"/>
      <c r="Q89" s="36"/>
      <c r="R89" s="36"/>
      <c r="S89" s="36"/>
      <c r="T89" s="36"/>
      <c r="U89" s="36"/>
      <c r="V89" s="36"/>
      <c r="W89" s="36"/>
      <c r="X89" s="36"/>
      <c r="Y89" s="36"/>
      <c r="Z89" s="36"/>
      <c r="AA89" s="36"/>
      <c r="AB89" s="36"/>
    </row>
    <row r="90" spans="1:28" ht="120" customHeight="1">
      <c r="A90" s="49" t="str">
        <f>HYPERLINK("http://www.comunidadcontable.com/BancoMedios/Documentos%20PDF/resolucion_000220_31102014.pdf","RESOLUCIÓN 220")</f>
        <v>RESOLUCIÓN 220</v>
      </c>
      <c r="B90" s="480">
        <v>41943</v>
      </c>
      <c r="C90" s="437" t="s">
        <v>911</v>
      </c>
      <c r="D90" s="438" t="s">
        <v>914</v>
      </c>
      <c r="E90" s="437" t="s">
        <v>41</v>
      </c>
      <c r="F90" s="437" t="s">
        <v>42</v>
      </c>
      <c r="G90" s="116" t="s">
        <v>43</v>
      </c>
      <c r="H90" s="117" t="s">
        <v>750</v>
      </c>
      <c r="I90" s="35"/>
      <c r="J90" s="36"/>
      <c r="K90" s="36"/>
      <c r="L90" s="36"/>
      <c r="M90" s="36"/>
      <c r="N90" s="36"/>
      <c r="O90" s="36"/>
      <c r="P90" s="36"/>
      <c r="Q90" s="36"/>
      <c r="R90" s="36"/>
      <c r="S90" s="36"/>
      <c r="T90" s="36"/>
      <c r="U90" s="36"/>
      <c r="V90" s="36"/>
      <c r="W90" s="36"/>
      <c r="X90" s="36"/>
      <c r="Y90" s="36"/>
      <c r="Z90" s="36"/>
      <c r="AA90" s="36"/>
      <c r="AB90" s="36"/>
    </row>
    <row r="91" spans="1:28" ht="36" customHeight="1">
      <c r="A91" s="49" t="str">
        <f>HYPERLINK("https://www.alcaldiabogota.gov.co/sisjur/normas/Norma1.jsp?i=58233&amp;dt=S","RESOLUCIÓN 376")</f>
        <v>RESOLUCIÓN 376</v>
      </c>
      <c r="B91" s="481">
        <v>41815</v>
      </c>
      <c r="C91" s="437" t="s">
        <v>130</v>
      </c>
      <c r="D91" s="438" t="s">
        <v>916</v>
      </c>
      <c r="E91" s="437" t="s">
        <v>41</v>
      </c>
      <c r="F91" s="437" t="s">
        <v>42</v>
      </c>
      <c r="G91" s="116" t="s">
        <v>43</v>
      </c>
      <c r="H91" s="117" t="s">
        <v>750</v>
      </c>
      <c r="I91" s="35"/>
      <c r="J91" s="36"/>
      <c r="K91" s="36"/>
      <c r="L91" s="36"/>
      <c r="M91" s="36"/>
      <c r="N91" s="36"/>
      <c r="O91" s="36"/>
      <c r="P91" s="36"/>
      <c r="Q91" s="36"/>
      <c r="R91" s="36"/>
      <c r="S91" s="36"/>
      <c r="T91" s="36"/>
      <c r="U91" s="36"/>
      <c r="V91" s="36"/>
      <c r="W91" s="36"/>
      <c r="X91" s="36"/>
      <c r="Y91" s="36"/>
      <c r="Z91" s="36"/>
      <c r="AA91" s="36"/>
      <c r="AB91" s="36"/>
    </row>
    <row r="92" spans="1:28" ht="48" customHeight="1">
      <c r="A92" s="49" t="str">
        <f>HYPERLINK("https://www.alcaldiabogota.gov.co/sisjur/normas/Norma1.jsp?i=59931&amp;dt=S","RESOLUCIÓN 613")</f>
        <v>RESOLUCIÓN 613</v>
      </c>
      <c r="B92" s="480">
        <v>41935</v>
      </c>
      <c r="C92" s="437" t="s">
        <v>130</v>
      </c>
      <c r="D92" s="438" t="s">
        <v>918</v>
      </c>
      <c r="E92" s="437" t="s">
        <v>41</v>
      </c>
      <c r="F92" s="437" t="s">
        <v>42</v>
      </c>
      <c r="G92" s="116" t="s">
        <v>43</v>
      </c>
      <c r="H92" s="117" t="s">
        <v>750</v>
      </c>
      <c r="I92" s="35"/>
      <c r="J92" s="36"/>
      <c r="K92" s="36"/>
      <c r="L92" s="36"/>
      <c r="M92" s="36"/>
      <c r="N92" s="36"/>
      <c r="O92" s="36"/>
      <c r="P92" s="36"/>
      <c r="Q92" s="36"/>
      <c r="R92" s="36"/>
      <c r="S92" s="36"/>
      <c r="T92" s="36"/>
      <c r="U92" s="36"/>
      <c r="V92" s="36"/>
      <c r="W92" s="36"/>
      <c r="X92" s="36"/>
      <c r="Y92" s="36"/>
      <c r="Z92" s="36"/>
      <c r="AA92" s="36"/>
      <c r="AB92" s="36"/>
    </row>
    <row r="93" spans="1:28" ht="36" customHeight="1">
      <c r="A93" s="49" t="str">
        <f>HYPERLINK("http://www.contaduria.gov.co/wps/wcm/connect/4c860b8e-6070-4d4b-ab04-d5ba0df66f25/Res_%2B533.pdf?MOD=AJPERES&amp;CONVERT_TO=url&amp;CACHEID=4c860b8e-6070-4d4b-ab04-d5ba0df66f25","RESOLUCIÓN 533")</f>
        <v>RESOLUCIÓN 533</v>
      </c>
      <c r="B93" s="481">
        <v>42285</v>
      </c>
      <c r="C93" s="437" t="s">
        <v>681</v>
      </c>
      <c r="D93" s="438" t="s">
        <v>920</v>
      </c>
      <c r="E93" s="437" t="s">
        <v>41</v>
      </c>
      <c r="F93" s="437" t="s">
        <v>42</v>
      </c>
      <c r="G93" s="116" t="s">
        <v>43</v>
      </c>
      <c r="H93" s="117" t="s">
        <v>750</v>
      </c>
      <c r="I93" s="35"/>
      <c r="J93" s="36"/>
      <c r="K93" s="36"/>
      <c r="L93" s="36"/>
      <c r="M93" s="36"/>
      <c r="N93" s="36"/>
      <c r="O93" s="36"/>
      <c r="P93" s="36"/>
      <c r="Q93" s="36"/>
      <c r="R93" s="36"/>
      <c r="S93" s="36"/>
      <c r="T93" s="36"/>
      <c r="U93" s="36"/>
      <c r="V93" s="36"/>
      <c r="W93" s="36"/>
      <c r="X93" s="36"/>
      <c r="Y93" s="36"/>
      <c r="Z93" s="36"/>
      <c r="AA93" s="36"/>
      <c r="AB93" s="36"/>
    </row>
    <row r="94" spans="1:28" ht="24" customHeight="1">
      <c r="A94" s="49" t="str">
        <f>HYPERLINK("http://www.contaduria.gov.co/wps/wcm/connect/ce697a51-c9a0-4389-82ba-b62120813d84/Res_+620.pdf?MOD=AJPERES&amp;CONVERT_TO=url&amp;CACHEID=ce697a51-c9a0-4389-82ba-b62120813d84","RESOLUCION 620")</f>
        <v>RESOLUCION 620</v>
      </c>
      <c r="B94" s="480">
        <v>42334</v>
      </c>
      <c r="C94" s="437" t="s">
        <v>681</v>
      </c>
      <c r="D94" s="438" t="s">
        <v>922</v>
      </c>
      <c r="E94" s="437" t="s">
        <v>41</v>
      </c>
      <c r="F94" s="437" t="s">
        <v>42</v>
      </c>
      <c r="G94" s="116" t="s">
        <v>43</v>
      </c>
      <c r="H94" s="117" t="s">
        <v>750</v>
      </c>
      <c r="I94" s="35"/>
      <c r="J94" s="36"/>
      <c r="K94" s="36"/>
      <c r="L94" s="36"/>
      <c r="M94" s="36"/>
      <c r="N94" s="36"/>
      <c r="O94" s="36"/>
      <c r="P94" s="36"/>
      <c r="Q94" s="36"/>
      <c r="R94" s="36"/>
      <c r="S94" s="36"/>
      <c r="T94" s="36"/>
      <c r="U94" s="36"/>
      <c r="V94" s="36"/>
      <c r="W94" s="36"/>
      <c r="X94" s="36"/>
      <c r="Y94" s="36"/>
      <c r="Z94" s="36"/>
      <c r="AA94" s="36"/>
      <c r="AB94" s="36"/>
    </row>
    <row r="95" spans="1:28" ht="84" customHeight="1">
      <c r="A95" s="49" t="str">
        <f>HYPERLINK("https://www.alcaldiabogota.gov.co/sisjur/normas/Norma1.jsp?i=62460&amp;dt=S","RESOLUCIÓN 37236")</f>
        <v>RESOLUCIÓN 37236</v>
      </c>
      <c r="B95" s="481">
        <v>42165</v>
      </c>
      <c r="C95" s="437" t="s">
        <v>924</v>
      </c>
      <c r="D95" s="438" t="s">
        <v>925</v>
      </c>
      <c r="E95" s="437" t="s">
        <v>41</v>
      </c>
      <c r="F95" s="437" t="s">
        <v>42</v>
      </c>
      <c r="G95" s="116" t="s">
        <v>43</v>
      </c>
      <c r="H95" s="117" t="s">
        <v>750</v>
      </c>
      <c r="I95" s="35"/>
      <c r="J95" s="36"/>
      <c r="K95" s="36"/>
      <c r="L95" s="36"/>
      <c r="M95" s="36"/>
      <c r="N95" s="36"/>
      <c r="O95" s="36"/>
      <c r="P95" s="36"/>
      <c r="Q95" s="36"/>
      <c r="R95" s="36"/>
      <c r="S95" s="36"/>
      <c r="T95" s="36"/>
      <c r="U95" s="36"/>
      <c r="V95" s="36"/>
      <c r="W95" s="36"/>
      <c r="X95" s="36"/>
      <c r="Y95" s="36"/>
      <c r="Z95" s="36"/>
      <c r="AA95" s="36"/>
      <c r="AB95" s="36"/>
    </row>
    <row r="96" spans="1:28" ht="48" customHeight="1">
      <c r="A96" s="49" t="str">
        <f>HYPERLINK("http://www.shd.gov.co/shd/node/23345","RESOLUCION SDH 21")</f>
        <v>RESOLUCION SDH 21</v>
      </c>
      <c r="B96" s="480">
        <v>42338</v>
      </c>
      <c r="C96" s="437" t="s">
        <v>884</v>
      </c>
      <c r="D96" s="438" t="s">
        <v>927</v>
      </c>
      <c r="E96" s="437" t="s">
        <v>41</v>
      </c>
      <c r="F96" s="437" t="s">
        <v>42</v>
      </c>
      <c r="G96" s="116" t="s">
        <v>43</v>
      </c>
      <c r="H96" s="117" t="s">
        <v>750</v>
      </c>
      <c r="I96" s="35"/>
      <c r="J96" s="36"/>
      <c r="K96" s="36"/>
      <c r="L96" s="36"/>
      <c r="M96" s="36"/>
      <c r="N96" s="36"/>
      <c r="O96" s="36"/>
      <c r="P96" s="36"/>
      <c r="Q96" s="36"/>
      <c r="R96" s="36"/>
      <c r="S96" s="36"/>
      <c r="T96" s="36"/>
      <c r="U96" s="36"/>
      <c r="V96" s="36"/>
      <c r="W96" s="36"/>
      <c r="X96" s="36"/>
      <c r="Y96" s="36"/>
      <c r="Z96" s="36"/>
      <c r="AA96" s="36"/>
      <c r="AB96" s="36"/>
    </row>
    <row r="97" spans="1:28" ht="36" customHeight="1">
      <c r="A97" s="49" t="str">
        <f>HYPERLINK("http://www.shd.gov.co/shd/sites/default/files/documentos/RES_SDH_000061_2015.pdf","RESOLUCION SDH 61")</f>
        <v>RESOLUCION SDH 61</v>
      </c>
      <c r="B97" s="481">
        <v>42081</v>
      </c>
      <c r="C97" s="437" t="s">
        <v>884</v>
      </c>
      <c r="D97" s="438" t="s">
        <v>929</v>
      </c>
      <c r="E97" s="437" t="s">
        <v>41</v>
      </c>
      <c r="F97" s="437" t="s">
        <v>42</v>
      </c>
      <c r="G97" s="116" t="s">
        <v>43</v>
      </c>
      <c r="H97" s="117" t="s">
        <v>750</v>
      </c>
      <c r="I97" s="35"/>
      <c r="J97" s="36"/>
      <c r="K97" s="36"/>
      <c r="L97" s="36"/>
      <c r="M97" s="36"/>
      <c r="N97" s="36"/>
      <c r="O97" s="36"/>
      <c r="P97" s="36"/>
      <c r="Q97" s="36"/>
      <c r="R97" s="36"/>
      <c r="S97" s="36"/>
      <c r="T97" s="36"/>
      <c r="U97" s="36"/>
      <c r="V97" s="36"/>
      <c r="W97" s="36"/>
      <c r="X97" s="36"/>
      <c r="Y97" s="36"/>
      <c r="Z97" s="36"/>
      <c r="AA97" s="36"/>
      <c r="AB97" s="36"/>
    </row>
    <row r="98" spans="1:28" ht="48" customHeight="1">
      <c r="A98" s="48" t="str">
        <f>HYPERLINK("https://www.alcaldiabogota.gov.co/sisjur/normas/Norma1.jsp?dt=S&amp;i=64057#4","RESOLUCION 1031")</f>
        <v>RESOLUCION 1031</v>
      </c>
      <c r="B98" s="480">
        <v>42335</v>
      </c>
      <c r="C98" s="391" t="s">
        <v>130</v>
      </c>
      <c r="D98" s="442" t="s">
        <v>3585</v>
      </c>
      <c r="E98" s="391" t="s">
        <v>41</v>
      </c>
      <c r="F98" s="391" t="s">
        <v>42</v>
      </c>
      <c r="G98" s="116"/>
      <c r="H98" s="117"/>
      <c r="I98" s="35"/>
      <c r="J98" s="36"/>
      <c r="K98" s="36"/>
      <c r="L98" s="36"/>
      <c r="M98" s="36"/>
      <c r="N98" s="36"/>
      <c r="O98" s="36"/>
      <c r="P98" s="36"/>
      <c r="Q98" s="36"/>
      <c r="R98" s="36"/>
      <c r="S98" s="36"/>
      <c r="T98" s="36"/>
      <c r="U98" s="36"/>
      <c r="V98" s="36"/>
      <c r="W98" s="36"/>
      <c r="X98" s="36"/>
      <c r="Y98" s="36"/>
      <c r="Z98" s="36"/>
      <c r="AA98" s="36"/>
      <c r="AB98" s="36"/>
    </row>
    <row r="99" spans="1:28" ht="48" customHeight="1">
      <c r="A99" s="49" t="str">
        <f>HYPERLINK("https://www.alcaldiabogota.gov.co/sisjur/normas/Norma1.jsp?i=68791&amp;dt=S","RESOLUCION 1163")</f>
        <v>RESOLUCION 1163</v>
      </c>
      <c r="B99" s="480">
        <v>42726</v>
      </c>
      <c r="C99" s="437" t="s">
        <v>130</v>
      </c>
      <c r="D99" s="438" t="s">
        <v>935</v>
      </c>
      <c r="E99" s="437" t="s">
        <v>41</v>
      </c>
      <c r="F99" s="437" t="s">
        <v>42</v>
      </c>
      <c r="G99" s="116" t="s">
        <v>43</v>
      </c>
      <c r="H99" s="117" t="s">
        <v>750</v>
      </c>
      <c r="I99" s="35"/>
      <c r="J99" s="36"/>
      <c r="K99" s="36"/>
      <c r="L99" s="36"/>
      <c r="M99" s="36"/>
      <c r="N99" s="36"/>
      <c r="O99" s="36"/>
      <c r="P99" s="36"/>
      <c r="Q99" s="36"/>
      <c r="R99" s="36"/>
      <c r="S99" s="36"/>
      <c r="T99" s="36"/>
      <c r="U99" s="36"/>
      <c r="V99" s="36"/>
      <c r="W99" s="36"/>
      <c r="X99" s="36"/>
      <c r="Y99" s="36"/>
      <c r="Z99" s="36"/>
      <c r="AA99" s="36"/>
      <c r="AB99" s="36"/>
    </row>
    <row r="100" spans="1:28" ht="24" customHeight="1">
      <c r="A100" s="49" t="str">
        <f>HYPERLINK("https://www.alcaldiabogota.gov.co/sisjur/normas/Norma1.jsp?i=76948","RESOLUCION 191")</f>
        <v>RESOLUCION 191</v>
      </c>
      <c r="B100" s="481">
        <v>43000</v>
      </c>
      <c r="C100" s="437" t="s">
        <v>884</v>
      </c>
      <c r="D100" s="438" t="s">
        <v>937</v>
      </c>
      <c r="E100" s="437" t="s">
        <v>938</v>
      </c>
      <c r="F100" s="437" t="s">
        <v>42</v>
      </c>
      <c r="G100" s="116" t="s">
        <v>43</v>
      </c>
      <c r="H100" s="117" t="s">
        <v>750</v>
      </c>
      <c r="I100" s="35"/>
      <c r="J100" s="36"/>
      <c r="K100" s="36"/>
      <c r="L100" s="36"/>
      <c r="M100" s="36"/>
      <c r="N100" s="36"/>
      <c r="O100" s="36"/>
      <c r="P100" s="36"/>
      <c r="Q100" s="36"/>
      <c r="R100" s="36"/>
      <c r="S100" s="36"/>
      <c r="T100" s="36"/>
      <c r="U100" s="36"/>
      <c r="V100" s="36"/>
      <c r="W100" s="36"/>
      <c r="X100" s="36"/>
      <c r="Y100" s="36"/>
      <c r="Z100" s="36"/>
      <c r="AA100" s="36"/>
      <c r="AB100" s="36"/>
    </row>
    <row r="101" spans="1:28" ht="48" customHeight="1">
      <c r="A101" s="48" t="str">
        <f>HYPERLINK("https://www.alcaldiabogota.gov.co/sisjur/normas/Norma1.jsp?i=78369#3","RESOLUCION 156")</f>
        <v>RESOLUCION 156</v>
      </c>
      <c r="B101" s="488">
        <v>43249</v>
      </c>
      <c r="C101" s="485" t="s">
        <v>681</v>
      </c>
      <c r="D101" s="486" t="s">
        <v>3586</v>
      </c>
      <c r="E101" s="485" t="s">
        <v>41</v>
      </c>
      <c r="F101" s="485" t="s">
        <v>42</v>
      </c>
      <c r="G101" s="487"/>
      <c r="H101" s="201"/>
      <c r="I101" s="35"/>
      <c r="J101" s="36"/>
      <c r="K101" s="36"/>
      <c r="L101" s="36"/>
      <c r="M101" s="36"/>
      <c r="N101" s="36"/>
      <c r="O101" s="36"/>
      <c r="P101" s="36"/>
      <c r="Q101" s="36"/>
      <c r="R101" s="36"/>
      <c r="S101" s="36"/>
      <c r="T101" s="36"/>
      <c r="U101" s="36"/>
      <c r="V101" s="36"/>
      <c r="W101" s="36"/>
      <c r="X101" s="36"/>
      <c r="Y101" s="36"/>
      <c r="Z101" s="36"/>
      <c r="AA101" s="36"/>
      <c r="AB101" s="36"/>
    </row>
    <row r="102" spans="1:28" ht="48" customHeight="1">
      <c r="A102" s="49" t="str">
        <f>HYPERLINK("http://www.shd.gov.co/shd/node/31965","RESOLUCIÓN 073")</f>
        <v>RESOLUCIÓN 073</v>
      </c>
      <c r="B102" s="481">
        <v>43252</v>
      </c>
      <c r="C102" s="437" t="s">
        <v>940</v>
      </c>
      <c r="D102" s="438" t="s">
        <v>972</v>
      </c>
      <c r="E102" s="437" t="s">
        <v>41</v>
      </c>
      <c r="F102" s="437" t="s">
        <v>42</v>
      </c>
      <c r="G102" s="147" t="s">
        <v>43</v>
      </c>
      <c r="H102" s="117" t="s">
        <v>750</v>
      </c>
      <c r="I102" s="35"/>
      <c r="J102" s="36"/>
      <c r="K102" s="36"/>
      <c r="L102" s="36"/>
      <c r="M102" s="36"/>
      <c r="N102" s="36"/>
      <c r="O102" s="36"/>
      <c r="P102" s="36"/>
      <c r="Q102" s="36"/>
      <c r="R102" s="36"/>
      <c r="S102" s="36"/>
      <c r="T102" s="36"/>
      <c r="U102" s="36"/>
      <c r="V102" s="36"/>
      <c r="W102" s="36"/>
      <c r="X102" s="36"/>
      <c r="Y102" s="36"/>
      <c r="Z102" s="36"/>
      <c r="AA102" s="36"/>
      <c r="AB102" s="36"/>
    </row>
    <row r="103" spans="1:28" ht="48" customHeight="1">
      <c r="A103" s="49" t="str">
        <f>HYPERLINK("https://www.alcaldiabogota.gov.co/sisjur/normas/Norma1.jsp?i=82936","RESOLUCIÓN SDH- 000037")</f>
        <v>RESOLUCIÓN SDH- 000037</v>
      </c>
      <c r="B103" s="488">
        <v>43530</v>
      </c>
      <c r="C103" s="483" t="s">
        <v>940</v>
      </c>
      <c r="D103" s="484" t="s">
        <v>943</v>
      </c>
      <c r="E103" s="483" t="s">
        <v>41</v>
      </c>
      <c r="F103" s="483" t="s">
        <v>42</v>
      </c>
      <c r="G103" s="487" t="s">
        <v>43</v>
      </c>
      <c r="H103" s="201" t="s">
        <v>750</v>
      </c>
      <c r="I103" s="35"/>
      <c r="J103" s="36"/>
      <c r="K103" s="36"/>
      <c r="L103" s="36"/>
      <c r="M103" s="36"/>
      <c r="N103" s="36"/>
      <c r="O103" s="36"/>
      <c r="P103" s="36"/>
      <c r="Q103" s="36"/>
      <c r="R103" s="36"/>
      <c r="S103" s="36"/>
      <c r="T103" s="36"/>
      <c r="U103" s="36"/>
      <c r="V103" s="36"/>
      <c r="W103" s="36"/>
      <c r="X103" s="36"/>
      <c r="Y103" s="36"/>
      <c r="Z103" s="36"/>
      <c r="AA103" s="36"/>
      <c r="AB103" s="36"/>
    </row>
    <row r="104" spans="1:28" ht="36" customHeight="1">
      <c r="A104" s="49" t="str">
        <f>HYPERLINK("http://www.shd.gov.co/shd/node/358","CIRCULAR 3")</f>
        <v>CIRCULAR 3</v>
      </c>
      <c r="B104" s="480">
        <v>41605</v>
      </c>
      <c r="C104" s="437" t="s">
        <v>884</v>
      </c>
      <c r="D104" s="438" t="s">
        <v>945</v>
      </c>
      <c r="E104" s="437" t="s">
        <v>41</v>
      </c>
      <c r="F104" s="437" t="s">
        <v>42</v>
      </c>
      <c r="G104" s="116" t="s">
        <v>43</v>
      </c>
      <c r="H104" s="117" t="s">
        <v>750</v>
      </c>
      <c r="I104" s="35"/>
      <c r="J104" s="36"/>
      <c r="K104" s="36"/>
      <c r="L104" s="36"/>
      <c r="M104" s="36"/>
      <c r="N104" s="36"/>
      <c r="O104" s="36"/>
      <c r="P104" s="36"/>
      <c r="Q104" s="36"/>
      <c r="R104" s="36"/>
      <c r="S104" s="36"/>
      <c r="T104" s="36"/>
      <c r="U104" s="36"/>
      <c r="V104" s="36"/>
      <c r="W104" s="36"/>
      <c r="X104" s="36"/>
      <c r="Y104" s="36"/>
      <c r="Z104" s="36"/>
      <c r="AA104" s="36"/>
      <c r="AB104" s="36"/>
    </row>
    <row r="105" spans="1:28" ht="24" customHeight="1">
      <c r="A105" s="49" t="str">
        <f>HYPERLINK("http://www.shd.gov.co/shd/node/346","CIRCULAR 4")</f>
        <v>CIRCULAR 4</v>
      </c>
      <c r="B105" s="481">
        <v>41480</v>
      </c>
      <c r="C105" s="437" t="s">
        <v>884</v>
      </c>
      <c r="D105" s="438" t="s">
        <v>947</v>
      </c>
      <c r="E105" s="437" t="s">
        <v>41</v>
      </c>
      <c r="F105" s="437" t="s">
        <v>42</v>
      </c>
      <c r="G105" s="116" t="s">
        <v>43</v>
      </c>
      <c r="H105" s="117" t="s">
        <v>750</v>
      </c>
      <c r="I105" s="35"/>
      <c r="J105" s="36"/>
      <c r="K105" s="36"/>
      <c r="L105" s="36"/>
      <c r="M105" s="36"/>
      <c r="N105" s="36"/>
      <c r="O105" s="36"/>
      <c r="P105" s="36"/>
      <c r="Q105" s="36"/>
      <c r="R105" s="36"/>
      <c r="S105" s="36"/>
      <c r="T105" s="36"/>
      <c r="U105" s="36"/>
      <c r="V105" s="36"/>
      <c r="W105" s="36"/>
      <c r="X105" s="36"/>
      <c r="Y105" s="36"/>
      <c r="Z105" s="36"/>
      <c r="AA105" s="36"/>
      <c r="AB105" s="36"/>
    </row>
    <row r="106" spans="1:28" ht="36" customHeight="1">
      <c r="A106" s="49" t="str">
        <f>HYPERLINK("http://www.shd.gov.co/shd/node/16951","CIRCULAR 35")</f>
        <v>CIRCULAR 35</v>
      </c>
      <c r="B106" s="480">
        <v>41635</v>
      </c>
      <c r="C106" s="437" t="s">
        <v>884</v>
      </c>
      <c r="D106" s="438" t="s">
        <v>949</v>
      </c>
      <c r="E106" s="437" t="s">
        <v>41</v>
      </c>
      <c r="F106" s="437" t="s">
        <v>42</v>
      </c>
      <c r="G106" s="116" t="s">
        <v>43</v>
      </c>
      <c r="H106" s="117" t="s">
        <v>750</v>
      </c>
      <c r="I106" s="35"/>
      <c r="J106" s="36"/>
      <c r="K106" s="36"/>
      <c r="L106" s="36"/>
      <c r="M106" s="36"/>
      <c r="N106" s="36"/>
      <c r="O106" s="36"/>
      <c r="P106" s="36"/>
      <c r="Q106" s="36"/>
      <c r="R106" s="36"/>
      <c r="S106" s="36"/>
      <c r="T106" s="36"/>
      <c r="U106" s="36"/>
      <c r="V106" s="36"/>
      <c r="W106" s="36"/>
      <c r="X106" s="36"/>
      <c r="Y106" s="36"/>
      <c r="Z106" s="36"/>
      <c r="AA106" s="36"/>
      <c r="AB106" s="36"/>
    </row>
    <row r="107" spans="1:28" ht="24" customHeight="1">
      <c r="A107" s="49" t="str">
        <f>HYPERLINK("http://www.shd.gov.co/shd/sites/default/files/documentos/circular_0004_2014.pdf","CIRCULAR 4")</f>
        <v>CIRCULAR 4</v>
      </c>
      <c r="B107" s="481">
        <v>41801</v>
      </c>
      <c r="C107" s="437" t="s">
        <v>884</v>
      </c>
      <c r="D107" s="438" t="s">
        <v>950</v>
      </c>
      <c r="E107" s="437" t="s">
        <v>41</v>
      </c>
      <c r="F107" s="437" t="s">
        <v>42</v>
      </c>
      <c r="G107" s="116" t="s">
        <v>43</v>
      </c>
      <c r="H107" s="117" t="s">
        <v>750</v>
      </c>
      <c r="I107" s="35"/>
      <c r="J107" s="36"/>
      <c r="K107" s="36"/>
      <c r="L107" s="36"/>
      <c r="M107" s="36"/>
      <c r="N107" s="36"/>
      <c r="O107" s="36"/>
      <c r="P107" s="36"/>
      <c r="Q107" s="36"/>
      <c r="R107" s="36"/>
      <c r="S107" s="36"/>
      <c r="T107" s="36"/>
      <c r="U107" s="36"/>
      <c r="V107" s="36"/>
      <c r="W107" s="36"/>
      <c r="X107" s="36"/>
      <c r="Y107" s="36"/>
      <c r="Z107" s="36"/>
      <c r="AA107" s="36"/>
      <c r="AB107" s="36"/>
    </row>
    <row r="108" spans="1:28" ht="24" customHeight="1">
      <c r="A108" s="48" t="s">
        <v>951</v>
      </c>
      <c r="B108" s="481">
        <v>41842</v>
      </c>
      <c r="C108" s="437" t="s">
        <v>884</v>
      </c>
      <c r="D108" s="438" t="s">
        <v>952</v>
      </c>
      <c r="E108" s="437" t="s">
        <v>41</v>
      </c>
      <c r="F108" s="437" t="s">
        <v>42</v>
      </c>
      <c r="G108" s="116" t="s">
        <v>43</v>
      </c>
      <c r="H108" s="117" t="s">
        <v>750</v>
      </c>
      <c r="I108" s="35"/>
      <c r="J108" s="36"/>
      <c r="K108" s="36"/>
      <c r="L108" s="36"/>
      <c r="M108" s="36"/>
      <c r="N108" s="36"/>
      <c r="O108" s="36"/>
      <c r="P108" s="36"/>
      <c r="Q108" s="36"/>
      <c r="R108" s="36"/>
      <c r="S108" s="36"/>
      <c r="T108" s="36"/>
      <c r="U108" s="36"/>
      <c r="V108" s="36"/>
      <c r="W108" s="36"/>
      <c r="X108" s="36"/>
      <c r="Y108" s="36"/>
      <c r="Z108" s="36"/>
      <c r="AA108" s="36"/>
      <c r="AB108" s="36"/>
    </row>
    <row r="109" spans="1:28" ht="24" customHeight="1">
      <c r="A109" s="49" t="str">
        <f>HYPERLINK("https://www.veeduriadistrital.gov.co/transparencia/marco-legal/Lineamientos/Circular-006-2015","CIRCULAR 6")</f>
        <v>CIRCULAR 6</v>
      </c>
      <c r="B109" s="481">
        <v>42100</v>
      </c>
      <c r="C109" s="437" t="s">
        <v>960</v>
      </c>
      <c r="D109" s="438" t="s">
        <v>961</v>
      </c>
      <c r="E109" s="437" t="s">
        <v>41</v>
      </c>
      <c r="F109" s="437" t="s">
        <v>42</v>
      </c>
      <c r="G109" s="116" t="s">
        <v>43</v>
      </c>
      <c r="H109" s="117" t="s">
        <v>750</v>
      </c>
      <c r="I109" s="35"/>
      <c r="J109" s="36"/>
      <c r="K109" s="36"/>
      <c r="L109" s="36"/>
      <c r="M109" s="36"/>
      <c r="N109" s="36"/>
      <c r="O109" s="36"/>
      <c r="P109" s="36"/>
      <c r="Q109" s="36"/>
      <c r="R109" s="36"/>
      <c r="S109" s="36"/>
      <c r="T109" s="36"/>
      <c r="U109" s="36"/>
      <c r="V109" s="36"/>
      <c r="W109" s="36"/>
      <c r="X109" s="36"/>
      <c r="Y109" s="36"/>
      <c r="Z109" s="36"/>
      <c r="AA109" s="36"/>
      <c r="AB109" s="36"/>
    </row>
    <row r="110" spans="1:28" ht="36" customHeight="1">
      <c r="A110" s="49" t="str">
        <f>HYPERLINK("http://www.shd.gov.co/shd/node/16629","DIRECTIVA 1")</f>
        <v>DIRECTIVA 1</v>
      </c>
      <c r="B110" s="481">
        <v>41611</v>
      </c>
      <c r="C110" s="437" t="s">
        <v>954</v>
      </c>
      <c r="D110" s="438" t="s">
        <v>965</v>
      </c>
      <c r="E110" s="437" t="s">
        <v>41</v>
      </c>
      <c r="F110" s="437" t="s">
        <v>42</v>
      </c>
      <c r="G110" s="116" t="s">
        <v>43</v>
      </c>
      <c r="H110" s="117" t="s">
        <v>750</v>
      </c>
      <c r="I110" s="35"/>
      <c r="J110" s="36"/>
      <c r="K110" s="36"/>
      <c r="L110" s="36"/>
      <c r="M110" s="36"/>
      <c r="N110" s="36"/>
      <c r="O110" s="36"/>
      <c r="P110" s="36"/>
      <c r="Q110" s="36"/>
      <c r="R110" s="36"/>
      <c r="S110" s="36"/>
      <c r="T110" s="36"/>
      <c r="U110" s="36"/>
      <c r="V110" s="36"/>
      <c r="W110" s="36"/>
      <c r="X110" s="36"/>
      <c r="Y110" s="36"/>
      <c r="Z110" s="36"/>
      <c r="AA110" s="36"/>
      <c r="AB110" s="36"/>
    </row>
    <row r="111" spans="1:28" ht="24" customHeight="1">
      <c r="A111" s="49" t="e">
        <f>HYPERLINK("http://www.contaduria.gov.co/wps/portal/internetes/home/internet/normativa/normograma/instructivos/!ut/p/b1/jZBNC4JAFEV_0jxn9I0ux9Sy1NLxgc4mDEIEP1pE0L_PNkFF5N1dOIcLlxlWMTM2t65trt00Nv2zGzwC7guHItJ8jR6owJeY6gjszJqBegYE2ACuX6CT-B7EpS7zKA25K_ky_wXEMhEQFwcd5CT"&amp;"FaicX-j-i4N3PnRBBKW4lAQlhA37ufwN_9rfMtP10mq_KNtNwZpeBiKq7egD0awm-/dl4/d5/L2dJQSEvUUt3QS80SmtFL1o2XzA2T1I1VUZVUzJHNjkwQURCNzZNU0YwSzA2/","INSTRUCTIVO 2")</f>
        <v>#VALUE!</v>
      </c>
      <c r="B111" s="481">
        <v>42285</v>
      </c>
      <c r="C111" s="437" t="s">
        <v>681</v>
      </c>
      <c r="D111" s="438" t="s">
        <v>967</v>
      </c>
      <c r="E111" s="437" t="s">
        <v>41</v>
      </c>
      <c r="F111" s="437" t="s">
        <v>42</v>
      </c>
      <c r="G111" s="116" t="s">
        <v>43</v>
      </c>
      <c r="H111" s="117" t="s">
        <v>750</v>
      </c>
      <c r="I111" s="35"/>
      <c r="J111" s="36"/>
      <c r="K111" s="36"/>
      <c r="L111" s="36"/>
      <c r="M111" s="36"/>
      <c r="N111" s="36"/>
      <c r="O111" s="36"/>
      <c r="P111" s="36"/>
      <c r="Q111" s="36"/>
      <c r="R111" s="36"/>
      <c r="S111" s="36"/>
      <c r="T111" s="36"/>
      <c r="U111" s="36"/>
      <c r="V111" s="36"/>
      <c r="W111" s="36"/>
      <c r="X111" s="36"/>
      <c r="Y111" s="36"/>
      <c r="Z111" s="36"/>
      <c r="AA111" s="36"/>
      <c r="AB111" s="36"/>
    </row>
    <row r="112" spans="1:28" ht="12" customHeight="1">
      <c r="A112" s="284" t="s">
        <v>3587</v>
      </c>
      <c r="B112" s="103">
        <v>44194</v>
      </c>
      <c r="C112" s="55" t="s">
        <v>856</v>
      </c>
      <c r="D112" s="54" t="s">
        <v>3588</v>
      </c>
      <c r="E112" s="55" t="s">
        <v>41</v>
      </c>
      <c r="F112" s="55" t="s">
        <v>42</v>
      </c>
      <c r="G112" s="35"/>
      <c r="H112" s="104"/>
      <c r="I112" s="35"/>
      <c r="J112" s="36"/>
      <c r="K112" s="36"/>
      <c r="L112" s="36"/>
      <c r="M112" s="36"/>
      <c r="N112" s="36"/>
      <c r="O112" s="36"/>
      <c r="P112" s="36"/>
      <c r="Q112" s="36"/>
      <c r="R112" s="36"/>
      <c r="S112" s="36"/>
      <c r="T112" s="36"/>
      <c r="U112" s="36"/>
      <c r="V112" s="36"/>
      <c r="W112" s="36"/>
      <c r="X112" s="36"/>
      <c r="Y112" s="36"/>
      <c r="Z112" s="36"/>
      <c r="AA112" s="36"/>
      <c r="AB112" s="36"/>
    </row>
    <row r="113" spans="1:28" ht="12" customHeight="1">
      <c r="A113" s="489" t="s">
        <v>3589</v>
      </c>
      <c r="B113" s="127">
        <v>44074</v>
      </c>
      <c r="C113" s="55" t="s">
        <v>3590</v>
      </c>
      <c r="D113" s="54" t="s">
        <v>3591</v>
      </c>
      <c r="E113" s="55" t="s">
        <v>41</v>
      </c>
      <c r="F113" s="55" t="s">
        <v>42</v>
      </c>
      <c r="G113" s="35"/>
      <c r="H113" s="104"/>
      <c r="I113" s="35"/>
      <c r="J113" s="74"/>
      <c r="K113" s="74"/>
      <c r="L113" s="74"/>
      <c r="M113" s="74"/>
      <c r="N113" s="74"/>
      <c r="O113" s="74"/>
      <c r="P113" s="74"/>
      <c r="Q113" s="74"/>
      <c r="R113" s="74"/>
      <c r="S113" s="74"/>
      <c r="T113" s="74"/>
      <c r="U113" s="74"/>
      <c r="V113" s="74"/>
      <c r="W113" s="74"/>
      <c r="X113" s="74"/>
      <c r="Y113" s="74"/>
      <c r="Z113" s="74"/>
      <c r="AA113" s="74"/>
      <c r="AB113" s="74"/>
    </row>
    <row r="114" spans="1:28" ht="12" customHeight="1">
      <c r="A114" s="489" t="s">
        <v>3592</v>
      </c>
      <c r="B114" s="127">
        <v>44083</v>
      </c>
      <c r="C114" s="55" t="s">
        <v>3590</v>
      </c>
      <c r="D114" s="54" t="s">
        <v>3593</v>
      </c>
      <c r="E114" s="55" t="s">
        <v>41</v>
      </c>
      <c r="F114" s="55" t="s">
        <v>42</v>
      </c>
      <c r="G114" s="35"/>
      <c r="H114" s="104"/>
      <c r="I114" s="35"/>
      <c r="J114" s="74"/>
      <c r="K114" s="74"/>
      <c r="L114" s="74"/>
      <c r="M114" s="74"/>
      <c r="N114" s="74"/>
      <c r="O114" s="74"/>
      <c r="P114" s="74"/>
      <c r="Q114" s="74"/>
      <c r="R114" s="74"/>
      <c r="S114" s="74"/>
      <c r="T114" s="74"/>
      <c r="U114" s="74"/>
      <c r="V114" s="74"/>
      <c r="W114" s="74"/>
      <c r="X114" s="74"/>
      <c r="Y114" s="74"/>
      <c r="Z114" s="74"/>
      <c r="AA114" s="74"/>
      <c r="AB114" s="74"/>
    </row>
    <row r="115" spans="1:28" ht="12" customHeight="1">
      <c r="A115" s="120" t="s">
        <v>3594</v>
      </c>
      <c r="B115" s="490">
        <v>44117</v>
      </c>
      <c r="C115" s="491" t="s">
        <v>3595</v>
      </c>
      <c r="D115" s="492" t="s">
        <v>3596</v>
      </c>
      <c r="E115" s="491" t="s">
        <v>41</v>
      </c>
      <c r="F115" s="55" t="s">
        <v>42</v>
      </c>
      <c r="G115" s="35"/>
      <c r="H115" s="104"/>
      <c r="I115" s="35"/>
      <c r="J115" s="74"/>
      <c r="K115" s="74"/>
      <c r="L115" s="74"/>
      <c r="M115" s="74"/>
      <c r="N115" s="74"/>
      <c r="O115" s="74"/>
      <c r="P115" s="74"/>
      <c r="Q115" s="74"/>
      <c r="R115" s="74"/>
      <c r="S115" s="74"/>
      <c r="T115" s="74"/>
      <c r="U115" s="74"/>
      <c r="V115" s="74"/>
      <c r="W115" s="74"/>
      <c r="X115" s="74"/>
      <c r="Y115" s="74"/>
      <c r="Z115" s="74"/>
      <c r="AA115" s="74"/>
      <c r="AB115" s="74"/>
    </row>
    <row r="116" spans="1:28" ht="12" customHeight="1">
      <c r="A116" s="493" t="s">
        <v>3597</v>
      </c>
      <c r="B116" s="494">
        <v>43857</v>
      </c>
      <c r="C116" s="495" t="s">
        <v>954</v>
      </c>
      <c r="D116" s="496" t="s">
        <v>3598</v>
      </c>
      <c r="E116" s="495" t="s">
        <v>41</v>
      </c>
      <c r="F116" s="55" t="s">
        <v>42</v>
      </c>
      <c r="G116" s="35"/>
      <c r="H116" s="104"/>
      <c r="I116" s="35"/>
      <c r="J116" s="74"/>
      <c r="K116" s="74"/>
      <c r="L116" s="74"/>
      <c r="M116" s="74"/>
      <c r="N116" s="74"/>
      <c r="O116" s="74"/>
      <c r="P116" s="74"/>
      <c r="Q116" s="74"/>
      <c r="R116" s="74"/>
      <c r="S116" s="74"/>
      <c r="T116" s="74"/>
      <c r="U116" s="74"/>
      <c r="V116" s="74"/>
      <c r="W116" s="74"/>
      <c r="X116" s="74"/>
      <c r="Y116" s="74"/>
      <c r="Z116" s="74"/>
      <c r="AA116" s="74"/>
      <c r="AB116" s="74"/>
    </row>
    <row r="117" spans="1:28" ht="12" customHeight="1">
      <c r="A117" s="493" t="s">
        <v>3599</v>
      </c>
      <c r="B117" s="497">
        <v>43965</v>
      </c>
      <c r="C117" s="498" t="s">
        <v>954</v>
      </c>
      <c r="D117" s="499" t="s">
        <v>3600</v>
      </c>
      <c r="E117" s="498" t="s">
        <v>41</v>
      </c>
      <c r="F117" s="485" t="s">
        <v>42</v>
      </c>
      <c r="G117" s="35"/>
      <c r="H117" s="104"/>
      <c r="I117" s="35"/>
      <c r="J117" s="74"/>
      <c r="K117" s="74"/>
      <c r="L117" s="74"/>
      <c r="M117" s="74"/>
      <c r="N117" s="74"/>
      <c r="O117" s="74"/>
      <c r="P117" s="74"/>
      <c r="Q117" s="74"/>
      <c r="R117" s="74"/>
      <c r="S117" s="74"/>
      <c r="T117" s="74"/>
      <c r="U117" s="74"/>
      <c r="V117" s="74"/>
      <c r="W117" s="74"/>
      <c r="X117" s="74"/>
      <c r="Y117" s="74"/>
      <c r="Z117" s="74"/>
      <c r="AA117" s="74"/>
      <c r="AB117" s="74"/>
    </row>
    <row r="118" spans="1:28" ht="12" customHeight="1">
      <c r="A118" s="120" t="s">
        <v>3601</v>
      </c>
      <c r="B118" s="500">
        <v>44187</v>
      </c>
      <c r="C118" s="501" t="s">
        <v>954</v>
      </c>
      <c r="D118" s="73" t="s">
        <v>3602</v>
      </c>
      <c r="E118" s="501" t="s">
        <v>41</v>
      </c>
      <c r="F118" s="485" t="s">
        <v>42</v>
      </c>
      <c r="G118" s="35"/>
      <c r="H118" s="104"/>
      <c r="I118" s="35"/>
      <c r="J118" s="74"/>
      <c r="K118" s="74"/>
      <c r="L118" s="74"/>
      <c r="M118" s="74"/>
      <c r="N118" s="74"/>
      <c r="O118" s="74"/>
      <c r="P118" s="74"/>
      <c r="Q118" s="74"/>
      <c r="R118" s="74"/>
      <c r="S118" s="74"/>
      <c r="T118" s="74"/>
      <c r="U118" s="74"/>
      <c r="V118" s="74"/>
      <c r="W118" s="74"/>
      <c r="X118" s="74"/>
      <c r="Y118" s="74"/>
      <c r="Z118" s="74"/>
      <c r="AA118" s="74"/>
      <c r="AB118" s="74"/>
    </row>
    <row r="119" spans="1:28" ht="12" customHeight="1">
      <c r="A119" s="502" t="s">
        <v>3603</v>
      </c>
      <c r="B119" s="503">
        <v>44462</v>
      </c>
      <c r="C119" s="504" t="s">
        <v>3604</v>
      </c>
      <c r="D119" s="505" t="s">
        <v>3605</v>
      </c>
      <c r="E119" s="506" t="s">
        <v>41</v>
      </c>
      <c r="F119" s="504" t="s">
        <v>42</v>
      </c>
      <c r="G119" s="35"/>
      <c r="H119" s="104"/>
      <c r="I119" s="35"/>
      <c r="J119" s="74"/>
      <c r="K119" s="74"/>
      <c r="L119" s="74"/>
      <c r="M119" s="74"/>
      <c r="N119" s="74"/>
      <c r="O119" s="74"/>
      <c r="P119" s="74"/>
      <c r="Q119" s="74"/>
      <c r="R119" s="74"/>
      <c r="S119" s="74"/>
      <c r="T119" s="74"/>
      <c r="U119" s="74"/>
      <c r="V119" s="74"/>
      <c r="W119" s="74"/>
      <c r="X119" s="74"/>
      <c r="Y119" s="74"/>
      <c r="Z119" s="74"/>
      <c r="AA119" s="74"/>
      <c r="AB119" s="74"/>
    </row>
    <row r="120" spans="1:28" ht="12" customHeight="1">
      <c r="A120" s="120" t="s">
        <v>3606</v>
      </c>
      <c r="B120" s="507">
        <v>44523</v>
      </c>
      <c r="C120" s="501" t="s">
        <v>954</v>
      </c>
      <c r="D120" s="508" t="s">
        <v>3607</v>
      </c>
      <c r="E120" s="501" t="s">
        <v>41</v>
      </c>
      <c r="F120" s="485" t="s">
        <v>42</v>
      </c>
      <c r="G120" s="35"/>
      <c r="H120" s="104"/>
      <c r="I120" s="35"/>
      <c r="J120" s="74"/>
      <c r="K120" s="74"/>
      <c r="L120" s="74"/>
      <c r="M120" s="74"/>
      <c r="N120" s="74"/>
      <c r="O120" s="74"/>
      <c r="P120" s="74"/>
      <c r="Q120" s="74"/>
      <c r="R120" s="74"/>
      <c r="S120" s="74"/>
      <c r="T120" s="74"/>
      <c r="U120" s="74"/>
      <c r="V120" s="74"/>
      <c r="W120" s="74"/>
      <c r="X120" s="74"/>
      <c r="Y120" s="74"/>
      <c r="Z120" s="74"/>
      <c r="AA120" s="74"/>
      <c r="AB120" s="74"/>
    </row>
    <row r="121" spans="1:28" ht="12" customHeight="1">
      <c r="A121" s="509" t="s">
        <v>3608</v>
      </c>
      <c r="B121" s="510">
        <v>44550</v>
      </c>
      <c r="C121" s="506" t="s">
        <v>954</v>
      </c>
      <c r="D121" s="511" t="s">
        <v>3609</v>
      </c>
      <c r="E121" s="506" t="s">
        <v>41</v>
      </c>
      <c r="F121" s="504" t="s">
        <v>42</v>
      </c>
      <c r="G121" s="35"/>
      <c r="H121" s="104"/>
      <c r="I121" s="35"/>
      <c r="J121" s="74"/>
      <c r="K121" s="74"/>
      <c r="L121" s="74"/>
      <c r="M121" s="74"/>
      <c r="N121" s="74"/>
      <c r="O121" s="74"/>
      <c r="P121" s="74"/>
      <c r="Q121" s="74"/>
      <c r="R121" s="74"/>
      <c r="S121" s="74"/>
      <c r="T121" s="74"/>
      <c r="U121" s="74"/>
      <c r="V121" s="74"/>
      <c r="W121" s="74"/>
      <c r="X121" s="74"/>
      <c r="Y121" s="74"/>
      <c r="Z121" s="74"/>
      <c r="AA121" s="74"/>
      <c r="AB121" s="74"/>
    </row>
    <row r="122" spans="1:28" ht="12" customHeight="1">
      <c r="A122" s="512" t="s">
        <v>3610</v>
      </c>
      <c r="B122" s="513">
        <v>44919</v>
      </c>
      <c r="C122" s="514" t="s">
        <v>856</v>
      </c>
      <c r="D122" s="515" t="s">
        <v>3611</v>
      </c>
      <c r="E122" s="516" t="s">
        <v>41</v>
      </c>
      <c r="F122" s="514" t="s">
        <v>42</v>
      </c>
      <c r="G122" s="35"/>
      <c r="H122" s="104"/>
      <c r="I122" s="35"/>
      <c r="J122" s="74"/>
      <c r="K122" s="74"/>
      <c r="L122" s="74"/>
      <c r="M122" s="74"/>
      <c r="N122" s="74"/>
      <c r="O122" s="74"/>
      <c r="P122" s="74"/>
      <c r="Q122" s="74"/>
      <c r="R122" s="74"/>
      <c r="S122" s="74"/>
      <c r="T122" s="74"/>
      <c r="U122" s="74"/>
      <c r="V122" s="74"/>
      <c r="W122" s="74"/>
      <c r="X122" s="74"/>
      <c r="Y122" s="74"/>
      <c r="Z122" s="74"/>
      <c r="AA122" s="74"/>
      <c r="AB122" s="74"/>
    </row>
    <row r="123" spans="1:28" ht="18.75" customHeight="1">
      <c r="A123" s="512" t="s">
        <v>3612</v>
      </c>
      <c r="B123" s="513">
        <v>44349</v>
      </c>
      <c r="C123" s="514" t="s">
        <v>856</v>
      </c>
      <c r="D123" s="517" t="s">
        <v>3613</v>
      </c>
      <c r="E123" s="516" t="s">
        <v>41</v>
      </c>
      <c r="F123" s="514" t="s">
        <v>42</v>
      </c>
      <c r="G123" s="35"/>
      <c r="H123" s="104"/>
      <c r="I123" s="35"/>
      <c r="J123" s="74"/>
      <c r="K123" s="74"/>
      <c r="L123" s="74"/>
      <c r="M123" s="74"/>
      <c r="N123" s="74"/>
      <c r="O123" s="74"/>
      <c r="P123" s="74"/>
      <c r="Q123" s="74"/>
      <c r="R123" s="74"/>
      <c r="S123" s="74"/>
      <c r="T123" s="74"/>
      <c r="U123" s="74"/>
      <c r="V123" s="74"/>
      <c r="W123" s="74"/>
      <c r="X123" s="74"/>
      <c r="Y123" s="74"/>
      <c r="Z123" s="74"/>
      <c r="AA123" s="74"/>
      <c r="AB123" s="74"/>
    </row>
    <row r="124" spans="1:28" ht="12" customHeight="1">
      <c r="A124" s="418" t="s">
        <v>3614</v>
      </c>
      <c r="B124" s="518">
        <v>44187</v>
      </c>
      <c r="C124" s="519" t="s">
        <v>195</v>
      </c>
      <c r="D124" s="520" t="s">
        <v>3615</v>
      </c>
      <c r="E124" s="519" t="s">
        <v>41</v>
      </c>
      <c r="F124" s="519" t="s">
        <v>42</v>
      </c>
      <c r="G124" s="35"/>
      <c r="H124" s="104"/>
      <c r="I124" s="35"/>
      <c r="J124" s="74"/>
      <c r="K124" s="74"/>
      <c r="L124" s="74"/>
      <c r="M124" s="74"/>
      <c r="N124" s="74"/>
      <c r="O124" s="74"/>
      <c r="P124" s="74"/>
      <c r="Q124" s="74"/>
      <c r="R124" s="74"/>
      <c r="S124" s="74"/>
      <c r="T124" s="74"/>
      <c r="U124" s="74"/>
      <c r="V124" s="74"/>
      <c r="W124" s="74"/>
      <c r="X124" s="74"/>
      <c r="Y124" s="74"/>
      <c r="Z124" s="74"/>
      <c r="AA124" s="74"/>
      <c r="AB124" s="74"/>
    </row>
    <row r="125" spans="1:28" ht="15" customHeight="1">
      <c r="A125" s="418" t="s">
        <v>3616</v>
      </c>
      <c r="B125" s="521">
        <v>44693</v>
      </c>
      <c r="C125" s="388" t="s">
        <v>3617</v>
      </c>
      <c r="D125" s="522" t="s">
        <v>3618</v>
      </c>
      <c r="E125" s="519" t="s">
        <v>41</v>
      </c>
      <c r="F125" s="519" t="s">
        <v>42</v>
      </c>
      <c r="G125" s="35"/>
      <c r="H125" s="104"/>
      <c r="I125" s="35"/>
      <c r="J125" s="74"/>
      <c r="K125" s="74"/>
      <c r="L125" s="74"/>
      <c r="M125" s="74"/>
      <c r="N125" s="74"/>
      <c r="O125" s="74"/>
      <c r="P125" s="74"/>
      <c r="Q125" s="74"/>
      <c r="R125" s="74"/>
      <c r="S125" s="74"/>
      <c r="T125" s="74"/>
      <c r="U125" s="74"/>
      <c r="V125" s="74"/>
      <c r="W125" s="74"/>
      <c r="X125" s="74"/>
      <c r="Y125" s="74"/>
      <c r="Z125" s="74"/>
      <c r="AA125" s="74"/>
      <c r="AB125" s="74"/>
    </row>
    <row r="126" spans="1:28" ht="12" customHeight="1">
      <c r="B126" s="523"/>
      <c r="C126" s="524"/>
      <c r="D126" s="525"/>
      <c r="E126" s="526"/>
      <c r="F126" s="524"/>
      <c r="G126" s="35"/>
      <c r="H126" s="104"/>
      <c r="I126" s="35"/>
      <c r="J126" s="74"/>
      <c r="K126" s="74"/>
      <c r="L126" s="74"/>
      <c r="M126" s="74"/>
      <c r="N126" s="74"/>
      <c r="O126" s="74"/>
      <c r="P126" s="74"/>
      <c r="Q126" s="74"/>
      <c r="R126" s="74"/>
      <c r="S126" s="74"/>
      <c r="T126" s="74"/>
      <c r="U126" s="74"/>
      <c r="V126" s="74"/>
      <c r="W126" s="74"/>
      <c r="X126" s="74"/>
      <c r="Y126" s="74"/>
      <c r="Z126" s="74"/>
      <c r="AA126" s="74"/>
      <c r="AB126" s="74"/>
    </row>
    <row r="127" spans="1:28" ht="12" customHeight="1">
      <c r="B127" s="523"/>
      <c r="C127" s="524"/>
      <c r="D127" s="525"/>
      <c r="E127" s="526"/>
      <c r="F127" s="524"/>
      <c r="G127" s="35"/>
      <c r="H127" s="104"/>
      <c r="I127" s="35"/>
      <c r="J127" s="74"/>
      <c r="K127" s="74"/>
      <c r="L127" s="74"/>
      <c r="M127" s="74"/>
      <c r="N127" s="74"/>
      <c r="O127" s="74"/>
      <c r="P127" s="74"/>
      <c r="Q127" s="74"/>
      <c r="R127" s="74"/>
      <c r="S127" s="74"/>
      <c r="T127" s="74"/>
      <c r="U127" s="74"/>
      <c r="V127" s="74"/>
      <c r="W127" s="74"/>
      <c r="X127" s="74"/>
      <c r="Y127" s="74"/>
      <c r="Z127" s="74"/>
      <c r="AA127" s="74"/>
      <c r="AB127" s="74"/>
    </row>
    <row r="128" spans="1:28">
      <c r="B128" s="523"/>
      <c r="C128" s="524"/>
      <c r="D128" s="525"/>
      <c r="E128" s="526"/>
      <c r="F128" s="524"/>
      <c r="G128" s="35"/>
      <c r="H128" s="104"/>
      <c r="I128" s="35"/>
      <c r="J128" s="74"/>
      <c r="K128" s="74"/>
      <c r="L128" s="74"/>
      <c r="M128" s="74"/>
      <c r="N128" s="74"/>
      <c r="O128" s="74"/>
      <c r="P128" s="74"/>
      <c r="Q128" s="74"/>
      <c r="R128" s="74"/>
      <c r="S128" s="74"/>
      <c r="T128" s="74"/>
      <c r="U128" s="74"/>
      <c r="V128" s="74"/>
      <c r="W128" s="74"/>
      <c r="X128" s="74"/>
      <c r="Y128" s="74"/>
      <c r="Z128" s="74"/>
      <c r="AA128" s="74"/>
      <c r="AB128" s="74"/>
    </row>
    <row r="129" spans="2:28" ht="12" customHeight="1">
      <c r="B129" s="523"/>
      <c r="C129" s="524"/>
      <c r="D129" s="525"/>
      <c r="E129" s="526"/>
      <c r="F129" s="524"/>
      <c r="G129" s="35"/>
      <c r="H129" s="104"/>
      <c r="I129" s="35"/>
      <c r="J129" s="74"/>
      <c r="K129" s="74"/>
      <c r="L129" s="74"/>
      <c r="M129" s="74"/>
      <c r="N129" s="74"/>
      <c r="O129" s="74"/>
      <c r="P129" s="74"/>
      <c r="Q129" s="74"/>
      <c r="R129" s="74"/>
      <c r="S129" s="74"/>
      <c r="T129" s="74"/>
      <c r="U129" s="74"/>
      <c r="V129" s="74"/>
      <c r="W129" s="74"/>
      <c r="X129" s="74"/>
      <c r="Y129" s="74"/>
      <c r="Z129" s="74"/>
      <c r="AA129" s="74"/>
      <c r="AB129" s="74"/>
    </row>
    <row r="130" spans="2:28" ht="12" customHeight="1">
      <c r="B130" s="523"/>
      <c r="C130" s="524"/>
      <c r="D130" s="525"/>
      <c r="E130" s="526"/>
      <c r="F130" s="524"/>
      <c r="G130" s="35"/>
      <c r="H130" s="104"/>
      <c r="I130" s="35"/>
      <c r="J130" s="74"/>
      <c r="K130" s="74"/>
      <c r="L130" s="74"/>
      <c r="M130" s="74"/>
      <c r="N130" s="74"/>
      <c r="O130" s="74"/>
      <c r="P130" s="74"/>
      <c r="Q130" s="74"/>
      <c r="R130" s="74"/>
      <c r="S130" s="74"/>
      <c r="T130" s="74"/>
      <c r="U130" s="74"/>
      <c r="V130" s="74"/>
      <c r="W130" s="74"/>
      <c r="X130" s="74"/>
      <c r="Y130" s="74"/>
      <c r="Z130" s="74"/>
      <c r="AA130" s="74"/>
      <c r="AB130" s="74"/>
    </row>
    <row r="131" spans="2:28" ht="12" customHeight="1">
      <c r="B131" s="523"/>
      <c r="C131" s="524"/>
      <c r="D131" s="525"/>
      <c r="E131" s="526"/>
      <c r="F131" s="524"/>
      <c r="G131" s="35"/>
      <c r="H131" s="104"/>
      <c r="I131" s="35"/>
      <c r="J131" s="74"/>
      <c r="K131" s="74"/>
      <c r="L131" s="74"/>
      <c r="M131" s="74"/>
      <c r="N131" s="74"/>
      <c r="O131" s="74"/>
      <c r="P131" s="74"/>
      <c r="Q131" s="74"/>
      <c r="R131" s="74"/>
      <c r="S131" s="74"/>
      <c r="T131" s="74"/>
      <c r="U131" s="74"/>
      <c r="V131" s="74"/>
      <c r="W131" s="74"/>
      <c r="X131" s="74"/>
      <c r="Y131" s="74"/>
      <c r="Z131" s="74"/>
      <c r="AA131" s="74"/>
      <c r="AB131" s="74"/>
    </row>
    <row r="132" spans="2:28" ht="12" customHeight="1">
      <c r="B132" s="523"/>
      <c r="C132" s="524"/>
      <c r="D132" s="525"/>
      <c r="E132" s="526"/>
      <c r="F132" s="524"/>
      <c r="G132" s="35"/>
      <c r="H132" s="104"/>
      <c r="I132" s="35"/>
      <c r="J132" s="74"/>
      <c r="K132" s="74"/>
      <c r="L132" s="74"/>
      <c r="M132" s="74"/>
      <c r="N132" s="74"/>
      <c r="O132" s="74"/>
      <c r="P132" s="74"/>
      <c r="Q132" s="74"/>
      <c r="R132" s="74"/>
      <c r="S132" s="74"/>
      <c r="T132" s="74"/>
      <c r="U132" s="74"/>
      <c r="V132" s="74"/>
      <c r="W132" s="74"/>
      <c r="X132" s="74"/>
      <c r="Y132" s="74"/>
      <c r="Z132" s="74"/>
      <c r="AA132" s="74"/>
      <c r="AB132" s="74"/>
    </row>
    <row r="133" spans="2:28" ht="12" customHeight="1">
      <c r="B133" s="523"/>
      <c r="C133" s="524"/>
      <c r="D133" s="525"/>
      <c r="E133" s="526"/>
      <c r="F133" s="524"/>
      <c r="G133" s="35"/>
      <c r="H133" s="104"/>
      <c r="I133" s="35"/>
      <c r="J133" s="74"/>
      <c r="K133" s="74"/>
      <c r="L133" s="74"/>
      <c r="M133" s="74"/>
      <c r="N133" s="74"/>
      <c r="O133" s="74"/>
      <c r="P133" s="74"/>
      <c r="Q133" s="74"/>
      <c r="R133" s="74"/>
      <c r="S133" s="74"/>
      <c r="T133" s="74"/>
      <c r="U133" s="74"/>
      <c r="V133" s="74"/>
      <c r="W133" s="74"/>
      <c r="X133" s="74"/>
      <c r="Y133" s="74"/>
      <c r="Z133" s="74"/>
      <c r="AA133" s="74"/>
      <c r="AB133" s="74"/>
    </row>
  </sheetData>
  <autoFilter ref="A5:AB125" xr:uid="{00000000-0009-0000-0000-000014000000}"/>
  <mergeCells count="3">
    <mergeCell ref="A1:H1"/>
    <mergeCell ref="A2:F2"/>
    <mergeCell ref="A4:F4"/>
  </mergeCells>
  <hyperlinks>
    <hyperlink ref="F3" location="Menu por Procesos!A1" display="MENU" xr:uid="{00000000-0004-0000-1400-000000000000}"/>
    <hyperlink ref="A85" r:id="rId1" location=":~:text=338%20de%202010%2C%20Por%20medio,conforme%20a%20la%20Resoluci%C3%B3n%20No." xr:uid="{00000000-0004-0000-1400-000001000000}"/>
    <hyperlink ref="A108" r:id="rId2" xr:uid="{00000000-0004-0000-1400-000002000000}"/>
    <hyperlink ref="A112" r:id="rId3" xr:uid="{00000000-0004-0000-1400-000003000000}"/>
    <hyperlink ref="A113" r:id="rId4" xr:uid="{00000000-0004-0000-1400-000004000000}"/>
    <hyperlink ref="A114" r:id="rId5" xr:uid="{00000000-0004-0000-1400-000005000000}"/>
    <hyperlink ref="A115" r:id="rId6" xr:uid="{00000000-0004-0000-1400-000006000000}"/>
    <hyperlink ref="A116" r:id="rId7" xr:uid="{00000000-0004-0000-1400-000007000000}"/>
    <hyperlink ref="A117" r:id="rId8" xr:uid="{00000000-0004-0000-1400-000008000000}"/>
    <hyperlink ref="A118" r:id="rId9" xr:uid="{00000000-0004-0000-1400-000009000000}"/>
    <hyperlink ref="A119" r:id="rId10" location=":~:text=Por%20medio%20de%20la%20presente,interior%20de%20las%20entidades%20vigiladas." xr:uid="{00000000-0004-0000-1400-00000A000000}"/>
    <hyperlink ref="A120" r:id="rId11" xr:uid="{00000000-0004-0000-1400-00000B000000}"/>
    <hyperlink ref="A121" r:id="rId12" xr:uid="{00000000-0004-0000-1400-00000C000000}"/>
    <hyperlink ref="A122" r:id="rId13" xr:uid="{00000000-0004-0000-1400-00000D000000}"/>
    <hyperlink ref="A123" r:id="rId14" xr:uid="{00000000-0004-0000-1400-00000E000000}"/>
    <hyperlink ref="A124" r:id="rId15" xr:uid="{00000000-0004-0000-1400-00000F000000}"/>
    <hyperlink ref="A125" r:id="rId16" xr:uid="{00000000-0004-0000-1400-000010000000}"/>
  </hyperlinks>
  <pageMargins left="0.7" right="0.7" top="0.75" bottom="0.75" header="0" footer="0"/>
  <pageSetup orientation="landscape"/>
  <drawing r:id="rId17"/>
  <legacyDrawing r:id="rId18"/>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A9D18E"/>
  </sheetPr>
  <dimension ref="A1:AB1126"/>
  <sheetViews>
    <sheetView workbookViewId="0">
      <pane ySplit="4" topLeftCell="A5" activePane="bottomLeft" state="frozen"/>
      <selection pane="bottomLeft" activeCell="B6" sqref="B6"/>
    </sheetView>
  </sheetViews>
  <sheetFormatPr baseColWidth="10" defaultColWidth="14.42578125" defaultRowHeight="15" customHeight="1"/>
  <cols>
    <col min="1" max="1" width="41.85546875" customWidth="1"/>
    <col min="2" max="2" width="22.42578125" customWidth="1"/>
    <col min="3" max="3" width="35.42578125" customWidth="1"/>
    <col min="4" max="4" width="87.4257812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54" customHeight="1">
      <c r="A1" s="773"/>
      <c r="B1" s="769"/>
      <c r="C1" s="769"/>
      <c r="D1" s="769"/>
      <c r="E1" s="769"/>
      <c r="F1" s="769"/>
      <c r="G1" s="769"/>
      <c r="H1" s="769"/>
      <c r="I1" s="527"/>
      <c r="J1" s="528"/>
      <c r="K1" s="18"/>
      <c r="L1" s="18"/>
      <c r="M1" s="18"/>
      <c r="N1" s="18"/>
      <c r="O1" s="18"/>
      <c r="P1" s="18"/>
      <c r="Q1" s="18"/>
      <c r="R1" s="18"/>
      <c r="S1" s="18"/>
      <c r="T1" s="18"/>
      <c r="U1" s="18"/>
      <c r="V1" s="18"/>
      <c r="W1" s="18"/>
      <c r="X1" s="18"/>
      <c r="Y1" s="18"/>
      <c r="Z1" s="18"/>
      <c r="AA1" s="18"/>
      <c r="AB1" s="18"/>
    </row>
    <row r="2" spans="1:28" ht="24" customHeight="1">
      <c r="A2" s="767" t="s">
        <v>28</v>
      </c>
      <c r="B2" s="765"/>
      <c r="C2" s="765"/>
      <c r="D2" s="765"/>
      <c r="E2" s="765"/>
      <c r="F2" s="766"/>
      <c r="G2" s="15"/>
      <c r="H2" s="15"/>
      <c r="I2" s="527"/>
      <c r="J2" s="528"/>
      <c r="K2" s="18"/>
      <c r="L2" s="18"/>
      <c r="M2" s="18"/>
      <c r="N2" s="18"/>
      <c r="O2" s="18"/>
      <c r="P2" s="18"/>
      <c r="Q2" s="18"/>
      <c r="R2" s="18"/>
      <c r="S2" s="18"/>
      <c r="T2" s="18"/>
      <c r="U2" s="18"/>
      <c r="V2" s="18"/>
      <c r="W2" s="18"/>
      <c r="X2" s="18"/>
      <c r="Y2" s="18"/>
      <c r="Z2" s="18"/>
      <c r="AA2" s="18"/>
      <c r="AB2" s="18"/>
    </row>
    <row r="3" spans="1:28" ht="33" customHeight="1">
      <c r="A3" s="787" t="s">
        <v>3619</v>
      </c>
      <c r="B3" s="765"/>
      <c r="C3" s="765"/>
      <c r="D3" s="765"/>
      <c r="E3" s="765"/>
      <c r="F3" s="766"/>
      <c r="G3" s="16"/>
      <c r="H3" s="529"/>
      <c r="I3" s="527"/>
      <c r="J3" s="528"/>
      <c r="K3" s="18"/>
      <c r="L3" s="18"/>
      <c r="M3" s="18"/>
      <c r="N3" s="18"/>
      <c r="O3" s="18"/>
      <c r="P3" s="18"/>
      <c r="Q3" s="18"/>
      <c r="R3" s="18"/>
      <c r="S3" s="18"/>
      <c r="T3" s="18"/>
      <c r="U3" s="18"/>
      <c r="V3" s="18"/>
      <c r="W3" s="18"/>
      <c r="X3" s="18"/>
      <c r="Y3" s="18"/>
      <c r="Z3" s="18"/>
      <c r="AA3" s="18"/>
      <c r="AB3" s="18"/>
    </row>
    <row r="4" spans="1:28" ht="34.5" customHeight="1">
      <c r="A4" s="23" t="s">
        <v>3620</v>
      </c>
      <c r="B4" s="24" t="s">
        <v>32</v>
      </c>
      <c r="C4" s="25" t="s">
        <v>33</v>
      </c>
      <c r="D4" s="25" t="s">
        <v>34</v>
      </c>
      <c r="E4" s="25" t="s">
        <v>35</v>
      </c>
      <c r="F4" s="25" t="s">
        <v>36</v>
      </c>
      <c r="G4" s="26" t="s">
        <v>37</v>
      </c>
      <c r="H4" s="458" t="s">
        <v>38</v>
      </c>
      <c r="I4" s="24" t="s">
        <v>3621</v>
      </c>
      <c r="J4" s="459"/>
      <c r="K4" s="29"/>
      <c r="L4" s="29"/>
      <c r="M4" s="29"/>
      <c r="N4" s="29"/>
      <c r="O4" s="29"/>
      <c r="P4" s="29"/>
      <c r="Q4" s="29"/>
      <c r="R4" s="29"/>
      <c r="S4" s="29"/>
      <c r="T4" s="29"/>
      <c r="U4" s="29"/>
      <c r="V4" s="29"/>
      <c r="W4" s="29"/>
      <c r="X4" s="29"/>
      <c r="Y4" s="29"/>
      <c r="Z4" s="29"/>
      <c r="AA4" s="29"/>
      <c r="AB4" s="29"/>
    </row>
    <row r="5" spans="1:28">
      <c r="A5" s="114" t="str">
        <f>HYPERLINK("https://www.bogotajuridica.gov.co/sisjur/normas/Norma1.jsp?i=4125","CONSTITUCIÓN POLÍTICA DE COLOMBIA")</f>
        <v>CONSTITUCIÓN POLÍTICA DE COLOMBIA</v>
      </c>
      <c r="B5" s="78">
        <v>33423</v>
      </c>
      <c r="C5" s="81" t="s">
        <v>405</v>
      </c>
      <c r="D5" s="460" t="s">
        <v>406</v>
      </c>
      <c r="E5" s="94" t="s">
        <v>2228</v>
      </c>
      <c r="F5" s="460" t="s">
        <v>2229</v>
      </c>
      <c r="G5" s="94" t="s">
        <v>43</v>
      </c>
      <c r="H5" s="81" t="s">
        <v>2230</v>
      </c>
      <c r="I5" s="140"/>
      <c r="J5" s="461"/>
      <c r="K5" s="36"/>
      <c r="L5" s="36"/>
      <c r="M5" s="36"/>
      <c r="N5" s="36"/>
      <c r="O5" s="36"/>
      <c r="P5" s="36"/>
      <c r="Q5" s="36"/>
      <c r="R5" s="36"/>
      <c r="S5" s="36"/>
      <c r="T5" s="36"/>
      <c r="U5" s="36"/>
      <c r="V5" s="36"/>
      <c r="W5" s="36"/>
      <c r="X5" s="36"/>
      <c r="Y5" s="36"/>
      <c r="Z5" s="36"/>
      <c r="AA5" s="36"/>
      <c r="AB5" s="36"/>
    </row>
    <row r="6" spans="1:28" ht="12" customHeight="1">
      <c r="A6" s="122" t="str">
        <f>HYPERLINK("https://www.funcionpublica.gov.co/eva/gestornormativo/norma.php?i=39535","LEY 57")</f>
        <v>LEY 57</v>
      </c>
      <c r="B6" s="530" t="s">
        <v>3622</v>
      </c>
      <c r="C6" s="81" t="s">
        <v>238</v>
      </c>
      <c r="D6" s="460" t="s">
        <v>1640</v>
      </c>
      <c r="E6" s="94" t="s">
        <v>41</v>
      </c>
      <c r="F6" s="81" t="s">
        <v>97</v>
      </c>
      <c r="G6" s="94" t="s">
        <v>43</v>
      </c>
      <c r="H6" s="81" t="s">
        <v>2230</v>
      </c>
      <c r="I6" s="140"/>
      <c r="J6" s="461"/>
      <c r="K6" s="36"/>
      <c r="L6" s="36"/>
      <c r="M6" s="36"/>
      <c r="N6" s="36"/>
      <c r="O6" s="36"/>
      <c r="P6" s="36"/>
      <c r="Q6" s="36"/>
      <c r="R6" s="36"/>
      <c r="S6" s="36"/>
      <c r="T6" s="36"/>
      <c r="U6" s="36"/>
      <c r="V6" s="36"/>
      <c r="W6" s="36"/>
      <c r="X6" s="36"/>
      <c r="Y6" s="36"/>
      <c r="Z6" s="36"/>
      <c r="AA6" s="36"/>
      <c r="AB6" s="36"/>
    </row>
    <row r="7" spans="1:28" ht="48" customHeight="1">
      <c r="A7" s="122" t="str">
        <f>HYPERLINK("https://www.alcaldiabogota.gov.co/sisjur/normas/Norma1.jsp?i=6546","LEY 23")</f>
        <v>LEY 23</v>
      </c>
      <c r="B7" s="531">
        <v>33318</v>
      </c>
      <c r="C7" s="81" t="s">
        <v>507</v>
      </c>
      <c r="D7" s="460" t="s">
        <v>3623</v>
      </c>
      <c r="E7" s="94" t="s">
        <v>41</v>
      </c>
      <c r="F7" s="81" t="s">
        <v>97</v>
      </c>
      <c r="G7" s="94" t="s">
        <v>43</v>
      </c>
      <c r="H7" s="81" t="s">
        <v>2230</v>
      </c>
      <c r="I7" s="140"/>
      <c r="J7" s="461"/>
      <c r="K7" s="36"/>
      <c r="L7" s="36"/>
      <c r="M7" s="36"/>
      <c r="N7" s="36"/>
      <c r="O7" s="36"/>
      <c r="P7" s="36"/>
      <c r="Q7" s="36"/>
      <c r="R7" s="36"/>
      <c r="S7" s="36"/>
      <c r="T7" s="36"/>
      <c r="U7" s="36"/>
      <c r="V7" s="36"/>
      <c r="W7" s="36"/>
      <c r="X7" s="36"/>
      <c r="Y7" s="36"/>
      <c r="Z7" s="36"/>
      <c r="AA7" s="36"/>
      <c r="AB7" s="36"/>
    </row>
    <row r="8" spans="1:28" ht="24" customHeight="1">
      <c r="A8" s="122" t="str">
        <f>HYPERLINK("http://www.secretariasenado.gov.co/senado/basedoc/ley_0080_1993.html","LEY 80")</f>
        <v>LEY 80</v>
      </c>
      <c r="B8" s="530">
        <v>34270</v>
      </c>
      <c r="C8" s="81" t="s">
        <v>507</v>
      </c>
      <c r="D8" s="460" t="s">
        <v>246</v>
      </c>
      <c r="E8" s="94" t="s">
        <v>41</v>
      </c>
      <c r="F8" s="81" t="s">
        <v>97</v>
      </c>
      <c r="G8" s="94" t="s">
        <v>43</v>
      </c>
      <c r="H8" s="81" t="s">
        <v>2230</v>
      </c>
      <c r="I8" s="140"/>
      <c r="J8" s="461"/>
      <c r="K8" s="36"/>
      <c r="L8" s="36"/>
      <c r="M8" s="36"/>
      <c r="N8" s="36"/>
      <c r="O8" s="36"/>
      <c r="P8" s="36"/>
      <c r="Q8" s="36"/>
      <c r="R8" s="36"/>
      <c r="S8" s="36"/>
      <c r="T8" s="36"/>
      <c r="U8" s="36"/>
      <c r="V8" s="36"/>
      <c r="W8" s="36"/>
      <c r="X8" s="36"/>
      <c r="Y8" s="36"/>
      <c r="Z8" s="36"/>
      <c r="AA8" s="36"/>
      <c r="AB8" s="36"/>
    </row>
    <row r="9" spans="1:28" ht="12" customHeight="1">
      <c r="A9" s="122" t="str">
        <f>HYPERLINK("http://www.secretariasenado.gov.co/senado/basedoc/ley_0100_1993.html","LEY 100")</f>
        <v>LEY 100</v>
      </c>
      <c r="B9" s="532">
        <v>34326</v>
      </c>
      <c r="C9" s="81" t="s">
        <v>507</v>
      </c>
      <c r="D9" s="460" t="s">
        <v>2232</v>
      </c>
      <c r="E9" s="94" t="s">
        <v>41</v>
      </c>
      <c r="F9" s="81" t="s">
        <v>97</v>
      </c>
      <c r="G9" s="94" t="s">
        <v>43</v>
      </c>
      <c r="H9" s="81" t="s">
        <v>2230</v>
      </c>
      <c r="I9" s="140"/>
      <c r="J9" s="461"/>
      <c r="K9" s="36"/>
      <c r="L9" s="36"/>
      <c r="M9" s="36"/>
      <c r="N9" s="36"/>
      <c r="O9" s="36"/>
      <c r="P9" s="36"/>
      <c r="Q9" s="36"/>
      <c r="R9" s="36"/>
      <c r="S9" s="36"/>
      <c r="T9" s="36"/>
      <c r="U9" s="36"/>
      <c r="V9" s="36"/>
      <c r="W9" s="36"/>
      <c r="X9" s="36"/>
      <c r="Y9" s="36"/>
      <c r="Z9" s="36"/>
      <c r="AA9" s="36"/>
      <c r="AB9" s="36"/>
    </row>
    <row r="10" spans="1:28" ht="36" customHeight="1">
      <c r="A10" s="122" t="str">
        <f>HYPERLINK("https://www.mineducacion.gov.co/1759/articles-86226_archivo_pdf.pdf","DECRETO 1228")</f>
        <v>DECRETO 1228</v>
      </c>
      <c r="B10" s="533">
        <v>34898</v>
      </c>
      <c r="C10" s="81" t="s">
        <v>1619</v>
      </c>
      <c r="D10" s="460" t="s">
        <v>1530</v>
      </c>
      <c r="E10" s="81" t="s">
        <v>2287</v>
      </c>
      <c r="F10" s="81" t="s">
        <v>97</v>
      </c>
      <c r="G10" s="94" t="s">
        <v>43</v>
      </c>
      <c r="H10" s="81" t="s">
        <v>2230</v>
      </c>
      <c r="I10" s="140"/>
      <c r="J10" s="461"/>
      <c r="K10" s="36"/>
      <c r="L10" s="36"/>
      <c r="M10" s="36"/>
      <c r="N10" s="36"/>
      <c r="O10" s="36"/>
      <c r="P10" s="36"/>
      <c r="Q10" s="36"/>
      <c r="R10" s="36"/>
      <c r="S10" s="36"/>
      <c r="T10" s="36"/>
      <c r="U10" s="36"/>
      <c r="V10" s="36"/>
      <c r="W10" s="36"/>
      <c r="X10" s="36"/>
      <c r="Y10" s="36"/>
      <c r="Z10" s="36"/>
      <c r="AA10" s="36"/>
      <c r="AB10" s="36"/>
    </row>
    <row r="11" spans="1:28" ht="12" customHeight="1">
      <c r="A11" s="122" t="str">
        <f>HYPERLINK("http://www.secretariasenado.gov.co/senado/basedoc/ley_0270_1996.html","LEY 270")</f>
        <v>LEY 270</v>
      </c>
      <c r="B11" s="532">
        <v>35131</v>
      </c>
      <c r="C11" s="81" t="s">
        <v>507</v>
      </c>
      <c r="D11" s="460" t="s">
        <v>2236</v>
      </c>
      <c r="E11" s="94" t="s">
        <v>41</v>
      </c>
      <c r="F11" s="81" t="s">
        <v>97</v>
      </c>
      <c r="G11" s="94" t="s">
        <v>43</v>
      </c>
      <c r="H11" s="81" t="s">
        <v>2230</v>
      </c>
      <c r="I11" s="140"/>
      <c r="J11" s="461"/>
      <c r="K11" s="36"/>
      <c r="L11" s="36"/>
      <c r="M11" s="36"/>
      <c r="N11" s="36"/>
      <c r="O11" s="36"/>
      <c r="P11" s="36"/>
      <c r="Q11" s="36"/>
      <c r="R11" s="36"/>
      <c r="S11" s="36"/>
      <c r="T11" s="36"/>
      <c r="U11" s="36"/>
      <c r="V11" s="36"/>
      <c r="W11" s="36"/>
      <c r="X11" s="36"/>
      <c r="Y11" s="36"/>
      <c r="Z11" s="36"/>
      <c r="AA11" s="36"/>
      <c r="AB11" s="36"/>
    </row>
    <row r="12" spans="1:28" ht="24" customHeight="1">
      <c r="A12" s="122" t="str">
        <f>HYPERLINK("http://www.secretariasenado.gov.co/senado/basedoc/ley_0383_1997.html","LEY 383")</f>
        <v>LEY 383</v>
      </c>
      <c r="B12" s="530">
        <v>35621</v>
      </c>
      <c r="C12" s="81" t="s">
        <v>507</v>
      </c>
      <c r="D12" s="460" t="s">
        <v>477</v>
      </c>
      <c r="E12" s="94" t="s">
        <v>41</v>
      </c>
      <c r="F12" s="81" t="s">
        <v>97</v>
      </c>
      <c r="G12" s="94" t="s">
        <v>43</v>
      </c>
      <c r="H12" s="81" t="s">
        <v>2230</v>
      </c>
      <c r="I12" s="140"/>
      <c r="J12" s="461"/>
      <c r="K12" s="36"/>
      <c r="L12" s="36"/>
      <c r="M12" s="36"/>
      <c r="N12" s="36"/>
      <c r="O12" s="36"/>
      <c r="P12" s="36"/>
      <c r="Q12" s="36"/>
      <c r="R12" s="36"/>
      <c r="S12" s="36"/>
      <c r="T12" s="36"/>
      <c r="U12" s="36"/>
      <c r="V12" s="36"/>
      <c r="W12" s="36"/>
      <c r="X12" s="36"/>
      <c r="Y12" s="36"/>
      <c r="Z12" s="36"/>
      <c r="AA12" s="36"/>
      <c r="AB12" s="36"/>
    </row>
    <row r="13" spans="1:28" ht="72" customHeight="1">
      <c r="A13" s="122" t="str">
        <f>HYPERLINK("https://www.funcionpublica.gov.co/eva/gestornormativo/norma.php?i=3992","LEY 446")</f>
        <v>LEY 446</v>
      </c>
      <c r="B13" s="534">
        <v>35983</v>
      </c>
      <c r="C13" s="81" t="s">
        <v>507</v>
      </c>
      <c r="D13" s="460" t="s">
        <v>2239</v>
      </c>
      <c r="E13" s="94" t="s">
        <v>41</v>
      </c>
      <c r="F13" s="81" t="s">
        <v>97</v>
      </c>
      <c r="G13" s="94" t="s">
        <v>43</v>
      </c>
      <c r="H13" s="81" t="s">
        <v>2230</v>
      </c>
      <c r="I13" s="140"/>
      <c r="J13" s="461"/>
      <c r="K13" s="36"/>
      <c r="L13" s="36"/>
      <c r="M13" s="36"/>
      <c r="N13" s="36"/>
      <c r="O13" s="36"/>
      <c r="P13" s="36"/>
      <c r="Q13" s="36"/>
      <c r="R13" s="36"/>
      <c r="S13" s="36"/>
      <c r="T13" s="36"/>
      <c r="U13" s="36"/>
      <c r="V13" s="36"/>
      <c r="W13" s="36"/>
      <c r="X13" s="36"/>
      <c r="Y13" s="36"/>
      <c r="Z13" s="36"/>
      <c r="AA13" s="36"/>
      <c r="AB13" s="36"/>
    </row>
    <row r="14" spans="1:28" ht="24" customHeight="1">
      <c r="A14" s="122" t="str">
        <f>HYPERLINK("http://www.secretariasenado.gov.co/senado/basedoc/ley_0448_1998.html","LEY 488")</f>
        <v>LEY 488</v>
      </c>
      <c r="B14" s="530">
        <v>35997</v>
      </c>
      <c r="C14" s="81" t="s">
        <v>507</v>
      </c>
      <c r="D14" s="460" t="s">
        <v>759</v>
      </c>
      <c r="E14" s="94" t="s">
        <v>41</v>
      </c>
      <c r="F14" s="81" t="s">
        <v>97</v>
      </c>
      <c r="G14" s="94" t="s">
        <v>43</v>
      </c>
      <c r="H14" s="81" t="s">
        <v>2230</v>
      </c>
      <c r="I14" s="140"/>
      <c r="J14" s="461"/>
      <c r="K14" s="36"/>
      <c r="L14" s="36"/>
      <c r="M14" s="36"/>
      <c r="N14" s="36"/>
      <c r="O14" s="36"/>
      <c r="P14" s="36"/>
      <c r="Q14" s="36"/>
      <c r="R14" s="36"/>
      <c r="S14" s="36"/>
      <c r="T14" s="36"/>
      <c r="U14" s="36"/>
      <c r="V14" s="36"/>
      <c r="W14" s="36"/>
      <c r="X14" s="36"/>
      <c r="Y14" s="36"/>
      <c r="Z14" s="36"/>
      <c r="AA14" s="36"/>
      <c r="AB14" s="36"/>
    </row>
    <row r="15" spans="1:28" ht="84" customHeight="1">
      <c r="A15" s="122" t="str">
        <f>HYPERLINK("http://www.secretariasenado.gov.co/senado/basedoc/ley_0489_1998.html","LEY 489")</f>
        <v>LEY 489</v>
      </c>
      <c r="B15" s="530">
        <v>36158</v>
      </c>
      <c r="C15" s="81" t="s">
        <v>507</v>
      </c>
      <c r="D15" s="460" t="s">
        <v>3624</v>
      </c>
      <c r="E15" s="94" t="s">
        <v>41</v>
      </c>
      <c r="F15" s="81" t="s">
        <v>97</v>
      </c>
      <c r="G15" s="94" t="s">
        <v>43</v>
      </c>
      <c r="H15" s="81" t="s">
        <v>2230</v>
      </c>
      <c r="I15" s="535"/>
      <c r="J15" s="461"/>
      <c r="K15" s="36"/>
      <c r="L15" s="36"/>
      <c r="M15" s="36"/>
      <c r="N15" s="36"/>
      <c r="O15" s="36"/>
      <c r="P15" s="36"/>
      <c r="Q15" s="36"/>
      <c r="R15" s="36"/>
      <c r="S15" s="36"/>
      <c r="T15" s="36"/>
      <c r="U15" s="36"/>
      <c r="V15" s="36"/>
      <c r="W15" s="36"/>
      <c r="X15" s="36"/>
      <c r="Y15" s="36"/>
      <c r="Z15" s="36"/>
      <c r="AA15" s="36"/>
      <c r="AB15" s="36"/>
    </row>
    <row r="16" spans="1:28" ht="60" customHeight="1">
      <c r="A16" s="122" t="str">
        <f>HYPERLINK("https://www.mineducacion.gov.co/1621/articles-85919_archivo_pdf.pdf","LEY 181")</f>
        <v>LEY 181</v>
      </c>
      <c r="B16" s="534">
        <v>34717</v>
      </c>
      <c r="C16" s="81" t="s">
        <v>1619</v>
      </c>
      <c r="D16" s="460" t="s">
        <v>2233</v>
      </c>
      <c r="E16" s="94" t="s">
        <v>2234</v>
      </c>
      <c r="F16" s="81" t="s">
        <v>97</v>
      </c>
      <c r="G16" s="94" t="s">
        <v>43</v>
      </c>
      <c r="H16" s="81" t="s">
        <v>2230</v>
      </c>
      <c r="I16" s="140"/>
      <c r="J16" s="461"/>
      <c r="K16" s="36"/>
      <c r="L16" s="36"/>
      <c r="M16" s="36"/>
      <c r="N16" s="36"/>
      <c r="O16" s="36"/>
      <c r="P16" s="36"/>
      <c r="Q16" s="36"/>
      <c r="R16" s="36"/>
      <c r="S16" s="36"/>
      <c r="T16" s="36"/>
      <c r="U16" s="36"/>
      <c r="V16" s="36"/>
      <c r="W16" s="36"/>
      <c r="X16" s="36"/>
      <c r="Y16" s="36"/>
      <c r="Z16" s="36"/>
      <c r="AA16" s="36"/>
      <c r="AB16" s="36"/>
    </row>
    <row r="17" spans="1:28" ht="12" customHeight="1">
      <c r="A17" s="122" t="str">
        <f>HYPERLINK("http://www.secretariasenado.gov.co/senado/basedoc/ley_0599_2000.html","LEY 599")</f>
        <v>LEY 599</v>
      </c>
      <c r="B17" s="530">
        <v>36731</v>
      </c>
      <c r="C17" s="81" t="s">
        <v>507</v>
      </c>
      <c r="D17" s="460" t="s">
        <v>2244</v>
      </c>
      <c r="E17" s="94" t="s">
        <v>41</v>
      </c>
      <c r="F17" s="81" t="s">
        <v>97</v>
      </c>
      <c r="G17" s="94" t="s">
        <v>43</v>
      </c>
      <c r="H17" s="81" t="s">
        <v>2230</v>
      </c>
      <c r="I17" s="140"/>
      <c r="J17" s="461"/>
      <c r="K17" s="36"/>
      <c r="L17" s="36"/>
      <c r="M17" s="36"/>
      <c r="N17" s="36"/>
      <c r="O17" s="36"/>
      <c r="P17" s="36"/>
      <c r="Q17" s="36"/>
      <c r="R17" s="36"/>
      <c r="S17" s="36"/>
      <c r="T17" s="36"/>
      <c r="U17" s="36"/>
      <c r="V17" s="36"/>
      <c r="W17" s="36"/>
      <c r="X17" s="36"/>
      <c r="Y17" s="36"/>
      <c r="Z17" s="36"/>
      <c r="AA17" s="36"/>
      <c r="AB17" s="36"/>
    </row>
    <row r="18" spans="1:28" ht="48" customHeight="1">
      <c r="A18" s="122" t="str">
        <f>HYPERLINK("http://www.secretariasenado.gov.co/senado/basedoc/ley_0678_2001.html","LEY 678")</f>
        <v>LEY 678</v>
      </c>
      <c r="B18" s="530">
        <v>37106</v>
      </c>
      <c r="C18" s="81" t="s">
        <v>507</v>
      </c>
      <c r="D18" s="460" t="s">
        <v>2246</v>
      </c>
      <c r="E18" s="94" t="s">
        <v>41</v>
      </c>
      <c r="F18" s="81" t="s">
        <v>97</v>
      </c>
      <c r="G18" s="94" t="s">
        <v>43</v>
      </c>
      <c r="H18" s="81" t="s">
        <v>2230</v>
      </c>
      <c r="I18" s="140"/>
      <c r="J18" s="461"/>
      <c r="K18" s="36"/>
      <c r="L18" s="36"/>
      <c r="M18" s="36"/>
      <c r="N18" s="36"/>
      <c r="O18" s="36"/>
      <c r="P18" s="36"/>
      <c r="Q18" s="36"/>
      <c r="R18" s="36"/>
      <c r="S18" s="36"/>
      <c r="T18" s="36"/>
      <c r="U18" s="36"/>
      <c r="V18" s="36"/>
      <c r="W18" s="36"/>
      <c r="X18" s="36"/>
      <c r="Y18" s="36"/>
      <c r="Z18" s="36"/>
      <c r="AA18" s="36"/>
      <c r="AB18" s="36"/>
    </row>
    <row r="19" spans="1:28" ht="12" customHeight="1">
      <c r="A19" s="122" t="str">
        <f>HYPERLINK("http://www.secretariasenado.gov.co/senado/basedoc/ley_0712_2001.html","LEY 712")</f>
        <v>LEY 712</v>
      </c>
      <c r="B19" s="532">
        <v>37230</v>
      </c>
      <c r="C19" s="81" t="s">
        <v>507</v>
      </c>
      <c r="D19" s="460" t="s">
        <v>2248</v>
      </c>
      <c r="E19" s="94" t="s">
        <v>41</v>
      </c>
      <c r="F19" s="81" t="s">
        <v>97</v>
      </c>
      <c r="G19" s="94" t="s">
        <v>43</v>
      </c>
      <c r="H19" s="81" t="s">
        <v>2230</v>
      </c>
      <c r="I19" s="140"/>
      <c r="J19" s="461"/>
      <c r="K19" s="36"/>
      <c r="L19" s="36"/>
      <c r="M19" s="36"/>
      <c r="N19" s="36"/>
      <c r="O19" s="36"/>
      <c r="P19" s="36"/>
      <c r="Q19" s="36"/>
      <c r="R19" s="36"/>
      <c r="S19" s="36"/>
      <c r="T19" s="36"/>
      <c r="U19" s="36"/>
      <c r="V19" s="36"/>
      <c r="W19" s="36"/>
      <c r="X19" s="36"/>
      <c r="Y19" s="36"/>
      <c r="Z19" s="36"/>
      <c r="AA19" s="36"/>
      <c r="AB19" s="36"/>
    </row>
    <row r="20" spans="1:28" ht="12" customHeight="1">
      <c r="A20" s="122" t="str">
        <f>HYPERLINK("http://www.secretariasenado.gov.co/senado/basedoc/ley_0734_2002.html","LEY 734")</f>
        <v>LEY 734</v>
      </c>
      <c r="B20" s="536">
        <v>37292</v>
      </c>
      <c r="C20" s="81" t="s">
        <v>39</v>
      </c>
      <c r="D20" s="460" t="s">
        <v>489</v>
      </c>
      <c r="E20" s="94" t="s">
        <v>41</v>
      </c>
      <c r="F20" s="81" t="s">
        <v>97</v>
      </c>
      <c r="G20" s="94" t="s">
        <v>43</v>
      </c>
      <c r="H20" s="81" t="s">
        <v>2230</v>
      </c>
      <c r="I20" s="140"/>
      <c r="J20" s="461"/>
      <c r="K20" s="36"/>
      <c r="L20" s="36"/>
      <c r="M20" s="36"/>
      <c r="N20" s="36"/>
      <c r="O20" s="36"/>
      <c r="P20" s="36"/>
      <c r="Q20" s="36"/>
      <c r="R20" s="36"/>
      <c r="S20" s="36"/>
      <c r="T20" s="36"/>
      <c r="U20" s="36"/>
      <c r="V20" s="36"/>
      <c r="W20" s="36"/>
      <c r="X20" s="36"/>
      <c r="Y20" s="36"/>
      <c r="Z20" s="36"/>
      <c r="AA20" s="36"/>
      <c r="AB20" s="36"/>
    </row>
    <row r="21" spans="1:28" ht="36" customHeight="1">
      <c r="A21" s="122" t="str">
        <f>HYPERLINK("http://www.secretariasenado.gov.co/senado/basedoc/ley_0863_2003.html","LEY 863")</f>
        <v>LEY 863</v>
      </c>
      <c r="B21" s="81" t="s">
        <v>3625</v>
      </c>
      <c r="C21" s="81" t="s">
        <v>507</v>
      </c>
      <c r="D21" s="460" t="s">
        <v>494</v>
      </c>
      <c r="E21" s="94" t="s">
        <v>41</v>
      </c>
      <c r="F21" s="81" t="s">
        <v>97</v>
      </c>
      <c r="G21" s="94" t="s">
        <v>43</v>
      </c>
      <c r="H21" s="81" t="s">
        <v>2230</v>
      </c>
      <c r="I21" s="140"/>
      <c r="J21" s="461"/>
      <c r="K21" s="36"/>
      <c r="L21" s="36"/>
      <c r="M21" s="36"/>
      <c r="N21" s="36"/>
      <c r="O21" s="36"/>
      <c r="P21" s="36"/>
      <c r="Q21" s="36"/>
      <c r="R21" s="36"/>
      <c r="S21" s="36"/>
      <c r="T21" s="36"/>
      <c r="U21" s="36"/>
      <c r="V21" s="36"/>
      <c r="W21" s="36"/>
      <c r="X21" s="36"/>
      <c r="Y21" s="36"/>
      <c r="Z21" s="36"/>
      <c r="AA21" s="36"/>
      <c r="AB21" s="36"/>
    </row>
    <row r="22" spans="1:28" ht="60" customHeight="1">
      <c r="A22" s="122" t="str">
        <f>HYPERLINK("http://www.secretariasenado.gov.co/senado/basedoc/ley_0909_2004.html","LEY 909")</f>
        <v>LEY 909</v>
      </c>
      <c r="B22" s="532">
        <v>38253</v>
      </c>
      <c r="C22" s="81" t="s">
        <v>507</v>
      </c>
      <c r="D22" s="460" t="s">
        <v>3626</v>
      </c>
      <c r="E22" s="94" t="s">
        <v>41</v>
      </c>
      <c r="F22" s="81" t="s">
        <v>97</v>
      </c>
      <c r="G22" s="94" t="s">
        <v>43</v>
      </c>
      <c r="H22" s="81" t="s">
        <v>2230</v>
      </c>
      <c r="I22" s="140"/>
      <c r="J22" s="461"/>
      <c r="K22" s="36"/>
      <c r="L22" s="36"/>
      <c r="M22" s="36"/>
      <c r="N22" s="36"/>
      <c r="O22" s="36"/>
      <c r="P22" s="36"/>
      <c r="Q22" s="36"/>
      <c r="R22" s="36"/>
      <c r="S22" s="36"/>
      <c r="T22" s="36"/>
      <c r="U22" s="36"/>
      <c r="V22" s="36"/>
      <c r="W22" s="36"/>
      <c r="X22" s="36"/>
      <c r="Y22" s="36"/>
      <c r="Z22" s="36"/>
      <c r="AA22" s="36"/>
      <c r="AB22" s="36"/>
    </row>
    <row r="23" spans="1:28" ht="84" customHeight="1">
      <c r="A23" s="122" t="str">
        <f>HYPERLINK("http://www.secretariasenado.gov.co/senado/basedoc/ley_0996_2005.html","LEY 996")</f>
        <v>LEY 996</v>
      </c>
      <c r="B23" s="534">
        <v>38680</v>
      </c>
      <c r="C23" s="81" t="s">
        <v>507</v>
      </c>
      <c r="D23" s="460" t="s">
        <v>3627</v>
      </c>
      <c r="E23" s="94" t="s">
        <v>41</v>
      </c>
      <c r="F23" s="81" t="s">
        <v>97</v>
      </c>
      <c r="G23" s="94" t="s">
        <v>43</v>
      </c>
      <c r="H23" s="81" t="s">
        <v>2230</v>
      </c>
      <c r="I23" s="140"/>
      <c r="J23" s="461"/>
      <c r="K23" s="36"/>
      <c r="L23" s="36"/>
      <c r="M23" s="36"/>
      <c r="N23" s="36"/>
      <c r="O23" s="36"/>
      <c r="P23" s="36"/>
      <c r="Q23" s="36"/>
      <c r="R23" s="36"/>
      <c r="S23" s="36"/>
      <c r="T23" s="36"/>
      <c r="U23" s="36"/>
      <c r="V23" s="36"/>
      <c r="W23" s="36"/>
      <c r="X23" s="36"/>
      <c r="Y23" s="36"/>
      <c r="Z23" s="36"/>
      <c r="AA23" s="36"/>
      <c r="AB23" s="36"/>
    </row>
    <row r="24" spans="1:28" ht="84" customHeight="1">
      <c r="A24" s="122" t="str">
        <f>HYPERLINK("http://www.secretariasenado.gov.co/senado/basedoc/ley_0962_2005.html","LEY 962")</f>
        <v>LEY 962</v>
      </c>
      <c r="B24" s="534">
        <v>38541</v>
      </c>
      <c r="C24" s="81" t="s">
        <v>507</v>
      </c>
      <c r="D24" s="460" t="s">
        <v>2254</v>
      </c>
      <c r="E24" s="94" t="s">
        <v>41</v>
      </c>
      <c r="F24" s="81" t="s">
        <v>97</v>
      </c>
      <c r="G24" s="94" t="s">
        <v>43</v>
      </c>
      <c r="H24" s="81" t="s">
        <v>2230</v>
      </c>
      <c r="I24" s="140"/>
      <c r="J24" s="461"/>
      <c r="K24" s="36"/>
      <c r="L24" s="36"/>
      <c r="M24" s="36"/>
      <c r="N24" s="36"/>
      <c r="O24" s="36"/>
      <c r="P24" s="36"/>
      <c r="Q24" s="36"/>
      <c r="R24" s="36"/>
      <c r="S24" s="36"/>
      <c r="T24" s="36"/>
      <c r="U24" s="36"/>
      <c r="V24" s="36"/>
      <c r="W24" s="36"/>
      <c r="X24" s="36"/>
      <c r="Y24" s="36"/>
      <c r="Z24" s="36"/>
      <c r="AA24" s="36"/>
      <c r="AB24" s="36"/>
    </row>
    <row r="25" spans="1:28" ht="24" customHeight="1">
      <c r="A25" s="122" t="str">
        <f>HYPERLINK("http://www.secretariasenado.gov.co/senado/basedoc/ley_1066_2006.html","LEY 1066")</f>
        <v>LEY 1066</v>
      </c>
      <c r="B25" s="534">
        <v>38927</v>
      </c>
      <c r="C25" s="81" t="s">
        <v>507</v>
      </c>
      <c r="D25" s="460" t="s">
        <v>766</v>
      </c>
      <c r="E25" s="94" t="s">
        <v>41</v>
      </c>
      <c r="F25" s="81" t="s">
        <v>97</v>
      </c>
      <c r="G25" s="94" t="s">
        <v>43</v>
      </c>
      <c r="H25" s="81" t="s">
        <v>2230</v>
      </c>
      <c r="I25" s="140"/>
      <c r="J25" s="461"/>
      <c r="K25" s="36"/>
      <c r="L25" s="36"/>
      <c r="M25" s="36"/>
      <c r="N25" s="36"/>
      <c r="O25" s="36"/>
      <c r="P25" s="36"/>
      <c r="Q25" s="36"/>
      <c r="R25" s="36"/>
      <c r="S25" s="36"/>
      <c r="T25" s="36"/>
      <c r="U25" s="36"/>
      <c r="V25" s="36"/>
      <c r="W25" s="36"/>
      <c r="X25" s="36"/>
      <c r="Y25" s="36"/>
      <c r="Z25" s="36"/>
      <c r="AA25" s="36"/>
      <c r="AB25" s="36"/>
    </row>
    <row r="26" spans="1:28" ht="48" customHeight="1">
      <c r="A26" s="122" t="str">
        <f>HYPERLINK("http://www.secretariasenado.gov.co/senado/basedoc/ley_1150_2007.html","LEY 1150")</f>
        <v>LEY 1150</v>
      </c>
      <c r="B26" s="530">
        <v>39279</v>
      </c>
      <c r="C26" s="81" t="s">
        <v>507</v>
      </c>
      <c r="D26" s="460" t="s">
        <v>3628</v>
      </c>
      <c r="E26" s="94" t="s">
        <v>41</v>
      </c>
      <c r="F26" s="81" t="s">
        <v>97</v>
      </c>
      <c r="G26" s="94" t="s">
        <v>43</v>
      </c>
      <c r="H26" s="81" t="s">
        <v>2230</v>
      </c>
      <c r="I26" s="140"/>
      <c r="J26" s="461"/>
      <c r="K26" s="36"/>
      <c r="L26" s="36"/>
      <c r="M26" s="36"/>
      <c r="N26" s="36"/>
      <c r="O26" s="36"/>
      <c r="P26" s="36"/>
      <c r="Q26" s="36"/>
      <c r="R26" s="36"/>
      <c r="S26" s="36"/>
      <c r="T26" s="36"/>
      <c r="U26" s="36"/>
      <c r="V26" s="36"/>
      <c r="W26" s="36"/>
      <c r="X26" s="36"/>
      <c r="Y26" s="36"/>
      <c r="Z26" s="36"/>
      <c r="AA26" s="36"/>
      <c r="AB26" s="36"/>
    </row>
    <row r="27" spans="1:28" ht="24" customHeight="1">
      <c r="A27" s="122" t="str">
        <f>HYPERLINK("http://www.secretariasenado.gov.co/senado/basedoc/ley_1285_2009.html","LEY 1285")</f>
        <v>LEY 1285</v>
      </c>
      <c r="B27" s="532">
        <v>39835</v>
      </c>
      <c r="C27" s="81" t="s">
        <v>507</v>
      </c>
      <c r="D27" s="460" t="s">
        <v>2258</v>
      </c>
      <c r="E27" s="94" t="s">
        <v>41</v>
      </c>
      <c r="F27" s="81" t="s">
        <v>97</v>
      </c>
      <c r="G27" s="94" t="s">
        <v>43</v>
      </c>
      <c r="H27" s="81" t="s">
        <v>2230</v>
      </c>
      <c r="I27" s="140"/>
      <c r="J27" s="461"/>
      <c r="K27" s="36"/>
      <c r="L27" s="36"/>
      <c r="M27" s="36"/>
      <c r="N27" s="36"/>
      <c r="O27" s="36"/>
      <c r="P27" s="36"/>
      <c r="Q27" s="36"/>
      <c r="R27" s="36"/>
      <c r="S27" s="36"/>
      <c r="T27" s="36"/>
      <c r="U27" s="36"/>
      <c r="V27" s="36"/>
      <c r="W27" s="36"/>
      <c r="X27" s="36"/>
      <c r="Y27" s="36"/>
      <c r="Z27" s="36"/>
      <c r="AA27" s="36"/>
      <c r="AB27" s="36"/>
    </row>
    <row r="28" spans="1:28" ht="24" customHeight="1">
      <c r="A28" s="122" t="str">
        <f>HYPERLINK("http://www.secretariasenado.gov.co/senado/basedoc/ley_1437_2011.html","LEY 1437")</f>
        <v>LEY 1437</v>
      </c>
      <c r="B28" s="530">
        <v>40736</v>
      </c>
      <c r="C28" s="81" t="s">
        <v>507</v>
      </c>
      <c r="D28" s="460" t="s">
        <v>2259</v>
      </c>
      <c r="E28" s="94" t="s">
        <v>41</v>
      </c>
      <c r="F28" s="81" t="s">
        <v>97</v>
      </c>
      <c r="G28" s="94" t="s">
        <v>43</v>
      </c>
      <c r="H28" s="81" t="s">
        <v>2230</v>
      </c>
      <c r="I28" s="140"/>
      <c r="J28" s="461"/>
      <c r="K28" s="36"/>
      <c r="L28" s="36"/>
      <c r="M28" s="36"/>
      <c r="N28" s="36"/>
      <c r="O28" s="36"/>
      <c r="P28" s="36"/>
      <c r="Q28" s="36"/>
      <c r="R28" s="36"/>
      <c r="S28" s="36"/>
      <c r="T28" s="36"/>
      <c r="U28" s="36"/>
      <c r="V28" s="36"/>
      <c r="W28" s="36"/>
      <c r="X28" s="36"/>
      <c r="Y28" s="36"/>
      <c r="Z28" s="36"/>
      <c r="AA28" s="36"/>
      <c r="AB28" s="36"/>
    </row>
    <row r="29" spans="1:28" ht="60" customHeight="1">
      <c r="A29" s="122" t="str">
        <f>HYPERLINK("http://www.secretariasenado.gov.co/senado/basedoc/ley_1474_2011.html","LEY 1474")</f>
        <v>LEY 1474</v>
      </c>
      <c r="B29" s="530">
        <v>40736</v>
      </c>
      <c r="C29" s="81" t="s">
        <v>507</v>
      </c>
      <c r="D29" s="460" t="s">
        <v>3629</v>
      </c>
      <c r="E29" s="94" t="s">
        <v>41</v>
      </c>
      <c r="F29" s="81" t="s">
        <v>97</v>
      </c>
      <c r="G29" s="94" t="s">
        <v>43</v>
      </c>
      <c r="H29" s="81" t="s">
        <v>2230</v>
      </c>
      <c r="I29" s="140"/>
      <c r="J29" s="461"/>
      <c r="K29" s="36"/>
      <c r="L29" s="36"/>
      <c r="M29" s="36"/>
      <c r="N29" s="36"/>
      <c r="O29" s="36"/>
      <c r="P29" s="36"/>
      <c r="Q29" s="36"/>
      <c r="R29" s="36"/>
      <c r="S29" s="36"/>
      <c r="T29" s="36"/>
      <c r="U29" s="36"/>
      <c r="V29" s="36"/>
      <c r="W29" s="36"/>
      <c r="X29" s="36"/>
      <c r="Y29" s="36"/>
      <c r="Z29" s="36"/>
      <c r="AA29" s="36"/>
      <c r="AB29" s="36"/>
    </row>
    <row r="30" spans="1:28" ht="60" customHeight="1">
      <c r="A30" s="122" t="str">
        <f>HYPERLINK("http://www.secretariasenado.gov.co/senado/basedoc/ley_1508_2012.html","LEY 1508")</f>
        <v>LEY 1508</v>
      </c>
      <c r="B30" s="534">
        <v>40918</v>
      </c>
      <c r="C30" s="81" t="s">
        <v>507</v>
      </c>
      <c r="D30" s="460" t="s">
        <v>3630</v>
      </c>
      <c r="E30" s="94" t="s">
        <v>41</v>
      </c>
      <c r="F30" s="81" t="s">
        <v>97</v>
      </c>
      <c r="G30" s="94" t="s">
        <v>43</v>
      </c>
      <c r="H30" s="81" t="s">
        <v>2230</v>
      </c>
      <c r="I30" s="140"/>
      <c r="J30" s="461"/>
      <c r="K30" s="36"/>
      <c r="L30" s="36"/>
      <c r="M30" s="36"/>
      <c r="N30" s="36"/>
      <c r="O30" s="36"/>
      <c r="P30" s="36"/>
      <c r="Q30" s="36"/>
      <c r="R30" s="36"/>
      <c r="S30" s="36"/>
      <c r="T30" s="36"/>
      <c r="U30" s="36"/>
      <c r="V30" s="36"/>
      <c r="W30" s="36"/>
      <c r="X30" s="36"/>
      <c r="Y30" s="36"/>
      <c r="Z30" s="36"/>
      <c r="AA30" s="36"/>
      <c r="AB30" s="36"/>
    </row>
    <row r="31" spans="1:28" ht="24" customHeight="1">
      <c r="A31" s="122" t="str">
        <f>HYPERLINK("https://secretariageneral.gov.co/transparencia/marco-legal/normatividad/ley-1564-2012","LEY 1564")</f>
        <v>LEY 1564</v>
      </c>
      <c r="B31" s="534">
        <v>41102</v>
      </c>
      <c r="C31" s="81" t="s">
        <v>507</v>
      </c>
      <c r="D31" s="460" t="s">
        <v>416</v>
      </c>
      <c r="E31" s="94" t="s">
        <v>41</v>
      </c>
      <c r="F31" s="81" t="s">
        <v>97</v>
      </c>
      <c r="G31" s="94" t="s">
        <v>43</v>
      </c>
      <c r="H31" s="81" t="s">
        <v>2230</v>
      </c>
      <c r="I31" s="140"/>
      <c r="J31" s="461"/>
      <c r="K31" s="36"/>
      <c r="L31" s="36"/>
      <c r="M31" s="36"/>
      <c r="N31" s="36"/>
      <c r="O31" s="36"/>
      <c r="P31" s="36"/>
      <c r="Q31" s="36"/>
      <c r="R31" s="36"/>
      <c r="S31" s="36"/>
      <c r="T31" s="36"/>
      <c r="U31" s="36"/>
      <c r="V31" s="36"/>
      <c r="W31" s="36"/>
      <c r="X31" s="36"/>
      <c r="Y31" s="36"/>
      <c r="Z31" s="36"/>
      <c r="AA31" s="36"/>
      <c r="AB31" s="36"/>
    </row>
    <row r="32" spans="1:28" ht="19.5" customHeight="1">
      <c r="A32" s="537" t="str">
        <f>HYPERLINK("http://www.secretariasenado.gov.co/senado/basedoc/ley_1581_2012.html","LEY 1581")</f>
        <v>LEY 1581</v>
      </c>
      <c r="B32" s="530">
        <v>41199</v>
      </c>
      <c r="C32" s="81" t="s">
        <v>507</v>
      </c>
      <c r="D32" s="460" t="s">
        <v>2263</v>
      </c>
      <c r="E32" s="94" t="s">
        <v>41</v>
      </c>
      <c r="F32" s="81" t="s">
        <v>97</v>
      </c>
      <c r="G32" s="94" t="s">
        <v>43</v>
      </c>
      <c r="H32" s="81" t="s">
        <v>2230</v>
      </c>
      <c r="I32" s="283"/>
      <c r="J32" s="461"/>
      <c r="K32" s="36"/>
      <c r="L32" s="36"/>
      <c r="M32" s="36"/>
      <c r="N32" s="36"/>
      <c r="O32" s="36"/>
      <c r="P32" s="36"/>
      <c r="Q32" s="36"/>
      <c r="R32" s="36"/>
      <c r="S32" s="36"/>
      <c r="T32" s="36"/>
      <c r="U32" s="36"/>
      <c r="V32" s="36"/>
      <c r="W32" s="36"/>
      <c r="X32" s="36"/>
      <c r="Y32" s="36"/>
      <c r="Z32" s="36"/>
      <c r="AA32" s="36"/>
      <c r="AB32" s="36"/>
    </row>
    <row r="33" spans="1:28" ht="30" customHeight="1">
      <c r="A33" s="537" t="str">
        <f>HYPERLINK("http://www.secretariasenado.gov.co/senado/basedoc/ley_1712_2014.html","LEY 1712")</f>
        <v>LEY 1712</v>
      </c>
      <c r="B33" s="534">
        <v>41704</v>
      </c>
      <c r="C33" s="81" t="s">
        <v>507</v>
      </c>
      <c r="D33" s="460" t="s">
        <v>2264</v>
      </c>
      <c r="E33" s="94" t="s">
        <v>41</v>
      </c>
      <c r="F33" s="81" t="s">
        <v>97</v>
      </c>
      <c r="G33" s="94" t="s">
        <v>43</v>
      </c>
      <c r="H33" s="81" t="s">
        <v>2230</v>
      </c>
      <c r="I33" s="283"/>
      <c r="J33" s="461"/>
      <c r="K33" s="36"/>
      <c r="L33" s="36"/>
      <c r="M33" s="36"/>
      <c r="N33" s="36"/>
      <c r="O33" s="36"/>
      <c r="P33" s="36"/>
      <c r="Q33" s="36"/>
      <c r="R33" s="36"/>
      <c r="S33" s="36"/>
      <c r="T33" s="36"/>
      <c r="U33" s="36"/>
      <c r="V33" s="36"/>
      <c r="W33" s="36"/>
      <c r="X33" s="36"/>
      <c r="Y33" s="36"/>
      <c r="Z33" s="36"/>
      <c r="AA33" s="36"/>
      <c r="AB33" s="36"/>
    </row>
    <row r="34" spans="1:28" ht="24" customHeight="1">
      <c r="A34" s="122" t="str">
        <f>HYPERLINK("https://normograma.info/men/docs/pdf/ley_1821_2016.pdf","LEY 1821")</f>
        <v>LEY 1821</v>
      </c>
      <c r="B34" s="530">
        <v>42384</v>
      </c>
      <c r="C34" s="81" t="s">
        <v>507</v>
      </c>
      <c r="D34" s="460" t="s">
        <v>2266</v>
      </c>
      <c r="E34" s="94" t="s">
        <v>41</v>
      </c>
      <c r="F34" s="81" t="s">
        <v>97</v>
      </c>
      <c r="G34" s="94" t="s">
        <v>43</v>
      </c>
      <c r="H34" s="81" t="s">
        <v>2230</v>
      </c>
      <c r="I34" s="140"/>
      <c r="J34" s="461"/>
      <c r="K34" s="36"/>
      <c r="L34" s="36"/>
      <c r="M34" s="36"/>
      <c r="N34" s="36"/>
      <c r="O34" s="36"/>
      <c r="P34" s="36"/>
      <c r="Q34" s="36"/>
      <c r="R34" s="36"/>
      <c r="S34" s="36"/>
      <c r="T34" s="36"/>
      <c r="U34" s="36"/>
      <c r="V34" s="36"/>
      <c r="W34" s="36"/>
      <c r="X34" s="36"/>
      <c r="Y34" s="36"/>
      <c r="Z34" s="36"/>
      <c r="AA34" s="36"/>
      <c r="AB34" s="36"/>
    </row>
    <row r="35" spans="1:28" ht="36" customHeight="1">
      <c r="A35" s="122" t="str">
        <f>HYPERLINK("http://www.secretariasenado.gov.co/senado/basedoc/ley_1882_2018.html","LEY 1882")</f>
        <v>LEY 1882</v>
      </c>
      <c r="B35" s="530">
        <v>43115</v>
      </c>
      <c r="C35" s="81" t="s">
        <v>507</v>
      </c>
      <c r="D35" s="460" t="s">
        <v>2267</v>
      </c>
      <c r="E35" s="94" t="s">
        <v>41</v>
      </c>
      <c r="F35" s="81" t="s">
        <v>97</v>
      </c>
      <c r="G35" s="94" t="s">
        <v>43</v>
      </c>
      <c r="H35" s="81" t="s">
        <v>2230</v>
      </c>
      <c r="I35" s="140"/>
      <c r="J35" s="461"/>
      <c r="K35" s="36"/>
      <c r="L35" s="36"/>
      <c r="M35" s="36"/>
      <c r="N35" s="36"/>
      <c r="O35" s="36"/>
      <c r="P35" s="36"/>
      <c r="Q35" s="36"/>
      <c r="R35" s="36"/>
      <c r="S35" s="36"/>
      <c r="T35" s="36"/>
      <c r="U35" s="36"/>
      <c r="V35" s="36"/>
      <c r="W35" s="36"/>
      <c r="X35" s="36"/>
      <c r="Y35" s="36"/>
      <c r="Z35" s="36"/>
      <c r="AA35" s="36"/>
      <c r="AB35" s="36"/>
    </row>
    <row r="36" spans="1:28" ht="12" customHeight="1">
      <c r="A36" s="122" t="str">
        <f>HYPERLINK("https://www.funcionpublica.gov.co/eva/gestornormativo/norma.php?i=33104","DECRETO 2663")</f>
        <v>DECRETO 2663</v>
      </c>
      <c r="B36" s="532">
        <v>18480</v>
      </c>
      <c r="C36" s="81" t="s">
        <v>507</v>
      </c>
      <c r="D36" s="460" t="s">
        <v>2269</v>
      </c>
      <c r="E36" s="94" t="s">
        <v>41</v>
      </c>
      <c r="F36" s="81" t="s">
        <v>97</v>
      </c>
      <c r="G36" s="94" t="s">
        <v>43</v>
      </c>
      <c r="H36" s="81" t="s">
        <v>2230</v>
      </c>
      <c r="I36" s="140"/>
      <c r="J36" s="461"/>
      <c r="K36" s="36"/>
      <c r="L36" s="36"/>
      <c r="M36" s="36"/>
      <c r="N36" s="36"/>
      <c r="O36" s="36"/>
      <c r="P36" s="36"/>
      <c r="Q36" s="36"/>
      <c r="R36" s="36"/>
      <c r="S36" s="36"/>
      <c r="T36" s="36"/>
      <c r="U36" s="36"/>
      <c r="V36" s="36"/>
      <c r="W36" s="36"/>
      <c r="X36" s="36"/>
      <c r="Y36" s="36"/>
      <c r="Z36" s="36"/>
      <c r="AA36" s="36"/>
      <c r="AB36" s="36"/>
    </row>
    <row r="37" spans="1:28" ht="24" customHeight="1">
      <c r="A37" s="122" t="str">
        <f>HYPERLINK("http://www.suin-juriscol.gov.co/viewDocument.asp?id=1535683","DECRETO 3743")</f>
        <v>DECRETO 3743</v>
      </c>
      <c r="B37" s="532">
        <v>18617</v>
      </c>
      <c r="C37" s="81" t="s">
        <v>57</v>
      </c>
      <c r="D37" s="460" t="s">
        <v>2271</v>
      </c>
      <c r="E37" s="94" t="s">
        <v>41</v>
      </c>
      <c r="F37" s="81" t="s">
        <v>97</v>
      </c>
      <c r="G37" s="94" t="s">
        <v>43</v>
      </c>
      <c r="H37" s="81" t="s">
        <v>2230</v>
      </c>
      <c r="I37" s="140"/>
      <c r="J37" s="461"/>
      <c r="K37" s="36"/>
      <c r="L37" s="36"/>
      <c r="M37" s="36"/>
      <c r="N37" s="36"/>
      <c r="O37" s="36"/>
      <c r="P37" s="36"/>
      <c r="Q37" s="36"/>
      <c r="R37" s="36"/>
      <c r="S37" s="36"/>
      <c r="T37" s="36"/>
      <c r="U37" s="36"/>
      <c r="V37" s="36"/>
      <c r="W37" s="36"/>
      <c r="X37" s="36"/>
      <c r="Y37" s="36"/>
      <c r="Z37" s="36"/>
      <c r="AA37" s="36"/>
      <c r="AB37" s="36"/>
    </row>
    <row r="38" spans="1:28" ht="24" customHeight="1">
      <c r="A38" s="122" t="str">
        <f>HYPERLINK("http://www.suin-juriscol.gov.co/viewDocument.asp?id=1187992","DECRETO 905")</f>
        <v>DECRETO 905</v>
      </c>
      <c r="B38" s="534">
        <v>18738</v>
      </c>
      <c r="C38" s="81" t="s">
        <v>57</v>
      </c>
      <c r="D38" s="460" t="s">
        <v>2273</v>
      </c>
      <c r="E38" s="94" t="s">
        <v>41</v>
      </c>
      <c r="F38" s="81" t="s">
        <v>97</v>
      </c>
      <c r="G38" s="94" t="s">
        <v>43</v>
      </c>
      <c r="H38" s="81" t="s">
        <v>2230</v>
      </c>
      <c r="I38" s="140"/>
      <c r="J38" s="461"/>
      <c r="K38" s="36"/>
      <c r="L38" s="36"/>
      <c r="M38" s="36"/>
      <c r="N38" s="36"/>
      <c r="O38" s="36"/>
      <c r="P38" s="36"/>
      <c r="Q38" s="36"/>
      <c r="R38" s="36"/>
      <c r="S38" s="36"/>
      <c r="T38" s="36"/>
      <c r="U38" s="36"/>
      <c r="V38" s="36"/>
      <c r="W38" s="36"/>
      <c r="X38" s="36"/>
      <c r="Y38" s="36"/>
      <c r="Z38" s="36"/>
      <c r="AA38" s="36"/>
      <c r="AB38" s="36"/>
    </row>
    <row r="39" spans="1:28" ht="24" customHeight="1">
      <c r="A39" s="122" t="str">
        <f>HYPERLINK("https://www.google.com/search?q=decreto+410+de+1971&amp;rlz=1C1GCEV_en&amp;oq=decreto+410&amp;aqs=chrome.1.69i57j0l5.7951j0j4&amp;sourceid=chrome&amp;ie=UTF-8","DECRETO 410")</f>
        <v>DECRETO 410</v>
      </c>
      <c r="B39" s="538">
        <v>26019</v>
      </c>
      <c r="C39" s="81" t="s">
        <v>57</v>
      </c>
      <c r="D39" s="460" t="s">
        <v>242</v>
      </c>
      <c r="E39" s="94" t="s">
        <v>41</v>
      </c>
      <c r="F39" s="81" t="s">
        <v>97</v>
      </c>
      <c r="G39" s="94" t="s">
        <v>43</v>
      </c>
      <c r="H39" s="81" t="s">
        <v>2230</v>
      </c>
      <c r="I39" s="140"/>
      <c r="J39" s="461"/>
      <c r="K39" s="36"/>
      <c r="L39" s="36"/>
      <c r="M39" s="36"/>
      <c r="N39" s="36"/>
      <c r="O39" s="36"/>
      <c r="P39" s="36"/>
      <c r="Q39" s="36"/>
      <c r="R39" s="36"/>
      <c r="S39" s="36"/>
      <c r="T39" s="36"/>
      <c r="U39" s="36"/>
      <c r="V39" s="36"/>
      <c r="W39" s="36"/>
      <c r="X39" s="36"/>
      <c r="Y39" s="36"/>
      <c r="Z39" s="36"/>
      <c r="AA39" s="36"/>
      <c r="AB39" s="36"/>
    </row>
    <row r="40" spans="1:28" ht="48" customHeight="1">
      <c r="A40" s="122" t="str">
        <f>HYPERLINK("http://www.defensoria.gov.co/public/Normograma%202013_html/Normas/Decreto_1950_1973.pdf","DECRETO 1950")</f>
        <v>DECRETO 1950</v>
      </c>
      <c r="B40" s="534">
        <v>26931</v>
      </c>
      <c r="C40" s="81" t="s">
        <v>57</v>
      </c>
      <c r="D40" s="460" t="s">
        <v>3631</v>
      </c>
      <c r="E40" s="94" t="s">
        <v>41</v>
      </c>
      <c r="F40" s="81" t="s">
        <v>97</v>
      </c>
      <c r="G40" s="94" t="s">
        <v>43</v>
      </c>
      <c r="H40" s="81" t="s">
        <v>2230</v>
      </c>
      <c r="I40" s="140"/>
      <c r="J40" s="461"/>
      <c r="K40" s="36"/>
      <c r="L40" s="36"/>
      <c r="M40" s="36"/>
      <c r="N40" s="36"/>
      <c r="O40" s="36"/>
      <c r="P40" s="36"/>
      <c r="Q40" s="36"/>
      <c r="R40" s="36"/>
      <c r="S40" s="36"/>
      <c r="T40" s="36"/>
      <c r="U40" s="36"/>
      <c r="V40" s="36"/>
      <c r="W40" s="36"/>
      <c r="X40" s="36"/>
      <c r="Y40" s="36"/>
      <c r="Z40" s="36"/>
      <c r="AA40" s="36"/>
      <c r="AB40" s="36"/>
    </row>
    <row r="41" spans="1:28" ht="24" customHeight="1">
      <c r="A41" s="122" t="str">
        <f>HYPERLINK("https://www.mineducacion.gov.co/1621/article-102590.html","DECRETO 886")</f>
        <v>DECRETO 886</v>
      </c>
      <c r="B41" s="530">
        <v>27890</v>
      </c>
      <c r="C41" s="81" t="s">
        <v>57</v>
      </c>
      <c r="D41" s="460" t="s">
        <v>2277</v>
      </c>
      <c r="E41" s="94" t="s">
        <v>41</v>
      </c>
      <c r="F41" s="81" t="s">
        <v>97</v>
      </c>
      <c r="G41" s="94" t="s">
        <v>43</v>
      </c>
      <c r="H41" s="81" t="s">
        <v>2230</v>
      </c>
      <c r="I41" s="140"/>
      <c r="J41" s="461"/>
      <c r="K41" s="36"/>
      <c r="L41" s="36"/>
      <c r="M41" s="36"/>
      <c r="N41" s="36"/>
      <c r="O41" s="36"/>
      <c r="P41" s="36"/>
      <c r="Q41" s="36"/>
      <c r="R41" s="36"/>
      <c r="S41" s="36"/>
      <c r="T41" s="36"/>
      <c r="U41" s="36"/>
      <c r="V41" s="36"/>
      <c r="W41" s="36"/>
      <c r="X41" s="36"/>
      <c r="Y41" s="36"/>
      <c r="Z41" s="36"/>
      <c r="AA41" s="36"/>
      <c r="AB41" s="36"/>
    </row>
    <row r="42" spans="1:28" ht="36" customHeight="1">
      <c r="A42" s="122" t="str">
        <f>HYPERLINK("https://www.funcionpublica.gov.co/eva/gestornormativo/norma.php?i=1466","DECRETO 1045")</f>
        <v>DECRETO 1045</v>
      </c>
      <c r="B42" s="534">
        <v>28648</v>
      </c>
      <c r="C42" s="81" t="s">
        <v>57</v>
      </c>
      <c r="D42" s="460" t="s">
        <v>2279</v>
      </c>
      <c r="E42" s="94" t="s">
        <v>41</v>
      </c>
      <c r="F42" s="81" t="s">
        <v>97</v>
      </c>
      <c r="G42" s="94" t="s">
        <v>43</v>
      </c>
      <c r="H42" s="81" t="s">
        <v>2230</v>
      </c>
      <c r="I42" s="140"/>
      <c r="J42" s="461"/>
      <c r="K42" s="36"/>
      <c r="L42" s="36"/>
      <c r="M42" s="36"/>
      <c r="N42" s="36"/>
      <c r="O42" s="36"/>
      <c r="P42" s="36"/>
      <c r="Q42" s="36"/>
      <c r="R42" s="36"/>
      <c r="S42" s="36"/>
      <c r="T42" s="36"/>
      <c r="U42" s="36"/>
      <c r="V42" s="36"/>
      <c r="W42" s="36"/>
      <c r="X42" s="36"/>
      <c r="Y42" s="36"/>
      <c r="Z42" s="36"/>
      <c r="AA42" s="36"/>
      <c r="AB42" s="36"/>
    </row>
    <row r="43" spans="1:28" ht="120" customHeight="1">
      <c r="A43" s="122" t="str">
        <f>HYPERLINK("https://www.cancilleria.gov.co/sites/default/files/tramites_servicios/pasaportes/archivos/decreto_624_1989.pdf","DECRETO 624")</f>
        <v>DECRETO 624</v>
      </c>
      <c r="B43" s="536">
        <v>32597</v>
      </c>
      <c r="C43" s="81" t="s">
        <v>57</v>
      </c>
      <c r="D43" s="460" t="s">
        <v>3632</v>
      </c>
      <c r="E43" s="94" t="s">
        <v>41</v>
      </c>
      <c r="F43" s="81" t="s">
        <v>97</v>
      </c>
      <c r="G43" s="94" t="s">
        <v>43</v>
      </c>
      <c r="H43" s="81" t="s">
        <v>2230</v>
      </c>
      <c r="I43" s="140"/>
      <c r="J43" s="461"/>
      <c r="K43" s="36"/>
      <c r="L43" s="36"/>
      <c r="M43" s="36"/>
      <c r="N43" s="36"/>
      <c r="O43" s="36"/>
      <c r="P43" s="36"/>
      <c r="Q43" s="36"/>
      <c r="R43" s="36"/>
      <c r="S43" s="36"/>
      <c r="T43" s="36"/>
      <c r="U43" s="36"/>
      <c r="V43" s="36"/>
      <c r="W43" s="36"/>
      <c r="X43" s="36"/>
      <c r="Y43" s="36"/>
      <c r="Z43" s="36"/>
      <c r="AA43" s="36"/>
      <c r="AB43" s="36"/>
    </row>
    <row r="44" spans="1:28" ht="48" customHeight="1">
      <c r="A44" s="122" t="str">
        <f>HYPERLINK("https://www.cancilleria.gov.co/sites/default/files/tramites_servicios/pasaportes/archivos/decreto_624_1989.pdf","DECRETO 2591")</f>
        <v>DECRETO 2591</v>
      </c>
      <c r="B44" s="530">
        <v>33561</v>
      </c>
      <c r="C44" s="81" t="s">
        <v>57</v>
      </c>
      <c r="D44" s="460" t="s">
        <v>3633</v>
      </c>
      <c r="E44" s="94" t="s">
        <v>41</v>
      </c>
      <c r="F44" s="81" t="s">
        <v>97</v>
      </c>
      <c r="G44" s="94" t="s">
        <v>43</v>
      </c>
      <c r="H44" s="81" t="s">
        <v>2230</v>
      </c>
      <c r="I44" s="140"/>
      <c r="J44" s="461"/>
      <c r="K44" s="36"/>
      <c r="L44" s="36"/>
      <c r="M44" s="36"/>
      <c r="N44" s="36"/>
      <c r="O44" s="36"/>
      <c r="P44" s="36"/>
      <c r="Q44" s="36"/>
      <c r="R44" s="36"/>
      <c r="S44" s="36"/>
      <c r="T44" s="36"/>
      <c r="U44" s="36"/>
      <c r="V44" s="36"/>
      <c r="W44" s="36"/>
      <c r="X44" s="36"/>
      <c r="Y44" s="36"/>
      <c r="Z44" s="36"/>
      <c r="AA44" s="36"/>
      <c r="AB44" s="36"/>
    </row>
    <row r="45" spans="1:28" ht="24" customHeight="1">
      <c r="A45" s="122" t="str">
        <f>HYPERLINK("https://www.funcionpublica.gov.co/eva/gestornormativo/norma.php?i=6940","DECRETO 800")</f>
        <v>DECRETO 800</v>
      </c>
      <c r="B45" s="530">
        <v>33318</v>
      </c>
      <c r="C45" s="81" t="s">
        <v>507</v>
      </c>
      <c r="D45" s="460" t="s">
        <v>3634</v>
      </c>
      <c r="E45" s="94" t="s">
        <v>41</v>
      </c>
      <c r="F45" s="81" t="s">
        <v>97</v>
      </c>
      <c r="G45" s="94" t="s">
        <v>43</v>
      </c>
      <c r="H45" s="81" t="s">
        <v>2230</v>
      </c>
      <c r="I45" s="535"/>
      <c r="J45" s="461"/>
      <c r="K45" s="36"/>
      <c r="L45" s="36"/>
      <c r="M45" s="36"/>
      <c r="N45" s="36"/>
      <c r="O45" s="36"/>
      <c r="P45" s="36"/>
      <c r="Q45" s="36"/>
      <c r="R45" s="36"/>
      <c r="S45" s="36"/>
      <c r="T45" s="36"/>
      <c r="U45" s="36"/>
      <c r="V45" s="36"/>
      <c r="W45" s="36"/>
      <c r="X45" s="36"/>
      <c r="Y45" s="36"/>
      <c r="Z45" s="36"/>
      <c r="AA45" s="36"/>
      <c r="AB45" s="36"/>
    </row>
    <row r="46" spans="1:28" ht="24" customHeight="1">
      <c r="A46" s="122" t="str">
        <f>HYPERLINK("https://www.funcionpublica.gov.co/eva/gestornormativo/norma.php?i=6061","DECRETO 306")</f>
        <v>DECRETO 306</v>
      </c>
      <c r="B46" s="534">
        <v>33653</v>
      </c>
      <c r="C46" s="81" t="s">
        <v>57</v>
      </c>
      <c r="D46" s="460" t="s">
        <v>2286</v>
      </c>
      <c r="E46" s="94" t="s">
        <v>41</v>
      </c>
      <c r="F46" s="81" t="s">
        <v>97</v>
      </c>
      <c r="G46" s="94" t="s">
        <v>43</v>
      </c>
      <c r="H46" s="81" t="s">
        <v>2230</v>
      </c>
      <c r="I46" s="140"/>
      <c r="J46" s="461"/>
      <c r="K46" s="36"/>
      <c r="L46" s="36"/>
      <c r="M46" s="36"/>
      <c r="N46" s="36"/>
      <c r="O46" s="36"/>
      <c r="P46" s="36"/>
      <c r="Q46" s="36"/>
      <c r="R46" s="36"/>
      <c r="S46" s="36"/>
      <c r="T46" s="36"/>
      <c r="U46" s="36"/>
      <c r="V46" s="36"/>
      <c r="W46" s="36"/>
      <c r="X46" s="36"/>
      <c r="Y46" s="36"/>
      <c r="Z46" s="36"/>
      <c r="AA46" s="36"/>
      <c r="AB46" s="36"/>
    </row>
    <row r="47" spans="1:28" ht="24" customHeight="1">
      <c r="A47" s="122" t="str">
        <f>HYPERLINK("https://secretariageneral.gov.co/transparencia/marco-legal/normatividad/decreto-ley-1421-1993","DECRETO LEY 1421")</f>
        <v>DECRETO LEY 1421</v>
      </c>
      <c r="B47" s="539">
        <v>34171</v>
      </c>
      <c r="C47" s="81" t="s">
        <v>57</v>
      </c>
      <c r="D47" s="460" t="s">
        <v>513</v>
      </c>
      <c r="E47" s="94" t="s">
        <v>41</v>
      </c>
      <c r="F47" s="81" t="s">
        <v>97</v>
      </c>
      <c r="G47" s="94" t="s">
        <v>43</v>
      </c>
      <c r="H47" s="81" t="s">
        <v>2230</v>
      </c>
      <c r="I47" s="140"/>
      <c r="J47" s="461"/>
      <c r="K47" s="36"/>
      <c r="L47" s="36"/>
      <c r="M47" s="36"/>
      <c r="N47" s="36"/>
      <c r="O47" s="36"/>
      <c r="P47" s="36"/>
      <c r="Q47" s="36"/>
      <c r="R47" s="36"/>
      <c r="S47" s="36"/>
      <c r="T47" s="36"/>
      <c r="U47" s="36"/>
      <c r="V47" s="36"/>
      <c r="W47" s="36"/>
      <c r="X47" s="36"/>
      <c r="Y47" s="36"/>
      <c r="Z47" s="36"/>
      <c r="AA47" s="36"/>
      <c r="AB47" s="36"/>
    </row>
    <row r="48" spans="1:28" ht="36" customHeight="1">
      <c r="A48" s="122" t="str">
        <f>HYPERLINK("https://www.google.com/search?q=ley+582+de+2000&amp;rlz=1C1GCEV_en&amp;oq=ley+582&amp;aqs=chrome.1.69i57j0l5.10510j0j4&amp;sourceid=chrome&amp;ie=UTF-8","LEY 582")</f>
        <v>LEY 582</v>
      </c>
      <c r="B48" s="540">
        <v>36685</v>
      </c>
      <c r="C48" s="81" t="s">
        <v>1619</v>
      </c>
      <c r="D48" s="460" t="s">
        <v>2242</v>
      </c>
      <c r="E48" s="94" t="s">
        <v>2243</v>
      </c>
      <c r="F48" s="81" t="s">
        <v>97</v>
      </c>
      <c r="G48" s="94" t="s">
        <v>43</v>
      </c>
      <c r="H48" s="81" t="s">
        <v>2230</v>
      </c>
      <c r="I48" s="535"/>
      <c r="J48" s="461"/>
      <c r="K48" s="36"/>
      <c r="L48" s="36"/>
      <c r="M48" s="36"/>
      <c r="N48" s="36"/>
      <c r="O48" s="36"/>
      <c r="P48" s="36"/>
      <c r="Q48" s="36"/>
      <c r="R48" s="36"/>
      <c r="S48" s="36"/>
      <c r="T48" s="36"/>
      <c r="U48" s="36"/>
      <c r="V48" s="36"/>
      <c r="W48" s="36"/>
      <c r="X48" s="36"/>
      <c r="Y48" s="36"/>
      <c r="Z48" s="36"/>
      <c r="AA48" s="36"/>
      <c r="AB48" s="36"/>
    </row>
    <row r="49" spans="1:28" ht="24" customHeight="1">
      <c r="A49" s="122" t="str">
        <f>HYPERLINK("http://www.saludcapital.gov.co/Documents/Acuerdo_641_de_20166.pdf","DECRETO 641")</f>
        <v>DECRETO 641</v>
      </c>
      <c r="B49" s="539">
        <v>36987</v>
      </c>
      <c r="C49" s="81" t="s">
        <v>57</v>
      </c>
      <c r="D49" s="460" t="s">
        <v>2289</v>
      </c>
      <c r="E49" s="81" t="s">
        <v>2290</v>
      </c>
      <c r="F49" s="81" t="s">
        <v>97</v>
      </c>
      <c r="G49" s="94" t="s">
        <v>43</v>
      </c>
      <c r="H49" s="81" t="s">
        <v>2230</v>
      </c>
      <c r="I49" s="140"/>
      <c r="J49" s="461"/>
      <c r="K49" s="36"/>
      <c r="L49" s="36"/>
      <c r="M49" s="36"/>
      <c r="N49" s="36"/>
      <c r="O49" s="36"/>
      <c r="P49" s="36"/>
      <c r="Q49" s="36"/>
      <c r="R49" s="36"/>
      <c r="S49" s="36"/>
      <c r="T49" s="36"/>
      <c r="U49" s="36"/>
      <c r="V49" s="36"/>
      <c r="W49" s="36"/>
      <c r="X49" s="36"/>
      <c r="Y49" s="36"/>
      <c r="Z49" s="36"/>
      <c r="AA49" s="36"/>
      <c r="AB49" s="36"/>
    </row>
    <row r="50" spans="1:28" ht="36" customHeight="1">
      <c r="A50" s="122" t="str">
        <f>HYPERLINK("https://www.habitatbogota.gov.co/decreto-362-2002","DECRETO 362")</f>
        <v>DECRETO 362</v>
      </c>
      <c r="B50" s="536">
        <v>37489</v>
      </c>
      <c r="C50" s="81" t="s">
        <v>61</v>
      </c>
      <c r="D50" s="460" t="s">
        <v>528</v>
      </c>
      <c r="E50" s="94" t="s">
        <v>41</v>
      </c>
      <c r="F50" s="81" t="s">
        <v>97</v>
      </c>
      <c r="G50" s="94" t="s">
        <v>43</v>
      </c>
      <c r="H50" s="81" t="s">
        <v>2230</v>
      </c>
      <c r="I50" s="140"/>
      <c r="J50" s="461"/>
      <c r="K50" s="36"/>
      <c r="L50" s="36"/>
      <c r="M50" s="36"/>
      <c r="N50" s="36"/>
      <c r="O50" s="36"/>
      <c r="P50" s="36"/>
      <c r="Q50" s="36"/>
      <c r="R50" s="36"/>
      <c r="S50" s="36"/>
      <c r="T50" s="36"/>
      <c r="U50" s="36"/>
      <c r="V50" s="36"/>
      <c r="W50" s="36"/>
      <c r="X50" s="36"/>
      <c r="Y50" s="36"/>
      <c r="Z50" s="36"/>
      <c r="AA50" s="36"/>
      <c r="AB50" s="36"/>
    </row>
    <row r="51" spans="1:28" ht="36" customHeight="1">
      <c r="A51" s="122" t="str">
        <f>HYPERLINK("https://www.google.com/search?q=DECRETO+NACIONAL+1919&amp;rlz=1C1GCEV_en&amp;oq=DECRETO+NACIONAL+1919&amp;aqs=chrome..69i57.1302234j0j4&amp;sourceid=chrome&amp;ie=UTF-8","DECRETO NACIONAL 1919")</f>
        <v>DECRETO NACIONAL 1919</v>
      </c>
      <c r="B51" s="530">
        <v>37495</v>
      </c>
      <c r="C51" s="81" t="s">
        <v>57</v>
      </c>
      <c r="D51" s="460" t="s">
        <v>2293</v>
      </c>
      <c r="E51" s="94" t="s">
        <v>41</v>
      </c>
      <c r="F51" s="81" t="s">
        <v>97</v>
      </c>
      <c r="G51" s="94" t="s">
        <v>43</v>
      </c>
      <c r="H51" s="81" t="s">
        <v>2230</v>
      </c>
      <c r="I51" s="140"/>
      <c r="J51" s="461"/>
      <c r="K51" s="36"/>
      <c r="L51" s="36"/>
      <c r="M51" s="36"/>
      <c r="N51" s="36"/>
      <c r="O51" s="36"/>
      <c r="P51" s="36"/>
      <c r="Q51" s="36"/>
      <c r="R51" s="36"/>
      <c r="S51" s="36"/>
      <c r="T51" s="36"/>
      <c r="U51" s="36"/>
      <c r="V51" s="36"/>
      <c r="W51" s="36"/>
      <c r="X51" s="36"/>
      <c r="Y51" s="36"/>
      <c r="Z51" s="36"/>
      <c r="AA51" s="36"/>
      <c r="AB51" s="36"/>
    </row>
    <row r="52" spans="1:28" ht="36" customHeight="1">
      <c r="A52" s="122" t="str">
        <f>HYPERLINK("https://www.funcionpublica.gov.co/eva/gestornormativo/norma.php?i=7418","DECRETO 3258")</f>
        <v>DECRETO 3258</v>
      </c>
      <c r="B52" s="530">
        <v>37325</v>
      </c>
      <c r="C52" s="81" t="s">
        <v>507</v>
      </c>
      <c r="D52" s="460" t="s">
        <v>530</v>
      </c>
      <c r="E52" s="94" t="s">
        <v>41</v>
      </c>
      <c r="F52" s="81" t="s">
        <v>97</v>
      </c>
      <c r="G52" s="94" t="s">
        <v>43</v>
      </c>
      <c r="H52" s="81" t="s">
        <v>2230</v>
      </c>
      <c r="I52" s="140"/>
      <c r="J52" s="461"/>
      <c r="K52" s="36"/>
      <c r="L52" s="36"/>
      <c r="M52" s="36"/>
      <c r="N52" s="36"/>
      <c r="O52" s="36"/>
      <c r="P52" s="36"/>
      <c r="Q52" s="36"/>
      <c r="R52" s="36"/>
      <c r="S52" s="36"/>
      <c r="T52" s="36"/>
      <c r="U52" s="36"/>
      <c r="V52" s="36"/>
      <c r="W52" s="36"/>
      <c r="X52" s="36"/>
      <c r="Y52" s="36"/>
      <c r="Z52" s="36"/>
      <c r="AA52" s="36"/>
      <c r="AB52" s="36"/>
    </row>
    <row r="53" spans="1:28" ht="24" customHeight="1">
      <c r="A53" s="122" t="str">
        <f>HYPERLINK("https://www.alcaldiabogota.gov.co/sisjur/normas/Norma1.jsp?i=4311","DECRETO 175")</f>
        <v>DECRETO 175</v>
      </c>
      <c r="B53" s="530">
        <v>38142</v>
      </c>
      <c r="C53" s="81" t="s">
        <v>61</v>
      </c>
      <c r="D53" s="460" t="s">
        <v>2296</v>
      </c>
      <c r="E53" s="94" t="s">
        <v>41</v>
      </c>
      <c r="F53" s="81" t="s">
        <v>97</v>
      </c>
      <c r="G53" s="94" t="s">
        <v>43</v>
      </c>
      <c r="H53" s="81" t="s">
        <v>2230</v>
      </c>
      <c r="I53" s="140"/>
      <c r="J53" s="461"/>
      <c r="K53" s="36"/>
      <c r="L53" s="36"/>
      <c r="M53" s="36"/>
      <c r="N53" s="36"/>
      <c r="O53" s="36"/>
      <c r="P53" s="36"/>
      <c r="Q53" s="36"/>
      <c r="R53" s="36"/>
      <c r="S53" s="36"/>
      <c r="T53" s="36"/>
      <c r="U53" s="36"/>
      <c r="V53" s="36"/>
      <c r="W53" s="36"/>
      <c r="X53" s="36"/>
      <c r="Y53" s="36"/>
      <c r="Z53" s="36"/>
      <c r="AA53" s="36"/>
      <c r="AB53" s="36"/>
    </row>
    <row r="54" spans="1:28" ht="24" customHeight="1">
      <c r="A54" s="122" t="str">
        <f>HYPERLINK("https://www.mintic.gov.co/portal/604/articles-4278_documento.pdf","DECRETO 4473")</f>
        <v>DECRETO 4473</v>
      </c>
      <c r="B54" s="81">
        <v>2006</v>
      </c>
      <c r="C54" s="81" t="s">
        <v>57</v>
      </c>
      <c r="D54" s="460" t="s">
        <v>2298</v>
      </c>
      <c r="E54" s="94" t="s">
        <v>41</v>
      </c>
      <c r="F54" s="81" t="s">
        <v>97</v>
      </c>
      <c r="G54" s="94" t="s">
        <v>43</v>
      </c>
      <c r="H54" s="81" t="s">
        <v>2230</v>
      </c>
      <c r="I54" s="140"/>
      <c r="J54" s="461"/>
      <c r="K54" s="36"/>
      <c r="L54" s="36"/>
      <c r="M54" s="36"/>
      <c r="N54" s="36"/>
      <c r="O54" s="36"/>
      <c r="P54" s="36"/>
      <c r="Q54" s="36"/>
      <c r="R54" s="36"/>
      <c r="S54" s="36"/>
      <c r="T54" s="36"/>
      <c r="U54" s="36"/>
      <c r="V54" s="36"/>
      <c r="W54" s="36"/>
      <c r="X54" s="36"/>
      <c r="Y54" s="36"/>
      <c r="Z54" s="36"/>
      <c r="AA54" s="36"/>
      <c r="AB54" s="36"/>
    </row>
    <row r="55" spans="1:28" ht="24" customHeight="1">
      <c r="A55" s="122" t="str">
        <f>HYPERLINK("http://www.suin-juriscol.gov.co/viewDocument.asp?ruta=Decretos/1336533","DECRETO 1716")</f>
        <v>DECRETO 1716</v>
      </c>
      <c r="B55" s="530">
        <v>39947</v>
      </c>
      <c r="C55" s="81" t="s">
        <v>57</v>
      </c>
      <c r="D55" s="460" t="s">
        <v>2299</v>
      </c>
      <c r="E55" s="94" t="s">
        <v>41</v>
      </c>
      <c r="F55" s="81" t="s">
        <v>97</v>
      </c>
      <c r="G55" s="94" t="s">
        <v>43</v>
      </c>
      <c r="H55" s="81" t="s">
        <v>2230</v>
      </c>
      <c r="I55" s="140"/>
      <c r="J55" s="461"/>
      <c r="K55" s="36"/>
      <c r="L55" s="36"/>
      <c r="M55" s="36"/>
      <c r="N55" s="36"/>
      <c r="O55" s="36"/>
      <c r="P55" s="36"/>
      <c r="Q55" s="36"/>
      <c r="R55" s="36"/>
      <c r="S55" s="36"/>
      <c r="T55" s="36"/>
      <c r="U55" s="36"/>
      <c r="V55" s="36"/>
      <c r="W55" s="36"/>
      <c r="X55" s="36"/>
      <c r="Y55" s="36"/>
      <c r="Z55" s="36"/>
      <c r="AA55" s="36"/>
      <c r="AB55" s="36"/>
    </row>
    <row r="56" spans="1:28" ht="24" customHeight="1">
      <c r="A56" s="122" t="str">
        <f>HYPERLINK("https://www.funcionpublica.gov.co/eva/gestornormativo/norma.php?i=40002","DECRETO2473")</f>
        <v>DECRETO2473</v>
      </c>
      <c r="B56" s="541">
        <v>40368</v>
      </c>
      <c r="C56" s="81" t="s">
        <v>57</v>
      </c>
      <c r="D56" s="460" t="s">
        <v>3635</v>
      </c>
      <c r="E56" s="94" t="s">
        <v>41</v>
      </c>
      <c r="F56" s="81" t="s">
        <v>97</v>
      </c>
      <c r="G56" s="94" t="s">
        <v>43</v>
      </c>
      <c r="H56" s="81" t="s">
        <v>2230</v>
      </c>
      <c r="I56" s="140"/>
      <c r="J56" s="461"/>
      <c r="K56" s="36"/>
      <c r="L56" s="36"/>
      <c r="M56" s="36"/>
      <c r="N56" s="36"/>
      <c r="O56" s="36"/>
      <c r="P56" s="36"/>
      <c r="Q56" s="36"/>
      <c r="R56" s="36"/>
      <c r="S56" s="36"/>
      <c r="T56" s="36"/>
      <c r="U56" s="36"/>
      <c r="V56" s="36"/>
      <c r="W56" s="36"/>
      <c r="X56" s="36"/>
      <c r="Y56" s="36"/>
      <c r="Z56" s="36"/>
      <c r="AA56" s="36"/>
      <c r="AB56" s="36"/>
    </row>
    <row r="57" spans="1:28" ht="24" customHeight="1">
      <c r="A57" s="122" t="str">
        <f>HYPERLINK("https://www.alcaldiabogota.gov.co/sisjur/normas/Norma1.jsp?i=70337","DECRETO 397")</f>
        <v>DECRETO 397</v>
      </c>
      <c r="B57" s="530">
        <v>40781</v>
      </c>
      <c r="C57" s="81" t="s">
        <v>61</v>
      </c>
      <c r="D57" s="460" t="s">
        <v>823</v>
      </c>
      <c r="E57" s="94" t="s">
        <v>41</v>
      </c>
      <c r="F57" s="81" t="s">
        <v>97</v>
      </c>
      <c r="G57" s="94" t="s">
        <v>43</v>
      </c>
      <c r="H57" s="81" t="s">
        <v>2230</v>
      </c>
      <c r="I57" s="140"/>
      <c r="J57" s="461"/>
      <c r="K57" s="36"/>
      <c r="L57" s="36"/>
      <c r="M57" s="36"/>
      <c r="N57" s="36"/>
      <c r="O57" s="36"/>
      <c r="P57" s="36"/>
      <c r="Q57" s="36"/>
      <c r="R57" s="36"/>
      <c r="S57" s="36"/>
      <c r="T57" s="36"/>
      <c r="U57" s="36"/>
      <c r="V57" s="36"/>
      <c r="W57" s="36"/>
      <c r="X57" s="36"/>
      <c r="Y57" s="36"/>
      <c r="Z57" s="36"/>
      <c r="AA57" s="36"/>
      <c r="AB57" s="36"/>
    </row>
    <row r="58" spans="1:28" ht="36" customHeight="1">
      <c r="A58" s="122" t="str">
        <f>HYPERLINK("https://www.alcaldiabogota.gov.co/sisjur/normas/Norma1.jsp?i=3049","acuerdo 06")</f>
        <v>acuerdo 06</v>
      </c>
      <c r="B58" s="534">
        <v>40850</v>
      </c>
      <c r="C58" s="81" t="s">
        <v>61</v>
      </c>
      <c r="D58" s="460" t="s">
        <v>2303</v>
      </c>
      <c r="E58" s="94" t="s">
        <v>41</v>
      </c>
      <c r="F58" s="81" t="s">
        <v>97</v>
      </c>
      <c r="G58" s="94" t="s">
        <v>43</v>
      </c>
      <c r="H58" s="81" t="s">
        <v>2230</v>
      </c>
      <c r="I58" s="140"/>
      <c r="J58" s="461"/>
      <c r="K58" s="36"/>
      <c r="L58" s="36"/>
      <c r="M58" s="36"/>
      <c r="N58" s="36"/>
      <c r="O58" s="36"/>
      <c r="P58" s="36"/>
      <c r="Q58" s="36"/>
      <c r="R58" s="36"/>
      <c r="S58" s="36"/>
      <c r="T58" s="36"/>
      <c r="U58" s="36"/>
      <c r="V58" s="36"/>
      <c r="W58" s="36"/>
      <c r="X58" s="36"/>
      <c r="Y58" s="36"/>
      <c r="Z58" s="36"/>
      <c r="AA58" s="36"/>
      <c r="AB58" s="36"/>
    </row>
    <row r="59" spans="1:28" ht="48" customHeight="1">
      <c r="A59" s="122" t="str">
        <f>HYPERLINK("https://www.alcaldiabogota.gov.co/sisjur/listados/tematica2.jsp?subtema=27634&amp;cadena=g","DECRETO 654")</f>
        <v>DECRETO 654</v>
      </c>
      <c r="B59" s="534">
        <v>40887</v>
      </c>
      <c r="C59" s="81" t="s">
        <v>61</v>
      </c>
      <c r="D59" s="460" t="s">
        <v>3636</v>
      </c>
      <c r="E59" s="94" t="s">
        <v>41</v>
      </c>
      <c r="F59" s="81" t="s">
        <v>97</v>
      </c>
      <c r="G59" s="94" t="s">
        <v>43</v>
      </c>
      <c r="H59" s="81" t="s">
        <v>2230</v>
      </c>
      <c r="I59" s="140"/>
      <c r="J59" s="461"/>
      <c r="K59" s="36"/>
      <c r="L59" s="36"/>
      <c r="M59" s="36"/>
      <c r="N59" s="36"/>
      <c r="O59" s="36"/>
      <c r="P59" s="36"/>
      <c r="Q59" s="36"/>
      <c r="R59" s="36"/>
      <c r="S59" s="36"/>
      <c r="T59" s="36"/>
      <c r="U59" s="36"/>
      <c r="V59" s="36"/>
      <c r="W59" s="36"/>
      <c r="X59" s="36"/>
      <c r="Y59" s="36"/>
      <c r="Z59" s="36"/>
      <c r="AA59" s="36"/>
      <c r="AB59" s="36"/>
    </row>
    <row r="60" spans="1:28" ht="24" customHeight="1">
      <c r="A60" s="122" t="str">
        <f>HYPERLINK("https://www.alcaldiabogota.gov.co/sisjur/normas/Norma1.jsp?i=56330","DECRETO 690")</f>
        <v>DECRETO 690</v>
      </c>
      <c r="B60" s="530">
        <v>41639</v>
      </c>
      <c r="C60" s="81" t="s">
        <v>61</v>
      </c>
      <c r="D60" s="460" t="s">
        <v>2307</v>
      </c>
      <c r="E60" s="94" t="s">
        <v>41</v>
      </c>
      <c r="F60" s="81" t="s">
        <v>97</v>
      </c>
      <c r="G60" s="94" t="s">
        <v>43</v>
      </c>
      <c r="H60" s="81" t="s">
        <v>2230</v>
      </c>
      <c r="I60" s="140"/>
      <c r="J60" s="461"/>
      <c r="K60" s="36"/>
      <c r="L60" s="36"/>
      <c r="M60" s="36"/>
      <c r="N60" s="36"/>
      <c r="O60" s="36"/>
      <c r="P60" s="36"/>
      <c r="Q60" s="36"/>
      <c r="R60" s="36"/>
      <c r="S60" s="36"/>
      <c r="T60" s="36"/>
      <c r="U60" s="36"/>
      <c r="V60" s="36"/>
      <c r="W60" s="36"/>
      <c r="X60" s="36"/>
      <c r="Y60" s="36"/>
      <c r="Z60" s="36"/>
      <c r="AA60" s="36"/>
      <c r="AB60" s="36"/>
    </row>
    <row r="61" spans="1:28" ht="24" customHeight="1">
      <c r="A61" s="122" t="str">
        <f>HYPERLINK("https://www.funcionpublica.gov.co/eva/gestornormativo/norma.php?i=46940","DECRETO 734")</f>
        <v>DECRETO 734</v>
      </c>
      <c r="B61" s="534">
        <v>41012</v>
      </c>
      <c r="C61" s="81" t="s">
        <v>57</v>
      </c>
      <c r="D61" s="460" t="s">
        <v>2309</v>
      </c>
      <c r="E61" s="94" t="s">
        <v>41</v>
      </c>
      <c r="F61" s="81" t="s">
        <v>97</v>
      </c>
      <c r="G61" s="94" t="s">
        <v>43</v>
      </c>
      <c r="H61" s="81" t="s">
        <v>2230</v>
      </c>
      <c r="I61" s="140"/>
      <c r="J61" s="461"/>
      <c r="K61" s="36"/>
      <c r="L61" s="36"/>
      <c r="M61" s="36"/>
      <c r="N61" s="36"/>
      <c r="O61" s="36"/>
      <c r="P61" s="36"/>
      <c r="Q61" s="36"/>
      <c r="R61" s="36"/>
      <c r="S61" s="36"/>
      <c r="T61" s="36"/>
      <c r="U61" s="36"/>
      <c r="V61" s="36"/>
      <c r="W61" s="36"/>
      <c r="X61" s="36"/>
      <c r="Y61" s="36"/>
      <c r="Z61" s="36"/>
      <c r="AA61" s="36"/>
      <c r="AB61" s="36"/>
    </row>
    <row r="62" spans="1:28" ht="60" customHeight="1">
      <c r="A62" s="122" t="str">
        <f>HYPERLINK("https://www.funcionpublica.gov.co/eva/gestornormativo/norma.php?i=45322","DECRETO - LEY 019")</f>
        <v>DECRETO - LEY 019</v>
      </c>
      <c r="B62" s="530">
        <v>40918</v>
      </c>
      <c r="C62" s="81" t="s">
        <v>57</v>
      </c>
      <c r="D62" s="460" t="s">
        <v>3637</v>
      </c>
      <c r="E62" s="94" t="s">
        <v>41</v>
      </c>
      <c r="F62" s="81" t="s">
        <v>97</v>
      </c>
      <c r="G62" s="94" t="s">
        <v>43</v>
      </c>
      <c r="H62" s="81" t="s">
        <v>2230</v>
      </c>
      <c r="I62" s="140"/>
      <c r="J62" s="461"/>
      <c r="K62" s="36"/>
      <c r="L62" s="36"/>
      <c r="M62" s="36"/>
      <c r="N62" s="36"/>
      <c r="O62" s="36"/>
      <c r="P62" s="36"/>
      <c r="Q62" s="36"/>
      <c r="R62" s="36"/>
      <c r="S62" s="36"/>
      <c r="T62" s="36"/>
      <c r="U62" s="36"/>
      <c r="V62" s="36"/>
      <c r="W62" s="36"/>
      <c r="X62" s="36"/>
      <c r="Y62" s="36"/>
      <c r="Z62" s="36"/>
      <c r="AA62" s="36"/>
      <c r="AB62" s="36"/>
    </row>
    <row r="63" spans="1:28" ht="36" customHeight="1">
      <c r="A63" s="122" t="str">
        <f>HYPERLINK("https://dapre.presidencia.gov.co/normativa/normativa/DECRETO%201467%20DEL%2013%20DE%20AGOSTO%20DE%202019.pdf","DECRETO 1467")</f>
        <v>DECRETO 1467</v>
      </c>
      <c r="B63" s="539">
        <v>41096</v>
      </c>
      <c r="C63" s="81" t="s">
        <v>57</v>
      </c>
      <c r="D63" s="460" t="s">
        <v>3638</v>
      </c>
      <c r="E63" s="94" t="s">
        <v>41</v>
      </c>
      <c r="F63" s="81" t="s">
        <v>97</v>
      </c>
      <c r="G63" s="94" t="s">
        <v>43</v>
      </c>
      <c r="H63" s="81" t="s">
        <v>2230</v>
      </c>
      <c r="I63" s="140"/>
      <c r="J63" s="461"/>
      <c r="K63" s="36"/>
      <c r="L63" s="36"/>
      <c r="M63" s="36"/>
      <c r="N63" s="36"/>
      <c r="O63" s="36"/>
      <c r="P63" s="36"/>
      <c r="Q63" s="36"/>
      <c r="R63" s="36"/>
      <c r="S63" s="36"/>
      <c r="T63" s="36"/>
      <c r="U63" s="36"/>
      <c r="V63" s="36"/>
      <c r="W63" s="36"/>
      <c r="X63" s="36"/>
      <c r="Y63" s="36"/>
      <c r="Z63" s="36"/>
      <c r="AA63" s="36"/>
      <c r="AB63" s="36"/>
    </row>
    <row r="64" spans="1:28" ht="24" customHeight="1">
      <c r="A64" s="537" t="str">
        <f>HYPERLINK("https://www.funcionpublica.gov.co/eva/gestornormativo/norma.php?i=53646","DECRETO 1377")</f>
        <v>DECRETO 1377</v>
      </c>
      <c r="B64" s="530">
        <v>41452</v>
      </c>
      <c r="C64" s="81" t="s">
        <v>57</v>
      </c>
      <c r="D64" s="460" t="s">
        <v>2312</v>
      </c>
      <c r="E64" s="94" t="s">
        <v>41</v>
      </c>
      <c r="F64" s="81" t="s">
        <v>97</v>
      </c>
      <c r="G64" s="94" t="s">
        <v>43</v>
      </c>
      <c r="H64" s="81" t="s">
        <v>2230</v>
      </c>
      <c r="I64" s="283"/>
      <c r="J64" s="461"/>
      <c r="K64" s="36"/>
      <c r="L64" s="36"/>
      <c r="M64" s="36"/>
      <c r="N64" s="36"/>
      <c r="O64" s="36"/>
      <c r="P64" s="36"/>
      <c r="Q64" s="36"/>
      <c r="R64" s="36"/>
      <c r="S64" s="36"/>
      <c r="T64" s="36"/>
      <c r="U64" s="36"/>
      <c r="V64" s="36"/>
      <c r="W64" s="36"/>
      <c r="X64" s="36"/>
      <c r="Y64" s="36"/>
      <c r="Z64" s="36"/>
      <c r="AA64" s="36"/>
      <c r="AB64" s="36"/>
    </row>
    <row r="65" spans="1:28" ht="24" customHeight="1">
      <c r="A65" s="122" t="str">
        <f>HYPERLINK("https://www.funcionpublica.gov.co/eva/gestornormativo/norma.php?i=53776","DECRETO 1510")</f>
        <v>DECRETO 1510</v>
      </c>
      <c r="B65" s="532">
        <v>41472</v>
      </c>
      <c r="C65" s="81" t="s">
        <v>57</v>
      </c>
      <c r="D65" s="460" t="s">
        <v>2314</v>
      </c>
      <c r="E65" s="94" t="s">
        <v>41</v>
      </c>
      <c r="F65" s="81" t="s">
        <v>97</v>
      </c>
      <c r="G65" s="94" t="s">
        <v>43</v>
      </c>
      <c r="H65" s="81" t="s">
        <v>2230</v>
      </c>
      <c r="I65" s="283"/>
      <c r="J65" s="461"/>
      <c r="K65" s="36"/>
      <c r="L65" s="36"/>
      <c r="M65" s="36"/>
      <c r="N65" s="36"/>
      <c r="O65" s="36"/>
      <c r="P65" s="36"/>
      <c r="Q65" s="36"/>
      <c r="R65" s="36"/>
      <c r="S65" s="36"/>
      <c r="T65" s="36"/>
      <c r="U65" s="36"/>
      <c r="V65" s="36"/>
      <c r="W65" s="36"/>
      <c r="X65" s="36"/>
      <c r="Y65" s="36"/>
      <c r="Z65" s="36"/>
      <c r="AA65" s="36"/>
      <c r="AB65" s="36"/>
    </row>
    <row r="66" spans="1:28" ht="48" customHeight="1">
      <c r="A66" s="122" t="str">
        <f>HYPERLINK("https://secretariageneral.gov.co/transparencia/control/informacion-poblacion-vulnerable","DECRETO 527")</f>
        <v>DECRETO 527</v>
      </c>
      <c r="B66" s="81">
        <v>2014</v>
      </c>
      <c r="C66" s="81" t="s">
        <v>61</v>
      </c>
      <c r="D66" s="460" t="s">
        <v>3639</v>
      </c>
      <c r="E66" s="94" t="s">
        <v>41</v>
      </c>
      <c r="F66" s="81" t="s">
        <v>97</v>
      </c>
      <c r="G66" s="94" t="s">
        <v>43</v>
      </c>
      <c r="H66" s="81" t="s">
        <v>2230</v>
      </c>
      <c r="I66" s="283"/>
      <c r="J66" s="461"/>
      <c r="K66" s="36"/>
      <c r="L66" s="36"/>
      <c r="M66" s="36"/>
      <c r="N66" s="36"/>
      <c r="O66" s="36"/>
      <c r="P66" s="36"/>
      <c r="Q66" s="36"/>
      <c r="R66" s="36"/>
      <c r="S66" s="36"/>
      <c r="T66" s="36"/>
      <c r="U66" s="36"/>
      <c r="V66" s="36"/>
      <c r="W66" s="36"/>
      <c r="X66" s="36"/>
      <c r="Y66" s="36"/>
      <c r="Z66" s="36"/>
      <c r="AA66" s="36"/>
      <c r="AB66" s="36"/>
    </row>
    <row r="67" spans="1:28" ht="24" customHeight="1">
      <c r="A67" s="122" t="str">
        <f>HYPERLINK("https://www.alcaldiabogota.gov.co/sisjur/normas/Norma1.jsp?i=59213","DECRETO 1553")</f>
        <v>DECRETO 1553</v>
      </c>
      <c r="B67" s="539">
        <v>41866</v>
      </c>
      <c r="C67" s="81" t="s">
        <v>57</v>
      </c>
      <c r="D67" s="460" t="s">
        <v>3640</v>
      </c>
      <c r="E67" s="94" t="s">
        <v>41</v>
      </c>
      <c r="F67" s="81" t="s">
        <v>97</v>
      </c>
      <c r="G67" s="94" t="s">
        <v>43</v>
      </c>
      <c r="H67" s="81" t="s">
        <v>2230</v>
      </c>
      <c r="I67" s="283"/>
      <c r="J67" s="461"/>
      <c r="K67" s="36"/>
      <c r="L67" s="36"/>
      <c r="M67" s="36"/>
      <c r="N67" s="36"/>
      <c r="O67" s="36"/>
      <c r="P67" s="36"/>
      <c r="Q67" s="36"/>
      <c r="R67" s="36"/>
      <c r="S67" s="36"/>
      <c r="T67" s="36"/>
      <c r="U67" s="36"/>
      <c r="V67" s="36"/>
      <c r="W67" s="36"/>
      <c r="X67" s="36"/>
      <c r="Y67" s="36"/>
      <c r="Z67" s="36"/>
      <c r="AA67" s="36"/>
      <c r="AB67" s="36"/>
    </row>
    <row r="68" spans="1:28" ht="42.75" customHeight="1">
      <c r="A68" s="122" t="str">
        <f>HYPERLINK("http://www.suin-juriscol.gov.co/viewDocument.asp?ruta=Decretos/30019879","DECRETO 1085")</f>
        <v>DECRETO 1085</v>
      </c>
      <c r="B68" s="534">
        <v>42150</v>
      </c>
      <c r="C68" s="81" t="s">
        <v>57</v>
      </c>
      <c r="D68" s="460" t="s">
        <v>2322</v>
      </c>
      <c r="E68" s="94" t="s">
        <v>41</v>
      </c>
      <c r="F68" s="81" t="s">
        <v>97</v>
      </c>
      <c r="G68" s="94" t="s">
        <v>43</v>
      </c>
      <c r="H68" s="81" t="s">
        <v>2230</v>
      </c>
      <c r="I68" s="283"/>
      <c r="J68" s="461"/>
      <c r="K68" s="36"/>
      <c r="L68" s="36"/>
      <c r="M68" s="36"/>
      <c r="N68" s="36"/>
      <c r="O68" s="36"/>
      <c r="P68" s="36"/>
      <c r="Q68" s="36"/>
      <c r="R68" s="36"/>
      <c r="S68" s="36"/>
      <c r="T68" s="36"/>
      <c r="U68" s="36"/>
      <c r="V68" s="36"/>
      <c r="W68" s="36"/>
      <c r="X68" s="36"/>
      <c r="Y68" s="36"/>
      <c r="Z68" s="36"/>
      <c r="AA68" s="36"/>
      <c r="AB68" s="36"/>
    </row>
    <row r="69" spans="1:28" ht="24" customHeight="1">
      <c r="A69" s="122" t="str">
        <f>HYPERLINK("https://www.funcionpublica.gov.co/eva/gestornormativo/norma.php?i=85399","DECRETO 392")</f>
        <v>DECRETO 392</v>
      </c>
      <c r="B69" s="530">
        <v>43157</v>
      </c>
      <c r="C69" s="81" t="s">
        <v>57</v>
      </c>
      <c r="D69" s="308" t="s">
        <v>2326</v>
      </c>
      <c r="E69" s="94" t="s">
        <v>41</v>
      </c>
      <c r="F69" s="81" t="s">
        <v>97</v>
      </c>
      <c r="G69" s="94" t="s">
        <v>43</v>
      </c>
      <c r="H69" s="81" t="s">
        <v>2230</v>
      </c>
      <c r="I69" s="283"/>
      <c r="J69" s="461"/>
      <c r="K69" s="36"/>
      <c r="L69" s="36"/>
      <c r="M69" s="36"/>
      <c r="N69" s="36"/>
      <c r="O69" s="36"/>
      <c r="P69" s="36"/>
      <c r="Q69" s="36"/>
      <c r="R69" s="36"/>
      <c r="S69" s="36"/>
      <c r="T69" s="36"/>
      <c r="U69" s="36"/>
      <c r="V69" s="36"/>
      <c r="W69" s="36"/>
      <c r="X69" s="36"/>
      <c r="Y69" s="36"/>
      <c r="Z69" s="36"/>
      <c r="AA69" s="36"/>
      <c r="AB69" s="36"/>
    </row>
    <row r="70" spans="1:28" ht="24" customHeight="1">
      <c r="A70" s="537" t="str">
        <f>HYPERLINK("https://www.colciencias.gov.co/sites/default/files/upload/reglamentacion/decreto-591-1991.pdf","DECRETO 591")</f>
        <v>DECRETO 591</v>
      </c>
      <c r="B70" s="81">
        <v>2018</v>
      </c>
      <c r="C70" s="81" t="s">
        <v>856</v>
      </c>
      <c r="D70" s="460" t="s">
        <v>2327</v>
      </c>
      <c r="E70" s="94" t="s">
        <v>41</v>
      </c>
      <c r="F70" s="81" t="s">
        <v>97</v>
      </c>
      <c r="G70" s="94" t="s">
        <v>43</v>
      </c>
      <c r="H70" s="81" t="s">
        <v>2230</v>
      </c>
      <c r="I70" s="283"/>
      <c r="J70" s="461"/>
      <c r="K70" s="36"/>
      <c r="L70" s="36"/>
      <c r="M70" s="36"/>
      <c r="N70" s="36"/>
      <c r="O70" s="36"/>
      <c r="P70" s="36"/>
      <c r="Q70" s="36"/>
      <c r="R70" s="36"/>
      <c r="S70" s="36"/>
      <c r="T70" s="36"/>
      <c r="U70" s="36"/>
      <c r="V70" s="36"/>
      <c r="W70" s="36"/>
      <c r="X70" s="36"/>
      <c r="Y70" s="36"/>
      <c r="Z70" s="36"/>
      <c r="AA70" s="36"/>
      <c r="AB70" s="36"/>
    </row>
    <row r="71" spans="1:28" ht="36" customHeight="1">
      <c r="A71" s="122" t="str">
        <f>HYPERLINK("https://normativa.archivogeneral.gov.co/acuerdo-004-de-2019/","ACUERDO 4")</f>
        <v>ACUERDO 4</v>
      </c>
      <c r="B71" s="542">
        <v>28529</v>
      </c>
      <c r="C71" s="81" t="s">
        <v>195</v>
      </c>
      <c r="D71" s="460" t="s">
        <v>1566</v>
      </c>
      <c r="E71" s="94" t="s">
        <v>41</v>
      </c>
      <c r="F71" s="81" t="s">
        <v>97</v>
      </c>
      <c r="G71" s="94" t="s">
        <v>43</v>
      </c>
      <c r="H71" s="81" t="s">
        <v>2230</v>
      </c>
      <c r="I71" s="283"/>
      <c r="J71" s="461"/>
      <c r="K71" s="36"/>
      <c r="L71" s="36"/>
      <c r="M71" s="36"/>
      <c r="N71" s="36"/>
      <c r="O71" s="36"/>
      <c r="P71" s="36"/>
      <c r="Q71" s="36"/>
      <c r="R71" s="36"/>
      <c r="S71" s="36"/>
      <c r="T71" s="36"/>
      <c r="U71" s="36"/>
      <c r="V71" s="36"/>
      <c r="W71" s="36"/>
      <c r="X71" s="36"/>
      <c r="Y71" s="36"/>
      <c r="Z71" s="36"/>
      <c r="AA71" s="36"/>
      <c r="AB71" s="36"/>
    </row>
    <row r="72" spans="1:28" ht="24" customHeight="1">
      <c r="A72" s="122" t="s">
        <v>3641</v>
      </c>
      <c r="B72" s="81">
        <v>1985</v>
      </c>
      <c r="C72" s="81" t="s">
        <v>195</v>
      </c>
      <c r="D72" s="460" t="s">
        <v>2331</v>
      </c>
      <c r="E72" s="94" t="s">
        <v>41</v>
      </c>
      <c r="F72" s="81" t="s">
        <v>97</v>
      </c>
      <c r="G72" s="94" t="s">
        <v>43</v>
      </c>
      <c r="H72" s="81" t="s">
        <v>2230</v>
      </c>
      <c r="I72" s="283"/>
      <c r="J72" s="461"/>
      <c r="K72" s="36"/>
      <c r="L72" s="36"/>
      <c r="M72" s="36"/>
      <c r="N72" s="36"/>
      <c r="O72" s="36"/>
      <c r="P72" s="36"/>
      <c r="Q72" s="36"/>
      <c r="R72" s="36"/>
      <c r="S72" s="36"/>
      <c r="T72" s="36"/>
      <c r="U72" s="36"/>
      <c r="V72" s="36"/>
      <c r="W72" s="36"/>
      <c r="X72" s="36"/>
      <c r="Y72" s="36"/>
      <c r="Z72" s="36"/>
      <c r="AA72" s="36"/>
      <c r="AB72" s="36"/>
    </row>
    <row r="73" spans="1:28" ht="33.75" customHeight="1">
      <c r="A73" s="122" t="str">
        <f>HYPERLINK("https://www.idrd.gov.co/transparencia/marco-legal/normatividad/aviso-resolucion-006-del-7-julio-2017","RESOLUCION 006")</f>
        <v>RESOLUCION 006</v>
      </c>
      <c r="B73" s="541">
        <v>42923</v>
      </c>
      <c r="C73" s="81" t="s">
        <v>130</v>
      </c>
      <c r="D73" s="308" t="s">
        <v>2359</v>
      </c>
      <c r="E73" s="94" t="s">
        <v>41</v>
      </c>
      <c r="F73" s="81" t="s">
        <v>97</v>
      </c>
      <c r="G73" s="94" t="s">
        <v>43</v>
      </c>
      <c r="H73" s="81" t="s">
        <v>2230</v>
      </c>
      <c r="I73" s="140"/>
      <c r="J73" s="461"/>
      <c r="K73" s="36"/>
      <c r="L73" s="36"/>
      <c r="M73" s="36"/>
      <c r="N73" s="36"/>
      <c r="O73" s="36"/>
      <c r="P73" s="36"/>
      <c r="Q73" s="36"/>
      <c r="R73" s="36"/>
      <c r="S73" s="36"/>
      <c r="T73" s="36"/>
      <c r="U73" s="36"/>
      <c r="V73" s="36"/>
      <c r="W73" s="36"/>
      <c r="X73" s="36"/>
      <c r="Y73" s="36"/>
      <c r="Z73" s="36"/>
      <c r="AA73" s="36"/>
      <c r="AB73" s="36"/>
    </row>
    <row r="74" spans="1:28" ht="24" customHeight="1">
      <c r="A74" s="122" t="str">
        <f>HYPERLINK("http://www.sdp.gov.co/transparencia/normatividad/actos-administrativos/resolucion-1561-de-2016","RESOLUCIÓN 1561")</f>
        <v>RESOLUCIÓN 1561</v>
      </c>
      <c r="B74" s="532">
        <v>35633</v>
      </c>
      <c r="C74" s="81" t="s">
        <v>61</v>
      </c>
      <c r="D74" s="308" t="s">
        <v>2337</v>
      </c>
      <c r="E74" s="94" t="s">
        <v>41</v>
      </c>
      <c r="F74" s="81" t="s">
        <v>97</v>
      </c>
      <c r="G74" s="94" t="s">
        <v>43</v>
      </c>
      <c r="H74" s="81" t="s">
        <v>2230</v>
      </c>
      <c r="I74" s="140"/>
      <c r="J74" s="461"/>
      <c r="K74" s="36"/>
      <c r="L74" s="36"/>
      <c r="M74" s="36"/>
      <c r="N74" s="36"/>
      <c r="O74" s="36"/>
      <c r="P74" s="36"/>
      <c r="Q74" s="36"/>
      <c r="R74" s="36"/>
      <c r="S74" s="36"/>
      <c r="T74" s="36"/>
      <c r="U74" s="36"/>
      <c r="V74" s="36"/>
      <c r="W74" s="36"/>
      <c r="X74" s="36"/>
      <c r="Y74" s="36"/>
      <c r="Z74" s="36"/>
      <c r="AA74" s="36"/>
      <c r="AB74" s="36"/>
    </row>
    <row r="75" spans="1:28" ht="15" customHeight="1">
      <c r="A75" s="543" t="s">
        <v>3642</v>
      </c>
      <c r="B75" s="81">
        <v>2004</v>
      </c>
      <c r="C75" s="81" t="s">
        <v>3643</v>
      </c>
      <c r="D75" s="460" t="s">
        <v>2339</v>
      </c>
      <c r="E75" s="94" t="s">
        <v>41</v>
      </c>
      <c r="F75" s="81" t="s">
        <v>97</v>
      </c>
      <c r="G75" s="94" t="s">
        <v>43</v>
      </c>
      <c r="H75" s="81" t="s">
        <v>2230</v>
      </c>
      <c r="I75" s="140"/>
      <c r="J75" s="461"/>
      <c r="K75" s="36"/>
      <c r="L75" s="36"/>
      <c r="M75" s="36"/>
      <c r="N75" s="36"/>
      <c r="O75" s="36"/>
      <c r="P75" s="36"/>
      <c r="Q75" s="36"/>
      <c r="R75" s="36"/>
      <c r="S75" s="36"/>
      <c r="T75" s="36"/>
      <c r="U75" s="36"/>
      <c r="V75" s="36"/>
      <c r="W75" s="36"/>
      <c r="X75" s="36"/>
      <c r="Y75" s="36"/>
      <c r="Z75" s="36"/>
      <c r="AA75" s="36"/>
      <c r="AB75" s="36"/>
    </row>
    <row r="76" spans="1:28" ht="46.5" customHeight="1">
      <c r="A76" s="122" t="str">
        <f>HYPERLINK("http://www.sdp.gov.co/transparencia/normatividad/actos-administrativos/resolucion-1031-de-2015","RESOLUCIÓN 1031")</f>
        <v>RESOLUCIÓN 1031</v>
      </c>
      <c r="B76" s="530">
        <v>42348</v>
      </c>
      <c r="C76" s="81" t="s">
        <v>130</v>
      </c>
      <c r="D76" s="460" t="s">
        <v>2355</v>
      </c>
      <c r="E76" s="94" t="s">
        <v>41</v>
      </c>
      <c r="F76" s="81" t="s">
        <v>97</v>
      </c>
      <c r="G76" s="94" t="s">
        <v>43</v>
      </c>
      <c r="H76" s="81" t="s">
        <v>2230</v>
      </c>
      <c r="I76" s="140"/>
      <c r="J76" s="461"/>
      <c r="K76" s="36"/>
      <c r="L76" s="36"/>
      <c r="M76" s="36"/>
      <c r="N76" s="36"/>
      <c r="O76" s="36"/>
      <c r="P76" s="36"/>
      <c r="Q76" s="36"/>
      <c r="R76" s="36"/>
      <c r="S76" s="36"/>
      <c r="T76" s="36"/>
      <c r="U76" s="36"/>
      <c r="V76" s="36"/>
      <c r="W76" s="36"/>
      <c r="X76" s="36"/>
      <c r="Y76" s="36"/>
      <c r="Z76" s="36"/>
      <c r="AA76" s="36"/>
      <c r="AB76" s="36"/>
    </row>
    <row r="77" spans="1:28" ht="34.5" customHeight="1">
      <c r="A77" s="122" t="str">
        <f>HYPERLINK("https://www.inder.gov.co/sites/default/files/2019-07/Resoluci%C3%B3n%20de%20Capacitaci%C3%B3n%201150%20del%2018%20de%20julio%20de%202019.pdf","RESOLUCION 1150")</f>
        <v>RESOLUCION 1150</v>
      </c>
      <c r="B77" s="534">
        <v>43664</v>
      </c>
      <c r="C77" s="81" t="s">
        <v>3644</v>
      </c>
      <c r="D77" s="460" t="s">
        <v>3645</v>
      </c>
      <c r="E77" s="94" t="s">
        <v>41</v>
      </c>
      <c r="F77" s="81" t="s">
        <v>3646</v>
      </c>
      <c r="G77" s="94" t="s">
        <v>43</v>
      </c>
      <c r="H77" s="81" t="s">
        <v>3647</v>
      </c>
      <c r="I77" s="140"/>
      <c r="J77" s="461"/>
      <c r="K77" s="36"/>
      <c r="L77" s="36"/>
      <c r="M77" s="36"/>
      <c r="N77" s="36"/>
      <c r="O77" s="36"/>
      <c r="P77" s="36"/>
      <c r="Q77" s="36"/>
      <c r="R77" s="36"/>
      <c r="S77" s="36"/>
      <c r="T77" s="36"/>
      <c r="U77" s="36"/>
      <c r="V77" s="36"/>
      <c r="W77" s="36"/>
      <c r="X77" s="36"/>
      <c r="Y77" s="36"/>
      <c r="Z77" s="36"/>
      <c r="AA77" s="36"/>
      <c r="AB77" s="36"/>
    </row>
    <row r="78" spans="1:28" ht="60" customHeight="1">
      <c r="A78" s="122" t="str">
        <f>HYPERLINK("https://www.icanh.gov.co/index.php?idcategoria=8965","RESOLUCIÓN 137")</f>
        <v>RESOLUCIÓN 137</v>
      </c>
      <c r="B78" s="534">
        <v>41850</v>
      </c>
      <c r="C78" s="81" t="s">
        <v>130</v>
      </c>
      <c r="D78" s="460" t="s">
        <v>2353</v>
      </c>
      <c r="E78" s="94" t="s">
        <v>41</v>
      </c>
      <c r="F78" s="81" t="s">
        <v>97</v>
      </c>
      <c r="G78" s="94" t="s">
        <v>43</v>
      </c>
      <c r="H78" s="81" t="s">
        <v>2230</v>
      </c>
      <c r="I78" s="140"/>
      <c r="J78" s="461"/>
      <c r="K78" s="36"/>
      <c r="L78" s="36"/>
      <c r="M78" s="36"/>
      <c r="N78" s="36"/>
      <c r="O78" s="36"/>
      <c r="P78" s="36"/>
      <c r="Q78" s="36"/>
      <c r="R78" s="36"/>
      <c r="S78" s="36"/>
      <c r="T78" s="36"/>
      <c r="U78" s="36"/>
      <c r="V78" s="36"/>
      <c r="W78" s="36"/>
      <c r="X78" s="36"/>
      <c r="Y78" s="36"/>
      <c r="Z78" s="36"/>
      <c r="AA78" s="36"/>
      <c r="AB78" s="36"/>
    </row>
    <row r="79" spans="1:28" ht="24" customHeight="1">
      <c r="A79" s="122" t="str">
        <f>HYPERLINK("http://www.gobiernobogota.gov.co/sgdapp/?q=normas&amp;field_normo_clasificacion_value=All&amp;field_normo_dependencia_value=All&amp;field_normo_descripcion_value=&amp;field_normo_fecha_value=&amp;title=&amp;field_normo_clasifica=&amp;page=397","RESOLUCIÓN 162")</f>
        <v>RESOLUCIÓN 162</v>
      </c>
      <c r="B79" s="534">
        <v>39188</v>
      </c>
      <c r="C79" s="81" t="s">
        <v>130</v>
      </c>
      <c r="D79" s="460" t="s">
        <v>3648</v>
      </c>
      <c r="E79" s="94" t="s">
        <v>41</v>
      </c>
      <c r="F79" s="81" t="s">
        <v>97</v>
      </c>
      <c r="G79" s="94" t="s">
        <v>43</v>
      </c>
      <c r="H79" s="81" t="s">
        <v>2230</v>
      </c>
      <c r="I79" s="140"/>
      <c r="J79" s="461"/>
      <c r="K79" s="36"/>
      <c r="L79" s="36"/>
      <c r="M79" s="36"/>
      <c r="N79" s="36"/>
      <c r="O79" s="36"/>
      <c r="P79" s="36"/>
      <c r="Q79" s="36"/>
      <c r="R79" s="36"/>
      <c r="S79" s="36"/>
      <c r="T79" s="36"/>
      <c r="U79" s="36"/>
      <c r="V79" s="36"/>
      <c r="W79" s="36"/>
      <c r="X79" s="36"/>
      <c r="Y79" s="36"/>
      <c r="Z79" s="36"/>
      <c r="AA79" s="36"/>
      <c r="AB79" s="36"/>
    </row>
    <row r="80" spans="1:28" ht="48" customHeight="1">
      <c r="A80" s="122" t="str">
        <f>HYPERLINK("http://www.minambiente.gov.co/images/normativa/app/resoluciones/ad-res%201909%20de%202017.pdf","RESOLUCIÓN 1909")</f>
        <v>RESOLUCIÓN 1909</v>
      </c>
      <c r="B80" s="541">
        <v>33455</v>
      </c>
      <c r="C80" s="81" t="s">
        <v>1619</v>
      </c>
      <c r="D80" s="460" t="s">
        <v>2335</v>
      </c>
      <c r="E80" s="94" t="s">
        <v>41</v>
      </c>
      <c r="F80" s="81" t="s">
        <v>97</v>
      </c>
      <c r="G80" s="94" t="s">
        <v>43</v>
      </c>
      <c r="H80" s="81" t="s">
        <v>2230</v>
      </c>
      <c r="I80" s="283"/>
      <c r="J80" s="461"/>
      <c r="K80" s="36"/>
      <c r="L80" s="36"/>
      <c r="M80" s="36"/>
      <c r="N80" s="36"/>
      <c r="O80" s="36"/>
      <c r="P80" s="36"/>
      <c r="Q80" s="36"/>
      <c r="R80" s="36"/>
      <c r="S80" s="36"/>
      <c r="T80" s="36"/>
      <c r="U80" s="36"/>
      <c r="V80" s="36"/>
      <c r="W80" s="36"/>
      <c r="X80" s="36"/>
      <c r="Y80" s="36"/>
      <c r="Z80" s="36"/>
      <c r="AA80" s="36"/>
      <c r="AB80" s="36"/>
    </row>
    <row r="81" spans="1:28" ht="36" customHeight="1">
      <c r="A81" s="122" t="str">
        <f>HYPERLINK("https://www.anm.gov.co/?q=content/resoluci%C3%B3n-299-de-2018","RESOLUCIÓN 299")</f>
        <v>RESOLUCIÓN 299</v>
      </c>
      <c r="B81" s="544">
        <v>39977</v>
      </c>
      <c r="C81" s="81" t="s">
        <v>130</v>
      </c>
      <c r="D81" s="460" t="s">
        <v>2341</v>
      </c>
      <c r="E81" s="94" t="s">
        <v>41</v>
      </c>
      <c r="F81" s="81" t="s">
        <v>97</v>
      </c>
      <c r="G81" s="94" t="s">
        <v>43</v>
      </c>
      <c r="H81" s="81" t="s">
        <v>2230</v>
      </c>
      <c r="I81" s="140"/>
      <c r="J81" s="461"/>
      <c r="K81" s="36"/>
      <c r="L81" s="36"/>
      <c r="M81" s="36"/>
      <c r="N81" s="36"/>
      <c r="O81" s="36"/>
      <c r="P81" s="36"/>
      <c r="Q81" s="36"/>
      <c r="R81" s="36"/>
      <c r="S81" s="36"/>
      <c r="T81" s="36"/>
      <c r="U81" s="36"/>
      <c r="V81" s="36"/>
      <c r="W81" s="36"/>
      <c r="X81" s="36"/>
      <c r="Y81" s="36"/>
      <c r="Z81" s="36"/>
      <c r="AA81" s="36"/>
      <c r="AB81" s="36"/>
    </row>
    <row r="82" spans="1:28" ht="24" customHeight="1">
      <c r="A82" s="122" t="str">
        <f>HYPERLINK("https://www.alcaldiabogota.gov.co/sisjur/listados/tematica2.jsp?subtema=24616&amp;cadena=p","RESOLUCIÓN 829")</f>
        <v>RESOLUCIÓN 829</v>
      </c>
      <c r="B82" s="534">
        <v>40591</v>
      </c>
      <c r="C82" s="81" t="s">
        <v>130</v>
      </c>
      <c r="D82" s="460" t="s">
        <v>2345</v>
      </c>
      <c r="E82" s="94" t="s">
        <v>41</v>
      </c>
      <c r="F82" s="81" t="s">
        <v>97</v>
      </c>
      <c r="G82" s="94" t="s">
        <v>43</v>
      </c>
      <c r="H82" s="81" t="s">
        <v>2230</v>
      </c>
      <c r="I82" s="140"/>
      <c r="J82" s="461"/>
      <c r="K82" s="36"/>
      <c r="L82" s="36"/>
      <c r="M82" s="36"/>
      <c r="N82" s="36"/>
      <c r="O82" s="36"/>
      <c r="P82" s="36"/>
      <c r="Q82" s="36"/>
      <c r="R82" s="36"/>
      <c r="S82" s="36"/>
      <c r="T82" s="36"/>
      <c r="U82" s="36"/>
      <c r="V82" s="36"/>
      <c r="W82" s="36"/>
      <c r="X82" s="36"/>
      <c r="Y82" s="36"/>
      <c r="Z82" s="36"/>
      <c r="AA82" s="36"/>
      <c r="AB82" s="36"/>
    </row>
    <row r="83" spans="1:28" ht="24" customHeight="1">
      <c r="A83" s="537" t="str">
        <f>HYPERLINK("https://www.alcaldiabogota.gov.co/sisjur/normas/Norma1.jsp?i=52103","RESOLUCIÓN 842")</f>
        <v>RESOLUCIÓN 842</v>
      </c>
      <c r="B83" s="534">
        <v>41570</v>
      </c>
      <c r="C83" s="81" t="s">
        <v>430</v>
      </c>
      <c r="D83" s="460" t="s">
        <v>2351</v>
      </c>
      <c r="E83" s="81" t="s">
        <v>41</v>
      </c>
      <c r="F83" s="81" t="s">
        <v>42</v>
      </c>
      <c r="G83" s="94" t="s">
        <v>43</v>
      </c>
      <c r="H83" s="81" t="s">
        <v>2230</v>
      </c>
      <c r="I83" s="140"/>
      <c r="J83" s="461"/>
      <c r="K83" s="36"/>
      <c r="L83" s="36"/>
      <c r="M83" s="36"/>
      <c r="N83" s="36"/>
      <c r="O83" s="36"/>
      <c r="P83" s="36"/>
      <c r="Q83" s="36"/>
      <c r="R83" s="36"/>
      <c r="S83" s="36"/>
      <c r="T83" s="36"/>
      <c r="U83" s="36"/>
      <c r="V83" s="36"/>
      <c r="W83" s="36"/>
      <c r="X83" s="36"/>
      <c r="Y83" s="36"/>
      <c r="Z83" s="36"/>
      <c r="AA83" s="36"/>
      <c r="AB83" s="36"/>
    </row>
    <row r="84" spans="1:28" ht="24" customHeight="1">
      <c r="A84" s="122" t="str">
        <f>HYPERLINK("https://www.euskadi.eus/x59-preview/es/contenidos/resolucion/bopv201903540/es_def/index.shtml","RESOLUCIÓN 865")</f>
        <v>RESOLUCIÓN 865</v>
      </c>
      <c r="B84" s="534">
        <v>42501</v>
      </c>
      <c r="C84" s="81" t="s">
        <v>130</v>
      </c>
      <c r="D84" s="460" t="s">
        <v>2357</v>
      </c>
      <c r="E84" s="94" t="s">
        <v>41</v>
      </c>
      <c r="F84" s="81" t="s">
        <v>97</v>
      </c>
      <c r="G84" s="94" t="s">
        <v>43</v>
      </c>
      <c r="H84" s="81" t="s">
        <v>2230</v>
      </c>
      <c r="I84" s="140"/>
      <c r="J84" s="461"/>
      <c r="K84" s="36"/>
      <c r="L84" s="36"/>
      <c r="M84" s="36"/>
      <c r="N84" s="36"/>
      <c r="O84" s="36"/>
      <c r="P84" s="36"/>
      <c r="Q84" s="36"/>
      <c r="R84" s="36"/>
      <c r="S84" s="36"/>
      <c r="T84" s="36"/>
      <c r="U84" s="36"/>
      <c r="V84" s="36"/>
      <c r="W84" s="36"/>
      <c r="X84" s="36"/>
      <c r="Y84" s="36"/>
      <c r="Z84" s="36"/>
      <c r="AA84" s="36"/>
      <c r="AB84" s="36"/>
    </row>
    <row r="85" spans="1:28" ht="24" customHeight="1">
      <c r="A85" s="122" t="str">
        <f>HYPERLINK("https://www.icbf.gov.co/cargues/avance/docs/resolucion_minambienteds_0222_2011.htm","RESOLUCIÓN222")</f>
        <v>RESOLUCIÓN222</v>
      </c>
      <c r="B85" s="534">
        <v>40892</v>
      </c>
      <c r="C85" s="81" t="s">
        <v>130</v>
      </c>
      <c r="D85" s="460" t="s">
        <v>2347</v>
      </c>
      <c r="E85" s="94" t="s">
        <v>41</v>
      </c>
      <c r="F85" s="81" t="s">
        <v>97</v>
      </c>
      <c r="G85" s="94" t="s">
        <v>43</v>
      </c>
      <c r="H85" s="81" t="s">
        <v>2230</v>
      </c>
      <c r="I85" s="140"/>
      <c r="J85" s="461"/>
      <c r="K85" s="36"/>
      <c r="L85" s="36"/>
      <c r="M85" s="36"/>
      <c r="N85" s="36"/>
      <c r="O85" s="36"/>
      <c r="P85" s="36"/>
      <c r="Q85" s="36"/>
      <c r="R85" s="36"/>
      <c r="S85" s="36"/>
      <c r="T85" s="36"/>
      <c r="U85" s="36"/>
      <c r="V85" s="36"/>
      <c r="W85" s="36"/>
      <c r="X85" s="36"/>
      <c r="Y85" s="36"/>
      <c r="Z85" s="36"/>
      <c r="AA85" s="36"/>
      <c r="AB85" s="36"/>
    </row>
    <row r="86" spans="1:28" ht="24" customHeight="1">
      <c r="A86" s="122" t="str">
        <f>HYPERLINK("https://www.alcaldiabogota.gov.co/sisjur/normas/Norma1.jsp?i=43445&amp;dt=S","RESOLUCIÓN231")</f>
        <v>RESOLUCIÓN231</v>
      </c>
      <c r="B86" s="534">
        <v>40625</v>
      </c>
      <c r="C86" s="81" t="s">
        <v>1619</v>
      </c>
      <c r="D86" s="460" t="s">
        <v>2343</v>
      </c>
      <c r="E86" s="94" t="s">
        <v>41</v>
      </c>
      <c r="F86" s="81" t="s">
        <v>97</v>
      </c>
      <c r="G86" s="94" t="s">
        <v>43</v>
      </c>
      <c r="H86" s="81" t="s">
        <v>2230</v>
      </c>
      <c r="I86" s="140"/>
      <c r="J86" s="461"/>
      <c r="K86" s="36"/>
      <c r="L86" s="36"/>
      <c r="M86" s="36"/>
      <c r="N86" s="36"/>
      <c r="O86" s="36"/>
      <c r="P86" s="36"/>
      <c r="Q86" s="36"/>
      <c r="R86" s="36"/>
      <c r="S86" s="36"/>
      <c r="T86" s="36"/>
      <c r="U86" s="36"/>
      <c r="V86" s="36"/>
      <c r="W86" s="36"/>
      <c r="X86" s="36"/>
      <c r="Y86" s="36"/>
      <c r="Z86" s="36"/>
      <c r="AA86" s="36"/>
      <c r="AB86" s="36"/>
    </row>
    <row r="87" spans="1:28" ht="24" customHeight="1">
      <c r="A87" s="537" t="str">
        <f>HYPERLINK("http://secretariajuridica.gov.co/transparencia/marco-legal/normatividad/resoluci%C3%B3n-104-2018","RESOLUCIÓN 104")</f>
        <v>RESOLUCIÓN 104</v>
      </c>
      <c r="B87" s="545">
        <v>43399</v>
      </c>
      <c r="C87" s="81" t="s">
        <v>223</v>
      </c>
      <c r="D87" s="308" t="s">
        <v>3649</v>
      </c>
      <c r="E87" s="94" t="s">
        <v>41</v>
      </c>
      <c r="F87" s="81" t="s">
        <v>97</v>
      </c>
      <c r="G87" s="94" t="s">
        <v>43</v>
      </c>
      <c r="H87" s="81" t="s">
        <v>2230</v>
      </c>
      <c r="I87" s="140"/>
      <c r="J87" s="461"/>
      <c r="K87" s="36"/>
      <c r="L87" s="36"/>
      <c r="M87" s="36"/>
      <c r="N87" s="36"/>
      <c r="O87" s="36"/>
      <c r="P87" s="36"/>
      <c r="Q87" s="36"/>
      <c r="R87" s="36"/>
      <c r="S87" s="36"/>
      <c r="T87" s="36"/>
      <c r="U87" s="36"/>
      <c r="V87" s="36"/>
      <c r="W87" s="36"/>
      <c r="X87" s="36"/>
      <c r="Y87" s="36"/>
      <c r="Z87" s="36"/>
      <c r="AA87" s="36"/>
      <c r="AB87" s="36"/>
    </row>
    <row r="88" spans="1:28" ht="24" customHeight="1">
      <c r="A88" s="543" t="s">
        <v>3650</v>
      </c>
      <c r="B88" s="81" t="s">
        <v>3651</v>
      </c>
      <c r="C88" s="81" t="s">
        <v>1098</v>
      </c>
      <c r="D88" s="308" t="s">
        <v>3652</v>
      </c>
      <c r="E88" s="94" t="s">
        <v>41</v>
      </c>
      <c r="F88" s="81" t="s">
        <v>97</v>
      </c>
      <c r="G88" s="546"/>
      <c r="H88" s="547"/>
      <c r="I88" s="140"/>
      <c r="J88" s="461"/>
      <c r="K88" s="36"/>
      <c r="L88" s="36"/>
      <c r="M88" s="36"/>
      <c r="N88" s="36"/>
      <c r="O88" s="36"/>
      <c r="P88" s="36"/>
      <c r="Q88" s="36"/>
      <c r="R88" s="36"/>
      <c r="S88" s="36"/>
      <c r="T88" s="36"/>
      <c r="U88" s="36"/>
      <c r="V88" s="36"/>
      <c r="W88" s="36"/>
      <c r="X88" s="36"/>
      <c r="Y88" s="36"/>
      <c r="Z88" s="36"/>
      <c r="AA88" s="36"/>
      <c r="AB88" s="36"/>
    </row>
    <row r="89" spans="1:28" ht="24" customHeight="1">
      <c r="A89" s="122" t="str">
        <f>HYPERLINK("https://drive.google.com/drive/u/1/folders/1_xVdKVYWefxFLD46b8sJiCbLMwbYuphR","Resolucion 824")</f>
        <v>Resolucion 824</v>
      </c>
      <c r="B89" s="545">
        <v>43850</v>
      </c>
      <c r="C89" s="81" t="s">
        <v>1098</v>
      </c>
      <c r="D89" s="308" t="s">
        <v>3653</v>
      </c>
      <c r="E89" s="94" t="s">
        <v>783</v>
      </c>
      <c r="F89" s="547"/>
      <c r="G89" s="546"/>
      <c r="H89" s="547"/>
      <c r="I89" s="140"/>
      <c r="J89" s="461"/>
      <c r="K89" s="36"/>
      <c r="L89" s="36"/>
      <c r="M89" s="36"/>
      <c r="N89" s="36"/>
      <c r="O89" s="36"/>
      <c r="P89" s="36"/>
      <c r="Q89" s="36"/>
      <c r="R89" s="36"/>
      <c r="S89" s="36"/>
      <c r="T89" s="36"/>
      <c r="U89" s="36"/>
      <c r="V89" s="36"/>
      <c r="W89" s="36"/>
      <c r="X89" s="36"/>
      <c r="Y89" s="36"/>
      <c r="Z89" s="36"/>
      <c r="AA89" s="36"/>
      <c r="AB89" s="36"/>
    </row>
    <row r="90" spans="1:28" ht="24" customHeight="1">
      <c r="A90" s="122" t="str">
        <f>HYPERLINK("https://www.idrd.gov.co/transparencia/marco-legal/normatividad/resolucion-140-del-19-marzo-2020","RESOLUCION 140 ")</f>
        <v xml:space="preserve">RESOLUCION 140 </v>
      </c>
      <c r="B90" s="545">
        <v>43909</v>
      </c>
      <c r="C90" s="81" t="s">
        <v>1098</v>
      </c>
      <c r="D90" s="177" t="s">
        <v>3654</v>
      </c>
      <c r="E90" s="94" t="s">
        <v>41</v>
      </c>
      <c r="F90" s="81" t="s">
        <v>97</v>
      </c>
      <c r="G90" s="546"/>
      <c r="H90" s="547"/>
      <c r="I90" s="140"/>
      <c r="J90" s="461"/>
      <c r="K90" s="36"/>
      <c r="L90" s="36"/>
      <c r="M90" s="36"/>
      <c r="N90" s="36"/>
      <c r="O90" s="36"/>
      <c r="P90" s="36"/>
      <c r="Q90" s="36"/>
      <c r="R90" s="36"/>
      <c r="S90" s="36"/>
      <c r="T90" s="36"/>
      <c r="U90" s="36"/>
      <c r="V90" s="36"/>
      <c r="W90" s="36"/>
      <c r="X90" s="36"/>
      <c r="Y90" s="36"/>
      <c r="Z90" s="36"/>
      <c r="AA90" s="36"/>
      <c r="AB90" s="36"/>
    </row>
    <row r="91" spans="1:28" ht="24" customHeight="1">
      <c r="A91" s="122" t="str">
        <f>HYPERLINK("https://www.idrd.gov.co/transparencia/marco-legal/normatividad/resolucion-141-del-24-marzo-2020","RESOLUCION 141")</f>
        <v>RESOLUCION 141</v>
      </c>
      <c r="B91" s="545">
        <v>43914</v>
      </c>
      <c r="C91" s="81" t="s">
        <v>1098</v>
      </c>
      <c r="D91" s="548" t="s">
        <v>3655</v>
      </c>
      <c r="E91" s="94" t="s">
        <v>3656</v>
      </c>
      <c r="F91" s="549" t="s">
        <v>3657</v>
      </c>
      <c r="G91" s="546"/>
      <c r="H91" s="547"/>
      <c r="I91" s="140"/>
      <c r="J91" s="461"/>
      <c r="K91" s="36"/>
      <c r="L91" s="36"/>
      <c r="M91" s="36"/>
      <c r="N91" s="36"/>
      <c r="O91" s="36"/>
      <c r="P91" s="36"/>
      <c r="Q91" s="36"/>
      <c r="R91" s="36"/>
      <c r="S91" s="36"/>
      <c r="T91" s="36"/>
      <c r="U91" s="36"/>
      <c r="V91" s="36"/>
      <c r="W91" s="36"/>
      <c r="X91" s="36"/>
      <c r="Y91" s="36"/>
      <c r="Z91" s="36"/>
      <c r="AA91" s="36"/>
      <c r="AB91" s="36"/>
    </row>
    <row r="92" spans="1:28" ht="24" customHeight="1">
      <c r="A92" s="122" t="str">
        <f>HYPERLINK("https://www.idrd.gov.co/transparencia/marco-legal/normatividad/resolucion-145-2020","RESOLUCION 145")</f>
        <v>RESOLUCION 145</v>
      </c>
      <c r="B92" s="545">
        <v>43934</v>
      </c>
      <c r="C92" s="81" t="s">
        <v>1098</v>
      </c>
      <c r="D92" s="550" t="s">
        <v>185</v>
      </c>
      <c r="E92" s="94" t="s">
        <v>41</v>
      </c>
      <c r="F92" s="551" t="s">
        <v>3658</v>
      </c>
      <c r="G92" s="546"/>
      <c r="H92" s="547"/>
      <c r="I92" s="140"/>
      <c r="J92" s="461"/>
      <c r="K92" s="36"/>
      <c r="L92" s="36"/>
      <c r="M92" s="36"/>
      <c r="N92" s="36"/>
      <c r="O92" s="36"/>
      <c r="P92" s="36"/>
      <c r="Q92" s="36"/>
      <c r="R92" s="36"/>
      <c r="S92" s="36"/>
      <c r="T92" s="36"/>
      <c r="U92" s="36"/>
      <c r="V92" s="36"/>
      <c r="W92" s="36"/>
      <c r="X92" s="36"/>
      <c r="Y92" s="36"/>
      <c r="Z92" s="36"/>
      <c r="AA92" s="36"/>
      <c r="AB92" s="36"/>
    </row>
    <row r="93" spans="1:28" ht="63.75" customHeight="1">
      <c r="A93" s="543" t="s">
        <v>3659</v>
      </c>
      <c r="B93" s="552">
        <v>44089</v>
      </c>
      <c r="C93" s="81" t="s">
        <v>1098</v>
      </c>
      <c r="D93" s="553" t="s">
        <v>3660</v>
      </c>
      <c r="E93" s="94" t="s">
        <v>41</v>
      </c>
      <c r="F93" s="551" t="s">
        <v>97</v>
      </c>
      <c r="G93" s="546"/>
      <c r="H93" s="547"/>
      <c r="I93" s="140"/>
      <c r="J93" s="461"/>
      <c r="K93" s="36"/>
      <c r="L93" s="36"/>
      <c r="M93" s="36"/>
      <c r="N93" s="36"/>
      <c r="O93" s="36"/>
      <c r="P93" s="36"/>
      <c r="Q93" s="36"/>
      <c r="R93" s="36"/>
      <c r="S93" s="36"/>
      <c r="T93" s="36"/>
      <c r="U93" s="36"/>
      <c r="V93" s="36"/>
      <c r="W93" s="36"/>
      <c r="X93" s="36"/>
      <c r="Y93" s="36"/>
      <c r="Z93" s="36"/>
      <c r="AA93" s="36"/>
      <c r="AB93" s="36"/>
    </row>
    <row r="94" spans="1:28" ht="63.75" customHeight="1">
      <c r="A94" s="543" t="s">
        <v>3661</v>
      </c>
      <c r="B94" s="552">
        <v>44208</v>
      </c>
      <c r="C94" s="81" t="s">
        <v>1098</v>
      </c>
      <c r="D94" s="553" t="s">
        <v>3662</v>
      </c>
      <c r="E94" s="94" t="s">
        <v>41</v>
      </c>
      <c r="F94" s="551" t="s">
        <v>97</v>
      </c>
      <c r="G94" s="546"/>
      <c r="H94" s="547"/>
      <c r="I94" s="140"/>
      <c r="J94" s="461"/>
      <c r="K94" s="36"/>
      <c r="L94" s="36"/>
      <c r="M94" s="36"/>
      <c r="N94" s="36"/>
      <c r="O94" s="36"/>
      <c r="P94" s="36"/>
      <c r="Q94" s="36"/>
      <c r="R94" s="36"/>
      <c r="S94" s="36"/>
      <c r="T94" s="36"/>
      <c r="U94" s="36"/>
      <c r="V94" s="36"/>
      <c r="W94" s="36"/>
      <c r="X94" s="36"/>
      <c r="Y94" s="36"/>
      <c r="Z94" s="36"/>
      <c r="AA94" s="36"/>
      <c r="AB94" s="36"/>
    </row>
    <row r="95" spans="1:28" ht="63.75" customHeight="1">
      <c r="A95" s="543" t="s">
        <v>3663</v>
      </c>
      <c r="B95" s="552">
        <v>44315</v>
      </c>
      <c r="C95" s="81" t="s">
        <v>1098</v>
      </c>
      <c r="D95" s="553" t="s">
        <v>3664</v>
      </c>
      <c r="E95" s="94" t="s">
        <v>41</v>
      </c>
      <c r="F95" s="551" t="s">
        <v>97</v>
      </c>
      <c r="G95" s="546"/>
      <c r="H95" s="547"/>
      <c r="I95" s="140"/>
      <c r="J95" s="461"/>
      <c r="K95" s="36"/>
      <c r="L95" s="36"/>
      <c r="M95" s="36"/>
      <c r="N95" s="36"/>
      <c r="O95" s="36"/>
      <c r="P95" s="36"/>
      <c r="Q95" s="36"/>
      <c r="R95" s="36"/>
      <c r="S95" s="36"/>
      <c r="T95" s="36"/>
      <c r="U95" s="36"/>
      <c r="V95" s="36"/>
      <c r="W95" s="36"/>
      <c r="X95" s="36"/>
      <c r="Y95" s="36"/>
      <c r="Z95" s="36"/>
      <c r="AA95" s="36"/>
      <c r="AB95" s="36"/>
    </row>
    <row r="96" spans="1:28" ht="63.75" customHeight="1">
      <c r="A96" s="543" t="s">
        <v>3665</v>
      </c>
      <c r="B96" s="552">
        <v>43946</v>
      </c>
      <c r="C96" s="81" t="s">
        <v>3666</v>
      </c>
      <c r="D96" s="473" t="s">
        <v>3667</v>
      </c>
      <c r="E96" s="94" t="s">
        <v>3668</v>
      </c>
      <c r="F96" s="54" t="s">
        <v>3669</v>
      </c>
      <c r="G96" s="546"/>
      <c r="H96" s="547"/>
      <c r="I96" s="140"/>
      <c r="J96" s="461"/>
      <c r="K96" s="36"/>
      <c r="L96" s="36"/>
      <c r="M96" s="36"/>
      <c r="N96" s="36"/>
      <c r="O96" s="36"/>
      <c r="P96" s="36"/>
      <c r="Q96" s="36"/>
      <c r="R96" s="36"/>
      <c r="S96" s="36"/>
      <c r="T96" s="36"/>
      <c r="U96" s="36"/>
      <c r="V96" s="36"/>
      <c r="W96" s="36"/>
      <c r="X96" s="36"/>
      <c r="Y96" s="36"/>
      <c r="Z96" s="36"/>
      <c r="AA96" s="36"/>
      <c r="AB96" s="36"/>
    </row>
    <row r="97" spans="1:28" ht="63.75" customHeight="1">
      <c r="A97" s="543" t="s">
        <v>3670</v>
      </c>
      <c r="B97" s="552">
        <v>43953</v>
      </c>
      <c r="C97" s="81" t="s">
        <v>3666</v>
      </c>
      <c r="D97" s="554" t="s">
        <v>3671</v>
      </c>
      <c r="E97" s="94" t="s">
        <v>2884</v>
      </c>
      <c r="F97" s="455" t="s">
        <v>3672</v>
      </c>
      <c r="G97" s="546"/>
      <c r="H97" s="547"/>
      <c r="I97" s="140"/>
      <c r="J97" s="461"/>
      <c r="K97" s="36"/>
      <c r="L97" s="36"/>
      <c r="M97" s="36"/>
      <c r="N97" s="36"/>
      <c r="O97" s="36"/>
      <c r="P97" s="36"/>
      <c r="Q97" s="36"/>
      <c r="R97" s="36"/>
      <c r="S97" s="36"/>
      <c r="T97" s="36"/>
      <c r="U97" s="36"/>
      <c r="V97" s="36"/>
      <c r="W97" s="36"/>
      <c r="X97" s="36"/>
      <c r="Y97" s="36"/>
      <c r="Z97" s="36"/>
      <c r="AA97" s="36"/>
      <c r="AB97" s="36"/>
    </row>
    <row r="98" spans="1:28" ht="24" customHeight="1">
      <c r="A98" s="122" t="str">
        <f>HYPERLINK("http://www.culturarecreacionydeporte.gov.co/es/taxonomy/term/484/all","DIRECTIVA 12")</f>
        <v>DIRECTIVA 12</v>
      </c>
      <c r="B98" s="545">
        <v>40724</v>
      </c>
      <c r="C98" s="81" t="s">
        <v>61</v>
      </c>
      <c r="D98" s="308" t="s">
        <v>2367</v>
      </c>
      <c r="E98" s="94" t="s">
        <v>41</v>
      </c>
      <c r="F98" s="81" t="s">
        <v>97</v>
      </c>
      <c r="G98" s="94" t="s">
        <v>43</v>
      </c>
      <c r="H98" s="81" t="s">
        <v>2230</v>
      </c>
      <c r="I98" s="140"/>
      <c r="J98" s="461"/>
      <c r="K98" s="36"/>
      <c r="L98" s="36"/>
      <c r="M98" s="36"/>
      <c r="N98" s="36"/>
      <c r="O98" s="36"/>
      <c r="P98" s="36"/>
      <c r="Q98" s="36"/>
      <c r="R98" s="36"/>
      <c r="S98" s="36"/>
      <c r="T98" s="36"/>
      <c r="U98" s="36"/>
      <c r="V98" s="36"/>
      <c r="W98" s="36"/>
      <c r="X98" s="36"/>
      <c r="Y98" s="36"/>
      <c r="Z98" s="36"/>
      <c r="AA98" s="36"/>
      <c r="AB98" s="36"/>
    </row>
    <row r="99" spans="1:28" ht="24" customHeight="1">
      <c r="A99" s="537" t="str">
        <f>HYPERLINK("https://www.secretariajuridica.gov.co/transparencia/marco-legal/normatividad/directiva-003-2013","DIRECTIVA 003")</f>
        <v>DIRECTIVA 003</v>
      </c>
      <c r="B99" s="545">
        <v>41450</v>
      </c>
      <c r="C99" s="81" t="s">
        <v>856</v>
      </c>
      <c r="D99" s="308" t="s">
        <v>2368</v>
      </c>
      <c r="E99" s="94" t="s">
        <v>41</v>
      </c>
      <c r="F99" s="81" t="s">
        <v>97</v>
      </c>
      <c r="G99" s="94" t="s">
        <v>43</v>
      </c>
      <c r="H99" s="81" t="s">
        <v>2230</v>
      </c>
      <c r="I99" s="140"/>
      <c r="J99" s="461"/>
      <c r="K99" s="36"/>
      <c r="L99" s="36"/>
      <c r="M99" s="36"/>
      <c r="N99" s="36"/>
      <c r="O99" s="36"/>
      <c r="P99" s="36"/>
      <c r="Q99" s="36"/>
      <c r="R99" s="36"/>
      <c r="S99" s="36"/>
      <c r="T99" s="36"/>
      <c r="U99" s="36"/>
      <c r="V99" s="36"/>
      <c r="W99" s="36"/>
      <c r="X99" s="36"/>
      <c r="Y99" s="36"/>
      <c r="Z99" s="36"/>
      <c r="AA99" s="36"/>
      <c r="AB99" s="36"/>
    </row>
    <row r="100" spans="1:28" ht="36" customHeight="1">
      <c r="A100" s="122" t="str">
        <f>HYPERLINK("https://www.alcaldiabogota.gov.co/sisjur/normas/Norma1.jsp?i=81144","CIRCULAR 36")</f>
        <v>CIRCULAR 36</v>
      </c>
      <c r="B100" s="545">
        <v>43331</v>
      </c>
      <c r="C100" s="81" t="s">
        <v>2374</v>
      </c>
      <c r="D100" s="460" t="s">
        <v>2375</v>
      </c>
      <c r="E100" s="94" t="s">
        <v>41</v>
      </c>
      <c r="F100" s="81" t="s">
        <v>97</v>
      </c>
      <c r="G100" s="94" t="s">
        <v>43</v>
      </c>
      <c r="H100" s="81" t="s">
        <v>2230</v>
      </c>
      <c r="I100" s="140"/>
      <c r="J100" s="461"/>
      <c r="K100" s="36"/>
      <c r="L100" s="36"/>
      <c r="M100" s="36"/>
      <c r="N100" s="36"/>
      <c r="O100" s="36"/>
      <c r="P100" s="36"/>
      <c r="Q100" s="36"/>
      <c r="R100" s="36"/>
      <c r="S100" s="36"/>
      <c r="T100" s="36"/>
      <c r="U100" s="36"/>
      <c r="V100" s="36"/>
      <c r="W100" s="36"/>
      <c r="X100" s="36"/>
      <c r="Y100" s="36"/>
      <c r="Z100" s="36"/>
      <c r="AA100" s="36"/>
      <c r="AB100" s="36"/>
    </row>
    <row r="101" spans="1:28" ht="48" customHeight="1">
      <c r="A101" s="122" t="str">
        <f>HYPERLINK("https://www.secretariajuridica.gov.co/transparencia/marco-legal/normatividad/circular-24-2018","CIRCULAR 24")</f>
        <v>CIRCULAR 24</v>
      </c>
      <c r="B101" s="545">
        <v>43214</v>
      </c>
      <c r="C101" s="81" t="s">
        <v>2374</v>
      </c>
      <c r="D101" s="460" t="s">
        <v>2377</v>
      </c>
      <c r="E101" s="94" t="s">
        <v>41</v>
      </c>
      <c r="F101" s="81" t="s">
        <v>97</v>
      </c>
      <c r="G101" s="94" t="s">
        <v>43</v>
      </c>
      <c r="H101" s="81" t="s">
        <v>2230</v>
      </c>
      <c r="I101" s="140"/>
      <c r="J101" s="461"/>
      <c r="K101" s="36"/>
      <c r="L101" s="36"/>
      <c r="M101" s="36"/>
      <c r="N101" s="36"/>
      <c r="O101" s="36"/>
      <c r="P101" s="36"/>
      <c r="Q101" s="36"/>
      <c r="R101" s="36"/>
      <c r="S101" s="36"/>
      <c r="T101" s="36"/>
      <c r="U101" s="36"/>
      <c r="V101" s="36"/>
      <c r="W101" s="36"/>
      <c r="X101" s="36"/>
      <c r="Y101" s="36"/>
      <c r="Z101" s="36"/>
      <c r="AA101" s="36"/>
      <c r="AB101" s="36"/>
    </row>
    <row r="102" spans="1:28" ht="20.25" customHeight="1">
      <c r="A102" s="122" t="str">
        <f>HYPERLINK("http://www.bogotajuridica.gov.co/sisjur/normas/Norma1.jsp?i=27235","CIRCULAR 49")</f>
        <v>CIRCULAR 49</v>
      </c>
      <c r="B102" s="555">
        <v>39028</v>
      </c>
      <c r="C102" s="81" t="s">
        <v>2374</v>
      </c>
      <c r="D102" s="460" t="s">
        <v>2379</v>
      </c>
      <c r="E102" s="94" t="s">
        <v>41</v>
      </c>
      <c r="F102" s="81" t="s">
        <v>97</v>
      </c>
      <c r="G102" s="94" t="s">
        <v>43</v>
      </c>
      <c r="H102" s="81" t="s">
        <v>2230</v>
      </c>
      <c r="I102" s="140"/>
      <c r="J102" s="461"/>
      <c r="K102" s="36"/>
      <c r="L102" s="36"/>
      <c r="M102" s="36"/>
      <c r="N102" s="36"/>
      <c r="O102" s="36"/>
      <c r="P102" s="36"/>
      <c r="Q102" s="36"/>
      <c r="R102" s="36"/>
      <c r="S102" s="36"/>
      <c r="T102" s="36"/>
      <c r="U102" s="36"/>
      <c r="V102" s="36"/>
      <c r="W102" s="36"/>
      <c r="X102" s="36"/>
      <c r="Y102" s="36"/>
      <c r="Z102" s="36"/>
      <c r="AA102" s="36"/>
      <c r="AB102" s="36"/>
    </row>
    <row r="103" spans="1:28" ht="24" customHeight="1">
      <c r="A103" s="122" t="str">
        <f>HYPERLINK("https://www.alcaldiabogota.gov.co/sisjur/normas/Norma1.jsp?i=81323","DIRECTIVA 8")</f>
        <v>DIRECTIVA 8</v>
      </c>
      <c r="B103" s="545">
        <v>39702</v>
      </c>
      <c r="C103" s="81" t="s">
        <v>61</v>
      </c>
      <c r="D103" s="460" t="s">
        <v>2381</v>
      </c>
      <c r="E103" s="94" t="s">
        <v>41</v>
      </c>
      <c r="F103" s="81" t="s">
        <v>97</v>
      </c>
      <c r="G103" s="94" t="s">
        <v>43</v>
      </c>
      <c r="H103" s="81" t="s">
        <v>2230</v>
      </c>
      <c r="I103" s="140"/>
      <c r="J103" s="461"/>
      <c r="K103" s="36"/>
      <c r="L103" s="36"/>
      <c r="M103" s="36"/>
      <c r="N103" s="36"/>
      <c r="O103" s="36"/>
      <c r="P103" s="36"/>
      <c r="Q103" s="36"/>
      <c r="R103" s="36"/>
      <c r="S103" s="36"/>
      <c r="T103" s="36"/>
      <c r="U103" s="36"/>
      <c r="V103" s="36"/>
      <c r="W103" s="36"/>
      <c r="X103" s="36"/>
      <c r="Y103" s="36"/>
      <c r="Z103" s="36"/>
      <c r="AA103" s="36"/>
      <c r="AB103" s="36"/>
    </row>
    <row r="104" spans="1:28" ht="36" customHeight="1">
      <c r="A104" s="122" t="str">
        <f>HYPERLINK("https://www.alcaldiabogota.gov.co/sisjur/normas/Norma1.jsp?i=79494","DIRECTIVA4")</f>
        <v>DIRECTIVA4</v>
      </c>
      <c r="B104" s="545">
        <v>43317</v>
      </c>
      <c r="C104" s="81" t="s">
        <v>61</v>
      </c>
      <c r="D104" s="460" t="s">
        <v>2383</v>
      </c>
      <c r="E104" s="94" t="s">
        <v>41</v>
      </c>
      <c r="F104" s="81" t="s">
        <v>97</v>
      </c>
      <c r="G104" s="94" t="s">
        <v>43</v>
      </c>
      <c r="H104" s="81" t="s">
        <v>2230</v>
      </c>
      <c r="I104" s="140"/>
      <c r="J104" s="461"/>
      <c r="K104" s="36"/>
      <c r="L104" s="36"/>
      <c r="M104" s="36"/>
      <c r="N104" s="36"/>
      <c r="O104" s="36"/>
      <c r="P104" s="36"/>
      <c r="Q104" s="36"/>
      <c r="R104" s="36"/>
      <c r="S104" s="36"/>
      <c r="T104" s="36"/>
      <c r="U104" s="36"/>
      <c r="V104" s="36"/>
      <c r="W104" s="36"/>
      <c r="X104" s="36"/>
      <c r="Y104" s="36"/>
      <c r="Z104" s="36"/>
      <c r="AA104" s="36"/>
      <c r="AB104" s="36"/>
    </row>
    <row r="105" spans="1:28" ht="36" customHeight="1">
      <c r="A105" s="122" t="str">
        <f>HYPERLINK("http://www.bogotajuridica.gov.co/sisjur/normas/Norma1.jsp?i=61824","CIRCULAR 4")</f>
        <v>CIRCULAR 4</v>
      </c>
      <c r="B105" s="545">
        <v>39843</v>
      </c>
      <c r="C105" s="81" t="s">
        <v>1895</v>
      </c>
      <c r="D105" s="460" t="s">
        <v>2384</v>
      </c>
      <c r="E105" s="94" t="s">
        <v>41</v>
      </c>
      <c r="F105" s="81" t="s">
        <v>97</v>
      </c>
      <c r="G105" s="94" t="s">
        <v>43</v>
      </c>
      <c r="H105" s="81" t="s">
        <v>2230</v>
      </c>
      <c r="I105" s="140"/>
      <c r="J105" s="461"/>
      <c r="K105" s="36"/>
      <c r="L105" s="36"/>
      <c r="M105" s="36"/>
      <c r="N105" s="36"/>
      <c r="O105" s="36"/>
      <c r="P105" s="36"/>
      <c r="Q105" s="36"/>
      <c r="R105" s="36"/>
      <c r="S105" s="36"/>
      <c r="T105" s="36"/>
      <c r="U105" s="36"/>
      <c r="V105" s="36"/>
      <c r="W105" s="36"/>
      <c r="X105" s="36"/>
      <c r="Y105" s="36"/>
      <c r="Z105" s="36"/>
      <c r="AA105" s="36"/>
      <c r="AB105" s="36"/>
    </row>
    <row r="106" spans="1:28" ht="36" customHeight="1">
      <c r="A106" s="122" t="str">
        <f>HYPERLINK("https://www.shd.gov.co/shd/sites/default/files/normatividad/68_10Ene2018_Creacion_Terceros.pdf","CIRCULAR 68")</f>
        <v>CIRCULAR 68</v>
      </c>
      <c r="B106" s="556">
        <v>43125</v>
      </c>
      <c r="C106" s="81" t="s">
        <v>3673</v>
      </c>
      <c r="D106" s="460" t="s">
        <v>2386</v>
      </c>
      <c r="E106" s="94" t="s">
        <v>41</v>
      </c>
      <c r="F106" s="81" t="s">
        <v>97</v>
      </c>
      <c r="G106" s="94" t="s">
        <v>43</v>
      </c>
      <c r="H106" s="81" t="s">
        <v>2230</v>
      </c>
      <c r="I106" s="140"/>
      <c r="J106" s="461"/>
      <c r="K106" s="36"/>
      <c r="L106" s="36"/>
      <c r="M106" s="36"/>
      <c r="N106" s="36"/>
      <c r="O106" s="36"/>
      <c r="P106" s="36"/>
      <c r="Q106" s="36"/>
      <c r="R106" s="36"/>
      <c r="S106" s="36"/>
      <c r="T106" s="36"/>
      <c r="U106" s="36"/>
      <c r="V106" s="36"/>
      <c r="W106" s="36"/>
      <c r="X106" s="36"/>
      <c r="Y106" s="36"/>
      <c r="Z106" s="36"/>
      <c r="AA106" s="36"/>
      <c r="AB106" s="36"/>
    </row>
    <row r="107" spans="1:28" ht="36" customHeight="1">
      <c r="A107" s="122" t="str">
        <f>HYPERLINK("http://ticbogota.gov.co/sites/default/files/marco-legal/CIRCULAR%2051.pdf","CIRCULAR 51")</f>
        <v>CIRCULAR 51</v>
      </c>
      <c r="B107" s="555">
        <v>42102</v>
      </c>
      <c r="C107" s="81" t="s">
        <v>2374</v>
      </c>
      <c r="D107" s="460" t="s">
        <v>2388</v>
      </c>
      <c r="E107" s="94" t="s">
        <v>41</v>
      </c>
      <c r="F107" s="81" t="s">
        <v>97</v>
      </c>
      <c r="G107" s="94" t="s">
        <v>43</v>
      </c>
      <c r="H107" s="81" t="s">
        <v>2230</v>
      </c>
      <c r="I107" s="140"/>
      <c r="J107" s="461"/>
      <c r="K107" s="36"/>
      <c r="L107" s="36"/>
      <c r="M107" s="36"/>
      <c r="N107" s="36"/>
      <c r="O107" s="36"/>
      <c r="P107" s="36"/>
      <c r="Q107" s="36"/>
      <c r="R107" s="36"/>
      <c r="S107" s="36"/>
      <c r="T107" s="36"/>
      <c r="U107" s="36"/>
      <c r="V107" s="36"/>
      <c r="W107" s="36"/>
      <c r="X107" s="36"/>
      <c r="Y107" s="36"/>
      <c r="Z107" s="36"/>
      <c r="AA107" s="36"/>
      <c r="AB107" s="36"/>
    </row>
    <row r="108" spans="1:28" ht="24" customHeight="1">
      <c r="A108" s="122" t="str">
        <f>HYPERLINK("https://www.alcaldiabogota.gov.co/sisjur/normas/Norma1.jsp?i=71427","CIRCULAR 4")</f>
        <v>CIRCULAR 4</v>
      </c>
      <c r="B108" s="557">
        <v>42797</v>
      </c>
      <c r="C108" s="81" t="s">
        <v>223</v>
      </c>
      <c r="D108" s="460" t="s">
        <v>964</v>
      </c>
      <c r="E108" s="94" t="s">
        <v>41</v>
      </c>
      <c r="F108" s="81" t="s">
        <v>97</v>
      </c>
      <c r="G108" s="94" t="s">
        <v>43</v>
      </c>
      <c r="H108" s="81" t="s">
        <v>2230</v>
      </c>
      <c r="I108" s="140"/>
      <c r="J108" s="461"/>
      <c r="K108" s="36"/>
      <c r="L108" s="36"/>
      <c r="M108" s="36"/>
      <c r="N108" s="36"/>
      <c r="O108" s="36"/>
      <c r="P108" s="36"/>
      <c r="Q108" s="36"/>
      <c r="R108" s="36"/>
      <c r="S108" s="36"/>
      <c r="T108" s="36"/>
      <c r="U108" s="36"/>
      <c r="V108" s="36"/>
      <c r="W108" s="36"/>
      <c r="X108" s="36"/>
      <c r="Y108" s="36"/>
      <c r="Z108" s="36"/>
      <c r="AA108" s="36"/>
      <c r="AB108" s="36"/>
    </row>
    <row r="109" spans="1:28" ht="24" customHeight="1">
      <c r="A109" s="122" t="str">
        <f>HYPERLINK("https://www.alcaldiabogota.gov.co/sisjur/normas/Norma1.jsp?i=68684","CIRCULAR 5")</f>
        <v>CIRCULAR 5</v>
      </c>
      <c r="B109" s="556">
        <v>42804</v>
      </c>
      <c r="C109" s="81" t="s">
        <v>2389</v>
      </c>
      <c r="D109" s="460" t="s">
        <v>2390</v>
      </c>
      <c r="E109" s="94" t="s">
        <v>41</v>
      </c>
      <c r="F109" s="81" t="s">
        <v>97</v>
      </c>
      <c r="G109" s="94" t="s">
        <v>43</v>
      </c>
      <c r="H109" s="81" t="s">
        <v>2230</v>
      </c>
      <c r="I109" s="140"/>
      <c r="J109" s="461"/>
      <c r="K109" s="36"/>
      <c r="L109" s="36"/>
      <c r="M109" s="36"/>
      <c r="N109" s="36"/>
      <c r="O109" s="36"/>
      <c r="P109" s="36"/>
      <c r="Q109" s="36"/>
      <c r="R109" s="36"/>
      <c r="S109" s="36"/>
      <c r="T109" s="36"/>
      <c r="U109" s="36"/>
      <c r="V109" s="36"/>
      <c r="W109" s="36"/>
      <c r="X109" s="36"/>
      <c r="Y109" s="36"/>
      <c r="Z109" s="36"/>
      <c r="AA109" s="36"/>
      <c r="AB109" s="36"/>
    </row>
    <row r="110" spans="1:28" ht="24" customHeight="1">
      <c r="A110" s="537" t="str">
        <f>HYPERLINK("https://www.alcaldiabogota.gov.co/sisjur/normas/Norma1.jsp?i=75719","CIRCULAR 0006")</f>
        <v>CIRCULAR 0006</v>
      </c>
      <c r="B110" s="545">
        <v>43147</v>
      </c>
      <c r="C110" s="81" t="s">
        <v>3674</v>
      </c>
      <c r="D110" s="460" t="s">
        <v>2393</v>
      </c>
      <c r="E110" s="94" t="s">
        <v>41</v>
      </c>
      <c r="F110" s="81" t="s">
        <v>97</v>
      </c>
      <c r="G110" s="94" t="s">
        <v>43</v>
      </c>
      <c r="H110" s="81" t="s">
        <v>2230</v>
      </c>
      <c r="I110" s="140"/>
      <c r="J110" s="461"/>
      <c r="K110" s="36"/>
      <c r="L110" s="36"/>
      <c r="M110" s="36"/>
      <c r="N110" s="36"/>
      <c r="O110" s="36"/>
      <c r="P110" s="36"/>
      <c r="Q110" s="36"/>
      <c r="R110" s="36"/>
      <c r="S110" s="36"/>
      <c r="T110" s="36"/>
      <c r="U110" s="36"/>
      <c r="V110" s="36"/>
      <c r="W110" s="36"/>
      <c r="X110" s="36"/>
      <c r="Y110" s="36"/>
      <c r="Z110" s="36"/>
      <c r="AA110" s="36"/>
      <c r="AB110" s="36"/>
    </row>
    <row r="111" spans="1:28" ht="24" customHeight="1">
      <c r="A111" s="122" t="str">
        <f>HYPERLINK("https://www.alcaldiabogota.gov.co/sisjur/normas/Norma1.jsp?i=23342","DIRECTIVA 1")</f>
        <v>DIRECTIVA 1</v>
      </c>
      <c r="B111" s="530">
        <v>39146</v>
      </c>
      <c r="C111" s="81" t="s">
        <v>2399</v>
      </c>
      <c r="D111" s="460" t="s">
        <v>2400</v>
      </c>
      <c r="E111" s="94" t="s">
        <v>41</v>
      </c>
      <c r="F111" s="81" t="s">
        <v>97</v>
      </c>
      <c r="G111" s="94" t="s">
        <v>43</v>
      </c>
      <c r="H111" s="81" t="s">
        <v>2230</v>
      </c>
      <c r="I111" s="140"/>
      <c r="J111" s="461"/>
      <c r="K111" s="36"/>
      <c r="L111" s="36"/>
      <c r="M111" s="36"/>
      <c r="N111" s="36"/>
      <c r="O111" s="36"/>
      <c r="P111" s="36"/>
      <c r="Q111" s="36"/>
      <c r="R111" s="36"/>
      <c r="S111" s="36"/>
      <c r="T111" s="36"/>
      <c r="U111" s="36"/>
      <c r="V111" s="36"/>
      <c r="W111" s="36"/>
      <c r="X111" s="36"/>
      <c r="Y111" s="36"/>
      <c r="Z111" s="36"/>
      <c r="AA111" s="36"/>
      <c r="AB111" s="36"/>
    </row>
    <row r="112" spans="1:28" ht="36" customHeight="1">
      <c r="A112" s="537" t="str">
        <f>HYPERLINK("https://www.alcaldiabogota.gov.co/sisjur/normas/Norma1.jsp?i=53751","DIRECTIVA 003")</f>
        <v>DIRECTIVA 003</v>
      </c>
      <c r="B112" s="530">
        <v>41450</v>
      </c>
      <c r="C112" s="81" t="s">
        <v>856</v>
      </c>
      <c r="D112" s="460" t="s">
        <v>2368</v>
      </c>
      <c r="E112" s="94" t="s">
        <v>41</v>
      </c>
      <c r="F112" s="81" t="s">
        <v>97</v>
      </c>
      <c r="G112" s="94" t="s">
        <v>43</v>
      </c>
      <c r="H112" s="81" t="s">
        <v>2230</v>
      </c>
      <c r="I112" s="140"/>
      <c r="J112" s="461"/>
      <c r="K112" s="36"/>
      <c r="L112" s="36"/>
      <c r="M112" s="36"/>
      <c r="N112" s="36"/>
      <c r="O112" s="36"/>
      <c r="P112" s="36"/>
      <c r="Q112" s="36"/>
      <c r="R112" s="36"/>
      <c r="S112" s="36"/>
      <c r="T112" s="36"/>
      <c r="U112" s="36"/>
      <c r="V112" s="36"/>
      <c r="W112" s="36"/>
      <c r="X112" s="36"/>
      <c r="Y112" s="36"/>
      <c r="Z112" s="36"/>
      <c r="AA112" s="36"/>
      <c r="AB112" s="36"/>
    </row>
    <row r="113" spans="1:28" ht="24" customHeight="1">
      <c r="A113" s="537" t="str">
        <f>HYPERLINK("https://www.alcaldiabogota.gov.co/sisjur/normas/Norma1.jsp?i=82028","DIRECTIVA 025")</f>
        <v>DIRECTIVA 025</v>
      </c>
      <c r="B113" s="532">
        <v>43459</v>
      </c>
      <c r="C113" s="81" t="s">
        <v>223</v>
      </c>
      <c r="D113" s="460" t="s">
        <v>2402</v>
      </c>
      <c r="E113" s="94" t="s">
        <v>41</v>
      </c>
      <c r="F113" s="81" t="s">
        <v>97</v>
      </c>
      <c r="G113" s="94" t="s">
        <v>43</v>
      </c>
      <c r="H113" s="81" t="s">
        <v>2230</v>
      </c>
      <c r="I113" s="140"/>
      <c r="J113" s="461"/>
      <c r="K113" s="36"/>
      <c r="L113" s="36"/>
      <c r="M113" s="36"/>
      <c r="N113" s="36"/>
      <c r="O113" s="36"/>
      <c r="P113" s="36"/>
      <c r="Q113" s="36"/>
      <c r="R113" s="36"/>
      <c r="S113" s="36"/>
      <c r="T113" s="36"/>
      <c r="U113" s="36"/>
      <c r="V113" s="36"/>
      <c r="W113" s="36"/>
      <c r="X113" s="36"/>
      <c r="Y113" s="36"/>
      <c r="Z113" s="36"/>
      <c r="AA113" s="36"/>
      <c r="AB113" s="36"/>
    </row>
    <row r="114" spans="1:28" ht="48" customHeight="1">
      <c r="A114" s="122" t="str">
        <f>HYPERLINK("https://www.alcaldiabogota.gov.co/sisjur/normas/Norma1.jsp?i=84162","CIRCULAR 022")</f>
        <v>CIRCULAR 022</v>
      </c>
      <c r="B114" s="532">
        <v>43615</v>
      </c>
      <c r="C114" s="81" t="s">
        <v>223</v>
      </c>
      <c r="D114" s="460" t="s">
        <v>2395</v>
      </c>
      <c r="E114" s="94" t="s">
        <v>41</v>
      </c>
      <c r="F114" s="81" t="s">
        <v>97</v>
      </c>
      <c r="G114" s="94" t="s">
        <v>43</v>
      </c>
      <c r="H114" s="81" t="s">
        <v>2230</v>
      </c>
      <c r="I114" s="140"/>
      <c r="J114" s="461"/>
      <c r="K114" s="36"/>
      <c r="L114" s="36"/>
      <c r="M114" s="36"/>
      <c r="N114" s="36"/>
      <c r="O114" s="36"/>
      <c r="P114" s="36"/>
      <c r="Q114" s="36"/>
      <c r="R114" s="36"/>
      <c r="S114" s="36"/>
      <c r="T114" s="36"/>
      <c r="U114" s="36"/>
      <c r="V114" s="36"/>
      <c r="W114" s="36"/>
      <c r="X114" s="36"/>
      <c r="Y114" s="36"/>
      <c r="Z114" s="36"/>
      <c r="AA114" s="36"/>
      <c r="AB114" s="36"/>
    </row>
    <row r="115" spans="1:28" ht="24" customHeight="1">
      <c r="A115" s="122" t="str">
        <f>HYPERLINK("https://www.alcaldiabogota.gov.co/sisjur/normas/Norma1.jsp?i=81052","ACUERDO 716")</f>
        <v>ACUERDO 716</v>
      </c>
      <c r="B115" s="530">
        <v>43364</v>
      </c>
      <c r="C115" s="81" t="s">
        <v>2333</v>
      </c>
      <c r="D115" s="460" t="s">
        <v>2334</v>
      </c>
      <c r="E115" s="94" t="s">
        <v>41</v>
      </c>
      <c r="F115" s="81" t="s">
        <v>97</v>
      </c>
      <c r="G115" s="94" t="s">
        <v>43</v>
      </c>
      <c r="H115" s="81" t="s">
        <v>2230</v>
      </c>
      <c r="I115" s="140"/>
      <c r="J115" s="461"/>
      <c r="K115" s="36"/>
      <c r="L115" s="36"/>
      <c r="M115" s="36"/>
      <c r="N115" s="36"/>
      <c r="O115" s="36"/>
      <c r="P115" s="36"/>
      <c r="Q115" s="36"/>
      <c r="R115" s="36"/>
      <c r="S115" s="36"/>
      <c r="T115" s="36"/>
      <c r="U115" s="36"/>
      <c r="V115" s="36"/>
      <c r="W115" s="36"/>
      <c r="X115" s="36"/>
      <c r="Y115" s="36"/>
      <c r="Z115" s="36"/>
      <c r="AA115" s="36"/>
      <c r="AB115" s="36"/>
    </row>
    <row r="116" spans="1:28" ht="21" customHeight="1">
      <c r="A116" s="122" t="str">
        <f>HYPERLINK("https://www.alcaldiabogota.gov.co/sisjur/normas/Norma1.jsp?i=86201","CIRCULAR 024")</f>
        <v>CIRCULAR 024</v>
      </c>
      <c r="B116" s="530">
        <v>43707</v>
      </c>
      <c r="C116" s="81" t="s">
        <v>2397</v>
      </c>
      <c r="D116" s="460" t="s">
        <v>2398</v>
      </c>
      <c r="E116" s="94" t="s">
        <v>41</v>
      </c>
      <c r="F116" s="81" t="s">
        <v>97</v>
      </c>
      <c r="G116" s="94" t="s">
        <v>43</v>
      </c>
      <c r="H116" s="81" t="s">
        <v>2230</v>
      </c>
      <c r="I116" s="140"/>
      <c r="J116" s="461"/>
      <c r="K116" s="36"/>
      <c r="L116" s="36"/>
      <c r="M116" s="36"/>
      <c r="N116" s="36"/>
      <c r="O116" s="36"/>
      <c r="P116" s="36"/>
      <c r="Q116" s="36"/>
      <c r="R116" s="36"/>
      <c r="S116" s="36"/>
      <c r="T116" s="36"/>
      <c r="U116" s="36"/>
      <c r="V116" s="36"/>
      <c r="W116" s="36"/>
      <c r="X116" s="36"/>
      <c r="Y116" s="36"/>
      <c r="Z116" s="36"/>
      <c r="AA116" s="36"/>
      <c r="AB116" s="36"/>
    </row>
    <row r="117" spans="1:28" ht="55.5" customHeight="1">
      <c r="A117" s="543" t="s">
        <v>3675</v>
      </c>
      <c r="B117" s="530">
        <v>43972</v>
      </c>
      <c r="C117" s="81" t="s">
        <v>3676</v>
      </c>
      <c r="D117" s="308" t="s">
        <v>3677</v>
      </c>
      <c r="E117" s="94" t="s">
        <v>2884</v>
      </c>
      <c r="F117" s="81" t="s">
        <v>97</v>
      </c>
      <c r="G117" s="94"/>
      <c r="H117" s="81"/>
      <c r="I117" s="140"/>
      <c r="J117" s="461"/>
      <c r="K117" s="36"/>
      <c r="L117" s="36"/>
      <c r="M117" s="36"/>
      <c r="N117" s="36"/>
      <c r="O117" s="36"/>
      <c r="P117" s="36"/>
      <c r="Q117" s="36"/>
      <c r="R117" s="36"/>
      <c r="S117" s="36"/>
      <c r="T117" s="36"/>
      <c r="U117" s="36"/>
      <c r="V117" s="36"/>
      <c r="W117" s="36"/>
      <c r="X117" s="36"/>
      <c r="Y117" s="36"/>
      <c r="Z117" s="36"/>
      <c r="AA117" s="36"/>
      <c r="AB117" s="36"/>
    </row>
    <row r="118" spans="1:28" ht="24" customHeight="1">
      <c r="A118" s="122" t="str">
        <f>HYPERLINK("https://www.alcaldiabogota.gov.co/sisjur/normas/Norma1.jsp?i=85285","DECRETO395")</f>
        <v>DECRETO395</v>
      </c>
      <c r="B118" s="81" t="s">
        <v>3678</v>
      </c>
      <c r="C118" s="81" t="s">
        <v>665</v>
      </c>
      <c r="D118" s="460" t="s">
        <v>2329</v>
      </c>
      <c r="E118" s="94" t="s">
        <v>41</v>
      </c>
      <c r="F118" s="81" t="s">
        <v>97</v>
      </c>
      <c r="G118" s="94" t="s">
        <v>43</v>
      </c>
      <c r="H118" s="81" t="s">
        <v>2230</v>
      </c>
      <c r="I118" s="140"/>
      <c r="J118" s="461"/>
      <c r="K118" s="36"/>
      <c r="L118" s="36"/>
      <c r="M118" s="36"/>
      <c r="N118" s="36"/>
      <c r="O118" s="36"/>
      <c r="P118" s="36"/>
      <c r="Q118" s="36"/>
      <c r="R118" s="36"/>
      <c r="S118" s="36"/>
      <c r="T118" s="36"/>
      <c r="U118" s="36"/>
      <c r="V118" s="36"/>
      <c r="W118" s="36"/>
      <c r="X118" s="36"/>
      <c r="Y118" s="36"/>
      <c r="Z118" s="36"/>
      <c r="AA118" s="36"/>
      <c r="AB118" s="36"/>
    </row>
    <row r="119" spans="1:28" ht="36" customHeight="1">
      <c r="A119" s="122" t="str">
        <f>HYPERLINK("https://www.alcaldiabogota.gov.co/sisjur/normas/Norma1.jsp?i=84970","DIRECTIVA PRESIDENCIAL 07")</f>
        <v>DIRECTIVA PRESIDENCIAL 07</v>
      </c>
      <c r="B119" s="544">
        <v>43629</v>
      </c>
      <c r="C119" s="81" t="s">
        <v>2319</v>
      </c>
      <c r="D119" s="460" t="s">
        <v>2372</v>
      </c>
      <c r="E119" s="94" t="s">
        <v>41</v>
      </c>
      <c r="F119" s="81" t="s">
        <v>97</v>
      </c>
      <c r="G119" s="94" t="s">
        <v>43</v>
      </c>
      <c r="H119" s="81" t="s">
        <v>2230</v>
      </c>
      <c r="I119" s="140"/>
      <c r="J119" s="461"/>
      <c r="K119" s="36"/>
      <c r="L119" s="36"/>
      <c r="M119" s="36"/>
      <c r="N119" s="36"/>
      <c r="O119" s="36"/>
      <c r="P119" s="36"/>
      <c r="Q119" s="36"/>
      <c r="R119" s="36"/>
      <c r="S119" s="36"/>
      <c r="T119" s="36"/>
      <c r="U119" s="36"/>
      <c r="V119" s="36"/>
      <c r="W119" s="36"/>
      <c r="X119" s="36"/>
      <c r="Y119" s="36"/>
      <c r="Z119" s="36"/>
      <c r="AA119" s="36"/>
      <c r="AB119" s="36"/>
    </row>
    <row r="120" spans="1:28" ht="36" customHeight="1">
      <c r="A120" s="537" t="str">
        <f>HYPERLINK("http://es.presidencia.gov.co/normativa/normativa/Decreto-1081-2015.pdf","DECRETO 1081")</f>
        <v>DECRETO 1081</v>
      </c>
      <c r="B120" s="534">
        <v>42150</v>
      </c>
      <c r="C120" s="81" t="s">
        <v>2319</v>
      </c>
      <c r="D120" s="460" t="s">
        <v>2320</v>
      </c>
      <c r="E120" s="94" t="s">
        <v>41</v>
      </c>
      <c r="F120" s="81" t="s">
        <v>97</v>
      </c>
      <c r="G120" s="94" t="s">
        <v>43</v>
      </c>
      <c r="H120" s="81" t="s">
        <v>2230</v>
      </c>
      <c r="I120" s="140"/>
      <c r="J120" s="461"/>
      <c r="K120" s="36"/>
      <c r="L120" s="36"/>
      <c r="M120" s="36"/>
      <c r="N120" s="36"/>
      <c r="O120" s="36"/>
      <c r="P120" s="36"/>
      <c r="Q120" s="36"/>
      <c r="R120" s="36"/>
      <c r="S120" s="36"/>
      <c r="T120" s="36"/>
      <c r="U120" s="36"/>
      <c r="V120" s="36"/>
      <c r="W120" s="36"/>
      <c r="X120" s="36"/>
      <c r="Y120" s="36"/>
      <c r="Z120" s="36"/>
      <c r="AA120" s="36"/>
      <c r="AB120" s="36"/>
    </row>
    <row r="121" spans="1:28" ht="36" customHeight="1">
      <c r="A121" s="537" t="str">
        <f>HYPERLINK("https://www.alcaldiabogota.gov.co/sisjur/normas/Norma1.jsp?i=81324","DIRECTIVA 022")</f>
        <v>DIRECTIVA 022</v>
      </c>
      <c r="B121" s="534">
        <v>43393</v>
      </c>
      <c r="C121" s="81" t="s">
        <v>223</v>
      </c>
      <c r="D121" s="460" t="s">
        <v>2370</v>
      </c>
      <c r="E121" s="94" t="s">
        <v>41</v>
      </c>
      <c r="F121" s="81" t="s">
        <v>97</v>
      </c>
      <c r="G121" s="94" t="s">
        <v>43</v>
      </c>
      <c r="H121" s="81" t="s">
        <v>2230</v>
      </c>
      <c r="I121" s="140"/>
      <c r="J121" s="461"/>
      <c r="K121" s="36"/>
      <c r="L121" s="36"/>
      <c r="M121" s="36"/>
      <c r="N121" s="36"/>
      <c r="O121" s="36"/>
      <c r="P121" s="36"/>
      <c r="Q121" s="36"/>
      <c r="R121" s="36"/>
      <c r="S121" s="36"/>
      <c r="T121" s="36"/>
      <c r="U121" s="36"/>
      <c r="V121" s="36"/>
      <c r="W121" s="36"/>
      <c r="X121" s="36"/>
      <c r="Y121" s="36"/>
      <c r="Z121" s="36"/>
      <c r="AA121" s="36"/>
      <c r="AB121" s="36"/>
    </row>
    <row r="122" spans="1:28" ht="36" customHeight="1">
      <c r="A122" s="537" t="str">
        <f>HYPERLINK("https://secretariageneral.gov.co/transparencia/marco-legal/normatividad/decreto-distrital-547-2016","DECRETO 547")</f>
        <v>DECRETO 547</v>
      </c>
      <c r="B122" s="534">
        <v>42490</v>
      </c>
      <c r="C122" s="81" t="s">
        <v>665</v>
      </c>
      <c r="D122" s="460" t="s">
        <v>2325</v>
      </c>
      <c r="E122" s="94" t="s">
        <v>41</v>
      </c>
      <c r="F122" s="81" t="s">
        <v>97</v>
      </c>
      <c r="G122" s="94" t="s">
        <v>43</v>
      </c>
      <c r="H122" s="81" t="s">
        <v>2230</v>
      </c>
      <c r="I122" s="140"/>
      <c r="J122" s="461"/>
      <c r="K122" s="36"/>
      <c r="L122" s="36"/>
      <c r="M122" s="36"/>
      <c r="N122" s="36"/>
      <c r="O122" s="36"/>
      <c r="P122" s="36"/>
      <c r="Q122" s="36"/>
      <c r="R122" s="36"/>
      <c r="S122" s="36"/>
      <c r="T122" s="36"/>
      <c r="U122" s="36"/>
      <c r="V122" s="36"/>
      <c r="W122" s="36"/>
      <c r="X122" s="36"/>
      <c r="Y122" s="36"/>
      <c r="Z122" s="36"/>
      <c r="AA122" s="36"/>
      <c r="AB122" s="36"/>
    </row>
    <row r="123" spans="1:28" ht="12" customHeight="1">
      <c r="A123" s="537" t="str">
        <f>HYPERLINK("https://www.secretariajuridica.gov.co/sites/default/files/marco-legal/circular%2029-2019.pdf","CIRCULAR 029")</f>
        <v>CIRCULAR 029</v>
      </c>
      <c r="B123" s="103">
        <v>43823</v>
      </c>
      <c r="C123" s="55" t="s">
        <v>665</v>
      </c>
      <c r="D123" s="54" t="s">
        <v>3679</v>
      </c>
      <c r="E123" s="55" t="s">
        <v>783</v>
      </c>
      <c r="F123" s="51"/>
      <c r="G123" s="35"/>
      <c r="H123" s="104"/>
      <c r="I123" s="140"/>
      <c r="J123" s="461"/>
      <c r="K123" s="36"/>
      <c r="L123" s="36"/>
      <c r="M123" s="36"/>
      <c r="N123" s="36"/>
      <c r="O123" s="36"/>
      <c r="P123" s="36"/>
      <c r="Q123" s="36"/>
      <c r="R123" s="36"/>
      <c r="S123" s="36"/>
      <c r="T123" s="36"/>
      <c r="U123" s="36"/>
      <c r="V123" s="36"/>
      <c r="W123" s="36"/>
      <c r="X123" s="36"/>
      <c r="Y123" s="36"/>
      <c r="Z123" s="36"/>
      <c r="AA123" s="36"/>
      <c r="AB123" s="36"/>
    </row>
    <row r="124" spans="1:28" ht="12" customHeight="1">
      <c r="A124" s="537" t="str">
        <f>HYPERLINK("https://dapre.presidencia.gov.co/normativa/normativa/DECRETO%202106%20DEL%2022%20DE%20NOVIEMBRE%20DE%202019.pdf","Decreto 2106")</f>
        <v>Decreto 2106</v>
      </c>
      <c r="B124" s="55" t="s">
        <v>3680</v>
      </c>
      <c r="C124" s="55" t="s">
        <v>3681</v>
      </c>
      <c r="D124" s="54" t="s">
        <v>3682</v>
      </c>
      <c r="E124" s="51"/>
      <c r="F124" s="51"/>
      <c r="G124" s="35"/>
      <c r="H124" s="104"/>
      <c r="I124" s="140"/>
      <c r="J124" s="461"/>
      <c r="K124" s="36"/>
      <c r="L124" s="36"/>
      <c r="M124" s="36"/>
      <c r="N124" s="36"/>
      <c r="O124" s="36"/>
      <c r="P124" s="36"/>
      <c r="Q124" s="36"/>
      <c r="R124" s="36"/>
      <c r="S124" s="36"/>
      <c r="T124" s="36"/>
      <c r="U124" s="36"/>
      <c r="V124" s="36"/>
      <c r="W124" s="36"/>
      <c r="X124" s="36"/>
      <c r="Y124" s="36"/>
      <c r="Z124" s="36"/>
      <c r="AA124" s="36"/>
      <c r="AB124" s="36"/>
    </row>
    <row r="125" spans="1:28" ht="12" customHeight="1">
      <c r="A125" s="537" t="str">
        <f>HYPERLINK("http://sisjur.bogotajuridica.gov.co/sisjur/normas/Norma1.jsp?i=88588","decreto 847")</f>
        <v>decreto 847</v>
      </c>
      <c r="B125" s="558">
        <v>43799</v>
      </c>
      <c r="C125" s="55" t="s">
        <v>3683</v>
      </c>
      <c r="D125" s="54" t="s">
        <v>3684</v>
      </c>
      <c r="E125" s="55" t="s">
        <v>783</v>
      </c>
      <c r="F125" s="51"/>
      <c r="G125" s="35"/>
      <c r="H125" s="104"/>
      <c r="I125" s="140"/>
      <c r="J125" s="74"/>
      <c r="K125" s="74"/>
      <c r="L125" s="74"/>
      <c r="M125" s="74"/>
      <c r="N125" s="74"/>
      <c r="O125" s="74"/>
      <c r="P125" s="74"/>
      <c r="Q125" s="74"/>
      <c r="R125" s="74"/>
      <c r="S125" s="74"/>
      <c r="T125" s="74"/>
      <c r="U125" s="74"/>
      <c r="V125" s="74"/>
      <c r="W125" s="74"/>
      <c r="X125" s="74"/>
      <c r="Y125" s="74"/>
      <c r="Z125" s="74"/>
      <c r="AA125" s="74"/>
      <c r="AB125" s="74"/>
    </row>
    <row r="126" spans="1:28" ht="25.5" customHeight="1">
      <c r="A126" s="537" t="str">
        <f>HYPERLINK("https://bogota.gov.co/sites/default/files/inline-files/decreto-093-bogota-colombia.pdf","DECRETO 093")</f>
        <v>DECRETO 093</v>
      </c>
      <c r="B126" s="558">
        <v>43915</v>
      </c>
      <c r="C126" s="55" t="s">
        <v>665</v>
      </c>
      <c r="D126" s="559" t="s">
        <v>3685</v>
      </c>
      <c r="E126" s="55" t="s">
        <v>3686</v>
      </c>
      <c r="F126" s="138" t="s">
        <v>3687</v>
      </c>
      <c r="G126" s="35"/>
      <c r="H126" s="104"/>
      <c r="I126" s="140"/>
      <c r="J126" s="74"/>
      <c r="K126" s="74"/>
      <c r="L126" s="74"/>
      <c r="M126" s="74"/>
      <c r="N126" s="74"/>
      <c r="O126" s="74"/>
      <c r="P126" s="74"/>
      <c r="Q126" s="74"/>
      <c r="R126" s="74"/>
      <c r="S126" s="74"/>
      <c r="T126" s="74"/>
      <c r="U126" s="74"/>
      <c r="V126" s="74"/>
      <c r="W126" s="74"/>
      <c r="X126" s="74"/>
      <c r="Y126" s="74"/>
      <c r="Z126" s="74"/>
      <c r="AA126" s="74"/>
      <c r="AB126" s="74"/>
    </row>
    <row r="127" spans="1:28" ht="12" customHeight="1">
      <c r="A127" s="537" t="str">
        <f>HYPERLINK("http://sisjur.bogotajuridica.gov.co/sisjur/normas/Norma1.jsp?i=88488","Directiva 011")</f>
        <v>Directiva 011</v>
      </c>
      <c r="B127" s="558">
        <v>43823</v>
      </c>
      <c r="C127" s="55" t="s">
        <v>3683</v>
      </c>
      <c r="D127" s="54" t="s">
        <v>3688</v>
      </c>
      <c r="E127" s="55" t="s">
        <v>783</v>
      </c>
      <c r="F127" s="51"/>
      <c r="G127" s="35"/>
      <c r="H127" s="104"/>
      <c r="I127" s="140"/>
      <c r="J127" s="74"/>
      <c r="K127" s="74"/>
      <c r="L127" s="74"/>
      <c r="M127" s="74"/>
      <c r="N127" s="74"/>
      <c r="O127" s="74"/>
      <c r="P127" s="74"/>
      <c r="Q127" s="74"/>
      <c r="R127" s="74"/>
      <c r="S127" s="74"/>
      <c r="T127" s="74"/>
      <c r="U127" s="74"/>
      <c r="V127" s="74"/>
      <c r="W127" s="74"/>
      <c r="X127" s="74"/>
      <c r="Y127" s="74"/>
      <c r="Z127" s="74"/>
      <c r="AA127" s="74"/>
      <c r="AB127" s="74"/>
    </row>
    <row r="128" spans="1:28" ht="26.25" customHeight="1">
      <c r="A128" s="560"/>
      <c r="B128" s="558"/>
      <c r="C128" s="55"/>
      <c r="D128" s="54"/>
      <c r="E128" s="55"/>
      <c r="F128" s="51"/>
      <c r="G128" s="561"/>
      <c r="H128" s="562"/>
      <c r="I128" s="140"/>
      <c r="J128" s="563"/>
      <c r="K128" s="563"/>
      <c r="L128" s="563"/>
      <c r="M128" s="563"/>
      <c r="N128" s="563"/>
      <c r="O128" s="563"/>
      <c r="P128" s="563"/>
      <c r="Q128" s="563"/>
      <c r="R128" s="563"/>
      <c r="S128" s="563"/>
      <c r="T128" s="563"/>
      <c r="U128" s="563"/>
      <c r="V128" s="563"/>
      <c r="W128" s="563"/>
      <c r="X128" s="563"/>
      <c r="Y128" s="563"/>
      <c r="Z128" s="563"/>
      <c r="AA128" s="563"/>
      <c r="AB128" s="564"/>
    </row>
    <row r="129" spans="1:28" ht="26.25" customHeight="1">
      <c r="A129" s="565"/>
      <c r="B129" s="107"/>
      <c r="C129" s="107"/>
      <c r="D129" s="108"/>
      <c r="E129" s="104"/>
      <c r="F129" s="104"/>
      <c r="G129" s="35"/>
      <c r="H129" s="104"/>
      <c r="I129" s="140"/>
      <c r="J129" s="74"/>
      <c r="K129" s="74"/>
      <c r="L129" s="74"/>
      <c r="M129" s="74"/>
      <c r="N129" s="74"/>
      <c r="O129" s="74"/>
      <c r="P129" s="74"/>
      <c r="Q129" s="74"/>
      <c r="R129" s="74"/>
      <c r="S129" s="74"/>
      <c r="T129" s="74"/>
      <c r="U129" s="74"/>
      <c r="V129" s="74"/>
      <c r="W129" s="74"/>
      <c r="X129" s="74"/>
      <c r="Y129" s="74"/>
      <c r="Z129" s="74"/>
      <c r="AA129" s="74"/>
      <c r="AB129" s="74"/>
    </row>
    <row r="130" spans="1:28" ht="12" customHeight="1">
      <c r="A130" s="565"/>
      <c r="B130" s="107"/>
      <c r="C130" s="107"/>
      <c r="D130" s="108"/>
      <c r="E130" s="104"/>
      <c r="F130" s="104"/>
      <c r="G130" s="35"/>
      <c r="H130" s="104"/>
      <c r="I130" s="140"/>
      <c r="J130" s="74"/>
      <c r="K130" s="74"/>
      <c r="L130" s="74"/>
      <c r="M130" s="74"/>
      <c r="N130" s="74"/>
      <c r="O130" s="74"/>
      <c r="P130" s="74"/>
      <c r="Q130" s="74"/>
      <c r="R130" s="74"/>
      <c r="S130" s="74"/>
      <c r="T130" s="74"/>
      <c r="U130" s="74"/>
      <c r="V130" s="74"/>
      <c r="W130" s="74"/>
      <c r="X130" s="74"/>
      <c r="Y130" s="74"/>
      <c r="Z130" s="74"/>
      <c r="AA130" s="74"/>
      <c r="AB130" s="74"/>
    </row>
    <row r="131" spans="1:28" ht="12" customHeight="1">
      <c r="A131" s="565"/>
      <c r="B131" s="107"/>
      <c r="C131" s="107"/>
      <c r="D131" s="108"/>
      <c r="E131" s="104"/>
      <c r="F131" s="104"/>
      <c r="G131" s="35"/>
      <c r="H131" s="104"/>
      <c r="I131" s="140"/>
      <c r="J131" s="74"/>
      <c r="K131" s="74"/>
      <c r="L131" s="74"/>
      <c r="M131" s="74"/>
      <c r="N131" s="74"/>
      <c r="O131" s="74"/>
      <c r="P131" s="74"/>
      <c r="Q131" s="74"/>
      <c r="R131" s="74"/>
      <c r="S131" s="74"/>
      <c r="T131" s="74"/>
      <c r="U131" s="74"/>
      <c r="V131" s="74"/>
      <c r="W131" s="74"/>
      <c r="X131" s="74"/>
      <c r="Y131" s="74"/>
      <c r="Z131" s="74"/>
      <c r="AA131" s="74"/>
      <c r="AB131" s="74"/>
    </row>
    <row r="132" spans="1:28" ht="12" customHeight="1">
      <c r="A132" s="565"/>
      <c r="B132" s="107"/>
      <c r="C132" s="107"/>
      <c r="D132" s="108"/>
      <c r="E132" s="104"/>
      <c r="F132" s="104"/>
      <c r="G132" s="35"/>
      <c r="H132" s="104"/>
      <c r="I132" s="140"/>
      <c r="J132" s="74"/>
      <c r="K132" s="74"/>
      <c r="L132" s="74"/>
      <c r="M132" s="74"/>
      <c r="N132" s="74"/>
      <c r="O132" s="74"/>
      <c r="P132" s="74"/>
      <c r="Q132" s="74"/>
      <c r="R132" s="74"/>
      <c r="S132" s="74"/>
      <c r="T132" s="74"/>
      <c r="U132" s="74"/>
      <c r="V132" s="74"/>
      <c r="W132" s="74"/>
      <c r="X132" s="74"/>
      <c r="Y132" s="74"/>
      <c r="Z132" s="74"/>
      <c r="AA132" s="74"/>
      <c r="AB132" s="74"/>
    </row>
    <row r="133" spans="1:28" ht="12" customHeight="1">
      <c r="A133" s="565"/>
      <c r="B133" s="107"/>
      <c r="C133" s="107"/>
      <c r="D133" s="108"/>
      <c r="E133" s="104"/>
      <c r="F133" s="104"/>
      <c r="G133" s="35"/>
      <c r="H133" s="104"/>
      <c r="I133" s="140"/>
      <c r="J133" s="74"/>
      <c r="K133" s="74"/>
      <c r="L133" s="74"/>
      <c r="M133" s="74"/>
      <c r="N133" s="74"/>
      <c r="O133" s="74"/>
      <c r="P133" s="74"/>
      <c r="Q133" s="74"/>
      <c r="R133" s="74"/>
      <c r="S133" s="74"/>
      <c r="T133" s="74"/>
      <c r="U133" s="74"/>
      <c r="V133" s="74"/>
      <c r="W133" s="74"/>
      <c r="X133" s="74"/>
      <c r="Y133" s="74"/>
      <c r="Z133" s="74"/>
      <c r="AA133" s="74"/>
      <c r="AB133" s="74"/>
    </row>
    <row r="134" spans="1:28" ht="12" customHeight="1">
      <c r="A134" s="565"/>
      <c r="B134" s="107"/>
      <c r="C134" s="107"/>
      <c r="D134" s="108"/>
      <c r="E134" s="104"/>
      <c r="F134" s="104"/>
      <c r="G134" s="35"/>
      <c r="H134" s="104"/>
      <c r="I134" s="140"/>
      <c r="J134" s="74"/>
      <c r="K134" s="74"/>
      <c r="L134" s="74"/>
      <c r="M134" s="74"/>
      <c r="N134" s="74"/>
      <c r="O134" s="74"/>
      <c r="P134" s="74"/>
      <c r="Q134" s="74"/>
      <c r="R134" s="74"/>
      <c r="S134" s="74"/>
      <c r="T134" s="74"/>
      <c r="U134" s="74"/>
      <c r="V134" s="74"/>
      <c r="W134" s="74"/>
      <c r="X134" s="74"/>
      <c r="Y134" s="74"/>
      <c r="Z134" s="74"/>
      <c r="AA134" s="74"/>
      <c r="AB134" s="74"/>
    </row>
    <row r="135" spans="1:28" ht="12" customHeight="1">
      <c r="A135" s="565"/>
      <c r="B135" s="107"/>
      <c r="C135" s="107"/>
      <c r="D135" s="108"/>
      <c r="E135" s="104"/>
      <c r="F135" s="104"/>
      <c r="G135" s="35"/>
      <c r="H135" s="104"/>
      <c r="I135" s="140"/>
      <c r="J135" s="74"/>
      <c r="K135" s="74"/>
      <c r="L135" s="74"/>
      <c r="M135" s="74"/>
      <c r="N135" s="74"/>
      <c r="O135" s="74"/>
      <c r="P135" s="74"/>
      <c r="Q135" s="74"/>
      <c r="R135" s="74"/>
      <c r="S135" s="74"/>
      <c r="T135" s="74"/>
      <c r="U135" s="74"/>
      <c r="V135" s="74"/>
      <c r="W135" s="74"/>
      <c r="X135" s="74"/>
      <c r="Y135" s="74"/>
      <c r="Z135" s="74"/>
      <c r="AA135" s="74"/>
      <c r="AB135" s="74"/>
    </row>
    <row r="136" spans="1:28" ht="12" customHeight="1">
      <c r="A136" s="565"/>
      <c r="B136" s="107"/>
      <c r="C136" s="107"/>
      <c r="D136" s="108"/>
      <c r="E136" s="104"/>
      <c r="F136" s="104"/>
      <c r="G136" s="35"/>
      <c r="H136" s="104"/>
      <c r="I136" s="140"/>
      <c r="J136" s="74"/>
      <c r="K136" s="74"/>
      <c r="L136" s="74"/>
      <c r="M136" s="74"/>
      <c r="N136" s="74"/>
      <c r="O136" s="74"/>
      <c r="P136" s="74"/>
      <c r="Q136" s="74"/>
      <c r="R136" s="74"/>
      <c r="S136" s="74"/>
      <c r="T136" s="74"/>
      <c r="U136" s="74"/>
      <c r="V136" s="74"/>
      <c r="W136" s="74"/>
      <c r="X136" s="74"/>
      <c r="Y136" s="74"/>
      <c r="Z136" s="74"/>
      <c r="AA136" s="74"/>
      <c r="AB136" s="74"/>
    </row>
    <row r="137" spans="1:28" ht="12" customHeight="1">
      <c r="A137" s="565"/>
      <c r="B137" s="107"/>
      <c r="C137" s="107"/>
      <c r="D137" s="108"/>
      <c r="E137" s="104"/>
      <c r="F137" s="104"/>
      <c r="G137" s="35"/>
      <c r="H137" s="104"/>
      <c r="I137" s="140"/>
      <c r="J137" s="74"/>
      <c r="K137" s="74"/>
      <c r="L137" s="74"/>
      <c r="M137" s="74"/>
      <c r="N137" s="74"/>
      <c r="O137" s="74"/>
      <c r="P137" s="74"/>
      <c r="Q137" s="74"/>
      <c r="R137" s="74"/>
      <c r="S137" s="74"/>
      <c r="T137" s="74"/>
      <c r="U137" s="74"/>
      <c r="V137" s="74"/>
      <c r="W137" s="74"/>
      <c r="X137" s="74"/>
      <c r="Y137" s="74"/>
      <c r="Z137" s="74"/>
      <c r="AA137" s="74"/>
      <c r="AB137" s="74"/>
    </row>
    <row r="138" spans="1:28" ht="12" customHeight="1">
      <c r="A138" s="565"/>
      <c r="B138" s="107"/>
      <c r="C138" s="107"/>
      <c r="D138" s="108"/>
      <c r="E138" s="104"/>
      <c r="F138" s="104"/>
      <c r="G138" s="35"/>
      <c r="H138" s="104"/>
      <c r="I138" s="140"/>
      <c r="J138" s="74"/>
      <c r="K138" s="74"/>
      <c r="L138" s="74"/>
      <c r="M138" s="74"/>
      <c r="N138" s="74"/>
      <c r="O138" s="74"/>
      <c r="P138" s="74"/>
      <c r="Q138" s="74"/>
      <c r="R138" s="74"/>
      <c r="S138" s="74"/>
      <c r="T138" s="74"/>
      <c r="U138" s="74"/>
      <c r="V138" s="74"/>
      <c r="W138" s="74"/>
      <c r="X138" s="74"/>
      <c r="Y138" s="74"/>
      <c r="Z138" s="74"/>
      <c r="AA138" s="74"/>
      <c r="AB138" s="74"/>
    </row>
    <row r="139" spans="1:28" ht="12" customHeight="1">
      <c r="A139" s="565"/>
      <c r="B139" s="107"/>
      <c r="C139" s="107"/>
      <c r="D139" s="108"/>
      <c r="E139" s="104"/>
      <c r="F139" s="104"/>
      <c r="G139" s="35"/>
      <c r="H139" s="104"/>
      <c r="I139" s="140"/>
      <c r="J139" s="74"/>
      <c r="K139" s="74"/>
      <c r="L139" s="74"/>
      <c r="M139" s="74"/>
      <c r="N139" s="74"/>
      <c r="O139" s="74"/>
      <c r="P139" s="74"/>
      <c r="Q139" s="74"/>
      <c r="R139" s="74"/>
      <c r="S139" s="74"/>
      <c r="T139" s="74"/>
      <c r="U139" s="74"/>
      <c r="V139" s="74"/>
      <c r="W139" s="74"/>
      <c r="X139" s="74"/>
      <c r="Y139" s="74"/>
      <c r="Z139" s="74"/>
      <c r="AA139" s="74"/>
      <c r="AB139" s="74"/>
    </row>
    <row r="140" spans="1:28" ht="12" customHeight="1">
      <c r="A140" s="565"/>
      <c r="B140" s="107"/>
      <c r="C140" s="107"/>
      <c r="D140" s="108"/>
      <c r="E140" s="104"/>
      <c r="F140" s="104"/>
      <c r="G140" s="35"/>
      <c r="H140" s="104"/>
      <c r="I140" s="140"/>
      <c r="J140" s="74"/>
      <c r="K140" s="74"/>
      <c r="L140" s="74"/>
      <c r="M140" s="74"/>
      <c r="N140" s="74"/>
      <c r="O140" s="74"/>
      <c r="P140" s="74"/>
      <c r="Q140" s="74"/>
      <c r="R140" s="74"/>
      <c r="S140" s="74"/>
      <c r="T140" s="74"/>
      <c r="U140" s="74"/>
      <c r="V140" s="74"/>
      <c r="W140" s="74"/>
      <c r="X140" s="74"/>
      <c r="Y140" s="74"/>
      <c r="Z140" s="74"/>
      <c r="AA140" s="74"/>
      <c r="AB140" s="74"/>
    </row>
    <row r="141" spans="1:28" ht="12" customHeight="1">
      <c r="A141" s="565"/>
      <c r="B141" s="107"/>
      <c r="C141" s="107"/>
      <c r="D141" s="108"/>
      <c r="E141" s="104"/>
      <c r="F141" s="104"/>
      <c r="G141" s="35"/>
      <c r="H141" s="104"/>
      <c r="I141" s="140"/>
      <c r="J141" s="74"/>
      <c r="K141" s="74"/>
      <c r="L141" s="74"/>
      <c r="M141" s="74"/>
      <c r="N141" s="74"/>
      <c r="O141" s="74"/>
      <c r="P141" s="74"/>
      <c r="Q141" s="74"/>
      <c r="R141" s="74"/>
      <c r="S141" s="74"/>
      <c r="T141" s="74"/>
      <c r="U141" s="74"/>
      <c r="V141" s="74"/>
      <c r="W141" s="74"/>
      <c r="X141" s="74"/>
      <c r="Y141" s="74"/>
      <c r="Z141" s="74"/>
      <c r="AA141" s="74"/>
      <c r="AB141" s="74"/>
    </row>
    <row r="142" spans="1:28" ht="12" customHeight="1">
      <c r="A142" s="565"/>
      <c r="B142" s="107"/>
      <c r="C142" s="107"/>
      <c r="D142" s="108"/>
      <c r="E142" s="104"/>
      <c r="F142" s="104"/>
      <c r="G142" s="35"/>
      <c r="H142" s="104"/>
      <c r="I142" s="140"/>
      <c r="J142" s="74"/>
      <c r="K142" s="74"/>
      <c r="L142" s="74"/>
      <c r="M142" s="74"/>
      <c r="N142" s="74"/>
      <c r="O142" s="74"/>
      <c r="P142" s="74"/>
      <c r="Q142" s="74"/>
      <c r="R142" s="74"/>
      <c r="S142" s="74"/>
      <c r="T142" s="74"/>
      <c r="U142" s="74"/>
      <c r="V142" s="74"/>
      <c r="W142" s="74"/>
      <c r="X142" s="74"/>
      <c r="Y142" s="74"/>
      <c r="Z142" s="74"/>
      <c r="AA142" s="74"/>
      <c r="AB142" s="74"/>
    </row>
    <row r="143" spans="1:28" ht="12" customHeight="1">
      <c r="A143" s="565"/>
      <c r="B143" s="107"/>
      <c r="C143" s="107"/>
      <c r="D143" s="108"/>
      <c r="E143" s="104"/>
      <c r="F143" s="104"/>
      <c r="G143" s="35"/>
      <c r="H143" s="104"/>
      <c r="I143" s="140"/>
      <c r="J143" s="74"/>
      <c r="K143" s="74"/>
      <c r="L143" s="74"/>
      <c r="M143" s="74"/>
      <c r="N143" s="74"/>
      <c r="O143" s="74"/>
      <c r="P143" s="74"/>
      <c r="Q143" s="74"/>
      <c r="R143" s="74"/>
      <c r="S143" s="74"/>
      <c r="T143" s="74"/>
      <c r="U143" s="74"/>
      <c r="V143" s="74"/>
      <c r="W143" s="74"/>
      <c r="X143" s="74"/>
      <c r="Y143" s="74"/>
      <c r="Z143" s="74"/>
      <c r="AA143" s="74"/>
      <c r="AB143" s="74"/>
    </row>
    <row r="144" spans="1:28" ht="12" customHeight="1">
      <c r="A144" s="565"/>
      <c r="B144" s="107"/>
      <c r="C144" s="107"/>
      <c r="D144" s="108"/>
      <c r="E144" s="104"/>
      <c r="F144" s="104"/>
      <c r="G144" s="35"/>
      <c r="H144" s="104"/>
      <c r="I144" s="140"/>
      <c r="J144" s="74"/>
      <c r="K144" s="74"/>
      <c r="L144" s="74"/>
      <c r="M144" s="74"/>
      <c r="N144" s="74"/>
      <c r="O144" s="74"/>
      <c r="P144" s="74"/>
      <c r="Q144" s="74"/>
      <c r="R144" s="74"/>
      <c r="S144" s="74"/>
      <c r="T144" s="74"/>
      <c r="U144" s="74"/>
      <c r="V144" s="74"/>
      <c r="W144" s="74"/>
      <c r="X144" s="74"/>
      <c r="Y144" s="74"/>
      <c r="Z144" s="74"/>
      <c r="AA144" s="74"/>
      <c r="AB144" s="74"/>
    </row>
    <row r="145" spans="1:28" ht="12" customHeight="1">
      <c r="A145" s="565"/>
      <c r="B145" s="107"/>
      <c r="C145" s="107"/>
      <c r="D145" s="108"/>
      <c r="E145" s="104"/>
      <c r="F145" s="104"/>
      <c r="G145" s="35"/>
      <c r="H145" s="104"/>
      <c r="I145" s="140"/>
      <c r="J145" s="74"/>
      <c r="K145" s="74"/>
      <c r="L145" s="74"/>
      <c r="M145" s="74"/>
      <c r="N145" s="74"/>
      <c r="O145" s="74"/>
      <c r="P145" s="74"/>
      <c r="Q145" s="74"/>
      <c r="R145" s="74"/>
      <c r="S145" s="74"/>
      <c r="T145" s="74"/>
      <c r="U145" s="74"/>
      <c r="V145" s="74"/>
      <c r="W145" s="74"/>
      <c r="X145" s="74"/>
      <c r="Y145" s="74"/>
      <c r="Z145" s="74"/>
      <c r="AA145" s="74"/>
      <c r="AB145" s="74"/>
    </row>
    <row r="146" spans="1:28" ht="12" customHeight="1">
      <c r="A146" s="565"/>
      <c r="B146" s="107"/>
      <c r="C146" s="107"/>
      <c r="D146" s="108"/>
      <c r="E146" s="104"/>
      <c r="F146" s="104"/>
      <c r="G146" s="35"/>
      <c r="H146" s="104"/>
      <c r="I146" s="140"/>
      <c r="J146" s="74"/>
      <c r="K146" s="74"/>
      <c r="L146" s="74"/>
      <c r="M146" s="74"/>
      <c r="N146" s="74"/>
      <c r="O146" s="74"/>
      <c r="P146" s="74"/>
      <c r="Q146" s="74"/>
      <c r="R146" s="74"/>
      <c r="S146" s="74"/>
      <c r="T146" s="74"/>
      <c r="U146" s="74"/>
      <c r="V146" s="74"/>
      <c r="W146" s="74"/>
      <c r="X146" s="74"/>
      <c r="Y146" s="74"/>
      <c r="Z146" s="74"/>
      <c r="AA146" s="74"/>
      <c r="AB146" s="74"/>
    </row>
    <row r="147" spans="1:28" ht="12" customHeight="1">
      <c r="A147" s="565"/>
      <c r="B147" s="107"/>
      <c r="C147" s="107"/>
      <c r="D147" s="108"/>
      <c r="E147" s="104"/>
      <c r="F147" s="104"/>
      <c r="G147" s="35"/>
      <c r="H147" s="104"/>
      <c r="I147" s="140"/>
      <c r="J147" s="74"/>
      <c r="K147" s="74"/>
      <c r="L147" s="74"/>
      <c r="M147" s="74"/>
      <c r="N147" s="74"/>
      <c r="O147" s="74"/>
      <c r="P147" s="74"/>
      <c r="Q147" s="74"/>
      <c r="R147" s="74"/>
      <c r="S147" s="74"/>
      <c r="T147" s="74"/>
      <c r="U147" s="74"/>
      <c r="V147" s="74"/>
      <c r="W147" s="74"/>
      <c r="X147" s="74"/>
      <c r="Y147" s="74"/>
      <c r="Z147" s="74"/>
      <c r="AA147" s="74"/>
      <c r="AB147" s="74"/>
    </row>
    <row r="148" spans="1:28" ht="12" customHeight="1">
      <c r="A148" s="565"/>
      <c r="B148" s="107"/>
      <c r="C148" s="107"/>
      <c r="D148" s="108"/>
      <c r="E148" s="104"/>
      <c r="F148" s="104"/>
      <c r="G148" s="35"/>
      <c r="H148" s="104"/>
      <c r="I148" s="140"/>
      <c r="J148" s="74"/>
      <c r="K148" s="74"/>
      <c r="L148" s="74"/>
      <c r="M148" s="74"/>
      <c r="N148" s="74"/>
      <c r="O148" s="74"/>
      <c r="P148" s="74"/>
      <c r="Q148" s="74"/>
      <c r="R148" s="74"/>
      <c r="S148" s="74"/>
      <c r="T148" s="74"/>
      <c r="U148" s="74"/>
      <c r="V148" s="74"/>
      <c r="W148" s="74"/>
      <c r="X148" s="74"/>
      <c r="Y148" s="74"/>
      <c r="Z148" s="74"/>
      <c r="AA148" s="74"/>
      <c r="AB148" s="74"/>
    </row>
    <row r="149" spans="1:28" ht="12" customHeight="1">
      <c r="A149" s="565"/>
      <c r="B149" s="107"/>
      <c r="C149" s="107"/>
      <c r="D149" s="108"/>
      <c r="E149" s="104"/>
      <c r="F149" s="104"/>
      <c r="G149" s="35"/>
      <c r="H149" s="104"/>
      <c r="I149" s="140"/>
      <c r="J149" s="74"/>
      <c r="K149" s="74"/>
      <c r="L149" s="74"/>
      <c r="M149" s="74"/>
      <c r="N149" s="74"/>
      <c r="O149" s="74"/>
      <c r="P149" s="74"/>
      <c r="Q149" s="74"/>
      <c r="R149" s="74"/>
      <c r="S149" s="74"/>
      <c r="T149" s="74"/>
      <c r="U149" s="74"/>
      <c r="V149" s="74"/>
      <c r="W149" s="74"/>
      <c r="X149" s="74"/>
      <c r="Y149" s="74"/>
      <c r="Z149" s="74"/>
      <c r="AA149" s="74"/>
      <c r="AB149" s="74"/>
    </row>
    <row r="150" spans="1:28" ht="12" customHeight="1">
      <c r="A150" s="565"/>
      <c r="B150" s="107"/>
      <c r="C150" s="107"/>
      <c r="D150" s="108"/>
      <c r="E150" s="104"/>
      <c r="F150" s="104"/>
      <c r="G150" s="35"/>
      <c r="H150" s="104"/>
      <c r="I150" s="140"/>
      <c r="J150" s="74"/>
      <c r="K150" s="74"/>
      <c r="L150" s="74"/>
      <c r="M150" s="74"/>
      <c r="N150" s="74"/>
      <c r="O150" s="74"/>
      <c r="P150" s="74"/>
      <c r="Q150" s="74"/>
      <c r="R150" s="74"/>
      <c r="S150" s="74"/>
      <c r="T150" s="74"/>
      <c r="U150" s="74"/>
      <c r="V150" s="74"/>
      <c r="W150" s="74"/>
      <c r="X150" s="74"/>
      <c r="Y150" s="74"/>
      <c r="Z150" s="74"/>
      <c r="AA150" s="74"/>
      <c r="AB150" s="74"/>
    </row>
    <row r="151" spans="1:28" ht="12" customHeight="1">
      <c r="A151" s="565"/>
      <c r="B151" s="107"/>
      <c r="C151" s="107"/>
      <c r="D151" s="108"/>
      <c r="E151" s="104"/>
      <c r="F151" s="104"/>
      <c r="G151" s="35"/>
      <c r="H151" s="104"/>
      <c r="I151" s="140"/>
      <c r="J151" s="74"/>
      <c r="K151" s="74"/>
      <c r="L151" s="74"/>
      <c r="M151" s="74"/>
      <c r="N151" s="74"/>
      <c r="O151" s="74"/>
      <c r="P151" s="74"/>
      <c r="Q151" s="74"/>
      <c r="R151" s="74"/>
      <c r="S151" s="74"/>
      <c r="T151" s="74"/>
      <c r="U151" s="74"/>
      <c r="V151" s="74"/>
      <c r="W151" s="74"/>
      <c r="X151" s="74"/>
      <c r="Y151" s="74"/>
      <c r="Z151" s="74"/>
      <c r="AA151" s="74"/>
      <c r="AB151" s="74"/>
    </row>
    <row r="152" spans="1:28" ht="12" customHeight="1">
      <c r="A152" s="565"/>
      <c r="B152" s="107"/>
      <c r="C152" s="107"/>
      <c r="D152" s="108"/>
      <c r="E152" s="104"/>
      <c r="F152" s="104"/>
      <c r="G152" s="35"/>
      <c r="H152" s="104"/>
      <c r="I152" s="140"/>
      <c r="J152" s="74"/>
      <c r="K152" s="74"/>
      <c r="L152" s="74"/>
      <c r="M152" s="74"/>
      <c r="N152" s="74"/>
      <c r="O152" s="74"/>
      <c r="P152" s="74"/>
      <c r="Q152" s="74"/>
      <c r="R152" s="74"/>
      <c r="S152" s="74"/>
      <c r="T152" s="74"/>
      <c r="U152" s="74"/>
      <c r="V152" s="74"/>
      <c r="W152" s="74"/>
      <c r="X152" s="74"/>
      <c r="Y152" s="74"/>
      <c r="Z152" s="74"/>
      <c r="AA152" s="74"/>
      <c r="AB152" s="74"/>
    </row>
    <row r="153" spans="1:28" ht="12" customHeight="1">
      <c r="A153" s="565"/>
      <c r="B153" s="107"/>
      <c r="C153" s="107"/>
      <c r="D153" s="108"/>
      <c r="E153" s="104"/>
      <c r="F153" s="104"/>
      <c r="G153" s="35"/>
      <c r="H153" s="104"/>
      <c r="I153" s="140"/>
      <c r="J153" s="74"/>
      <c r="K153" s="74"/>
      <c r="L153" s="74"/>
      <c r="M153" s="74"/>
      <c r="N153" s="74"/>
      <c r="O153" s="74"/>
      <c r="P153" s="74"/>
      <c r="Q153" s="74"/>
      <c r="R153" s="74"/>
      <c r="S153" s="74"/>
      <c r="T153" s="74"/>
      <c r="U153" s="74"/>
      <c r="V153" s="74"/>
      <c r="W153" s="74"/>
      <c r="X153" s="74"/>
      <c r="Y153" s="74"/>
      <c r="Z153" s="74"/>
      <c r="AA153" s="74"/>
      <c r="AB153" s="74"/>
    </row>
    <row r="154" spans="1:28" ht="12" customHeight="1">
      <c r="A154" s="565"/>
      <c r="B154" s="107"/>
      <c r="C154" s="107"/>
      <c r="D154" s="108"/>
      <c r="E154" s="104"/>
      <c r="F154" s="104"/>
      <c r="G154" s="35"/>
      <c r="H154" s="104"/>
      <c r="I154" s="140"/>
      <c r="J154" s="74"/>
      <c r="K154" s="74"/>
      <c r="L154" s="74"/>
      <c r="M154" s="74"/>
      <c r="N154" s="74"/>
      <c r="O154" s="74"/>
      <c r="P154" s="74"/>
      <c r="Q154" s="74"/>
      <c r="R154" s="74"/>
      <c r="S154" s="74"/>
      <c r="T154" s="74"/>
      <c r="U154" s="74"/>
      <c r="V154" s="74"/>
      <c r="W154" s="74"/>
      <c r="X154" s="74"/>
      <c r="Y154" s="74"/>
      <c r="Z154" s="74"/>
      <c r="AA154" s="74"/>
      <c r="AB154" s="74"/>
    </row>
    <row r="155" spans="1:28" ht="12" customHeight="1">
      <c r="A155" s="565"/>
      <c r="B155" s="107"/>
      <c r="C155" s="107"/>
      <c r="D155" s="108"/>
      <c r="E155" s="104"/>
      <c r="F155" s="104"/>
      <c r="G155" s="35"/>
      <c r="H155" s="104"/>
      <c r="I155" s="140"/>
      <c r="J155" s="74"/>
      <c r="K155" s="74"/>
      <c r="L155" s="74"/>
      <c r="M155" s="74"/>
      <c r="N155" s="74"/>
      <c r="O155" s="74"/>
      <c r="P155" s="74"/>
      <c r="Q155" s="74"/>
      <c r="R155" s="74"/>
      <c r="S155" s="74"/>
      <c r="T155" s="74"/>
      <c r="U155" s="74"/>
      <c r="V155" s="74"/>
      <c r="W155" s="74"/>
      <c r="X155" s="74"/>
      <c r="Y155" s="74"/>
      <c r="Z155" s="74"/>
      <c r="AA155" s="74"/>
      <c r="AB155" s="74"/>
    </row>
    <row r="156" spans="1:28" ht="12" customHeight="1">
      <c r="A156" s="565"/>
      <c r="B156" s="107"/>
      <c r="C156" s="107"/>
      <c r="D156" s="108"/>
      <c r="E156" s="104"/>
      <c r="F156" s="104"/>
      <c r="G156" s="35"/>
      <c r="H156" s="104"/>
      <c r="I156" s="140"/>
      <c r="J156" s="74"/>
      <c r="K156" s="74"/>
      <c r="L156" s="74"/>
      <c r="M156" s="74"/>
      <c r="N156" s="74"/>
      <c r="O156" s="74"/>
      <c r="P156" s="74"/>
      <c r="Q156" s="74"/>
      <c r="R156" s="74"/>
      <c r="S156" s="74"/>
      <c r="T156" s="74"/>
      <c r="U156" s="74"/>
      <c r="V156" s="74"/>
      <c r="W156" s="74"/>
      <c r="X156" s="74"/>
      <c r="Y156" s="74"/>
      <c r="Z156" s="74"/>
      <c r="AA156" s="74"/>
      <c r="AB156" s="74"/>
    </row>
    <row r="157" spans="1:28" ht="12" customHeight="1">
      <c r="A157" s="565"/>
      <c r="B157" s="107"/>
      <c r="C157" s="107"/>
      <c r="D157" s="108"/>
      <c r="E157" s="104"/>
      <c r="F157" s="104"/>
      <c r="G157" s="35"/>
      <c r="H157" s="104"/>
      <c r="I157" s="140"/>
      <c r="J157" s="74"/>
      <c r="K157" s="74"/>
      <c r="L157" s="74"/>
      <c r="M157" s="74"/>
      <c r="N157" s="74"/>
      <c r="O157" s="74"/>
      <c r="P157" s="74"/>
      <c r="Q157" s="74"/>
      <c r="R157" s="74"/>
      <c r="S157" s="74"/>
      <c r="T157" s="74"/>
      <c r="U157" s="74"/>
      <c r="V157" s="74"/>
      <c r="W157" s="74"/>
      <c r="X157" s="74"/>
      <c r="Y157" s="74"/>
      <c r="Z157" s="74"/>
      <c r="AA157" s="74"/>
      <c r="AB157" s="74"/>
    </row>
    <row r="158" spans="1:28" ht="12" customHeight="1">
      <c r="A158" s="565"/>
      <c r="B158" s="107"/>
      <c r="C158" s="107"/>
      <c r="D158" s="108"/>
      <c r="E158" s="104"/>
      <c r="F158" s="104"/>
      <c r="G158" s="35"/>
      <c r="H158" s="104"/>
      <c r="I158" s="140"/>
      <c r="J158" s="74"/>
      <c r="K158" s="74"/>
      <c r="L158" s="74"/>
      <c r="M158" s="74"/>
      <c r="N158" s="74"/>
      <c r="O158" s="74"/>
      <c r="P158" s="74"/>
      <c r="Q158" s="74"/>
      <c r="R158" s="74"/>
      <c r="S158" s="74"/>
      <c r="T158" s="74"/>
      <c r="U158" s="74"/>
      <c r="V158" s="74"/>
      <c r="W158" s="74"/>
      <c r="X158" s="74"/>
      <c r="Y158" s="74"/>
      <c r="Z158" s="74"/>
      <c r="AA158" s="74"/>
      <c r="AB158" s="74"/>
    </row>
    <row r="159" spans="1:28" ht="12" customHeight="1">
      <c r="A159" s="565"/>
      <c r="B159" s="107"/>
      <c r="C159" s="107"/>
      <c r="D159" s="108"/>
      <c r="E159" s="104"/>
      <c r="F159" s="104"/>
      <c r="G159" s="35"/>
      <c r="H159" s="104"/>
      <c r="I159" s="140"/>
      <c r="J159" s="74"/>
      <c r="K159" s="74"/>
      <c r="L159" s="74"/>
      <c r="M159" s="74"/>
      <c r="N159" s="74"/>
      <c r="O159" s="74"/>
      <c r="P159" s="74"/>
      <c r="Q159" s="74"/>
      <c r="R159" s="74"/>
      <c r="S159" s="74"/>
      <c r="T159" s="74"/>
      <c r="U159" s="74"/>
      <c r="V159" s="74"/>
      <c r="W159" s="74"/>
      <c r="X159" s="74"/>
      <c r="Y159" s="74"/>
      <c r="Z159" s="74"/>
      <c r="AA159" s="74"/>
      <c r="AB159" s="74"/>
    </row>
    <row r="160" spans="1:28" ht="12" customHeight="1">
      <c r="A160" s="565"/>
      <c r="B160" s="107"/>
      <c r="C160" s="107"/>
      <c r="D160" s="108"/>
      <c r="E160" s="104"/>
      <c r="F160" s="104"/>
      <c r="G160" s="35"/>
      <c r="H160" s="104"/>
      <c r="I160" s="140"/>
      <c r="J160" s="74"/>
      <c r="K160" s="74"/>
      <c r="L160" s="74"/>
      <c r="M160" s="74"/>
      <c r="N160" s="74"/>
      <c r="O160" s="74"/>
      <c r="P160" s="74"/>
      <c r="Q160" s="74"/>
      <c r="R160" s="74"/>
      <c r="S160" s="74"/>
      <c r="T160" s="74"/>
      <c r="U160" s="74"/>
      <c r="V160" s="74"/>
      <c r="W160" s="74"/>
      <c r="X160" s="74"/>
      <c r="Y160" s="74"/>
      <c r="Z160" s="74"/>
      <c r="AA160" s="74"/>
      <c r="AB160" s="74"/>
    </row>
    <row r="161" spans="1:28" ht="12" customHeight="1">
      <c r="A161" s="565"/>
      <c r="B161" s="107"/>
      <c r="C161" s="107"/>
      <c r="D161" s="108"/>
      <c r="E161" s="104"/>
      <c r="F161" s="104"/>
      <c r="G161" s="35"/>
      <c r="H161" s="104"/>
      <c r="I161" s="140"/>
      <c r="J161" s="74"/>
      <c r="K161" s="74"/>
      <c r="L161" s="74"/>
      <c r="M161" s="74"/>
      <c r="N161" s="74"/>
      <c r="O161" s="74"/>
      <c r="P161" s="74"/>
      <c r="Q161" s="74"/>
      <c r="R161" s="74"/>
      <c r="S161" s="74"/>
      <c r="T161" s="74"/>
      <c r="U161" s="74"/>
      <c r="V161" s="74"/>
      <c r="W161" s="74"/>
      <c r="X161" s="74"/>
      <c r="Y161" s="74"/>
      <c r="Z161" s="74"/>
      <c r="AA161" s="74"/>
      <c r="AB161" s="74"/>
    </row>
    <row r="162" spans="1:28" ht="12" customHeight="1">
      <c r="A162" s="565"/>
      <c r="B162" s="107"/>
      <c r="C162" s="107"/>
      <c r="D162" s="108"/>
      <c r="E162" s="104"/>
      <c r="F162" s="104"/>
      <c r="G162" s="35"/>
      <c r="H162" s="104"/>
      <c r="I162" s="140"/>
      <c r="J162" s="74"/>
      <c r="K162" s="74"/>
      <c r="L162" s="74"/>
      <c r="M162" s="74"/>
      <c r="N162" s="74"/>
      <c r="O162" s="74"/>
      <c r="P162" s="74"/>
      <c r="Q162" s="74"/>
      <c r="R162" s="74"/>
      <c r="S162" s="74"/>
      <c r="T162" s="74"/>
      <c r="U162" s="74"/>
      <c r="V162" s="74"/>
      <c r="W162" s="74"/>
      <c r="X162" s="74"/>
      <c r="Y162" s="74"/>
      <c r="Z162" s="74"/>
      <c r="AA162" s="74"/>
      <c r="AB162" s="74"/>
    </row>
    <row r="163" spans="1:28" ht="12" customHeight="1">
      <c r="A163" s="565"/>
      <c r="B163" s="107"/>
      <c r="C163" s="107"/>
      <c r="D163" s="108"/>
      <c r="E163" s="104"/>
      <c r="F163" s="104"/>
      <c r="G163" s="35"/>
      <c r="H163" s="104"/>
      <c r="I163" s="140"/>
      <c r="J163" s="74"/>
      <c r="K163" s="74"/>
      <c r="L163" s="74"/>
      <c r="M163" s="74"/>
      <c r="N163" s="74"/>
      <c r="O163" s="74"/>
      <c r="P163" s="74"/>
      <c r="Q163" s="74"/>
      <c r="R163" s="74"/>
      <c r="S163" s="74"/>
      <c r="T163" s="74"/>
      <c r="U163" s="74"/>
      <c r="V163" s="74"/>
      <c r="W163" s="74"/>
      <c r="X163" s="74"/>
      <c r="Y163" s="74"/>
      <c r="Z163" s="74"/>
      <c r="AA163" s="74"/>
      <c r="AB163" s="74"/>
    </row>
    <row r="164" spans="1:28" ht="12" customHeight="1">
      <c r="A164" s="565"/>
      <c r="B164" s="107"/>
      <c r="C164" s="107"/>
      <c r="D164" s="108"/>
      <c r="E164" s="104"/>
      <c r="F164" s="104"/>
      <c r="G164" s="35"/>
      <c r="H164" s="104"/>
      <c r="I164" s="140"/>
      <c r="J164" s="74"/>
      <c r="K164" s="74"/>
      <c r="L164" s="74"/>
      <c r="M164" s="74"/>
      <c r="N164" s="74"/>
      <c r="O164" s="74"/>
      <c r="P164" s="74"/>
      <c r="Q164" s="74"/>
      <c r="R164" s="74"/>
      <c r="S164" s="74"/>
      <c r="T164" s="74"/>
      <c r="U164" s="74"/>
      <c r="V164" s="74"/>
      <c r="W164" s="74"/>
      <c r="X164" s="74"/>
      <c r="Y164" s="74"/>
      <c r="Z164" s="74"/>
      <c r="AA164" s="74"/>
      <c r="AB164" s="74"/>
    </row>
    <row r="165" spans="1:28" ht="12" customHeight="1">
      <c r="A165" s="565"/>
      <c r="B165" s="107"/>
      <c r="C165" s="107"/>
      <c r="D165" s="108"/>
      <c r="E165" s="104"/>
      <c r="F165" s="104"/>
      <c r="G165" s="35"/>
      <c r="H165" s="104"/>
      <c r="I165" s="140"/>
      <c r="J165" s="74"/>
      <c r="K165" s="74"/>
      <c r="L165" s="74"/>
      <c r="M165" s="74"/>
      <c r="N165" s="74"/>
      <c r="O165" s="74"/>
      <c r="P165" s="74"/>
      <c r="Q165" s="74"/>
      <c r="R165" s="74"/>
      <c r="S165" s="74"/>
      <c r="T165" s="74"/>
      <c r="U165" s="74"/>
      <c r="V165" s="74"/>
      <c r="W165" s="74"/>
      <c r="X165" s="74"/>
      <c r="Y165" s="74"/>
      <c r="Z165" s="74"/>
      <c r="AA165" s="74"/>
      <c r="AB165" s="74"/>
    </row>
    <row r="166" spans="1:28" ht="12" customHeight="1">
      <c r="A166" s="565"/>
      <c r="B166" s="107"/>
      <c r="C166" s="107"/>
      <c r="D166" s="108"/>
      <c r="E166" s="104"/>
      <c r="F166" s="104"/>
      <c r="G166" s="35"/>
      <c r="H166" s="104"/>
      <c r="I166" s="140"/>
      <c r="J166" s="74"/>
      <c r="K166" s="74"/>
      <c r="L166" s="74"/>
      <c r="M166" s="74"/>
      <c r="N166" s="74"/>
      <c r="O166" s="74"/>
      <c r="P166" s="74"/>
      <c r="Q166" s="74"/>
      <c r="R166" s="74"/>
      <c r="S166" s="74"/>
      <c r="T166" s="74"/>
      <c r="U166" s="74"/>
      <c r="V166" s="74"/>
      <c r="W166" s="74"/>
      <c r="X166" s="74"/>
      <c r="Y166" s="74"/>
      <c r="Z166" s="74"/>
      <c r="AA166" s="74"/>
      <c r="AB166" s="74"/>
    </row>
    <row r="167" spans="1:28" ht="12" customHeight="1">
      <c r="A167" s="565"/>
      <c r="B167" s="107"/>
      <c r="C167" s="107"/>
      <c r="D167" s="108"/>
      <c r="E167" s="104"/>
      <c r="F167" s="104"/>
      <c r="G167" s="35"/>
      <c r="H167" s="104"/>
      <c r="I167" s="140"/>
      <c r="J167" s="74"/>
      <c r="K167" s="74"/>
      <c r="L167" s="74"/>
      <c r="M167" s="74"/>
      <c r="N167" s="74"/>
      <c r="O167" s="74"/>
      <c r="P167" s="74"/>
      <c r="Q167" s="74"/>
      <c r="R167" s="74"/>
      <c r="S167" s="74"/>
      <c r="T167" s="74"/>
      <c r="U167" s="74"/>
      <c r="V167" s="74"/>
      <c r="W167" s="74"/>
      <c r="X167" s="74"/>
      <c r="Y167" s="74"/>
      <c r="Z167" s="74"/>
      <c r="AA167" s="74"/>
      <c r="AB167" s="74"/>
    </row>
    <row r="168" spans="1:28" ht="12" customHeight="1">
      <c r="A168" s="565"/>
      <c r="B168" s="107"/>
      <c r="C168" s="107"/>
      <c r="D168" s="108"/>
      <c r="E168" s="104"/>
      <c r="F168" s="104"/>
      <c r="G168" s="35"/>
      <c r="H168" s="104"/>
      <c r="I168" s="140"/>
      <c r="J168" s="74"/>
      <c r="K168" s="74"/>
      <c r="L168" s="74"/>
      <c r="M168" s="74"/>
      <c r="N168" s="74"/>
      <c r="O168" s="74"/>
      <c r="P168" s="74"/>
      <c r="Q168" s="74"/>
      <c r="R168" s="74"/>
      <c r="S168" s="74"/>
      <c r="T168" s="74"/>
      <c r="U168" s="74"/>
      <c r="V168" s="74"/>
      <c r="W168" s="74"/>
      <c r="X168" s="74"/>
      <c r="Y168" s="74"/>
      <c r="Z168" s="74"/>
      <c r="AA168" s="74"/>
      <c r="AB168" s="74"/>
    </row>
    <row r="169" spans="1:28" ht="12" customHeight="1">
      <c r="A169" s="565"/>
      <c r="B169" s="107"/>
      <c r="C169" s="107"/>
      <c r="D169" s="108"/>
      <c r="E169" s="104"/>
      <c r="F169" s="104"/>
      <c r="G169" s="35"/>
      <c r="H169" s="104"/>
      <c r="I169" s="140"/>
      <c r="J169" s="74"/>
      <c r="K169" s="74"/>
      <c r="L169" s="74"/>
      <c r="M169" s="74"/>
      <c r="N169" s="74"/>
      <c r="O169" s="74"/>
      <c r="P169" s="74"/>
      <c r="Q169" s="74"/>
      <c r="R169" s="74"/>
      <c r="S169" s="74"/>
      <c r="T169" s="74"/>
      <c r="U169" s="74"/>
      <c r="V169" s="74"/>
      <c r="W169" s="74"/>
      <c r="X169" s="74"/>
      <c r="Y169" s="74"/>
      <c r="Z169" s="74"/>
      <c r="AA169" s="74"/>
      <c r="AB169" s="74"/>
    </row>
    <row r="170" spans="1:28" ht="12" customHeight="1">
      <c r="A170" s="565"/>
      <c r="B170" s="107"/>
      <c r="C170" s="107"/>
      <c r="D170" s="108"/>
      <c r="E170" s="104"/>
      <c r="F170" s="104"/>
      <c r="G170" s="35"/>
      <c r="H170" s="104"/>
      <c r="I170" s="140"/>
      <c r="J170" s="74"/>
      <c r="K170" s="74"/>
      <c r="L170" s="74"/>
      <c r="M170" s="74"/>
      <c r="N170" s="74"/>
      <c r="O170" s="74"/>
      <c r="P170" s="74"/>
      <c r="Q170" s="74"/>
      <c r="R170" s="74"/>
      <c r="S170" s="74"/>
      <c r="T170" s="74"/>
      <c r="U170" s="74"/>
      <c r="V170" s="74"/>
      <c r="W170" s="74"/>
      <c r="X170" s="74"/>
      <c r="Y170" s="74"/>
      <c r="Z170" s="74"/>
      <c r="AA170" s="74"/>
      <c r="AB170" s="74"/>
    </row>
    <row r="171" spans="1:28" ht="12" customHeight="1">
      <c r="A171" s="565"/>
      <c r="B171" s="107"/>
      <c r="C171" s="107"/>
      <c r="D171" s="108"/>
      <c r="E171" s="104"/>
      <c r="F171" s="104"/>
      <c r="G171" s="35"/>
      <c r="H171" s="104"/>
      <c r="I171" s="140"/>
      <c r="J171" s="74"/>
      <c r="K171" s="74"/>
      <c r="L171" s="74"/>
      <c r="M171" s="74"/>
      <c r="N171" s="74"/>
      <c r="O171" s="74"/>
      <c r="P171" s="74"/>
      <c r="Q171" s="74"/>
      <c r="R171" s="74"/>
      <c r="S171" s="74"/>
      <c r="T171" s="74"/>
      <c r="U171" s="74"/>
      <c r="V171" s="74"/>
      <c r="W171" s="74"/>
      <c r="X171" s="74"/>
      <c r="Y171" s="74"/>
      <c r="Z171" s="74"/>
      <c r="AA171" s="74"/>
      <c r="AB171" s="74"/>
    </row>
    <row r="172" spans="1:28" ht="12" customHeight="1">
      <c r="A172" s="565"/>
      <c r="B172" s="107"/>
      <c r="C172" s="107"/>
      <c r="D172" s="108"/>
      <c r="E172" s="104"/>
      <c r="F172" s="104"/>
      <c r="G172" s="35"/>
      <c r="H172" s="104"/>
      <c r="I172" s="140"/>
      <c r="J172" s="74"/>
      <c r="K172" s="74"/>
      <c r="L172" s="74"/>
      <c r="M172" s="74"/>
      <c r="N172" s="74"/>
      <c r="O172" s="74"/>
      <c r="P172" s="74"/>
      <c r="Q172" s="74"/>
      <c r="R172" s="74"/>
      <c r="S172" s="74"/>
      <c r="T172" s="74"/>
      <c r="U172" s="74"/>
      <c r="V172" s="74"/>
      <c r="W172" s="74"/>
      <c r="X172" s="74"/>
      <c r="Y172" s="74"/>
      <c r="Z172" s="74"/>
      <c r="AA172" s="74"/>
      <c r="AB172" s="74"/>
    </row>
    <row r="173" spans="1:28" ht="12" customHeight="1">
      <c r="A173" s="565"/>
      <c r="B173" s="107"/>
      <c r="C173" s="107"/>
      <c r="D173" s="108"/>
      <c r="E173" s="104"/>
      <c r="F173" s="104"/>
      <c r="G173" s="35"/>
      <c r="H173" s="104"/>
      <c r="I173" s="140"/>
      <c r="J173" s="74"/>
      <c r="K173" s="74"/>
      <c r="L173" s="74"/>
      <c r="M173" s="74"/>
      <c r="N173" s="74"/>
      <c r="O173" s="74"/>
      <c r="P173" s="74"/>
      <c r="Q173" s="74"/>
      <c r="R173" s="74"/>
      <c r="S173" s="74"/>
      <c r="T173" s="74"/>
      <c r="U173" s="74"/>
      <c r="V173" s="74"/>
      <c r="W173" s="74"/>
      <c r="X173" s="74"/>
      <c r="Y173" s="74"/>
      <c r="Z173" s="74"/>
      <c r="AA173" s="74"/>
      <c r="AB173" s="74"/>
    </row>
    <row r="174" spans="1:28" ht="12" customHeight="1">
      <c r="A174" s="565"/>
      <c r="B174" s="107"/>
      <c r="C174" s="107"/>
      <c r="D174" s="108"/>
      <c r="E174" s="104"/>
      <c r="F174" s="104"/>
      <c r="G174" s="35"/>
      <c r="H174" s="104"/>
      <c r="I174" s="140"/>
      <c r="J174" s="74"/>
      <c r="K174" s="74"/>
      <c r="L174" s="74"/>
      <c r="M174" s="74"/>
      <c r="N174" s="74"/>
      <c r="O174" s="74"/>
      <c r="P174" s="74"/>
      <c r="Q174" s="74"/>
      <c r="R174" s="74"/>
      <c r="S174" s="74"/>
      <c r="T174" s="74"/>
      <c r="U174" s="74"/>
      <c r="V174" s="74"/>
      <c r="W174" s="74"/>
      <c r="X174" s="74"/>
      <c r="Y174" s="74"/>
      <c r="Z174" s="74"/>
      <c r="AA174" s="74"/>
      <c r="AB174" s="74"/>
    </row>
    <row r="175" spans="1:28" ht="12" customHeight="1">
      <c r="A175" s="565"/>
      <c r="B175" s="107"/>
      <c r="C175" s="107"/>
      <c r="D175" s="108"/>
      <c r="E175" s="104"/>
      <c r="F175" s="104"/>
      <c r="G175" s="35"/>
      <c r="H175" s="104"/>
      <c r="I175" s="140"/>
      <c r="J175" s="74"/>
      <c r="K175" s="74"/>
      <c r="L175" s="74"/>
      <c r="M175" s="74"/>
      <c r="N175" s="74"/>
      <c r="O175" s="74"/>
      <c r="P175" s="74"/>
      <c r="Q175" s="74"/>
      <c r="R175" s="74"/>
      <c r="S175" s="74"/>
      <c r="T175" s="74"/>
      <c r="U175" s="74"/>
      <c r="V175" s="74"/>
      <c r="W175" s="74"/>
      <c r="X175" s="74"/>
      <c r="Y175" s="74"/>
      <c r="Z175" s="74"/>
      <c r="AA175" s="74"/>
      <c r="AB175" s="74"/>
    </row>
    <row r="176" spans="1:28" ht="12" customHeight="1">
      <c r="A176" s="565"/>
      <c r="B176" s="107"/>
      <c r="C176" s="107"/>
      <c r="D176" s="108"/>
      <c r="E176" s="104"/>
      <c r="F176" s="104"/>
      <c r="G176" s="35"/>
      <c r="H176" s="104"/>
      <c r="I176" s="140"/>
      <c r="J176" s="74"/>
      <c r="K176" s="74"/>
      <c r="L176" s="74"/>
      <c r="M176" s="74"/>
      <c r="N176" s="74"/>
      <c r="O176" s="74"/>
      <c r="P176" s="74"/>
      <c r="Q176" s="74"/>
      <c r="R176" s="74"/>
      <c r="S176" s="74"/>
      <c r="T176" s="74"/>
      <c r="U176" s="74"/>
      <c r="V176" s="74"/>
      <c r="W176" s="74"/>
      <c r="X176" s="74"/>
      <c r="Y176" s="74"/>
      <c r="Z176" s="74"/>
      <c r="AA176" s="74"/>
      <c r="AB176" s="74"/>
    </row>
    <row r="177" spans="1:28" ht="12" customHeight="1">
      <c r="A177" s="565"/>
      <c r="B177" s="107"/>
      <c r="C177" s="107"/>
      <c r="D177" s="108"/>
      <c r="E177" s="104"/>
      <c r="F177" s="104"/>
      <c r="G177" s="35"/>
      <c r="H177" s="104"/>
      <c r="I177" s="140"/>
      <c r="J177" s="74"/>
      <c r="K177" s="74"/>
      <c r="L177" s="74"/>
      <c r="M177" s="74"/>
      <c r="N177" s="74"/>
      <c r="O177" s="74"/>
      <c r="P177" s="74"/>
      <c r="Q177" s="74"/>
      <c r="R177" s="74"/>
      <c r="S177" s="74"/>
      <c r="T177" s="74"/>
      <c r="U177" s="74"/>
      <c r="V177" s="74"/>
      <c r="W177" s="74"/>
      <c r="X177" s="74"/>
      <c r="Y177" s="74"/>
      <c r="Z177" s="74"/>
      <c r="AA177" s="74"/>
      <c r="AB177" s="74"/>
    </row>
    <row r="178" spans="1:28" ht="12" customHeight="1">
      <c r="A178" s="565"/>
      <c r="B178" s="107"/>
      <c r="C178" s="107"/>
      <c r="D178" s="108"/>
      <c r="E178" s="104"/>
      <c r="F178" s="104"/>
      <c r="G178" s="35"/>
      <c r="H178" s="104"/>
      <c r="I178" s="140"/>
      <c r="J178" s="74"/>
      <c r="K178" s="74"/>
      <c r="L178" s="74"/>
      <c r="M178" s="74"/>
      <c r="N178" s="74"/>
      <c r="O178" s="74"/>
      <c r="P178" s="74"/>
      <c r="Q178" s="74"/>
      <c r="R178" s="74"/>
      <c r="S178" s="74"/>
      <c r="T178" s="74"/>
      <c r="U178" s="74"/>
      <c r="V178" s="74"/>
      <c r="W178" s="74"/>
      <c r="X178" s="74"/>
      <c r="Y178" s="74"/>
      <c r="Z178" s="74"/>
      <c r="AA178" s="74"/>
      <c r="AB178" s="74"/>
    </row>
    <row r="179" spans="1:28" ht="12" customHeight="1">
      <c r="A179" s="565"/>
      <c r="B179" s="107"/>
      <c r="C179" s="107"/>
      <c r="D179" s="108"/>
      <c r="E179" s="104"/>
      <c r="F179" s="104"/>
      <c r="G179" s="35"/>
      <c r="H179" s="104"/>
      <c r="I179" s="140"/>
      <c r="J179" s="74"/>
      <c r="K179" s="74"/>
      <c r="L179" s="74"/>
      <c r="M179" s="74"/>
      <c r="N179" s="74"/>
      <c r="O179" s="74"/>
      <c r="P179" s="74"/>
      <c r="Q179" s="74"/>
      <c r="R179" s="74"/>
      <c r="S179" s="74"/>
      <c r="T179" s="74"/>
      <c r="U179" s="74"/>
      <c r="V179" s="74"/>
      <c r="W179" s="74"/>
      <c r="X179" s="74"/>
      <c r="Y179" s="74"/>
      <c r="Z179" s="74"/>
      <c r="AA179" s="74"/>
      <c r="AB179" s="74"/>
    </row>
    <row r="180" spans="1:28" ht="12" customHeight="1">
      <c r="A180" s="565"/>
      <c r="B180" s="107"/>
      <c r="C180" s="107"/>
      <c r="D180" s="108"/>
      <c r="E180" s="104"/>
      <c r="F180" s="104"/>
      <c r="G180" s="35"/>
      <c r="H180" s="104"/>
      <c r="I180" s="140"/>
      <c r="J180" s="74"/>
      <c r="K180" s="74"/>
      <c r="L180" s="74"/>
      <c r="M180" s="74"/>
      <c r="N180" s="74"/>
      <c r="O180" s="74"/>
      <c r="P180" s="74"/>
      <c r="Q180" s="74"/>
      <c r="R180" s="74"/>
      <c r="S180" s="74"/>
      <c r="T180" s="74"/>
      <c r="U180" s="74"/>
      <c r="V180" s="74"/>
      <c r="W180" s="74"/>
      <c r="X180" s="74"/>
      <c r="Y180" s="74"/>
      <c r="Z180" s="74"/>
      <c r="AA180" s="74"/>
      <c r="AB180" s="74"/>
    </row>
    <row r="181" spans="1:28" ht="12" customHeight="1">
      <c r="A181" s="565"/>
      <c r="B181" s="107"/>
      <c r="C181" s="107"/>
      <c r="D181" s="108"/>
      <c r="E181" s="104"/>
      <c r="F181" s="104"/>
      <c r="G181" s="35"/>
      <c r="H181" s="104"/>
      <c r="I181" s="140"/>
      <c r="J181" s="74"/>
      <c r="K181" s="74"/>
      <c r="L181" s="74"/>
      <c r="M181" s="74"/>
      <c r="N181" s="74"/>
      <c r="O181" s="74"/>
      <c r="P181" s="74"/>
      <c r="Q181" s="74"/>
      <c r="R181" s="74"/>
      <c r="S181" s="74"/>
      <c r="T181" s="74"/>
      <c r="U181" s="74"/>
      <c r="V181" s="74"/>
      <c r="W181" s="74"/>
      <c r="X181" s="74"/>
      <c r="Y181" s="74"/>
      <c r="Z181" s="74"/>
      <c r="AA181" s="74"/>
      <c r="AB181" s="74"/>
    </row>
    <row r="182" spans="1:28" ht="12" customHeight="1">
      <c r="A182" s="565"/>
      <c r="B182" s="107"/>
      <c r="C182" s="107"/>
      <c r="D182" s="108"/>
      <c r="E182" s="104"/>
      <c r="F182" s="104"/>
      <c r="G182" s="35"/>
      <c r="H182" s="104"/>
      <c r="I182" s="140"/>
      <c r="J182" s="74"/>
      <c r="K182" s="74"/>
      <c r="L182" s="74"/>
      <c r="M182" s="74"/>
      <c r="N182" s="74"/>
      <c r="O182" s="74"/>
      <c r="P182" s="74"/>
      <c r="Q182" s="74"/>
      <c r="R182" s="74"/>
      <c r="S182" s="74"/>
      <c r="T182" s="74"/>
      <c r="U182" s="74"/>
      <c r="V182" s="74"/>
      <c r="W182" s="74"/>
      <c r="X182" s="74"/>
      <c r="Y182" s="74"/>
      <c r="Z182" s="74"/>
      <c r="AA182" s="74"/>
      <c r="AB182" s="74"/>
    </row>
    <row r="183" spans="1:28" ht="12" customHeight="1">
      <c r="A183" s="565"/>
      <c r="B183" s="107"/>
      <c r="C183" s="107"/>
      <c r="D183" s="108"/>
      <c r="E183" s="104"/>
      <c r="F183" s="104"/>
      <c r="G183" s="35"/>
      <c r="H183" s="104"/>
      <c r="I183" s="140"/>
      <c r="J183" s="74"/>
      <c r="K183" s="74"/>
      <c r="L183" s="74"/>
      <c r="M183" s="74"/>
      <c r="N183" s="74"/>
      <c r="O183" s="74"/>
      <c r="P183" s="74"/>
      <c r="Q183" s="74"/>
      <c r="R183" s="74"/>
      <c r="S183" s="74"/>
      <c r="T183" s="74"/>
      <c r="U183" s="74"/>
      <c r="V183" s="74"/>
      <c r="W183" s="74"/>
      <c r="X183" s="74"/>
      <c r="Y183" s="74"/>
      <c r="Z183" s="74"/>
      <c r="AA183" s="74"/>
      <c r="AB183" s="74"/>
    </row>
    <row r="184" spans="1:28" ht="12" customHeight="1">
      <c r="A184" s="565"/>
      <c r="B184" s="107"/>
      <c r="C184" s="107"/>
      <c r="D184" s="108"/>
      <c r="E184" s="104"/>
      <c r="F184" s="104"/>
      <c r="G184" s="35"/>
      <c r="H184" s="104"/>
      <c r="I184" s="140"/>
      <c r="J184" s="74"/>
      <c r="K184" s="74"/>
      <c r="L184" s="74"/>
      <c r="M184" s="74"/>
      <c r="N184" s="74"/>
      <c r="O184" s="74"/>
      <c r="P184" s="74"/>
      <c r="Q184" s="74"/>
      <c r="R184" s="74"/>
      <c r="S184" s="74"/>
      <c r="T184" s="74"/>
      <c r="U184" s="74"/>
      <c r="V184" s="74"/>
      <c r="W184" s="74"/>
      <c r="X184" s="74"/>
      <c r="Y184" s="74"/>
      <c r="Z184" s="74"/>
      <c r="AA184" s="74"/>
      <c r="AB184" s="74"/>
    </row>
    <row r="185" spans="1:28" ht="12" customHeight="1">
      <c r="A185" s="565"/>
      <c r="B185" s="107"/>
      <c r="C185" s="107"/>
      <c r="D185" s="108"/>
      <c r="E185" s="104"/>
      <c r="F185" s="104"/>
      <c r="G185" s="35"/>
      <c r="H185" s="104"/>
      <c r="I185" s="140"/>
      <c r="J185" s="74"/>
      <c r="K185" s="74"/>
      <c r="L185" s="74"/>
      <c r="M185" s="74"/>
      <c r="N185" s="74"/>
      <c r="O185" s="74"/>
      <c r="P185" s="74"/>
      <c r="Q185" s="74"/>
      <c r="R185" s="74"/>
      <c r="S185" s="74"/>
      <c r="T185" s="74"/>
      <c r="U185" s="74"/>
      <c r="V185" s="74"/>
      <c r="W185" s="74"/>
      <c r="X185" s="74"/>
      <c r="Y185" s="74"/>
      <c r="Z185" s="74"/>
      <c r="AA185" s="74"/>
      <c r="AB185" s="74"/>
    </row>
    <row r="186" spans="1:28" ht="12" customHeight="1">
      <c r="A186" s="565"/>
      <c r="B186" s="107"/>
      <c r="C186" s="107"/>
      <c r="D186" s="108"/>
      <c r="E186" s="104"/>
      <c r="F186" s="104"/>
      <c r="G186" s="35"/>
      <c r="H186" s="104"/>
      <c r="I186" s="140"/>
      <c r="J186" s="74"/>
      <c r="K186" s="74"/>
      <c r="L186" s="74"/>
      <c r="M186" s="74"/>
      <c r="N186" s="74"/>
      <c r="O186" s="74"/>
      <c r="P186" s="74"/>
      <c r="Q186" s="74"/>
      <c r="R186" s="74"/>
      <c r="S186" s="74"/>
      <c r="T186" s="74"/>
      <c r="U186" s="74"/>
      <c r="V186" s="74"/>
      <c r="W186" s="74"/>
      <c r="X186" s="74"/>
      <c r="Y186" s="74"/>
      <c r="Z186" s="74"/>
      <c r="AA186" s="74"/>
      <c r="AB186" s="74"/>
    </row>
    <row r="187" spans="1:28" ht="12" customHeight="1">
      <c r="A187" s="565"/>
      <c r="B187" s="107"/>
      <c r="C187" s="107"/>
      <c r="D187" s="108"/>
      <c r="E187" s="104"/>
      <c r="F187" s="104"/>
      <c r="G187" s="35"/>
      <c r="H187" s="104"/>
      <c r="I187" s="140"/>
      <c r="J187" s="74"/>
      <c r="K187" s="74"/>
      <c r="L187" s="74"/>
      <c r="M187" s="74"/>
      <c r="N187" s="74"/>
      <c r="O187" s="74"/>
      <c r="P187" s="74"/>
      <c r="Q187" s="74"/>
      <c r="R187" s="74"/>
      <c r="S187" s="74"/>
      <c r="T187" s="74"/>
      <c r="U187" s="74"/>
      <c r="V187" s="74"/>
      <c r="W187" s="74"/>
      <c r="X187" s="74"/>
      <c r="Y187" s="74"/>
      <c r="Z187" s="74"/>
      <c r="AA187" s="74"/>
      <c r="AB187" s="74"/>
    </row>
    <row r="188" spans="1:28" ht="12" customHeight="1">
      <c r="A188" s="565"/>
      <c r="B188" s="107"/>
      <c r="C188" s="107"/>
      <c r="D188" s="108"/>
      <c r="E188" s="104"/>
      <c r="F188" s="104"/>
      <c r="G188" s="35"/>
      <c r="H188" s="104"/>
      <c r="I188" s="140"/>
      <c r="J188" s="74"/>
      <c r="K188" s="74"/>
      <c r="L188" s="74"/>
      <c r="M188" s="74"/>
      <c r="N188" s="74"/>
      <c r="O188" s="74"/>
      <c r="P188" s="74"/>
      <c r="Q188" s="74"/>
      <c r="R188" s="74"/>
      <c r="S188" s="74"/>
      <c r="T188" s="74"/>
      <c r="U188" s="74"/>
      <c r="V188" s="74"/>
      <c r="W188" s="74"/>
      <c r="X188" s="74"/>
      <c r="Y188" s="74"/>
      <c r="Z188" s="74"/>
      <c r="AA188" s="74"/>
      <c r="AB188" s="74"/>
    </row>
    <row r="189" spans="1:28" ht="12" customHeight="1">
      <c r="A189" s="565"/>
      <c r="B189" s="107"/>
      <c r="C189" s="107"/>
      <c r="D189" s="108"/>
      <c r="E189" s="104"/>
      <c r="F189" s="104"/>
      <c r="G189" s="35"/>
      <c r="H189" s="104"/>
      <c r="I189" s="140"/>
      <c r="J189" s="74"/>
      <c r="K189" s="74"/>
      <c r="L189" s="74"/>
      <c r="M189" s="74"/>
      <c r="N189" s="74"/>
      <c r="O189" s="74"/>
      <c r="P189" s="74"/>
      <c r="Q189" s="74"/>
      <c r="R189" s="74"/>
      <c r="S189" s="74"/>
      <c r="T189" s="74"/>
      <c r="U189" s="74"/>
      <c r="V189" s="74"/>
      <c r="W189" s="74"/>
      <c r="X189" s="74"/>
      <c r="Y189" s="74"/>
      <c r="Z189" s="74"/>
      <c r="AA189" s="74"/>
      <c r="AB189" s="74"/>
    </row>
    <row r="190" spans="1:28" ht="12" customHeight="1">
      <c r="A190" s="565"/>
      <c r="B190" s="107"/>
      <c r="C190" s="107"/>
      <c r="D190" s="108"/>
      <c r="E190" s="104"/>
      <c r="F190" s="104"/>
      <c r="G190" s="35"/>
      <c r="H190" s="104"/>
      <c r="I190" s="140"/>
      <c r="J190" s="74"/>
      <c r="K190" s="74"/>
      <c r="L190" s="74"/>
      <c r="M190" s="74"/>
      <c r="N190" s="74"/>
      <c r="O190" s="74"/>
      <c r="P190" s="74"/>
      <c r="Q190" s="74"/>
      <c r="R190" s="74"/>
      <c r="S190" s="74"/>
      <c r="T190" s="74"/>
      <c r="U190" s="74"/>
      <c r="V190" s="74"/>
      <c r="W190" s="74"/>
      <c r="X190" s="74"/>
      <c r="Y190" s="74"/>
      <c r="Z190" s="74"/>
      <c r="AA190" s="74"/>
      <c r="AB190" s="74"/>
    </row>
    <row r="191" spans="1:28" ht="12" customHeight="1">
      <c r="A191" s="565"/>
      <c r="B191" s="107"/>
      <c r="C191" s="107"/>
      <c r="D191" s="108"/>
      <c r="E191" s="104"/>
      <c r="F191" s="104"/>
      <c r="G191" s="35"/>
      <c r="H191" s="104"/>
      <c r="I191" s="140"/>
      <c r="J191" s="74"/>
      <c r="K191" s="74"/>
      <c r="L191" s="74"/>
      <c r="M191" s="74"/>
      <c r="N191" s="74"/>
      <c r="O191" s="74"/>
      <c r="P191" s="74"/>
      <c r="Q191" s="74"/>
      <c r="R191" s="74"/>
      <c r="S191" s="74"/>
      <c r="T191" s="74"/>
      <c r="U191" s="74"/>
      <c r="V191" s="74"/>
      <c r="W191" s="74"/>
      <c r="X191" s="74"/>
      <c r="Y191" s="74"/>
      <c r="Z191" s="74"/>
      <c r="AA191" s="74"/>
      <c r="AB191" s="74"/>
    </row>
    <row r="192" spans="1:28" ht="12" customHeight="1">
      <c r="A192" s="565"/>
      <c r="B192" s="107"/>
      <c r="C192" s="107"/>
      <c r="D192" s="108"/>
      <c r="E192" s="104"/>
      <c r="F192" s="104"/>
      <c r="G192" s="35"/>
      <c r="H192" s="104"/>
      <c r="I192" s="140"/>
      <c r="J192" s="74"/>
      <c r="K192" s="74"/>
      <c r="L192" s="74"/>
      <c r="M192" s="74"/>
      <c r="N192" s="74"/>
      <c r="O192" s="74"/>
      <c r="P192" s="74"/>
      <c r="Q192" s="74"/>
      <c r="R192" s="74"/>
      <c r="S192" s="74"/>
      <c r="T192" s="74"/>
      <c r="U192" s="74"/>
      <c r="V192" s="74"/>
      <c r="W192" s="74"/>
      <c r="X192" s="74"/>
      <c r="Y192" s="74"/>
      <c r="Z192" s="74"/>
      <c r="AA192" s="74"/>
      <c r="AB192" s="74"/>
    </row>
    <row r="193" spans="1:28" ht="12" customHeight="1">
      <c r="A193" s="565"/>
      <c r="B193" s="107"/>
      <c r="C193" s="107"/>
      <c r="D193" s="108"/>
      <c r="E193" s="104"/>
      <c r="F193" s="104"/>
      <c r="G193" s="35"/>
      <c r="H193" s="104"/>
      <c r="I193" s="140"/>
      <c r="J193" s="74"/>
      <c r="K193" s="74"/>
      <c r="L193" s="74"/>
      <c r="M193" s="74"/>
      <c r="N193" s="74"/>
      <c r="O193" s="74"/>
      <c r="P193" s="74"/>
      <c r="Q193" s="74"/>
      <c r="R193" s="74"/>
      <c r="S193" s="74"/>
      <c r="T193" s="74"/>
      <c r="U193" s="74"/>
      <c r="V193" s="74"/>
      <c r="W193" s="74"/>
      <c r="X193" s="74"/>
      <c r="Y193" s="74"/>
      <c r="Z193" s="74"/>
      <c r="AA193" s="74"/>
      <c r="AB193" s="74"/>
    </row>
    <row r="194" spans="1:28" ht="12" customHeight="1">
      <c r="A194" s="565"/>
      <c r="B194" s="107"/>
      <c r="C194" s="107"/>
      <c r="D194" s="108"/>
      <c r="E194" s="104"/>
      <c r="F194" s="104"/>
      <c r="G194" s="35"/>
      <c r="H194" s="104"/>
      <c r="I194" s="140"/>
      <c r="J194" s="74"/>
      <c r="K194" s="74"/>
      <c r="L194" s="74"/>
      <c r="M194" s="74"/>
      <c r="N194" s="74"/>
      <c r="O194" s="74"/>
      <c r="P194" s="74"/>
      <c r="Q194" s="74"/>
      <c r="R194" s="74"/>
      <c r="S194" s="74"/>
      <c r="T194" s="74"/>
      <c r="U194" s="74"/>
      <c r="V194" s="74"/>
      <c r="W194" s="74"/>
      <c r="X194" s="74"/>
      <c r="Y194" s="74"/>
      <c r="Z194" s="74"/>
      <c r="AA194" s="74"/>
      <c r="AB194" s="74"/>
    </row>
    <row r="195" spans="1:28" ht="12" customHeight="1">
      <c r="A195" s="565"/>
      <c r="B195" s="107"/>
      <c r="C195" s="107"/>
      <c r="D195" s="108"/>
      <c r="E195" s="104"/>
      <c r="F195" s="104"/>
      <c r="G195" s="35"/>
      <c r="H195" s="104"/>
      <c r="I195" s="140"/>
      <c r="J195" s="74"/>
      <c r="K195" s="74"/>
      <c r="L195" s="74"/>
      <c r="M195" s="74"/>
      <c r="N195" s="74"/>
      <c r="O195" s="74"/>
      <c r="P195" s="74"/>
      <c r="Q195" s="74"/>
      <c r="R195" s="74"/>
      <c r="S195" s="74"/>
      <c r="T195" s="74"/>
      <c r="U195" s="74"/>
      <c r="V195" s="74"/>
      <c r="W195" s="74"/>
      <c r="X195" s="74"/>
      <c r="Y195" s="74"/>
      <c r="Z195" s="74"/>
      <c r="AA195" s="74"/>
      <c r="AB195" s="74"/>
    </row>
    <row r="196" spans="1:28" ht="12" customHeight="1">
      <c r="A196" s="565"/>
      <c r="B196" s="107"/>
      <c r="C196" s="107"/>
      <c r="D196" s="108"/>
      <c r="E196" s="104"/>
      <c r="F196" s="104"/>
      <c r="G196" s="35"/>
      <c r="H196" s="104"/>
      <c r="I196" s="140"/>
      <c r="J196" s="74"/>
      <c r="K196" s="74"/>
      <c r="L196" s="74"/>
      <c r="M196" s="74"/>
      <c r="N196" s="74"/>
      <c r="O196" s="74"/>
      <c r="P196" s="74"/>
      <c r="Q196" s="74"/>
      <c r="R196" s="74"/>
      <c r="S196" s="74"/>
      <c r="T196" s="74"/>
      <c r="U196" s="74"/>
      <c r="V196" s="74"/>
      <c r="W196" s="74"/>
      <c r="X196" s="74"/>
      <c r="Y196" s="74"/>
      <c r="Z196" s="74"/>
      <c r="AA196" s="74"/>
      <c r="AB196" s="74"/>
    </row>
    <row r="197" spans="1:28" ht="12" customHeight="1">
      <c r="A197" s="565"/>
      <c r="B197" s="107"/>
      <c r="C197" s="107"/>
      <c r="D197" s="108"/>
      <c r="E197" s="104"/>
      <c r="F197" s="104"/>
      <c r="G197" s="35"/>
      <c r="H197" s="104"/>
      <c r="I197" s="140"/>
      <c r="J197" s="74"/>
      <c r="K197" s="74"/>
      <c r="L197" s="74"/>
      <c r="M197" s="74"/>
      <c r="N197" s="74"/>
      <c r="O197" s="74"/>
      <c r="P197" s="74"/>
      <c r="Q197" s="74"/>
      <c r="R197" s="74"/>
      <c r="S197" s="74"/>
      <c r="T197" s="74"/>
      <c r="U197" s="74"/>
      <c r="V197" s="74"/>
      <c r="W197" s="74"/>
      <c r="X197" s="74"/>
      <c r="Y197" s="74"/>
      <c r="Z197" s="74"/>
      <c r="AA197" s="74"/>
      <c r="AB197" s="74"/>
    </row>
    <row r="198" spans="1:28" ht="12" customHeight="1">
      <c r="A198" s="565"/>
      <c r="B198" s="107"/>
      <c r="C198" s="107"/>
      <c r="D198" s="108"/>
      <c r="E198" s="104"/>
      <c r="F198" s="104"/>
      <c r="G198" s="35"/>
      <c r="H198" s="104"/>
      <c r="I198" s="140"/>
      <c r="J198" s="74"/>
      <c r="K198" s="74"/>
      <c r="L198" s="74"/>
      <c r="M198" s="74"/>
      <c r="N198" s="74"/>
      <c r="O198" s="74"/>
      <c r="P198" s="74"/>
      <c r="Q198" s="74"/>
      <c r="R198" s="74"/>
      <c r="S198" s="74"/>
      <c r="T198" s="74"/>
      <c r="U198" s="74"/>
      <c r="V198" s="74"/>
      <c r="W198" s="74"/>
      <c r="X198" s="74"/>
      <c r="Y198" s="74"/>
      <c r="Z198" s="74"/>
      <c r="AA198" s="74"/>
      <c r="AB198" s="74"/>
    </row>
    <row r="199" spans="1:28" ht="12" customHeight="1">
      <c r="A199" s="565"/>
      <c r="B199" s="107"/>
      <c r="C199" s="107"/>
      <c r="D199" s="108"/>
      <c r="E199" s="104"/>
      <c r="F199" s="104"/>
      <c r="G199" s="35"/>
      <c r="H199" s="104"/>
      <c r="I199" s="140"/>
      <c r="J199" s="74"/>
      <c r="K199" s="74"/>
      <c r="L199" s="74"/>
      <c r="M199" s="74"/>
      <c r="N199" s="74"/>
      <c r="O199" s="74"/>
      <c r="P199" s="74"/>
      <c r="Q199" s="74"/>
      <c r="R199" s="74"/>
      <c r="S199" s="74"/>
      <c r="T199" s="74"/>
      <c r="U199" s="74"/>
      <c r="V199" s="74"/>
      <c r="W199" s="74"/>
      <c r="X199" s="74"/>
      <c r="Y199" s="74"/>
      <c r="Z199" s="74"/>
      <c r="AA199" s="74"/>
      <c r="AB199" s="74"/>
    </row>
    <row r="200" spans="1:28" ht="12" customHeight="1">
      <c r="A200" s="565"/>
      <c r="B200" s="107"/>
      <c r="C200" s="107"/>
      <c r="D200" s="108"/>
      <c r="E200" s="104"/>
      <c r="F200" s="104"/>
      <c r="G200" s="35"/>
      <c r="H200" s="104"/>
      <c r="I200" s="140"/>
      <c r="J200" s="74"/>
      <c r="K200" s="74"/>
      <c r="L200" s="74"/>
      <c r="M200" s="74"/>
      <c r="N200" s="74"/>
      <c r="O200" s="74"/>
      <c r="P200" s="74"/>
      <c r="Q200" s="74"/>
      <c r="R200" s="74"/>
      <c r="S200" s="74"/>
      <c r="T200" s="74"/>
      <c r="U200" s="74"/>
      <c r="V200" s="74"/>
      <c r="W200" s="74"/>
      <c r="X200" s="74"/>
      <c r="Y200" s="74"/>
      <c r="Z200" s="74"/>
      <c r="AA200" s="74"/>
      <c r="AB200" s="74"/>
    </row>
    <row r="201" spans="1:28" ht="12" customHeight="1">
      <c r="A201" s="565"/>
      <c r="B201" s="107"/>
      <c r="C201" s="107"/>
      <c r="D201" s="108"/>
      <c r="E201" s="104"/>
      <c r="F201" s="104"/>
      <c r="G201" s="35"/>
      <c r="H201" s="104"/>
      <c r="I201" s="140"/>
      <c r="J201" s="74"/>
      <c r="K201" s="74"/>
      <c r="L201" s="74"/>
      <c r="M201" s="74"/>
      <c r="N201" s="74"/>
      <c r="O201" s="74"/>
      <c r="P201" s="74"/>
      <c r="Q201" s="74"/>
      <c r="R201" s="74"/>
      <c r="S201" s="74"/>
      <c r="T201" s="74"/>
      <c r="U201" s="74"/>
      <c r="V201" s="74"/>
      <c r="W201" s="74"/>
      <c r="X201" s="74"/>
      <c r="Y201" s="74"/>
      <c r="Z201" s="74"/>
      <c r="AA201" s="74"/>
      <c r="AB201" s="74"/>
    </row>
    <row r="202" spans="1:28" ht="12" customHeight="1">
      <c r="A202" s="565"/>
      <c r="B202" s="107"/>
      <c r="C202" s="107"/>
      <c r="D202" s="108"/>
      <c r="E202" s="104"/>
      <c r="F202" s="104"/>
      <c r="G202" s="35"/>
      <c r="H202" s="104"/>
      <c r="I202" s="140"/>
      <c r="J202" s="74"/>
      <c r="K202" s="74"/>
      <c r="L202" s="74"/>
      <c r="M202" s="74"/>
      <c r="N202" s="74"/>
      <c r="O202" s="74"/>
      <c r="P202" s="74"/>
      <c r="Q202" s="74"/>
      <c r="R202" s="74"/>
      <c r="S202" s="74"/>
      <c r="T202" s="74"/>
      <c r="U202" s="74"/>
      <c r="V202" s="74"/>
      <c r="W202" s="74"/>
      <c r="X202" s="74"/>
      <c r="Y202" s="74"/>
      <c r="Z202" s="74"/>
      <c r="AA202" s="74"/>
      <c r="AB202" s="74"/>
    </row>
    <row r="203" spans="1:28" ht="12" customHeight="1">
      <c r="A203" s="565"/>
      <c r="B203" s="107"/>
      <c r="C203" s="107"/>
      <c r="D203" s="108"/>
      <c r="E203" s="104"/>
      <c r="F203" s="104"/>
      <c r="G203" s="35"/>
      <c r="H203" s="104"/>
      <c r="I203" s="140"/>
      <c r="J203" s="74"/>
      <c r="K203" s="74"/>
      <c r="L203" s="74"/>
      <c r="M203" s="74"/>
      <c r="N203" s="74"/>
      <c r="O203" s="74"/>
      <c r="P203" s="74"/>
      <c r="Q203" s="74"/>
      <c r="R203" s="74"/>
      <c r="S203" s="74"/>
      <c r="T203" s="74"/>
      <c r="U203" s="74"/>
      <c r="V203" s="74"/>
      <c r="W203" s="74"/>
      <c r="X203" s="74"/>
      <c r="Y203" s="74"/>
      <c r="Z203" s="74"/>
      <c r="AA203" s="74"/>
      <c r="AB203" s="74"/>
    </row>
    <row r="204" spans="1:28" ht="12" customHeight="1">
      <c r="A204" s="565"/>
      <c r="B204" s="107"/>
      <c r="C204" s="107"/>
      <c r="D204" s="108"/>
      <c r="E204" s="104"/>
      <c r="F204" s="104"/>
      <c r="G204" s="35"/>
      <c r="H204" s="104"/>
      <c r="I204" s="140"/>
      <c r="J204" s="74"/>
      <c r="K204" s="74"/>
      <c r="L204" s="74"/>
      <c r="M204" s="74"/>
      <c r="N204" s="74"/>
      <c r="O204" s="74"/>
      <c r="P204" s="74"/>
      <c r="Q204" s="74"/>
      <c r="R204" s="74"/>
      <c r="S204" s="74"/>
      <c r="T204" s="74"/>
      <c r="U204" s="74"/>
      <c r="V204" s="74"/>
      <c r="W204" s="74"/>
      <c r="X204" s="74"/>
      <c r="Y204" s="74"/>
      <c r="Z204" s="74"/>
      <c r="AA204" s="74"/>
      <c r="AB204" s="74"/>
    </row>
    <row r="205" spans="1:28" ht="12" customHeight="1">
      <c r="A205" s="565"/>
      <c r="B205" s="107"/>
      <c r="C205" s="107"/>
      <c r="D205" s="108"/>
      <c r="E205" s="104"/>
      <c r="F205" s="104"/>
      <c r="G205" s="35"/>
      <c r="H205" s="104"/>
      <c r="I205" s="140"/>
      <c r="J205" s="74"/>
      <c r="K205" s="74"/>
      <c r="L205" s="74"/>
      <c r="M205" s="74"/>
      <c r="N205" s="74"/>
      <c r="O205" s="74"/>
      <c r="P205" s="74"/>
      <c r="Q205" s="74"/>
      <c r="R205" s="74"/>
      <c r="S205" s="74"/>
      <c r="T205" s="74"/>
      <c r="U205" s="74"/>
      <c r="V205" s="74"/>
      <c r="W205" s="74"/>
      <c r="X205" s="74"/>
      <c r="Y205" s="74"/>
      <c r="Z205" s="74"/>
      <c r="AA205" s="74"/>
      <c r="AB205" s="74"/>
    </row>
    <row r="206" spans="1:28" ht="12" customHeight="1">
      <c r="A206" s="565"/>
      <c r="B206" s="107"/>
      <c r="C206" s="107"/>
      <c r="D206" s="108"/>
      <c r="E206" s="104"/>
      <c r="F206" s="104"/>
      <c r="G206" s="35"/>
      <c r="H206" s="104"/>
      <c r="I206" s="140"/>
      <c r="J206" s="74"/>
      <c r="K206" s="74"/>
      <c r="L206" s="74"/>
      <c r="M206" s="74"/>
      <c r="N206" s="74"/>
      <c r="O206" s="74"/>
      <c r="P206" s="74"/>
      <c r="Q206" s="74"/>
      <c r="R206" s="74"/>
      <c r="S206" s="74"/>
      <c r="T206" s="74"/>
      <c r="U206" s="74"/>
      <c r="V206" s="74"/>
      <c r="W206" s="74"/>
      <c r="X206" s="74"/>
      <c r="Y206" s="74"/>
      <c r="Z206" s="74"/>
      <c r="AA206" s="74"/>
      <c r="AB206" s="74"/>
    </row>
    <row r="207" spans="1:28" ht="12" customHeight="1">
      <c r="A207" s="565"/>
      <c r="B207" s="107"/>
      <c r="C207" s="107"/>
      <c r="D207" s="108"/>
      <c r="E207" s="104"/>
      <c r="F207" s="104"/>
      <c r="G207" s="35"/>
      <c r="H207" s="104"/>
      <c r="I207" s="140"/>
      <c r="J207" s="74"/>
      <c r="K207" s="74"/>
      <c r="L207" s="74"/>
      <c r="M207" s="74"/>
      <c r="N207" s="74"/>
      <c r="O207" s="74"/>
      <c r="P207" s="74"/>
      <c r="Q207" s="74"/>
      <c r="R207" s="74"/>
      <c r="S207" s="74"/>
      <c r="T207" s="74"/>
      <c r="U207" s="74"/>
      <c r="V207" s="74"/>
      <c r="W207" s="74"/>
      <c r="X207" s="74"/>
      <c r="Y207" s="74"/>
      <c r="Z207" s="74"/>
      <c r="AA207" s="74"/>
      <c r="AB207" s="74"/>
    </row>
    <row r="208" spans="1:28" ht="12" customHeight="1">
      <c r="A208" s="565"/>
      <c r="B208" s="107"/>
      <c r="C208" s="107"/>
      <c r="D208" s="108"/>
      <c r="E208" s="104"/>
      <c r="F208" s="104"/>
      <c r="G208" s="35"/>
      <c r="H208" s="104"/>
      <c r="I208" s="140"/>
      <c r="J208" s="74"/>
      <c r="K208" s="74"/>
      <c r="L208" s="74"/>
      <c r="M208" s="74"/>
      <c r="N208" s="74"/>
      <c r="O208" s="74"/>
      <c r="P208" s="74"/>
      <c r="Q208" s="74"/>
      <c r="R208" s="74"/>
      <c r="S208" s="74"/>
      <c r="T208" s="74"/>
      <c r="U208" s="74"/>
      <c r="V208" s="74"/>
      <c r="W208" s="74"/>
      <c r="X208" s="74"/>
      <c r="Y208" s="74"/>
      <c r="Z208" s="74"/>
      <c r="AA208" s="74"/>
      <c r="AB208" s="74"/>
    </row>
    <row r="209" spans="1:28" ht="12" customHeight="1">
      <c r="A209" s="565"/>
      <c r="B209" s="107"/>
      <c r="C209" s="107"/>
      <c r="D209" s="108"/>
      <c r="E209" s="104"/>
      <c r="F209" s="104"/>
      <c r="G209" s="35"/>
      <c r="H209" s="104"/>
      <c r="I209" s="140"/>
      <c r="J209" s="74"/>
      <c r="K209" s="74"/>
      <c r="L209" s="74"/>
      <c r="M209" s="74"/>
      <c r="N209" s="74"/>
      <c r="O209" s="74"/>
      <c r="P209" s="74"/>
      <c r="Q209" s="74"/>
      <c r="R209" s="74"/>
      <c r="S209" s="74"/>
      <c r="T209" s="74"/>
      <c r="U209" s="74"/>
      <c r="V209" s="74"/>
      <c r="W209" s="74"/>
      <c r="X209" s="74"/>
      <c r="Y209" s="74"/>
      <c r="Z209" s="74"/>
      <c r="AA209" s="74"/>
      <c r="AB209" s="74"/>
    </row>
    <row r="210" spans="1:28" ht="12" customHeight="1">
      <c r="A210" s="565"/>
      <c r="B210" s="107"/>
      <c r="C210" s="107"/>
      <c r="D210" s="108"/>
      <c r="E210" s="104"/>
      <c r="F210" s="104"/>
      <c r="G210" s="35"/>
      <c r="H210" s="104"/>
      <c r="I210" s="140"/>
      <c r="J210" s="74"/>
      <c r="K210" s="74"/>
      <c r="L210" s="74"/>
      <c r="M210" s="74"/>
      <c r="N210" s="74"/>
      <c r="O210" s="74"/>
      <c r="P210" s="74"/>
      <c r="Q210" s="74"/>
      <c r="R210" s="74"/>
      <c r="S210" s="74"/>
      <c r="T210" s="74"/>
      <c r="U210" s="74"/>
      <c r="V210" s="74"/>
      <c r="W210" s="74"/>
      <c r="X210" s="74"/>
      <c r="Y210" s="74"/>
      <c r="Z210" s="74"/>
      <c r="AA210" s="74"/>
      <c r="AB210" s="74"/>
    </row>
    <row r="211" spans="1:28" ht="12" customHeight="1">
      <c r="A211" s="565"/>
      <c r="B211" s="107"/>
      <c r="C211" s="107"/>
      <c r="D211" s="108"/>
      <c r="E211" s="104"/>
      <c r="F211" s="104"/>
      <c r="G211" s="35"/>
      <c r="H211" s="104"/>
      <c r="I211" s="140"/>
      <c r="J211" s="74"/>
      <c r="K211" s="74"/>
      <c r="L211" s="74"/>
      <c r="M211" s="74"/>
      <c r="N211" s="74"/>
      <c r="O211" s="74"/>
      <c r="P211" s="74"/>
      <c r="Q211" s="74"/>
      <c r="R211" s="74"/>
      <c r="S211" s="74"/>
      <c r="T211" s="74"/>
      <c r="U211" s="74"/>
      <c r="V211" s="74"/>
      <c r="W211" s="74"/>
      <c r="X211" s="74"/>
      <c r="Y211" s="74"/>
      <c r="Z211" s="74"/>
      <c r="AA211" s="74"/>
      <c r="AB211" s="74"/>
    </row>
    <row r="212" spans="1:28" ht="12" customHeight="1">
      <c r="A212" s="565"/>
      <c r="B212" s="107"/>
      <c r="C212" s="107"/>
      <c r="D212" s="108"/>
      <c r="E212" s="104"/>
      <c r="F212" s="104"/>
      <c r="G212" s="35"/>
      <c r="H212" s="104"/>
      <c r="I212" s="140"/>
      <c r="J212" s="74"/>
      <c r="K212" s="74"/>
      <c r="L212" s="74"/>
      <c r="M212" s="74"/>
      <c r="N212" s="74"/>
      <c r="O212" s="74"/>
      <c r="P212" s="74"/>
      <c r="Q212" s="74"/>
      <c r="R212" s="74"/>
      <c r="S212" s="74"/>
      <c r="T212" s="74"/>
      <c r="U212" s="74"/>
      <c r="V212" s="74"/>
      <c r="W212" s="74"/>
      <c r="X212" s="74"/>
      <c r="Y212" s="74"/>
      <c r="Z212" s="74"/>
      <c r="AA212" s="74"/>
      <c r="AB212" s="74"/>
    </row>
    <row r="213" spans="1:28" ht="12" customHeight="1">
      <c r="A213" s="565"/>
      <c r="B213" s="107"/>
      <c r="C213" s="107"/>
      <c r="D213" s="108"/>
      <c r="E213" s="104"/>
      <c r="F213" s="104"/>
      <c r="G213" s="35"/>
      <c r="H213" s="104"/>
      <c r="I213" s="140"/>
      <c r="J213" s="74"/>
      <c r="K213" s="74"/>
      <c r="L213" s="74"/>
      <c r="M213" s="74"/>
      <c r="N213" s="74"/>
      <c r="O213" s="74"/>
      <c r="P213" s="74"/>
      <c r="Q213" s="74"/>
      <c r="R213" s="74"/>
      <c r="S213" s="74"/>
      <c r="T213" s="74"/>
      <c r="U213" s="74"/>
      <c r="V213" s="74"/>
      <c r="W213" s="74"/>
      <c r="X213" s="74"/>
      <c r="Y213" s="74"/>
      <c r="Z213" s="74"/>
      <c r="AA213" s="74"/>
      <c r="AB213" s="74"/>
    </row>
    <row r="214" spans="1:28" ht="12" customHeight="1">
      <c r="A214" s="565"/>
      <c r="B214" s="107"/>
      <c r="C214" s="107"/>
      <c r="D214" s="108"/>
      <c r="E214" s="104"/>
      <c r="F214" s="104"/>
      <c r="G214" s="35"/>
      <c r="H214" s="104"/>
      <c r="I214" s="140"/>
      <c r="J214" s="74"/>
      <c r="K214" s="74"/>
      <c r="L214" s="74"/>
      <c r="M214" s="74"/>
      <c r="N214" s="74"/>
      <c r="O214" s="74"/>
      <c r="P214" s="74"/>
      <c r="Q214" s="74"/>
      <c r="R214" s="74"/>
      <c r="S214" s="74"/>
      <c r="T214" s="74"/>
      <c r="U214" s="74"/>
      <c r="V214" s="74"/>
      <c r="W214" s="74"/>
      <c r="X214" s="74"/>
      <c r="Y214" s="74"/>
      <c r="Z214" s="74"/>
      <c r="AA214" s="74"/>
      <c r="AB214" s="74"/>
    </row>
    <row r="215" spans="1:28" ht="12" customHeight="1">
      <c r="A215" s="565"/>
      <c r="B215" s="107"/>
      <c r="C215" s="107"/>
      <c r="D215" s="108"/>
      <c r="E215" s="104"/>
      <c r="F215" s="104"/>
      <c r="G215" s="35"/>
      <c r="H215" s="104"/>
      <c r="I215" s="140"/>
      <c r="J215" s="74"/>
      <c r="K215" s="74"/>
      <c r="L215" s="74"/>
      <c r="M215" s="74"/>
      <c r="N215" s="74"/>
      <c r="O215" s="74"/>
      <c r="P215" s="74"/>
      <c r="Q215" s="74"/>
      <c r="R215" s="74"/>
      <c r="S215" s="74"/>
      <c r="T215" s="74"/>
      <c r="U215" s="74"/>
      <c r="V215" s="74"/>
      <c r="W215" s="74"/>
      <c r="X215" s="74"/>
      <c r="Y215" s="74"/>
      <c r="Z215" s="74"/>
      <c r="AA215" s="74"/>
      <c r="AB215" s="74"/>
    </row>
    <row r="216" spans="1:28" ht="12" customHeight="1">
      <c r="A216" s="565"/>
      <c r="B216" s="107"/>
      <c r="C216" s="107"/>
      <c r="D216" s="108"/>
      <c r="E216" s="104"/>
      <c r="F216" s="104"/>
      <c r="G216" s="35"/>
      <c r="H216" s="104"/>
      <c r="I216" s="140"/>
      <c r="J216" s="74"/>
      <c r="K216" s="74"/>
      <c r="L216" s="74"/>
      <c r="M216" s="74"/>
      <c r="N216" s="74"/>
      <c r="O216" s="74"/>
      <c r="P216" s="74"/>
      <c r="Q216" s="74"/>
      <c r="R216" s="74"/>
      <c r="S216" s="74"/>
      <c r="T216" s="74"/>
      <c r="U216" s="74"/>
      <c r="V216" s="74"/>
      <c r="W216" s="74"/>
      <c r="X216" s="74"/>
      <c r="Y216" s="74"/>
      <c r="Z216" s="74"/>
      <c r="AA216" s="74"/>
      <c r="AB216" s="74"/>
    </row>
    <row r="217" spans="1:28" ht="12" customHeight="1">
      <c r="A217" s="565"/>
      <c r="B217" s="107"/>
      <c r="C217" s="107"/>
      <c r="D217" s="108"/>
      <c r="E217" s="104"/>
      <c r="F217" s="104"/>
      <c r="G217" s="35"/>
      <c r="H217" s="104"/>
      <c r="I217" s="140"/>
      <c r="J217" s="74"/>
      <c r="K217" s="74"/>
      <c r="L217" s="74"/>
      <c r="M217" s="74"/>
      <c r="N217" s="74"/>
      <c r="O217" s="74"/>
      <c r="P217" s="74"/>
      <c r="Q217" s="74"/>
      <c r="R217" s="74"/>
      <c r="S217" s="74"/>
      <c r="T217" s="74"/>
      <c r="U217" s="74"/>
      <c r="V217" s="74"/>
      <c r="W217" s="74"/>
      <c r="X217" s="74"/>
      <c r="Y217" s="74"/>
      <c r="Z217" s="74"/>
      <c r="AA217" s="74"/>
      <c r="AB217" s="74"/>
    </row>
    <row r="218" spans="1:28" ht="12" customHeight="1">
      <c r="A218" s="565"/>
      <c r="B218" s="107"/>
      <c r="C218" s="107"/>
      <c r="D218" s="108"/>
      <c r="E218" s="104"/>
      <c r="F218" s="104"/>
      <c r="G218" s="35"/>
      <c r="H218" s="104"/>
      <c r="I218" s="140"/>
      <c r="J218" s="74"/>
      <c r="K218" s="74"/>
      <c r="L218" s="74"/>
      <c r="M218" s="74"/>
      <c r="N218" s="74"/>
      <c r="O218" s="74"/>
      <c r="P218" s="74"/>
      <c r="Q218" s="74"/>
      <c r="R218" s="74"/>
      <c r="S218" s="74"/>
      <c r="T218" s="74"/>
      <c r="U218" s="74"/>
      <c r="V218" s="74"/>
      <c r="W218" s="74"/>
      <c r="X218" s="74"/>
      <c r="Y218" s="74"/>
      <c r="Z218" s="74"/>
      <c r="AA218" s="74"/>
      <c r="AB218" s="74"/>
    </row>
    <row r="219" spans="1:28" ht="12" customHeight="1">
      <c r="A219" s="565"/>
      <c r="B219" s="107"/>
      <c r="C219" s="107"/>
      <c r="D219" s="108"/>
      <c r="E219" s="104"/>
      <c r="F219" s="104"/>
      <c r="G219" s="35"/>
      <c r="H219" s="104"/>
      <c r="I219" s="140"/>
      <c r="J219" s="74"/>
      <c r="K219" s="74"/>
      <c r="L219" s="74"/>
      <c r="M219" s="74"/>
      <c r="N219" s="74"/>
      <c r="O219" s="74"/>
      <c r="P219" s="74"/>
      <c r="Q219" s="74"/>
      <c r="R219" s="74"/>
      <c r="S219" s="74"/>
      <c r="T219" s="74"/>
      <c r="U219" s="74"/>
      <c r="V219" s="74"/>
      <c r="W219" s="74"/>
      <c r="X219" s="74"/>
      <c r="Y219" s="74"/>
      <c r="Z219" s="74"/>
      <c r="AA219" s="74"/>
      <c r="AB219" s="74"/>
    </row>
    <row r="220" spans="1:28" ht="12" customHeight="1">
      <c r="A220" s="565"/>
      <c r="B220" s="107"/>
      <c r="C220" s="107"/>
      <c r="D220" s="108"/>
      <c r="E220" s="104"/>
      <c r="F220" s="104"/>
      <c r="G220" s="35"/>
      <c r="H220" s="104"/>
      <c r="I220" s="140"/>
      <c r="J220" s="74"/>
      <c r="K220" s="74"/>
      <c r="L220" s="74"/>
      <c r="M220" s="74"/>
      <c r="N220" s="74"/>
      <c r="O220" s="74"/>
      <c r="P220" s="74"/>
      <c r="Q220" s="74"/>
      <c r="R220" s="74"/>
      <c r="S220" s="74"/>
      <c r="T220" s="74"/>
      <c r="U220" s="74"/>
      <c r="V220" s="74"/>
      <c r="W220" s="74"/>
      <c r="X220" s="74"/>
      <c r="Y220" s="74"/>
      <c r="Z220" s="74"/>
      <c r="AA220" s="74"/>
      <c r="AB220" s="74"/>
    </row>
    <row r="221" spans="1:28" ht="12" customHeight="1">
      <c r="A221" s="565"/>
      <c r="B221" s="107"/>
      <c r="C221" s="107"/>
      <c r="D221" s="108"/>
      <c r="E221" s="104"/>
      <c r="F221" s="104"/>
      <c r="G221" s="35"/>
      <c r="H221" s="104"/>
      <c r="I221" s="140"/>
      <c r="J221" s="74"/>
      <c r="K221" s="74"/>
      <c r="L221" s="74"/>
      <c r="M221" s="74"/>
      <c r="N221" s="74"/>
      <c r="O221" s="74"/>
      <c r="P221" s="74"/>
      <c r="Q221" s="74"/>
      <c r="R221" s="74"/>
      <c r="S221" s="74"/>
      <c r="T221" s="74"/>
      <c r="U221" s="74"/>
      <c r="V221" s="74"/>
      <c r="W221" s="74"/>
      <c r="X221" s="74"/>
      <c r="Y221" s="74"/>
      <c r="Z221" s="74"/>
      <c r="AA221" s="74"/>
      <c r="AB221" s="74"/>
    </row>
    <row r="222" spans="1:28" ht="12" customHeight="1">
      <c r="A222" s="565"/>
      <c r="B222" s="107"/>
      <c r="C222" s="107"/>
      <c r="D222" s="108"/>
      <c r="E222" s="104"/>
      <c r="F222" s="104"/>
      <c r="G222" s="35"/>
      <c r="H222" s="104"/>
      <c r="I222" s="140"/>
      <c r="J222" s="74"/>
      <c r="K222" s="74"/>
      <c r="L222" s="74"/>
      <c r="M222" s="74"/>
      <c r="N222" s="74"/>
      <c r="O222" s="74"/>
      <c r="P222" s="74"/>
      <c r="Q222" s="74"/>
      <c r="R222" s="74"/>
      <c r="S222" s="74"/>
      <c r="T222" s="74"/>
      <c r="U222" s="74"/>
      <c r="V222" s="74"/>
      <c r="W222" s="74"/>
      <c r="X222" s="74"/>
      <c r="Y222" s="74"/>
      <c r="Z222" s="74"/>
      <c r="AA222" s="74"/>
      <c r="AB222" s="74"/>
    </row>
    <row r="223" spans="1:28" ht="12" customHeight="1">
      <c r="A223" s="565"/>
      <c r="B223" s="107"/>
      <c r="C223" s="107"/>
      <c r="D223" s="108"/>
      <c r="E223" s="104"/>
      <c r="F223" s="104"/>
      <c r="G223" s="35"/>
      <c r="H223" s="104"/>
      <c r="I223" s="140"/>
      <c r="J223" s="74"/>
      <c r="K223" s="74"/>
      <c r="L223" s="74"/>
      <c r="M223" s="74"/>
      <c r="N223" s="74"/>
      <c r="O223" s="74"/>
      <c r="P223" s="74"/>
      <c r="Q223" s="74"/>
      <c r="R223" s="74"/>
      <c r="S223" s="74"/>
      <c r="T223" s="74"/>
      <c r="U223" s="74"/>
      <c r="V223" s="74"/>
      <c r="W223" s="74"/>
      <c r="X223" s="74"/>
      <c r="Y223" s="74"/>
      <c r="Z223" s="74"/>
      <c r="AA223" s="74"/>
      <c r="AB223" s="74"/>
    </row>
    <row r="224" spans="1:28" ht="12" customHeight="1">
      <c r="A224" s="565"/>
      <c r="B224" s="107"/>
      <c r="C224" s="107"/>
      <c r="D224" s="108"/>
      <c r="E224" s="104"/>
      <c r="F224" s="104"/>
      <c r="G224" s="35"/>
      <c r="H224" s="104"/>
      <c r="I224" s="140"/>
      <c r="J224" s="74"/>
      <c r="K224" s="74"/>
      <c r="L224" s="74"/>
      <c r="M224" s="74"/>
      <c r="N224" s="74"/>
      <c r="O224" s="74"/>
      <c r="P224" s="74"/>
      <c r="Q224" s="74"/>
      <c r="R224" s="74"/>
      <c r="S224" s="74"/>
      <c r="T224" s="74"/>
      <c r="U224" s="74"/>
      <c r="V224" s="74"/>
      <c r="W224" s="74"/>
      <c r="X224" s="74"/>
      <c r="Y224" s="74"/>
      <c r="Z224" s="74"/>
      <c r="AA224" s="74"/>
      <c r="AB224" s="74"/>
    </row>
    <row r="225" spans="1:28" ht="12" customHeight="1">
      <c r="A225" s="565"/>
      <c r="B225" s="107"/>
      <c r="C225" s="107"/>
      <c r="D225" s="108"/>
      <c r="E225" s="104"/>
      <c r="F225" s="104"/>
      <c r="G225" s="35"/>
      <c r="H225" s="104"/>
      <c r="I225" s="140"/>
      <c r="J225" s="74"/>
      <c r="K225" s="74"/>
      <c r="L225" s="74"/>
      <c r="M225" s="74"/>
      <c r="N225" s="74"/>
      <c r="O225" s="74"/>
      <c r="P225" s="74"/>
      <c r="Q225" s="74"/>
      <c r="R225" s="74"/>
      <c r="S225" s="74"/>
      <c r="T225" s="74"/>
      <c r="U225" s="74"/>
      <c r="V225" s="74"/>
      <c r="W225" s="74"/>
      <c r="X225" s="74"/>
      <c r="Y225" s="74"/>
      <c r="Z225" s="74"/>
      <c r="AA225" s="74"/>
      <c r="AB225" s="74"/>
    </row>
    <row r="226" spans="1:28" ht="12" customHeight="1">
      <c r="A226" s="565"/>
      <c r="B226" s="107"/>
      <c r="C226" s="107"/>
      <c r="D226" s="108"/>
      <c r="E226" s="104"/>
      <c r="F226" s="104"/>
      <c r="G226" s="35"/>
      <c r="H226" s="104"/>
      <c r="I226" s="140"/>
      <c r="J226" s="74"/>
      <c r="K226" s="74"/>
      <c r="L226" s="74"/>
      <c r="M226" s="74"/>
      <c r="N226" s="74"/>
      <c r="O226" s="74"/>
      <c r="P226" s="74"/>
      <c r="Q226" s="74"/>
      <c r="R226" s="74"/>
      <c r="S226" s="74"/>
      <c r="T226" s="74"/>
      <c r="U226" s="74"/>
      <c r="V226" s="74"/>
      <c r="W226" s="74"/>
      <c r="X226" s="74"/>
      <c r="Y226" s="74"/>
      <c r="Z226" s="74"/>
      <c r="AA226" s="74"/>
      <c r="AB226" s="74"/>
    </row>
    <row r="227" spans="1:28" ht="12" customHeight="1">
      <c r="A227" s="565"/>
      <c r="B227" s="107"/>
      <c r="C227" s="107"/>
      <c r="D227" s="108"/>
      <c r="E227" s="104"/>
      <c r="F227" s="104"/>
      <c r="G227" s="35"/>
      <c r="H227" s="104"/>
      <c r="I227" s="140"/>
      <c r="J227" s="74"/>
      <c r="K227" s="74"/>
      <c r="L227" s="74"/>
      <c r="M227" s="74"/>
      <c r="N227" s="74"/>
      <c r="O227" s="74"/>
      <c r="P227" s="74"/>
      <c r="Q227" s="74"/>
      <c r="R227" s="74"/>
      <c r="S227" s="74"/>
      <c r="T227" s="74"/>
      <c r="U227" s="74"/>
      <c r="V227" s="74"/>
      <c r="W227" s="74"/>
      <c r="X227" s="74"/>
      <c r="Y227" s="74"/>
      <c r="Z227" s="74"/>
      <c r="AA227" s="74"/>
      <c r="AB227" s="74"/>
    </row>
    <row r="228" spans="1:28" ht="12" customHeight="1">
      <c r="A228" s="565"/>
      <c r="B228" s="107"/>
      <c r="C228" s="107"/>
      <c r="D228" s="108"/>
      <c r="E228" s="104"/>
      <c r="F228" s="104"/>
      <c r="G228" s="35"/>
      <c r="H228" s="104"/>
      <c r="I228" s="140"/>
      <c r="J228" s="74"/>
      <c r="K228" s="74"/>
      <c r="L228" s="74"/>
      <c r="M228" s="74"/>
      <c r="N228" s="74"/>
      <c r="O228" s="74"/>
      <c r="P228" s="74"/>
      <c r="Q228" s="74"/>
      <c r="R228" s="74"/>
      <c r="S228" s="74"/>
      <c r="T228" s="74"/>
      <c r="U228" s="74"/>
      <c r="V228" s="74"/>
      <c r="W228" s="74"/>
      <c r="X228" s="74"/>
      <c r="Y228" s="74"/>
      <c r="Z228" s="74"/>
      <c r="AA228" s="74"/>
      <c r="AB228" s="74"/>
    </row>
    <row r="229" spans="1:28" ht="12" customHeight="1">
      <c r="A229" s="565"/>
      <c r="B229" s="107"/>
      <c r="C229" s="107"/>
      <c r="D229" s="108"/>
      <c r="E229" s="104"/>
      <c r="F229" s="104"/>
      <c r="G229" s="35"/>
      <c r="H229" s="104"/>
      <c r="I229" s="140"/>
      <c r="J229" s="74"/>
      <c r="K229" s="74"/>
      <c r="L229" s="74"/>
      <c r="M229" s="74"/>
      <c r="N229" s="74"/>
      <c r="O229" s="74"/>
      <c r="P229" s="74"/>
      <c r="Q229" s="74"/>
      <c r="R229" s="74"/>
      <c r="S229" s="74"/>
      <c r="T229" s="74"/>
      <c r="U229" s="74"/>
      <c r="V229" s="74"/>
      <c r="W229" s="74"/>
      <c r="X229" s="74"/>
      <c r="Y229" s="74"/>
      <c r="Z229" s="74"/>
      <c r="AA229" s="74"/>
      <c r="AB229" s="74"/>
    </row>
    <row r="230" spans="1:28" ht="12" customHeight="1">
      <c r="A230" s="565"/>
      <c r="B230" s="107"/>
      <c r="C230" s="107"/>
      <c r="D230" s="108"/>
      <c r="E230" s="104"/>
      <c r="F230" s="104"/>
      <c r="G230" s="35"/>
      <c r="H230" s="104"/>
      <c r="I230" s="140"/>
      <c r="J230" s="74"/>
      <c r="K230" s="74"/>
      <c r="L230" s="74"/>
      <c r="M230" s="74"/>
      <c r="N230" s="74"/>
      <c r="O230" s="74"/>
      <c r="P230" s="74"/>
      <c r="Q230" s="74"/>
      <c r="R230" s="74"/>
      <c r="S230" s="74"/>
      <c r="T230" s="74"/>
      <c r="U230" s="74"/>
      <c r="V230" s="74"/>
      <c r="W230" s="74"/>
      <c r="X230" s="74"/>
      <c r="Y230" s="74"/>
      <c r="Z230" s="74"/>
      <c r="AA230" s="74"/>
      <c r="AB230" s="74"/>
    </row>
    <row r="231" spans="1:28" ht="12" customHeight="1">
      <c r="A231" s="565"/>
      <c r="B231" s="107"/>
      <c r="C231" s="107"/>
      <c r="D231" s="108"/>
      <c r="E231" s="104"/>
      <c r="F231" s="104"/>
      <c r="G231" s="35"/>
      <c r="H231" s="104"/>
      <c r="I231" s="140"/>
      <c r="J231" s="74"/>
      <c r="K231" s="74"/>
      <c r="L231" s="74"/>
      <c r="M231" s="74"/>
      <c r="N231" s="74"/>
      <c r="O231" s="74"/>
      <c r="P231" s="74"/>
      <c r="Q231" s="74"/>
      <c r="R231" s="74"/>
      <c r="S231" s="74"/>
      <c r="T231" s="74"/>
      <c r="U231" s="74"/>
      <c r="V231" s="74"/>
      <c r="W231" s="74"/>
      <c r="X231" s="74"/>
      <c r="Y231" s="74"/>
      <c r="Z231" s="74"/>
      <c r="AA231" s="74"/>
      <c r="AB231" s="74"/>
    </row>
    <row r="232" spans="1:28" ht="12" customHeight="1">
      <c r="A232" s="565"/>
      <c r="B232" s="107"/>
      <c r="C232" s="107"/>
      <c r="D232" s="108"/>
      <c r="E232" s="104"/>
      <c r="F232" s="104"/>
      <c r="G232" s="35"/>
      <c r="H232" s="104"/>
      <c r="I232" s="140"/>
      <c r="J232" s="74"/>
      <c r="K232" s="74"/>
      <c r="L232" s="74"/>
      <c r="M232" s="74"/>
      <c r="N232" s="74"/>
      <c r="O232" s="74"/>
      <c r="P232" s="74"/>
      <c r="Q232" s="74"/>
      <c r="R232" s="74"/>
      <c r="S232" s="74"/>
      <c r="T232" s="74"/>
      <c r="U232" s="74"/>
      <c r="V232" s="74"/>
      <c r="W232" s="74"/>
      <c r="X232" s="74"/>
      <c r="Y232" s="74"/>
      <c r="Z232" s="74"/>
      <c r="AA232" s="74"/>
      <c r="AB232" s="74"/>
    </row>
    <row r="233" spans="1:28" ht="12" customHeight="1">
      <c r="A233" s="565"/>
      <c r="B233" s="107"/>
      <c r="C233" s="107"/>
      <c r="D233" s="108"/>
      <c r="E233" s="104"/>
      <c r="F233" s="104"/>
      <c r="G233" s="35"/>
      <c r="H233" s="104"/>
      <c r="I233" s="140"/>
      <c r="J233" s="74"/>
      <c r="K233" s="74"/>
      <c r="L233" s="74"/>
      <c r="M233" s="74"/>
      <c r="N233" s="74"/>
      <c r="O233" s="74"/>
      <c r="P233" s="74"/>
      <c r="Q233" s="74"/>
      <c r="R233" s="74"/>
      <c r="S233" s="74"/>
      <c r="T233" s="74"/>
      <c r="U233" s="74"/>
      <c r="V233" s="74"/>
      <c r="W233" s="74"/>
      <c r="X233" s="74"/>
      <c r="Y233" s="74"/>
      <c r="Z233" s="74"/>
      <c r="AA233" s="74"/>
      <c r="AB233" s="74"/>
    </row>
    <row r="234" spans="1:28" ht="12" customHeight="1">
      <c r="A234" s="565"/>
      <c r="B234" s="107"/>
      <c r="C234" s="107"/>
      <c r="D234" s="108"/>
      <c r="E234" s="104"/>
      <c r="F234" s="104"/>
      <c r="G234" s="35"/>
      <c r="H234" s="104"/>
      <c r="I234" s="140"/>
      <c r="J234" s="74"/>
      <c r="K234" s="74"/>
      <c r="L234" s="74"/>
      <c r="M234" s="74"/>
      <c r="N234" s="74"/>
      <c r="O234" s="74"/>
      <c r="P234" s="74"/>
      <c r="Q234" s="74"/>
      <c r="R234" s="74"/>
      <c r="S234" s="74"/>
      <c r="T234" s="74"/>
      <c r="U234" s="74"/>
      <c r="V234" s="74"/>
      <c r="W234" s="74"/>
      <c r="X234" s="74"/>
      <c r="Y234" s="74"/>
      <c r="Z234" s="74"/>
      <c r="AA234" s="74"/>
      <c r="AB234" s="74"/>
    </row>
    <row r="235" spans="1:28" ht="12" customHeight="1">
      <c r="A235" s="565"/>
      <c r="B235" s="107"/>
      <c r="C235" s="107"/>
      <c r="D235" s="108"/>
      <c r="E235" s="104"/>
      <c r="F235" s="104"/>
      <c r="G235" s="35"/>
      <c r="H235" s="104"/>
      <c r="I235" s="140"/>
      <c r="J235" s="74"/>
      <c r="K235" s="74"/>
      <c r="L235" s="74"/>
      <c r="M235" s="74"/>
      <c r="N235" s="74"/>
      <c r="O235" s="74"/>
      <c r="P235" s="74"/>
      <c r="Q235" s="74"/>
      <c r="R235" s="74"/>
      <c r="S235" s="74"/>
      <c r="T235" s="74"/>
      <c r="U235" s="74"/>
      <c r="V235" s="74"/>
      <c r="W235" s="74"/>
      <c r="X235" s="74"/>
      <c r="Y235" s="74"/>
      <c r="Z235" s="74"/>
      <c r="AA235" s="74"/>
      <c r="AB235" s="74"/>
    </row>
    <row r="236" spans="1:28" ht="12" customHeight="1">
      <c r="A236" s="565"/>
      <c r="B236" s="107"/>
      <c r="C236" s="107"/>
      <c r="D236" s="108"/>
      <c r="E236" s="104"/>
      <c r="F236" s="104"/>
      <c r="G236" s="35"/>
      <c r="H236" s="104"/>
      <c r="I236" s="140"/>
      <c r="J236" s="74"/>
      <c r="K236" s="74"/>
      <c r="L236" s="74"/>
      <c r="M236" s="74"/>
      <c r="N236" s="74"/>
      <c r="O236" s="74"/>
      <c r="P236" s="74"/>
      <c r="Q236" s="74"/>
      <c r="R236" s="74"/>
      <c r="S236" s="74"/>
      <c r="T236" s="74"/>
      <c r="U236" s="74"/>
      <c r="V236" s="74"/>
      <c r="W236" s="74"/>
      <c r="X236" s="74"/>
      <c r="Y236" s="74"/>
      <c r="Z236" s="74"/>
      <c r="AA236" s="74"/>
      <c r="AB236" s="74"/>
    </row>
    <row r="237" spans="1:28" ht="12" customHeight="1">
      <c r="A237" s="565"/>
      <c r="B237" s="107"/>
      <c r="C237" s="107"/>
      <c r="D237" s="108"/>
      <c r="E237" s="104"/>
      <c r="F237" s="104"/>
      <c r="G237" s="35"/>
      <c r="H237" s="104"/>
      <c r="I237" s="140"/>
      <c r="J237" s="74"/>
      <c r="K237" s="74"/>
      <c r="L237" s="74"/>
      <c r="M237" s="74"/>
      <c r="N237" s="74"/>
      <c r="O237" s="74"/>
      <c r="P237" s="74"/>
      <c r="Q237" s="74"/>
      <c r="R237" s="74"/>
      <c r="S237" s="74"/>
      <c r="T237" s="74"/>
      <c r="U237" s="74"/>
      <c r="V237" s="74"/>
      <c r="W237" s="74"/>
      <c r="X237" s="74"/>
      <c r="Y237" s="74"/>
      <c r="Z237" s="74"/>
      <c r="AA237" s="74"/>
      <c r="AB237" s="74"/>
    </row>
    <row r="238" spans="1:28" ht="12" customHeight="1">
      <c r="A238" s="565"/>
      <c r="B238" s="107"/>
      <c r="C238" s="107"/>
      <c r="D238" s="108"/>
      <c r="E238" s="104"/>
      <c r="F238" s="104"/>
      <c r="G238" s="35"/>
      <c r="H238" s="104"/>
      <c r="I238" s="140"/>
      <c r="J238" s="74"/>
      <c r="K238" s="74"/>
      <c r="L238" s="74"/>
      <c r="M238" s="74"/>
      <c r="N238" s="74"/>
      <c r="O238" s="74"/>
      <c r="P238" s="74"/>
      <c r="Q238" s="74"/>
      <c r="R238" s="74"/>
      <c r="S238" s="74"/>
      <c r="T238" s="74"/>
      <c r="U238" s="74"/>
      <c r="V238" s="74"/>
      <c r="W238" s="74"/>
      <c r="X238" s="74"/>
      <c r="Y238" s="74"/>
      <c r="Z238" s="74"/>
      <c r="AA238" s="74"/>
      <c r="AB238" s="74"/>
    </row>
    <row r="239" spans="1:28" ht="12" customHeight="1">
      <c r="A239" s="565"/>
      <c r="B239" s="107"/>
      <c r="C239" s="107"/>
      <c r="D239" s="108"/>
      <c r="E239" s="104"/>
      <c r="F239" s="104"/>
      <c r="G239" s="35"/>
      <c r="H239" s="104"/>
      <c r="I239" s="140"/>
      <c r="J239" s="74"/>
      <c r="K239" s="74"/>
      <c r="L239" s="74"/>
      <c r="M239" s="74"/>
      <c r="N239" s="74"/>
      <c r="O239" s="74"/>
      <c r="P239" s="74"/>
      <c r="Q239" s="74"/>
      <c r="R239" s="74"/>
      <c r="S239" s="74"/>
      <c r="T239" s="74"/>
      <c r="U239" s="74"/>
      <c r="V239" s="74"/>
      <c r="W239" s="74"/>
      <c r="X239" s="74"/>
      <c r="Y239" s="74"/>
      <c r="Z239" s="74"/>
      <c r="AA239" s="74"/>
      <c r="AB239" s="74"/>
    </row>
    <row r="240" spans="1:28" ht="12" customHeight="1">
      <c r="A240" s="565"/>
      <c r="B240" s="107"/>
      <c r="C240" s="107"/>
      <c r="D240" s="108"/>
      <c r="E240" s="104"/>
      <c r="F240" s="104"/>
      <c r="G240" s="35"/>
      <c r="H240" s="104"/>
      <c r="I240" s="140"/>
      <c r="J240" s="74"/>
      <c r="K240" s="74"/>
      <c r="L240" s="74"/>
      <c r="M240" s="74"/>
      <c r="N240" s="74"/>
      <c r="O240" s="74"/>
      <c r="P240" s="74"/>
      <c r="Q240" s="74"/>
      <c r="R240" s="74"/>
      <c r="S240" s="74"/>
      <c r="T240" s="74"/>
      <c r="U240" s="74"/>
      <c r="V240" s="74"/>
      <c r="W240" s="74"/>
      <c r="X240" s="74"/>
      <c r="Y240" s="74"/>
      <c r="Z240" s="74"/>
      <c r="AA240" s="74"/>
      <c r="AB240" s="74"/>
    </row>
    <row r="241" spans="1:28" ht="12" customHeight="1">
      <c r="A241" s="565"/>
      <c r="B241" s="107"/>
      <c r="C241" s="107"/>
      <c r="D241" s="108"/>
      <c r="E241" s="104"/>
      <c r="F241" s="104"/>
      <c r="G241" s="35"/>
      <c r="H241" s="104"/>
      <c r="I241" s="140"/>
      <c r="J241" s="74"/>
      <c r="K241" s="74"/>
      <c r="L241" s="74"/>
      <c r="M241" s="74"/>
      <c r="N241" s="74"/>
      <c r="O241" s="74"/>
      <c r="P241" s="74"/>
      <c r="Q241" s="74"/>
      <c r="R241" s="74"/>
      <c r="S241" s="74"/>
      <c r="T241" s="74"/>
      <c r="U241" s="74"/>
      <c r="V241" s="74"/>
      <c r="W241" s="74"/>
      <c r="X241" s="74"/>
      <c r="Y241" s="74"/>
      <c r="Z241" s="74"/>
      <c r="AA241" s="74"/>
      <c r="AB241" s="74"/>
    </row>
    <row r="242" spans="1:28" ht="12" customHeight="1">
      <c r="A242" s="565"/>
      <c r="B242" s="107"/>
      <c r="C242" s="107"/>
      <c r="D242" s="108"/>
      <c r="E242" s="104"/>
      <c r="F242" s="104"/>
      <c r="G242" s="35"/>
      <c r="H242" s="104"/>
      <c r="I242" s="140"/>
      <c r="J242" s="74"/>
      <c r="K242" s="74"/>
      <c r="L242" s="74"/>
      <c r="M242" s="74"/>
      <c r="N242" s="74"/>
      <c r="O242" s="74"/>
      <c r="P242" s="74"/>
      <c r="Q242" s="74"/>
      <c r="R242" s="74"/>
      <c r="S242" s="74"/>
      <c r="T242" s="74"/>
      <c r="U242" s="74"/>
      <c r="V242" s="74"/>
      <c r="W242" s="74"/>
      <c r="X242" s="74"/>
      <c r="Y242" s="74"/>
      <c r="Z242" s="74"/>
      <c r="AA242" s="74"/>
      <c r="AB242" s="74"/>
    </row>
    <row r="243" spans="1:28" ht="12" customHeight="1">
      <c r="A243" s="565"/>
      <c r="B243" s="107"/>
      <c r="C243" s="107"/>
      <c r="D243" s="108"/>
      <c r="E243" s="104"/>
      <c r="F243" s="104"/>
      <c r="G243" s="35"/>
      <c r="H243" s="104"/>
      <c r="I243" s="140"/>
      <c r="J243" s="74"/>
      <c r="K243" s="74"/>
      <c r="L243" s="74"/>
      <c r="M243" s="74"/>
      <c r="N243" s="74"/>
      <c r="O243" s="74"/>
      <c r="P243" s="74"/>
      <c r="Q243" s="74"/>
      <c r="R243" s="74"/>
      <c r="S243" s="74"/>
      <c r="T243" s="74"/>
      <c r="U243" s="74"/>
      <c r="V243" s="74"/>
      <c r="W243" s="74"/>
      <c r="X243" s="74"/>
      <c r="Y243" s="74"/>
      <c r="Z243" s="74"/>
      <c r="AA243" s="74"/>
      <c r="AB243" s="74"/>
    </row>
    <row r="244" spans="1:28" ht="12" customHeight="1">
      <c r="A244" s="565"/>
      <c r="B244" s="107"/>
      <c r="C244" s="107"/>
      <c r="D244" s="108"/>
      <c r="E244" s="104"/>
      <c r="F244" s="104"/>
      <c r="G244" s="35"/>
      <c r="H244" s="104"/>
      <c r="I244" s="140"/>
      <c r="J244" s="74"/>
      <c r="K244" s="74"/>
      <c r="L244" s="74"/>
      <c r="M244" s="74"/>
      <c r="N244" s="74"/>
      <c r="O244" s="74"/>
      <c r="P244" s="74"/>
      <c r="Q244" s="74"/>
      <c r="R244" s="74"/>
      <c r="S244" s="74"/>
      <c r="T244" s="74"/>
      <c r="U244" s="74"/>
      <c r="V244" s="74"/>
      <c r="W244" s="74"/>
      <c r="X244" s="74"/>
      <c r="Y244" s="74"/>
      <c r="Z244" s="74"/>
      <c r="AA244" s="74"/>
      <c r="AB244" s="74"/>
    </row>
    <row r="245" spans="1:28" ht="12" customHeight="1">
      <c r="A245" s="565"/>
      <c r="B245" s="107"/>
      <c r="C245" s="107"/>
      <c r="D245" s="108"/>
      <c r="E245" s="104"/>
      <c r="F245" s="104"/>
      <c r="G245" s="35"/>
      <c r="H245" s="104"/>
      <c r="I245" s="140"/>
      <c r="J245" s="74"/>
      <c r="K245" s="74"/>
      <c r="L245" s="74"/>
      <c r="M245" s="74"/>
      <c r="N245" s="74"/>
      <c r="O245" s="74"/>
      <c r="P245" s="74"/>
      <c r="Q245" s="74"/>
      <c r="R245" s="74"/>
      <c r="S245" s="74"/>
      <c r="T245" s="74"/>
      <c r="U245" s="74"/>
      <c r="V245" s="74"/>
      <c r="W245" s="74"/>
      <c r="X245" s="74"/>
      <c r="Y245" s="74"/>
      <c r="Z245" s="74"/>
      <c r="AA245" s="74"/>
      <c r="AB245" s="74"/>
    </row>
    <row r="246" spans="1:28" ht="12" customHeight="1">
      <c r="A246" s="565"/>
      <c r="B246" s="107"/>
      <c r="C246" s="107"/>
      <c r="D246" s="108"/>
      <c r="E246" s="104"/>
      <c r="F246" s="104"/>
      <c r="G246" s="35"/>
      <c r="H246" s="104"/>
      <c r="I246" s="140"/>
      <c r="J246" s="74"/>
      <c r="K246" s="74"/>
      <c r="L246" s="74"/>
      <c r="M246" s="74"/>
      <c r="N246" s="74"/>
      <c r="O246" s="74"/>
      <c r="P246" s="74"/>
      <c r="Q246" s="74"/>
      <c r="R246" s="74"/>
      <c r="S246" s="74"/>
      <c r="T246" s="74"/>
      <c r="U246" s="74"/>
      <c r="V246" s="74"/>
      <c r="W246" s="74"/>
      <c r="X246" s="74"/>
      <c r="Y246" s="74"/>
      <c r="Z246" s="74"/>
      <c r="AA246" s="74"/>
      <c r="AB246" s="74"/>
    </row>
    <row r="247" spans="1:28" ht="12" customHeight="1">
      <c r="A247" s="565"/>
      <c r="B247" s="107"/>
      <c r="C247" s="107"/>
      <c r="D247" s="108"/>
      <c r="E247" s="104"/>
      <c r="F247" s="104"/>
      <c r="G247" s="35"/>
      <c r="H247" s="104"/>
      <c r="I247" s="140"/>
      <c r="J247" s="74"/>
      <c r="K247" s="74"/>
      <c r="L247" s="74"/>
      <c r="M247" s="74"/>
      <c r="N247" s="74"/>
      <c r="O247" s="74"/>
      <c r="P247" s="74"/>
      <c r="Q247" s="74"/>
      <c r="R247" s="74"/>
      <c r="S247" s="74"/>
      <c r="T247" s="74"/>
      <c r="U247" s="74"/>
      <c r="V247" s="74"/>
      <c r="W247" s="74"/>
      <c r="X247" s="74"/>
      <c r="Y247" s="74"/>
      <c r="Z247" s="74"/>
      <c r="AA247" s="74"/>
      <c r="AB247" s="74"/>
    </row>
    <row r="248" spans="1:28" ht="12" customHeight="1">
      <c r="A248" s="565"/>
      <c r="B248" s="107"/>
      <c r="C248" s="107"/>
      <c r="D248" s="108"/>
      <c r="E248" s="104"/>
      <c r="F248" s="104"/>
      <c r="G248" s="35"/>
      <c r="H248" s="104"/>
      <c r="I248" s="140"/>
      <c r="J248" s="74"/>
      <c r="K248" s="74"/>
      <c r="L248" s="74"/>
      <c r="M248" s="74"/>
      <c r="N248" s="74"/>
      <c r="O248" s="74"/>
      <c r="P248" s="74"/>
      <c r="Q248" s="74"/>
      <c r="R248" s="74"/>
      <c r="S248" s="74"/>
      <c r="T248" s="74"/>
      <c r="U248" s="74"/>
      <c r="V248" s="74"/>
      <c r="W248" s="74"/>
      <c r="X248" s="74"/>
      <c r="Y248" s="74"/>
      <c r="Z248" s="74"/>
      <c r="AA248" s="74"/>
      <c r="AB248" s="74"/>
    </row>
    <row r="249" spans="1:28" ht="12" customHeight="1">
      <c r="A249" s="565"/>
      <c r="B249" s="107"/>
      <c r="C249" s="107"/>
      <c r="D249" s="108"/>
      <c r="E249" s="104"/>
      <c r="F249" s="104"/>
      <c r="G249" s="35"/>
      <c r="H249" s="104"/>
      <c r="I249" s="140"/>
      <c r="J249" s="74"/>
      <c r="K249" s="74"/>
      <c r="L249" s="74"/>
      <c r="M249" s="74"/>
      <c r="N249" s="74"/>
      <c r="O249" s="74"/>
      <c r="P249" s="74"/>
      <c r="Q249" s="74"/>
      <c r="R249" s="74"/>
      <c r="S249" s="74"/>
      <c r="T249" s="74"/>
      <c r="U249" s="74"/>
      <c r="V249" s="74"/>
      <c r="W249" s="74"/>
      <c r="X249" s="74"/>
      <c r="Y249" s="74"/>
      <c r="Z249" s="74"/>
      <c r="AA249" s="74"/>
      <c r="AB249" s="74"/>
    </row>
    <row r="250" spans="1:28" ht="12" customHeight="1">
      <c r="A250" s="565"/>
      <c r="B250" s="107"/>
      <c r="C250" s="107"/>
      <c r="D250" s="108"/>
      <c r="E250" s="104"/>
      <c r="F250" s="104"/>
      <c r="G250" s="35"/>
      <c r="H250" s="104"/>
      <c r="I250" s="140"/>
      <c r="J250" s="74"/>
      <c r="K250" s="74"/>
      <c r="L250" s="74"/>
      <c r="M250" s="74"/>
      <c r="N250" s="74"/>
      <c r="O250" s="74"/>
      <c r="P250" s="74"/>
      <c r="Q250" s="74"/>
      <c r="R250" s="74"/>
      <c r="S250" s="74"/>
      <c r="T250" s="74"/>
      <c r="U250" s="74"/>
      <c r="V250" s="74"/>
      <c r="W250" s="74"/>
      <c r="X250" s="74"/>
      <c r="Y250" s="74"/>
      <c r="Z250" s="74"/>
      <c r="AA250" s="74"/>
      <c r="AB250" s="74"/>
    </row>
    <row r="251" spans="1:28" ht="12" customHeight="1">
      <c r="A251" s="565"/>
      <c r="B251" s="107"/>
      <c r="C251" s="107"/>
      <c r="D251" s="108"/>
      <c r="E251" s="104"/>
      <c r="F251" s="104"/>
      <c r="G251" s="35"/>
      <c r="H251" s="104"/>
      <c r="I251" s="140"/>
      <c r="J251" s="74"/>
      <c r="K251" s="74"/>
      <c r="L251" s="74"/>
      <c r="M251" s="74"/>
      <c r="N251" s="74"/>
      <c r="O251" s="74"/>
      <c r="P251" s="74"/>
      <c r="Q251" s="74"/>
      <c r="R251" s="74"/>
      <c r="S251" s="74"/>
      <c r="T251" s="74"/>
      <c r="U251" s="74"/>
      <c r="V251" s="74"/>
      <c r="W251" s="74"/>
      <c r="X251" s="74"/>
      <c r="Y251" s="74"/>
      <c r="Z251" s="74"/>
      <c r="AA251" s="74"/>
      <c r="AB251" s="74"/>
    </row>
    <row r="252" spans="1:28" ht="12" customHeight="1">
      <c r="A252" s="565"/>
      <c r="B252" s="107"/>
      <c r="C252" s="107"/>
      <c r="D252" s="108"/>
      <c r="E252" s="104"/>
      <c r="F252" s="104"/>
      <c r="G252" s="35"/>
      <c r="H252" s="104"/>
      <c r="I252" s="140"/>
      <c r="J252" s="74"/>
      <c r="K252" s="74"/>
      <c r="L252" s="74"/>
      <c r="M252" s="74"/>
      <c r="N252" s="74"/>
      <c r="O252" s="74"/>
      <c r="P252" s="74"/>
      <c r="Q252" s="74"/>
      <c r="R252" s="74"/>
      <c r="S252" s="74"/>
      <c r="T252" s="74"/>
      <c r="U252" s="74"/>
      <c r="V252" s="74"/>
      <c r="W252" s="74"/>
      <c r="X252" s="74"/>
      <c r="Y252" s="74"/>
      <c r="Z252" s="74"/>
      <c r="AA252" s="74"/>
      <c r="AB252" s="74"/>
    </row>
    <row r="253" spans="1:28" ht="12" customHeight="1">
      <c r="A253" s="565"/>
      <c r="B253" s="107"/>
      <c r="C253" s="107"/>
      <c r="D253" s="108"/>
      <c r="E253" s="104"/>
      <c r="F253" s="104"/>
      <c r="G253" s="35"/>
      <c r="H253" s="104"/>
      <c r="I253" s="140"/>
      <c r="J253" s="74"/>
      <c r="K253" s="74"/>
      <c r="L253" s="74"/>
      <c r="M253" s="74"/>
      <c r="N253" s="74"/>
      <c r="O253" s="74"/>
      <c r="P253" s="74"/>
      <c r="Q253" s="74"/>
      <c r="R253" s="74"/>
      <c r="S253" s="74"/>
      <c r="T253" s="74"/>
      <c r="U253" s="74"/>
      <c r="V253" s="74"/>
      <c r="W253" s="74"/>
      <c r="X253" s="74"/>
      <c r="Y253" s="74"/>
      <c r="Z253" s="74"/>
      <c r="AA253" s="74"/>
      <c r="AB253" s="74"/>
    </row>
    <row r="254" spans="1:28" ht="12" customHeight="1">
      <c r="A254" s="565"/>
      <c r="B254" s="107"/>
      <c r="C254" s="107"/>
      <c r="D254" s="108"/>
      <c r="E254" s="104"/>
      <c r="F254" s="104"/>
      <c r="G254" s="35"/>
      <c r="H254" s="104"/>
      <c r="I254" s="140"/>
      <c r="J254" s="74"/>
      <c r="K254" s="74"/>
      <c r="L254" s="74"/>
      <c r="M254" s="74"/>
      <c r="N254" s="74"/>
      <c r="O254" s="74"/>
      <c r="P254" s="74"/>
      <c r="Q254" s="74"/>
      <c r="R254" s="74"/>
      <c r="S254" s="74"/>
      <c r="T254" s="74"/>
      <c r="U254" s="74"/>
      <c r="V254" s="74"/>
      <c r="W254" s="74"/>
      <c r="X254" s="74"/>
      <c r="Y254" s="74"/>
      <c r="Z254" s="74"/>
      <c r="AA254" s="74"/>
      <c r="AB254" s="74"/>
    </row>
    <row r="255" spans="1:28" ht="12" customHeight="1">
      <c r="A255" s="565"/>
      <c r="B255" s="107"/>
      <c r="C255" s="107"/>
      <c r="D255" s="108"/>
      <c r="E255" s="104"/>
      <c r="F255" s="104"/>
      <c r="G255" s="35"/>
      <c r="H255" s="104"/>
      <c r="I255" s="140"/>
      <c r="J255" s="74"/>
      <c r="K255" s="74"/>
      <c r="L255" s="74"/>
      <c r="M255" s="74"/>
      <c r="N255" s="74"/>
      <c r="O255" s="74"/>
      <c r="P255" s="74"/>
      <c r="Q255" s="74"/>
      <c r="R255" s="74"/>
      <c r="S255" s="74"/>
      <c r="T255" s="74"/>
      <c r="U255" s="74"/>
      <c r="V255" s="74"/>
      <c r="W255" s="74"/>
      <c r="X255" s="74"/>
      <c r="Y255" s="74"/>
      <c r="Z255" s="74"/>
      <c r="AA255" s="74"/>
      <c r="AB255" s="74"/>
    </row>
    <row r="256" spans="1:28" ht="12" customHeight="1">
      <c r="A256" s="565"/>
      <c r="B256" s="107"/>
      <c r="C256" s="107"/>
      <c r="D256" s="108"/>
      <c r="E256" s="104"/>
      <c r="F256" s="104"/>
      <c r="G256" s="35"/>
      <c r="H256" s="104"/>
      <c r="I256" s="140"/>
      <c r="J256" s="74"/>
      <c r="K256" s="74"/>
      <c r="L256" s="74"/>
      <c r="M256" s="74"/>
      <c r="N256" s="74"/>
      <c r="O256" s="74"/>
      <c r="P256" s="74"/>
      <c r="Q256" s="74"/>
      <c r="R256" s="74"/>
      <c r="S256" s="74"/>
      <c r="T256" s="74"/>
      <c r="U256" s="74"/>
      <c r="V256" s="74"/>
      <c r="W256" s="74"/>
      <c r="X256" s="74"/>
      <c r="Y256" s="74"/>
      <c r="Z256" s="74"/>
      <c r="AA256" s="74"/>
      <c r="AB256" s="74"/>
    </row>
    <row r="257" spans="1:28" ht="12" customHeight="1">
      <c r="A257" s="565"/>
      <c r="B257" s="107"/>
      <c r="C257" s="107"/>
      <c r="D257" s="108"/>
      <c r="E257" s="104"/>
      <c r="F257" s="104"/>
      <c r="G257" s="35"/>
      <c r="H257" s="104"/>
      <c r="I257" s="140"/>
      <c r="J257" s="74"/>
      <c r="K257" s="74"/>
      <c r="L257" s="74"/>
      <c r="M257" s="74"/>
      <c r="N257" s="74"/>
      <c r="O257" s="74"/>
      <c r="P257" s="74"/>
      <c r="Q257" s="74"/>
      <c r="R257" s="74"/>
      <c r="S257" s="74"/>
      <c r="T257" s="74"/>
      <c r="U257" s="74"/>
      <c r="V257" s="74"/>
      <c r="W257" s="74"/>
      <c r="X257" s="74"/>
      <c r="Y257" s="74"/>
      <c r="Z257" s="74"/>
      <c r="AA257" s="74"/>
      <c r="AB257" s="74"/>
    </row>
    <row r="258" spans="1:28" ht="12" customHeight="1">
      <c r="A258" s="565"/>
      <c r="B258" s="107"/>
      <c r="C258" s="107"/>
      <c r="D258" s="108"/>
      <c r="E258" s="104"/>
      <c r="F258" s="104"/>
      <c r="G258" s="35"/>
      <c r="H258" s="104"/>
      <c r="I258" s="140"/>
      <c r="J258" s="74"/>
      <c r="K258" s="74"/>
      <c r="L258" s="74"/>
      <c r="M258" s="74"/>
      <c r="N258" s="74"/>
      <c r="O258" s="74"/>
      <c r="P258" s="74"/>
      <c r="Q258" s="74"/>
      <c r="R258" s="74"/>
      <c r="S258" s="74"/>
      <c r="T258" s="74"/>
      <c r="U258" s="74"/>
      <c r="V258" s="74"/>
      <c r="W258" s="74"/>
      <c r="X258" s="74"/>
      <c r="Y258" s="74"/>
      <c r="Z258" s="74"/>
      <c r="AA258" s="74"/>
      <c r="AB258" s="74"/>
    </row>
    <row r="259" spans="1:28" ht="12" customHeight="1">
      <c r="A259" s="565"/>
      <c r="B259" s="107"/>
      <c r="C259" s="107"/>
      <c r="D259" s="108"/>
      <c r="E259" s="104"/>
      <c r="F259" s="104"/>
      <c r="G259" s="35"/>
      <c r="H259" s="104"/>
      <c r="I259" s="140"/>
      <c r="J259" s="74"/>
      <c r="K259" s="74"/>
      <c r="L259" s="74"/>
      <c r="M259" s="74"/>
      <c r="N259" s="74"/>
      <c r="O259" s="74"/>
      <c r="P259" s="74"/>
      <c r="Q259" s="74"/>
      <c r="R259" s="74"/>
      <c r="S259" s="74"/>
      <c r="T259" s="74"/>
      <c r="U259" s="74"/>
      <c r="V259" s="74"/>
      <c r="W259" s="74"/>
      <c r="X259" s="74"/>
      <c r="Y259" s="74"/>
      <c r="Z259" s="74"/>
      <c r="AA259" s="74"/>
      <c r="AB259" s="74"/>
    </row>
    <row r="260" spans="1:28" ht="12" customHeight="1">
      <c r="A260" s="565"/>
      <c r="B260" s="107"/>
      <c r="C260" s="107"/>
      <c r="D260" s="108"/>
      <c r="E260" s="104"/>
      <c r="F260" s="104"/>
      <c r="G260" s="35"/>
      <c r="H260" s="104"/>
      <c r="I260" s="140"/>
      <c r="J260" s="74"/>
      <c r="K260" s="74"/>
      <c r="L260" s="74"/>
      <c r="M260" s="74"/>
      <c r="N260" s="74"/>
      <c r="O260" s="74"/>
      <c r="P260" s="74"/>
      <c r="Q260" s="74"/>
      <c r="R260" s="74"/>
      <c r="S260" s="74"/>
      <c r="T260" s="74"/>
      <c r="U260" s="74"/>
      <c r="V260" s="74"/>
      <c r="W260" s="74"/>
      <c r="X260" s="74"/>
      <c r="Y260" s="74"/>
      <c r="Z260" s="74"/>
      <c r="AA260" s="74"/>
      <c r="AB260" s="74"/>
    </row>
    <row r="261" spans="1:28" ht="12" customHeight="1">
      <c r="A261" s="565"/>
      <c r="B261" s="107"/>
      <c r="C261" s="107"/>
      <c r="D261" s="108"/>
      <c r="E261" s="104"/>
      <c r="F261" s="104"/>
      <c r="G261" s="35"/>
      <c r="H261" s="104"/>
      <c r="I261" s="140"/>
      <c r="J261" s="74"/>
      <c r="K261" s="74"/>
      <c r="L261" s="74"/>
      <c r="M261" s="74"/>
      <c r="N261" s="74"/>
      <c r="O261" s="74"/>
      <c r="P261" s="74"/>
      <c r="Q261" s="74"/>
      <c r="R261" s="74"/>
      <c r="S261" s="74"/>
      <c r="T261" s="74"/>
      <c r="U261" s="74"/>
      <c r="V261" s="74"/>
      <c r="W261" s="74"/>
      <c r="X261" s="74"/>
      <c r="Y261" s="74"/>
      <c r="Z261" s="74"/>
      <c r="AA261" s="74"/>
      <c r="AB261" s="74"/>
    </row>
    <row r="262" spans="1:28" ht="12" customHeight="1">
      <c r="A262" s="565"/>
      <c r="B262" s="107"/>
      <c r="C262" s="107"/>
      <c r="D262" s="108"/>
      <c r="E262" s="104"/>
      <c r="F262" s="104"/>
      <c r="G262" s="35"/>
      <c r="H262" s="104"/>
      <c r="I262" s="140"/>
      <c r="J262" s="74"/>
      <c r="K262" s="74"/>
      <c r="L262" s="74"/>
      <c r="M262" s="74"/>
      <c r="N262" s="74"/>
      <c r="O262" s="74"/>
      <c r="P262" s="74"/>
      <c r="Q262" s="74"/>
      <c r="R262" s="74"/>
      <c r="S262" s="74"/>
      <c r="T262" s="74"/>
      <c r="U262" s="74"/>
      <c r="V262" s="74"/>
      <c r="W262" s="74"/>
      <c r="X262" s="74"/>
      <c r="Y262" s="74"/>
      <c r="Z262" s="74"/>
      <c r="AA262" s="74"/>
      <c r="AB262" s="74"/>
    </row>
    <row r="263" spans="1:28" ht="12" customHeight="1">
      <c r="A263" s="565"/>
      <c r="B263" s="107"/>
      <c r="C263" s="107"/>
      <c r="D263" s="108"/>
      <c r="E263" s="104"/>
      <c r="F263" s="104"/>
      <c r="G263" s="35"/>
      <c r="H263" s="104"/>
      <c r="I263" s="140"/>
      <c r="J263" s="74"/>
      <c r="K263" s="74"/>
      <c r="L263" s="74"/>
      <c r="M263" s="74"/>
      <c r="N263" s="74"/>
      <c r="O263" s="74"/>
      <c r="P263" s="74"/>
      <c r="Q263" s="74"/>
      <c r="R263" s="74"/>
      <c r="S263" s="74"/>
      <c r="T263" s="74"/>
      <c r="U263" s="74"/>
      <c r="V263" s="74"/>
      <c r="W263" s="74"/>
      <c r="X263" s="74"/>
      <c r="Y263" s="74"/>
      <c r="Z263" s="74"/>
      <c r="AA263" s="74"/>
      <c r="AB263" s="74"/>
    </row>
    <row r="264" spans="1:28" ht="12" customHeight="1">
      <c r="A264" s="565"/>
      <c r="B264" s="107"/>
      <c r="C264" s="107"/>
      <c r="D264" s="108"/>
      <c r="E264" s="104"/>
      <c r="F264" s="104"/>
      <c r="G264" s="35"/>
      <c r="H264" s="104"/>
      <c r="I264" s="140"/>
      <c r="J264" s="74"/>
      <c r="K264" s="74"/>
      <c r="L264" s="74"/>
      <c r="M264" s="74"/>
      <c r="N264" s="74"/>
      <c r="O264" s="74"/>
      <c r="P264" s="74"/>
      <c r="Q264" s="74"/>
      <c r="R264" s="74"/>
      <c r="S264" s="74"/>
      <c r="T264" s="74"/>
      <c r="U264" s="74"/>
      <c r="V264" s="74"/>
      <c r="W264" s="74"/>
      <c r="X264" s="74"/>
      <c r="Y264" s="74"/>
      <c r="Z264" s="74"/>
      <c r="AA264" s="74"/>
      <c r="AB264" s="74"/>
    </row>
    <row r="265" spans="1:28" ht="12" customHeight="1">
      <c r="A265" s="565"/>
      <c r="B265" s="107"/>
      <c r="C265" s="107"/>
      <c r="D265" s="108"/>
      <c r="E265" s="104"/>
      <c r="F265" s="104"/>
      <c r="G265" s="35"/>
      <c r="H265" s="104"/>
      <c r="I265" s="140"/>
      <c r="J265" s="74"/>
      <c r="K265" s="74"/>
      <c r="L265" s="74"/>
      <c r="M265" s="74"/>
      <c r="N265" s="74"/>
      <c r="O265" s="74"/>
      <c r="P265" s="74"/>
      <c r="Q265" s="74"/>
      <c r="R265" s="74"/>
      <c r="S265" s="74"/>
      <c r="T265" s="74"/>
      <c r="U265" s="74"/>
      <c r="V265" s="74"/>
      <c r="W265" s="74"/>
      <c r="X265" s="74"/>
      <c r="Y265" s="74"/>
      <c r="Z265" s="74"/>
      <c r="AA265" s="74"/>
      <c r="AB265" s="74"/>
    </row>
    <row r="266" spans="1:28" ht="12" customHeight="1">
      <c r="A266" s="565"/>
      <c r="B266" s="107"/>
      <c r="C266" s="107"/>
      <c r="D266" s="108"/>
      <c r="E266" s="104"/>
      <c r="F266" s="104"/>
      <c r="G266" s="35"/>
      <c r="H266" s="104"/>
      <c r="I266" s="140"/>
      <c r="J266" s="74"/>
      <c r="K266" s="74"/>
      <c r="L266" s="74"/>
      <c r="M266" s="74"/>
      <c r="N266" s="74"/>
      <c r="O266" s="74"/>
      <c r="P266" s="74"/>
      <c r="Q266" s="74"/>
      <c r="R266" s="74"/>
      <c r="S266" s="74"/>
      <c r="T266" s="74"/>
      <c r="U266" s="74"/>
      <c r="V266" s="74"/>
      <c r="W266" s="74"/>
      <c r="X266" s="74"/>
      <c r="Y266" s="74"/>
      <c r="Z266" s="74"/>
      <c r="AA266" s="74"/>
      <c r="AB266" s="74"/>
    </row>
    <row r="267" spans="1:28" ht="12" customHeight="1">
      <c r="A267" s="565"/>
      <c r="B267" s="107"/>
      <c r="C267" s="107"/>
      <c r="D267" s="108"/>
      <c r="E267" s="104"/>
      <c r="F267" s="104"/>
      <c r="G267" s="35"/>
      <c r="H267" s="104"/>
      <c r="I267" s="140"/>
      <c r="J267" s="74"/>
      <c r="K267" s="74"/>
      <c r="L267" s="74"/>
      <c r="M267" s="74"/>
      <c r="N267" s="74"/>
      <c r="O267" s="74"/>
      <c r="P267" s="74"/>
      <c r="Q267" s="74"/>
      <c r="R267" s="74"/>
      <c r="S267" s="74"/>
      <c r="T267" s="74"/>
      <c r="U267" s="74"/>
      <c r="V267" s="74"/>
      <c r="W267" s="74"/>
      <c r="X267" s="74"/>
      <c r="Y267" s="74"/>
      <c r="Z267" s="74"/>
      <c r="AA267" s="74"/>
      <c r="AB267" s="74"/>
    </row>
    <row r="268" spans="1:28" ht="12" customHeight="1">
      <c r="A268" s="565"/>
      <c r="B268" s="107"/>
      <c r="C268" s="107"/>
      <c r="D268" s="108"/>
      <c r="E268" s="104"/>
      <c r="F268" s="104"/>
      <c r="G268" s="35"/>
      <c r="H268" s="104"/>
      <c r="I268" s="140"/>
      <c r="J268" s="74"/>
      <c r="K268" s="74"/>
      <c r="L268" s="74"/>
      <c r="M268" s="74"/>
      <c r="N268" s="74"/>
      <c r="O268" s="74"/>
      <c r="P268" s="74"/>
      <c r="Q268" s="74"/>
      <c r="R268" s="74"/>
      <c r="S268" s="74"/>
      <c r="T268" s="74"/>
      <c r="U268" s="74"/>
      <c r="V268" s="74"/>
      <c r="W268" s="74"/>
      <c r="X268" s="74"/>
      <c r="Y268" s="74"/>
      <c r="Z268" s="74"/>
      <c r="AA268" s="74"/>
      <c r="AB268" s="74"/>
    </row>
    <row r="269" spans="1:28" ht="12" customHeight="1">
      <c r="A269" s="565"/>
      <c r="B269" s="107"/>
      <c r="C269" s="107"/>
      <c r="D269" s="108"/>
      <c r="E269" s="104"/>
      <c r="F269" s="104"/>
      <c r="G269" s="35"/>
      <c r="H269" s="104"/>
      <c r="I269" s="140"/>
      <c r="J269" s="74"/>
      <c r="K269" s="74"/>
      <c r="L269" s="74"/>
      <c r="M269" s="74"/>
      <c r="N269" s="74"/>
      <c r="O269" s="74"/>
      <c r="P269" s="74"/>
      <c r="Q269" s="74"/>
      <c r="R269" s="74"/>
      <c r="S269" s="74"/>
      <c r="T269" s="74"/>
      <c r="U269" s="74"/>
      <c r="V269" s="74"/>
      <c r="W269" s="74"/>
      <c r="X269" s="74"/>
      <c r="Y269" s="74"/>
      <c r="Z269" s="74"/>
      <c r="AA269" s="74"/>
      <c r="AB269" s="74"/>
    </row>
    <row r="270" spans="1:28" ht="12" customHeight="1">
      <c r="A270" s="565"/>
      <c r="B270" s="107"/>
      <c r="C270" s="107"/>
      <c r="D270" s="108"/>
      <c r="E270" s="104"/>
      <c r="F270" s="104"/>
      <c r="G270" s="35"/>
      <c r="H270" s="104"/>
      <c r="I270" s="140"/>
      <c r="J270" s="74"/>
      <c r="K270" s="74"/>
      <c r="L270" s="74"/>
      <c r="M270" s="74"/>
      <c r="N270" s="74"/>
      <c r="O270" s="74"/>
      <c r="P270" s="74"/>
      <c r="Q270" s="74"/>
      <c r="R270" s="74"/>
      <c r="S270" s="74"/>
      <c r="T270" s="74"/>
      <c r="U270" s="74"/>
      <c r="V270" s="74"/>
      <c r="W270" s="74"/>
      <c r="X270" s="74"/>
      <c r="Y270" s="74"/>
      <c r="Z270" s="74"/>
      <c r="AA270" s="74"/>
      <c r="AB270" s="74"/>
    </row>
    <row r="271" spans="1:28" ht="12" customHeight="1">
      <c r="A271" s="565"/>
      <c r="B271" s="107"/>
      <c r="C271" s="107"/>
      <c r="D271" s="108"/>
      <c r="E271" s="104"/>
      <c r="F271" s="104"/>
      <c r="G271" s="35"/>
      <c r="H271" s="104"/>
      <c r="I271" s="140"/>
      <c r="J271" s="74"/>
      <c r="K271" s="74"/>
      <c r="L271" s="74"/>
      <c r="M271" s="74"/>
      <c r="N271" s="74"/>
      <c r="O271" s="74"/>
      <c r="P271" s="74"/>
      <c r="Q271" s="74"/>
      <c r="R271" s="74"/>
      <c r="S271" s="74"/>
      <c r="T271" s="74"/>
      <c r="U271" s="74"/>
      <c r="V271" s="74"/>
      <c r="W271" s="74"/>
      <c r="X271" s="74"/>
      <c r="Y271" s="74"/>
      <c r="Z271" s="74"/>
      <c r="AA271" s="74"/>
      <c r="AB271" s="74"/>
    </row>
    <row r="272" spans="1:28" ht="12" customHeight="1">
      <c r="A272" s="565"/>
      <c r="B272" s="107"/>
      <c r="C272" s="107"/>
      <c r="D272" s="108"/>
      <c r="E272" s="104"/>
      <c r="F272" s="104"/>
      <c r="G272" s="35"/>
      <c r="H272" s="104"/>
      <c r="I272" s="140"/>
      <c r="J272" s="74"/>
      <c r="K272" s="74"/>
      <c r="L272" s="74"/>
      <c r="M272" s="74"/>
      <c r="N272" s="74"/>
      <c r="O272" s="74"/>
      <c r="P272" s="74"/>
      <c r="Q272" s="74"/>
      <c r="R272" s="74"/>
      <c r="S272" s="74"/>
      <c r="T272" s="74"/>
      <c r="U272" s="74"/>
      <c r="V272" s="74"/>
      <c r="W272" s="74"/>
      <c r="X272" s="74"/>
      <c r="Y272" s="74"/>
      <c r="Z272" s="74"/>
      <c r="AA272" s="74"/>
      <c r="AB272" s="74"/>
    </row>
    <row r="273" spans="1:28" ht="12" customHeight="1">
      <c r="A273" s="565"/>
      <c r="B273" s="107"/>
      <c r="C273" s="107"/>
      <c r="D273" s="108"/>
      <c r="E273" s="104"/>
      <c r="F273" s="104"/>
      <c r="G273" s="35"/>
      <c r="H273" s="104"/>
      <c r="I273" s="140"/>
      <c r="J273" s="74"/>
      <c r="K273" s="74"/>
      <c r="L273" s="74"/>
      <c r="M273" s="74"/>
      <c r="N273" s="74"/>
      <c r="O273" s="74"/>
      <c r="P273" s="74"/>
      <c r="Q273" s="74"/>
      <c r="R273" s="74"/>
      <c r="S273" s="74"/>
      <c r="T273" s="74"/>
      <c r="U273" s="74"/>
      <c r="V273" s="74"/>
      <c r="W273" s="74"/>
      <c r="X273" s="74"/>
      <c r="Y273" s="74"/>
      <c r="Z273" s="74"/>
      <c r="AA273" s="74"/>
      <c r="AB273" s="74"/>
    </row>
    <row r="274" spans="1:28" ht="12" customHeight="1">
      <c r="A274" s="565"/>
      <c r="B274" s="107"/>
      <c r="C274" s="107"/>
      <c r="D274" s="108"/>
      <c r="E274" s="104"/>
      <c r="F274" s="104"/>
      <c r="G274" s="35"/>
      <c r="H274" s="104"/>
      <c r="I274" s="140"/>
      <c r="J274" s="74"/>
      <c r="K274" s="74"/>
      <c r="L274" s="74"/>
      <c r="M274" s="74"/>
      <c r="N274" s="74"/>
      <c r="O274" s="74"/>
      <c r="P274" s="74"/>
      <c r="Q274" s="74"/>
      <c r="R274" s="74"/>
      <c r="S274" s="74"/>
      <c r="T274" s="74"/>
      <c r="U274" s="74"/>
      <c r="V274" s="74"/>
      <c r="W274" s="74"/>
      <c r="X274" s="74"/>
      <c r="Y274" s="74"/>
      <c r="Z274" s="74"/>
      <c r="AA274" s="74"/>
      <c r="AB274" s="74"/>
    </row>
    <row r="275" spans="1:28" ht="12" customHeight="1">
      <c r="A275" s="565"/>
      <c r="B275" s="107"/>
      <c r="C275" s="107"/>
      <c r="D275" s="108"/>
      <c r="E275" s="104"/>
      <c r="F275" s="104"/>
      <c r="G275" s="35"/>
      <c r="H275" s="104"/>
      <c r="I275" s="140"/>
      <c r="J275" s="74"/>
      <c r="K275" s="74"/>
      <c r="L275" s="74"/>
      <c r="M275" s="74"/>
      <c r="N275" s="74"/>
      <c r="O275" s="74"/>
      <c r="P275" s="74"/>
      <c r="Q275" s="74"/>
      <c r="R275" s="74"/>
      <c r="S275" s="74"/>
      <c r="T275" s="74"/>
      <c r="U275" s="74"/>
      <c r="V275" s="74"/>
      <c r="W275" s="74"/>
      <c r="X275" s="74"/>
      <c r="Y275" s="74"/>
      <c r="Z275" s="74"/>
      <c r="AA275" s="74"/>
      <c r="AB275" s="74"/>
    </row>
    <row r="276" spans="1:28" ht="12" customHeight="1">
      <c r="A276" s="565"/>
      <c r="B276" s="107"/>
      <c r="C276" s="107"/>
      <c r="D276" s="108"/>
      <c r="E276" s="104"/>
      <c r="F276" s="104"/>
      <c r="G276" s="35"/>
      <c r="H276" s="104"/>
      <c r="I276" s="140"/>
      <c r="J276" s="74"/>
      <c r="K276" s="74"/>
      <c r="L276" s="74"/>
      <c r="M276" s="74"/>
      <c r="N276" s="74"/>
      <c r="O276" s="74"/>
      <c r="P276" s="74"/>
      <c r="Q276" s="74"/>
      <c r="R276" s="74"/>
      <c r="S276" s="74"/>
      <c r="T276" s="74"/>
      <c r="U276" s="74"/>
      <c r="V276" s="74"/>
      <c r="W276" s="74"/>
      <c r="X276" s="74"/>
      <c r="Y276" s="74"/>
      <c r="Z276" s="74"/>
      <c r="AA276" s="74"/>
      <c r="AB276" s="74"/>
    </row>
    <row r="277" spans="1:28" ht="12" customHeight="1">
      <c r="A277" s="565"/>
      <c r="B277" s="107"/>
      <c r="C277" s="107"/>
      <c r="D277" s="108"/>
      <c r="E277" s="104"/>
      <c r="F277" s="104"/>
      <c r="G277" s="35"/>
      <c r="H277" s="104"/>
      <c r="I277" s="140"/>
      <c r="J277" s="74"/>
      <c r="K277" s="74"/>
      <c r="L277" s="74"/>
      <c r="M277" s="74"/>
      <c r="N277" s="74"/>
      <c r="O277" s="74"/>
      <c r="P277" s="74"/>
      <c r="Q277" s="74"/>
      <c r="R277" s="74"/>
      <c r="S277" s="74"/>
      <c r="T277" s="74"/>
      <c r="U277" s="74"/>
      <c r="V277" s="74"/>
      <c r="W277" s="74"/>
      <c r="X277" s="74"/>
      <c r="Y277" s="74"/>
      <c r="Z277" s="74"/>
      <c r="AA277" s="74"/>
      <c r="AB277" s="74"/>
    </row>
    <row r="278" spans="1:28" ht="12" customHeight="1">
      <c r="A278" s="565"/>
      <c r="B278" s="107"/>
      <c r="C278" s="107"/>
      <c r="D278" s="108"/>
      <c r="E278" s="104"/>
      <c r="F278" s="104"/>
      <c r="G278" s="35"/>
      <c r="H278" s="104"/>
      <c r="I278" s="140"/>
      <c r="J278" s="74"/>
      <c r="K278" s="74"/>
      <c r="L278" s="74"/>
      <c r="M278" s="74"/>
      <c r="N278" s="74"/>
      <c r="O278" s="74"/>
      <c r="P278" s="74"/>
      <c r="Q278" s="74"/>
      <c r="R278" s="74"/>
      <c r="S278" s="74"/>
      <c r="T278" s="74"/>
      <c r="U278" s="74"/>
      <c r="V278" s="74"/>
      <c r="W278" s="74"/>
      <c r="X278" s="74"/>
      <c r="Y278" s="74"/>
      <c r="Z278" s="74"/>
      <c r="AA278" s="74"/>
      <c r="AB278" s="74"/>
    </row>
    <row r="279" spans="1:28" ht="12" customHeight="1">
      <c r="A279" s="565"/>
      <c r="B279" s="107"/>
      <c r="C279" s="107"/>
      <c r="D279" s="108"/>
      <c r="E279" s="104"/>
      <c r="F279" s="104"/>
      <c r="G279" s="35"/>
      <c r="H279" s="104"/>
      <c r="I279" s="140"/>
      <c r="J279" s="74"/>
      <c r="K279" s="74"/>
      <c r="L279" s="74"/>
      <c r="M279" s="74"/>
      <c r="N279" s="74"/>
      <c r="O279" s="74"/>
      <c r="P279" s="74"/>
      <c r="Q279" s="74"/>
      <c r="R279" s="74"/>
      <c r="S279" s="74"/>
      <c r="T279" s="74"/>
      <c r="U279" s="74"/>
      <c r="V279" s="74"/>
      <c r="W279" s="74"/>
      <c r="X279" s="74"/>
      <c r="Y279" s="74"/>
      <c r="Z279" s="74"/>
      <c r="AA279" s="74"/>
      <c r="AB279" s="74"/>
    </row>
    <row r="280" spans="1:28" ht="12" customHeight="1">
      <c r="A280" s="565"/>
      <c r="B280" s="107"/>
      <c r="C280" s="107"/>
      <c r="D280" s="108"/>
      <c r="E280" s="104"/>
      <c r="F280" s="104"/>
      <c r="G280" s="35"/>
      <c r="H280" s="104"/>
      <c r="I280" s="140"/>
      <c r="J280" s="74"/>
      <c r="K280" s="74"/>
      <c r="L280" s="74"/>
      <c r="M280" s="74"/>
      <c r="N280" s="74"/>
      <c r="O280" s="74"/>
      <c r="P280" s="74"/>
      <c r="Q280" s="74"/>
      <c r="R280" s="74"/>
      <c r="S280" s="74"/>
      <c r="T280" s="74"/>
      <c r="U280" s="74"/>
      <c r="V280" s="74"/>
      <c r="W280" s="74"/>
      <c r="X280" s="74"/>
      <c r="Y280" s="74"/>
      <c r="Z280" s="74"/>
      <c r="AA280" s="74"/>
      <c r="AB280" s="74"/>
    </row>
    <row r="281" spans="1:28" ht="12" customHeight="1">
      <c r="A281" s="565"/>
      <c r="B281" s="107"/>
      <c r="C281" s="107"/>
      <c r="D281" s="108"/>
      <c r="E281" s="104"/>
      <c r="F281" s="104"/>
      <c r="G281" s="35"/>
      <c r="H281" s="104"/>
      <c r="I281" s="140"/>
      <c r="J281" s="74"/>
      <c r="K281" s="74"/>
      <c r="L281" s="74"/>
      <c r="M281" s="74"/>
      <c r="N281" s="74"/>
      <c r="O281" s="74"/>
      <c r="P281" s="74"/>
      <c r="Q281" s="74"/>
      <c r="R281" s="74"/>
      <c r="S281" s="74"/>
      <c r="T281" s="74"/>
      <c r="U281" s="74"/>
      <c r="V281" s="74"/>
      <c r="W281" s="74"/>
      <c r="X281" s="74"/>
      <c r="Y281" s="74"/>
      <c r="Z281" s="74"/>
      <c r="AA281" s="74"/>
      <c r="AB281" s="74"/>
    </row>
    <row r="282" spans="1:28" ht="12" customHeight="1">
      <c r="A282" s="565"/>
      <c r="B282" s="107"/>
      <c r="C282" s="107"/>
      <c r="D282" s="108"/>
      <c r="E282" s="104"/>
      <c r="F282" s="104"/>
      <c r="G282" s="35"/>
      <c r="H282" s="104"/>
      <c r="I282" s="140"/>
      <c r="J282" s="74"/>
      <c r="K282" s="74"/>
      <c r="L282" s="74"/>
      <c r="M282" s="74"/>
      <c r="N282" s="74"/>
      <c r="O282" s="74"/>
      <c r="P282" s="74"/>
      <c r="Q282" s="74"/>
      <c r="R282" s="74"/>
      <c r="S282" s="74"/>
      <c r="T282" s="74"/>
      <c r="U282" s="74"/>
      <c r="V282" s="74"/>
      <c r="W282" s="74"/>
      <c r="X282" s="74"/>
      <c r="Y282" s="74"/>
      <c r="Z282" s="74"/>
      <c r="AA282" s="74"/>
      <c r="AB282" s="74"/>
    </row>
    <row r="283" spans="1:28" ht="12" customHeight="1">
      <c r="A283" s="565"/>
      <c r="B283" s="107"/>
      <c r="C283" s="107"/>
      <c r="D283" s="108"/>
      <c r="E283" s="104"/>
      <c r="F283" s="104"/>
      <c r="G283" s="35"/>
      <c r="H283" s="104"/>
      <c r="I283" s="140"/>
      <c r="J283" s="74"/>
      <c r="K283" s="74"/>
      <c r="L283" s="74"/>
      <c r="M283" s="74"/>
      <c r="N283" s="74"/>
      <c r="O283" s="74"/>
      <c r="P283" s="74"/>
      <c r="Q283" s="74"/>
      <c r="R283" s="74"/>
      <c r="S283" s="74"/>
      <c r="T283" s="74"/>
      <c r="U283" s="74"/>
      <c r="V283" s="74"/>
      <c r="W283" s="74"/>
      <c r="X283" s="74"/>
      <c r="Y283" s="74"/>
      <c r="Z283" s="74"/>
      <c r="AA283" s="74"/>
      <c r="AB283" s="74"/>
    </row>
    <row r="284" spans="1:28" ht="12" customHeight="1">
      <c r="A284" s="565"/>
      <c r="B284" s="107"/>
      <c r="C284" s="107"/>
      <c r="D284" s="108"/>
      <c r="E284" s="104"/>
      <c r="F284" s="104"/>
      <c r="G284" s="35"/>
      <c r="H284" s="104"/>
      <c r="I284" s="140"/>
      <c r="J284" s="74"/>
      <c r="K284" s="74"/>
      <c r="L284" s="74"/>
      <c r="M284" s="74"/>
      <c r="N284" s="74"/>
      <c r="O284" s="74"/>
      <c r="P284" s="74"/>
      <c r="Q284" s="74"/>
      <c r="R284" s="74"/>
      <c r="S284" s="74"/>
      <c r="T284" s="74"/>
      <c r="U284" s="74"/>
      <c r="V284" s="74"/>
      <c r="W284" s="74"/>
      <c r="X284" s="74"/>
      <c r="Y284" s="74"/>
      <c r="Z284" s="74"/>
      <c r="AA284" s="74"/>
      <c r="AB284" s="74"/>
    </row>
    <row r="285" spans="1:28" ht="12" customHeight="1">
      <c r="A285" s="565"/>
      <c r="B285" s="107"/>
      <c r="C285" s="107"/>
      <c r="D285" s="108"/>
      <c r="E285" s="104"/>
      <c r="F285" s="104"/>
      <c r="G285" s="35"/>
      <c r="H285" s="104"/>
      <c r="I285" s="140"/>
      <c r="J285" s="74"/>
      <c r="K285" s="74"/>
      <c r="L285" s="74"/>
      <c r="M285" s="74"/>
      <c r="N285" s="74"/>
      <c r="O285" s="74"/>
      <c r="P285" s="74"/>
      <c r="Q285" s="74"/>
      <c r="R285" s="74"/>
      <c r="S285" s="74"/>
      <c r="T285" s="74"/>
      <c r="U285" s="74"/>
      <c r="V285" s="74"/>
      <c r="W285" s="74"/>
      <c r="X285" s="74"/>
      <c r="Y285" s="74"/>
      <c r="Z285" s="74"/>
      <c r="AA285" s="74"/>
      <c r="AB285" s="74"/>
    </row>
    <row r="286" spans="1:28" ht="12" customHeight="1">
      <c r="A286" s="565"/>
      <c r="B286" s="107"/>
      <c r="C286" s="107"/>
      <c r="D286" s="108"/>
      <c r="E286" s="104"/>
      <c r="F286" s="104"/>
      <c r="G286" s="35"/>
      <c r="H286" s="104"/>
      <c r="I286" s="140"/>
      <c r="J286" s="74"/>
      <c r="K286" s="74"/>
      <c r="L286" s="74"/>
      <c r="M286" s="74"/>
      <c r="N286" s="74"/>
      <c r="O286" s="74"/>
      <c r="P286" s="74"/>
      <c r="Q286" s="74"/>
      <c r="R286" s="74"/>
      <c r="S286" s="74"/>
      <c r="T286" s="74"/>
      <c r="U286" s="74"/>
      <c r="V286" s="74"/>
      <c r="W286" s="74"/>
      <c r="X286" s="74"/>
      <c r="Y286" s="74"/>
      <c r="Z286" s="74"/>
      <c r="AA286" s="74"/>
      <c r="AB286" s="74"/>
    </row>
    <row r="287" spans="1:28" ht="12" customHeight="1">
      <c r="A287" s="565"/>
      <c r="B287" s="107"/>
      <c r="C287" s="107"/>
      <c r="D287" s="108"/>
      <c r="E287" s="104"/>
      <c r="F287" s="104"/>
      <c r="G287" s="35"/>
      <c r="H287" s="104"/>
      <c r="I287" s="140"/>
      <c r="J287" s="74"/>
      <c r="K287" s="74"/>
      <c r="L287" s="74"/>
      <c r="M287" s="74"/>
      <c r="N287" s="74"/>
      <c r="O287" s="74"/>
      <c r="P287" s="74"/>
      <c r="Q287" s="74"/>
      <c r="R287" s="74"/>
      <c r="S287" s="74"/>
      <c r="T287" s="74"/>
      <c r="U287" s="74"/>
      <c r="V287" s="74"/>
      <c r="W287" s="74"/>
      <c r="X287" s="74"/>
      <c r="Y287" s="74"/>
      <c r="Z287" s="74"/>
      <c r="AA287" s="74"/>
      <c r="AB287" s="74"/>
    </row>
    <row r="288" spans="1:28" ht="12" customHeight="1">
      <c r="A288" s="565"/>
      <c r="B288" s="107"/>
      <c r="C288" s="107"/>
      <c r="D288" s="108"/>
      <c r="E288" s="104"/>
      <c r="F288" s="104"/>
      <c r="G288" s="35"/>
      <c r="H288" s="104"/>
      <c r="I288" s="140"/>
      <c r="J288" s="74"/>
      <c r="K288" s="74"/>
      <c r="L288" s="74"/>
      <c r="M288" s="74"/>
      <c r="N288" s="74"/>
      <c r="O288" s="74"/>
      <c r="P288" s="74"/>
      <c r="Q288" s="74"/>
      <c r="R288" s="74"/>
      <c r="S288" s="74"/>
      <c r="T288" s="74"/>
      <c r="U288" s="74"/>
      <c r="V288" s="74"/>
      <c r="W288" s="74"/>
      <c r="X288" s="74"/>
      <c r="Y288" s="74"/>
      <c r="Z288" s="74"/>
      <c r="AA288" s="74"/>
      <c r="AB288" s="74"/>
    </row>
    <row r="289" spans="1:28" ht="12" customHeight="1">
      <c r="A289" s="565"/>
      <c r="B289" s="107"/>
      <c r="C289" s="107"/>
      <c r="D289" s="108"/>
      <c r="E289" s="104"/>
      <c r="F289" s="104"/>
      <c r="G289" s="35"/>
      <c r="H289" s="104"/>
      <c r="I289" s="140"/>
      <c r="J289" s="74"/>
      <c r="K289" s="74"/>
      <c r="L289" s="74"/>
      <c r="M289" s="74"/>
      <c r="N289" s="74"/>
      <c r="O289" s="74"/>
      <c r="P289" s="74"/>
      <c r="Q289" s="74"/>
      <c r="R289" s="74"/>
      <c r="S289" s="74"/>
      <c r="T289" s="74"/>
      <c r="U289" s="74"/>
      <c r="V289" s="74"/>
      <c r="W289" s="74"/>
      <c r="X289" s="74"/>
      <c r="Y289" s="74"/>
      <c r="Z289" s="74"/>
      <c r="AA289" s="74"/>
      <c r="AB289" s="74"/>
    </row>
    <row r="290" spans="1:28" ht="12" customHeight="1">
      <c r="A290" s="565"/>
      <c r="B290" s="107"/>
      <c r="C290" s="107"/>
      <c r="D290" s="108"/>
      <c r="E290" s="104"/>
      <c r="F290" s="104"/>
      <c r="G290" s="35"/>
      <c r="H290" s="104"/>
      <c r="I290" s="140"/>
      <c r="J290" s="74"/>
      <c r="K290" s="74"/>
      <c r="L290" s="74"/>
      <c r="M290" s="74"/>
      <c r="N290" s="74"/>
      <c r="O290" s="74"/>
      <c r="P290" s="74"/>
      <c r="Q290" s="74"/>
      <c r="R290" s="74"/>
      <c r="S290" s="74"/>
      <c r="T290" s="74"/>
      <c r="U290" s="74"/>
      <c r="V290" s="74"/>
      <c r="W290" s="74"/>
      <c r="X290" s="74"/>
      <c r="Y290" s="74"/>
      <c r="Z290" s="74"/>
      <c r="AA290" s="74"/>
      <c r="AB290" s="74"/>
    </row>
    <row r="291" spans="1:28" ht="12" customHeight="1">
      <c r="A291" s="565"/>
      <c r="B291" s="107"/>
      <c r="C291" s="107"/>
      <c r="D291" s="108"/>
      <c r="E291" s="104"/>
      <c r="F291" s="104"/>
      <c r="G291" s="35"/>
      <c r="H291" s="104"/>
      <c r="I291" s="140"/>
      <c r="J291" s="74"/>
      <c r="K291" s="74"/>
      <c r="L291" s="74"/>
      <c r="M291" s="74"/>
      <c r="N291" s="74"/>
      <c r="O291" s="74"/>
      <c r="P291" s="74"/>
      <c r="Q291" s="74"/>
      <c r="R291" s="74"/>
      <c r="S291" s="74"/>
      <c r="T291" s="74"/>
      <c r="U291" s="74"/>
      <c r="V291" s="74"/>
      <c r="W291" s="74"/>
      <c r="X291" s="74"/>
      <c r="Y291" s="74"/>
      <c r="Z291" s="74"/>
      <c r="AA291" s="74"/>
      <c r="AB291" s="74"/>
    </row>
    <row r="292" spans="1:28" ht="12" customHeight="1">
      <c r="A292" s="565"/>
      <c r="B292" s="107"/>
      <c r="C292" s="107"/>
      <c r="D292" s="108"/>
      <c r="E292" s="104"/>
      <c r="F292" s="104"/>
      <c r="G292" s="35"/>
      <c r="H292" s="104"/>
      <c r="I292" s="140"/>
      <c r="J292" s="74"/>
      <c r="K292" s="74"/>
      <c r="L292" s="74"/>
      <c r="M292" s="74"/>
      <c r="N292" s="74"/>
      <c r="O292" s="74"/>
      <c r="P292" s="74"/>
      <c r="Q292" s="74"/>
      <c r="R292" s="74"/>
      <c r="S292" s="74"/>
      <c r="T292" s="74"/>
      <c r="U292" s="74"/>
      <c r="V292" s="74"/>
      <c r="W292" s="74"/>
      <c r="X292" s="74"/>
      <c r="Y292" s="74"/>
      <c r="Z292" s="74"/>
      <c r="AA292" s="74"/>
      <c r="AB292" s="74"/>
    </row>
    <row r="293" spans="1:28" ht="12" customHeight="1">
      <c r="A293" s="565"/>
      <c r="B293" s="107"/>
      <c r="C293" s="107"/>
      <c r="D293" s="108"/>
      <c r="E293" s="104"/>
      <c r="F293" s="104"/>
      <c r="G293" s="35"/>
      <c r="H293" s="104"/>
      <c r="I293" s="140"/>
      <c r="J293" s="74"/>
      <c r="K293" s="74"/>
      <c r="L293" s="74"/>
      <c r="M293" s="74"/>
      <c r="N293" s="74"/>
      <c r="O293" s="74"/>
      <c r="P293" s="74"/>
      <c r="Q293" s="74"/>
      <c r="R293" s="74"/>
      <c r="S293" s="74"/>
      <c r="T293" s="74"/>
      <c r="U293" s="74"/>
      <c r="V293" s="74"/>
      <c r="W293" s="74"/>
      <c r="X293" s="74"/>
      <c r="Y293" s="74"/>
      <c r="Z293" s="74"/>
      <c r="AA293" s="74"/>
      <c r="AB293" s="74"/>
    </row>
    <row r="294" spans="1:28" ht="12" customHeight="1">
      <c r="A294" s="565"/>
      <c r="B294" s="107"/>
      <c r="C294" s="107"/>
      <c r="D294" s="108"/>
      <c r="E294" s="104"/>
      <c r="F294" s="104"/>
      <c r="G294" s="35"/>
      <c r="H294" s="104"/>
      <c r="I294" s="140"/>
      <c r="J294" s="74"/>
      <c r="K294" s="74"/>
      <c r="L294" s="74"/>
      <c r="M294" s="74"/>
      <c r="N294" s="74"/>
      <c r="O294" s="74"/>
      <c r="P294" s="74"/>
      <c r="Q294" s="74"/>
      <c r="R294" s="74"/>
      <c r="S294" s="74"/>
      <c r="T294" s="74"/>
      <c r="U294" s="74"/>
      <c r="V294" s="74"/>
      <c r="W294" s="74"/>
      <c r="X294" s="74"/>
      <c r="Y294" s="74"/>
      <c r="Z294" s="74"/>
      <c r="AA294" s="74"/>
      <c r="AB294" s="74"/>
    </row>
    <row r="295" spans="1:28" ht="12" customHeight="1">
      <c r="A295" s="565"/>
      <c r="B295" s="107"/>
      <c r="C295" s="107"/>
      <c r="D295" s="108"/>
      <c r="E295" s="104"/>
      <c r="F295" s="104"/>
      <c r="G295" s="35"/>
      <c r="H295" s="104"/>
      <c r="I295" s="140"/>
      <c r="J295" s="74"/>
      <c r="K295" s="74"/>
      <c r="L295" s="74"/>
      <c r="M295" s="74"/>
      <c r="N295" s="74"/>
      <c r="O295" s="74"/>
      <c r="P295" s="74"/>
      <c r="Q295" s="74"/>
      <c r="R295" s="74"/>
      <c r="S295" s="74"/>
      <c r="T295" s="74"/>
      <c r="U295" s="74"/>
      <c r="V295" s="74"/>
      <c r="W295" s="74"/>
      <c r="X295" s="74"/>
      <c r="Y295" s="74"/>
      <c r="Z295" s="74"/>
      <c r="AA295" s="74"/>
      <c r="AB295" s="74"/>
    </row>
    <row r="296" spans="1:28" ht="12" customHeight="1">
      <c r="A296" s="565"/>
      <c r="B296" s="107"/>
      <c r="C296" s="107"/>
      <c r="D296" s="108"/>
      <c r="E296" s="104"/>
      <c r="F296" s="104"/>
      <c r="G296" s="35"/>
      <c r="H296" s="104"/>
      <c r="I296" s="140"/>
      <c r="J296" s="74"/>
      <c r="K296" s="74"/>
      <c r="L296" s="74"/>
      <c r="M296" s="74"/>
      <c r="N296" s="74"/>
      <c r="O296" s="74"/>
      <c r="P296" s="74"/>
      <c r="Q296" s="74"/>
      <c r="R296" s="74"/>
      <c r="S296" s="74"/>
      <c r="T296" s="74"/>
      <c r="U296" s="74"/>
      <c r="V296" s="74"/>
      <c r="W296" s="74"/>
      <c r="X296" s="74"/>
      <c r="Y296" s="74"/>
      <c r="Z296" s="74"/>
      <c r="AA296" s="74"/>
      <c r="AB296" s="74"/>
    </row>
    <row r="297" spans="1:28" ht="12" customHeight="1">
      <c r="A297" s="565"/>
      <c r="B297" s="107"/>
      <c r="C297" s="107"/>
      <c r="D297" s="108"/>
      <c r="E297" s="104"/>
      <c r="F297" s="104"/>
      <c r="G297" s="35"/>
      <c r="H297" s="104"/>
      <c r="I297" s="140"/>
      <c r="J297" s="74"/>
      <c r="K297" s="74"/>
      <c r="L297" s="74"/>
      <c r="M297" s="74"/>
      <c r="N297" s="74"/>
      <c r="O297" s="74"/>
      <c r="P297" s="74"/>
      <c r="Q297" s="74"/>
      <c r="R297" s="74"/>
      <c r="S297" s="74"/>
      <c r="T297" s="74"/>
      <c r="U297" s="74"/>
      <c r="V297" s="74"/>
      <c r="W297" s="74"/>
      <c r="X297" s="74"/>
      <c r="Y297" s="74"/>
      <c r="Z297" s="74"/>
      <c r="AA297" s="74"/>
      <c r="AB297" s="74"/>
    </row>
    <row r="298" spans="1:28" ht="12" customHeight="1">
      <c r="A298" s="565"/>
      <c r="B298" s="107"/>
      <c r="C298" s="107"/>
      <c r="D298" s="108"/>
      <c r="E298" s="104"/>
      <c r="F298" s="104"/>
      <c r="G298" s="35"/>
      <c r="H298" s="104"/>
      <c r="I298" s="140"/>
      <c r="J298" s="74"/>
      <c r="K298" s="74"/>
      <c r="L298" s="74"/>
      <c r="M298" s="74"/>
      <c r="N298" s="74"/>
      <c r="O298" s="74"/>
      <c r="P298" s="74"/>
      <c r="Q298" s="74"/>
      <c r="R298" s="74"/>
      <c r="S298" s="74"/>
      <c r="T298" s="74"/>
      <c r="U298" s="74"/>
      <c r="V298" s="74"/>
      <c r="W298" s="74"/>
      <c r="X298" s="74"/>
      <c r="Y298" s="74"/>
      <c r="Z298" s="74"/>
      <c r="AA298" s="74"/>
      <c r="AB298" s="74"/>
    </row>
    <row r="299" spans="1:28" ht="12" customHeight="1">
      <c r="A299" s="565"/>
      <c r="B299" s="107"/>
      <c r="C299" s="107"/>
      <c r="D299" s="108"/>
      <c r="E299" s="104"/>
      <c r="F299" s="104"/>
      <c r="G299" s="35"/>
      <c r="H299" s="104"/>
      <c r="I299" s="140"/>
      <c r="J299" s="74"/>
      <c r="K299" s="74"/>
      <c r="L299" s="74"/>
      <c r="M299" s="74"/>
      <c r="N299" s="74"/>
      <c r="O299" s="74"/>
      <c r="P299" s="74"/>
      <c r="Q299" s="74"/>
      <c r="R299" s="74"/>
      <c r="S299" s="74"/>
      <c r="T299" s="74"/>
      <c r="U299" s="74"/>
      <c r="V299" s="74"/>
      <c r="W299" s="74"/>
      <c r="X299" s="74"/>
      <c r="Y299" s="74"/>
      <c r="Z299" s="74"/>
      <c r="AA299" s="74"/>
      <c r="AB299" s="74"/>
    </row>
    <row r="300" spans="1:28" ht="12" customHeight="1">
      <c r="A300" s="565"/>
      <c r="B300" s="107"/>
      <c r="C300" s="107"/>
      <c r="D300" s="108"/>
      <c r="E300" s="104"/>
      <c r="F300" s="104"/>
      <c r="G300" s="35"/>
      <c r="H300" s="104"/>
      <c r="I300" s="140"/>
      <c r="J300" s="74"/>
      <c r="K300" s="74"/>
      <c r="L300" s="74"/>
      <c r="M300" s="74"/>
      <c r="N300" s="74"/>
      <c r="O300" s="74"/>
      <c r="P300" s="74"/>
      <c r="Q300" s="74"/>
      <c r="R300" s="74"/>
      <c r="S300" s="74"/>
      <c r="T300" s="74"/>
      <c r="U300" s="74"/>
      <c r="V300" s="74"/>
      <c r="W300" s="74"/>
      <c r="X300" s="74"/>
      <c r="Y300" s="74"/>
      <c r="Z300" s="74"/>
      <c r="AA300" s="74"/>
      <c r="AB300" s="74"/>
    </row>
    <row r="301" spans="1:28" ht="12" customHeight="1">
      <c r="A301" s="565"/>
      <c r="B301" s="107"/>
      <c r="C301" s="107"/>
      <c r="D301" s="108"/>
      <c r="E301" s="104"/>
      <c r="F301" s="104"/>
      <c r="G301" s="35"/>
      <c r="H301" s="104"/>
      <c r="I301" s="140"/>
      <c r="J301" s="74"/>
      <c r="K301" s="74"/>
      <c r="L301" s="74"/>
      <c r="M301" s="74"/>
      <c r="N301" s="74"/>
      <c r="O301" s="74"/>
      <c r="P301" s="74"/>
      <c r="Q301" s="74"/>
      <c r="R301" s="74"/>
      <c r="S301" s="74"/>
      <c r="T301" s="74"/>
      <c r="U301" s="74"/>
      <c r="V301" s="74"/>
      <c r="W301" s="74"/>
      <c r="X301" s="74"/>
      <c r="Y301" s="74"/>
      <c r="Z301" s="74"/>
      <c r="AA301" s="74"/>
      <c r="AB301" s="74"/>
    </row>
    <row r="302" spans="1:28" ht="12" customHeight="1">
      <c r="A302" s="565"/>
      <c r="B302" s="107"/>
      <c r="C302" s="107"/>
      <c r="D302" s="108"/>
      <c r="E302" s="104"/>
      <c r="F302" s="104"/>
      <c r="G302" s="35"/>
      <c r="H302" s="104"/>
      <c r="I302" s="140"/>
      <c r="J302" s="74"/>
      <c r="K302" s="74"/>
      <c r="L302" s="74"/>
      <c r="M302" s="74"/>
      <c r="N302" s="74"/>
      <c r="O302" s="74"/>
      <c r="P302" s="74"/>
      <c r="Q302" s="74"/>
      <c r="R302" s="74"/>
      <c r="S302" s="74"/>
      <c r="T302" s="74"/>
      <c r="U302" s="74"/>
      <c r="V302" s="74"/>
      <c r="W302" s="74"/>
      <c r="X302" s="74"/>
      <c r="Y302" s="74"/>
      <c r="Z302" s="74"/>
      <c r="AA302" s="74"/>
      <c r="AB302" s="74"/>
    </row>
    <row r="303" spans="1:28" ht="12" customHeight="1">
      <c r="A303" s="565"/>
      <c r="B303" s="107"/>
      <c r="C303" s="107"/>
      <c r="D303" s="108"/>
      <c r="E303" s="104"/>
      <c r="F303" s="104"/>
      <c r="G303" s="35"/>
      <c r="H303" s="104"/>
      <c r="I303" s="140"/>
      <c r="J303" s="74"/>
      <c r="K303" s="74"/>
      <c r="L303" s="74"/>
      <c r="M303" s="74"/>
      <c r="N303" s="74"/>
      <c r="O303" s="74"/>
      <c r="P303" s="74"/>
      <c r="Q303" s="74"/>
      <c r="R303" s="74"/>
      <c r="S303" s="74"/>
      <c r="T303" s="74"/>
      <c r="U303" s="74"/>
      <c r="V303" s="74"/>
      <c r="W303" s="74"/>
      <c r="X303" s="74"/>
      <c r="Y303" s="74"/>
      <c r="Z303" s="74"/>
      <c r="AA303" s="74"/>
      <c r="AB303" s="74"/>
    </row>
    <row r="304" spans="1:28" ht="12" customHeight="1">
      <c r="A304" s="565"/>
      <c r="B304" s="107"/>
      <c r="C304" s="107"/>
      <c r="D304" s="108"/>
      <c r="E304" s="104"/>
      <c r="F304" s="104"/>
      <c r="G304" s="35"/>
      <c r="H304" s="104"/>
      <c r="I304" s="140"/>
      <c r="J304" s="74"/>
      <c r="K304" s="74"/>
      <c r="L304" s="74"/>
      <c r="M304" s="74"/>
      <c r="N304" s="74"/>
      <c r="O304" s="74"/>
      <c r="P304" s="74"/>
      <c r="Q304" s="74"/>
      <c r="R304" s="74"/>
      <c r="S304" s="74"/>
      <c r="T304" s="74"/>
      <c r="U304" s="74"/>
      <c r="V304" s="74"/>
      <c r="W304" s="74"/>
      <c r="X304" s="74"/>
      <c r="Y304" s="74"/>
      <c r="Z304" s="74"/>
      <c r="AA304" s="74"/>
      <c r="AB304" s="74"/>
    </row>
    <row r="305" spans="1:28" ht="12" customHeight="1">
      <c r="A305" s="565"/>
      <c r="B305" s="107"/>
      <c r="C305" s="107"/>
      <c r="D305" s="108"/>
      <c r="E305" s="104"/>
      <c r="F305" s="104"/>
      <c r="G305" s="35"/>
      <c r="H305" s="104"/>
      <c r="I305" s="140"/>
      <c r="J305" s="74"/>
      <c r="K305" s="74"/>
      <c r="L305" s="74"/>
      <c r="M305" s="74"/>
      <c r="N305" s="74"/>
      <c r="O305" s="74"/>
      <c r="P305" s="74"/>
      <c r="Q305" s="74"/>
      <c r="R305" s="74"/>
      <c r="S305" s="74"/>
      <c r="T305" s="74"/>
      <c r="U305" s="74"/>
      <c r="V305" s="74"/>
      <c r="W305" s="74"/>
      <c r="X305" s="74"/>
      <c r="Y305" s="74"/>
      <c r="Z305" s="74"/>
      <c r="AA305" s="74"/>
      <c r="AB305" s="74"/>
    </row>
    <row r="306" spans="1:28" ht="12" customHeight="1">
      <c r="A306" s="565"/>
      <c r="B306" s="107"/>
      <c r="C306" s="107"/>
      <c r="D306" s="108"/>
      <c r="E306" s="104"/>
      <c r="F306" s="104"/>
      <c r="G306" s="35"/>
      <c r="H306" s="104"/>
      <c r="I306" s="140"/>
      <c r="J306" s="74"/>
      <c r="K306" s="74"/>
      <c r="L306" s="74"/>
      <c r="M306" s="74"/>
      <c r="N306" s="74"/>
      <c r="O306" s="74"/>
      <c r="P306" s="74"/>
      <c r="Q306" s="74"/>
      <c r="R306" s="74"/>
      <c r="S306" s="74"/>
      <c r="T306" s="74"/>
      <c r="U306" s="74"/>
      <c r="V306" s="74"/>
      <c r="W306" s="74"/>
      <c r="X306" s="74"/>
      <c r="Y306" s="74"/>
      <c r="Z306" s="74"/>
      <c r="AA306" s="74"/>
      <c r="AB306" s="74"/>
    </row>
    <row r="307" spans="1:28" ht="12" customHeight="1">
      <c r="A307" s="565"/>
      <c r="B307" s="107"/>
      <c r="C307" s="107"/>
      <c r="D307" s="108"/>
      <c r="E307" s="104"/>
      <c r="F307" s="104"/>
      <c r="G307" s="35"/>
      <c r="H307" s="104"/>
      <c r="I307" s="140"/>
      <c r="J307" s="74"/>
      <c r="K307" s="74"/>
      <c r="L307" s="74"/>
      <c r="M307" s="74"/>
      <c r="N307" s="74"/>
      <c r="O307" s="74"/>
      <c r="P307" s="74"/>
      <c r="Q307" s="74"/>
      <c r="R307" s="74"/>
      <c r="S307" s="74"/>
      <c r="T307" s="74"/>
      <c r="U307" s="74"/>
      <c r="V307" s="74"/>
      <c r="W307" s="74"/>
      <c r="X307" s="74"/>
      <c r="Y307" s="74"/>
      <c r="Z307" s="74"/>
      <c r="AA307" s="74"/>
      <c r="AB307" s="74"/>
    </row>
    <row r="308" spans="1:28" ht="12" customHeight="1">
      <c r="A308" s="565"/>
      <c r="B308" s="107"/>
      <c r="C308" s="107"/>
      <c r="D308" s="108"/>
      <c r="E308" s="104"/>
      <c r="F308" s="104"/>
      <c r="G308" s="35"/>
      <c r="H308" s="104"/>
      <c r="I308" s="140"/>
      <c r="J308" s="74"/>
      <c r="K308" s="74"/>
      <c r="L308" s="74"/>
      <c r="M308" s="74"/>
      <c r="N308" s="74"/>
      <c r="O308" s="74"/>
      <c r="P308" s="74"/>
      <c r="Q308" s="74"/>
      <c r="R308" s="74"/>
      <c r="S308" s="74"/>
      <c r="T308" s="74"/>
      <c r="U308" s="74"/>
      <c r="V308" s="74"/>
      <c r="W308" s="74"/>
      <c r="X308" s="74"/>
      <c r="Y308" s="74"/>
      <c r="Z308" s="74"/>
      <c r="AA308" s="74"/>
      <c r="AB308" s="74"/>
    </row>
    <row r="309" spans="1:28" ht="12" customHeight="1">
      <c r="A309" s="565"/>
      <c r="B309" s="107"/>
      <c r="C309" s="107"/>
      <c r="D309" s="108"/>
      <c r="E309" s="104"/>
      <c r="F309" s="104"/>
      <c r="G309" s="35"/>
      <c r="H309" s="104"/>
      <c r="I309" s="140"/>
      <c r="J309" s="74"/>
      <c r="K309" s="74"/>
      <c r="L309" s="74"/>
      <c r="M309" s="74"/>
      <c r="N309" s="74"/>
      <c r="O309" s="74"/>
      <c r="P309" s="74"/>
      <c r="Q309" s="74"/>
      <c r="R309" s="74"/>
      <c r="S309" s="74"/>
      <c r="T309" s="74"/>
      <c r="U309" s="74"/>
      <c r="V309" s="74"/>
      <c r="W309" s="74"/>
      <c r="X309" s="74"/>
      <c r="Y309" s="74"/>
      <c r="Z309" s="74"/>
      <c r="AA309" s="74"/>
      <c r="AB309" s="74"/>
    </row>
    <row r="310" spans="1:28" ht="12" customHeight="1">
      <c r="A310" s="565"/>
      <c r="B310" s="107"/>
      <c r="C310" s="107"/>
      <c r="D310" s="108"/>
      <c r="E310" s="104"/>
      <c r="F310" s="104"/>
      <c r="G310" s="35"/>
      <c r="H310" s="104"/>
      <c r="I310" s="140"/>
      <c r="J310" s="74"/>
      <c r="K310" s="74"/>
      <c r="L310" s="74"/>
      <c r="M310" s="74"/>
      <c r="N310" s="74"/>
      <c r="O310" s="74"/>
      <c r="P310" s="74"/>
      <c r="Q310" s="74"/>
      <c r="R310" s="74"/>
      <c r="S310" s="74"/>
      <c r="T310" s="74"/>
      <c r="U310" s="74"/>
      <c r="V310" s="74"/>
      <c r="W310" s="74"/>
      <c r="X310" s="74"/>
      <c r="Y310" s="74"/>
      <c r="Z310" s="74"/>
      <c r="AA310" s="74"/>
      <c r="AB310" s="74"/>
    </row>
    <row r="311" spans="1:28" ht="12" customHeight="1">
      <c r="A311" s="565"/>
      <c r="B311" s="107"/>
      <c r="C311" s="107"/>
      <c r="D311" s="108"/>
      <c r="E311" s="104"/>
      <c r="F311" s="104"/>
      <c r="G311" s="35"/>
      <c r="H311" s="104"/>
      <c r="I311" s="140"/>
      <c r="J311" s="74"/>
      <c r="K311" s="74"/>
      <c r="L311" s="74"/>
      <c r="M311" s="74"/>
      <c r="N311" s="74"/>
      <c r="O311" s="74"/>
      <c r="P311" s="74"/>
      <c r="Q311" s="74"/>
      <c r="R311" s="74"/>
      <c r="S311" s="74"/>
      <c r="T311" s="74"/>
      <c r="U311" s="74"/>
      <c r="V311" s="74"/>
      <c r="W311" s="74"/>
      <c r="X311" s="74"/>
      <c r="Y311" s="74"/>
      <c r="Z311" s="74"/>
      <c r="AA311" s="74"/>
      <c r="AB311" s="74"/>
    </row>
    <row r="312" spans="1:28" ht="12" customHeight="1">
      <c r="A312" s="565"/>
      <c r="B312" s="107"/>
      <c r="C312" s="107"/>
      <c r="D312" s="108"/>
      <c r="E312" s="104"/>
      <c r="F312" s="104"/>
      <c r="G312" s="35"/>
      <c r="H312" s="104"/>
      <c r="I312" s="140"/>
      <c r="J312" s="74"/>
      <c r="K312" s="74"/>
      <c r="L312" s="74"/>
      <c r="M312" s="74"/>
      <c r="N312" s="74"/>
      <c r="O312" s="74"/>
      <c r="P312" s="74"/>
      <c r="Q312" s="74"/>
      <c r="R312" s="74"/>
      <c r="S312" s="74"/>
      <c r="T312" s="74"/>
      <c r="U312" s="74"/>
      <c r="V312" s="74"/>
      <c r="W312" s="74"/>
      <c r="X312" s="74"/>
      <c r="Y312" s="74"/>
      <c r="Z312" s="74"/>
      <c r="AA312" s="74"/>
      <c r="AB312" s="74"/>
    </row>
    <row r="313" spans="1:28" ht="12" customHeight="1">
      <c r="A313" s="565"/>
      <c r="B313" s="107"/>
      <c r="C313" s="107"/>
      <c r="D313" s="108"/>
      <c r="E313" s="104"/>
      <c r="F313" s="104"/>
      <c r="G313" s="35"/>
      <c r="H313" s="104"/>
      <c r="I313" s="140"/>
      <c r="J313" s="74"/>
      <c r="K313" s="74"/>
      <c r="L313" s="74"/>
      <c r="M313" s="74"/>
      <c r="N313" s="74"/>
      <c r="O313" s="74"/>
      <c r="P313" s="74"/>
      <c r="Q313" s="74"/>
      <c r="R313" s="74"/>
      <c r="S313" s="74"/>
      <c r="T313" s="74"/>
      <c r="U313" s="74"/>
      <c r="V313" s="74"/>
      <c r="W313" s="74"/>
      <c r="X313" s="74"/>
      <c r="Y313" s="74"/>
      <c r="Z313" s="74"/>
      <c r="AA313" s="74"/>
      <c r="AB313" s="74"/>
    </row>
    <row r="314" spans="1:28" ht="12" customHeight="1">
      <c r="A314" s="565"/>
      <c r="B314" s="107"/>
      <c r="C314" s="107"/>
      <c r="D314" s="108"/>
      <c r="E314" s="104"/>
      <c r="F314" s="104"/>
      <c r="G314" s="35"/>
      <c r="H314" s="104"/>
      <c r="I314" s="140"/>
      <c r="J314" s="74"/>
      <c r="K314" s="74"/>
      <c r="L314" s="74"/>
      <c r="M314" s="74"/>
      <c r="N314" s="74"/>
      <c r="O314" s="74"/>
      <c r="P314" s="74"/>
      <c r="Q314" s="74"/>
      <c r="R314" s="74"/>
      <c r="S314" s="74"/>
      <c r="T314" s="74"/>
      <c r="U314" s="74"/>
      <c r="V314" s="74"/>
      <c r="W314" s="74"/>
      <c r="X314" s="74"/>
      <c r="Y314" s="74"/>
      <c r="Z314" s="74"/>
      <c r="AA314" s="74"/>
      <c r="AB314" s="74"/>
    </row>
    <row r="315" spans="1:28" ht="12" customHeight="1">
      <c r="A315" s="565"/>
      <c r="B315" s="107"/>
      <c r="C315" s="107"/>
      <c r="D315" s="108"/>
      <c r="E315" s="104"/>
      <c r="F315" s="104"/>
      <c r="G315" s="35"/>
      <c r="H315" s="104"/>
      <c r="I315" s="140"/>
      <c r="J315" s="74"/>
      <c r="K315" s="74"/>
      <c r="L315" s="74"/>
      <c r="M315" s="74"/>
      <c r="N315" s="74"/>
      <c r="O315" s="74"/>
      <c r="P315" s="74"/>
      <c r="Q315" s="74"/>
      <c r="R315" s="74"/>
      <c r="S315" s="74"/>
      <c r="T315" s="74"/>
      <c r="U315" s="74"/>
      <c r="V315" s="74"/>
      <c r="W315" s="74"/>
      <c r="X315" s="74"/>
      <c r="Y315" s="74"/>
      <c r="Z315" s="74"/>
      <c r="AA315" s="74"/>
      <c r="AB315" s="74"/>
    </row>
    <row r="316" spans="1:28" ht="12" customHeight="1">
      <c r="A316" s="565"/>
      <c r="B316" s="107"/>
      <c r="C316" s="107"/>
      <c r="D316" s="108"/>
      <c r="E316" s="104"/>
      <c r="F316" s="104"/>
      <c r="G316" s="35"/>
      <c r="H316" s="104"/>
      <c r="I316" s="140"/>
      <c r="J316" s="74"/>
      <c r="K316" s="74"/>
      <c r="L316" s="74"/>
      <c r="M316" s="74"/>
      <c r="N316" s="74"/>
      <c r="O316" s="74"/>
      <c r="P316" s="74"/>
      <c r="Q316" s="74"/>
      <c r="R316" s="74"/>
      <c r="S316" s="74"/>
      <c r="T316" s="74"/>
      <c r="U316" s="74"/>
      <c r="V316" s="74"/>
      <c r="W316" s="74"/>
      <c r="X316" s="74"/>
      <c r="Y316" s="74"/>
      <c r="Z316" s="74"/>
      <c r="AA316" s="74"/>
      <c r="AB316" s="74"/>
    </row>
    <row r="317" spans="1:28" ht="12" customHeight="1">
      <c r="A317" s="565"/>
      <c r="B317" s="107"/>
      <c r="C317" s="107"/>
      <c r="D317" s="108"/>
      <c r="E317" s="104"/>
      <c r="F317" s="104"/>
      <c r="G317" s="35"/>
      <c r="H317" s="104"/>
      <c r="I317" s="140"/>
      <c r="J317" s="74"/>
      <c r="K317" s="74"/>
      <c r="L317" s="74"/>
      <c r="M317" s="74"/>
      <c r="N317" s="74"/>
      <c r="O317" s="74"/>
      <c r="P317" s="74"/>
      <c r="Q317" s="74"/>
      <c r="R317" s="74"/>
      <c r="S317" s="74"/>
      <c r="T317" s="74"/>
      <c r="U317" s="74"/>
      <c r="V317" s="74"/>
      <c r="W317" s="74"/>
      <c r="X317" s="74"/>
      <c r="Y317" s="74"/>
      <c r="Z317" s="74"/>
      <c r="AA317" s="74"/>
      <c r="AB317" s="74"/>
    </row>
    <row r="318" spans="1:28" ht="12" customHeight="1">
      <c r="A318" s="565"/>
      <c r="B318" s="107"/>
      <c r="C318" s="107"/>
      <c r="D318" s="108"/>
      <c r="E318" s="104"/>
      <c r="F318" s="104"/>
      <c r="G318" s="35"/>
      <c r="H318" s="104"/>
      <c r="I318" s="140"/>
      <c r="J318" s="74"/>
      <c r="K318" s="74"/>
      <c r="L318" s="74"/>
      <c r="M318" s="74"/>
      <c r="N318" s="74"/>
      <c r="O318" s="74"/>
      <c r="P318" s="74"/>
      <c r="Q318" s="74"/>
      <c r="R318" s="74"/>
      <c r="S318" s="74"/>
      <c r="T318" s="74"/>
      <c r="U318" s="74"/>
      <c r="V318" s="74"/>
      <c r="W318" s="74"/>
      <c r="X318" s="74"/>
      <c r="Y318" s="74"/>
      <c r="Z318" s="74"/>
      <c r="AA318" s="74"/>
      <c r="AB318" s="74"/>
    </row>
    <row r="319" spans="1:28" ht="12" customHeight="1">
      <c r="A319" s="565"/>
      <c r="B319" s="107"/>
      <c r="C319" s="107"/>
      <c r="D319" s="108"/>
      <c r="E319" s="104"/>
      <c r="F319" s="104"/>
      <c r="G319" s="35"/>
      <c r="H319" s="104"/>
      <c r="I319" s="140"/>
      <c r="J319" s="74"/>
      <c r="K319" s="74"/>
      <c r="L319" s="74"/>
      <c r="M319" s="74"/>
      <c r="N319" s="74"/>
      <c r="O319" s="74"/>
      <c r="P319" s="74"/>
      <c r="Q319" s="74"/>
      <c r="R319" s="74"/>
      <c r="S319" s="74"/>
      <c r="T319" s="74"/>
      <c r="U319" s="74"/>
      <c r="V319" s="74"/>
      <c r="W319" s="74"/>
      <c r="X319" s="74"/>
      <c r="Y319" s="74"/>
      <c r="Z319" s="74"/>
      <c r="AA319" s="74"/>
      <c r="AB319" s="74"/>
    </row>
    <row r="320" spans="1:28" ht="12" customHeight="1">
      <c r="A320" s="565"/>
      <c r="B320" s="107"/>
      <c r="C320" s="107"/>
      <c r="D320" s="108"/>
      <c r="E320" s="104"/>
      <c r="F320" s="104"/>
      <c r="G320" s="35"/>
      <c r="H320" s="104"/>
      <c r="I320" s="140"/>
      <c r="J320" s="74"/>
      <c r="K320" s="74"/>
      <c r="L320" s="74"/>
      <c r="M320" s="74"/>
      <c r="N320" s="74"/>
      <c r="O320" s="74"/>
      <c r="P320" s="74"/>
      <c r="Q320" s="74"/>
      <c r="R320" s="74"/>
      <c r="S320" s="74"/>
      <c r="T320" s="74"/>
      <c r="U320" s="74"/>
      <c r="V320" s="74"/>
      <c r="W320" s="74"/>
      <c r="X320" s="74"/>
      <c r="Y320" s="74"/>
      <c r="Z320" s="74"/>
      <c r="AA320" s="74"/>
      <c r="AB320" s="74"/>
    </row>
    <row r="321" spans="1:28" ht="12" customHeight="1">
      <c r="A321" s="565"/>
      <c r="B321" s="107"/>
      <c r="C321" s="107"/>
      <c r="D321" s="108"/>
      <c r="E321" s="104"/>
      <c r="F321" s="104"/>
      <c r="G321" s="35"/>
      <c r="H321" s="104"/>
      <c r="I321" s="140"/>
      <c r="J321" s="74"/>
      <c r="K321" s="74"/>
      <c r="L321" s="74"/>
      <c r="M321" s="74"/>
      <c r="N321" s="74"/>
      <c r="O321" s="74"/>
      <c r="P321" s="74"/>
      <c r="Q321" s="74"/>
      <c r="R321" s="74"/>
      <c r="S321" s="74"/>
      <c r="T321" s="74"/>
      <c r="U321" s="74"/>
      <c r="V321" s="74"/>
      <c r="W321" s="74"/>
      <c r="X321" s="74"/>
      <c r="Y321" s="74"/>
      <c r="Z321" s="74"/>
      <c r="AA321" s="74"/>
      <c r="AB321" s="74"/>
    </row>
    <row r="322" spans="1:28" ht="12" customHeight="1">
      <c r="A322" s="565"/>
      <c r="B322" s="107"/>
      <c r="C322" s="107"/>
      <c r="D322" s="108"/>
      <c r="E322" s="104"/>
      <c r="F322" s="104"/>
      <c r="G322" s="35"/>
      <c r="H322" s="104"/>
      <c r="I322" s="140"/>
      <c r="J322" s="74"/>
      <c r="K322" s="74"/>
      <c r="L322" s="74"/>
      <c r="M322" s="74"/>
      <c r="N322" s="74"/>
      <c r="O322" s="74"/>
      <c r="P322" s="74"/>
      <c r="Q322" s="74"/>
      <c r="R322" s="74"/>
      <c r="S322" s="74"/>
      <c r="T322" s="74"/>
      <c r="U322" s="74"/>
      <c r="V322" s="74"/>
      <c r="W322" s="74"/>
      <c r="X322" s="74"/>
      <c r="Y322" s="74"/>
      <c r="Z322" s="74"/>
      <c r="AA322" s="74"/>
      <c r="AB322" s="74"/>
    </row>
    <row r="323" spans="1:28" ht="12" customHeight="1">
      <c r="A323" s="565"/>
      <c r="B323" s="107"/>
      <c r="C323" s="107"/>
      <c r="D323" s="108"/>
      <c r="E323" s="104"/>
      <c r="F323" s="104"/>
      <c r="G323" s="35"/>
      <c r="H323" s="104"/>
      <c r="I323" s="140"/>
      <c r="J323" s="74"/>
      <c r="K323" s="74"/>
      <c r="L323" s="74"/>
      <c r="M323" s="74"/>
      <c r="N323" s="74"/>
      <c r="O323" s="74"/>
      <c r="P323" s="74"/>
      <c r="Q323" s="74"/>
      <c r="R323" s="74"/>
      <c r="S323" s="74"/>
      <c r="T323" s="74"/>
      <c r="U323" s="74"/>
      <c r="V323" s="74"/>
      <c r="W323" s="74"/>
      <c r="X323" s="74"/>
      <c r="Y323" s="74"/>
      <c r="Z323" s="74"/>
      <c r="AA323" s="74"/>
      <c r="AB323" s="74"/>
    </row>
    <row r="324" spans="1:28" ht="12" customHeight="1">
      <c r="A324" s="565"/>
      <c r="B324" s="107"/>
      <c r="C324" s="107"/>
      <c r="D324" s="108"/>
      <c r="E324" s="104"/>
      <c r="F324" s="104"/>
      <c r="G324" s="35"/>
      <c r="H324" s="104"/>
      <c r="I324" s="140"/>
      <c r="J324" s="74"/>
      <c r="K324" s="74"/>
      <c r="L324" s="74"/>
      <c r="M324" s="74"/>
      <c r="N324" s="74"/>
      <c r="O324" s="74"/>
      <c r="P324" s="74"/>
      <c r="Q324" s="74"/>
      <c r="R324" s="74"/>
      <c r="S324" s="74"/>
      <c r="T324" s="74"/>
      <c r="U324" s="74"/>
      <c r="V324" s="74"/>
      <c r="W324" s="74"/>
      <c r="X324" s="74"/>
      <c r="Y324" s="74"/>
      <c r="Z324" s="74"/>
      <c r="AA324" s="74"/>
      <c r="AB324" s="74"/>
    </row>
    <row r="325" spans="1:28" ht="12" customHeight="1">
      <c r="A325" s="565"/>
      <c r="B325" s="107"/>
      <c r="C325" s="107"/>
      <c r="D325" s="108"/>
      <c r="E325" s="104"/>
      <c r="F325" s="104"/>
      <c r="G325" s="35"/>
      <c r="H325" s="104"/>
      <c r="I325" s="140"/>
      <c r="J325" s="74"/>
      <c r="K325" s="74"/>
      <c r="L325" s="74"/>
      <c r="M325" s="74"/>
      <c r="N325" s="74"/>
      <c r="O325" s="74"/>
      <c r="P325" s="74"/>
      <c r="Q325" s="74"/>
      <c r="R325" s="74"/>
      <c r="S325" s="74"/>
      <c r="T325" s="74"/>
      <c r="U325" s="74"/>
      <c r="V325" s="74"/>
      <c r="W325" s="74"/>
      <c r="X325" s="74"/>
      <c r="Y325" s="74"/>
      <c r="Z325" s="74"/>
      <c r="AA325" s="74"/>
      <c r="AB325" s="74"/>
    </row>
    <row r="326" spans="1:28" ht="12" customHeight="1">
      <c r="A326" s="565"/>
      <c r="B326" s="107"/>
      <c r="C326" s="107"/>
      <c r="D326" s="108"/>
      <c r="E326" s="104"/>
      <c r="F326" s="104"/>
      <c r="G326" s="35"/>
      <c r="H326" s="104"/>
      <c r="I326" s="140"/>
      <c r="J326" s="74"/>
      <c r="K326" s="74"/>
      <c r="L326" s="74"/>
      <c r="M326" s="74"/>
      <c r="N326" s="74"/>
      <c r="O326" s="74"/>
      <c r="P326" s="74"/>
      <c r="Q326" s="74"/>
      <c r="R326" s="74"/>
      <c r="S326" s="74"/>
      <c r="T326" s="74"/>
      <c r="U326" s="74"/>
      <c r="V326" s="74"/>
      <c r="W326" s="74"/>
      <c r="X326" s="74"/>
      <c r="Y326" s="74"/>
      <c r="Z326" s="74"/>
      <c r="AA326" s="74"/>
      <c r="AB326" s="74"/>
    </row>
    <row r="327" spans="1:28" ht="12" customHeight="1">
      <c r="A327" s="565"/>
      <c r="B327" s="107"/>
      <c r="C327" s="107"/>
      <c r="D327" s="108"/>
      <c r="E327" s="104"/>
      <c r="F327" s="104"/>
      <c r="G327" s="35"/>
      <c r="H327" s="104"/>
      <c r="I327" s="140"/>
      <c r="J327" s="74"/>
      <c r="K327" s="74"/>
      <c r="L327" s="74"/>
      <c r="M327" s="74"/>
      <c r="N327" s="74"/>
      <c r="O327" s="74"/>
      <c r="P327" s="74"/>
      <c r="Q327" s="74"/>
      <c r="R327" s="74"/>
      <c r="S327" s="74"/>
      <c r="T327" s="74"/>
      <c r="U327" s="74"/>
      <c r="V327" s="74"/>
      <c r="W327" s="74"/>
      <c r="X327" s="74"/>
      <c r="Y327" s="74"/>
      <c r="Z327" s="74"/>
      <c r="AA327" s="74"/>
      <c r="AB327" s="74"/>
    </row>
    <row r="328" spans="1:28" ht="12" customHeight="1">
      <c r="A328" s="565"/>
      <c r="B328" s="107"/>
      <c r="C328" s="107"/>
      <c r="D328" s="108"/>
      <c r="E328" s="104"/>
      <c r="F328" s="104"/>
      <c r="G328" s="35"/>
      <c r="H328" s="104"/>
      <c r="I328" s="140"/>
      <c r="J328" s="74"/>
      <c r="K328" s="74"/>
      <c r="L328" s="74"/>
      <c r="M328" s="74"/>
      <c r="N328" s="74"/>
      <c r="O328" s="74"/>
      <c r="P328" s="74"/>
      <c r="Q328" s="74"/>
      <c r="R328" s="74"/>
      <c r="S328" s="74"/>
      <c r="T328" s="74"/>
      <c r="U328" s="74"/>
      <c r="V328" s="74"/>
      <c r="W328" s="74"/>
      <c r="X328" s="74"/>
      <c r="Y328" s="74"/>
      <c r="Z328" s="74"/>
      <c r="AA328" s="74"/>
      <c r="AB328" s="74"/>
    </row>
    <row r="329" spans="1:28" ht="12" customHeight="1">
      <c r="A329" s="565"/>
      <c r="B329" s="107"/>
      <c r="C329" s="107"/>
      <c r="D329" s="108"/>
      <c r="E329" s="104"/>
      <c r="F329" s="104"/>
      <c r="G329" s="35"/>
      <c r="H329" s="104"/>
      <c r="I329" s="140"/>
      <c r="J329" s="74"/>
      <c r="K329" s="74"/>
      <c r="L329" s="74"/>
      <c r="M329" s="74"/>
      <c r="N329" s="74"/>
      <c r="O329" s="74"/>
      <c r="P329" s="74"/>
      <c r="Q329" s="74"/>
      <c r="R329" s="74"/>
      <c r="S329" s="74"/>
      <c r="T329" s="74"/>
      <c r="U329" s="74"/>
      <c r="V329" s="74"/>
      <c r="W329" s="74"/>
      <c r="X329" s="74"/>
      <c r="Y329" s="74"/>
      <c r="Z329" s="74"/>
      <c r="AA329" s="74"/>
      <c r="AB329" s="74"/>
    </row>
    <row r="330" spans="1:28" ht="12" customHeight="1">
      <c r="A330" s="565"/>
      <c r="B330" s="107"/>
      <c r="C330" s="107"/>
      <c r="D330" s="108"/>
      <c r="E330" s="104"/>
      <c r="F330" s="104"/>
      <c r="G330" s="35"/>
      <c r="H330" s="104"/>
      <c r="I330" s="140"/>
      <c r="J330" s="74"/>
      <c r="K330" s="74"/>
      <c r="L330" s="74"/>
      <c r="M330" s="74"/>
      <c r="N330" s="74"/>
      <c r="O330" s="74"/>
      <c r="P330" s="74"/>
      <c r="Q330" s="74"/>
      <c r="R330" s="74"/>
      <c r="S330" s="74"/>
      <c r="T330" s="74"/>
      <c r="U330" s="74"/>
      <c r="V330" s="74"/>
      <c r="W330" s="74"/>
      <c r="X330" s="74"/>
      <c r="Y330" s="74"/>
      <c r="Z330" s="74"/>
      <c r="AA330" s="74"/>
      <c r="AB330" s="74"/>
    </row>
    <row r="331" spans="1:28" ht="12" customHeight="1">
      <c r="A331" s="565"/>
      <c r="B331" s="107"/>
      <c r="C331" s="107"/>
      <c r="D331" s="108"/>
      <c r="E331" s="104"/>
      <c r="F331" s="104"/>
      <c r="G331" s="35"/>
      <c r="H331" s="104"/>
      <c r="I331" s="140"/>
      <c r="J331" s="74"/>
      <c r="K331" s="74"/>
      <c r="L331" s="74"/>
      <c r="M331" s="74"/>
      <c r="N331" s="74"/>
      <c r="O331" s="74"/>
      <c r="P331" s="74"/>
      <c r="Q331" s="74"/>
      <c r="R331" s="74"/>
      <c r="S331" s="74"/>
      <c r="T331" s="74"/>
      <c r="U331" s="74"/>
      <c r="V331" s="74"/>
      <c r="W331" s="74"/>
      <c r="X331" s="74"/>
      <c r="Y331" s="74"/>
      <c r="Z331" s="74"/>
      <c r="AA331" s="74"/>
      <c r="AB331" s="74"/>
    </row>
    <row r="332" spans="1:28" ht="12" customHeight="1">
      <c r="A332" s="565"/>
      <c r="B332" s="107"/>
      <c r="C332" s="107"/>
      <c r="D332" s="108"/>
      <c r="E332" s="104"/>
      <c r="F332" s="104"/>
      <c r="G332" s="35"/>
      <c r="H332" s="104"/>
      <c r="I332" s="140"/>
      <c r="J332" s="74"/>
      <c r="K332" s="74"/>
      <c r="L332" s="74"/>
      <c r="M332" s="74"/>
      <c r="N332" s="74"/>
      <c r="O332" s="74"/>
      <c r="P332" s="74"/>
      <c r="Q332" s="74"/>
      <c r="R332" s="74"/>
      <c r="S332" s="74"/>
      <c r="T332" s="74"/>
      <c r="U332" s="74"/>
      <c r="V332" s="74"/>
      <c r="W332" s="74"/>
      <c r="X332" s="74"/>
      <c r="Y332" s="74"/>
      <c r="Z332" s="74"/>
      <c r="AA332" s="74"/>
      <c r="AB332" s="74"/>
    </row>
    <row r="333" spans="1:28" ht="12" customHeight="1">
      <c r="A333" s="565"/>
      <c r="B333" s="107"/>
      <c r="C333" s="107"/>
      <c r="D333" s="108"/>
      <c r="E333" s="104"/>
      <c r="F333" s="104"/>
      <c r="G333" s="35"/>
      <c r="H333" s="104"/>
      <c r="I333" s="140"/>
      <c r="J333" s="74"/>
      <c r="K333" s="74"/>
      <c r="L333" s="74"/>
      <c r="M333" s="74"/>
      <c r="N333" s="74"/>
      <c r="O333" s="74"/>
      <c r="P333" s="74"/>
      <c r="Q333" s="74"/>
      <c r="R333" s="74"/>
      <c r="S333" s="74"/>
      <c r="T333" s="74"/>
      <c r="U333" s="74"/>
      <c r="V333" s="74"/>
      <c r="W333" s="74"/>
      <c r="X333" s="74"/>
      <c r="Y333" s="74"/>
      <c r="Z333" s="74"/>
      <c r="AA333" s="74"/>
      <c r="AB333" s="74"/>
    </row>
    <row r="334" spans="1:28" ht="12" customHeight="1">
      <c r="A334" s="565"/>
      <c r="B334" s="107"/>
      <c r="C334" s="107"/>
      <c r="D334" s="108"/>
      <c r="E334" s="104"/>
      <c r="F334" s="104"/>
      <c r="G334" s="35"/>
      <c r="H334" s="104"/>
      <c r="I334" s="140"/>
      <c r="J334" s="74"/>
      <c r="K334" s="74"/>
      <c r="L334" s="74"/>
      <c r="M334" s="74"/>
      <c r="N334" s="74"/>
      <c r="O334" s="74"/>
      <c r="P334" s="74"/>
      <c r="Q334" s="74"/>
      <c r="R334" s="74"/>
      <c r="S334" s="74"/>
      <c r="T334" s="74"/>
      <c r="U334" s="74"/>
      <c r="V334" s="74"/>
      <c r="W334" s="74"/>
      <c r="X334" s="74"/>
      <c r="Y334" s="74"/>
      <c r="Z334" s="74"/>
      <c r="AA334" s="74"/>
      <c r="AB334" s="74"/>
    </row>
    <row r="335" spans="1:28" ht="12" customHeight="1">
      <c r="A335" s="565"/>
      <c r="B335" s="107"/>
      <c r="C335" s="107"/>
      <c r="D335" s="108"/>
      <c r="E335" s="104"/>
      <c r="F335" s="104"/>
      <c r="G335" s="35"/>
      <c r="H335" s="104"/>
      <c r="I335" s="140"/>
      <c r="J335" s="74"/>
      <c r="K335" s="74"/>
      <c r="L335" s="74"/>
      <c r="M335" s="74"/>
      <c r="N335" s="74"/>
      <c r="O335" s="74"/>
      <c r="P335" s="74"/>
      <c r="Q335" s="74"/>
      <c r="R335" s="74"/>
      <c r="S335" s="74"/>
      <c r="T335" s="74"/>
      <c r="U335" s="74"/>
      <c r="V335" s="74"/>
      <c r="W335" s="74"/>
      <c r="X335" s="74"/>
      <c r="Y335" s="74"/>
      <c r="Z335" s="74"/>
      <c r="AA335" s="74"/>
      <c r="AB335" s="74"/>
    </row>
    <row r="336" spans="1:28" ht="12" customHeight="1">
      <c r="A336" s="565"/>
      <c r="B336" s="107"/>
      <c r="C336" s="107"/>
      <c r="D336" s="108"/>
      <c r="E336" s="104"/>
      <c r="F336" s="104"/>
      <c r="G336" s="35"/>
      <c r="H336" s="104"/>
      <c r="I336" s="140"/>
      <c r="J336" s="74"/>
      <c r="K336" s="74"/>
      <c r="L336" s="74"/>
      <c r="M336" s="74"/>
      <c r="N336" s="74"/>
      <c r="O336" s="74"/>
      <c r="P336" s="74"/>
      <c r="Q336" s="74"/>
      <c r="R336" s="74"/>
      <c r="S336" s="74"/>
      <c r="T336" s="74"/>
      <c r="U336" s="74"/>
      <c r="V336" s="74"/>
      <c r="W336" s="74"/>
      <c r="X336" s="74"/>
      <c r="Y336" s="74"/>
      <c r="Z336" s="74"/>
      <c r="AA336" s="74"/>
      <c r="AB336" s="74"/>
    </row>
    <row r="337" spans="1:28" ht="12" customHeight="1">
      <c r="A337" s="565"/>
      <c r="B337" s="107"/>
      <c r="C337" s="107"/>
      <c r="D337" s="108"/>
      <c r="E337" s="104"/>
      <c r="F337" s="104"/>
      <c r="G337" s="35"/>
      <c r="H337" s="104"/>
      <c r="I337" s="140"/>
      <c r="J337" s="74"/>
      <c r="K337" s="74"/>
      <c r="L337" s="74"/>
      <c r="M337" s="74"/>
      <c r="N337" s="74"/>
      <c r="O337" s="74"/>
      <c r="P337" s="74"/>
      <c r="Q337" s="74"/>
      <c r="R337" s="74"/>
      <c r="S337" s="74"/>
      <c r="T337" s="74"/>
      <c r="U337" s="74"/>
      <c r="V337" s="74"/>
      <c r="W337" s="74"/>
      <c r="X337" s="74"/>
      <c r="Y337" s="74"/>
      <c r="Z337" s="74"/>
      <c r="AA337" s="74"/>
      <c r="AB337" s="74"/>
    </row>
    <row r="338" spans="1:28" ht="12" customHeight="1">
      <c r="A338" s="565"/>
      <c r="B338" s="107"/>
      <c r="C338" s="107"/>
      <c r="D338" s="108"/>
      <c r="E338" s="104"/>
      <c r="F338" s="104"/>
      <c r="G338" s="35"/>
      <c r="H338" s="104"/>
      <c r="I338" s="140"/>
      <c r="J338" s="74"/>
      <c r="K338" s="74"/>
      <c r="L338" s="74"/>
      <c r="M338" s="74"/>
      <c r="N338" s="74"/>
      <c r="O338" s="74"/>
      <c r="P338" s="74"/>
      <c r="Q338" s="74"/>
      <c r="R338" s="74"/>
      <c r="S338" s="74"/>
      <c r="T338" s="74"/>
      <c r="U338" s="74"/>
      <c r="V338" s="74"/>
      <c r="W338" s="74"/>
      <c r="X338" s="74"/>
      <c r="Y338" s="74"/>
      <c r="Z338" s="74"/>
      <c r="AA338" s="74"/>
      <c r="AB338" s="74"/>
    </row>
    <row r="339" spans="1:28" ht="12" customHeight="1">
      <c r="A339" s="565"/>
      <c r="B339" s="107"/>
      <c r="C339" s="107"/>
      <c r="D339" s="108"/>
      <c r="E339" s="104"/>
      <c r="F339" s="104"/>
      <c r="G339" s="35"/>
      <c r="H339" s="104"/>
      <c r="I339" s="140"/>
      <c r="J339" s="74"/>
      <c r="K339" s="74"/>
      <c r="L339" s="74"/>
      <c r="M339" s="74"/>
      <c r="N339" s="74"/>
      <c r="O339" s="74"/>
      <c r="P339" s="74"/>
      <c r="Q339" s="74"/>
      <c r="R339" s="74"/>
      <c r="S339" s="74"/>
      <c r="T339" s="74"/>
      <c r="U339" s="74"/>
      <c r="V339" s="74"/>
      <c r="W339" s="74"/>
      <c r="X339" s="74"/>
      <c r="Y339" s="74"/>
      <c r="Z339" s="74"/>
      <c r="AA339" s="74"/>
      <c r="AB339" s="74"/>
    </row>
    <row r="340" spans="1:28" ht="12" customHeight="1">
      <c r="A340" s="565"/>
      <c r="B340" s="107"/>
      <c r="C340" s="107"/>
      <c r="D340" s="108"/>
      <c r="E340" s="104"/>
      <c r="F340" s="104"/>
      <c r="G340" s="35"/>
      <c r="H340" s="104"/>
      <c r="I340" s="140"/>
      <c r="J340" s="74"/>
      <c r="K340" s="74"/>
      <c r="L340" s="74"/>
      <c r="M340" s="74"/>
      <c r="N340" s="74"/>
      <c r="O340" s="74"/>
      <c r="P340" s="74"/>
      <c r="Q340" s="74"/>
      <c r="R340" s="74"/>
      <c r="S340" s="74"/>
      <c r="T340" s="74"/>
      <c r="U340" s="74"/>
      <c r="V340" s="74"/>
      <c r="W340" s="74"/>
      <c r="X340" s="74"/>
      <c r="Y340" s="74"/>
      <c r="Z340" s="74"/>
      <c r="AA340" s="74"/>
      <c r="AB340" s="74"/>
    </row>
    <row r="341" spans="1:28" ht="12" customHeight="1">
      <c r="A341" s="565"/>
      <c r="B341" s="107"/>
      <c r="C341" s="107"/>
      <c r="D341" s="108"/>
      <c r="E341" s="104"/>
      <c r="F341" s="104"/>
      <c r="G341" s="35"/>
      <c r="H341" s="104"/>
      <c r="I341" s="140"/>
      <c r="J341" s="74"/>
      <c r="K341" s="74"/>
      <c r="L341" s="74"/>
      <c r="M341" s="74"/>
      <c r="N341" s="74"/>
      <c r="O341" s="74"/>
      <c r="P341" s="74"/>
      <c r="Q341" s="74"/>
      <c r="R341" s="74"/>
      <c r="S341" s="74"/>
      <c r="T341" s="74"/>
      <c r="U341" s="74"/>
      <c r="V341" s="74"/>
      <c r="W341" s="74"/>
      <c r="X341" s="74"/>
      <c r="Y341" s="74"/>
      <c r="Z341" s="74"/>
      <c r="AA341" s="74"/>
      <c r="AB341" s="74"/>
    </row>
    <row r="342" spans="1:28" ht="12" customHeight="1">
      <c r="A342" s="565"/>
      <c r="B342" s="107"/>
      <c r="C342" s="107"/>
      <c r="D342" s="108"/>
      <c r="E342" s="104"/>
      <c r="F342" s="104"/>
      <c r="G342" s="35"/>
      <c r="H342" s="104"/>
      <c r="I342" s="140"/>
      <c r="J342" s="74"/>
      <c r="K342" s="74"/>
      <c r="L342" s="74"/>
      <c r="M342" s="74"/>
      <c r="N342" s="74"/>
      <c r="O342" s="74"/>
      <c r="P342" s="74"/>
      <c r="Q342" s="74"/>
      <c r="R342" s="74"/>
      <c r="S342" s="74"/>
      <c r="T342" s="74"/>
      <c r="U342" s="74"/>
      <c r="V342" s="74"/>
      <c r="W342" s="74"/>
      <c r="X342" s="74"/>
      <c r="Y342" s="74"/>
      <c r="Z342" s="74"/>
      <c r="AA342" s="74"/>
      <c r="AB342" s="74"/>
    </row>
    <row r="343" spans="1:28" ht="12" customHeight="1">
      <c r="A343" s="565"/>
      <c r="B343" s="107"/>
      <c r="C343" s="107"/>
      <c r="D343" s="108"/>
      <c r="E343" s="104"/>
      <c r="F343" s="104"/>
      <c r="G343" s="35"/>
      <c r="H343" s="104"/>
      <c r="I343" s="140"/>
      <c r="J343" s="74"/>
      <c r="K343" s="74"/>
      <c r="L343" s="74"/>
      <c r="M343" s="74"/>
      <c r="N343" s="74"/>
      <c r="O343" s="74"/>
      <c r="P343" s="74"/>
      <c r="Q343" s="74"/>
      <c r="R343" s="74"/>
      <c r="S343" s="74"/>
      <c r="T343" s="74"/>
      <c r="U343" s="74"/>
      <c r="V343" s="74"/>
      <c r="W343" s="74"/>
      <c r="X343" s="74"/>
      <c r="Y343" s="74"/>
      <c r="Z343" s="74"/>
      <c r="AA343" s="74"/>
      <c r="AB343" s="74"/>
    </row>
    <row r="344" spans="1:28" ht="12" customHeight="1">
      <c r="A344" s="565"/>
      <c r="B344" s="107"/>
      <c r="C344" s="107"/>
      <c r="D344" s="108"/>
      <c r="E344" s="104"/>
      <c r="F344" s="104"/>
      <c r="G344" s="35"/>
      <c r="H344" s="104"/>
      <c r="I344" s="140"/>
      <c r="J344" s="74"/>
      <c r="K344" s="74"/>
      <c r="L344" s="74"/>
      <c r="M344" s="74"/>
      <c r="N344" s="74"/>
      <c r="O344" s="74"/>
      <c r="P344" s="74"/>
      <c r="Q344" s="74"/>
      <c r="R344" s="74"/>
      <c r="S344" s="74"/>
      <c r="T344" s="74"/>
      <c r="U344" s="74"/>
      <c r="V344" s="74"/>
      <c r="W344" s="74"/>
      <c r="X344" s="74"/>
      <c r="Y344" s="74"/>
      <c r="Z344" s="74"/>
      <c r="AA344" s="74"/>
      <c r="AB344" s="74"/>
    </row>
    <row r="345" spans="1:28" ht="12" customHeight="1">
      <c r="A345" s="565"/>
      <c r="B345" s="107"/>
      <c r="C345" s="107"/>
      <c r="D345" s="108"/>
      <c r="E345" s="104"/>
      <c r="F345" s="104"/>
      <c r="G345" s="35"/>
      <c r="H345" s="104"/>
      <c r="I345" s="140"/>
      <c r="J345" s="74"/>
      <c r="K345" s="74"/>
      <c r="L345" s="74"/>
      <c r="M345" s="74"/>
      <c r="N345" s="74"/>
      <c r="O345" s="74"/>
      <c r="P345" s="74"/>
      <c r="Q345" s="74"/>
      <c r="R345" s="74"/>
      <c r="S345" s="74"/>
      <c r="T345" s="74"/>
      <c r="U345" s="74"/>
      <c r="V345" s="74"/>
      <c r="W345" s="74"/>
      <c r="X345" s="74"/>
      <c r="Y345" s="74"/>
      <c r="Z345" s="74"/>
      <c r="AA345" s="74"/>
      <c r="AB345" s="74"/>
    </row>
    <row r="346" spans="1:28" ht="12" customHeight="1">
      <c r="A346" s="565"/>
      <c r="B346" s="107"/>
      <c r="C346" s="107"/>
      <c r="D346" s="108"/>
      <c r="E346" s="104"/>
      <c r="F346" s="104"/>
      <c r="G346" s="35"/>
      <c r="H346" s="104"/>
      <c r="I346" s="140"/>
      <c r="J346" s="74"/>
      <c r="K346" s="74"/>
      <c r="L346" s="74"/>
      <c r="M346" s="74"/>
      <c r="N346" s="74"/>
      <c r="O346" s="74"/>
      <c r="P346" s="74"/>
      <c r="Q346" s="74"/>
      <c r="R346" s="74"/>
      <c r="S346" s="74"/>
      <c r="T346" s="74"/>
      <c r="U346" s="74"/>
      <c r="V346" s="74"/>
      <c r="W346" s="74"/>
      <c r="X346" s="74"/>
      <c r="Y346" s="74"/>
      <c r="Z346" s="74"/>
      <c r="AA346" s="74"/>
      <c r="AB346" s="74"/>
    </row>
    <row r="347" spans="1:28" ht="12" customHeight="1">
      <c r="A347" s="565"/>
      <c r="B347" s="107"/>
      <c r="C347" s="107"/>
      <c r="D347" s="108"/>
      <c r="E347" s="104"/>
      <c r="F347" s="104"/>
      <c r="G347" s="35"/>
      <c r="H347" s="104"/>
      <c r="I347" s="140"/>
      <c r="J347" s="74"/>
      <c r="K347" s="74"/>
      <c r="L347" s="74"/>
      <c r="M347" s="74"/>
      <c r="N347" s="74"/>
      <c r="O347" s="74"/>
      <c r="P347" s="74"/>
      <c r="Q347" s="74"/>
      <c r="R347" s="74"/>
      <c r="S347" s="74"/>
      <c r="T347" s="74"/>
      <c r="U347" s="74"/>
      <c r="V347" s="74"/>
      <c r="W347" s="74"/>
      <c r="X347" s="74"/>
      <c r="Y347" s="74"/>
      <c r="Z347" s="74"/>
      <c r="AA347" s="74"/>
      <c r="AB347" s="74"/>
    </row>
    <row r="348" spans="1:28" ht="12" customHeight="1">
      <c r="A348" s="565"/>
      <c r="B348" s="107"/>
      <c r="C348" s="107"/>
      <c r="D348" s="108"/>
      <c r="E348" s="104"/>
      <c r="F348" s="104"/>
      <c r="G348" s="35"/>
      <c r="H348" s="104"/>
      <c r="I348" s="140"/>
      <c r="J348" s="74"/>
      <c r="K348" s="74"/>
      <c r="L348" s="74"/>
      <c r="M348" s="74"/>
      <c r="N348" s="74"/>
      <c r="O348" s="74"/>
      <c r="P348" s="74"/>
      <c r="Q348" s="74"/>
      <c r="R348" s="74"/>
      <c r="S348" s="74"/>
      <c r="T348" s="74"/>
      <c r="U348" s="74"/>
      <c r="V348" s="74"/>
      <c r="W348" s="74"/>
      <c r="X348" s="74"/>
      <c r="Y348" s="74"/>
      <c r="Z348" s="74"/>
      <c r="AA348" s="74"/>
      <c r="AB348" s="74"/>
    </row>
    <row r="349" spans="1:28" ht="12" customHeight="1">
      <c r="A349" s="565"/>
      <c r="B349" s="107"/>
      <c r="C349" s="107"/>
      <c r="D349" s="108"/>
      <c r="E349" s="104"/>
      <c r="F349" s="104"/>
      <c r="G349" s="35"/>
      <c r="H349" s="104"/>
      <c r="I349" s="140"/>
      <c r="J349" s="74"/>
      <c r="K349" s="74"/>
      <c r="L349" s="74"/>
      <c r="M349" s="74"/>
      <c r="N349" s="74"/>
      <c r="O349" s="74"/>
      <c r="P349" s="74"/>
      <c r="Q349" s="74"/>
      <c r="R349" s="74"/>
      <c r="S349" s="74"/>
      <c r="T349" s="74"/>
      <c r="U349" s="74"/>
      <c r="V349" s="74"/>
      <c r="W349" s="74"/>
      <c r="X349" s="74"/>
      <c r="Y349" s="74"/>
      <c r="Z349" s="74"/>
      <c r="AA349" s="74"/>
      <c r="AB349" s="74"/>
    </row>
    <row r="350" spans="1:28" ht="12" customHeight="1">
      <c r="A350" s="565"/>
      <c r="B350" s="107"/>
      <c r="C350" s="107"/>
      <c r="D350" s="108"/>
      <c r="E350" s="104"/>
      <c r="F350" s="104"/>
      <c r="G350" s="35"/>
      <c r="H350" s="104"/>
      <c r="I350" s="140"/>
      <c r="J350" s="74"/>
      <c r="K350" s="74"/>
      <c r="L350" s="74"/>
      <c r="M350" s="74"/>
      <c r="N350" s="74"/>
      <c r="O350" s="74"/>
      <c r="P350" s="74"/>
      <c r="Q350" s="74"/>
      <c r="R350" s="74"/>
      <c r="S350" s="74"/>
      <c r="T350" s="74"/>
      <c r="U350" s="74"/>
      <c r="V350" s="74"/>
      <c r="W350" s="74"/>
      <c r="X350" s="74"/>
      <c r="Y350" s="74"/>
      <c r="Z350" s="74"/>
      <c r="AA350" s="74"/>
      <c r="AB350" s="74"/>
    </row>
    <row r="351" spans="1:28" ht="12" customHeight="1">
      <c r="A351" s="565"/>
      <c r="B351" s="107"/>
      <c r="C351" s="107"/>
      <c r="D351" s="108"/>
      <c r="E351" s="104"/>
      <c r="F351" s="104"/>
      <c r="G351" s="35"/>
      <c r="H351" s="104"/>
      <c r="I351" s="140"/>
      <c r="J351" s="74"/>
      <c r="K351" s="74"/>
      <c r="L351" s="74"/>
      <c r="M351" s="74"/>
      <c r="N351" s="74"/>
      <c r="O351" s="74"/>
      <c r="P351" s="74"/>
      <c r="Q351" s="74"/>
      <c r="R351" s="74"/>
      <c r="S351" s="74"/>
      <c r="T351" s="74"/>
      <c r="U351" s="74"/>
      <c r="V351" s="74"/>
      <c r="W351" s="74"/>
      <c r="X351" s="74"/>
      <c r="Y351" s="74"/>
      <c r="Z351" s="74"/>
      <c r="AA351" s="74"/>
      <c r="AB351" s="74"/>
    </row>
    <row r="352" spans="1:28" ht="12" customHeight="1">
      <c r="A352" s="565"/>
      <c r="B352" s="107"/>
      <c r="C352" s="107"/>
      <c r="D352" s="108"/>
      <c r="E352" s="104"/>
      <c r="F352" s="104"/>
      <c r="G352" s="35"/>
      <c r="H352" s="104"/>
      <c r="I352" s="140"/>
      <c r="J352" s="74"/>
      <c r="K352" s="74"/>
      <c r="L352" s="74"/>
      <c r="M352" s="74"/>
      <c r="N352" s="74"/>
      <c r="O352" s="74"/>
      <c r="P352" s="74"/>
      <c r="Q352" s="74"/>
      <c r="R352" s="74"/>
      <c r="S352" s="74"/>
      <c r="T352" s="74"/>
      <c r="U352" s="74"/>
      <c r="V352" s="74"/>
      <c r="W352" s="74"/>
      <c r="X352" s="74"/>
      <c r="Y352" s="74"/>
      <c r="Z352" s="74"/>
      <c r="AA352" s="74"/>
      <c r="AB352" s="74"/>
    </row>
    <row r="353" spans="1:28" ht="12" customHeight="1">
      <c r="A353" s="565"/>
      <c r="B353" s="107"/>
      <c r="C353" s="107"/>
      <c r="D353" s="108"/>
      <c r="E353" s="104"/>
      <c r="F353" s="104"/>
      <c r="G353" s="35"/>
      <c r="H353" s="104"/>
      <c r="I353" s="140"/>
      <c r="J353" s="74"/>
      <c r="K353" s="74"/>
      <c r="L353" s="74"/>
      <c r="M353" s="74"/>
      <c r="N353" s="74"/>
      <c r="O353" s="74"/>
      <c r="P353" s="74"/>
      <c r="Q353" s="74"/>
      <c r="R353" s="74"/>
      <c r="S353" s="74"/>
      <c r="T353" s="74"/>
      <c r="U353" s="74"/>
      <c r="V353" s="74"/>
      <c r="W353" s="74"/>
      <c r="X353" s="74"/>
      <c r="Y353" s="74"/>
      <c r="Z353" s="74"/>
      <c r="AA353" s="74"/>
      <c r="AB353" s="74"/>
    </row>
    <row r="354" spans="1:28" ht="12" customHeight="1">
      <c r="A354" s="565"/>
      <c r="B354" s="107"/>
      <c r="C354" s="107"/>
      <c r="D354" s="108"/>
      <c r="E354" s="104"/>
      <c r="F354" s="104"/>
      <c r="G354" s="35"/>
      <c r="H354" s="104"/>
      <c r="I354" s="140"/>
      <c r="J354" s="74"/>
      <c r="K354" s="74"/>
      <c r="L354" s="74"/>
      <c r="M354" s="74"/>
      <c r="N354" s="74"/>
      <c r="O354" s="74"/>
      <c r="P354" s="74"/>
      <c r="Q354" s="74"/>
      <c r="R354" s="74"/>
      <c r="S354" s="74"/>
      <c r="T354" s="74"/>
      <c r="U354" s="74"/>
      <c r="V354" s="74"/>
      <c r="W354" s="74"/>
      <c r="X354" s="74"/>
      <c r="Y354" s="74"/>
      <c r="Z354" s="74"/>
      <c r="AA354" s="74"/>
      <c r="AB354" s="74"/>
    </row>
    <row r="355" spans="1:28" ht="12" customHeight="1">
      <c r="A355" s="565"/>
      <c r="B355" s="107"/>
      <c r="C355" s="107"/>
      <c r="D355" s="108"/>
      <c r="E355" s="104"/>
      <c r="F355" s="104"/>
      <c r="G355" s="35"/>
      <c r="H355" s="104"/>
      <c r="I355" s="140"/>
      <c r="J355" s="74"/>
      <c r="K355" s="74"/>
      <c r="L355" s="74"/>
      <c r="M355" s="74"/>
      <c r="N355" s="74"/>
      <c r="O355" s="74"/>
      <c r="P355" s="74"/>
      <c r="Q355" s="74"/>
      <c r="R355" s="74"/>
      <c r="S355" s="74"/>
      <c r="T355" s="74"/>
      <c r="U355" s="74"/>
      <c r="V355" s="74"/>
      <c r="W355" s="74"/>
      <c r="X355" s="74"/>
      <c r="Y355" s="74"/>
      <c r="Z355" s="74"/>
      <c r="AA355" s="74"/>
      <c r="AB355" s="74"/>
    </row>
    <row r="356" spans="1:28" ht="12" customHeight="1">
      <c r="A356" s="565"/>
      <c r="B356" s="107"/>
      <c r="C356" s="107"/>
      <c r="D356" s="108"/>
      <c r="E356" s="104"/>
      <c r="F356" s="104"/>
      <c r="G356" s="35"/>
      <c r="H356" s="104"/>
      <c r="I356" s="140"/>
      <c r="J356" s="74"/>
      <c r="K356" s="74"/>
      <c r="L356" s="74"/>
      <c r="M356" s="74"/>
      <c r="N356" s="74"/>
      <c r="O356" s="74"/>
      <c r="P356" s="74"/>
      <c r="Q356" s="74"/>
      <c r="R356" s="74"/>
      <c r="S356" s="74"/>
      <c r="T356" s="74"/>
      <c r="U356" s="74"/>
      <c r="V356" s="74"/>
      <c r="W356" s="74"/>
      <c r="X356" s="74"/>
      <c r="Y356" s="74"/>
      <c r="Z356" s="74"/>
      <c r="AA356" s="74"/>
      <c r="AB356" s="74"/>
    </row>
    <row r="357" spans="1:28" ht="12" customHeight="1">
      <c r="A357" s="565"/>
      <c r="B357" s="107"/>
      <c r="C357" s="107"/>
      <c r="D357" s="108"/>
      <c r="E357" s="104"/>
      <c r="F357" s="104"/>
      <c r="G357" s="35"/>
      <c r="H357" s="104"/>
      <c r="I357" s="140"/>
      <c r="J357" s="74"/>
      <c r="K357" s="74"/>
      <c r="L357" s="74"/>
      <c r="M357" s="74"/>
      <c r="N357" s="74"/>
      <c r="O357" s="74"/>
      <c r="P357" s="74"/>
      <c r="Q357" s="74"/>
      <c r="R357" s="74"/>
      <c r="S357" s="74"/>
      <c r="T357" s="74"/>
      <c r="U357" s="74"/>
      <c r="V357" s="74"/>
      <c r="W357" s="74"/>
      <c r="X357" s="74"/>
      <c r="Y357" s="74"/>
      <c r="Z357" s="74"/>
      <c r="AA357" s="74"/>
      <c r="AB357" s="74"/>
    </row>
    <row r="358" spans="1:28" ht="12" customHeight="1">
      <c r="A358" s="565"/>
      <c r="B358" s="107"/>
      <c r="C358" s="107"/>
      <c r="D358" s="108"/>
      <c r="E358" s="104"/>
      <c r="F358" s="104"/>
      <c r="G358" s="35"/>
      <c r="H358" s="104"/>
      <c r="I358" s="140"/>
      <c r="J358" s="74"/>
      <c r="K358" s="74"/>
      <c r="L358" s="74"/>
      <c r="M358" s="74"/>
      <c r="N358" s="74"/>
      <c r="O358" s="74"/>
      <c r="P358" s="74"/>
      <c r="Q358" s="74"/>
      <c r="R358" s="74"/>
      <c r="S358" s="74"/>
      <c r="T358" s="74"/>
      <c r="U358" s="74"/>
      <c r="V358" s="74"/>
      <c r="W358" s="74"/>
      <c r="X358" s="74"/>
      <c r="Y358" s="74"/>
      <c r="Z358" s="74"/>
      <c r="AA358" s="74"/>
      <c r="AB358" s="74"/>
    </row>
    <row r="359" spans="1:28" ht="12" customHeight="1">
      <c r="A359" s="565"/>
      <c r="B359" s="107"/>
      <c r="C359" s="107"/>
      <c r="D359" s="108"/>
      <c r="E359" s="104"/>
      <c r="F359" s="104"/>
      <c r="G359" s="35"/>
      <c r="H359" s="104"/>
      <c r="I359" s="140"/>
      <c r="J359" s="74"/>
      <c r="K359" s="74"/>
      <c r="L359" s="74"/>
      <c r="M359" s="74"/>
      <c r="N359" s="74"/>
      <c r="O359" s="74"/>
      <c r="P359" s="74"/>
      <c r="Q359" s="74"/>
      <c r="R359" s="74"/>
      <c r="S359" s="74"/>
      <c r="T359" s="74"/>
      <c r="U359" s="74"/>
      <c r="V359" s="74"/>
      <c r="W359" s="74"/>
      <c r="X359" s="74"/>
      <c r="Y359" s="74"/>
      <c r="Z359" s="74"/>
      <c r="AA359" s="74"/>
      <c r="AB359" s="74"/>
    </row>
    <row r="360" spans="1:28" ht="12" customHeight="1">
      <c r="A360" s="565"/>
      <c r="B360" s="107"/>
      <c r="C360" s="107"/>
      <c r="D360" s="108"/>
      <c r="E360" s="104"/>
      <c r="F360" s="104"/>
      <c r="G360" s="35"/>
      <c r="H360" s="104"/>
      <c r="I360" s="140"/>
      <c r="J360" s="74"/>
      <c r="K360" s="74"/>
      <c r="L360" s="74"/>
      <c r="M360" s="74"/>
      <c r="N360" s="74"/>
      <c r="O360" s="74"/>
      <c r="P360" s="74"/>
      <c r="Q360" s="74"/>
      <c r="R360" s="74"/>
      <c r="S360" s="74"/>
      <c r="T360" s="74"/>
      <c r="U360" s="74"/>
      <c r="V360" s="74"/>
      <c r="W360" s="74"/>
      <c r="X360" s="74"/>
      <c r="Y360" s="74"/>
      <c r="Z360" s="74"/>
      <c r="AA360" s="74"/>
      <c r="AB360" s="74"/>
    </row>
    <row r="361" spans="1:28" ht="12" customHeight="1">
      <c r="A361" s="565"/>
      <c r="B361" s="107"/>
      <c r="C361" s="107"/>
      <c r="D361" s="108"/>
      <c r="E361" s="104"/>
      <c r="F361" s="104"/>
      <c r="G361" s="35"/>
      <c r="H361" s="104"/>
      <c r="I361" s="140"/>
      <c r="J361" s="74"/>
      <c r="K361" s="74"/>
      <c r="L361" s="74"/>
      <c r="M361" s="74"/>
      <c r="N361" s="74"/>
      <c r="O361" s="74"/>
      <c r="P361" s="74"/>
      <c r="Q361" s="74"/>
      <c r="R361" s="74"/>
      <c r="S361" s="74"/>
      <c r="T361" s="74"/>
      <c r="U361" s="74"/>
      <c r="V361" s="74"/>
      <c r="W361" s="74"/>
      <c r="X361" s="74"/>
      <c r="Y361" s="74"/>
      <c r="Z361" s="74"/>
      <c r="AA361" s="74"/>
      <c r="AB361" s="74"/>
    </row>
    <row r="362" spans="1:28" ht="12" customHeight="1">
      <c r="A362" s="565"/>
      <c r="B362" s="107"/>
      <c r="C362" s="107"/>
      <c r="D362" s="108"/>
      <c r="E362" s="104"/>
      <c r="F362" s="104"/>
      <c r="G362" s="35"/>
      <c r="H362" s="104"/>
      <c r="I362" s="140"/>
      <c r="J362" s="74"/>
      <c r="K362" s="74"/>
      <c r="L362" s="74"/>
      <c r="M362" s="74"/>
      <c r="N362" s="74"/>
      <c r="O362" s="74"/>
      <c r="P362" s="74"/>
      <c r="Q362" s="74"/>
      <c r="R362" s="74"/>
      <c r="S362" s="74"/>
      <c r="T362" s="74"/>
      <c r="U362" s="74"/>
      <c r="V362" s="74"/>
      <c r="W362" s="74"/>
      <c r="X362" s="74"/>
      <c r="Y362" s="74"/>
      <c r="Z362" s="74"/>
      <c r="AA362" s="74"/>
      <c r="AB362" s="74"/>
    </row>
    <row r="363" spans="1:28" ht="12" customHeight="1">
      <c r="A363" s="565"/>
      <c r="B363" s="107"/>
      <c r="C363" s="107"/>
      <c r="D363" s="108"/>
      <c r="E363" s="104"/>
      <c r="F363" s="104"/>
      <c r="G363" s="35"/>
      <c r="H363" s="104"/>
      <c r="I363" s="140"/>
      <c r="J363" s="74"/>
      <c r="K363" s="74"/>
      <c r="L363" s="74"/>
      <c r="M363" s="74"/>
      <c r="N363" s="74"/>
      <c r="O363" s="74"/>
      <c r="P363" s="74"/>
      <c r="Q363" s="74"/>
      <c r="R363" s="74"/>
      <c r="S363" s="74"/>
      <c r="T363" s="74"/>
      <c r="U363" s="74"/>
      <c r="V363" s="74"/>
      <c r="W363" s="74"/>
      <c r="X363" s="74"/>
      <c r="Y363" s="74"/>
      <c r="Z363" s="74"/>
      <c r="AA363" s="74"/>
      <c r="AB363" s="74"/>
    </row>
    <row r="364" spans="1:28" ht="12" customHeight="1">
      <c r="A364" s="565"/>
      <c r="B364" s="107"/>
      <c r="C364" s="107"/>
      <c r="D364" s="108"/>
      <c r="E364" s="104"/>
      <c r="F364" s="104"/>
      <c r="G364" s="35"/>
      <c r="H364" s="104"/>
      <c r="I364" s="140"/>
      <c r="J364" s="74"/>
      <c r="K364" s="74"/>
      <c r="L364" s="74"/>
      <c r="M364" s="74"/>
      <c r="N364" s="74"/>
      <c r="O364" s="74"/>
      <c r="P364" s="74"/>
      <c r="Q364" s="74"/>
      <c r="R364" s="74"/>
      <c r="S364" s="74"/>
      <c r="T364" s="74"/>
      <c r="U364" s="74"/>
      <c r="V364" s="74"/>
      <c r="W364" s="74"/>
      <c r="X364" s="74"/>
      <c r="Y364" s="74"/>
      <c r="Z364" s="74"/>
      <c r="AA364" s="74"/>
      <c r="AB364" s="74"/>
    </row>
    <row r="365" spans="1:28" ht="12" customHeight="1">
      <c r="A365" s="565"/>
      <c r="B365" s="107"/>
      <c r="C365" s="107"/>
      <c r="D365" s="108"/>
      <c r="E365" s="104"/>
      <c r="F365" s="104"/>
      <c r="G365" s="35"/>
      <c r="H365" s="104"/>
      <c r="I365" s="140"/>
      <c r="J365" s="74"/>
      <c r="K365" s="74"/>
      <c r="L365" s="74"/>
      <c r="M365" s="74"/>
      <c r="N365" s="74"/>
      <c r="O365" s="74"/>
      <c r="P365" s="74"/>
      <c r="Q365" s="74"/>
      <c r="R365" s="74"/>
      <c r="S365" s="74"/>
      <c r="T365" s="74"/>
      <c r="U365" s="74"/>
      <c r="V365" s="74"/>
      <c r="W365" s="74"/>
      <c r="X365" s="74"/>
      <c r="Y365" s="74"/>
      <c r="Z365" s="74"/>
      <c r="AA365" s="74"/>
      <c r="AB365" s="74"/>
    </row>
    <row r="366" spans="1:28" ht="12" customHeight="1">
      <c r="A366" s="565"/>
      <c r="B366" s="107"/>
      <c r="C366" s="107"/>
      <c r="D366" s="108"/>
      <c r="E366" s="104"/>
      <c r="F366" s="104"/>
      <c r="G366" s="35"/>
      <c r="H366" s="104"/>
      <c r="I366" s="140"/>
      <c r="J366" s="74"/>
      <c r="K366" s="74"/>
      <c r="L366" s="74"/>
      <c r="M366" s="74"/>
      <c r="N366" s="74"/>
      <c r="O366" s="74"/>
      <c r="P366" s="74"/>
      <c r="Q366" s="74"/>
      <c r="R366" s="74"/>
      <c r="S366" s="74"/>
      <c r="T366" s="74"/>
      <c r="U366" s="74"/>
      <c r="V366" s="74"/>
      <c r="W366" s="74"/>
      <c r="X366" s="74"/>
      <c r="Y366" s="74"/>
      <c r="Z366" s="74"/>
      <c r="AA366" s="74"/>
      <c r="AB366" s="74"/>
    </row>
    <row r="367" spans="1:28" ht="12" customHeight="1">
      <c r="A367" s="565"/>
      <c r="B367" s="107"/>
      <c r="C367" s="107"/>
      <c r="D367" s="108"/>
      <c r="E367" s="104"/>
      <c r="F367" s="104"/>
      <c r="G367" s="35"/>
      <c r="H367" s="104"/>
      <c r="I367" s="140"/>
      <c r="J367" s="74"/>
      <c r="K367" s="74"/>
      <c r="L367" s="74"/>
      <c r="M367" s="74"/>
      <c r="N367" s="74"/>
      <c r="O367" s="74"/>
      <c r="P367" s="74"/>
      <c r="Q367" s="74"/>
      <c r="R367" s="74"/>
      <c r="S367" s="74"/>
      <c r="T367" s="74"/>
      <c r="U367" s="74"/>
      <c r="V367" s="74"/>
      <c r="W367" s="74"/>
      <c r="X367" s="74"/>
      <c r="Y367" s="74"/>
      <c r="Z367" s="74"/>
      <c r="AA367" s="74"/>
      <c r="AB367" s="74"/>
    </row>
    <row r="368" spans="1:28" ht="12" customHeight="1">
      <c r="A368" s="565"/>
      <c r="B368" s="107"/>
      <c r="C368" s="107"/>
      <c r="D368" s="108"/>
      <c r="E368" s="104"/>
      <c r="F368" s="104"/>
      <c r="G368" s="35"/>
      <c r="H368" s="104"/>
      <c r="I368" s="140"/>
      <c r="J368" s="74"/>
      <c r="K368" s="74"/>
      <c r="L368" s="74"/>
      <c r="M368" s="74"/>
      <c r="N368" s="74"/>
      <c r="O368" s="74"/>
      <c r="P368" s="74"/>
      <c r="Q368" s="74"/>
      <c r="R368" s="74"/>
      <c r="S368" s="74"/>
      <c r="T368" s="74"/>
      <c r="U368" s="74"/>
      <c r="V368" s="74"/>
      <c r="W368" s="74"/>
      <c r="X368" s="74"/>
      <c r="Y368" s="74"/>
      <c r="Z368" s="74"/>
      <c r="AA368" s="74"/>
      <c r="AB368" s="74"/>
    </row>
    <row r="369" spans="1:28" ht="12" customHeight="1">
      <c r="A369" s="565"/>
      <c r="B369" s="107"/>
      <c r="C369" s="107"/>
      <c r="D369" s="108"/>
      <c r="E369" s="104"/>
      <c r="F369" s="104"/>
      <c r="G369" s="35"/>
      <c r="H369" s="104"/>
      <c r="I369" s="140"/>
      <c r="J369" s="74"/>
      <c r="K369" s="74"/>
      <c r="L369" s="74"/>
      <c r="M369" s="74"/>
      <c r="N369" s="74"/>
      <c r="O369" s="74"/>
      <c r="P369" s="74"/>
      <c r="Q369" s="74"/>
      <c r="R369" s="74"/>
      <c r="S369" s="74"/>
      <c r="T369" s="74"/>
      <c r="U369" s="74"/>
      <c r="V369" s="74"/>
      <c r="W369" s="74"/>
      <c r="X369" s="74"/>
      <c r="Y369" s="74"/>
      <c r="Z369" s="74"/>
      <c r="AA369" s="74"/>
      <c r="AB369" s="74"/>
    </row>
    <row r="370" spans="1:28" ht="12" customHeight="1">
      <c r="A370" s="565"/>
      <c r="B370" s="107"/>
      <c r="C370" s="107"/>
      <c r="D370" s="108"/>
      <c r="E370" s="104"/>
      <c r="F370" s="104"/>
      <c r="G370" s="35"/>
      <c r="H370" s="104"/>
      <c r="I370" s="140"/>
      <c r="J370" s="74"/>
      <c r="K370" s="74"/>
      <c r="L370" s="74"/>
      <c r="M370" s="74"/>
      <c r="N370" s="74"/>
      <c r="O370" s="74"/>
      <c r="P370" s="74"/>
      <c r="Q370" s="74"/>
      <c r="R370" s="74"/>
      <c r="S370" s="74"/>
      <c r="T370" s="74"/>
      <c r="U370" s="74"/>
      <c r="V370" s="74"/>
      <c r="W370" s="74"/>
      <c r="X370" s="74"/>
      <c r="Y370" s="74"/>
      <c r="Z370" s="74"/>
      <c r="AA370" s="74"/>
      <c r="AB370" s="74"/>
    </row>
    <row r="371" spans="1:28" ht="12" customHeight="1">
      <c r="A371" s="565"/>
      <c r="B371" s="107"/>
      <c r="C371" s="107"/>
      <c r="D371" s="108"/>
      <c r="E371" s="104"/>
      <c r="F371" s="104"/>
      <c r="G371" s="35"/>
      <c r="H371" s="104"/>
      <c r="I371" s="140"/>
      <c r="J371" s="74"/>
      <c r="K371" s="74"/>
      <c r="L371" s="74"/>
      <c r="M371" s="74"/>
      <c r="N371" s="74"/>
      <c r="O371" s="74"/>
      <c r="P371" s="74"/>
      <c r="Q371" s="74"/>
      <c r="R371" s="74"/>
      <c r="S371" s="74"/>
      <c r="T371" s="74"/>
      <c r="U371" s="74"/>
      <c r="V371" s="74"/>
      <c r="W371" s="74"/>
      <c r="X371" s="74"/>
      <c r="Y371" s="74"/>
      <c r="Z371" s="74"/>
      <c r="AA371" s="74"/>
      <c r="AB371" s="74"/>
    </row>
    <row r="372" spans="1:28" ht="12" customHeight="1">
      <c r="A372" s="565"/>
      <c r="B372" s="107"/>
      <c r="C372" s="107"/>
      <c r="D372" s="108"/>
      <c r="E372" s="104"/>
      <c r="F372" s="104"/>
      <c r="G372" s="35"/>
      <c r="H372" s="104"/>
      <c r="I372" s="140"/>
      <c r="J372" s="74"/>
      <c r="K372" s="74"/>
      <c r="L372" s="74"/>
      <c r="M372" s="74"/>
      <c r="N372" s="74"/>
      <c r="O372" s="74"/>
      <c r="P372" s="74"/>
      <c r="Q372" s="74"/>
      <c r="R372" s="74"/>
      <c r="S372" s="74"/>
      <c r="T372" s="74"/>
      <c r="U372" s="74"/>
      <c r="V372" s="74"/>
      <c r="W372" s="74"/>
      <c r="X372" s="74"/>
      <c r="Y372" s="74"/>
      <c r="Z372" s="74"/>
      <c r="AA372" s="74"/>
      <c r="AB372" s="74"/>
    </row>
    <row r="373" spans="1:28" ht="12" customHeight="1">
      <c r="A373" s="565"/>
      <c r="B373" s="107"/>
      <c r="C373" s="107"/>
      <c r="D373" s="108"/>
      <c r="E373" s="104"/>
      <c r="F373" s="104"/>
      <c r="G373" s="35"/>
      <c r="H373" s="104"/>
      <c r="I373" s="140"/>
      <c r="J373" s="74"/>
      <c r="K373" s="74"/>
      <c r="L373" s="74"/>
      <c r="M373" s="74"/>
      <c r="N373" s="74"/>
      <c r="O373" s="74"/>
      <c r="P373" s="74"/>
      <c r="Q373" s="74"/>
      <c r="R373" s="74"/>
      <c r="S373" s="74"/>
      <c r="T373" s="74"/>
      <c r="U373" s="74"/>
      <c r="V373" s="74"/>
      <c r="W373" s="74"/>
      <c r="X373" s="74"/>
      <c r="Y373" s="74"/>
      <c r="Z373" s="74"/>
      <c r="AA373" s="74"/>
      <c r="AB373" s="74"/>
    </row>
    <row r="374" spans="1:28" ht="12" customHeight="1">
      <c r="A374" s="565"/>
      <c r="B374" s="107"/>
      <c r="C374" s="107"/>
      <c r="D374" s="108"/>
      <c r="E374" s="104"/>
      <c r="F374" s="104"/>
      <c r="G374" s="35"/>
      <c r="H374" s="104"/>
      <c r="I374" s="140"/>
      <c r="J374" s="74"/>
      <c r="K374" s="74"/>
      <c r="L374" s="74"/>
      <c r="M374" s="74"/>
      <c r="N374" s="74"/>
      <c r="O374" s="74"/>
      <c r="P374" s="74"/>
      <c r="Q374" s="74"/>
      <c r="R374" s="74"/>
      <c r="S374" s="74"/>
      <c r="T374" s="74"/>
      <c r="U374" s="74"/>
      <c r="V374" s="74"/>
      <c r="W374" s="74"/>
      <c r="X374" s="74"/>
      <c r="Y374" s="74"/>
      <c r="Z374" s="74"/>
      <c r="AA374" s="74"/>
      <c r="AB374" s="74"/>
    </row>
    <row r="375" spans="1:28" ht="12" customHeight="1">
      <c r="A375" s="565"/>
      <c r="B375" s="107"/>
      <c r="C375" s="107"/>
      <c r="D375" s="108"/>
      <c r="E375" s="104"/>
      <c r="F375" s="104"/>
      <c r="G375" s="35"/>
      <c r="H375" s="104"/>
      <c r="I375" s="140"/>
      <c r="J375" s="74"/>
      <c r="K375" s="74"/>
      <c r="L375" s="74"/>
      <c r="M375" s="74"/>
      <c r="N375" s="74"/>
      <c r="O375" s="74"/>
      <c r="P375" s="74"/>
      <c r="Q375" s="74"/>
      <c r="R375" s="74"/>
      <c r="S375" s="74"/>
      <c r="T375" s="74"/>
      <c r="U375" s="74"/>
      <c r="V375" s="74"/>
      <c r="W375" s="74"/>
      <c r="X375" s="74"/>
      <c r="Y375" s="74"/>
      <c r="Z375" s="74"/>
      <c r="AA375" s="74"/>
      <c r="AB375" s="74"/>
    </row>
    <row r="376" spans="1:28" ht="12" customHeight="1">
      <c r="A376" s="565"/>
      <c r="B376" s="107"/>
      <c r="C376" s="107"/>
      <c r="D376" s="108"/>
      <c r="E376" s="104"/>
      <c r="F376" s="104"/>
      <c r="G376" s="35"/>
      <c r="H376" s="104"/>
      <c r="I376" s="140"/>
      <c r="J376" s="74"/>
      <c r="K376" s="74"/>
      <c r="L376" s="74"/>
      <c r="M376" s="74"/>
      <c r="N376" s="74"/>
      <c r="O376" s="74"/>
      <c r="P376" s="74"/>
      <c r="Q376" s="74"/>
      <c r="R376" s="74"/>
      <c r="S376" s="74"/>
      <c r="T376" s="74"/>
      <c r="U376" s="74"/>
      <c r="V376" s="74"/>
      <c r="W376" s="74"/>
      <c r="X376" s="74"/>
      <c r="Y376" s="74"/>
      <c r="Z376" s="74"/>
      <c r="AA376" s="74"/>
      <c r="AB376" s="74"/>
    </row>
    <row r="377" spans="1:28" ht="12" customHeight="1">
      <c r="A377" s="565"/>
      <c r="B377" s="107"/>
      <c r="C377" s="107"/>
      <c r="D377" s="108"/>
      <c r="E377" s="104"/>
      <c r="F377" s="104"/>
      <c r="G377" s="35"/>
      <c r="H377" s="104"/>
      <c r="I377" s="140"/>
      <c r="J377" s="74"/>
      <c r="K377" s="74"/>
      <c r="L377" s="74"/>
      <c r="M377" s="74"/>
      <c r="N377" s="74"/>
      <c r="O377" s="74"/>
      <c r="P377" s="74"/>
      <c r="Q377" s="74"/>
      <c r="R377" s="74"/>
      <c r="S377" s="74"/>
      <c r="T377" s="74"/>
      <c r="U377" s="74"/>
      <c r="V377" s="74"/>
      <c r="W377" s="74"/>
      <c r="X377" s="74"/>
      <c r="Y377" s="74"/>
      <c r="Z377" s="74"/>
      <c r="AA377" s="74"/>
      <c r="AB377" s="74"/>
    </row>
    <row r="378" spans="1:28" ht="12" customHeight="1">
      <c r="A378" s="565"/>
      <c r="B378" s="107"/>
      <c r="C378" s="107"/>
      <c r="D378" s="108"/>
      <c r="E378" s="104"/>
      <c r="F378" s="104"/>
      <c r="G378" s="35"/>
      <c r="H378" s="104"/>
      <c r="I378" s="140"/>
      <c r="J378" s="74"/>
      <c r="K378" s="74"/>
      <c r="L378" s="74"/>
      <c r="M378" s="74"/>
      <c r="N378" s="74"/>
      <c r="O378" s="74"/>
      <c r="P378" s="74"/>
      <c r="Q378" s="74"/>
      <c r="R378" s="74"/>
      <c r="S378" s="74"/>
      <c r="T378" s="74"/>
      <c r="U378" s="74"/>
      <c r="V378" s="74"/>
      <c r="W378" s="74"/>
      <c r="X378" s="74"/>
      <c r="Y378" s="74"/>
      <c r="Z378" s="74"/>
      <c r="AA378" s="74"/>
      <c r="AB378" s="74"/>
    </row>
    <row r="379" spans="1:28" ht="12" customHeight="1">
      <c r="A379" s="565"/>
      <c r="B379" s="107"/>
      <c r="C379" s="107"/>
      <c r="D379" s="108"/>
      <c r="E379" s="104"/>
      <c r="F379" s="104"/>
      <c r="G379" s="35"/>
      <c r="H379" s="104"/>
      <c r="I379" s="140"/>
      <c r="J379" s="74"/>
      <c r="K379" s="74"/>
      <c r="L379" s="74"/>
      <c r="M379" s="74"/>
      <c r="N379" s="74"/>
      <c r="O379" s="74"/>
      <c r="P379" s="74"/>
      <c r="Q379" s="74"/>
      <c r="R379" s="74"/>
      <c r="S379" s="74"/>
      <c r="T379" s="74"/>
      <c r="U379" s="74"/>
      <c r="V379" s="74"/>
      <c r="W379" s="74"/>
      <c r="X379" s="74"/>
      <c r="Y379" s="74"/>
      <c r="Z379" s="74"/>
      <c r="AA379" s="74"/>
      <c r="AB379" s="74"/>
    </row>
    <row r="380" spans="1:28" ht="12" customHeight="1">
      <c r="A380" s="565"/>
      <c r="B380" s="107"/>
      <c r="C380" s="107"/>
      <c r="D380" s="108"/>
      <c r="E380" s="104"/>
      <c r="F380" s="104"/>
      <c r="G380" s="35"/>
      <c r="H380" s="104"/>
      <c r="I380" s="140"/>
      <c r="J380" s="74"/>
      <c r="K380" s="74"/>
      <c r="L380" s="74"/>
      <c r="M380" s="74"/>
      <c r="N380" s="74"/>
      <c r="O380" s="74"/>
      <c r="P380" s="74"/>
      <c r="Q380" s="74"/>
      <c r="R380" s="74"/>
      <c r="S380" s="74"/>
      <c r="T380" s="74"/>
      <c r="U380" s="74"/>
      <c r="V380" s="74"/>
      <c r="W380" s="74"/>
      <c r="X380" s="74"/>
      <c r="Y380" s="74"/>
      <c r="Z380" s="74"/>
      <c r="AA380" s="74"/>
      <c r="AB380" s="74"/>
    </row>
    <row r="381" spans="1:28" ht="12" customHeight="1">
      <c r="A381" s="565"/>
      <c r="B381" s="107"/>
      <c r="C381" s="107"/>
      <c r="D381" s="108"/>
      <c r="E381" s="104"/>
      <c r="F381" s="104"/>
      <c r="G381" s="35"/>
      <c r="H381" s="104"/>
      <c r="I381" s="140"/>
      <c r="J381" s="74"/>
      <c r="K381" s="74"/>
      <c r="L381" s="74"/>
      <c r="M381" s="74"/>
      <c r="N381" s="74"/>
      <c r="O381" s="74"/>
      <c r="P381" s="74"/>
      <c r="Q381" s="74"/>
      <c r="R381" s="74"/>
      <c r="S381" s="74"/>
      <c r="T381" s="74"/>
      <c r="U381" s="74"/>
      <c r="V381" s="74"/>
      <c r="W381" s="74"/>
      <c r="X381" s="74"/>
      <c r="Y381" s="74"/>
      <c r="Z381" s="74"/>
      <c r="AA381" s="74"/>
      <c r="AB381" s="74"/>
    </row>
    <row r="382" spans="1:28" ht="12" customHeight="1">
      <c r="A382" s="565"/>
      <c r="B382" s="107"/>
      <c r="C382" s="107"/>
      <c r="D382" s="108"/>
      <c r="E382" s="104"/>
      <c r="F382" s="104"/>
      <c r="G382" s="35"/>
      <c r="H382" s="104"/>
      <c r="I382" s="140"/>
      <c r="J382" s="74"/>
      <c r="K382" s="74"/>
      <c r="L382" s="74"/>
      <c r="M382" s="74"/>
      <c r="N382" s="74"/>
      <c r="O382" s="74"/>
      <c r="P382" s="74"/>
      <c r="Q382" s="74"/>
      <c r="R382" s="74"/>
      <c r="S382" s="74"/>
      <c r="T382" s="74"/>
      <c r="U382" s="74"/>
      <c r="V382" s="74"/>
      <c r="W382" s="74"/>
      <c r="X382" s="74"/>
      <c r="Y382" s="74"/>
      <c r="Z382" s="74"/>
      <c r="AA382" s="74"/>
      <c r="AB382" s="74"/>
    </row>
    <row r="383" spans="1:28" ht="12" customHeight="1">
      <c r="A383" s="565"/>
      <c r="B383" s="107"/>
      <c r="C383" s="107"/>
      <c r="D383" s="108"/>
      <c r="E383" s="104"/>
      <c r="F383" s="104"/>
      <c r="G383" s="35"/>
      <c r="H383" s="104"/>
      <c r="I383" s="140"/>
      <c r="J383" s="74"/>
      <c r="K383" s="74"/>
      <c r="L383" s="74"/>
      <c r="M383" s="74"/>
      <c r="N383" s="74"/>
      <c r="O383" s="74"/>
      <c r="P383" s="74"/>
      <c r="Q383" s="74"/>
      <c r="R383" s="74"/>
      <c r="S383" s="74"/>
      <c r="T383" s="74"/>
      <c r="U383" s="74"/>
      <c r="V383" s="74"/>
      <c r="W383" s="74"/>
      <c r="X383" s="74"/>
      <c r="Y383" s="74"/>
      <c r="Z383" s="74"/>
      <c r="AA383" s="74"/>
      <c r="AB383" s="74"/>
    </row>
    <row r="384" spans="1:28" ht="12" customHeight="1">
      <c r="A384" s="565"/>
      <c r="B384" s="107"/>
      <c r="C384" s="107"/>
      <c r="D384" s="108"/>
      <c r="E384" s="104"/>
      <c r="F384" s="104"/>
      <c r="G384" s="35"/>
      <c r="H384" s="104"/>
      <c r="I384" s="140"/>
      <c r="J384" s="74"/>
      <c r="K384" s="74"/>
      <c r="L384" s="74"/>
      <c r="M384" s="74"/>
      <c r="N384" s="74"/>
      <c r="O384" s="74"/>
      <c r="P384" s="74"/>
      <c r="Q384" s="74"/>
      <c r="R384" s="74"/>
      <c r="S384" s="74"/>
      <c r="T384" s="74"/>
      <c r="U384" s="74"/>
      <c r="V384" s="74"/>
      <c r="W384" s="74"/>
      <c r="X384" s="74"/>
      <c r="Y384" s="74"/>
      <c r="Z384" s="74"/>
      <c r="AA384" s="74"/>
      <c r="AB384" s="74"/>
    </row>
    <row r="385" spans="1:28" ht="12" customHeight="1">
      <c r="A385" s="565"/>
      <c r="B385" s="107"/>
      <c r="C385" s="107"/>
      <c r="D385" s="108"/>
      <c r="E385" s="104"/>
      <c r="F385" s="104"/>
      <c r="G385" s="35"/>
      <c r="H385" s="104"/>
      <c r="I385" s="140"/>
      <c r="J385" s="74"/>
      <c r="K385" s="74"/>
      <c r="L385" s="74"/>
      <c r="M385" s="74"/>
      <c r="N385" s="74"/>
      <c r="O385" s="74"/>
      <c r="P385" s="74"/>
      <c r="Q385" s="74"/>
      <c r="R385" s="74"/>
      <c r="S385" s="74"/>
      <c r="T385" s="74"/>
      <c r="U385" s="74"/>
      <c r="V385" s="74"/>
      <c r="W385" s="74"/>
      <c r="X385" s="74"/>
      <c r="Y385" s="74"/>
      <c r="Z385" s="74"/>
      <c r="AA385" s="74"/>
      <c r="AB385" s="74"/>
    </row>
    <row r="386" spans="1:28" ht="12" customHeight="1">
      <c r="A386" s="565"/>
      <c r="B386" s="107"/>
      <c r="C386" s="107"/>
      <c r="D386" s="108"/>
      <c r="E386" s="104"/>
      <c r="F386" s="104"/>
      <c r="G386" s="35"/>
      <c r="H386" s="104"/>
      <c r="I386" s="140"/>
      <c r="J386" s="74"/>
      <c r="K386" s="74"/>
      <c r="L386" s="74"/>
      <c r="M386" s="74"/>
      <c r="N386" s="74"/>
      <c r="O386" s="74"/>
      <c r="P386" s="74"/>
      <c r="Q386" s="74"/>
      <c r="R386" s="74"/>
      <c r="S386" s="74"/>
      <c r="T386" s="74"/>
      <c r="U386" s="74"/>
      <c r="V386" s="74"/>
      <c r="W386" s="74"/>
      <c r="X386" s="74"/>
      <c r="Y386" s="74"/>
      <c r="Z386" s="74"/>
      <c r="AA386" s="74"/>
      <c r="AB386" s="74"/>
    </row>
    <row r="387" spans="1:28" ht="12" customHeight="1">
      <c r="A387" s="565"/>
      <c r="B387" s="107"/>
      <c r="C387" s="107"/>
      <c r="D387" s="108"/>
      <c r="E387" s="104"/>
      <c r="F387" s="104"/>
      <c r="G387" s="35"/>
      <c r="H387" s="104"/>
      <c r="I387" s="140"/>
      <c r="J387" s="74"/>
      <c r="K387" s="74"/>
      <c r="L387" s="74"/>
      <c r="M387" s="74"/>
      <c r="N387" s="74"/>
      <c r="O387" s="74"/>
      <c r="P387" s="74"/>
      <c r="Q387" s="74"/>
      <c r="R387" s="74"/>
      <c r="S387" s="74"/>
      <c r="T387" s="74"/>
      <c r="U387" s="74"/>
      <c r="V387" s="74"/>
      <c r="W387" s="74"/>
      <c r="X387" s="74"/>
      <c r="Y387" s="74"/>
      <c r="Z387" s="74"/>
      <c r="AA387" s="74"/>
      <c r="AB387" s="74"/>
    </row>
    <row r="388" spans="1:28" ht="12" customHeight="1">
      <c r="A388" s="565"/>
      <c r="B388" s="107"/>
      <c r="C388" s="107"/>
      <c r="D388" s="108"/>
      <c r="E388" s="104"/>
      <c r="F388" s="104"/>
      <c r="G388" s="35"/>
      <c r="H388" s="104"/>
      <c r="I388" s="140"/>
      <c r="J388" s="74"/>
      <c r="K388" s="74"/>
      <c r="L388" s="74"/>
      <c r="M388" s="74"/>
      <c r="N388" s="74"/>
      <c r="O388" s="74"/>
      <c r="P388" s="74"/>
      <c r="Q388" s="74"/>
      <c r="R388" s="74"/>
      <c r="S388" s="74"/>
      <c r="T388" s="74"/>
      <c r="U388" s="74"/>
      <c r="V388" s="74"/>
      <c r="W388" s="74"/>
      <c r="X388" s="74"/>
      <c r="Y388" s="74"/>
      <c r="Z388" s="74"/>
      <c r="AA388" s="74"/>
      <c r="AB388" s="74"/>
    </row>
    <row r="389" spans="1:28" ht="12" customHeight="1">
      <c r="A389" s="565"/>
      <c r="B389" s="107"/>
      <c r="C389" s="107"/>
      <c r="D389" s="108"/>
      <c r="E389" s="104"/>
      <c r="F389" s="104"/>
      <c r="G389" s="35"/>
      <c r="H389" s="104"/>
      <c r="I389" s="140"/>
      <c r="J389" s="74"/>
      <c r="K389" s="74"/>
      <c r="L389" s="74"/>
      <c r="M389" s="74"/>
      <c r="N389" s="74"/>
      <c r="O389" s="74"/>
      <c r="P389" s="74"/>
      <c r="Q389" s="74"/>
      <c r="R389" s="74"/>
      <c r="S389" s="74"/>
      <c r="T389" s="74"/>
      <c r="U389" s="74"/>
      <c r="V389" s="74"/>
      <c r="W389" s="74"/>
      <c r="X389" s="74"/>
      <c r="Y389" s="74"/>
      <c r="Z389" s="74"/>
      <c r="AA389" s="74"/>
      <c r="AB389" s="74"/>
    </row>
    <row r="390" spans="1:28" ht="12" customHeight="1">
      <c r="A390" s="565"/>
      <c r="B390" s="107"/>
      <c r="C390" s="107"/>
      <c r="D390" s="108"/>
      <c r="E390" s="104"/>
      <c r="F390" s="104"/>
      <c r="G390" s="35"/>
      <c r="H390" s="104"/>
      <c r="I390" s="140"/>
      <c r="J390" s="74"/>
      <c r="K390" s="74"/>
      <c r="L390" s="74"/>
      <c r="M390" s="74"/>
      <c r="N390" s="74"/>
      <c r="O390" s="74"/>
      <c r="P390" s="74"/>
      <c r="Q390" s="74"/>
      <c r="R390" s="74"/>
      <c r="S390" s="74"/>
      <c r="T390" s="74"/>
      <c r="U390" s="74"/>
      <c r="V390" s="74"/>
      <c r="W390" s="74"/>
      <c r="X390" s="74"/>
      <c r="Y390" s="74"/>
      <c r="Z390" s="74"/>
      <c r="AA390" s="74"/>
      <c r="AB390" s="74"/>
    </row>
    <row r="391" spans="1:28" ht="12" customHeight="1">
      <c r="A391" s="565"/>
      <c r="B391" s="107"/>
      <c r="C391" s="107"/>
      <c r="D391" s="108"/>
      <c r="E391" s="104"/>
      <c r="F391" s="104"/>
      <c r="G391" s="35"/>
      <c r="H391" s="104"/>
      <c r="I391" s="140"/>
      <c r="J391" s="74"/>
      <c r="K391" s="74"/>
      <c r="L391" s="74"/>
      <c r="M391" s="74"/>
      <c r="N391" s="74"/>
      <c r="O391" s="74"/>
      <c r="P391" s="74"/>
      <c r="Q391" s="74"/>
      <c r="R391" s="74"/>
      <c r="S391" s="74"/>
      <c r="T391" s="74"/>
      <c r="U391" s="74"/>
      <c r="V391" s="74"/>
      <c r="W391" s="74"/>
      <c r="X391" s="74"/>
      <c r="Y391" s="74"/>
      <c r="Z391" s="74"/>
      <c r="AA391" s="74"/>
      <c r="AB391" s="74"/>
    </row>
    <row r="392" spans="1:28" ht="12" customHeight="1">
      <c r="A392" s="565"/>
      <c r="B392" s="107"/>
      <c r="C392" s="107"/>
      <c r="D392" s="108"/>
      <c r="E392" s="104"/>
      <c r="F392" s="104"/>
      <c r="G392" s="35"/>
      <c r="H392" s="104"/>
      <c r="I392" s="140"/>
      <c r="J392" s="74"/>
      <c r="K392" s="74"/>
      <c r="L392" s="74"/>
      <c r="M392" s="74"/>
      <c r="N392" s="74"/>
      <c r="O392" s="74"/>
      <c r="P392" s="74"/>
      <c r="Q392" s="74"/>
      <c r="R392" s="74"/>
      <c r="S392" s="74"/>
      <c r="T392" s="74"/>
      <c r="U392" s="74"/>
      <c r="V392" s="74"/>
      <c r="W392" s="74"/>
      <c r="X392" s="74"/>
      <c r="Y392" s="74"/>
      <c r="Z392" s="74"/>
      <c r="AA392" s="74"/>
      <c r="AB392" s="74"/>
    </row>
    <row r="393" spans="1:28" ht="12" customHeight="1">
      <c r="A393" s="565"/>
      <c r="B393" s="107"/>
      <c r="C393" s="107"/>
      <c r="D393" s="108"/>
      <c r="E393" s="104"/>
      <c r="F393" s="104"/>
      <c r="G393" s="35"/>
      <c r="H393" s="104"/>
      <c r="I393" s="140"/>
      <c r="J393" s="74"/>
      <c r="K393" s="74"/>
      <c r="L393" s="74"/>
      <c r="M393" s="74"/>
      <c r="N393" s="74"/>
      <c r="O393" s="74"/>
      <c r="P393" s="74"/>
      <c r="Q393" s="74"/>
      <c r="R393" s="74"/>
      <c r="S393" s="74"/>
      <c r="T393" s="74"/>
      <c r="U393" s="74"/>
      <c r="V393" s="74"/>
      <c r="W393" s="74"/>
      <c r="X393" s="74"/>
      <c r="Y393" s="74"/>
      <c r="Z393" s="74"/>
      <c r="AA393" s="74"/>
      <c r="AB393" s="74"/>
    </row>
    <row r="394" spans="1:28" ht="12" customHeight="1">
      <c r="A394" s="565"/>
      <c r="B394" s="107"/>
      <c r="C394" s="107"/>
      <c r="D394" s="108"/>
      <c r="E394" s="104"/>
      <c r="F394" s="104"/>
      <c r="G394" s="35"/>
      <c r="H394" s="104"/>
      <c r="I394" s="140"/>
      <c r="J394" s="74"/>
      <c r="K394" s="74"/>
      <c r="L394" s="74"/>
      <c r="M394" s="74"/>
      <c r="N394" s="74"/>
      <c r="O394" s="74"/>
      <c r="P394" s="74"/>
      <c r="Q394" s="74"/>
      <c r="R394" s="74"/>
      <c r="S394" s="74"/>
      <c r="T394" s="74"/>
      <c r="U394" s="74"/>
      <c r="V394" s="74"/>
      <c r="W394" s="74"/>
      <c r="X394" s="74"/>
      <c r="Y394" s="74"/>
      <c r="Z394" s="74"/>
      <c r="AA394" s="74"/>
      <c r="AB394" s="74"/>
    </row>
    <row r="395" spans="1:28" ht="12" customHeight="1">
      <c r="A395" s="565"/>
      <c r="B395" s="107"/>
      <c r="C395" s="107"/>
      <c r="D395" s="108"/>
      <c r="E395" s="104"/>
      <c r="F395" s="104"/>
      <c r="G395" s="35"/>
      <c r="H395" s="104"/>
      <c r="I395" s="140"/>
      <c r="J395" s="74"/>
      <c r="K395" s="74"/>
      <c r="L395" s="74"/>
      <c r="M395" s="74"/>
      <c r="N395" s="74"/>
      <c r="O395" s="74"/>
      <c r="P395" s="74"/>
      <c r="Q395" s="74"/>
      <c r="R395" s="74"/>
      <c r="S395" s="74"/>
      <c r="T395" s="74"/>
      <c r="U395" s="74"/>
      <c r="V395" s="74"/>
      <c r="W395" s="74"/>
      <c r="X395" s="74"/>
      <c r="Y395" s="74"/>
      <c r="Z395" s="74"/>
      <c r="AA395" s="74"/>
      <c r="AB395" s="74"/>
    </row>
    <row r="396" spans="1:28" ht="12" customHeight="1">
      <c r="A396" s="565"/>
      <c r="B396" s="107"/>
      <c r="C396" s="107"/>
      <c r="D396" s="108"/>
      <c r="E396" s="104"/>
      <c r="F396" s="104"/>
      <c r="G396" s="35"/>
      <c r="H396" s="104"/>
      <c r="I396" s="140"/>
      <c r="J396" s="74"/>
      <c r="K396" s="74"/>
      <c r="L396" s="74"/>
      <c r="M396" s="74"/>
      <c r="N396" s="74"/>
      <c r="O396" s="74"/>
      <c r="P396" s="74"/>
      <c r="Q396" s="74"/>
      <c r="R396" s="74"/>
      <c r="S396" s="74"/>
      <c r="T396" s="74"/>
      <c r="U396" s="74"/>
      <c r="V396" s="74"/>
      <c r="W396" s="74"/>
      <c r="X396" s="74"/>
      <c r="Y396" s="74"/>
      <c r="Z396" s="74"/>
      <c r="AA396" s="74"/>
      <c r="AB396" s="74"/>
    </row>
    <row r="397" spans="1:28" ht="12" customHeight="1">
      <c r="A397" s="565"/>
      <c r="B397" s="107"/>
      <c r="C397" s="107"/>
      <c r="D397" s="108"/>
      <c r="E397" s="104"/>
      <c r="F397" s="104"/>
      <c r="G397" s="35"/>
      <c r="H397" s="104"/>
      <c r="I397" s="140"/>
      <c r="J397" s="74"/>
      <c r="K397" s="74"/>
      <c r="L397" s="74"/>
      <c r="M397" s="74"/>
      <c r="N397" s="74"/>
      <c r="O397" s="74"/>
      <c r="P397" s="74"/>
      <c r="Q397" s="74"/>
      <c r="R397" s="74"/>
      <c r="S397" s="74"/>
      <c r="T397" s="74"/>
      <c r="U397" s="74"/>
      <c r="V397" s="74"/>
      <c r="W397" s="74"/>
      <c r="X397" s="74"/>
      <c r="Y397" s="74"/>
      <c r="Z397" s="74"/>
      <c r="AA397" s="74"/>
      <c r="AB397" s="74"/>
    </row>
    <row r="398" spans="1:28" ht="12" customHeight="1">
      <c r="A398" s="565"/>
      <c r="B398" s="107"/>
      <c r="C398" s="107"/>
      <c r="D398" s="108"/>
      <c r="E398" s="104"/>
      <c r="F398" s="104"/>
      <c r="G398" s="35"/>
      <c r="H398" s="104"/>
      <c r="I398" s="140"/>
      <c r="J398" s="74"/>
      <c r="K398" s="74"/>
      <c r="L398" s="74"/>
      <c r="M398" s="74"/>
      <c r="N398" s="74"/>
      <c r="O398" s="74"/>
      <c r="P398" s="74"/>
      <c r="Q398" s="74"/>
      <c r="R398" s="74"/>
      <c r="S398" s="74"/>
      <c r="T398" s="74"/>
      <c r="U398" s="74"/>
      <c r="V398" s="74"/>
      <c r="W398" s="74"/>
      <c r="X398" s="74"/>
      <c r="Y398" s="74"/>
      <c r="Z398" s="74"/>
      <c r="AA398" s="74"/>
      <c r="AB398" s="74"/>
    </row>
    <row r="399" spans="1:28" ht="12" customHeight="1">
      <c r="A399" s="565"/>
      <c r="B399" s="107"/>
      <c r="C399" s="107"/>
      <c r="D399" s="108"/>
      <c r="E399" s="104"/>
      <c r="F399" s="104"/>
      <c r="G399" s="35"/>
      <c r="H399" s="104"/>
      <c r="I399" s="140"/>
      <c r="J399" s="74"/>
      <c r="K399" s="74"/>
      <c r="L399" s="74"/>
      <c r="M399" s="74"/>
      <c r="N399" s="74"/>
      <c r="O399" s="74"/>
      <c r="P399" s="74"/>
      <c r="Q399" s="74"/>
      <c r="R399" s="74"/>
      <c r="S399" s="74"/>
      <c r="T399" s="74"/>
      <c r="U399" s="74"/>
      <c r="V399" s="74"/>
      <c r="W399" s="74"/>
      <c r="X399" s="74"/>
      <c r="Y399" s="74"/>
      <c r="Z399" s="74"/>
      <c r="AA399" s="74"/>
      <c r="AB399" s="74"/>
    </row>
    <row r="400" spans="1:28" ht="12" customHeight="1">
      <c r="A400" s="565"/>
      <c r="B400" s="107"/>
      <c r="C400" s="107"/>
      <c r="D400" s="108"/>
      <c r="E400" s="104"/>
      <c r="F400" s="104"/>
      <c r="G400" s="35"/>
      <c r="H400" s="104"/>
      <c r="I400" s="140"/>
      <c r="J400" s="74"/>
      <c r="K400" s="74"/>
      <c r="L400" s="74"/>
      <c r="M400" s="74"/>
      <c r="N400" s="74"/>
      <c r="O400" s="74"/>
      <c r="P400" s="74"/>
      <c r="Q400" s="74"/>
      <c r="R400" s="74"/>
      <c r="S400" s="74"/>
      <c r="T400" s="74"/>
      <c r="U400" s="74"/>
      <c r="V400" s="74"/>
      <c r="W400" s="74"/>
      <c r="X400" s="74"/>
      <c r="Y400" s="74"/>
      <c r="Z400" s="74"/>
      <c r="AA400" s="74"/>
      <c r="AB400" s="74"/>
    </row>
    <row r="401" spans="1:28" ht="12" customHeight="1">
      <c r="A401" s="565"/>
      <c r="B401" s="107"/>
      <c r="C401" s="107"/>
      <c r="D401" s="108"/>
      <c r="E401" s="104"/>
      <c r="F401" s="104"/>
      <c r="G401" s="35"/>
      <c r="H401" s="104"/>
      <c r="I401" s="140"/>
      <c r="J401" s="74"/>
      <c r="K401" s="74"/>
      <c r="L401" s="74"/>
      <c r="M401" s="74"/>
      <c r="N401" s="74"/>
      <c r="O401" s="74"/>
      <c r="P401" s="74"/>
      <c r="Q401" s="74"/>
      <c r="R401" s="74"/>
      <c r="S401" s="74"/>
      <c r="T401" s="74"/>
      <c r="U401" s="74"/>
      <c r="V401" s="74"/>
      <c r="W401" s="74"/>
      <c r="X401" s="74"/>
      <c r="Y401" s="74"/>
      <c r="Z401" s="74"/>
      <c r="AA401" s="74"/>
      <c r="AB401" s="74"/>
    </row>
    <row r="402" spans="1:28" ht="12" customHeight="1">
      <c r="A402" s="565"/>
      <c r="B402" s="107"/>
      <c r="C402" s="107"/>
      <c r="D402" s="108"/>
      <c r="E402" s="104"/>
      <c r="F402" s="104"/>
      <c r="G402" s="35"/>
      <c r="H402" s="104"/>
      <c r="I402" s="140"/>
      <c r="J402" s="74"/>
      <c r="K402" s="74"/>
      <c r="L402" s="74"/>
      <c r="M402" s="74"/>
      <c r="N402" s="74"/>
      <c r="O402" s="74"/>
      <c r="P402" s="74"/>
      <c r="Q402" s="74"/>
      <c r="R402" s="74"/>
      <c r="S402" s="74"/>
      <c r="T402" s="74"/>
      <c r="U402" s="74"/>
      <c r="V402" s="74"/>
      <c r="W402" s="74"/>
      <c r="X402" s="74"/>
      <c r="Y402" s="74"/>
      <c r="Z402" s="74"/>
      <c r="AA402" s="74"/>
      <c r="AB402" s="74"/>
    </row>
    <row r="403" spans="1:28" ht="12" customHeight="1">
      <c r="A403" s="565"/>
      <c r="B403" s="107"/>
      <c r="C403" s="107"/>
      <c r="D403" s="108"/>
      <c r="E403" s="104"/>
      <c r="F403" s="104"/>
      <c r="G403" s="35"/>
      <c r="H403" s="104"/>
      <c r="I403" s="140"/>
      <c r="J403" s="74"/>
      <c r="K403" s="74"/>
      <c r="L403" s="74"/>
      <c r="M403" s="74"/>
      <c r="N403" s="74"/>
      <c r="O403" s="74"/>
      <c r="P403" s="74"/>
      <c r="Q403" s="74"/>
      <c r="R403" s="74"/>
      <c r="S403" s="74"/>
      <c r="T403" s="74"/>
      <c r="U403" s="74"/>
      <c r="V403" s="74"/>
      <c r="W403" s="74"/>
      <c r="X403" s="74"/>
      <c r="Y403" s="74"/>
      <c r="Z403" s="74"/>
      <c r="AA403" s="74"/>
      <c r="AB403" s="74"/>
    </row>
    <row r="404" spans="1:28" ht="12" customHeight="1">
      <c r="A404" s="565"/>
      <c r="B404" s="107"/>
      <c r="C404" s="107"/>
      <c r="D404" s="108"/>
      <c r="E404" s="104"/>
      <c r="F404" s="104"/>
      <c r="G404" s="35"/>
      <c r="H404" s="104"/>
      <c r="I404" s="140"/>
      <c r="J404" s="74"/>
      <c r="K404" s="74"/>
      <c r="L404" s="74"/>
      <c r="M404" s="74"/>
      <c r="N404" s="74"/>
      <c r="O404" s="74"/>
      <c r="P404" s="74"/>
      <c r="Q404" s="74"/>
      <c r="R404" s="74"/>
      <c r="S404" s="74"/>
      <c r="T404" s="74"/>
      <c r="U404" s="74"/>
      <c r="V404" s="74"/>
      <c r="W404" s="74"/>
      <c r="X404" s="74"/>
      <c r="Y404" s="74"/>
      <c r="Z404" s="74"/>
      <c r="AA404" s="74"/>
      <c r="AB404" s="74"/>
    </row>
    <row r="405" spans="1:28" ht="12" customHeight="1">
      <c r="A405" s="565"/>
      <c r="B405" s="107"/>
      <c r="C405" s="107"/>
      <c r="D405" s="108"/>
      <c r="E405" s="104"/>
      <c r="F405" s="104"/>
      <c r="G405" s="35"/>
      <c r="H405" s="104"/>
      <c r="I405" s="140"/>
      <c r="J405" s="74"/>
      <c r="K405" s="74"/>
      <c r="L405" s="74"/>
      <c r="M405" s="74"/>
      <c r="N405" s="74"/>
      <c r="O405" s="74"/>
      <c r="P405" s="74"/>
      <c r="Q405" s="74"/>
      <c r="R405" s="74"/>
      <c r="S405" s="74"/>
      <c r="T405" s="74"/>
      <c r="U405" s="74"/>
      <c r="V405" s="74"/>
      <c r="W405" s="74"/>
      <c r="X405" s="74"/>
      <c r="Y405" s="74"/>
      <c r="Z405" s="74"/>
      <c r="AA405" s="74"/>
      <c r="AB405" s="74"/>
    </row>
    <row r="406" spans="1:28" ht="12" customHeight="1">
      <c r="A406" s="565"/>
      <c r="B406" s="107"/>
      <c r="C406" s="107"/>
      <c r="D406" s="108"/>
      <c r="E406" s="104"/>
      <c r="F406" s="104"/>
      <c r="G406" s="35"/>
      <c r="H406" s="104"/>
      <c r="I406" s="140"/>
      <c r="J406" s="74"/>
      <c r="K406" s="74"/>
      <c r="L406" s="74"/>
      <c r="M406" s="74"/>
      <c r="N406" s="74"/>
      <c r="O406" s="74"/>
      <c r="P406" s="74"/>
      <c r="Q406" s="74"/>
      <c r="R406" s="74"/>
      <c r="S406" s="74"/>
      <c r="T406" s="74"/>
      <c r="U406" s="74"/>
      <c r="V406" s="74"/>
      <c r="W406" s="74"/>
      <c r="X406" s="74"/>
      <c r="Y406" s="74"/>
      <c r="Z406" s="74"/>
      <c r="AA406" s="74"/>
      <c r="AB406" s="74"/>
    </row>
    <row r="407" spans="1:28" ht="12" customHeight="1">
      <c r="A407" s="565"/>
      <c r="B407" s="107"/>
      <c r="C407" s="107"/>
      <c r="D407" s="108"/>
      <c r="E407" s="104"/>
      <c r="F407" s="104"/>
      <c r="G407" s="35"/>
      <c r="H407" s="104"/>
      <c r="I407" s="140"/>
      <c r="J407" s="74"/>
      <c r="K407" s="74"/>
      <c r="L407" s="74"/>
      <c r="M407" s="74"/>
      <c r="N407" s="74"/>
      <c r="O407" s="74"/>
      <c r="P407" s="74"/>
      <c r="Q407" s="74"/>
      <c r="R407" s="74"/>
      <c r="S407" s="74"/>
      <c r="T407" s="74"/>
      <c r="U407" s="74"/>
      <c r="V407" s="74"/>
      <c r="W407" s="74"/>
      <c r="X407" s="74"/>
      <c r="Y407" s="74"/>
      <c r="Z407" s="74"/>
      <c r="AA407" s="74"/>
      <c r="AB407" s="74"/>
    </row>
    <row r="408" spans="1:28" ht="12" customHeight="1">
      <c r="A408" s="565"/>
      <c r="B408" s="107"/>
      <c r="C408" s="107"/>
      <c r="D408" s="108"/>
      <c r="E408" s="104"/>
      <c r="F408" s="104"/>
      <c r="G408" s="35"/>
      <c r="H408" s="104"/>
      <c r="I408" s="140"/>
      <c r="J408" s="74"/>
      <c r="K408" s="74"/>
      <c r="L408" s="74"/>
      <c r="M408" s="74"/>
      <c r="N408" s="74"/>
      <c r="O408" s="74"/>
      <c r="P408" s="74"/>
      <c r="Q408" s="74"/>
      <c r="R408" s="74"/>
      <c r="S408" s="74"/>
      <c r="T408" s="74"/>
      <c r="U408" s="74"/>
      <c r="V408" s="74"/>
      <c r="W408" s="74"/>
      <c r="X408" s="74"/>
      <c r="Y408" s="74"/>
      <c r="Z408" s="74"/>
      <c r="AA408" s="74"/>
      <c r="AB408" s="74"/>
    </row>
    <row r="409" spans="1:28" ht="12" customHeight="1">
      <c r="A409" s="565"/>
      <c r="B409" s="107"/>
      <c r="C409" s="107"/>
      <c r="D409" s="108"/>
      <c r="E409" s="104"/>
      <c r="F409" s="104"/>
      <c r="G409" s="35"/>
      <c r="H409" s="104"/>
      <c r="I409" s="140"/>
      <c r="J409" s="74"/>
      <c r="K409" s="74"/>
      <c r="L409" s="74"/>
      <c r="M409" s="74"/>
      <c r="N409" s="74"/>
      <c r="O409" s="74"/>
      <c r="P409" s="74"/>
      <c r="Q409" s="74"/>
      <c r="R409" s="74"/>
      <c r="S409" s="74"/>
      <c r="T409" s="74"/>
      <c r="U409" s="74"/>
      <c r="V409" s="74"/>
      <c r="W409" s="74"/>
      <c r="X409" s="74"/>
      <c r="Y409" s="74"/>
      <c r="Z409" s="74"/>
      <c r="AA409" s="74"/>
      <c r="AB409" s="74"/>
    </row>
    <row r="410" spans="1:28" ht="12" customHeight="1">
      <c r="A410" s="565"/>
      <c r="B410" s="107"/>
      <c r="C410" s="107"/>
      <c r="D410" s="108"/>
      <c r="E410" s="104"/>
      <c r="F410" s="104"/>
      <c r="G410" s="35"/>
      <c r="H410" s="104"/>
      <c r="I410" s="140"/>
      <c r="J410" s="74"/>
      <c r="K410" s="74"/>
      <c r="L410" s="74"/>
      <c r="M410" s="74"/>
      <c r="N410" s="74"/>
      <c r="O410" s="74"/>
      <c r="P410" s="74"/>
      <c r="Q410" s="74"/>
      <c r="R410" s="74"/>
      <c r="S410" s="74"/>
      <c r="T410" s="74"/>
      <c r="U410" s="74"/>
      <c r="V410" s="74"/>
      <c r="W410" s="74"/>
      <c r="X410" s="74"/>
      <c r="Y410" s="74"/>
      <c r="Z410" s="74"/>
      <c r="AA410" s="74"/>
      <c r="AB410" s="74"/>
    </row>
    <row r="411" spans="1:28" ht="12" customHeight="1">
      <c r="A411" s="565"/>
      <c r="B411" s="107"/>
      <c r="C411" s="107"/>
      <c r="D411" s="108"/>
      <c r="E411" s="104"/>
      <c r="F411" s="104"/>
      <c r="G411" s="35"/>
      <c r="H411" s="104"/>
      <c r="I411" s="140"/>
      <c r="J411" s="74"/>
      <c r="K411" s="74"/>
      <c r="L411" s="74"/>
      <c r="M411" s="74"/>
      <c r="N411" s="74"/>
      <c r="O411" s="74"/>
      <c r="P411" s="74"/>
      <c r="Q411" s="74"/>
      <c r="R411" s="74"/>
      <c r="S411" s="74"/>
      <c r="T411" s="74"/>
      <c r="U411" s="74"/>
      <c r="V411" s="74"/>
      <c r="W411" s="74"/>
      <c r="X411" s="74"/>
      <c r="Y411" s="74"/>
      <c r="Z411" s="74"/>
      <c r="AA411" s="74"/>
      <c r="AB411" s="74"/>
    </row>
    <row r="412" spans="1:28" ht="12" customHeight="1">
      <c r="A412" s="565"/>
      <c r="B412" s="107"/>
      <c r="C412" s="107"/>
      <c r="D412" s="108"/>
      <c r="E412" s="104"/>
      <c r="F412" s="104"/>
      <c r="G412" s="35"/>
      <c r="H412" s="104"/>
      <c r="I412" s="140"/>
      <c r="J412" s="74"/>
      <c r="K412" s="74"/>
      <c r="L412" s="74"/>
      <c r="M412" s="74"/>
      <c r="N412" s="74"/>
      <c r="O412" s="74"/>
      <c r="P412" s="74"/>
      <c r="Q412" s="74"/>
      <c r="R412" s="74"/>
      <c r="S412" s="74"/>
      <c r="T412" s="74"/>
      <c r="U412" s="74"/>
      <c r="V412" s="74"/>
      <c r="W412" s="74"/>
      <c r="X412" s="74"/>
      <c r="Y412" s="74"/>
      <c r="Z412" s="74"/>
      <c r="AA412" s="74"/>
      <c r="AB412" s="74"/>
    </row>
    <row r="413" spans="1:28" ht="12" customHeight="1">
      <c r="A413" s="565"/>
      <c r="B413" s="107"/>
      <c r="C413" s="107"/>
      <c r="D413" s="108"/>
      <c r="E413" s="104"/>
      <c r="F413" s="104"/>
      <c r="G413" s="35"/>
      <c r="H413" s="104"/>
      <c r="I413" s="140"/>
      <c r="J413" s="74"/>
      <c r="K413" s="74"/>
      <c r="L413" s="74"/>
      <c r="M413" s="74"/>
      <c r="N413" s="74"/>
      <c r="O413" s="74"/>
      <c r="P413" s="74"/>
      <c r="Q413" s="74"/>
      <c r="R413" s="74"/>
      <c r="S413" s="74"/>
      <c r="T413" s="74"/>
      <c r="U413" s="74"/>
      <c r="V413" s="74"/>
      <c r="W413" s="74"/>
      <c r="X413" s="74"/>
      <c r="Y413" s="74"/>
      <c r="Z413" s="74"/>
      <c r="AA413" s="74"/>
      <c r="AB413" s="74"/>
    </row>
    <row r="414" spans="1:28" ht="12" customHeight="1">
      <c r="A414" s="565"/>
      <c r="B414" s="107"/>
      <c r="C414" s="107"/>
      <c r="D414" s="108"/>
      <c r="E414" s="104"/>
      <c r="F414" s="104"/>
      <c r="G414" s="35"/>
      <c r="H414" s="104"/>
      <c r="I414" s="140"/>
      <c r="J414" s="74"/>
      <c r="K414" s="74"/>
      <c r="L414" s="74"/>
      <c r="M414" s="74"/>
      <c r="N414" s="74"/>
      <c r="O414" s="74"/>
      <c r="P414" s="74"/>
      <c r="Q414" s="74"/>
      <c r="R414" s="74"/>
      <c r="S414" s="74"/>
      <c r="T414" s="74"/>
      <c r="U414" s="74"/>
      <c r="V414" s="74"/>
      <c r="W414" s="74"/>
      <c r="X414" s="74"/>
      <c r="Y414" s="74"/>
      <c r="Z414" s="74"/>
      <c r="AA414" s="74"/>
      <c r="AB414" s="74"/>
    </row>
    <row r="415" spans="1:28" ht="12" customHeight="1">
      <c r="A415" s="565"/>
      <c r="B415" s="107"/>
      <c r="C415" s="107"/>
      <c r="D415" s="108"/>
      <c r="E415" s="104"/>
      <c r="F415" s="104"/>
      <c r="G415" s="35"/>
      <c r="H415" s="104"/>
      <c r="I415" s="140"/>
      <c r="J415" s="74"/>
      <c r="K415" s="74"/>
      <c r="L415" s="74"/>
      <c r="M415" s="74"/>
      <c r="N415" s="74"/>
      <c r="O415" s="74"/>
      <c r="P415" s="74"/>
      <c r="Q415" s="74"/>
      <c r="R415" s="74"/>
      <c r="S415" s="74"/>
      <c r="T415" s="74"/>
      <c r="U415" s="74"/>
      <c r="V415" s="74"/>
      <c r="W415" s="74"/>
      <c r="X415" s="74"/>
      <c r="Y415" s="74"/>
      <c r="Z415" s="74"/>
      <c r="AA415" s="74"/>
      <c r="AB415" s="74"/>
    </row>
    <row r="416" spans="1:28" ht="12" customHeight="1">
      <c r="A416" s="565"/>
      <c r="B416" s="107"/>
      <c r="C416" s="107"/>
      <c r="D416" s="108"/>
      <c r="E416" s="104"/>
      <c r="F416" s="104"/>
      <c r="G416" s="35"/>
      <c r="H416" s="104"/>
      <c r="I416" s="140"/>
      <c r="J416" s="74"/>
      <c r="K416" s="74"/>
      <c r="L416" s="74"/>
      <c r="M416" s="74"/>
      <c r="N416" s="74"/>
      <c r="O416" s="74"/>
      <c r="P416" s="74"/>
      <c r="Q416" s="74"/>
      <c r="R416" s="74"/>
      <c r="S416" s="74"/>
      <c r="T416" s="74"/>
      <c r="U416" s="74"/>
      <c r="V416" s="74"/>
      <c r="W416" s="74"/>
      <c r="X416" s="74"/>
      <c r="Y416" s="74"/>
      <c r="Z416" s="74"/>
      <c r="AA416" s="74"/>
      <c r="AB416" s="74"/>
    </row>
    <row r="417" spans="1:28" ht="12" customHeight="1">
      <c r="A417" s="565"/>
      <c r="B417" s="107"/>
      <c r="C417" s="107"/>
      <c r="D417" s="108"/>
      <c r="E417" s="104"/>
      <c r="F417" s="104"/>
      <c r="G417" s="35"/>
      <c r="H417" s="104"/>
      <c r="I417" s="140"/>
      <c r="J417" s="74"/>
      <c r="K417" s="74"/>
      <c r="L417" s="74"/>
      <c r="M417" s="74"/>
      <c r="N417" s="74"/>
      <c r="O417" s="74"/>
      <c r="P417" s="74"/>
      <c r="Q417" s="74"/>
      <c r="R417" s="74"/>
      <c r="S417" s="74"/>
      <c r="T417" s="74"/>
      <c r="U417" s="74"/>
      <c r="V417" s="74"/>
      <c r="W417" s="74"/>
      <c r="X417" s="74"/>
      <c r="Y417" s="74"/>
      <c r="Z417" s="74"/>
      <c r="AA417" s="74"/>
      <c r="AB417" s="74"/>
    </row>
    <row r="418" spans="1:28" ht="12" customHeight="1">
      <c r="A418" s="565"/>
      <c r="B418" s="107"/>
      <c r="C418" s="107"/>
      <c r="D418" s="108"/>
      <c r="E418" s="104"/>
      <c r="F418" s="104"/>
      <c r="G418" s="35"/>
      <c r="H418" s="104"/>
      <c r="I418" s="140"/>
      <c r="J418" s="74"/>
      <c r="K418" s="74"/>
      <c r="L418" s="74"/>
      <c r="M418" s="74"/>
      <c r="N418" s="74"/>
      <c r="O418" s="74"/>
      <c r="P418" s="74"/>
      <c r="Q418" s="74"/>
      <c r="R418" s="74"/>
      <c r="S418" s="74"/>
      <c r="T418" s="74"/>
      <c r="U418" s="74"/>
      <c r="V418" s="74"/>
      <c r="W418" s="74"/>
      <c r="X418" s="74"/>
      <c r="Y418" s="74"/>
      <c r="Z418" s="74"/>
      <c r="AA418" s="74"/>
      <c r="AB418" s="74"/>
    </row>
    <row r="419" spans="1:28" ht="12" customHeight="1">
      <c r="A419" s="565"/>
      <c r="B419" s="107"/>
      <c r="C419" s="107"/>
      <c r="D419" s="108"/>
      <c r="E419" s="104"/>
      <c r="F419" s="104"/>
      <c r="G419" s="35"/>
      <c r="H419" s="104"/>
      <c r="I419" s="140"/>
      <c r="J419" s="74"/>
      <c r="K419" s="74"/>
      <c r="L419" s="74"/>
      <c r="M419" s="74"/>
      <c r="N419" s="74"/>
      <c r="O419" s="74"/>
      <c r="P419" s="74"/>
      <c r="Q419" s="74"/>
      <c r="R419" s="74"/>
      <c r="S419" s="74"/>
      <c r="T419" s="74"/>
      <c r="U419" s="74"/>
      <c r="V419" s="74"/>
      <c r="W419" s="74"/>
      <c r="X419" s="74"/>
      <c r="Y419" s="74"/>
      <c r="Z419" s="74"/>
      <c r="AA419" s="74"/>
      <c r="AB419" s="74"/>
    </row>
    <row r="420" spans="1:28" ht="12" customHeight="1">
      <c r="A420" s="565"/>
      <c r="B420" s="107"/>
      <c r="C420" s="107"/>
      <c r="D420" s="108"/>
      <c r="E420" s="104"/>
      <c r="F420" s="104"/>
      <c r="G420" s="35"/>
      <c r="H420" s="104"/>
      <c r="I420" s="140"/>
      <c r="J420" s="74"/>
      <c r="K420" s="74"/>
      <c r="L420" s="74"/>
      <c r="M420" s="74"/>
      <c r="N420" s="74"/>
      <c r="O420" s="74"/>
      <c r="P420" s="74"/>
      <c r="Q420" s="74"/>
      <c r="R420" s="74"/>
      <c r="S420" s="74"/>
      <c r="T420" s="74"/>
      <c r="U420" s="74"/>
      <c r="V420" s="74"/>
      <c r="W420" s="74"/>
      <c r="X420" s="74"/>
      <c r="Y420" s="74"/>
      <c r="Z420" s="74"/>
      <c r="AA420" s="74"/>
      <c r="AB420" s="74"/>
    </row>
    <row r="421" spans="1:28" ht="12" customHeight="1">
      <c r="A421" s="565"/>
      <c r="B421" s="107"/>
      <c r="C421" s="107"/>
      <c r="D421" s="108"/>
      <c r="E421" s="104"/>
      <c r="F421" s="104"/>
      <c r="G421" s="35"/>
      <c r="H421" s="104"/>
      <c r="I421" s="140"/>
      <c r="J421" s="74"/>
      <c r="K421" s="74"/>
      <c r="L421" s="74"/>
      <c r="M421" s="74"/>
      <c r="N421" s="74"/>
      <c r="O421" s="74"/>
      <c r="P421" s="74"/>
      <c r="Q421" s="74"/>
      <c r="R421" s="74"/>
      <c r="S421" s="74"/>
      <c r="T421" s="74"/>
      <c r="U421" s="74"/>
      <c r="V421" s="74"/>
      <c r="W421" s="74"/>
      <c r="X421" s="74"/>
      <c r="Y421" s="74"/>
      <c r="Z421" s="74"/>
      <c r="AA421" s="74"/>
      <c r="AB421" s="74"/>
    </row>
    <row r="422" spans="1:28" ht="12" customHeight="1">
      <c r="A422" s="565"/>
      <c r="B422" s="107"/>
      <c r="C422" s="107"/>
      <c r="D422" s="108"/>
      <c r="E422" s="104"/>
      <c r="F422" s="104"/>
      <c r="G422" s="35"/>
      <c r="H422" s="104"/>
      <c r="I422" s="140"/>
      <c r="J422" s="74"/>
      <c r="K422" s="74"/>
      <c r="L422" s="74"/>
      <c r="M422" s="74"/>
      <c r="N422" s="74"/>
      <c r="O422" s="74"/>
      <c r="P422" s="74"/>
      <c r="Q422" s="74"/>
      <c r="R422" s="74"/>
      <c r="S422" s="74"/>
      <c r="T422" s="74"/>
      <c r="U422" s="74"/>
      <c r="V422" s="74"/>
      <c r="W422" s="74"/>
      <c r="X422" s="74"/>
      <c r="Y422" s="74"/>
      <c r="Z422" s="74"/>
      <c r="AA422" s="74"/>
      <c r="AB422" s="74"/>
    </row>
    <row r="423" spans="1:28" ht="12" customHeight="1">
      <c r="A423" s="565"/>
      <c r="B423" s="107"/>
      <c r="C423" s="107"/>
      <c r="D423" s="108"/>
      <c r="E423" s="104"/>
      <c r="F423" s="104"/>
      <c r="G423" s="35"/>
      <c r="H423" s="104"/>
      <c r="I423" s="140"/>
      <c r="J423" s="74"/>
      <c r="K423" s="74"/>
      <c r="L423" s="74"/>
      <c r="M423" s="74"/>
      <c r="N423" s="74"/>
      <c r="O423" s="74"/>
      <c r="P423" s="74"/>
      <c r="Q423" s="74"/>
      <c r="R423" s="74"/>
      <c r="S423" s="74"/>
      <c r="T423" s="74"/>
      <c r="U423" s="74"/>
      <c r="V423" s="74"/>
      <c r="W423" s="74"/>
      <c r="X423" s="74"/>
      <c r="Y423" s="74"/>
      <c r="Z423" s="74"/>
      <c r="AA423" s="74"/>
      <c r="AB423" s="74"/>
    </row>
    <row r="424" spans="1:28" ht="12" customHeight="1">
      <c r="A424" s="565"/>
      <c r="B424" s="107"/>
      <c r="C424" s="107"/>
      <c r="D424" s="108"/>
      <c r="E424" s="104"/>
      <c r="F424" s="104"/>
      <c r="G424" s="35"/>
      <c r="H424" s="104"/>
      <c r="I424" s="140"/>
      <c r="J424" s="74"/>
      <c r="K424" s="74"/>
      <c r="L424" s="74"/>
      <c r="M424" s="74"/>
      <c r="N424" s="74"/>
      <c r="O424" s="74"/>
      <c r="P424" s="74"/>
      <c r="Q424" s="74"/>
      <c r="R424" s="74"/>
      <c r="S424" s="74"/>
      <c r="T424" s="74"/>
      <c r="U424" s="74"/>
      <c r="V424" s="74"/>
      <c r="W424" s="74"/>
      <c r="X424" s="74"/>
      <c r="Y424" s="74"/>
      <c r="Z424" s="74"/>
      <c r="AA424" s="74"/>
      <c r="AB424" s="74"/>
    </row>
    <row r="425" spans="1:28" ht="12" customHeight="1">
      <c r="A425" s="565"/>
      <c r="B425" s="107"/>
      <c r="C425" s="107"/>
      <c r="D425" s="108"/>
      <c r="E425" s="104"/>
      <c r="F425" s="104"/>
      <c r="G425" s="35"/>
      <c r="H425" s="104"/>
      <c r="I425" s="140"/>
      <c r="J425" s="74"/>
      <c r="K425" s="74"/>
      <c r="L425" s="74"/>
      <c r="M425" s="74"/>
      <c r="N425" s="74"/>
      <c r="O425" s="74"/>
      <c r="P425" s="74"/>
      <c r="Q425" s="74"/>
      <c r="R425" s="74"/>
      <c r="S425" s="74"/>
      <c r="T425" s="74"/>
      <c r="U425" s="74"/>
      <c r="V425" s="74"/>
      <c r="W425" s="74"/>
      <c r="X425" s="74"/>
      <c r="Y425" s="74"/>
      <c r="Z425" s="74"/>
      <c r="AA425" s="74"/>
      <c r="AB425" s="74"/>
    </row>
    <row r="426" spans="1:28" ht="12" customHeight="1">
      <c r="A426" s="565"/>
      <c r="B426" s="107"/>
      <c r="C426" s="107"/>
      <c r="D426" s="108"/>
      <c r="E426" s="104"/>
      <c r="F426" s="104"/>
      <c r="G426" s="35"/>
      <c r="H426" s="104"/>
      <c r="I426" s="140"/>
      <c r="J426" s="74"/>
      <c r="K426" s="74"/>
      <c r="L426" s="74"/>
      <c r="M426" s="74"/>
      <c r="N426" s="74"/>
      <c r="O426" s="74"/>
      <c r="P426" s="74"/>
      <c r="Q426" s="74"/>
      <c r="R426" s="74"/>
      <c r="S426" s="74"/>
      <c r="T426" s="74"/>
      <c r="U426" s="74"/>
      <c r="V426" s="74"/>
      <c r="W426" s="74"/>
      <c r="X426" s="74"/>
      <c r="Y426" s="74"/>
      <c r="Z426" s="74"/>
      <c r="AA426" s="74"/>
      <c r="AB426" s="74"/>
    </row>
    <row r="427" spans="1:28" ht="12" customHeight="1">
      <c r="A427" s="565"/>
      <c r="B427" s="107"/>
      <c r="C427" s="107"/>
      <c r="D427" s="108"/>
      <c r="E427" s="104"/>
      <c r="F427" s="104"/>
      <c r="G427" s="35"/>
      <c r="H427" s="104"/>
      <c r="I427" s="140"/>
      <c r="J427" s="74"/>
      <c r="K427" s="74"/>
      <c r="L427" s="74"/>
      <c r="M427" s="74"/>
      <c r="N427" s="74"/>
      <c r="O427" s="74"/>
      <c r="P427" s="74"/>
      <c r="Q427" s="74"/>
      <c r="R427" s="74"/>
      <c r="S427" s="74"/>
      <c r="T427" s="74"/>
      <c r="U427" s="74"/>
      <c r="V427" s="74"/>
      <c r="W427" s="74"/>
      <c r="X427" s="74"/>
      <c r="Y427" s="74"/>
      <c r="Z427" s="74"/>
      <c r="AA427" s="74"/>
      <c r="AB427" s="74"/>
    </row>
    <row r="428" spans="1:28" ht="12" customHeight="1">
      <c r="A428" s="565"/>
      <c r="B428" s="107"/>
      <c r="C428" s="107"/>
      <c r="D428" s="108"/>
      <c r="E428" s="104"/>
      <c r="F428" s="104"/>
      <c r="G428" s="35"/>
      <c r="H428" s="104"/>
      <c r="I428" s="140"/>
      <c r="J428" s="74"/>
      <c r="K428" s="74"/>
      <c r="L428" s="74"/>
      <c r="M428" s="74"/>
      <c r="N428" s="74"/>
      <c r="O428" s="74"/>
      <c r="P428" s="74"/>
      <c r="Q428" s="74"/>
      <c r="R428" s="74"/>
      <c r="S428" s="74"/>
      <c r="T428" s="74"/>
      <c r="U428" s="74"/>
      <c r="V428" s="74"/>
      <c r="W428" s="74"/>
      <c r="X428" s="74"/>
      <c r="Y428" s="74"/>
      <c r="Z428" s="74"/>
      <c r="AA428" s="74"/>
      <c r="AB428" s="74"/>
    </row>
    <row r="429" spans="1:28" ht="12" customHeight="1">
      <c r="A429" s="565"/>
      <c r="B429" s="107"/>
      <c r="C429" s="107"/>
      <c r="D429" s="108"/>
      <c r="E429" s="104"/>
      <c r="F429" s="104"/>
      <c r="G429" s="35"/>
      <c r="H429" s="104"/>
      <c r="I429" s="140"/>
      <c r="J429" s="74"/>
      <c r="K429" s="74"/>
      <c r="L429" s="74"/>
      <c r="M429" s="74"/>
      <c r="N429" s="74"/>
      <c r="O429" s="74"/>
      <c r="P429" s="74"/>
      <c r="Q429" s="74"/>
      <c r="R429" s="74"/>
      <c r="S429" s="74"/>
      <c r="T429" s="74"/>
      <c r="U429" s="74"/>
      <c r="V429" s="74"/>
      <c r="W429" s="74"/>
      <c r="X429" s="74"/>
      <c r="Y429" s="74"/>
      <c r="Z429" s="74"/>
      <c r="AA429" s="74"/>
      <c r="AB429" s="74"/>
    </row>
    <row r="430" spans="1:28" ht="12" customHeight="1">
      <c r="A430" s="565"/>
      <c r="B430" s="107"/>
      <c r="C430" s="107"/>
      <c r="D430" s="108"/>
      <c r="E430" s="104"/>
      <c r="F430" s="104"/>
      <c r="G430" s="35"/>
      <c r="H430" s="104"/>
      <c r="I430" s="140"/>
      <c r="J430" s="74"/>
      <c r="K430" s="74"/>
      <c r="L430" s="74"/>
      <c r="M430" s="74"/>
      <c r="N430" s="74"/>
      <c r="O430" s="74"/>
      <c r="P430" s="74"/>
      <c r="Q430" s="74"/>
      <c r="R430" s="74"/>
      <c r="S430" s="74"/>
      <c r="T430" s="74"/>
      <c r="U430" s="74"/>
      <c r="V430" s="74"/>
      <c r="W430" s="74"/>
      <c r="X430" s="74"/>
      <c r="Y430" s="74"/>
      <c r="Z430" s="74"/>
      <c r="AA430" s="74"/>
      <c r="AB430" s="74"/>
    </row>
    <row r="431" spans="1:28" ht="12" customHeight="1">
      <c r="A431" s="565"/>
      <c r="B431" s="107"/>
      <c r="C431" s="107"/>
      <c r="D431" s="108"/>
      <c r="E431" s="104"/>
      <c r="F431" s="104"/>
      <c r="G431" s="35"/>
      <c r="H431" s="104"/>
      <c r="I431" s="140"/>
      <c r="J431" s="74"/>
      <c r="K431" s="74"/>
      <c r="L431" s="74"/>
      <c r="M431" s="74"/>
      <c r="N431" s="74"/>
      <c r="O431" s="74"/>
      <c r="P431" s="74"/>
      <c r="Q431" s="74"/>
      <c r="R431" s="74"/>
      <c r="S431" s="74"/>
      <c r="T431" s="74"/>
      <c r="U431" s="74"/>
      <c r="V431" s="74"/>
      <c r="W431" s="74"/>
      <c r="X431" s="74"/>
      <c r="Y431" s="74"/>
      <c r="Z431" s="74"/>
      <c r="AA431" s="74"/>
      <c r="AB431" s="74"/>
    </row>
    <row r="432" spans="1:28" ht="12" customHeight="1">
      <c r="A432" s="565"/>
      <c r="B432" s="107"/>
      <c r="C432" s="107"/>
      <c r="D432" s="108"/>
      <c r="E432" s="104"/>
      <c r="F432" s="104"/>
      <c r="G432" s="35"/>
      <c r="H432" s="104"/>
      <c r="I432" s="140"/>
      <c r="J432" s="74"/>
      <c r="K432" s="74"/>
      <c r="L432" s="74"/>
      <c r="M432" s="74"/>
      <c r="N432" s="74"/>
      <c r="O432" s="74"/>
      <c r="P432" s="74"/>
      <c r="Q432" s="74"/>
      <c r="R432" s="74"/>
      <c r="S432" s="74"/>
      <c r="T432" s="74"/>
      <c r="U432" s="74"/>
      <c r="V432" s="74"/>
      <c r="W432" s="74"/>
      <c r="X432" s="74"/>
      <c r="Y432" s="74"/>
      <c r="Z432" s="74"/>
      <c r="AA432" s="74"/>
      <c r="AB432" s="74"/>
    </row>
    <row r="433" spans="1:28" ht="12" customHeight="1">
      <c r="A433" s="565"/>
      <c r="B433" s="107"/>
      <c r="C433" s="107"/>
      <c r="D433" s="108"/>
      <c r="E433" s="104"/>
      <c r="F433" s="104"/>
      <c r="G433" s="35"/>
      <c r="H433" s="104"/>
      <c r="I433" s="140"/>
      <c r="J433" s="74"/>
      <c r="K433" s="74"/>
      <c r="L433" s="74"/>
      <c r="M433" s="74"/>
      <c r="N433" s="74"/>
      <c r="O433" s="74"/>
      <c r="P433" s="74"/>
      <c r="Q433" s="74"/>
      <c r="R433" s="74"/>
      <c r="S433" s="74"/>
      <c r="T433" s="74"/>
      <c r="U433" s="74"/>
      <c r="V433" s="74"/>
      <c r="W433" s="74"/>
      <c r="X433" s="74"/>
      <c r="Y433" s="74"/>
      <c r="Z433" s="74"/>
      <c r="AA433" s="74"/>
      <c r="AB433" s="74"/>
    </row>
    <row r="434" spans="1:28" ht="12" customHeight="1">
      <c r="A434" s="565"/>
      <c r="B434" s="107"/>
      <c r="C434" s="107"/>
      <c r="D434" s="108"/>
      <c r="E434" s="104"/>
      <c r="F434" s="104"/>
      <c r="G434" s="35"/>
      <c r="H434" s="104"/>
      <c r="I434" s="140"/>
      <c r="J434" s="74"/>
      <c r="K434" s="74"/>
      <c r="L434" s="74"/>
      <c r="M434" s="74"/>
      <c r="N434" s="74"/>
      <c r="O434" s="74"/>
      <c r="P434" s="74"/>
      <c r="Q434" s="74"/>
      <c r="R434" s="74"/>
      <c r="S434" s="74"/>
      <c r="T434" s="74"/>
      <c r="U434" s="74"/>
      <c r="V434" s="74"/>
      <c r="W434" s="74"/>
      <c r="X434" s="74"/>
      <c r="Y434" s="74"/>
      <c r="Z434" s="74"/>
      <c r="AA434" s="74"/>
      <c r="AB434" s="74"/>
    </row>
    <row r="435" spans="1:28" ht="12" customHeight="1">
      <c r="A435" s="565"/>
      <c r="B435" s="107"/>
      <c r="C435" s="107"/>
      <c r="D435" s="108"/>
      <c r="E435" s="104"/>
      <c r="F435" s="104"/>
      <c r="G435" s="35"/>
      <c r="H435" s="104"/>
      <c r="I435" s="140"/>
      <c r="J435" s="74"/>
      <c r="K435" s="74"/>
      <c r="L435" s="74"/>
      <c r="M435" s="74"/>
      <c r="N435" s="74"/>
      <c r="O435" s="74"/>
      <c r="P435" s="74"/>
      <c r="Q435" s="74"/>
      <c r="R435" s="74"/>
      <c r="S435" s="74"/>
      <c r="T435" s="74"/>
      <c r="U435" s="74"/>
      <c r="V435" s="74"/>
      <c r="W435" s="74"/>
      <c r="X435" s="74"/>
      <c r="Y435" s="74"/>
      <c r="Z435" s="74"/>
      <c r="AA435" s="74"/>
      <c r="AB435" s="74"/>
    </row>
    <row r="436" spans="1:28" ht="12" customHeight="1">
      <c r="A436" s="565"/>
      <c r="B436" s="107"/>
      <c r="C436" s="107"/>
      <c r="D436" s="108"/>
      <c r="E436" s="104"/>
      <c r="F436" s="104"/>
      <c r="G436" s="35"/>
      <c r="H436" s="104"/>
      <c r="I436" s="140"/>
      <c r="J436" s="74"/>
      <c r="K436" s="74"/>
      <c r="L436" s="74"/>
      <c r="M436" s="74"/>
      <c r="N436" s="74"/>
      <c r="O436" s="74"/>
      <c r="P436" s="74"/>
      <c r="Q436" s="74"/>
      <c r="R436" s="74"/>
      <c r="S436" s="74"/>
      <c r="T436" s="74"/>
      <c r="U436" s="74"/>
      <c r="V436" s="74"/>
      <c r="W436" s="74"/>
      <c r="X436" s="74"/>
      <c r="Y436" s="74"/>
      <c r="Z436" s="74"/>
      <c r="AA436" s="74"/>
      <c r="AB436" s="74"/>
    </row>
    <row r="437" spans="1:28" ht="12" customHeight="1">
      <c r="A437" s="565"/>
      <c r="B437" s="107"/>
      <c r="C437" s="107"/>
      <c r="D437" s="108"/>
      <c r="E437" s="104"/>
      <c r="F437" s="104"/>
      <c r="G437" s="35"/>
      <c r="H437" s="104"/>
      <c r="I437" s="140"/>
      <c r="J437" s="74"/>
      <c r="K437" s="74"/>
      <c r="L437" s="74"/>
      <c r="M437" s="74"/>
      <c r="N437" s="74"/>
      <c r="O437" s="74"/>
      <c r="P437" s="74"/>
      <c r="Q437" s="74"/>
      <c r="R437" s="74"/>
      <c r="S437" s="74"/>
      <c r="T437" s="74"/>
      <c r="U437" s="74"/>
      <c r="V437" s="74"/>
      <c r="W437" s="74"/>
      <c r="X437" s="74"/>
      <c r="Y437" s="74"/>
      <c r="Z437" s="74"/>
      <c r="AA437" s="74"/>
      <c r="AB437" s="74"/>
    </row>
    <row r="438" spans="1:28" ht="12" customHeight="1">
      <c r="A438" s="565"/>
      <c r="B438" s="107"/>
      <c r="C438" s="107"/>
      <c r="D438" s="108"/>
      <c r="E438" s="104"/>
      <c r="F438" s="104"/>
      <c r="G438" s="35"/>
      <c r="H438" s="104"/>
      <c r="I438" s="140"/>
      <c r="J438" s="74"/>
      <c r="K438" s="74"/>
      <c r="L438" s="74"/>
      <c r="M438" s="74"/>
      <c r="N438" s="74"/>
      <c r="O438" s="74"/>
      <c r="P438" s="74"/>
      <c r="Q438" s="74"/>
      <c r="R438" s="74"/>
      <c r="S438" s="74"/>
      <c r="T438" s="74"/>
      <c r="U438" s="74"/>
      <c r="V438" s="74"/>
      <c r="W438" s="74"/>
      <c r="X438" s="74"/>
      <c r="Y438" s="74"/>
      <c r="Z438" s="74"/>
      <c r="AA438" s="74"/>
      <c r="AB438" s="74"/>
    </row>
    <row r="439" spans="1:28" ht="12" customHeight="1">
      <c r="A439" s="565"/>
      <c r="B439" s="107"/>
      <c r="C439" s="107"/>
      <c r="D439" s="108"/>
      <c r="E439" s="104"/>
      <c r="F439" s="104"/>
      <c r="G439" s="35"/>
      <c r="H439" s="104"/>
      <c r="I439" s="140"/>
      <c r="J439" s="74"/>
      <c r="K439" s="74"/>
      <c r="L439" s="74"/>
      <c r="M439" s="74"/>
      <c r="N439" s="74"/>
      <c r="O439" s="74"/>
      <c r="P439" s="74"/>
      <c r="Q439" s="74"/>
      <c r="R439" s="74"/>
      <c r="S439" s="74"/>
      <c r="T439" s="74"/>
      <c r="U439" s="74"/>
      <c r="V439" s="74"/>
      <c r="W439" s="74"/>
      <c r="X439" s="74"/>
      <c r="Y439" s="74"/>
      <c r="Z439" s="74"/>
      <c r="AA439" s="74"/>
      <c r="AB439" s="74"/>
    </row>
    <row r="440" spans="1:28" ht="12" customHeight="1">
      <c r="A440" s="565"/>
      <c r="B440" s="107"/>
      <c r="C440" s="107"/>
      <c r="D440" s="108"/>
      <c r="E440" s="104"/>
      <c r="F440" s="104"/>
      <c r="G440" s="35"/>
      <c r="H440" s="104"/>
      <c r="I440" s="140"/>
      <c r="J440" s="74"/>
      <c r="K440" s="74"/>
      <c r="L440" s="74"/>
      <c r="M440" s="74"/>
      <c r="N440" s="74"/>
      <c r="O440" s="74"/>
      <c r="P440" s="74"/>
      <c r="Q440" s="74"/>
      <c r="R440" s="74"/>
      <c r="S440" s="74"/>
      <c r="T440" s="74"/>
      <c r="U440" s="74"/>
      <c r="V440" s="74"/>
      <c r="W440" s="74"/>
      <c r="X440" s="74"/>
      <c r="Y440" s="74"/>
      <c r="Z440" s="74"/>
      <c r="AA440" s="74"/>
      <c r="AB440" s="74"/>
    </row>
    <row r="441" spans="1:28" ht="12" customHeight="1">
      <c r="A441" s="565"/>
      <c r="B441" s="107"/>
      <c r="C441" s="107"/>
      <c r="D441" s="108"/>
      <c r="E441" s="104"/>
      <c r="F441" s="104"/>
      <c r="G441" s="35"/>
      <c r="H441" s="104"/>
      <c r="I441" s="140"/>
      <c r="J441" s="74"/>
      <c r="K441" s="74"/>
      <c r="L441" s="74"/>
      <c r="M441" s="74"/>
      <c r="N441" s="74"/>
      <c r="O441" s="74"/>
      <c r="P441" s="74"/>
      <c r="Q441" s="74"/>
      <c r="R441" s="74"/>
      <c r="S441" s="74"/>
      <c r="T441" s="74"/>
      <c r="U441" s="74"/>
      <c r="V441" s="74"/>
      <c r="W441" s="74"/>
      <c r="X441" s="74"/>
      <c r="Y441" s="74"/>
      <c r="Z441" s="74"/>
      <c r="AA441" s="74"/>
      <c r="AB441" s="74"/>
    </row>
    <row r="442" spans="1:28" ht="12" customHeight="1">
      <c r="A442" s="565"/>
      <c r="B442" s="107"/>
      <c r="C442" s="107"/>
      <c r="D442" s="108"/>
      <c r="E442" s="104"/>
      <c r="F442" s="104"/>
      <c r="G442" s="35"/>
      <c r="H442" s="104"/>
      <c r="I442" s="140"/>
      <c r="J442" s="74"/>
      <c r="K442" s="74"/>
      <c r="L442" s="74"/>
      <c r="M442" s="74"/>
      <c r="N442" s="74"/>
      <c r="O442" s="74"/>
      <c r="P442" s="74"/>
      <c r="Q442" s="74"/>
      <c r="R442" s="74"/>
      <c r="S442" s="74"/>
      <c r="T442" s="74"/>
      <c r="U442" s="74"/>
      <c r="V442" s="74"/>
      <c r="W442" s="74"/>
      <c r="X442" s="74"/>
      <c r="Y442" s="74"/>
      <c r="Z442" s="74"/>
      <c r="AA442" s="74"/>
      <c r="AB442" s="74"/>
    </row>
    <row r="443" spans="1:28" ht="12" customHeight="1">
      <c r="A443" s="565"/>
      <c r="B443" s="107"/>
      <c r="C443" s="107"/>
      <c r="D443" s="108"/>
      <c r="E443" s="104"/>
      <c r="F443" s="104"/>
      <c r="G443" s="35"/>
      <c r="H443" s="104"/>
      <c r="I443" s="140"/>
      <c r="J443" s="74"/>
      <c r="K443" s="74"/>
      <c r="L443" s="74"/>
      <c r="M443" s="74"/>
      <c r="N443" s="74"/>
      <c r="O443" s="74"/>
      <c r="P443" s="74"/>
      <c r="Q443" s="74"/>
      <c r="R443" s="74"/>
      <c r="S443" s="74"/>
      <c r="T443" s="74"/>
      <c r="U443" s="74"/>
      <c r="V443" s="74"/>
      <c r="W443" s="74"/>
      <c r="X443" s="74"/>
      <c r="Y443" s="74"/>
      <c r="Z443" s="74"/>
      <c r="AA443" s="74"/>
      <c r="AB443" s="74"/>
    </row>
    <row r="444" spans="1:28" ht="12" customHeight="1">
      <c r="A444" s="565"/>
      <c r="B444" s="107"/>
      <c r="C444" s="107"/>
      <c r="D444" s="108"/>
      <c r="E444" s="104"/>
      <c r="F444" s="104"/>
      <c r="G444" s="35"/>
      <c r="H444" s="104"/>
      <c r="I444" s="140"/>
      <c r="J444" s="74"/>
      <c r="K444" s="74"/>
      <c r="L444" s="74"/>
      <c r="M444" s="74"/>
      <c r="N444" s="74"/>
      <c r="O444" s="74"/>
      <c r="P444" s="74"/>
      <c r="Q444" s="74"/>
      <c r="R444" s="74"/>
      <c r="S444" s="74"/>
      <c r="T444" s="74"/>
      <c r="U444" s="74"/>
      <c r="V444" s="74"/>
      <c r="W444" s="74"/>
      <c r="X444" s="74"/>
      <c r="Y444" s="74"/>
      <c r="Z444" s="74"/>
      <c r="AA444" s="74"/>
      <c r="AB444" s="74"/>
    </row>
    <row r="445" spans="1:28" ht="12" customHeight="1">
      <c r="A445" s="565"/>
      <c r="B445" s="107"/>
      <c r="C445" s="107"/>
      <c r="D445" s="108"/>
      <c r="E445" s="104"/>
      <c r="F445" s="104"/>
      <c r="G445" s="35"/>
      <c r="H445" s="104"/>
      <c r="I445" s="140"/>
      <c r="J445" s="74"/>
      <c r="K445" s="74"/>
      <c r="L445" s="74"/>
      <c r="M445" s="74"/>
      <c r="N445" s="74"/>
      <c r="O445" s="74"/>
      <c r="P445" s="74"/>
      <c r="Q445" s="74"/>
      <c r="R445" s="74"/>
      <c r="S445" s="74"/>
      <c r="T445" s="74"/>
      <c r="U445" s="74"/>
      <c r="V445" s="74"/>
      <c r="W445" s="74"/>
      <c r="X445" s="74"/>
      <c r="Y445" s="74"/>
      <c r="Z445" s="74"/>
      <c r="AA445" s="74"/>
      <c r="AB445" s="74"/>
    </row>
    <row r="446" spans="1:28" ht="12" customHeight="1">
      <c r="A446" s="565"/>
      <c r="B446" s="107"/>
      <c r="C446" s="107"/>
      <c r="D446" s="108"/>
      <c r="E446" s="104"/>
      <c r="F446" s="104"/>
      <c r="G446" s="35"/>
      <c r="H446" s="104"/>
      <c r="I446" s="140"/>
      <c r="J446" s="74"/>
      <c r="K446" s="74"/>
      <c r="L446" s="74"/>
      <c r="M446" s="74"/>
      <c r="N446" s="74"/>
      <c r="O446" s="74"/>
      <c r="P446" s="74"/>
      <c r="Q446" s="74"/>
      <c r="R446" s="74"/>
      <c r="S446" s="74"/>
      <c r="T446" s="74"/>
      <c r="U446" s="74"/>
      <c r="V446" s="74"/>
      <c r="W446" s="74"/>
      <c r="X446" s="74"/>
      <c r="Y446" s="74"/>
      <c r="Z446" s="74"/>
      <c r="AA446" s="74"/>
      <c r="AB446" s="74"/>
    </row>
    <row r="447" spans="1:28" ht="12" customHeight="1">
      <c r="A447" s="565"/>
      <c r="B447" s="107"/>
      <c r="C447" s="107"/>
      <c r="D447" s="108"/>
      <c r="E447" s="104"/>
      <c r="F447" s="104"/>
      <c r="G447" s="35"/>
      <c r="H447" s="104"/>
      <c r="I447" s="140"/>
      <c r="J447" s="74"/>
      <c r="K447" s="74"/>
      <c r="L447" s="74"/>
      <c r="M447" s="74"/>
      <c r="N447" s="74"/>
      <c r="O447" s="74"/>
      <c r="P447" s="74"/>
      <c r="Q447" s="74"/>
      <c r="R447" s="74"/>
      <c r="S447" s="74"/>
      <c r="T447" s="74"/>
      <c r="U447" s="74"/>
      <c r="V447" s="74"/>
      <c r="W447" s="74"/>
      <c r="X447" s="74"/>
      <c r="Y447" s="74"/>
      <c r="Z447" s="74"/>
      <c r="AA447" s="74"/>
      <c r="AB447" s="74"/>
    </row>
    <row r="448" spans="1:28" ht="12" customHeight="1">
      <c r="A448" s="565"/>
      <c r="B448" s="107"/>
      <c r="C448" s="107"/>
      <c r="D448" s="108"/>
      <c r="E448" s="104"/>
      <c r="F448" s="104"/>
      <c r="G448" s="35"/>
      <c r="H448" s="104"/>
      <c r="I448" s="140"/>
      <c r="J448" s="74"/>
      <c r="K448" s="74"/>
      <c r="L448" s="74"/>
      <c r="M448" s="74"/>
      <c r="N448" s="74"/>
      <c r="O448" s="74"/>
      <c r="P448" s="74"/>
      <c r="Q448" s="74"/>
      <c r="R448" s="74"/>
      <c r="S448" s="74"/>
      <c r="T448" s="74"/>
      <c r="U448" s="74"/>
      <c r="V448" s="74"/>
      <c r="W448" s="74"/>
      <c r="X448" s="74"/>
      <c r="Y448" s="74"/>
      <c r="Z448" s="74"/>
      <c r="AA448" s="74"/>
      <c r="AB448" s="74"/>
    </row>
    <row r="449" spans="1:28" ht="12" customHeight="1">
      <c r="A449" s="565"/>
      <c r="B449" s="107"/>
      <c r="C449" s="107"/>
      <c r="D449" s="108"/>
      <c r="E449" s="104"/>
      <c r="F449" s="104"/>
      <c r="G449" s="35"/>
      <c r="H449" s="104"/>
      <c r="I449" s="140"/>
      <c r="J449" s="74"/>
      <c r="K449" s="74"/>
      <c r="L449" s="74"/>
      <c r="M449" s="74"/>
      <c r="N449" s="74"/>
      <c r="O449" s="74"/>
      <c r="P449" s="74"/>
      <c r="Q449" s="74"/>
      <c r="R449" s="74"/>
      <c r="S449" s="74"/>
      <c r="T449" s="74"/>
      <c r="U449" s="74"/>
      <c r="V449" s="74"/>
      <c r="W449" s="74"/>
      <c r="X449" s="74"/>
      <c r="Y449" s="74"/>
      <c r="Z449" s="74"/>
      <c r="AA449" s="74"/>
      <c r="AB449" s="74"/>
    </row>
    <row r="450" spans="1:28" ht="12" customHeight="1">
      <c r="A450" s="565"/>
      <c r="B450" s="107"/>
      <c r="C450" s="107"/>
      <c r="D450" s="108"/>
      <c r="E450" s="104"/>
      <c r="F450" s="104"/>
      <c r="G450" s="35"/>
      <c r="H450" s="104"/>
      <c r="I450" s="140"/>
      <c r="J450" s="74"/>
      <c r="K450" s="74"/>
      <c r="L450" s="74"/>
      <c r="M450" s="74"/>
      <c r="N450" s="74"/>
      <c r="O450" s="74"/>
      <c r="P450" s="74"/>
      <c r="Q450" s="74"/>
      <c r="R450" s="74"/>
      <c r="S450" s="74"/>
      <c r="T450" s="74"/>
      <c r="U450" s="74"/>
      <c r="V450" s="74"/>
      <c r="W450" s="74"/>
      <c r="X450" s="74"/>
      <c r="Y450" s="74"/>
      <c r="Z450" s="74"/>
      <c r="AA450" s="74"/>
      <c r="AB450" s="74"/>
    </row>
    <row r="451" spans="1:28" ht="12" customHeight="1">
      <c r="A451" s="565"/>
      <c r="B451" s="107"/>
      <c r="C451" s="107"/>
      <c r="D451" s="108"/>
      <c r="E451" s="104"/>
      <c r="F451" s="104"/>
      <c r="G451" s="35"/>
      <c r="H451" s="104"/>
      <c r="I451" s="140"/>
      <c r="J451" s="74"/>
      <c r="K451" s="74"/>
      <c r="L451" s="74"/>
      <c r="M451" s="74"/>
      <c r="N451" s="74"/>
      <c r="O451" s="74"/>
      <c r="P451" s="74"/>
      <c r="Q451" s="74"/>
      <c r="R451" s="74"/>
      <c r="S451" s="74"/>
      <c r="T451" s="74"/>
      <c r="U451" s="74"/>
      <c r="V451" s="74"/>
      <c r="W451" s="74"/>
      <c r="X451" s="74"/>
      <c r="Y451" s="74"/>
      <c r="Z451" s="74"/>
      <c r="AA451" s="74"/>
      <c r="AB451" s="74"/>
    </row>
    <row r="452" spans="1:28" ht="12" customHeight="1">
      <c r="A452" s="565"/>
      <c r="B452" s="107"/>
      <c r="C452" s="107"/>
      <c r="D452" s="108"/>
      <c r="E452" s="104"/>
      <c r="F452" s="104"/>
      <c r="G452" s="35"/>
      <c r="H452" s="104"/>
      <c r="I452" s="140"/>
      <c r="J452" s="74"/>
      <c r="K452" s="74"/>
      <c r="L452" s="74"/>
      <c r="M452" s="74"/>
      <c r="N452" s="74"/>
      <c r="O452" s="74"/>
      <c r="P452" s="74"/>
      <c r="Q452" s="74"/>
      <c r="R452" s="74"/>
      <c r="S452" s="74"/>
      <c r="T452" s="74"/>
      <c r="U452" s="74"/>
      <c r="V452" s="74"/>
      <c r="W452" s="74"/>
      <c r="X452" s="74"/>
      <c r="Y452" s="74"/>
      <c r="Z452" s="74"/>
      <c r="AA452" s="74"/>
      <c r="AB452" s="74"/>
    </row>
    <row r="453" spans="1:28" ht="12" customHeight="1">
      <c r="A453" s="565"/>
      <c r="B453" s="107"/>
      <c r="C453" s="107"/>
      <c r="D453" s="108"/>
      <c r="E453" s="104"/>
      <c r="F453" s="104"/>
      <c r="G453" s="35"/>
      <c r="H453" s="104"/>
      <c r="I453" s="140"/>
      <c r="J453" s="74"/>
      <c r="K453" s="74"/>
      <c r="L453" s="74"/>
      <c r="M453" s="74"/>
      <c r="N453" s="74"/>
      <c r="O453" s="74"/>
      <c r="P453" s="74"/>
      <c r="Q453" s="74"/>
      <c r="R453" s="74"/>
      <c r="S453" s="74"/>
      <c r="T453" s="74"/>
      <c r="U453" s="74"/>
      <c r="V453" s="74"/>
      <c r="W453" s="74"/>
      <c r="X453" s="74"/>
      <c r="Y453" s="74"/>
      <c r="Z453" s="74"/>
      <c r="AA453" s="74"/>
      <c r="AB453" s="74"/>
    </row>
    <row r="454" spans="1:28" ht="12" customHeight="1">
      <c r="A454" s="565"/>
      <c r="B454" s="107"/>
      <c r="C454" s="107"/>
      <c r="D454" s="108"/>
      <c r="E454" s="104"/>
      <c r="F454" s="104"/>
      <c r="G454" s="35"/>
      <c r="H454" s="104"/>
      <c r="I454" s="140"/>
      <c r="J454" s="74"/>
      <c r="K454" s="74"/>
      <c r="L454" s="74"/>
      <c r="M454" s="74"/>
      <c r="N454" s="74"/>
      <c r="O454" s="74"/>
      <c r="P454" s="74"/>
      <c r="Q454" s="74"/>
      <c r="R454" s="74"/>
      <c r="S454" s="74"/>
      <c r="T454" s="74"/>
      <c r="U454" s="74"/>
      <c r="V454" s="74"/>
      <c r="W454" s="74"/>
      <c r="X454" s="74"/>
      <c r="Y454" s="74"/>
      <c r="Z454" s="74"/>
      <c r="AA454" s="74"/>
      <c r="AB454" s="74"/>
    </row>
    <row r="455" spans="1:28" ht="12" customHeight="1">
      <c r="A455" s="565"/>
      <c r="B455" s="107"/>
      <c r="C455" s="107"/>
      <c r="D455" s="108"/>
      <c r="E455" s="104"/>
      <c r="F455" s="104"/>
      <c r="G455" s="35"/>
      <c r="H455" s="104"/>
      <c r="I455" s="140"/>
      <c r="J455" s="74"/>
      <c r="K455" s="74"/>
      <c r="L455" s="74"/>
      <c r="M455" s="74"/>
      <c r="N455" s="74"/>
      <c r="O455" s="74"/>
      <c r="P455" s="74"/>
      <c r="Q455" s="74"/>
      <c r="R455" s="74"/>
      <c r="S455" s="74"/>
      <c r="T455" s="74"/>
      <c r="U455" s="74"/>
      <c r="V455" s="74"/>
      <c r="W455" s="74"/>
      <c r="X455" s="74"/>
      <c r="Y455" s="74"/>
      <c r="Z455" s="74"/>
      <c r="AA455" s="74"/>
      <c r="AB455" s="74"/>
    </row>
    <row r="456" spans="1:28" ht="12" customHeight="1">
      <c r="A456" s="565"/>
      <c r="B456" s="107"/>
      <c r="C456" s="107"/>
      <c r="D456" s="108"/>
      <c r="E456" s="104"/>
      <c r="F456" s="104"/>
      <c r="G456" s="35"/>
      <c r="H456" s="104"/>
      <c r="I456" s="140"/>
      <c r="J456" s="74"/>
      <c r="K456" s="74"/>
      <c r="L456" s="74"/>
      <c r="M456" s="74"/>
      <c r="N456" s="74"/>
      <c r="O456" s="74"/>
      <c r="P456" s="74"/>
      <c r="Q456" s="74"/>
      <c r="R456" s="74"/>
      <c r="S456" s="74"/>
      <c r="T456" s="74"/>
      <c r="U456" s="74"/>
      <c r="V456" s="74"/>
      <c r="W456" s="74"/>
      <c r="X456" s="74"/>
      <c r="Y456" s="74"/>
      <c r="Z456" s="74"/>
      <c r="AA456" s="74"/>
      <c r="AB456" s="74"/>
    </row>
    <row r="457" spans="1:28" ht="12" customHeight="1">
      <c r="A457" s="565"/>
      <c r="B457" s="107"/>
      <c r="C457" s="107"/>
      <c r="D457" s="108"/>
      <c r="E457" s="104"/>
      <c r="F457" s="104"/>
      <c r="G457" s="35"/>
      <c r="H457" s="104"/>
      <c r="I457" s="140"/>
      <c r="J457" s="74"/>
      <c r="K457" s="74"/>
      <c r="L457" s="74"/>
      <c r="M457" s="74"/>
      <c r="N457" s="74"/>
      <c r="O457" s="74"/>
      <c r="P457" s="74"/>
      <c r="Q457" s="74"/>
      <c r="R457" s="74"/>
      <c r="S457" s="74"/>
      <c r="T457" s="74"/>
      <c r="U457" s="74"/>
      <c r="V457" s="74"/>
      <c r="W457" s="74"/>
      <c r="X457" s="74"/>
      <c r="Y457" s="74"/>
      <c r="Z457" s="74"/>
      <c r="AA457" s="74"/>
      <c r="AB457" s="74"/>
    </row>
    <row r="458" spans="1:28" ht="12" customHeight="1">
      <c r="A458" s="565"/>
      <c r="B458" s="107"/>
      <c r="C458" s="107"/>
      <c r="D458" s="108"/>
      <c r="E458" s="104"/>
      <c r="F458" s="104"/>
      <c r="G458" s="35"/>
      <c r="H458" s="104"/>
      <c r="I458" s="140"/>
      <c r="J458" s="74"/>
      <c r="K458" s="74"/>
      <c r="L458" s="74"/>
      <c r="M458" s="74"/>
      <c r="N458" s="74"/>
      <c r="O458" s="74"/>
      <c r="P458" s="74"/>
      <c r="Q458" s="74"/>
      <c r="R458" s="74"/>
      <c r="S458" s="74"/>
      <c r="T458" s="74"/>
      <c r="U458" s="74"/>
      <c r="V458" s="74"/>
      <c r="W458" s="74"/>
      <c r="X458" s="74"/>
      <c r="Y458" s="74"/>
      <c r="Z458" s="74"/>
      <c r="AA458" s="74"/>
      <c r="AB458" s="74"/>
    </row>
    <row r="459" spans="1:28" ht="12" customHeight="1">
      <c r="A459" s="565"/>
      <c r="B459" s="107"/>
      <c r="C459" s="107"/>
      <c r="D459" s="108"/>
      <c r="E459" s="104"/>
      <c r="F459" s="104"/>
      <c r="G459" s="35"/>
      <c r="H459" s="104"/>
      <c r="I459" s="140"/>
      <c r="J459" s="74"/>
      <c r="K459" s="74"/>
      <c r="L459" s="74"/>
      <c r="M459" s="74"/>
      <c r="N459" s="74"/>
      <c r="O459" s="74"/>
      <c r="P459" s="74"/>
      <c r="Q459" s="74"/>
      <c r="R459" s="74"/>
      <c r="S459" s="74"/>
      <c r="T459" s="74"/>
      <c r="U459" s="74"/>
      <c r="V459" s="74"/>
      <c r="W459" s="74"/>
      <c r="X459" s="74"/>
      <c r="Y459" s="74"/>
      <c r="Z459" s="74"/>
      <c r="AA459" s="74"/>
      <c r="AB459" s="74"/>
    </row>
    <row r="460" spans="1:28" ht="12" customHeight="1">
      <c r="A460" s="565"/>
      <c r="B460" s="107"/>
      <c r="C460" s="107"/>
      <c r="D460" s="108"/>
      <c r="E460" s="104"/>
      <c r="F460" s="104"/>
      <c r="G460" s="35"/>
      <c r="H460" s="104"/>
      <c r="I460" s="140"/>
      <c r="J460" s="74"/>
      <c r="K460" s="74"/>
      <c r="L460" s="74"/>
      <c r="M460" s="74"/>
      <c r="N460" s="74"/>
      <c r="O460" s="74"/>
      <c r="P460" s="74"/>
      <c r="Q460" s="74"/>
      <c r="R460" s="74"/>
      <c r="S460" s="74"/>
      <c r="T460" s="74"/>
      <c r="U460" s="74"/>
      <c r="V460" s="74"/>
      <c r="W460" s="74"/>
      <c r="X460" s="74"/>
      <c r="Y460" s="74"/>
      <c r="Z460" s="74"/>
      <c r="AA460" s="74"/>
      <c r="AB460" s="74"/>
    </row>
    <row r="461" spans="1:28" ht="12" customHeight="1">
      <c r="A461" s="565"/>
      <c r="B461" s="107"/>
      <c r="C461" s="107"/>
      <c r="D461" s="108"/>
      <c r="E461" s="104"/>
      <c r="F461" s="104"/>
      <c r="G461" s="35"/>
      <c r="H461" s="104"/>
      <c r="I461" s="140"/>
      <c r="J461" s="74"/>
      <c r="K461" s="74"/>
      <c r="L461" s="74"/>
      <c r="M461" s="74"/>
      <c r="N461" s="74"/>
      <c r="O461" s="74"/>
      <c r="P461" s="74"/>
      <c r="Q461" s="74"/>
      <c r="R461" s="74"/>
      <c r="S461" s="74"/>
      <c r="T461" s="74"/>
      <c r="U461" s="74"/>
      <c r="V461" s="74"/>
      <c r="W461" s="74"/>
      <c r="X461" s="74"/>
      <c r="Y461" s="74"/>
      <c r="Z461" s="74"/>
      <c r="AA461" s="74"/>
      <c r="AB461" s="74"/>
    </row>
    <row r="462" spans="1:28" ht="12" customHeight="1">
      <c r="A462" s="565"/>
      <c r="B462" s="107"/>
      <c r="C462" s="107"/>
      <c r="D462" s="108"/>
      <c r="E462" s="104"/>
      <c r="F462" s="104"/>
      <c r="G462" s="35"/>
      <c r="H462" s="104"/>
      <c r="I462" s="140"/>
      <c r="J462" s="74"/>
      <c r="K462" s="74"/>
      <c r="L462" s="74"/>
      <c r="M462" s="74"/>
      <c r="N462" s="74"/>
      <c r="O462" s="74"/>
      <c r="P462" s="74"/>
      <c r="Q462" s="74"/>
      <c r="R462" s="74"/>
      <c r="S462" s="74"/>
      <c r="T462" s="74"/>
      <c r="U462" s="74"/>
      <c r="V462" s="74"/>
      <c r="W462" s="74"/>
      <c r="X462" s="74"/>
      <c r="Y462" s="74"/>
      <c r="Z462" s="74"/>
      <c r="AA462" s="74"/>
      <c r="AB462" s="74"/>
    </row>
    <row r="463" spans="1:28" ht="12" customHeight="1">
      <c r="A463" s="565"/>
      <c r="B463" s="107"/>
      <c r="C463" s="107"/>
      <c r="D463" s="108"/>
      <c r="E463" s="104"/>
      <c r="F463" s="104"/>
      <c r="G463" s="35"/>
      <c r="H463" s="104"/>
      <c r="I463" s="140"/>
      <c r="J463" s="74"/>
      <c r="K463" s="74"/>
      <c r="L463" s="74"/>
      <c r="M463" s="74"/>
      <c r="N463" s="74"/>
      <c r="O463" s="74"/>
      <c r="P463" s="74"/>
      <c r="Q463" s="74"/>
      <c r="R463" s="74"/>
      <c r="S463" s="74"/>
      <c r="T463" s="74"/>
      <c r="U463" s="74"/>
      <c r="V463" s="74"/>
      <c r="W463" s="74"/>
      <c r="X463" s="74"/>
      <c r="Y463" s="74"/>
      <c r="Z463" s="74"/>
      <c r="AA463" s="74"/>
      <c r="AB463" s="74"/>
    </row>
    <row r="464" spans="1:28" ht="12" customHeight="1">
      <c r="A464" s="565"/>
      <c r="B464" s="107"/>
      <c r="C464" s="107"/>
      <c r="D464" s="108"/>
      <c r="E464" s="104"/>
      <c r="F464" s="104"/>
      <c r="G464" s="35"/>
      <c r="H464" s="104"/>
      <c r="I464" s="140"/>
      <c r="J464" s="74"/>
      <c r="K464" s="74"/>
      <c r="L464" s="74"/>
      <c r="M464" s="74"/>
      <c r="N464" s="74"/>
      <c r="O464" s="74"/>
      <c r="P464" s="74"/>
      <c r="Q464" s="74"/>
      <c r="R464" s="74"/>
      <c r="S464" s="74"/>
      <c r="T464" s="74"/>
      <c r="U464" s="74"/>
      <c r="V464" s="74"/>
      <c r="W464" s="74"/>
      <c r="X464" s="74"/>
      <c r="Y464" s="74"/>
      <c r="Z464" s="74"/>
      <c r="AA464" s="74"/>
      <c r="AB464" s="74"/>
    </row>
    <row r="465" spans="1:28" ht="12" customHeight="1">
      <c r="A465" s="565"/>
      <c r="B465" s="107"/>
      <c r="C465" s="107"/>
      <c r="D465" s="108"/>
      <c r="E465" s="104"/>
      <c r="F465" s="104"/>
      <c r="G465" s="35"/>
      <c r="H465" s="104"/>
      <c r="I465" s="140"/>
      <c r="J465" s="74"/>
      <c r="K465" s="74"/>
      <c r="L465" s="74"/>
      <c r="M465" s="74"/>
      <c r="N465" s="74"/>
      <c r="O465" s="74"/>
      <c r="P465" s="74"/>
      <c r="Q465" s="74"/>
      <c r="R465" s="74"/>
      <c r="S465" s="74"/>
      <c r="T465" s="74"/>
      <c r="U465" s="74"/>
      <c r="V465" s="74"/>
      <c r="W465" s="74"/>
      <c r="X465" s="74"/>
      <c r="Y465" s="74"/>
      <c r="Z465" s="74"/>
      <c r="AA465" s="74"/>
      <c r="AB465" s="74"/>
    </row>
    <row r="466" spans="1:28" ht="12" customHeight="1">
      <c r="A466" s="565"/>
      <c r="B466" s="107"/>
      <c r="C466" s="107"/>
      <c r="D466" s="108"/>
      <c r="E466" s="104"/>
      <c r="F466" s="104"/>
      <c r="G466" s="35"/>
      <c r="H466" s="104"/>
      <c r="I466" s="140"/>
      <c r="J466" s="74"/>
      <c r="K466" s="74"/>
      <c r="L466" s="74"/>
      <c r="M466" s="74"/>
      <c r="N466" s="74"/>
      <c r="O466" s="74"/>
      <c r="P466" s="74"/>
      <c r="Q466" s="74"/>
      <c r="R466" s="74"/>
      <c r="S466" s="74"/>
      <c r="T466" s="74"/>
      <c r="U466" s="74"/>
      <c r="V466" s="74"/>
      <c r="W466" s="74"/>
      <c r="X466" s="74"/>
      <c r="Y466" s="74"/>
      <c r="Z466" s="74"/>
      <c r="AA466" s="74"/>
      <c r="AB466" s="74"/>
    </row>
    <row r="467" spans="1:28" ht="12" customHeight="1">
      <c r="A467" s="565"/>
      <c r="B467" s="107"/>
      <c r="C467" s="107"/>
      <c r="D467" s="108"/>
      <c r="E467" s="104"/>
      <c r="F467" s="104"/>
      <c r="G467" s="35"/>
      <c r="H467" s="104"/>
      <c r="I467" s="140"/>
      <c r="J467" s="74"/>
      <c r="K467" s="74"/>
      <c r="L467" s="74"/>
      <c r="M467" s="74"/>
      <c r="N467" s="74"/>
      <c r="O467" s="74"/>
      <c r="P467" s="74"/>
      <c r="Q467" s="74"/>
      <c r="R467" s="74"/>
      <c r="S467" s="74"/>
      <c r="T467" s="74"/>
      <c r="U467" s="74"/>
      <c r="V467" s="74"/>
      <c r="W467" s="74"/>
      <c r="X467" s="74"/>
      <c r="Y467" s="74"/>
      <c r="Z467" s="74"/>
      <c r="AA467" s="74"/>
      <c r="AB467" s="74"/>
    </row>
    <row r="468" spans="1:28" ht="12" customHeight="1">
      <c r="A468" s="565"/>
      <c r="B468" s="107"/>
      <c r="C468" s="107"/>
      <c r="D468" s="108"/>
      <c r="E468" s="104"/>
      <c r="F468" s="104"/>
      <c r="G468" s="35"/>
      <c r="H468" s="104"/>
      <c r="I468" s="140"/>
      <c r="J468" s="74"/>
      <c r="K468" s="74"/>
      <c r="L468" s="74"/>
      <c r="M468" s="74"/>
      <c r="N468" s="74"/>
      <c r="O468" s="74"/>
      <c r="P468" s="74"/>
      <c r="Q468" s="74"/>
      <c r="R468" s="74"/>
      <c r="S468" s="74"/>
      <c r="T468" s="74"/>
      <c r="U468" s="74"/>
      <c r="V468" s="74"/>
      <c r="W468" s="74"/>
      <c r="X468" s="74"/>
      <c r="Y468" s="74"/>
      <c r="Z468" s="74"/>
      <c r="AA468" s="74"/>
      <c r="AB468" s="74"/>
    </row>
    <row r="469" spans="1:28" ht="12" customHeight="1">
      <c r="A469" s="565"/>
      <c r="B469" s="107"/>
      <c r="C469" s="107"/>
      <c r="D469" s="108"/>
      <c r="E469" s="104"/>
      <c r="F469" s="104"/>
      <c r="G469" s="35"/>
      <c r="H469" s="104"/>
      <c r="I469" s="140"/>
      <c r="J469" s="74"/>
      <c r="K469" s="74"/>
      <c r="L469" s="74"/>
      <c r="M469" s="74"/>
      <c r="N469" s="74"/>
      <c r="O469" s="74"/>
      <c r="P469" s="74"/>
      <c r="Q469" s="74"/>
      <c r="R469" s="74"/>
      <c r="S469" s="74"/>
      <c r="T469" s="74"/>
      <c r="U469" s="74"/>
      <c r="V469" s="74"/>
      <c r="W469" s="74"/>
      <c r="X469" s="74"/>
      <c r="Y469" s="74"/>
      <c r="Z469" s="74"/>
      <c r="AA469" s="74"/>
      <c r="AB469" s="74"/>
    </row>
    <row r="470" spans="1:28" ht="12" customHeight="1">
      <c r="A470" s="565"/>
      <c r="B470" s="107"/>
      <c r="C470" s="107"/>
      <c r="D470" s="108"/>
      <c r="E470" s="104"/>
      <c r="F470" s="104"/>
      <c r="G470" s="35"/>
      <c r="H470" s="104"/>
      <c r="I470" s="140"/>
      <c r="J470" s="74"/>
      <c r="K470" s="74"/>
      <c r="L470" s="74"/>
      <c r="M470" s="74"/>
      <c r="N470" s="74"/>
      <c r="O470" s="74"/>
      <c r="P470" s="74"/>
      <c r="Q470" s="74"/>
      <c r="R470" s="74"/>
      <c r="S470" s="74"/>
      <c r="T470" s="74"/>
      <c r="U470" s="74"/>
      <c r="V470" s="74"/>
      <c r="W470" s="74"/>
      <c r="X470" s="74"/>
      <c r="Y470" s="74"/>
      <c r="Z470" s="74"/>
      <c r="AA470" s="74"/>
      <c r="AB470" s="74"/>
    </row>
    <row r="471" spans="1:28" ht="12" customHeight="1">
      <c r="A471" s="565"/>
      <c r="B471" s="107"/>
      <c r="C471" s="107"/>
      <c r="D471" s="108"/>
      <c r="E471" s="104"/>
      <c r="F471" s="104"/>
      <c r="G471" s="35"/>
      <c r="H471" s="104"/>
      <c r="I471" s="140"/>
      <c r="J471" s="74"/>
      <c r="K471" s="74"/>
      <c r="L471" s="74"/>
      <c r="M471" s="74"/>
      <c r="N471" s="74"/>
      <c r="O471" s="74"/>
      <c r="P471" s="74"/>
      <c r="Q471" s="74"/>
      <c r="R471" s="74"/>
      <c r="S471" s="74"/>
      <c r="T471" s="74"/>
      <c r="U471" s="74"/>
      <c r="V471" s="74"/>
      <c r="W471" s="74"/>
      <c r="X471" s="74"/>
      <c r="Y471" s="74"/>
      <c r="Z471" s="74"/>
      <c r="AA471" s="74"/>
      <c r="AB471" s="74"/>
    </row>
    <row r="472" spans="1:28" ht="12" customHeight="1">
      <c r="A472" s="565"/>
      <c r="B472" s="107"/>
      <c r="C472" s="107"/>
      <c r="D472" s="108"/>
      <c r="E472" s="104"/>
      <c r="F472" s="104"/>
      <c r="G472" s="35"/>
      <c r="H472" s="104"/>
      <c r="I472" s="140"/>
      <c r="J472" s="74"/>
      <c r="K472" s="74"/>
      <c r="L472" s="74"/>
      <c r="M472" s="74"/>
      <c r="N472" s="74"/>
      <c r="O472" s="74"/>
      <c r="P472" s="74"/>
      <c r="Q472" s="74"/>
      <c r="R472" s="74"/>
      <c r="S472" s="74"/>
      <c r="T472" s="74"/>
      <c r="U472" s="74"/>
      <c r="V472" s="74"/>
      <c r="W472" s="74"/>
      <c r="X472" s="74"/>
      <c r="Y472" s="74"/>
      <c r="Z472" s="74"/>
      <c r="AA472" s="74"/>
      <c r="AB472" s="74"/>
    </row>
    <row r="473" spans="1:28" ht="12" customHeight="1">
      <c r="A473" s="565"/>
      <c r="B473" s="107"/>
      <c r="C473" s="107"/>
      <c r="D473" s="108"/>
      <c r="E473" s="104"/>
      <c r="F473" s="104"/>
      <c r="G473" s="35"/>
      <c r="H473" s="104"/>
      <c r="I473" s="140"/>
      <c r="J473" s="74"/>
      <c r="K473" s="74"/>
      <c r="L473" s="74"/>
      <c r="M473" s="74"/>
      <c r="N473" s="74"/>
      <c r="O473" s="74"/>
      <c r="P473" s="74"/>
      <c r="Q473" s="74"/>
      <c r="R473" s="74"/>
      <c r="S473" s="74"/>
      <c r="T473" s="74"/>
      <c r="U473" s="74"/>
      <c r="V473" s="74"/>
      <c r="W473" s="74"/>
      <c r="X473" s="74"/>
      <c r="Y473" s="74"/>
      <c r="Z473" s="74"/>
      <c r="AA473" s="74"/>
      <c r="AB473" s="74"/>
    </row>
    <row r="474" spans="1:28" ht="12" customHeight="1">
      <c r="A474" s="565"/>
      <c r="B474" s="107"/>
      <c r="C474" s="107"/>
      <c r="D474" s="108"/>
      <c r="E474" s="104"/>
      <c r="F474" s="104"/>
      <c r="G474" s="35"/>
      <c r="H474" s="104"/>
      <c r="I474" s="140"/>
      <c r="J474" s="74"/>
      <c r="K474" s="74"/>
      <c r="L474" s="74"/>
      <c r="M474" s="74"/>
      <c r="N474" s="74"/>
      <c r="O474" s="74"/>
      <c r="P474" s="74"/>
      <c r="Q474" s="74"/>
      <c r="R474" s="74"/>
      <c r="S474" s="74"/>
      <c r="T474" s="74"/>
      <c r="U474" s="74"/>
      <c r="V474" s="74"/>
      <c r="W474" s="74"/>
      <c r="X474" s="74"/>
      <c r="Y474" s="74"/>
      <c r="Z474" s="74"/>
      <c r="AA474" s="74"/>
      <c r="AB474" s="74"/>
    </row>
    <row r="475" spans="1:28" ht="12" customHeight="1">
      <c r="A475" s="565"/>
      <c r="B475" s="107"/>
      <c r="C475" s="107"/>
      <c r="D475" s="108"/>
      <c r="E475" s="104"/>
      <c r="F475" s="104"/>
      <c r="G475" s="35"/>
      <c r="H475" s="104"/>
      <c r="I475" s="140"/>
      <c r="J475" s="74"/>
      <c r="K475" s="74"/>
      <c r="L475" s="74"/>
      <c r="M475" s="74"/>
      <c r="N475" s="74"/>
      <c r="O475" s="74"/>
      <c r="P475" s="74"/>
      <c r="Q475" s="74"/>
      <c r="R475" s="74"/>
      <c r="S475" s="74"/>
      <c r="T475" s="74"/>
      <c r="U475" s="74"/>
      <c r="V475" s="74"/>
      <c r="W475" s="74"/>
      <c r="X475" s="74"/>
      <c r="Y475" s="74"/>
      <c r="Z475" s="74"/>
      <c r="AA475" s="74"/>
      <c r="AB475" s="74"/>
    </row>
    <row r="476" spans="1:28" ht="12" customHeight="1">
      <c r="A476" s="565"/>
      <c r="B476" s="107"/>
      <c r="C476" s="107"/>
      <c r="D476" s="108"/>
      <c r="E476" s="104"/>
      <c r="F476" s="104"/>
      <c r="G476" s="35"/>
      <c r="H476" s="104"/>
      <c r="I476" s="140"/>
      <c r="J476" s="74"/>
      <c r="K476" s="74"/>
      <c r="L476" s="74"/>
      <c r="M476" s="74"/>
      <c r="N476" s="74"/>
      <c r="O476" s="74"/>
      <c r="P476" s="74"/>
      <c r="Q476" s="74"/>
      <c r="R476" s="74"/>
      <c r="S476" s="74"/>
      <c r="T476" s="74"/>
      <c r="U476" s="74"/>
      <c r="V476" s="74"/>
      <c r="W476" s="74"/>
      <c r="X476" s="74"/>
      <c r="Y476" s="74"/>
      <c r="Z476" s="74"/>
      <c r="AA476" s="74"/>
      <c r="AB476" s="74"/>
    </row>
    <row r="477" spans="1:28" ht="12" customHeight="1">
      <c r="A477" s="565"/>
      <c r="B477" s="107"/>
      <c r="C477" s="107"/>
      <c r="D477" s="108"/>
      <c r="E477" s="104"/>
      <c r="F477" s="104"/>
      <c r="G477" s="35"/>
      <c r="H477" s="104"/>
      <c r="I477" s="140"/>
      <c r="J477" s="74"/>
      <c r="K477" s="74"/>
      <c r="L477" s="74"/>
      <c r="M477" s="74"/>
      <c r="N477" s="74"/>
      <c r="O477" s="74"/>
      <c r="P477" s="74"/>
      <c r="Q477" s="74"/>
      <c r="R477" s="74"/>
      <c r="S477" s="74"/>
      <c r="T477" s="74"/>
      <c r="U477" s="74"/>
      <c r="V477" s="74"/>
      <c r="W477" s="74"/>
      <c r="X477" s="74"/>
      <c r="Y477" s="74"/>
      <c r="Z477" s="74"/>
      <c r="AA477" s="74"/>
      <c r="AB477" s="74"/>
    </row>
    <row r="478" spans="1:28" ht="12" customHeight="1">
      <c r="A478" s="565"/>
      <c r="B478" s="107"/>
      <c r="C478" s="107"/>
      <c r="D478" s="108"/>
      <c r="E478" s="104"/>
      <c r="F478" s="104"/>
      <c r="G478" s="35"/>
      <c r="H478" s="104"/>
      <c r="I478" s="140"/>
      <c r="J478" s="74"/>
      <c r="K478" s="74"/>
      <c r="L478" s="74"/>
      <c r="M478" s="74"/>
      <c r="N478" s="74"/>
      <c r="O478" s="74"/>
      <c r="P478" s="74"/>
      <c r="Q478" s="74"/>
      <c r="R478" s="74"/>
      <c r="S478" s="74"/>
      <c r="T478" s="74"/>
      <c r="U478" s="74"/>
      <c r="V478" s="74"/>
      <c r="W478" s="74"/>
      <c r="X478" s="74"/>
      <c r="Y478" s="74"/>
      <c r="Z478" s="74"/>
      <c r="AA478" s="74"/>
      <c r="AB478" s="74"/>
    </row>
    <row r="479" spans="1:28" ht="12" customHeight="1">
      <c r="A479" s="565"/>
      <c r="B479" s="107"/>
      <c r="C479" s="107"/>
      <c r="D479" s="108"/>
      <c r="E479" s="104"/>
      <c r="F479" s="104"/>
      <c r="G479" s="35"/>
      <c r="H479" s="104"/>
      <c r="I479" s="140"/>
      <c r="J479" s="74"/>
      <c r="K479" s="74"/>
      <c r="L479" s="74"/>
      <c r="M479" s="74"/>
      <c r="N479" s="74"/>
      <c r="O479" s="74"/>
      <c r="P479" s="74"/>
      <c r="Q479" s="74"/>
      <c r="R479" s="74"/>
      <c r="S479" s="74"/>
      <c r="T479" s="74"/>
      <c r="U479" s="74"/>
      <c r="V479" s="74"/>
      <c r="W479" s="74"/>
      <c r="X479" s="74"/>
      <c r="Y479" s="74"/>
      <c r="Z479" s="74"/>
      <c r="AA479" s="74"/>
      <c r="AB479" s="74"/>
    </row>
    <row r="480" spans="1:28" ht="12" customHeight="1">
      <c r="A480" s="565"/>
      <c r="B480" s="107"/>
      <c r="C480" s="107"/>
      <c r="D480" s="108"/>
      <c r="E480" s="104"/>
      <c r="F480" s="104"/>
      <c r="G480" s="35"/>
      <c r="H480" s="104"/>
      <c r="I480" s="140"/>
      <c r="J480" s="74"/>
      <c r="K480" s="74"/>
      <c r="L480" s="74"/>
      <c r="M480" s="74"/>
      <c r="N480" s="74"/>
      <c r="O480" s="74"/>
      <c r="P480" s="74"/>
      <c r="Q480" s="74"/>
      <c r="R480" s="74"/>
      <c r="S480" s="74"/>
      <c r="T480" s="74"/>
      <c r="U480" s="74"/>
      <c r="V480" s="74"/>
      <c r="W480" s="74"/>
      <c r="X480" s="74"/>
      <c r="Y480" s="74"/>
      <c r="Z480" s="74"/>
      <c r="AA480" s="74"/>
      <c r="AB480" s="74"/>
    </row>
    <row r="481" spans="1:28" ht="12" customHeight="1">
      <c r="A481" s="565"/>
      <c r="B481" s="107"/>
      <c r="C481" s="107"/>
      <c r="D481" s="108"/>
      <c r="E481" s="104"/>
      <c r="F481" s="104"/>
      <c r="G481" s="35"/>
      <c r="H481" s="104"/>
      <c r="I481" s="140"/>
      <c r="J481" s="74"/>
      <c r="K481" s="74"/>
      <c r="L481" s="74"/>
      <c r="M481" s="74"/>
      <c r="N481" s="74"/>
      <c r="O481" s="74"/>
      <c r="P481" s="74"/>
      <c r="Q481" s="74"/>
      <c r="R481" s="74"/>
      <c r="S481" s="74"/>
      <c r="T481" s="74"/>
      <c r="U481" s="74"/>
      <c r="V481" s="74"/>
      <c r="W481" s="74"/>
      <c r="X481" s="74"/>
      <c r="Y481" s="74"/>
      <c r="Z481" s="74"/>
      <c r="AA481" s="74"/>
      <c r="AB481" s="74"/>
    </row>
    <row r="482" spans="1:28" ht="12" customHeight="1">
      <c r="A482" s="565"/>
      <c r="B482" s="107"/>
      <c r="C482" s="107"/>
      <c r="D482" s="108"/>
      <c r="E482" s="104"/>
      <c r="F482" s="104"/>
      <c r="G482" s="35"/>
      <c r="H482" s="104"/>
      <c r="I482" s="140"/>
      <c r="J482" s="74"/>
      <c r="K482" s="74"/>
      <c r="L482" s="74"/>
      <c r="M482" s="74"/>
      <c r="N482" s="74"/>
      <c r="O482" s="74"/>
      <c r="P482" s="74"/>
      <c r="Q482" s="74"/>
      <c r="R482" s="74"/>
      <c r="S482" s="74"/>
      <c r="T482" s="74"/>
      <c r="U482" s="74"/>
      <c r="V482" s="74"/>
      <c r="W482" s="74"/>
      <c r="X482" s="74"/>
      <c r="Y482" s="74"/>
      <c r="Z482" s="74"/>
      <c r="AA482" s="74"/>
      <c r="AB482" s="74"/>
    </row>
    <row r="483" spans="1:28" ht="12" customHeight="1">
      <c r="A483" s="565"/>
      <c r="B483" s="107"/>
      <c r="C483" s="107"/>
      <c r="D483" s="108"/>
      <c r="E483" s="104"/>
      <c r="F483" s="104"/>
      <c r="G483" s="35"/>
      <c r="H483" s="104"/>
      <c r="I483" s="140"/>
      <c r="J483" s="74"/>
      <c r="K483" s="74"/>
      <c r="L483" s="74"/>
      <c r="M483" s="74"/>
      <c r="N483" s="74"/>
      <c r="O483" s="74"/>
      <c r="P483" s="74"/>
      <c r="Q483" s="74"/>
      <c r="R483" s="74"/>
      <c r="S483" s="74"/>
      <c r="T483" s="74"/>
      <c r="U483" s="74"/>
      <c r="V483" s="74"/>
      <c r="W483" s="74"/>
      <c r="X483" s="74"/>
      <c r="Y483" s="74"/>
      <c r="Z483" s="74"/>
      <c r="AA483" s="74"/>
      <c r="AB483" s="74"/>
    </row>
    <row r="484" spans="1:28" ht="12" customHeight="1">
      <c r="A484" s="565"/>
      <c r="B484" s="107"/>
      <c r="C484" s="107"/>
      <c r="D484" s="108"/>
      <c r="E484" s="104"/>
      <c r="F484" s="104"/>
      <c r="G484" s="35"/>
      <c r="H484" s="104"/>
      <c r="I484" s="140"/>
      <c r="J484" s="74"/>
      <c r="K484" s="74"/>
      <c r="L484" s="74"/>
      <c r="M484" s="74"/>
      <c r="N484" s="74"/>
      <c r="O484" s="74"/>
      <c r="P484" s="74"/>
      <c r="Q484" s="74"/>
      <c r="R484" s="74"/>
      <c r="S484" s="74"/>
      <c r="T484" s="74"/>
      <c r="U484" s="74"/>
      <c r="V484" s="74"/>
      <c r="W484" s="74"/>
      <c r="X484" s="74"/>
      <c r="Y484" s="74"/>
      <c r="Z484" s="74"/>
      <c r="AA484" s="74"/>
      <c r="AB484" s="74"/>
    </row>
    <row r="485" spans="1:28" ht="12" customHeight="1">
      <c r="A485" s="565"/>
      <c r="B485" s="107"/>
      <c r="C485" s="107"/>
      <c r="D485" s="108"/>
      <c r="E485" s="104"/>
      <c r="F485" s="104"/>
      <c r="G485" s="35"/>
      <c r="H485" s="104"/>
      <c r="I485" s="140"/>
      <c r="J485" s="74"/>
      <c r="K485" s="74"/>
      <c r="L485" s="74"/>
      <c r="M485" s="74"/>
      <c r="N485" s="74"/>
      <c r="O485" s="74"/>
      <c r="P485" s="74"/>
      <c r="Q485" s="74"/>
      <c r="R485" s="74"/>
      <c r="S485" s="74"/>
      <c r="T485" s="74"/>
      <c r="U485" s="74"/>
      <c r="V485" s="74"/>
      <c r="W485" s="74"/>
      <c r="X485" s="74"/>
      <c r="Y485" s="74"/>
      <c r="Z485" s="74"/>
      <c r="AA485" s="74"/>
      <c r="AB485" s="74"/>
    </row>
    <row r="486" spans="1:28" ht="12" customHeight="1">
      <c r="A486" s="565"/>
      <c r="B486" s="107"/>
      <c r="C486" s="107"/>
      <c r="D486" s="108"/>
      <c r="E486" s="104"/>
      <c r="F486" s="104"/>
      <c r="G486" s="35"/>
      <c r="H486" s="104"/>
      <c r="I486" s="140"/>
      <c r="J486" s="74"/>
      <c r="K486" s="74"/>
      <c r="L486" s="74"/>
      <c r="M486" s="74"/>
      <c r="N486" s="74"/>
      <c r="O486" s="74"/>
      <c r="P486" s="74"/>
      <c r="Q486" s="74"/>
      <c r="R486" s="74"/>
      <c r="S486" s="74"/>
      <c r="T486" s="74"/>
      <c r="U486" s="74"/>
      <c r="V486" s="74"/>
      <c r="W486" s="74"/>
      <c r="X486" s="74"/>
      <c r="Y486" s="74"/>
      <c r="Z486" s="74"/>
      <c r="AA486" s="74"/>
      <c r="AB486" s="74"/>
    </row>
    <row r="487" spans="1:28" ht="12" customHeight="1">
      <c r="A487" s="565"/>
      <c r="B487" s="107"/>
      <c r="C487" s="107"/>
      <c r="D487" s="108"/>
      <c r="E487" s="104"/>
      <c r="F487" s="104"/>
      <c r="G487" s="35"/>
      <c r="H487" s="104"/>
      <c r="I487" s="140"/>
      <c r="J487" s="74"/>
      <c r="K487" s="74"/>
      <c r="L487" s="74"/>
      <c r="M487" s="74"/>
      <c r="N487" s="74"/>
      <c r="O487" s="74"/>
      <c r="P487" s="74"/>
      <c r="Q487" s="74"/>
      <c r="R487" s="74"/>
      <c r="S487" s="74"/>
      <c r="T487" s="74"/>
      <c r="U487" s="74"/>
      <c r="V487" s="74"/>
      <c r="W487" s="74"/>
      <c r="X487" s="74"/>
      <c r="Y487" s="74"/>
      <c r="Z487" s="74"/>
      <c r="AA487" s="74"/>
      <c r="AB487" s="74"/>
    </row>
    <row r="488" spans="1:28" ht="12" customHeight="1">
      <c r="A488" s="565"/>
      <c r="B488" s="107"/>
      <c r="C488" s="107"/>
      <c r="D488" s="108"/>
      <c r="E488" s="104"/>
      <c r="F488" s="104"/>
      <c r="G488" s="35"/>
      <c r="H488" s="104"/>
      <c r="I488" s="140"/>
      <c r="J488" s="74"/>
      <c r="K488" s="74"/>
      <c r="L488" s="74"/>
      <c r="M488" s="74"/>
      <c r="N488" s="74"/>
      <c r="O488" s="74"/>
      <c r="P488" s="74"/>
      <c r="Q488" s="74"/>
      <c r="R488" s="74"/>
      <c r="S488" s="74"/>
      <c r="T488" s="74"/>
      <c r="U488" s="74"/>
      <c r="V488" s="74"/>
      <c r="W488" s="74"/>
      <c r="X488" s="74"/>
      <c r="Y488" s="74"/>
      <c r="Z488" s="74"/>
      <c r="AA488" s="74"/>
      <c r="AB488" s="74"/>
    </row>
    <row r="489" spans="1:28" ht="12" customHeight="1">
      <c r="A489" s="565"/>
      <c r="B489" s="107"/>
      <c r="C489" s="107"/>
      <c r="D489" s="108"/>
      <c r="E489" s="104"/>
      <c r="F489" s="104"/>
      <c r="G489" s="35"/>
      <c r="H489" s="104"/>
      <c r="I489" s="140"/>
      <c r="J489" s="74"/>
      <c r="K489" s="74"/>
      <c r="L489" s="74"/>
      <c r="M489" s="74"/>
      <c r="N489" s="74"/>
      <c r="O489" s="74"/>
      <c r="P489" s="74"/>
      <c r="Q489" s="74"/>
      <c r="R489" s="74"/>
      <c r="S489" s="74"/>
      <c r="T489" s="74"/>
      <c r="U489" s="74"/>
      <c r="V489" s="74"/>
      <c r="W489" s="74"/>
      <c r="X489" s="74"/>
      <c r="Y489" s="74"/>
      <c r="Z489" s="74"/>
      <c r="AA489" s="74"/>
      <c r="AB489" s="74"/>
    </row>
    <row r="490" spans="1:28" ht="12" customHeight="1">
      <c r="A490" s="565"/>
      <c r="B490" s="107"/>
      <c r="C490" s="107"/>
      <c r="D490" s="108"/>
      <c r="E490" s="104"/>
      <c r="F490" s="104"/>
      <c r="G490" s="35"/>
      <c r="H490" s="104"/>
      <c r="I490" s="140"/>
      <c r="J490" s="74"/>
      <c r="K490" s="74"/>
      <c r="L490" s="74"/>
      <c r="M490" s="74"/>
      <c r="N490" s="74"/>
      <c r="O490" s="74"/>
      <c r="P490" s="74"/>
      <c r="Q490" s="74"/>
      <c r="R490" s="74"/>
      <c r="S490" s="74"/>
      <c r="T490" s="74"/>
      <c r="U490" s="74"/>
      <c r="V490" s="74"/>
      <c r="W490" s="74"/>
      <c r="X490" s="74"/>
      <c r="Y490" s="74"/>
      <c r="Z490" s="74"/>
      <c r="AA490" s="74"/>
      <c r="AB490" s="74"/>
    </row>
    <row r="491" spans="1:28" ht="12" customHeight="1">
      <c r="A491" s="565"/>
      <c r="B491" s="107"/>
      <c r="C491" s="107"/>
      <c r="D491" s="108"/>
      <c r="E491" s="104"/>
      <c r="F491" s="104"/>
      <c r="G491" s="35"/>
      <c r="H491" s="104"/>
      <c r="I491" s="140"/>
      <c r="J491" s="74"/>
      <c r="K491" s="74"/>
      <c r="L491" s="74"/>
      <c r="M491" s="74"/>
      <c r="N491" s="74"/>
      <c r="O491" s="74"/>
      <c r="P491" s="74"/>
      <c r="Q491" s="74"/>
      <c r="R491" s="74"/>
      <c r="S491" s="74"/>
      <c r="T491" s="74"/>
      <c r="U491" s="74"/>
      <c r="V491" s="74"/>
      <c r="W491" s="74"/>
      <c r="X491" s="74"/>
      <c r="Y491" s="74"/>
      <c r="Z491" s="74"/>
      <c r="AA491" s="74"/>
      <c r="AB491" s="74"/>
    </row>
    <row r="492" spans="1:28" ht="12" customHeight="1">
      <c r="A492" s="565"/>
      <c r="B492" s="107"/>
      <c r="C492" s="107"/>
      <c r="D492" s="108"/>
      <c r="E492" s="104"/>
      <c r="F492" s="104"/>
      <c r="G492" s="35"/>
      <c r="H492" s="104"/>
      <c r="I492" s="140"/>
      <c r="J492" s="74"/>
      <c r="K492" s="74"/>
      <c r="L492" s="74"/>
      <c r="M492" s="74"/>
      <c r="N492" s="74"/>
      <c r="O492" s="74"/>
      <c r="P492" s="74"/>
      <c r="Q492" s="74"/>
      <c r="R492" s="74"/>
      <c r="S492" s="74"/>
      <c r="T492" s="74"/>
      <c r="U492" s="74"/>
      <c r="V492" s="74"/>
      <c r="W492" s="74"/>
      <c r="X492" s="74"/>
      <c r="Y492" s="74"/>
      <c r="Z492" s="74"/>
      <c r="AA492" s="74"/>
      <c r="AB492" s="74"/>
    </row>
    <row r="493" spans="1:28" ht="12" customHeight="1">
      <c r="A493" s="565"/>
      <c r="B493" s="107"/>
      <c r="C493" s="107"/>
      <c r="D493" s="108"/>
      <c r="E493" s="104"/>
      <c r="F493" s="104"/>
      <c r="G493" s="35"/>
      <c r="H493" s="104"/>
      <c r="I493" s="140"/>
      <c r="J493" s="74"/>
      <c r="K493" s="74"/>
      <c r="L493" s="74"/>
      <c r="M493" s="74"/>
      <c r="N493" s="74"/>
      <c r="O493" s="74"/>
      <c r="P493" s="74"/>
      <c r="Q493" s="74"/>
      <c r="R493" s="74"/>
      <c r="S493" s="74"/>
      <c r="T493" s="74"/>
      <c r="U493" s="74"/>
      <c r="V493" s="74"/>
      <c r="W493" s="74"/>
      <c r="X493" s="74"/>
      <c r="Y493" s="74"/>
      <c r="Z493" s="74"/>
      <c r="AA493" s="74"/>
      <c r="AB493" s="74"/>
    </row>
    <row r="494" spans="1:28" ht="12" customHeight="1">
      <c r="A494" s="565"/>
      <c r="B494" s="107"/>
      <c r="C494" s="107"/>
      <c r="D494" s="108"/>
      <c r="E494" s="104"/>
      <c r="F494" s="104"/>
      <c r="G494" s="35"/>
      <c r="H494" s="104"/>
      <c r="I494" s="140"/>
      <c r="J494" s="74"/>
      <c r="K494" s="74"/>
      <c r="L494" s="74"/>
      <c r="M494" s="74"/>
      <c r="N494" s="74"/>
      <c r="O494" s="74"/>
      <c r="P494" s="74"/>
      <c r="Q494" s="74"/>
      <c r="R494" s="74"/>
      <c r="S494" s="74"/>
      <c r="T494" s="74"/>
      <c r="U494" s="74"/>
      <c r="V494" s="74"/>
      <c r="W494" s="74"/>
      <c r="X494" s="74"/>
      <c r="Y494" s="74"/>
      <c r="Z494" s="74"/>
      <c r="AA494" s="74"/>
      <c r="AB494" s="74"/>
    </row>
    <row r="495" spans="1:28" ht="12" customHeight="1">
      <c r="A495" s="565"/>
      <c r="B495" s="107"/>
      <c r="C495" s="107"/>
      <c r="D495" s="108"/>
      <c r="E495" s="104"/>
      <c r="F495" s="104"/>
      <c r="G495" s="35"/>
      <c r="H495" s="104"/>
      <c r="I495" s="140"/>
      <c r="J495" s="74"/>
      <c r="K495" s="74"/>
      <c r="L495" s="74"/>
      <c r="M495" s="74"/>
      <c r="N495" s="74"/>
      <c r="O495" s="74"/>
      <c r="P495" s="74"/>
      <c r="Q495" s="74"/>
      <c r="R495" s="74"/>
      <c r="S495" s="74"/>
      <c r="T495" s="74"/>
      <c r="U495" s="74"/>
      <c r="V495" s="74"/>
      <c r="W495" s="74"/>
      <c r="X495" s="74"/>
      <c r="Y495" s="74"/>
      <c r="Z495" s="74"/>
      <c r="AA495" s="74"/>
      <c r="AB495" s="74"/>
    </row>
    <row r="496" spans="1:28" ht="12" customHeight="1">
      <c r="A496" s="565"/>
      <c r="B496" s="107"/>
      <c r="C496" s="107"/>
      <c r="D496" s="108"/>
      <c r="E496" s="104"/>
      <c r="F496" s="104"/>
      <c r="G496" s="35"/>
      <c r="H496" s="104"/>
      <c r="I496" s="140"/>
      <c r="J496" s="74"/>
      <c r="K496" s="74"/>
      <c r="L496" s="74"/>
      <c r="M496" s="74"/>
      <c r="N496" s="74"/>
      <c r="O496" s="74"/>
      <c r="P496" s="74"/>
      <c r="Q496" s="74"/>
      <c r="R496" s="74"/>
      <c r="S496" s="74"/>
      <c r="T496" s="74"/>
      <c r="U496" s="74"/>
      <c r="V496" s="74"/>
      <c r="W496" s="74"/>
      <c r="X496" s="74"/>
      <c r="Y496" s="74"/>
      <c r="Z496" s="74"/>
      <c r="AA496" s="74"/>
      <c r="AB496" s="74"/>
    </row>
    <row r="497" spans="1:28" ht="12" customHeight="1">
      <c r="A497" s="565"/>
      <c r="B497" s="107"/>
      <c r="C497" s="107"/>
      <c r="D497" s="108"/>
      <c r="E497" s="104"/>
      <c r="F497" s="104"/>
      <c r="G497" s="35"/>
      <c r="H497" s="104"/>
      <c r="I497" s="140"/>
      <c r="J497" s="74"/>
      <c r="K497" s="74"/>
      <c r="L497" s="74"/>
      <c r="M497" s="74"/>
      <c r="N497" s="74"/>
      <c r="O497" s="74"/>
      <c r="P497" s="74"/>
      <c r="Q497" s="74"/>
      <c r="R497" s="74"/>
      <c r="S497" s="74"/>
      <c r="T497" s="74"/>
      <c r="U497" s="74"/>
      <c r="V497" s="74"/>
      <c r="W497" s="74"/>
      <c r="X497" s="74"/>
      <c r="Y497" s="74"/>
      <c r="Z497" s="74"/>
      <c r="AA497" s="74"/>
      <c r="AB497" s="74"/>
    </row>
    <row r="498" spans="1:28" ht="12" customHeight="1">
      <c r="A498" s="565"/>
      <c r="B498" s="107"/>
      <c r="C498" s="107"/>
      <c r="D498" s="108"/>
      <c r="E498" s="104"/>
      <c r="F498" s="104"/>
      <c r="G498" s="35"/>
      <c r="H498" s="104"/>
      <c r="I498" s="140"/>
      <c r="J498" s="74"/>
      <c r="K498" s="74"/>
      <c r="L498" s="74"/>
      <c r="M498" s="74"/>
      <c r="N498" s="74"/>
      <c r="O498" s="74"/>
      <c r="P498" s="74"/>
      <c r="Q498" s="74"/>
      <c r="R498" s="74"/>
      <c r="S498" s="74"/>
      <c r="T498" s="74"/>
      <c r="U498" s="74"/>
      <c r="V498" s="74"/>
      <c r="W498" s="74"/>
      <c r="X498" s="74"/>
      <c r="Y498" s="74"/>
      <c r="Z498" s="74"/>
      <c r="AA498" s="74"/>
      <c r="AB498" s="74"/>
    </row>
    <row r="499" spans="1:28" ht="12" customHeight="1">
      <c r="A499" s="565"/>
      <c r="B499" s="107"/>
      <c r="C499" s="107"/>
      <c r="D499" s="108"/>
      <c r="E499" s="104"/>
      <c r="F499" s="104"/>
      <c r="G499" s="35"/>
      <c r="H499" s="104"/>
      <c r="I499" s="140"/>
      <c r="J499" s="74"/>
      <c r="K499" s="74"/>
      <c r="L499" s="74"/>
      <c r="M499" s="74"/>
      <c r="N499" s="74"/>
      <c r="O499" s="74"/>
      <c r="P499" s="74"/>
      <c r="Q499" s="74"/>
      <c r="R499" s="74"/>
      <c r="S499" s="74"/>
      <c r="T499" s="74"/>
      <c r="U499" s="74"/>
      <c r="V499" s="74"/>
      <c r="W499" s="74"/>
      <c r="X499" s="74"/>
      <c r="Y499" s="74"/>
      <c r="Z499" s="74"/>
      <c r="AA499" s="74"/>
      <c r="AB499" s="74"/>
    </row>
    <row r="500" spans="1:28" ht="12" customHeight="1">
      <c r="A500" s="565"/>
      <c r="B500" s="107"/>
      <c r="C500" s="107"/>
      <c r="D500" s="108"/>
      <c r="E500" s="104"/>
      <c r="F500" s="104"/>
      <c r="G500" s="35"/>
      <c r="H500" s="104"/>
      <c r="I500" s="140"/>
      <c r="J500" s="74"/>
      <c r="K500" s="74"/>
      <c r="L500" s="74"/>
      <c r="M500" s="74"/>
      <c r="N500" s="74"/>
      <c r="O500" s="74"/>
      <c r="P500" s="74"/>
      <c r="Q500" s="74"/>
      <c r="R500" s="74"/>
      <c r="S500" s="74"/>
      <c r="T500" s="74"/>
      <c r="U500" s="74"/>
      <c r="V500" s="74"/>
      <c r="W500" s="74"/>
      <c r="X500" s="74"/>
      <c r="Y500" s="74"/>
      <c r="Z500" s="74"/>
      <c r="AA500" s="74"/>
      <c r="AB500" s="74"/>
    </row>
    <row r="501" spans="1:28" ht="12" customHeight="1">
      <c r="A501" s="565"/>
      <c r="B501" s="107"/>
      <c r="C501" s="107"/>
      <c r="D501" s="108"/>
      <c r="E501" s="104"/>
      <c r="F501" s="104"/>
      <c r="G501" s="35"/>
      <c r="H501" s="104"/>
      <c r="I501" s="140"/>
      <c r="J501" s="74"/>
      <c r="K501" s="74"/>
      <c r="L501" s="74"/>
      <c r="M501" s="74"/>
      <c r="N501" s="74"/>
      <c r="O501" s="74"/>
      <c r="P501" s="74"/>
      <c r="Q501" s="74"/>
      <c r="R501" s="74"/>
      <c r="S501" s="74"/>
      <c r="T501" s="74"/>
      <c r="U501" s="74"/>
      <c r="V501" s="74"/>
      <c r="W501" s="74"/>
      <c r="X501" s="74"/>
      <c r="Y501" s="74"/>
      <c r="Z501" s="74"/>
      <c r="AA501" s="74"/>
      <c r="AB501" s="74"/>
    </row>
    <row r="502" spans="1:28" ht="12" customHeight="1">
      <c r="A502" s="565"/>
      <c r="B502" s="107"/>
      <c r="C502" s="107"/>
      <c r="D502" s="108"/>
      <c r="E502" s="104"/>
      <c r="F502" s="104"/>
      <c r="G502" s="35"/>
      <c r="H502" s="104"/>
      <c r="I502" s="140"/>
      <c r="J502" s="74"/>
      <c r="K502" s="74"/>
      <c r="L502" s="74"/>
      <c r="M502" s="74"/>
      <c r="N502" s="74"/>
      <c r="O502" s="74"/>
      <c r="P502" s="74"/>
      <c r="Q502" s="74"/>
      <c r="R502" s="74"/>
      <c r="S502" s="74"/>
      <c r="T502" s="74"/>
      <c r="U502" s="74"/>
      <c r="V502" s="74"/>
      <c r="W502" s="74"/>
      <c r="X502" s="74"/>
      <c r="Y502" s="74"/>
      <c r="Z502" s="74"/>
      <c r="AA502" s="74"/>
      <c r="AB502" s="74"/>
    </row>
    <row r="503" spans="1:28" ht="12" customHeight="1">
      <c r="A503" s="565"/>
      <c r="B503" s="107"/>
      <c r="C503" s="107"/>
      <c r="D503" s="108"/>
      <c r="E503" s="104"/>
      <c r="F503" s="104"/>
      <c r="G503" s="35"/>
      <c r="H503" s="104"/>
      <c r="I503" s="140"/>
      <c r="J503" s="74"/>
      <c r="K503" s="74"/>
      <c r="L503" s="74"/>
      <c r="M503" s="74"/>
      <c r="N503" s="74"/>
      <c r="O503" s="74"/>
      <c r="P503" s="74"/>
      <c r="Q503" s="74"/>
      <c r="R503" s="74"/>
      <c r="S503" s="74"/>
      <c r="T503" s="74"/>
      <c r="U503" s="74"/>
      <c r="V503" s="74"/>
      <c r="W503" s="74"/>
      <c r="X503" s="74"/>
      <c r="Y503" s="74"/>
      <c r="Z503" s="74"/>
      <c r="AA503" s="74"/>
      <c r="AB503" s="74"/>
    </row>
    <row r="504" spans="1:28" ht="12" customHeight="1">
      <c r="A504" s="565"/>
      <c r="B504" s="107"/>
      <c r="C504" s="107"/>
      <c r="D504" s="108"/>
      <c r="E504" s="104"/>
      <c r="F504" s="104"/>
      <c r="G504" s="35"/>
      <c r="H504" s="104"/>
      <c r="I504" s="140"/>
      <c r="J504" s="74"/>
      <c r="K504" s="74"/>
      <c r="L504" s="74"/>
      <c r="M504" s="74"/>
      <c r="N504" s="74"/>
      <c r="O504" s="74"/>
      <c r="P504" s="74"/>
      <c r="Q504" s="74"/>
      <c r="R504" s="74"/>
      <c r="S504" s="74"/>
      <c r="T504" s="74"/>
      <c r="U504" s="74"/>
      <c r="V504" s="74"/>
      <c r="W504" s="74"/>
      <c r="X504" s="74"/>
      <c r="Y504" s="74"/>
      <c r="Z504" s="74"/>
      <c r="AA504" s="74"/>
      <c r="AB504" s="74"/>
    </row>
    <row r="505" spans="1:28" ht="12" customHeight="1">
      <c r="A505" s="565"/>
      <c r="B505" s="107"/>
      <c r="C505" s="107"/>
      <c r="D505" s="108"/>
      <c r="E505" s="104"/>
      <c r="F505" s="104"/>
      <c r="G505" s="35"/>
      <c r="H505" s="104"/>
      <c r="I505" s="140"/>
      <c r="J505" s="74"/>
      <c r="K505" s="74"/>
      <c r="L505" s="74"/>
      <c r="M505" s="74"/>
      <c r="N505" s="74"/>
      <c r="O505" s="74"/>
      <c r="P505" s="74"/>
      <c r="Q505" s="74"/>
      <c r="R505" s="74"/>
      <c r="S505" s="74"/>
      <c r="T505" s="74"/>
      <c r="U505" s="74"/>
      <c r="V505" s="74"/>
      <c r="W505" s="74"/>
      <c r="X505" s="74"/>
      <c r="Y505" s="74"/>
      <c r="Z505" s="74"/>
      <c r="AA505" s="74"/>
      <c r="AB505" s="74"/>
    </row>
    <row r="506" spans="1:28" ht="12" customHeight="1">
      <c r="A506" s="565"/>
      <c r="B506" s="107"/>
      <c r="C506" s="107"/>
      <c r="D506" s="108"/>
      <c r="E506" s="104"/>
      <c r="F506" s="104"/>
      <c r="G506" s="35"/>
      <c r="H506" s="104"/>
      <c r="I506" s="140"/>
      <c r="J506" s="74"/>
      <c r="K506" s="74"/>
      <c r="L506" s="74"/>
      <c r="M506" s="74"/>
      <c r="N506" s="74"/>
      <c r="O506" s="74"/>
      <c r="P506" s="74"/>
      <c r="Q506" s="74"/>
      <c r="R506" s="74"/>
      <c r="S506" s="74"/>
      <c r="T506" s="74"/>
      <c r="U506" s="74"/>
      <c r="V506" s="74"/>
      <c r="W506" s="74"/>
      <c r="X506" s="74"/>
      <c r="Y506" s="74"/>
      <c r="Z506" s="74"/>
      <c r="AA506" s="74"/>
      <c r="AB506" s="74"/>
    </row>
    <row r="507" spans="1:28" ht="12" customHeight="1">
      <c r="A507" s="565"/>
      <c r="B507" s="107"/>
      <c r="C507" s="107"/>
      <c r="D507" s="108"/>
      <c r="E507" s="104"/>
      <c r="F507" s="104"/>
      <c r="G507" s="35"/>
      <c r="H507" s="104"/>
      <c r="I507" s="140"/>
      <c r="J507" s="74"/>
      <c r="K507" s="74"/>
      <c r="L507" s="74"/>
      <c r="M507" s="74"/>
      <c r="N507" s="74"/>
      <c r="O507" s="74"/>
      <c r="P507" s="74"/>
      <c r="Q507" s="74"/>
      <c r="R507" s="74"/>
      <c r="S507" s="74"/>
      <c r="T507" s="74"/>
      <c r="U507" s="74"/>
      <c r="V507" s="74"/>
      <c r="W507" s="74"/>
      <c r="X507" s="74"/>
      <c r="Y507" s="74"/>
      <c r="Z507" s="74"/>
      <c r="AA507" s="74"/>
      <c r="AB507" s="74"/>
    </row>
    <row r="508" spans="1:28" ht="12" customHeight="1">
      <c r="A508" s="565"/>
      <c r="B508" s="107"/>
      <c r="C508" s="107"/>
      <c r="D508" s="108"/>
      <c r="E508" s="104"/>
      <c r="F508" s="104"/>
      <c r="G508" s="35"/>
      <c r="H508" s="104"/>
      <c r="I508" s="140"/>
      <c r="J508" s="74"/>
      <c r="K508" s="74"/>
      <c r="L508" s="74"/>
      <c r="M508" s="74"/>
      <c r="N508" s="74"/>
      <c r="O508" s="74"/>
      <c r="P508" s="74"/>
      <c r="Q508" s="74"/>
      <c r="R508" s="74"/>
      <c r="S508" s="74"/>
      <c r="T508" s="74"/>
      <c r="U508" s="74"/>
      <c r="V508" s="74"/>
      <c r="W508" s="74"/>
      <c r="X508" s="74"/>
      <c r="Y508" s="74"/>
      <c r="Z508" s="74"/>
      <c r="AA508" s="74"/>
      <c r="AB508" s="74"/>
    </row>
    <row r="509" spans="1:28" ht="12" customHeight="1">
      <c r="A509" s="565"/>
      <c r="B509" s="107"/>
      <c r="C509" s="107"/>
      <c r="D509" s="108"/>
      <c r="E509" s="104"/>
      <c r="F509" s="104"/>
      <c r="G509" s="35"/>
      <c r="H509" s="104"/>
      <c r="I509" s="140"/>
      <c r="J509" s="74"/>
      <c r="K509" s="74"/>
      <c r="L509" s="74"/>
      <c r="M509" s="74"/>
      <c r="N509" s="74"/>
      <c r="O509" s="74"/>
      <c r="P509" s="74"/>
      <c r="Q509" s="74"/>
      <c r="R509" s="74"/>
      <c r="S509" s="74"/>
      <c r="T509" s="74"/>
      <c r="U509" s="74"/>
      <c r="V509" s="74"/>
      <c r="W509" s="74"/>
      <c r="X509" s="74"/>
      <c r="Y509" s="74"/>
      <c r="Z509" s="74"/>
      <c r="AA509" s="74"/>
      <c r="AB509" s="74"/>
    </row>
    <row r="510" spans="1:28" ht="12" customHeight="1">
      <c r="A510" s="565"/>
      <c r="B510" s="107"/>
      <c r="C510" s="107"/>
      <c r="D510" s="108"/>
      <c r="E510" s="104"/>
      <c r="F510" s="104"/>
      <c r="G510" s="35"/>
      <c r="H510" s="104"/>
      <c r="I510" s="140"/>
      <c r="J510" s="74"/>
      <c r="K510" s="74"/>
      <c r="L510" s="74"/>
      <c r="M510" s="74"/>
      <c r="N510" s="74"/>
      <c r="O510" s="74"/>
      <c r="P510" s="74"/>
      <c r="Q510" s="74"/>
      <c r="R510" s="74"/>
      <c r="S510" s="74"/>
      <c r="T510" s="74"/>
      <c r="U510" s="74"/>
      <c r="V510" s="74"/>
      <c r="W510" s="74"/>
      <c r="X510" s="74"/>
      <c r="Y510" s="74"/>
      <c r="Z510" s="74"/>
      <c r="AA510" s="74"/>
      <c r="AB510" s="74"/>
    </row>
    <row r="511" spans="1:28" ht="12" customHeight="1">
      <c r="A511" s="565"/>
      <c r="B511" s="107"/>
      <c r="C511" s="107"/>
      <c r="D511" s="108"/>
      <c r="E511" s="104"/>
      <c r="F511" s="104"/>
      <c r="G511" s="35"/>
      <c r="H511" s="104"/>
      <c r="I511" s="140"/>
      <c r="J511" s="74"/>
      <c r="K511" s="74"/>
      <c r="L511" s="74"/>
      <c r="M511" s="74"/>
      <c r="N511" s="74"/>
      <c r="O511" s="74"/>
      <c r="P511" s="74"/>
      <c r="Q511" s="74"/>
      <c r="R511" s="74"/>
      <c r="S511" s="74"/>
      <c r="T511" s="74"/>
      <c r="U511" s="74"/>
      <c r="V511" s="74"/>
      <c r="W511" s="74"/>
      <c r="X511" s="74"/>
      <c r="Y511" s="74"/>
      <c r="Z511" s="74"/>
      <c r="AA511" s="74"/>
      <c r="AB511" s="74"/>
    </row>
    <row r="512" spans="1:28" ht="12" customHeight="1">
      <c r="A512" s="565"/>
      <c r="B512" s="107"/>
      <c r="C512" s="107"/>
      <c r="D512" s="108"/>
      <c r="E512" s="104"/>
      <c r="F512" s="104"/>
      <c r="G512" s="35"/>
      <c r="H512" s="104"/>
      <c r="I512" s="140"/>
      <c r="J512" s="74"/>
      <c r="K512" s="74"/>
      <c r="L512" s="74"/>
      <c r="M512" s="74"/>
      <c r="N512" s="74"/>
      <c r="O512" s="74"/>
      <c r="P512" s="74"/>
      <c r="Q512" s="74"/>
      <c r="R512" s="74"/>
      <c r="S512" s="74"/>
      <c r="T512" s="74"/>
      <c r="U512" s="74"/>
      <c r="V512" s="74"/>
      <c r="W512" s="74"/>
      <c r="X512" s="74"/>
      <c r="Y512" s="74"/>
      <c r="Z512" s="74"/>
      <c r="AA512" s="74"/>
      <c r="AB512" s="74"/>
    </row>
    <row r="513" spans="1:28" ht="12" customHeight="1">
      <c r="A513" s="565"/>
      <c r="B513" s="107"/>
      <c r="C513" s="107"/>
      <c r="D513" s="108"/>
      <c r="E513" s="104"/>
      <c r="F513" s="104"/>
      <c r="G513" s="35"/>
      <c r="H513" s="104"/>
      <c r="I513" s="140"/>
      <c r="J513" s="74"/>
      <c r="K513" s="74"/>
      <c r="L513" s="74"/>
      <c r="M513" s="74"/>
      <c r="N513" s="74"/>
      <c r="O513" s="74"/>
      <c r="P513" s="74"/>
      <c r="Q513" s="74"/>
      <c r="R513" s="74"/>
      <c r="S513" s="74"/>
      <c r="T513" s="74"/>
      <c r="U513" s="74"/>
      <c r="V513" s="74"/>
      <c r="W513" s="74"/>
      <c r="X513" s="74"/>
      <c r="Y513" s="74"/>
      <c r="Z513" s="74"/>
      <c r="AA513" s="74"/>
      <c r="AB513" s="74"/>
    </row>
    <row r="514" spans="1:28" ht="12" customHeight="1">
      <c r="A514" s="565"/>
      <c r="B514" s="107"/>
      <c r="C514" s="107"/>
      <c r="D514" s="108"/>
      <c r="E514" s="104"/>
      <c r="F514" s="104"/>
      <c r="G514" s="35"/>
      <c r="H514" s="104"/>
      <c r="I514" s="140"/>
      <c r="J514" s="74"/>
      <c r="K514" s="74"/>
      <c r="L514" s="74"/>
      <c r="M514" s="74"/>
      <c r="N514" s="74"/>
      <c r="O514" s="74"/>
      <c r="P514" s="74"/>
      <c r="Q514" s="74"/>
      <c r="R514" s="74"/>
      <c r="S514" s="74"/>
      <c r="T514" s="74"/>
      <c r="U514" s="74"/>
      <c r="V514" s="74"/>
      <c r="W514" s="74"/>
      <c r="X514" s="74"/>
      <c r="Y514" s="74"/>
      <c r="Z514" s="74"/>
      <c r="AA514" s="74"/>
      <c r="AB514" s="74"/>
    </row>
    <row r="515" spans="1:28" ht="12" customHeight="1">
      <c r="A515" s="565"/>
      <c r="B515" s="107"/>
      <c r="C515" s="107"/>
      <c r="D515" s="108"/>
      <c r="E515" s="104"/>
      <c r="F515" s="104"/>
      <c r="G515" s="35"/>
      <c r="H515" s="104"/>
      <c r="I515" s="140"/>
      <c r="J515" s="74"/>
      <c r="K515" s="74"/>
      <c r="L515" s="74"/>
      <c r="M515" s="74"/>
      <c r="N515" s="74"/>
      <c r="O515" s="74"/>
      <c r="P515" s="74"/>
      <c r="Q515" s="74"/>
      <c r="R515" s="74"/>
      <c r="S515" s="74"/>
      <c r="T515" s="74"/>
      <c r="U515" s="74"/>
      <c r="V515" s="74"/>
      <c r="W515" s="74"/>
      <c r="X515" s="74"/>
      <c r="Y515" s="74"/>
      <c r="Z515" s="74"/>
      <c r="AA515" s="74"/>
      <c r="AB515" s="74"/>
    </row>
    <row r="516" spans="1:28" ht="12" customHeight="1">
      <c r="A516" s="565"/>
      <c r="B516" s="107"/>
      <c r="C516" s="107"/>
      <c r="D516" s="108"/>
      <c r="E516" s="104"/>
      <c r="F516" s="104"/>
      <c r="G516" s="35"/>
      <c r="H516" s="104"/>
      <c r="I516" s="140"/>
      <c r="J516" s="74"/>
      <c r="K516" s="74"/>
      <c r="L516" s="74"/>
      <c r="M516" s="74"/>
      <c r="N516" s="74"/>
      <c r="O516" s="74"/>
      <c r="P516" s="74"/>
      <c r="Q516" s="74"/>
      <c r="R516" s="74"/>
      <c r="S516" s="74"/>
      <c r="T516" s="74"/>
      <c r="U516" s="74"/>
      <c r="V516" s="74"/>
      <c r="W516" s="74"/>
      <c r="X516" s="74"/>
      <c r="Y516" s="74"/>
      <c r="Z516" s="74"/>
      <c r="AA516" s="74"/>
      <c r="AB516" s="74"/>
    </row>
    <row r="517" spans="1:28" ht="12" customHeight="1">
      <c r="A517" s="565"/>
      <c r="B517" s="107"/>
      <c r="C517" s="107"/>
      <c r="D517" s="108"/>
      <c r="E517" s="104"/>
      <c r="F517" s="104"/>
      <c r="G517" s="35"/>
      <c r="H517" s="104"/>
      <c r="I517" s="140"/>
      <c r="J517" s="74"/>
      <c r="K517" s="74"/>
      <c r="L517" s="74"/>
      <c r="M517" s="74"/>
      <c r="N517" s="74"/>
      <c r="O517" s="74"/>
      <c r="P517" s="74"/>
      <c r="Q517" s="74"/>
      <c r="R517" s="74"/>
      <c r="S517" s="74"/>
      <c r="T517" s="74"/>
      <c r="U517" s="74"/>
      <c r="V517" s="74"/>
      <c r="W517" s="74"/>
      <c r="X517" s="74"/>
      <c r="Y517" s="74"/>
      <c r="Z517" s="74"/>
      <c r="AA517" s="74"/>
      <c r="AB517" s="74"/>
    </row>
    <row r="518" spans="1:28" ht="12" customHeight="1">
      <c r="A518" s="565"/>
      <c r="B518" s="107"/>
      <c r="C518" s="107"/>
      <c r="D518" s="108"/>
      <c r="E518" s="104"/>
      <c r="F518" s="104"/>
      <c r="G518" s="35"/>
      <c r="H518" s="104"/>
      <c r="I518" s="140"/>
      <c r="J518" s="74"/>
      <c r="K518" s="74"/>
      <c r="L518" s="74"/>
      <c r="M518" s="74"/>
      <c r="N518" s="74"/>
      <c r="O518" s="74"/>
      <c r="P518" s="74"/>
      <c r="Q518" s="74"/>
      <c r="R518" s="74"/>
      <c r="S518" s="74"/>
      <c r="T518" s="74"/>
      <c r="U518" s="74"/>
      <c r="V518" s="74"/>
      <c r="W518" s="74"/>
      <c r="X518" s="74"/>
      <c r="Y518" s="74"/>
      <c r="Z518" s="74"/>
      <c r="AA518" s="74"/>
      <c r="AB518" s="74"/>
    </row>
    <row r="519" spans="1:28" ht="12" customHeight="1">
      <c r="A519" s="565"/>
      <c r="B519" s="107"/>
      <c r="C519" s="107"/>
      <c r="D519" s="108"/>
      <c r="E519" s="104"/>
      <c r="F519" s="104"/>
      <c r="G519" s="35"/>
      <c r="H519" s="104"/>
      <c r="I519" s="140"/>
      <c r="J519" s="74"/>
      <c r="K519" s="74"/>
      <c r="L519" s="74"/>
      <c r="M519" s="74"/>
      <c r="N519" s="74"/>
      <c r="O519" s="74"/>
      <c r="P519" s="74"/>
      <c r="Q519" s="74"/>
      <c r="R519" s="74"/>
      <c r="S519" s="74"/>
      <c r="T519" s="74"/>
      <c r="U519" s="74"/>
      <c r="V519" s="74"/>
      <c r="W519" s="74"/>
      <c r="X519" s="74"/>
      <c r="Y519" s="74"/>
      <c r="Z519" s="74"/>
      <c r="AA519" s="74"/>
      <c r="AB519" s="74"/>
    </row>
    <row r="520" spans="1:28" ht="12" customHeight="1">
      <c r="A520" s="565"/>
      <c r="B520" s="107"/>
      <c r="C520" s="107"/>
      <c r="D520" s="108"/>
      <c r="E520" s="104"/>
      <c r="F520" s="104"/>
      <c r="G520" s="35"/>
      <c r="H520" s="104"/>
      <c r="I520" s="140"/>
      <c r="J520" s="74"/>
      <c r="K520" s="74"/>
      <c r="L520" s="74"/>
      <c r="M520" s="74"/>
      <c r="N520" s="74"/>
      <c r="O520" s="74"/>
      <c r="P520" s="74"/>
      <c r="Q520" s="74"/>
      <c r="R520" s="74"/>
      <c r="S520" s="74"/>
      <c r="T520" s="74"/>
      <c r="U520" s="74"/>
      <c r="V520" s="74"/>
      <c r="W520" s="74"/>
      <c r="X520" s="74"/>
      <c r="Y520" s="74"/>
      <c r="Z520" s="74"/>
      <c r="AA520" s="74"/>
      <c r="AB520" s="74"/>
    </row>
    <row r="521" spans="1:28" ht="12" customHeight="1">
      <c r="A521" s="565"/>
      <c r="B521" s="107"/>
      <c r="C521" s="107"/>
      <c r="D521" s="108"/>
      <c r="E521" s="104"/>
      <c r="F521" s="104"/>
      <c r="G521" s="35"/>
      <c r="H521" s="104"/>
      <c r="I521" s="140"/>
      <c r="J521" s="74"/>
      <c r="K521" s="74"/>
      <c r="L521" s="74"/>
      <c r="M521" s="74"/>
      <c r="N521" s="74"/>
      <c r="O521" s="74"/>
      <c r="P521" s="74"/>
      <c r="Q521" s="74"/>
      <c r="R521" s="74"/>
      <c r="S521" s="74"/>
      <c r="T521" s="74"/>
      <c r="U521" s="74"/>
      <c r="V521" s="74"/>
      <c r="W521" s="74"/>
      <c r="X521" s="74"/>
      <c r="Y521" s="74"/>
      <c r="Z521" s="74"/>
      <c r="AA521" s="74"/>
      <c r="AB521" s="74"/>
    </row>
    <row r="522" spans="1:28" ht="12" customHeight="1">
      <c r="A522" s="565"/>
      <c r="B522" s="107"/>
      <c r="C522" s="107"/>
      <c r="D522" s="108"/>
      <c r="E522" s="104"/>
      <c r="F522" s="104"/>
      <c r="G522" s="35"/>
      <c r="H522" s="104"/>
      <c r="I522" s="140"/>
      <c r="J522" s="74"/>
      <c r="K522" s="74"/>
      <c r="L522" s="74"/>
      <c r="M522" s="74"/>
      <c r="N522" s="74"/>
      <c r="O522" s="74"/>
      <c r="P522" s="74"/>
      <c r="Q522" s="74"/>
      <c r="R522" s="74"/>
      <c r="S522" s="74"/>
      <c r="T522" s="74"/>
      <c r="U522" s="74"/>
      <c r="V522" s="74"/>
      <c r="W522" s="74"/>
      <c r="X522" s="74"/>
      <c r="Y522" s="74"/>
      <c r="Z522" s="74"/>
      <c r="AA522" s="74"/>
      <c r="AB522" s="74"/>
    </row>
    <row r="523" spans="1:28" ht="12" customHeight="1">
      <c r="A523" s="565"/>
      <c r="B523" s="107"/>
      <c r="C523" s="107"/>
      <c r="D523" s="108"/>
      <c r="E523" s="104"/>
      <c r="F523" s="104"/>
      <c r="G523" s="35"/>
      <c r="H523" s="104"/>
      <c r="I523" s="140"/>
      <c r="J523" s="74"/>
      <c r="K523" s="74"/>
      <c r="L523" s="74"/>
      <c r="M523" s="74"/>
      <c r="N523" s="74"/>
      <c r="O523" s="74"/>
      <c r="P523" s="74"/>
      <c r="Q523" s="74"/>
      <c r="R523" s="74"/>
      <c r="S523" s="74"/>
      <c r="T523" s="74"/>
      <c r="U523" s="74"/>
      <c r="V523" s="74"/>
      <c r="W523" s="74"/>
      <c r="X523" s="74"/>
      <c r="Y523" s="74"/>
      <c r="Z523" s="74"/>
      <c r="AA523" s="74"/>
      <c r="AB523" s="74"/>
    </row>
    <row r="524" spans="1:28" ht="12" customHeight="1">
      <c r="A524" s="565"/>
      <c r="B524" s="107"/>
      <c r="C524" s="107"/>
      <c r="D524" s="108"/>
      <c r="E524" s="104"/>
      <c r="F524" s="104"/>
      <c r="G524" s="35"/>
      <c r="H524" s="104"/>
      <c r="I524" s="140"/>
      <c r="J524" s="74"/>
      <c r="K524" s="74"/>
      <c r="L524" s="74"/>
      <c r="M524" s="74"/>
      <c r="N524" s="74"/>
      <c r="O524" s="74"/>
      <c r="P524" s="74"/>
      <c r="Q524" s="74"/>
      <c r="R524" s="74"/>
      <c r="S524" s="74"/>
      <c r="T524" s="74"/>
      <c r="U524" s="74"/>
      <c r="V524" s="74"/>
      <c r="W524" s="74"/>
      <c r="X524" s="74"/>
      <c r="Y524" s="74"/>
      <c r="Z524" s="74"/>
      <c r="AA524" s="74"/>
      <c r="AB524" s="74"/>
    </row>
    <row r="525" spans="1:28" ht="12" customHeight="1">
      <c r="A525" s="565"/>
      <c r="B525" s="107"/>
      <c r="C525" s="107"/>
      <c r="D525" s="108"/>
      <c r="E525" s="104"/>
      <c r="F525" s="104"/>
      <c r="G525" s="35"/>
      <c r="H525" s="104"/>
      <c r="I525" s="140"/>
      <c r="J525" s="74"/>
      <c r="K525" s="74"/>
      <c r="L525" s="74"/>
      <c r="M525" s="74"/>
      <c r="N525" s="74"/>
      <c r="O525" s="74"/>
      <c r="P525" s="74"/>
      <c r="Q525" s="74"/>
      <c r="R525" s="74"/>
      <c r="S525" s="74"/>
      <c r="T525" s="74"/>
      <c r="U525" s="74"/>
      <c r="V525" s="74"/>
      <c r="W525" s="74"/>
      <c r="X525" s="74"/>
      <c r="Y525" s="74"/>
      <c r="Z525" s="74"/>
      <c r="AA525" s="74"/>
      <c r="AB525" s="74"/>
    </row>
    <row r="526" spans="1:28" ht="12" customHeight="1">
      <c r="A526" s="565"/>
      <c r="B526" s="107"/>
      <c r="C526" s="107"/>
      <c r="D526" s="108"/>
      <c r="E526" s="104"/>
      <c r="F526" s="104"/>
      <c r="G526" s="35"/>
      <c r="H526" s="104"/>
      <c r="I526" s="140"/>
      <c r="J526" s="74"/>
      <c r="K526" s="74"/>
      <c r="L526" s="74"/>
      <c r="M526" s="74"/>
      <c r="N526" s="74"/>
      <c r="O526" s="74"/>
      <c r="P526" s="74"/>
      <c r="Q526" s="74"/>
      <c r="R526" s="74"/>
      <c r="S526" s="74"/>
      <c r="T526" s="74"/>
      <c r="U526" s="74"/>
      <c r="V526" s="74"/>
      <c r="W526" s="74"/>
      <c r="X526" s="74"/>
      <c r="Y526" s="74"/>
      <c r="Z526" s="74"/>
      <c r="AA526" s="74"/>
      <c r="AB526" s="74"/>
    </row>
    <row r="527" spans="1:28" ht="12" customHeight="1">
      <c r="A527" s="565"/>
      <c r="B527" s="107"/>
      <c r="C527" s="107"/>
      <c r="D527" s="108"/>
      <c r="E527" s="104"/>
      <c r="F527" s="104"/>
      <c r="G527" s="35"/>
      <c r="H527" s="104"/>
      <c r="I527" s="140"/>
      <c r="J527" s="74"/>
      <c r="K527" s="74"/>
      <c r="L527" s="74"/>
      <c r="M527" s="74"/>
      <c r="N527" s="74"/>
      <c r="O527" s="74"/>
      <c r="P527" s="74"/>
      <c r="Q527" s="74"/>
      <c r="R527" s="74"/>
      <c r="S527" s="74"/>
      <c r="T527" s="74"/>
      <c r="U527" s="74"/>
      <c r="V527" s="74"/>
      <c r="W527" s="74"/>
      <c r="X527" s="74"/>
      <c r="Y527" s="74"/>
      <c r="Z527" s="74"/>
      <c r="AA527" s="74"/>
      <c r="AB527" s="74"/>
    </row>
    <row r="528" spans="1:28" ht="12" customHeight="1">
      <c r="A528" s="565"/>
      <c r="B528" s="107"/>
      <c r="C528" s="107"/>
      <c r="D528" s="108"/>
      <c r="E528" s="104"/>
      <c r="F528" s="104"/>
      <c r="G528" s="35"/>
      <c r="H528" s="104"/>
      <c r="I528" s="140"/>
      <c r="J528" s="74"/>
      <c r="K528" s="74"/>
      <c r="L528" s="74"/>
      <c r="M528" s="74"/>
      <c r="N528" s="74"/>
      <c r="O528" s="74"/>
      <c r="P528" s="74"/>
      <c r="Q528" s="74"/>
      <c r="R528" s="74"/>
      <c r="S528" s="74"/>
      <c r="T528" s="74"/>
      <c r="U528" s="74"/>
      <c r="V528" s="74"/>
      <c r="W528" s="74"/>
      <c r="X528" s="74"/>
      <c r="Y528" s="74"/>
      <c r="Z528" s="74"/>
      <c r="AA528" s="74"/>
      <c r="AB528" s="74"/>
    </row>
    <row r="529" spans="1:28" ht="12" customHeight="1">
      <c r="A529" s="565"/>
      <c r="B529" s="107"/>
      <c r="C529" s="107"/>
      <c r="D529" s="108"/>
      <c r="E529" s="104"/>
      <c r="F529" s="104"/>
      <c r="G529" s="35"/>
      <c r="H529" s="104"/>
      <c r="I529" s="140"/>
      <c r="J529" s="74"/>
      <c r="K529" s="74"/>
      <c r="L529" s="74"/>
      <c r="M529" s="74"/>
      <c r="N529" s="74"/>
      <c r="O529" s="74"/>
      <c r="P529" s="74"/>
      <c r="Q529" s="74"/>
      <c r="R529" s="74"/>
      <c r="S529" s="74"/>
      <c r="T529" s="74"/>
      <c r="U529" s="74"/>
      <c r="V529" s="74"/>
      <c r="W529" s="74"/>
      <c r="X529" s="74"/>
      <c r="Y529" s="74"/>
      <c r="Z529" s="74"/>
      <c r="AA529" s="74"/>
      <c r="AB529" s="74"/>
    </row>
    <row r="530" spans="1:28" ht="12" customHeight="1">
      <c r="A530" s="565"/>
      <c r="B530" s="107"/>
      <c r="C530" s="107"/>
      <c r="D530" s="108"/>
      <c r="E530" s="104"/>
      <c r="F530" s="104"/>
      <c r="G530" s="35"/>
      <c r="H530" s="104"/>
      <c r="I530" s="140"/>
      <c r="J530" s="74"/>
      <c r="K530" s="74"/>
      <c r="L530" s="74"/>
      <c r="M530" s="74"/>
      <c r="N530" s="74"/>
      <c r="O530" s="74"/>
      <c r="P530" s="74"/>
      <c r="Q530" s="74"/>
      <c r="R530" s="74"/>
      <c r="S530" s="74"/>
      <c r="T530" s="74"/>
      <c r="U530" s="74"/>
      <c r="V530" s="74"/>
      <c r="W530" s="74"/>
      <c r="X530" s="74"/>
      <c r="Y530" s="74"/>
      <c r="Z530" s="74"/>
      <c r="AA530" s="74"/>
      <c r="AB530" s="74"/>
    </row>
    <row r="531" spans="1:28" ht="12" customHeight="1">
      <c r="A531" s="565"/>
      <c r="B531" s="107"/>
      <c r="C531" s="107"/>
      <c r="D531" s="108"/>
      <c r="E531" s="104"/>
      <c r="F531" s="104"/>
      <c r="G531" s="35"/>
      <c r="H531" s="104"/>
      <c r="I531" s="140"/>
      <c r="J531" s="74"/>
      <c r="K531" s="74"/>
      <c r="L531" s="74"/>
      <c r="M531" s="74"/>
      <c r="N531" s="74"/>
      <c r="O531" s="74"/>
      <c r="P531" s="74"/>
      <c r="Q531" s="74"/>
      <c r="R531" s="74"/>
      <c r="S531" s="74"/>
      <c r="T531" s="74"/>
      <c r="U531" s="74"/>
      <c r="V531" s="74"/>
      <c r="W531" s="74"/>
      <c r="X531" s="74"/>
      <c r="Y531" s="74"/>
      <c r="Z531" s="74"/>
      <c r="AA531" s="74"/>
      <c r="AB531" s="74"/>
    </row>
    <row r="532" spans="1:28" ht="12" customHeight="1">
      <c r="A532" s="565"/>
      <c r="B532" s="107"/>
      <c r="C532" s="107"/>
      <c r="D532" s="108"/>
      <c r="E532" s="104"/>
      <c r="F532" s="104"/>
      <c r="G532" s="35"/>
      <c r="H532" s="104"/>
      <c r="I532" s="140"/>
      <c r="J532" s="74"/>
      <c r="K532" s="74"/>
      <c r="L532" s="74"/>
      <c r="M532" s="74"/>
      <c r="N532" s="74"/>
      <c r="O532" s="74"/>
      <c r="P532" s="74"/>
      <c r="Q532" s="74"/>
      <c r="R532" s="74"/>
      <c r="S532" s="74"/>
      <c r="T532" s="74"/>
      <c r="U532" s="74"/>
      <c r="V532" s="74"/>
      <c r="W532" s="74"/>
      <c r="X532" s="74"/>
      <c r="Y532" s="74"/>
      <c r="Z532" s="74"/>
      <c r="AA532" s="74"/>
      <c r="AB532" s="74"/>
    </row>
    <row r="533" spans="1:28" ht="12" customHeight="1">
      <c r="A533" s="565"/>
      <c r="B533" s="107"/>
      <c r="C533" s="107"/>
      <c r="D533" s="108"/>
      <c r="E533" s="104"/>
      <c r="F533" s="104"/>
      <c r="G533" s="35"/>
      <c r="H533" s="104"/>
      <c r="I533" s="140"/>
      <c r="J533" s="74"/>
      <c r="K533" s="74"/>
      <c r="L533" s="74"/>
      <c r="M533" s="74"/>
      <c r="N533" s="74"/>
      <c r="O533" s="74"/>
      <c r="P533" s="74"/>
      <c r="Q533" s="74"/>
      <c r="R533" s="74"/>
      <c r="S533" s="74"/>
      <c r="T533" s="74"/>
      <c r="U533" s="74"/>
      <c r="V533" s="74"/>
      <c r="W533" s="74"/>
      <c r="X533" s="74"/>
      <c r="Y533" s="74"/>
      <c r="Z533" s="74"/>
      <c r="AA533" s="74"/>
      <c r="AB533" s="74"/>
    </row>
    <row r="534" spans="1:28" ht="12" customHeight="1">
      <c r="A534" s="565"/>
      <c r="B534" s="107"/>
      <c r="C534" s="107"/>
      <c r="D534" s="108"/>
      <c r="E534" s="104"/>
      <c r="F534" s="104"/>
      <c r="G534" s="35"/>
      <c r="H534" s="104"/>
      <c r="I534" s="140"/>
      <c r="J534" s="74"/>
      <c r="K534" s="74"/>
      <c r="L534" s="74"/>
      <c r="M534" s="74"/>
      <c r="N534" s="74"/>
      <c r="O534" s="74"/>
      <c r="P534" s="74"/>
      <c r="Q534" s="74"/>
      <c r="R534" s="74"/>
      <c r="S534" s="74"/>
      <c r="T534" s="74"/>
      <c r="U534" s="74"/>
      <c r="V534" s="74"/>
      <c r="W534" s="74"/>
      <c r="X534" s="74"/>
      <c r="Y534" s="74"/>
      <c r="Z534" s="74"/>
      <c r="AA534" s="74"/>
      <c r="AB534" s="74"/>
    </row>
    <row r="535" spans="1:28" ht="12" customHeight="1">
      <c r="A535" s="565"/>
      <c r="B535" s="107"/>
      <c r="C535" s="107"/>
      <c r="D535" s="108"/>
      <c r="E535" s="104"/>
      <c r="F535" s="104"/>
      <c r="G535" s="35"/>
      <c r="H535" s="104"/>
      <c r="I535" s="140"/>
      <c r="J535" s="74"/>
      <c r="K535" s="74"/>
      <c r="L535" s="74"/>
      <c r="M535" s="74"/>
      <c r="N535" s="74"/>
      <c r="O535" s="74"/>
      <c r="P535" s="74"/>
      <c r="Q535" s="74"/>
      <c r="R535" s="74"/>
      <c r="S535" s="74"/>
      <c r="T535" s="74"/>
      <c r="U535" s="74"/>
      <c r="V535" s="74"/>
      <c r="W535" s="74"/>
      <c r="X535" s="74"/>
      <c r="Y535" s="74"/>
      <c r="Z535" s="74"/>
      <c r="AA535" s="74"/>
      <c r="AB535" s="74"/>
    </row>
    <row r="536" spans="1:28" ht="12" customHeight="1">
      <c r="A536" s="565"/>
      <c r="B536" s="107"/>
      <c r="C536" s="107"/>
      <c r="D536" s="108"/>
      <c r="E536" s="104"/>
      <c r="F536" s="104"/>
      <c r="G536" s="35"/>
      <c r="H536" s="104"/>
      <c r="I536" s="140"/>
      <c r="J536" s="74"/>
      <c r="K536" s="74"/>
      <c r="L536" s="74"/>
      <c r="M536" s="74"/>
      <c r="N536" s="74"/>
      <c r="O536" s="74"/>
      <c r="P536" s="74"/>
      <c r="Q536" s="74"/>
      <c r="R536" s="74"/>
      <c r="S536" s="74"/>
      <c r="T536" s="74"/>
      <c r="U536" s="74"/>
      <c r="V536" s="74"/>
      <c r="W536" s="74"/>
      <c r="X536" s="74"/>
      <c r="Y536" s="74"/>
      <c r="Z536" s="74"/>
      <c r="AA536" s="74"/>
      <c r="AB536" s="74"/>
    </row>
    <row r="537" spans="1:28" ht="12" customHeight="1">
      <c r="A537" s="565"/>
      <c r="B537" s="107"/>
      <c r="C537" s="107"/>
      <c r="D537" s="108"/>
      <c r="E537" s="104"/>
      <c r="F537" s="104"/>
      <c r="G537" s="35"/>
      <c r="H537" s="104"/>
      <c r="I537" s="140"/>
      <c r="J537" s="74"/>
      <c r="K537" s="74"/>
      <c r="L537" s="74"/>
      <c r="M537" s="74"/>
      <c r="N537" s="74"/>
      <c r="O537" s="74"/>
      <c r="P537" s="74"/>
      <c r="Q537" s="74"/>
      <c r="R537" s="74"/>
      <c r="S537" s="74"/>
      <c r="T537" s="74"/>
      <c r="U537" s="74"/>
      <c r="V537" s="74"/>
      <c r="W537" s="74"/>
      <c r="X537" s="74"/>
      <c r="Y537" s="74"/>
      <c r="Z537" s="74"/>
      <c r="AA537" s="74"/>
      <c r="AB537" s="74"/>
    </row>
    <row r="538" spans="1:28" ht="12" customHeight="1">
      <c r="A538" s="565"/>
      <c r="B538" s="107"/>
      <c r="C538" s="107"/>
      <c r="D538" s="108"/>
      <c r="E538" s="104"/>
      <c r="F538" s="104"/>
      <c r="G538" s="35"/>
      <c r="H538" s="104"/>
      <c r="I538" s="140"/>
      <c r="J538" s="74"/>
      <c r="K538" s="74"/>
      <c r="L538" s="74"/>
      <c r="M538" s="74"/>
      <c r="N538" s="74"/>
      <c r="O538" s="74"/>
      <c r="P538" s="74"/>
      <c r="Q538" s="74"/>
      <c r="R538" s="74"/>
      <c r="S538" s="74"/>
      <c r="T538" s="74"/>
      <c r="U538" s="74"/>
      <c r="V538" s="74"/>
      <c r="W538" s="74"/>
      <c r="X538" s="74"/>
      <c r="Y538" s="74"/>
      <c r="Z538" s="74"/>
      <c r="AA538" s="74"/>
      <c r="AB538" s="74"/>
    </row>
    <row r="539" spans="1:28" ht="12" customHeight="1">
      <c r="A539" s="565"/>
      <c r="B539" s="107"/>
      <c r="C539" s="107"/>
      <c r="D539" s="108"/>
      <c r="E539" s="104"/>
      <c r="F539" s="104"/>
      <c r="G539" s="35"/>
      <c r="H539" s="104"/>
      <c r="I539" s="140"/>
      <c r="J539" s="74"/>
      <c r="K539" s="74"/>
      <c r="L539" s="74"/>
      <c r="M539" s="74"/>
      <c r="N539" s="74"/>
      <c r="O539" s="74"/>
      <c r="P539" s="74"/>
      <c r="Q539" s="74"/>
      <c r="R539" s="74"/>
      <c r="S539" s="74"/>
      <c r="T539" s="74"/>
      <c r="U539" s="74"/>
      <c r="V539" s="74"/>
      <c r="W539" s="74"/>
      <c r="X539" s="74"/>
      <c r="Y539" s="74"/>
      <c r="Z539" s="74"/>
      <c r="AA539" s="74"/>
      <c r="AB539" s="74"/>
    </row>
    <row r="540" spans="1:28" ht="12" customHeight="1">
      <c r="A540" s="565"/>
      <c r="B540" s="107"/>
      <c r="C540" s="107"/>
      <c r="D540" s="108"/>
      <c r="E540" s="104"/>
      <c r="F540" s="104"/>
      <c r="G540" s="35"/>
      <c r="H540" s="104"/>
      <c r="I540" s="140"/>
      <c r="J540" s="74"/>
      <c r="K540" s="74"/>
      <c r="L540" s="74"/>
      <c r="M540" s="74"/>
      <c r="N540" s="74"/>
      <c r="O540" s="74"/>
      <c r="P540" s="74"/>
      <c r="Q540" s="74"/>
      <c r="R540" s="74"/>
      <c r="S540" s="74"/>
      <c r="T540" s="74"/>
      <c r="U540" s="74"/>
      <c r="V540" s="74"/>
      <c r="W540" s="74"/>
      <c r="X540" s="74"/>
      <c r="Y540" s="74"/>
      <c r="Z540" s="74"/>
      <c r="AA540" s="74"/>
      <c r="AB540" s="74"/>
    </row>
    <row r="541" spans="1:28" ht="12" customHeight="1">
      <c r="A541" s="565"/>
      <c r="B541" s="107"/>
      <c r="C541" s="107"/>
      <c r="D541" s="108"/>
      <c r="E541" s="104"/>
      <c r="F541" s="104"/>
      <c r="G541" s="35"/>
      <c r="H541" s="104"/>
      <c r="I541" s="140"/>
      <c r="J541" s="74"/>
      <c r="K541" s="74"/>
      <c r="L541" s="74"/>
      <c r="M541" s="74"/>
      <c r="N541" s="74"/>
      <c r="O541" s="74"/>
      <c r="P541" s="74"/>
      <c r="Q541" s="74"/>
      <c r="R541" s="74"/>
      <c r="S541" s="74"/>
      <c r="T541" s="74"/>
      <c r="U541" s="74"/>
      <c r="V541" s="74"/>
      <c r="W541" s="74"/>
      <c r="X541" s="74"/>
      <c r="Y541" s="74"/>
      <c r="Z541" s="74"/>
      <c r="AA541" s="74"/>
      <c r="AB541" s="74"/>
    </row>
    <row r="542" spans="1:28" ht="12" customHeight="1">
      <c r="A542" s="565"/>
      <c r="B542" s="107"/>
      <c r="C542" s="107"/>
      <c r="D542" s="108"/>
      <c r="E542" s="104"/>
      <c r="F542" s="104"/>
      <c r="G542" s="35"/>
      <c r="H542" s="104"/>
      <c r="I542" s="140"/>
      <c r="J542" s="74"/>
      <c r="K542" s="74"/>
      <c r="L542" s="74"/>
      <c r="M542" s="74"/>
      <c r="N542" s="74"/>
      <c r="O542" s="74"/>
      <c r="P542" s="74"/>
      <c r="Q542" s="74"/>
      <c r="R542" s="74"/>
      <c r="S542" s="74"/>
      <c r="T542" s="74"/>
      <c r="U542" s="74"/>
      <c r="V542" s="74"/>
      <c r="W542" s="74"/>
      <c r="X542" s="74"/>
      <c r="Y542" s="74"/>
      <c r="Z542" s="74"/>
      <c r="AA542" s="74"/>
      <c r="AB542" s="74"/>
    </row>
    <row r="543" spans="1:28" ht="12" customHeight="1">
      <c r="A543" s="565"/>
      <c r="B543" s="107"/>
      <c r="C543" s="107"/>
      <c r="D543" s="108"/>
      <c r="E543" s="104"/>
      <c r="F543" s="104"/>
      <c r="G543" s="35"/>
      <c r="H543" s="104"/>
      <c r="I543" s="140"/>
      <c r="J543" s="74"/>
      <c r="K543" s="74"/>
      <c r="L543" s="74"/>
      <c r="M543" s="74"/>
      <c r="N543" s="74"/>
      <c r="O543" s="74"/>
      <c r="P543" s="74"/>
      <c r="Q543" s="74"/>
      <c r="R543" s="74"/>
      <c r="S543" s="74"/>
      <c r="T543" s="74"/>
      <c r="U543" s="74"/>
      <c r="V543" s="74"/>
      <c r="W543" s="74"/>
      <c r="X543" s="74"/>
      <c r="Y543" s="74"/>
      <c r="Z543" s="74"/>
      <c r="AA543" s="74"/>
      <c r="AB543" s="74"/>
    </row>
    <row r="544" spans="1:28" ht="12" customHeight="1">
      <c r="A544" s="565"/>
      <c r="B544" s="107"/>
      <c r="C544" s="107"/>
      <c r="D544" s="108"/>
      <c r="E544" s="104"/>
      <c r="F544" s="104"/>
      <c r="G544" s="35"/>
      <c r="H544" s="104"/>
      <c r="I544" s="140"/>
      <c r="J544" s="74"/>
      <c r="K544" s="74"/>
      <c r="L544" s="74"/>
      <c r="M544" s="74"/>
      <c r="N544" s="74"/>
      <c r="O544" s="74"/>
      <c r="P544" s="74"/>
      <c r="Q544" s="74"/>
      <c r="R544" s="74"/>
      <c r="S544" s="74"/>
      <c r="T544" s="74"/>
      <c r="U544" s="74"/>
      <c r="V544" s="74"/>
      <c r="W544" s="74"/>
      <c r="X544" s="74"/>
      <c r="Y544" s="74"/>
      <c r="Z544" s="74"/>
      <c r="AA544" s="74"/>
      <c r="AB544" s="74"/>
    </row>
    <row r="545" spans="1:28" ht="12" customHeight="1">
      <c r="A545" s="565"/>
      <c r="B545" s="107"/>
      <c r="C545" s="107"/>
      <c r="D545" s="108"/>
      <c r="E545" s="104"/>
      <c r="F545" s="104"/>
      <c r="G545" s="35"/>
      <c r="H545" s="104"/>
      <c r="I545" s="140"/>
      <c r="J545" s="74"/>
      <c r="K545" s="74"/>
      <c r="L545" s="74"/>
      <c r="M545" s="74"/>
      <c r="N545" s="74"/>
      <c r="O545" s="74"/>
      <c r="P545" s="74"/>
      <c r="Q545" s="74"/>
      <c r="R545" s="74"/>
      <c r="S545" s="74"/>
      <c r="T545" s="74"/>
      <c r="U545" s="74"/>
      <c r="V545" s="74"/>
      <c r="W545" s="74"/>
      <c r="X545" s="74"/>
      <c r="Y545" s="74"/>
      <c r="Z545" s="74"/>
      <c r="AA545" s="74"/>
      <c r="AB545" s="74"/>
    </row>
    <row r="546" spans="1:28" ht="12" customHeight="1">
      <c r="A546" s="565"/>
      <c r="B546" s="107"/>
      <c r="C546" s="107"/>
      <c r="D546" s="108"/>
      <c r="E546" s="104"/>
      <c r="F546" s="104"/>
      <c r="G546" s="35"/>
      <c r="H546" s="104"/>
      <c r="I546" s="140"/>
      <c r="J546" s="74"/>
      <c r="K546" s="74"/>
      <c r="L546" s="74"/>
      <c r="M546" s="74"/>
      <c r="N546" s="74"/>
      <c r="O546" s="74"/>
      <c r="P546" s="74"/>
      <c r="Q546" s="74"/>
      <c r="R546" s="74"/>
      <c r="S546" s="74"/>
      <c r="T546" s="74"/>
      <c r="U546" s="74"/>
      <c r="V546" s="74"/>
      <c r="W546" s="74"/>
      <c r="X546" s="74"/>
      <c r="Y546" s="74"/>
      <c r="Z546" s="74"/>
      <c r="AA546" s="74"/>
      <c r="AB546" s="74"/>
    </row>
    <row r="547" spans="1:28" ht="12" customHeight="1">
      <c r="A547" s="565"/>
      <c r="B547" s="107"/>
      <c r="C547" s="107"/>
      <c r="D547" s="108"/>
      <c r="E547" s="104"/>
      <c r="F547" s="104"/>
      <c r="G547" s="35"/>
      <c r="H547" s="104"/>
      <c r="I547" s="140"/>
      <c r="J547" s="74"/>
      <c r="K547" s="74"/>
      <c r="L547" s="74"/>
      <c r="M547" s="74"/>
      <c r="N547" s="74"/>
      <c r="O547" s="74"/>
      <c r="P547" s="74"/>
      <c r="Q547" s="74"/>
      <c r="R547" s="74"/>
      <c r="S547" s="74"/>
      <c r="T547" s="74"/>
      <c r="U547" s="74"/>
      <c r="V547" s="74"/>
      <c r="W547" s="74"/>
      <c r="X547" s="74"/>
      <c r="Y547" s="74"/>
      <c r="Z547" s="74"/>
      <c r="AA547" s="74"/>
      <c r="AB547" s="74"/>
    </row>
    <row r="548" spans="1:28" ht="12" customHeight="1">
      <c r="A548" s="565"/>
      <c r="B548" s="107"/>
      <c r="C548" s="107"/>
      <c r="D548" s="108"/>
      <c r="E548" s="104"/>
      <c r="F548" s="104"/>
      <c r="G548" s="35"/>
      <c r="H548" s="104"/>
      <c r="I548" s="140"/>
      <c r="J548" s="74"/>
      <c r="K548" s="74"/>
      <c r="L548" s="74"/>
      <c r="M548" s="74"/>
      <c r="N548" s="74"/>
      <c r="O548" s="74"/>
      <c r="P548" s="74"/>
      <c r="Q548" s="74"/>
      <c r="R548" s="74"/>
      <c r="S548" s="74"/>
      <c r="T548" s="74"/>
      <c r="U548" s="74"/>
      <c r="V548" s="74"/>
      <c r="W548" s="74"/>
      <c r="X548" s="74"/>
      <c r="Y548" s="74"/>
      <c r="Z548" s="74"/>
      <c r="AA548" s="74"/>
      <c r="AB548" s="74"/>
    </row>
    <row r="549" spans="1:28" ht="12" customHeight="1">
      <c r="A549" s="565"/>
      <c r="B549" s="107"/>
      <c r="C549" s="107"/>
      <c r="D549" s="108"/>
      <c r="E549" s="104"/>
      <c r="F549" s="104"/>
      <c r="G549" s="35"/>
      <c r="H549" s="104"/>
      <c r="I549" s="140"/>
      <c r="J549" s="74"/>
      <c r="K549" s="74"/>
      <c r="L549" s="74"/>
      <c r="M549" s="74"/>
      <c r="N549" s="74"/>
      <c r="O549" s="74"/>
      <c r="P549" s="74"/>
      <c r="Q549" s="74"/>
      <c r="R549" s="74"/>
      <c r="S549" s="74"/>
      <c r="T549" s="74"/>
      <c r="U549" s="74"/>
      <c r="V549" s="74"/>
      <c r="W549" s="74"/>
      <c r="X549" s="74"/>
      <c r="Y549" s="74"/>
      <c r="Z549" s="74"/>
      <c r="AA549" s="74"/>
      <c r="AB549" s="74"/>
    </row>
    <row r="550" spans="1:28" ht="12" customHeight="1">
      <c r="A550" s="565"/>
      <c r="B550" s="107"/>
      <c r="C550" s="107"/>
      <c r="D550" s="108"/>
      <c r="E550" s="104"/>
      <c r="F550" s="104"/>
      <c r="G550" s="35"/>
      <c r="H550" s="104"/>
      <c r="I550" s="140"/>
      <c r="J550" s="74"/>
      <c r="K550" s="74"/>
      <c r="L550" s="74"/>
      <c r="M550" s="74"/>
      <c r="N550" s="74"/>
      <c r="O550" s="74"/>
      <c r="P550" s="74"/>
      <c r="Q550" s="74"/>
      <c r="R550" s="74"/>
      <c r="S550" s="74"/>
      <c r="T550" s="74"/>
      <c r="U550" s="74"/>
      <c r="V550" s="74"/>
      <c r="W550" s="74"/>
      <c r="X550" s="74"/>
      <c r="Y550" s="74"/>
      <c r="Z550" s="74"/>
      <c r="AA550" s="74"/>
      <c r="AB550" s="74"/>
    </row>
    <row r="551" spans="1:28" ht="12" customHeight="1">
      <c r="A551" s="565"/>
      <c r="B551" s="107"/>
      <c r="C551" s="107"/>
      <c r="D551" s="108"/>
      <c r="E551" s="104"/>
      <c r="F551" s="104"/>
      <c r="G551" s="35"/>
      <c r="H551" s="104"/>
      <c r="I551" s="140"/>
      <c r="J551" s="74"/>
      <c r="K551" s="74"/>
      <c r="L551" s="74"/>
      <c r="M551" s="74"/>
      <c r="N551" s="74"/>
      <c r="O551" s="74"/>
      <c r="P551" s="74"/>
      <c r="Q551" s="74"/>
      <c r="R551" s="74"/>
      <c r="S551" s="74"/>
      <c r="T551" s="74"/>
      <c r="U551" s="74"/>
      <c r="V551" s="74"/>
      <c r="W551" s="74"/>
      <c r="X551" s="74"/>
      <c r="Y551" s="74"/>
      <c r="Z551" s="74"/>
      <c r="AA551" s="74"/>
      <c r="AB551" s="74"/>
    </row>
    <row r="552" spans="1:28" ht="12" customHeight="1">
      <c r="A552" s="565"/>
      <c r="B552" s="107"/>
      <c r="C552" s="107"/>
      <c r="D552" s="108"/>
      <c r="E552" s="104"/>
      <c r="F552" s="104"/>
      <c r="G552" s="35"/>
      <c r="H552" s="104"/>
      <c r="I552" s="140"/>
      <c r="J552" s="74"/>
      <c r="K552" s="74"/>
      <c r="L552" s="74"/>
      <c r="M552" s="74"/>
      <c r="N552" s="74"/>
      <c r="O552" s="74"/>
      <c r="P552" s="74"/>
      <c r="Q552" s="74"/>
      <c r="R552" s="74"/>
      <c r="S552" s="74"/>
      <c r="T552" s="74"/>
      <c r="U552" s="74"/>
      <c r="V552" s="74"/>
      <c r="W552" s="74"/>
      <c r="X552" s="74"/>
      <c r="Y552" s="74"/>
      <c r="Z552" s="74"/>
      <c r="AA552" s="74"/>
      <c r="AB552" s="74"/>
    </row>
    <row r="553" spans="1:28" ht="12" customHeight="1">
      <c r="A553" s="565"/>
      <c r="B553" s="107"/>
      <c r="C553" s="107"/>
      <c r="D553" s="108"/>
      <c r="E553" s="104"/>
      <c r="F553" s="104"/>
      <c r="G553" s="35"/>
      <c r="H553" s="104"/>
      <c r="I553" s="140"/>
      <c r="J553" s="74"/>
      <c r="K553" s="74"/>
      <c r="L553" s="74"/>
      <c r="M553" s="74"/>
      <c r="N553" s="74"/>
      <c r="O553" s="74"/>
      <c r="P553" s="74"/>
      <c r="Q553" s="74"/>
      <c r="R553" s="74"/>
      <c r="S553" s="74"/>
      <c r="T553" s="74"/>
      <c r="U553" s="74"/>
      <c r="V553" s="74"/>
      <c r="W553" s="74"/>
      <c r="X553" s="74"/>
      <c r="Y553" s="74"/>
      <c r="Z553" s="74"/>
      <c r="AA553" s="74"/>
      <c r="AB553" s="74"/>
    </row>
    <row r="554" spans="1:28" ht="12" customHeight="1">
      <c r="A554" s="565"/>
      <c r="B554" s="107"/>
      <c r="C554" s="107"/>
      <c r="D554" s="108"/>
      <c r="E554" s="104"/>
      <c r="F554" s="104"/>
      <c r="G554" s="35"/>
      <c r="H554" s="104"/>
      <c r="I554" s="140"/>
      <c r="J554" s="74"/>
      <c r="K554" s="74"/>
      <c r="L554" s="74"/>
      <c r="M554" s="74"/>
      <c r="N554" s="74"/>
      <c r="O554" s="74"/>
      <c r="P554" s="74"/>
      <c r="Q554" s="74"/>
      <c r="R554" s="74"/>
      <c r="S554" s="74"/>
      <c r="T554" s="74"/>
      <c r="U554" s="74"/>
      <c r="V554" s="74"/>
      <c r="W554" s="74"/>
      <c r="X554" s="74"/>
      <c r="Y554" s="74"/>
      <c r="Z554" s="74"/>
      <c r="AA554" s="74"/>
      <c r="AB554" s="74"/>
    </row>
    <row r="555" spans="1:28" ht="12" customHeight="1">
      <c r="A555" s="565"/>
      <c r="B555" s="107"/>
      <c r="C555" s="107"/>
      <c r="D555" s="108"/>
      <c r="E555" s="104"/>
      <c r="F555" s="104"/>
      <c r="G555" s="35"/>
      <c r="H555" s="104"/>
      <c r="I555" s="140"/>
      <c r="J555" s="74"/>
      <c r="K555" s="74"/>
      <c r="L555" s="74"/>
      <c r="M555" s="74"/>
      <c r="N555" s="74"/>
      <c r="O555" s="74"/>
      <c r="P555" s="74"/>
      <c r="Q555" s="74"/>
      <c r="R555" s="74"/>
      <c r="S555" s="74"/>
      <c r="T555" s="74"/>
      <c r="U555" s="74"/>
      <c r="V555" s="74"/>
      <c r="W555" s="74"/>
      <c r="X555" s="74"/>
      <c r="Y555" s="74"/>
      <c r="Z555" s="74"/>
      <c r="AA555" s="74"/>
      <c r="AB555" s="74"/>
    </row>
    <row r="556" spans="1:28" ht="12" customHeight="1">
      <c r="A556" s="565"/>
      <c r="B556" s="107"/>
      <c r="C556" s="107"/>
      <c r="D556" s="108"/>
      <c r="E556" s="104"/>
      <c r="F556" s="104"/>
      <c r="G556" s="35"/>
      <c r="H556" s="104"/>
      <c r="I556" s="140"/>
      <c r="J556" s="74"/>
      <c r="K556" s="74"/>
      <c r="L556" s="74"/>
      <c r="M556" s="74"/>
      <c r="N556" s="74"/>
      <c r="O556" s="74"/>
      <c r="P556" s="74"/>
      <c r="Q556" s="74"/>
      <c r="R556" s="74"/>
      <c r="S556" s="74"/>
      <c r="T556" s="74"/>
      <c r="U556" s="74"/>
      <c r="V556" s="74"/>
      <c r="W556" s="74"/>
      <c r="X556" s="74"/>
      <c r="Y556" s="74"/>
      <c r="Z556" s="74"/>
      <c r="AA556" s="74"/>
      <c r="AB556" s="74"/>
    </row>
    <row r="557" spans="1:28" ht="12" customHeight="1">
      <c r="A557" s="565"/>
      <c r="B557" s="107"/>
      <c r="C557" s="107"/>
      <c r="D557" s="108"/>
      <c r="E557" s="104"/>
      <c r="F557" s="104"/>
      <c r="G557" s="35"/>
      <c r="H557" s="104"/>
      <c r="I557" s="140"/>
      <c r="J557" s="74"/>
      <c r="K557" s="74"/>
      <c r="L557" s="74"/>
      <c r="M557" s="74"/>
      <c r="N557" s="74"/>
      <c r="O557" s="74"/>
      <c r="P557" s="74"/>
      <c r="Q557" s="74"/>
      <c r="R557" s="74"/>
      <c r="S557" s="74"/>
      <c r="T557" s="74"/>
      <c r="U557" s="74"/>
      <c r="V557" s="74"/>
      <c r="W557" s="74"/>
      <c r="X557" s="74"/>
      <c r="Y557" s="74"/>
      <c r="Z557" s="74"/>
      <c r="AA557" s="74"/>
      <c r="AB557" s="74"/>
    </row>
    <row r="558" spans="1:28" ht="12" customHeight="1">
      <c r="A558" s="565"/>
      <c r="B558" s="107"/>
      <c r="C558" s="107"/>
      <c r="D558" s="108"/>
      <c r="E558" s="104"/>
      <c r="F558" s="104"/>
      <c r="G558" s="35"/>
      <c r="H558" s="104"/>
      <c r="I558" s="140"/>
      <c r="J558" s="74"/>
      <c r="K558" s="74"/>
      <c r="L558" s="74"/>
      <c r="M558" s="74"/>
      <c r="N558" s="74"/>
      <c r="O558" s="74"/>
      <c r="P558" s="74"/>
      <c r="Q558" s="74"/>
      <c r="R558" s="74"/>
      <c r="S558" s="74"/>
      <c r="T558" s="74"/>
      <c r="U558" s="74"/>
      <c r="V558" s="74"/>
      <c r="W558" s="74"/>
      <c r="X558" s="74"/>
      <c r="Y558" s="74"/>
      <c r="Z558" s="74"/>
      <c r="AA558" s="74"/>
      <c r="AB558" s="74"/>
    </row>
    <row r="559" spans="1:28" ht="12" customHeight="1">
      <c r="A559" s="565"/>
      <c r="B559" s="107"/>
      <c r="C559" s="107"/>
      <c r="D559" s="108"/>
      <c r="E559" s="104"/>
      <c r="F559" s="104"/>
      <c r="G559" s="35"/>
      <c r="H559" s="104"/>
      <c r="I559" s="140"/>
      <c r="J559" s="74"/>
      <c r="K559" s="74"/>
      <c r="L559" s="74"/>
      <c r="M559" s="74"/>
      <c r="N559" s="74"/>
      <c r="O559" s="74"/>
      <c r="P559" s="74"/>
      <c r="Q559" s="74"/>
      <c r="R559" s="74"/>
      <c r="S559" s="74"/>
      <c r="T559" s="74"/>
      <c r="U559" s="74"/>
      <c r="V559" s="74"/>
      <c r="W559" s="74"/>
      <c r="X559" s="74"/>
      <c r="Y559" s="74"/>
      <c r="Z559" s="74"/>
      <c r="AA559" s="74"/>
      <c r="AB559" s="74"/>
    </row>
    <row r="560" spans="1:28" ht="12" customHeight="1">
      <c r="A560" s="565"/>
      <c r="B560" s="107"/>
      <c r="C560" s="107"/>
      <c r="D560" s="108"/>
      <c r="E560" s="104"/>
      <c r="F560" s="104"/>
      <c r="G560" s="35"/>
      <c r="H560" s="104"/>
      <c r="I560" s="140"/>
      <c r="J560" s="74"/>
      <c r="K560" s="74"/>
      <c r="L560" s="74"/>
      <c r="M560" s="74"/>
      <c r="N560" s="74"/>
      <c r="O560" s="74"/>
      <c r="P560" s="74"/>
      <c r="Q560" s="74"/>
      <c r="R560" s="74"/>
      <c r="S560" s="74"/>
      <c r="T560" s="74"/>
      <c r="U560" s="74"/>
      <c r="V560" s="74"/>
      <c r="W560" s="74"/>
      <c r="X560" s="74"/>
      <c r="Y560" s="74"/>
      <c r="Z560" s="74"/>
      <c r="AA560" s="74"/>
      <c r="AB560" s="74"/>
    </row>
    <row r="561" spans="1:28" ht="12" customHeight="1">
      <c r="A561" s="565"/>
      <c r="B561" s="107"/>
      <c r="C561" s="107"/>
      <c r="D561" s="108"/>
      <c r="E561" s="104"/>
      <c r="F561" s="104"/>
      <c r="G561" s="35"/>
      <c r="H561" s="104"/>
      <c r="I561" s="140"/>
      <c r="J561" s="74"/>
      <c r="K561" s="74"/>
      <c r="L561" s="74"/>
      <c r="M561" s="74"/>
      <c r="N561" s="74"/>
      <c r="O561" s="74"/>
      <c r="P561" s="74"/>
      <c r="Q561" s="74"/>
      <c r="R561" s="74"/>
      <c r="S561" s="74"/>
      <c r="T561" s="74"/>
      <c r="U561" s="74"/>
      <c r="V561" s="74"/>
      <c r="W561" s="74"/>
      <c r="X561" s="74"/>
      <c r="Y561" s="74"/>
      <c r="Z561" s="74"/>
      <c r="AA561" s="74"/>
      <c r="AB561" s="74"/>
    </row>
    <row r="562" spans="1:28" ht="12" customHeight="1">
      <c r="A562" s="565"/>
      <c r="B562" s="107"/>
      <c r="C562" s="107"/>
      <c r="D562" s="108"/>
      <c r="E562" s="104"/>
      <c r="F562" s="104"/>
      <c r="G562" s="35"/>
      <c r="H562" s="104"/>
      <c r="I562" s="140"/>
      <c r="J562" s="74"/>
      <c r="K562" s="74"/>
      <c r="L562" s="74"/>
      <c r="M562" s="74"/>
      <c r="N562" s="74"/>
      <c r="O562" s="74"/>
      <c r="P562" s="74"/>
      <c r="Q562" s="74"/>
      <c r="R562" s="74"/>
      <c r="S562" s="74"/>
      <c r="T562" s="74"/>
      <c r="U562" s="74"/>
      <c r="V562" s="74"/>
      <c r="W562" s="74"/>
      <c r="X562" s="74"/>
      <c r="Y562" s="74"/>
      <c r="Z562" s="74"/>
      <c r="AA562" s="74"/>
      <c r="AB562" s="74"/>
    </row>
    <row r="563" spans="1:28" ht="12" customHeight="1">
      <c r="A563" s="565"/>
      <c r="B563" s="107"/>
      <c r="C563" s="107"/>
      <c r="D563" s="108"/>
      <c r="E563" s="104"/>
      <c r="F563" s="104"/>
      <c r="G563" s="35"/>
      <c r="H563" s="104"/>
      <c r="I563" s="140"/>
      <c r="J563" s="74"/>
      <c r="K563" s="74"/>
      <c r="L563" s="74"/>
      <c r="M563" s="74"/>
      <c r="N563" s="74"/>
      <c r="O563" s="74"/>
      <c r="P563" s="74"/>
      <c r="Q563" s="74"/>
      <c r="R563" s="74"/>
      <c r="S563" s="74"/>
      <c r="T563" s="74"/>
      <c r="U563" s="74"/>
      <c r="V563" s="74"/>
      <c r="W563" s="74"/>
      <c r="X563" s="74"/>
      <c r="Y563" s="74"/>
      <c r="Z563" s="74"/>
      <c r="AA563" s="74"/>
      <c r="AB563" s="74"/>
    </row>
    <row r="564" spans="1:28" ht="12" customHeight="1">
      <c r="A564" s="565"/>
      <c r="B564" s="107"/>
      <c r="C564" s="107"/>
      <c r="D564" s="108"/>
      <c r="E564" s="104"/>
      <c r="F564" s="104"/>
      <c r="G564" s="35"/>
      <c r="H564" s="104"/>
      <c r="I564" s="140"/>
      <c r="J564" s="74"/>
      <c r="K564" s="74"/>
      <c r="L564" s="74"/>
      <c r="M564" s="74"/>
      <c r="N564" s="74"/>
      <c r="O564" s="74"/>
      <c r="P564" s="74"/>
      <c r="Q564" s="74"/>
      <c r="R564" s="74"/>
      <c r="S564" s="74"/>
      <c r="T564" s="74"/>
      <c r="U564" s="74"/>
      <c r="V564" s="74"/>
      <c r="W564" s="74"/>
      <c r="X564" s="74"/>
      <c r="Y564" s="74"/>
      <c r="Z564" s="74"/>
      <c r="AA564" s="74"/>
      <c r="AB564" s="74"/>
    </row>
    <row r="565" spans="1:28" ht="12" customHeight="1">
      <c r="A565" s="565"/>
      <c r="B565" s="107"/>
      <c r="C565" s="107"/>
      <c r="D565" s="108"/>
      <c r="E565" s="104"/>
      <c r="F565" s="104"/>
      <c r="G565" s="35"/>
      <c r="H565" s="104"/>
      <c r="I565" s="140"/>
      <c r="J565" s="74"/>
      <c r="K565" s="74"/>
      <c r="L565" s="74"/>
      <c r="M565" s="74"/>
      <c r="N565" s="74"/>
      <c r="O565" s="74"/>
      <c r="P565" s="74"/>
      <c r="Q565" s="74"/>
      <c r="R565" s="74"/>
      <c r="S565" s="74"/>
      <c r="T565" s="74"/>
      <c r="U565" s="74"/>
      <c r="V565" s="74"/>
      <c r="W565" s="74"/>
      <c r="X565" s="74"/>
      <c r="Y565" s="74"/>
      <c r="Z565" s="74"/>
      <c r="AA565" s="74"/>
      <c r="AB565" s="74"/>
    </row>
    <row r="566" spans="1:28" ht="12" customHeight="1">
      <c r="A566" s="565"/>
      <c r="B566" s="107"/>
      <c r="C566" s="107"/>
      <c r="D566" s="108"/>
      <c r="E566" s="104"/>
      <c r="F566" s="104"/>
      <c r="G566" s="35"/>
      <c r="H566" s="104"/>
      <c r="I566" s="140"/>
      <c r="J566" s="74"/>
      <c r="K566" s="74"/>
      <c r="L566" s="74"/>
      <c r="M566" s="74"/>
      <c r="N566" s="74"/>
      <c r="O566" s="74"/>
      <c r="P566" s="74"/>
      <c r="Q566" s="74"/>
      <c r="R566" s="74"/>
      <c r="S566" s="74"/>
      <c r="T566" s="74"/>
      <c r="U566" s="74"/>
      <c r="V566" s="74"/>
      <c r="W566" s="74"/>
      <c r="X566" s="74"/>
      <c r="Y566" s="74"/>
      <c r="Z566" s="74"/>
      <c r="AA566" s="74"/>
      <c r="AB566" s="74"/>
    </row>
    <row r="567" spans="1:28" ht="12" customHeight="1">
      <c r="A567" s="565"/>
      <c r="B567" s="107"/>
      <c r="C567" s="107"/>
      <c r="D567" s="108"/>
      <c r="E567" s="104"/>
      <c r="F567" s="104"/>
      <c r="G567" s="35"/>
      <c r="H567" s="104"/>
      <c r="I567" s="140"/>
      <c r="J567" s="74"/>
      <c r="K567" s="74"/>
      <c r="L567" s="74"/>
      <c r="M567" s="74"/>
      <c r="N567" s="74"/>
      <c r="O567" s="74"/>
      <c r="P567" s="74"/>
      <c r="Q567" s="74"/>
      <c r="R567" s="74"/>
      <c r="S567" s="74"/>
      <c r="T567" s="74"/>
      <c r="U567" s="74"/>
      <c r="V567" s="74"/>
      <c r="W567" s="74"/>
      <c r="X567" s="74"/>
      <c r="Y567" s="74"/>
      <c r="Z567" s="74"/>
      <c r="AA567" s="74"/>
      <c r="AB567" s="74"/>
    </row>
    <row r="568" spans="1:28" ht="12" customHeight="1">
      <c r="A568" s="565"/>
      <c r="B568" s="107"/>
      <c r="C568" s="107"/>
      <c r="D568" s="108"/>
      <c r="E568" s="104"/>
      <c r="F568" s="104"/>
      <c r="G568" s="35"/>
      <c r="H568" s="104"/>
      <c r="I568" s="140"/>
      <c r="J568" s="74"/>
      <c r="K568" s="74"/>
      <c r="L568" s="74"/>
      <c r="M568" s="74"/>
      <c r="N568" s="74"/>
      <c r="O568" s="74"/>
      <c r="P568" s="74"/>
      <c r="Q568" s="74"/>
      <c r="R568" s="74"/>
      <c r="S568" s="74"/>
      <c r="T568" s="74"/>
      <c r="U568" s="74"/>
      <c r="V568" s="74"/>
      <c r="W568" s="74"/>
      <c r="X568" s="74"/>
      <c r="Y568" s="74"/>
      <c r="Z568" s="74"/>
      <c r="AA568" s="74"/>
      <c r="AB568" s="74"/>
    </row>
    <row r="569" spans="1:28" ht="12" customHeight="1">
      <c r="A569" s="565"/>
      <c r="B569" s="107"/>
      <c r="C569" s="107"/>
      <c r="D569" s="108"/>
      <c r="E569" s="104"/>
      <c r="F569" s="104"/>
      <c r="G569" s="35"/>
      <c r="H569" s="104"/>
      <c r="I569" s="140"/>
      <c r="J569" s="74"/>
      <c r="K569" s="74"/>
      <c r="L569" s="74"/>
      <c r="M569" s="74"/>
      <c r="N569" s="74"/>
      <c r="O569" s="74"/>
      <c r="P569" s="74"/>
      <c r="Q569" s="74"/>
      <c r="R569" s="74"/>
      <c r="S569" s="74"/>
      <c r="T569" s="74"/>
      <c r="U569" s="74"/>
      <c r="V569" s="74"/>
      <c r="W569" s="74"/>
      <c r="X569" s="74"/>
      <c r="Y569" s="74"/>
      <c r="Z569" s="74"/>
      <c r="AA569" s="74"/>
      <c r="AB569" s="74"/>
    </row>
    <row r="570" spans="1:28" ht="12" customHeight="1">
      <c r="A570" s="565"/>
      <c r="B570" s="107"/>
      <c r="C570" s="107"/>
      <c r="D570" s="108"/>
      <c r="E570" s="104"/>
      <c r="F570" s="104"/>
      <c r="G570" s="35"/>
      <c r="H570" s="104"/>
      <c r="I570" s="140"/>
      <c r="J570" s="74"/>
      <c r="K570" s="74"/>
      <c r="L570" s="74"/>
      <c r="M570" s="74"/>
      <c r="N570" s="74"/>
      <c r="O570" s="74"/>
      <c r="P570" s="74"/>
      <c r="Q570" s="74"/>
      <c r="R570" s="74"/>
      <c r="S570" s="74"/>
      <c r="T570" s="74"/>
      <c r="U570" s="74"/>
      <c r="V570" s="74"/>
      <c r="W570" s="74"/>
      <c r="X570" s="74"/>
      <c r="Y570" s="74"/>
      <c r="Z570" s="74"/>
      <c r="AA570" s="74"/>
      <c r="AB570" s="74"/>
    </row>
    <row r="571" spans="1:28" ht="12" customHeight="1">
      <c r="A571" s="565"/>
      <c r="B571" s="107"/>
      <c r="C571" s="107"/>
      <c r="D571" s="108"/>
      <c r="E571" s="104"/>
      <c r="F571" s="104"/>
      <c r="G571" s="35"/>
      <c r="H571" s="104"/>
      <c r="I571" s="140"/>
      <c r="J571" s="74"/>
      <c r="K571" s="74"/>
      <c r="L571" s="74"/>
      <c r="M571" s="74"/>
      <c r="N571" s="74"/>
      <c r="O571" s="74"/>
      <c r="P571" s="74"/>
      <c r="Q571" s="74"/>
      <c r="R571" s="74"/>
      <c r="S571" s="74"/>
      <c r="T571" s="74"/>
      <c r="U571" s="74"/>
      <c r="V571" s="74"/>
      <c r="W571" s="74"/>
      <c r="X571" s="74"/>
      <c r="Y571" s="74"/>
      <c r="Z571" s="74"/>
      <c r="AA571" s="74"/>
      <c r="AB571" s="74"/>
    </row>
    <row r="572" spans="1:28" ht="12" customHeight="1">
      <c r="A572" s="565"/>
      <c r="B572" s="107"/>
      <c r="C572" s="107"/>
      <c r="D572" s="108"/>
      <c r="E572" s="104"/>
      <c r="F572" s="104"/>
      <c r="G572" s="35"/>
      <c r="H572" s="104"/>
      <c r="I572" s="140"/>
      <c r="J572" s="74"/>
      <c r="K572" s="74"/>
      <c r="L572" s="74"/>
      <c r="M572" s="74"/>
      <c r="N572" s="74"/>
      <c r="O572" s="74"/>
      <c r="P572" s="74"/>
      <c r="Q572" s="74"/>
      <c r="R572" s="74"/>
      <c r="S572" s="74"/>
      <c r="T572" s="74"/>
      <c r="U572" s="74"/>
      <c r="V572" s="74"/>
      <c r="W572" s="74"/>
      <c r="X572" s="74"/>
      <c r="Y572" s="74"/>
      <c r="Z572" s="74"/>
      <c r="AA572" s="74"/>
      <c r="AB572" s="74"/>
    </row>
    <row r="573" spans="1:28" ht="12" customHeight="1">
      <c r="A573" s="565"/>
      <c r="B573" s="107"/>
      <c r="C573" s="107"/>
      <c r="D573" s="108"/>
      <c r="E573" s="104"/>
      <c r="F573" s="104"/>
      <c r="G573" s="35"/>
      <c r="H573" s="104"/>
      <c r="I573" s="140"/>
      <c r="J573" s="74"/>
      <c r="K573" s="74"/>
      <c r="L573" s="74"/>
      <c r="M573" s="74"/>
      <c r="N573" s="74"/>
      <c r="O573" s="74"/>
      <c r="P573" s="74"/>
      <c r="Q573" s="74"/>
      <c r="R573" s="74"/>
      <c r="S573" s="74"/>
      <c r="T573" s="74"/>
      <c r="U573" s="74"/>
      <c r="V573" s="74"/>
      <c r="W573" s="74"/>
      <c r="X573" s="74"/>
      <c r="Y573" s="74"/>
      <c r="Z573" s="74"/>
      <c r="AA573" s="74"/>
      <c r="AB573" s="74"/>
    </row>
    <row r="574" spans="1:28" ht="12" customHeight="1">
      <c r="A574" s="565"/>
      <c r="B574" s="107"/>
      <c r="C574" s="107"/>
      <c r="D574" s="108"/>
      <c r="E574" s="104"/>
      <c r="F574" s="104"/>
      <c r="G574" s="35"/>
      <c r="H574" s="104"/>
      <c r="I574" s="140"/>
      <c r="J574" s="74"/>
      <c r="K574" s="74"/>
      <c r="L574" s="74"/>
      <c r="M574" s="74"/>
      <c r="N574" s="74"/>
      <c r="O574" s="74"/>
      <c r="P574" s="74"/>
      <c r="Q574" s="74"/>
      <c r="R574" s="74"/>
      <c r="S574" s="74"/>
      <c r="T574" s="74"/>
      <c r="U574" s="74"/>
      <c r="V574" s="74"/>
      <c r="W574" s="74"/>
      <c r="X574" s="74"/>
      <c r="Y574" s="74"/>
      <c r="Z574" s="74"/>
      <c r="AA574" s="74"/>
      <c r="AB574" s="74"/>
    </row>
    <row r="575" spans="1:28" ht="12" customHeight="1">
      <c r="A575" s="565"/>
      <c r="B575" s="107"/>
      <c r="C575" s="107"/>
      <c r="D575" s="108"/>
      <c r="E575" s="104"/>
      <c r="F575" s="104"/>
      <c r="G575" s="35"/>
      <c r="H575" s="104"/>
      <c r="I575" s="140"/>
      <c r="J575" s="74"/>
      <c r="K575" s="74"/>
      <c r="L575" s="74"/>
      <c r="M575" s="74"/>
      <c r="N575" s="74"/>
      <c r="O575" s="74"/>
      <c r="P575" s="74"/>
      <c r="Q575" s="74"/>
      <c r="R575" s="74"/>
      <c r="S575" s="74"/>
      <c r="T575" s="74"/>
      <c r="U575" s="74"/>
      <c r="V575" s="74"/>
      <c r="W575" s="74"/>
      <c r="X575" s="74"/>
      <c r="Y575" s="74"/>
      <c r="Z575" s="74"/>
      <c r="AA575" s="74"/>
      <c r="AB575" s="74"/>
    </row>
    <row r="576" spans="1:28" ht="12" customHeight="1">
      <c r="A576" s="565"/>
      <c r="B576" s="107"/>
      <c r="C576" s="107"/>
      <c r="D576" s="108"/>
      <c r="E576" s="104"/>
      <c r="F576" s="104"/>
      <c r="G576" s="35"/>
      <c r="H576" s="104"/>
      <c r="I576" s="140"/>
      <c r="J576" s="74"/>
      <c r="K576" s="74"/>
      <c r="L576" s="74"/>
      <c r="M576" s="74"/>
      <c r="N576" s="74"/>
      <c r="O576" s="74"/>
      <c r="P576" s="74"/>
      <c r="Q576" s="74"/>
      <c r="R576" s="74"/>
      <c r="S576" s="74"/>
      <c r="T576" s="74"/>
      <c r="U576" s="74"/>
      <c r="V576" s="74"/>
      <c r="W576" s="74"/>
      <c r="X576" s="74"/>
      <c r="Y576" s="74"/>
      <c r="Z576" s="74"/>
      <c r="AA576" s="74"/>
      <c r="AB576" s="74"/>
    </row>
    <row r="577" spans="1:28" ht="12" customHeight="1">
      <c r="A577" s="565"/>
      <c r="B577" s="107"/>
      <c r="C577" s="107"/>
      <c r="D577" s="108"/>
      <c r="E577" s="104"/>
      <c r="F577" s="104"/>
      <c r="G577" s="35"/>
      <c r="H577" s="104"/>
      <c r="I577" s="140"/>
      <c r="J577" s="74"/>
      <c r="K577" s="74"/>
      <c r="L577" s="74"/>
      <c r="M577" s="74"/>
      <c r="N577" s="74"/>
      <c r="O577" s="74"/>
      <c r="P577" s="74"/>
      <c r="Q577" s="74"/>
      <c r="R577" s="74"/>
      <c r="S577" s="74"/>
      <c r="T577" s="74"/>
      <c r="U577" s="74"/>
      <c r="V577" s="74"/>
      <c r="W577" s="74"/>
      <c r="X577" s="74"/>
      <c r="Y577" s="74"/>
      <c r="Z577" s="74"/>
      <c r="AA577" s="74"/>
      <c r="AB577" s="74"/>
    </row>
    <row r="578" spans="1:28" ht="12" customHeight="1">
      <c r="A578" s="565"/>
      <c r="B578" s="107"/>
      <c r="C578" s="107"/>
      <c r="D578" s="108"/>
      <c r="E578" s="104"/>
      <c r="F578" s="104"/>
      <c r="G578" s="35"/>
      <c r="H578" s="104"/>
      <c r="I578" s="140"/>
      <c r="J578" s="74"/>
      <c r="K578" s="74"/>
      <c r="L578" s="74"/>
      <c r="M578" s="74"/>
      <c r="N578" s="74"/>
      <c r="O578" s="74"/>
      <c r="P578" s="74"/>
      <c r="Q578" s="74"/>
      <c r="R578" s="74"/>
      <c r="S578" s="74"/>
      <c r="T578" s="74"/>
      <c r="U578" s="74"/>
      <c r="V578" s="74"/>
      <c r="W578" s="74"/>
      <c r="X578" s="74"/>
      <c r="Y578" s="74"/>
      <c r="Z578" s="74"/>
      <c r="AA578" s="74"/>
      <c r="AB578" s="74"/>
    </row>
    <row r="579" spans="1:28" ht="12" customHeight="1">
      <c r="A579" s="565"/>
      <c r="B579" s="107"/>
      <c r="C579" s="107"/>
      <c r="D579" s="108"/>
      <c r="E579" s="104"/>
      <c r="F579" s="104"/>
      <c r="G579" s="35"/>
      <c r="H579" s="104"/>
      <c r="I579" s="140"/>
      <c r="J579" s="74"/>
      <c r="K579" s="74"/>
      <c r="L579" s="74"/>
      <c r="M579" s="74"/>
      <c r="N579" s="74"/>
      <c r="O579" s="74"/>
      <c r="P579" s="74"/>
      <c r="Q579" s="74"/>
      <c r="R579" s="74"/>
      <c r="S579" s="74"/>
      <c r="T579" s="74"/>
      <c r="U579" s="74"/>
      <c r="V579" s="74"/>
      <c r="W579" s="74"/>
      <c r="X579" s="74"/>
      <c r="Y579" s="74"/>
      <c r="Z579" s="74"/>
      <c r="AA579" s="74"/>
      <c r="AB579" s="74"/>
    </row>
    <row r="580" spans="1:28" ht="12" customHeight="1">
      <c r="A580" s="565"/>
      <c r="B580" s="107"/>
      <c r="C580" s="107"/>
      <c r="D580" s="108"/>
      <c r="E580" s="104"/>
      <c r="F580" s="104"/>
      <c r="G580" s="35"/>
      <c r="H580" s="104"/>
      <c r="I580" s="140"/>
      <c r="J580" s="74"/>
      <c r="K580" s="74"/>
      <c r="L580" s="74"/>
      <c r="M580" s="74"/>
      <c r="N580" s="74"/>
      <c r="O580" s="74"/>
      <c r="P580" s="74"/>
      <c r="Q580" s="74"/>
      <c r="R580" s="74"/>
      <c r="S580" s="74"/>
      <c r="T580" s="74"/>
      <c r="U580" s="74"/>
      <c r="V580" s="74"/>
      <c r="W580" s="74"/>
      <c r="X580" s="74"/>
      <c r="Y580" s="74"/>
      <c r="Z580" s="74"/>
      <c r="AA580" s="74"/>
      <c r="AB580" s="74"/>
    </row>
    <row r="581" spans="1:28" ht="12" customHeight="1">
      <c r="A581" s="565"/>
      <c r="B581" s="107"/>
      <c r="C581" s="107"/>
      <c r="D581" s="108"/>
      <c r="E581" s="104"/>
      <c r="F581" s="104"/>
      <c r="G581" s="35"/>
      <c r="H581" s="104"/>
      <c r="I581" s="140"/>
      <c r="J581" s="74"/>
      <c r="K581" s="74"/>
      <c r="L581" s="74"/>
      <c r="M581" s="74"/>
      <c r="N581" s="74"/>
      <c r="O581" s="74"/>
      <c r="P581" s="74"/>
      <c r="Q581" s="74"/>
      <c r="R581" s="74"/>
      <c r="S581" s="74"/>
      <c r="T581" s="74"/>
      <c r="U581" s="74"/>
      <c r="V581" s="74"/>
      <c r="W581" s="74"/>
      <c r="X581" s="74"/>
      <c r="Y581" s="74"/>
      <c r="Z581" s="74"/>
      <c r="AA581" s="74"/>
      <c r="AB581" s="74"/>
    </row>
    <row r="582" spans="1:28" ht="12" customHeight="1">
      <c r="A582" s="565"/>
      <c r="B582" s="107"/>
      <c r="C582" s="107"/>
      <c r="D582" s="108"/>
      <c r="E582" s="104"/>
      <c r="F582" s="104"/>
      <c r="G582" s="35"/>
      <c r="H582" s="104"/>
      <c r="I582" s="140"/>
      <c r="J582" s="74"/>
      <c r="K582" s="74"/>
      <c r="L582" s="74"/>
      <c r="M582" s="74"/>
      <c r="N582" s="74"/>
      <c r="O582" s="74"/>
      <c r="P582" s="74"/>
      <c r="Q582" s="74"/>
      <c r="R582" s="74"/>
      <c r="S582" s="74"/>
      <c r="T582" s="74"/>
      <c r="U582" s="74"/>
      <c r="V582" s="74"/>
      <c r="W582" s="74"/>
      <c r="X582" s="74"/>
      <c r="Y582" s="74"/>
      <c r="Z582" s="74"/>
      <c r="AA582" s="74"/>
      <c r="AB582" s="74"/>
    </row>
    <row r="583" spans="1:28" ht="12" customHeight="1">
      <c r="A583" s="565"/>
      <c r="B583" s="107"/>
      <c r="C583" s="107"/>
      <c r="D583" s="108"/>
      <c r="E583" s="104"/>
      <c r="F583" s="104"/>
      <c r="G583" s="35"/>
      <c r="H583" s="104"/>
      <c r="I583" s="140"/>
      <c r="J583" s="74"/>
      <c r="K583" s="74"/>
      <c r="L583" s="74"/>
      <c r="M583" s="74"/>
      <c r="N583" s="74"/>
      <c r="O583" s="74"/>
      <c r="P583" s="74"/>
      <c r="Q583" s="74"/>
      <c r="R583" s="74"/>
      <c r="S583" s="74"/>
      <c r="T583" s="74"/>
      <c r="U583" s="74"/>
      <c r="V583" s="74"/>
      <c r="W583" s="74"/>
      <c r="X583" s="74"/>
      <c r="Y583" s="74"/>
      <c r="Z583" s="74"/>
      <c r="AA583" s="74"/>
      <c r="AB583" s="74"/>
    </row>
    <row r="584" spans="1:28" ht="12" customHeight="1">
      <c r="A584" s="565"/>
      <c r="B584" s="107"/>
      <c r="C584" s="107"/>
      <c r="D584" s="108"/>
      <c r="E584" s="104"/>
      <c r="F584" s="104"/>
      <c r="G584" s="35"/>
      <c r="H584" s="104"/>
      <c r="I584" s="140"/>
      <c r="J584" s="74"/>
      <c r="K584" s="74"/>
      <c r="L584" s="74"/>
      <c r="M584" s="74"/>
      <c r="N584" s="74"/>
      <c r="O584" s="74"/>
      <c r="P584" s="74"/>
      <c r="Q584" s="74"/>
      <c r="R584" s="74"/>
      <c r="S584" s="74"/>
      <c r="T584" s="74"/>
      <c r="U584" s="74"/>
      <c r="V584" s="74"/>
      <c r="W584" s="74"/>
      <c r="X584" s="74"/>
      <c r="Y584" s="74"/>
      <c r="Z584" s="74"/>
      <c r="AA584" s="74"/>
      <c r="AB584" s="74"/>
    </row>
    <row r="585" spans="1:28" ht="12" customHeight="1">
      <c r="A585" s="565"/>
      <c r="B585" s="107"/>
      <c r="C585" s="107"/>
      <c r="D585" s="108"/>
      <c r="E585" s="104"/>
      <c r="F585" s="104"/>
      <c r="G585" s="35"/>
      <c r="H585" s="104"/>
      <c r="I585" s="140"/>
      <c r="J585" s="74"/>
      <c r="K585" s="74"/>
      <c r="L585" s="74"/>
      <c r="M585" s="74"/>
      <c r="N585" s="74"/>
      <c r="O585" s="74"/>
      <c r="P585" s="74"/>
      <c r="Q585" s="74"/>
      <c r="R585" s="74"/>
      <c r="S585" s="74"/>
      <c r="T585" s="74"/>
      <c r="U585" s="74"/>
      <c r="V585" s="74"/>
      <c r="W585" s="74"/>
      <c r="X585" s="74"/>
      <c r="Y585" s="74"/>
      <c r="Z585" s="74"/>
      <c r="AA585" s="74"/>
      <c r="AB585" s="74"/>
    </row>
    <row r="586" spans="1:28" ht="12" customHeight="1">
      <c r="A586" s="565"/>
      <c r="B586" s="107"/>
      <c r="C586" s="107"/>
      <c r="D586" s="108"/>
      <c r="E586" s="104"/>
      <c r="F586" s="104"/>
      <c r="G586" s="35"/>
      <c r="H586" s="104"/>
      <c r="I586" s="140"/>
      <c r="J586" s="74"/>
      <c r="K586" s="74"/>
      <c r="L586" s="74"/>
      <c r="M586" s="74"/>
      <c r="N586" s="74"/>
      <c r="O586" s="74"/>
      <c r="P586" s="74"/>
      <c r="Q586" s="74"/>
      <c r="R586" s="74"/>
      <c r="S586" s="74"/>
      <c r="T586" s="74"/>
      <c r="U586" s="74"/>
      <c r="V586" s="74"/>
      <c r="W586" s="74"/>
      <c r="X586" s="74"/>
      <c r="Y586" s="74"/>
      <c r="Z586" s="74"/>
      <c r="AA586" s="74"/>
      <c r="AB586" s="74"/>
    </row>
    <row r="587" spans="1:28" ht="12" customHeight="1">
      <c r="A587" s="565"/>
      <c r="B587" s="107"/>
      <c r="C587" s="107"/>
      <c r="D587" s="108"/>
      <c r="E587" s="104"/>
      <c r="F587" s="104"/>
      <c r="G587" s="35"/>
      <c r="H587" s="104"/>
      <c r="I587" s="140"/>
      <c r="J587" s="74"/>
      <c r="K587" s="74"/>
      <c r="L587" s="74"/>
      <c r="M587" s="74"/>
      <c r="N587" s="74"/>
      <c r="O587" s="74"/>
      <c r="P587" s="74"/>
      <c r="Q587" s="74"/>
      <c r="R587" s="74"/>
      <c r="S587" s="74"/>
      <c r="T587" s="74"/>
      <c r="U587" s="74"/>
      <c r="V587" s="74"/>
      <c r="W587" s="74"/>
      <c r="X587" s="74"/>
      <c r="Y587" s="74"/>
      <c r="Z587" s="74"/>
      <c r="AA587" s="74"/>
      <c r="AB587" s="74"/>
    </row>
    <row r="588" spans="1:28" ht="12" customHeight="1">
      <c r="A588" s="565"/>
      <c r="B588" s="107"/>
      <c r="C588" s="107"/>
      <c r="D588" s="108"/>
      <c r="E588" s="104"/>
      <c r="F588" s="104"/>
      <c r="G588" s="35"/>
      <c r="H588" s="104"/>
      <c r="I588" s="140"/>
      <c r="J588" s="74"/>
      <c r="K588" s="74"/>
      <c r="L588" s="74"/>
      <c r="M588" s="74"/>
      <c r="N588" s="74"/>
      <c r="O588" s="74"/>
      <c r="P588" s="74"/>
      <c r="Q588" s="74"/>
      <c r="R588" s="74"/>
      <c r="S588" s="74"/>
      <c r="T588" s="74"/>
      <c r="U588" s="74"/>
      <c r="V588" s="74"/>
      <c r="W588" s="74"/>
      <c r="X588" s="74"/>
      <c r="Y588" s="74"/>
      <c r="Z588" s="74"/>
      <c r="AA588" s="74"/>
      <c r="AB588" s="74"/>
    </row>
    <row r="589" spans="1:28" ht="12" customHeight="1">
      <c r="A589" s="565"/>
      <c r="B589" s="107"/>
      <c r="C589" s="107"/>
      <c r="D589" s="108"/>
      <c r="E589" s="104"/>
      <c r="F589" s="104"/>
      <c r="G589" s="35"/>
      <c r="H589" s="104"/>
      <c r="I589" s="140"/>
      <c r="J589" s="74"/>
      <c r="K589" s="74"/>
      <c r="L589" s="74"/>
      <c r="M589" s="74"/>
      <c r="N589" s="74"/>
      <c r="O589" s="74"/>
      <c r="P589" s="74"/>
      <c r="Q589" s="74"/>
      <c r="R589" s="74"/>
      <c r="S589" s="74"/>
      <c r="T589" s="74"/>
      <c r="U589" s="74"/>
      <c r="V589" s="74"/>
      <c r="W589" s="74"/>
      <c r="X589" s="74"/>
      <c r="Y589" s="74"/>
      <c r="Z589" s="74"/>
      <c r="AA589" s="74"/>
      <c r="AB589" s="74"/>
    </row>
    <row r="590" spans="1:28" ht="12" customHeight="1">
      <c r="A590" s="565"/>
      <c r="B590" s="107"/>
      <c r="C590" s="107"/>
      <c r="D590" s="108"/>
      <c r="E590" s="104"/>
      <c r="F590" s="104"/>
      <c r="G590" s="35"/>
      <c r="H590" s="104"/>
      <c r="I590" s="140"/>
      <c r="J590" s="74"/>
      <c r="K590" s="74"/>
      <c r="L590" s="74"/>
      <c r="M590" s="74"/>
      <c r="N590" s="74"/>
      <c r="O590" s="74"/>
      <c r="P590" s="74"/>
      <c r="Q590" s="74"/>
      <c r="R590" s="74"/>
      <c r="S590" s="74"/>
      <c r="T590" s="74"/>
      <c r="U590" s="74"/>
      <c r="V590" s="74"/>
      <c r="W590" s="74"/>
      <c r="X590" s="74"/>
      <c r="Y590" s="74"/>
      <c r="Z590" s="74"/>
      <c r="AA590" s="74"/>
      <c r="AB590" s="74"/>
    </row>
    <row r="591" spans="1:28" ht="12" customHeight="1">
      <c r="A591" s="565"/>
      <c r="B591" s="107"/>
      <c r="C591" s="107"/>
      <c r="D591" s="108"/>
      <c r="E591" s="104"/>
      <c r="F591" s="104"/>
      <c r="G591" s="35"/>
      <c r="H591" s="104"/>
      <c r="I591" s="140"/>
      <c r="J591" s="74"/>
      <c r="K591" s="74"/>
      <c r="L591" s="74"/>
      <c r="M591" s="74"/>
      <c r="N591" s="74"/>
      <c r="O591" s="74"/>
      <c r="P591" s="74"/>
      <c r="Q591" s="74"/>
      <c r="R591" s="74"/>
      <c r="S591" s="74"/>
      <c r="T591" s="74"/>
      <c r="U591" s="74"/>
      <c r="V591" s="74"/>
      <c r="W591" s="74"/>
      <c r="X591" s="74"/>
      <c r="Y591" s="74"/>
      <c r="Z591" s="74"/>
      <c r="AA591" s="74"/>
      <c r="AB591" s="74"/>
    </row>
    <row r="592" spans="1:28" ht="12" customHeight="1">
      <c r="A592" s="565"/>
      <c r="B592" s="107"/>
      <c r="C592" s="107"/>
      <c r="D592" s="108"/>
      <c r="E592" s="104"/>
      <c r="F592" s="104"/>
      <c r="G592" s="35"/>
      <c r="H592" s="104"/>
      <c r="I592" s="140"/>
      <c r="J592" s="74"/>
      <c r="K592" s="74"/>
      <c r="L592" s="74"/>
      <c r="M592" s="74"/>
      <c r="N592" s="74"/>
      <c r="O592" s="74"/>
      <c r="P592" s="74"/>
      <c r="Q592" s="74"/>
      <c r="R592" s="74"/>
      <c r="S592" s="74"/>
      <c r="T592" s="74"/>
      <c r="U592" s="74"/>
      <c r="V592" s="74"/>
      <c r="W592" s="74"/>
      <c r="X592" s="74"/>
      <c r="Y592" s="74"/>
      <c r="Z592" s="74"/>
      <c r="AA592" s="74"/>
      <c r="AB592" s="74"/>
    </row>
    <row r="593" spans="1:28" ht="12" customHeight="1">
      <c r="A593" s="565"/>
      <c r="B593" s="107"/>
      <c r="C593" s="107"/>
      <c r="D593" s="108"/>
      <c r="E593" s="104"/>
      <c r="F593" s="104"/>
      <c r="G593" s="35"/>
      <c r="H593" s="104"/>
      <c r="I593" s="140"/>
      <c r="J593" s="74"/>
      <c r="K593" s="74"/>
      <c r="L593" s="74"/>
      <c r="M593" s="74"/>
      <c r="N593" s="74"/>
      <c r="O593" s="74"/>
      <c r="P593" s="74"/>
      <c r="Q593" s="74"/>
      <c r="R593" s="74"/>
      <c r="S593" s="74"/>
      <c r="T593" s="74"/>
      <c r="U593" s="74"/>
      <c r="V593" s="74"/>
      <c r="W593" s="74"/>
      <c r="X593" s="74"/>
      <c r="Y593" s="74"/>
      <c r="Z593" s="74"/>
      <c r="AA593" s="74"/>
      <c r="AB593" s="74"/>
    </row>
    <row r="594" spans="1:28" ht="12" customHeight="1">
      <c r="A594" s="565"/>
      <c r="B594" s="107"/>
      <c r="C594" s="107"/>
      <c r="D594" s="108"/>
      <c r="E594" s="104"/>
      <c r="F594" s="104"/>
      <c r="G594" s="35"/>
      <c r="H594" s="104"/>
      <c r="I594" s="140"/>
      <c r="J594" s="74"/>
      <c r="K594" s="74"/>
      <c r="L594" s="74"/>
      <c r="M594" s="74"/>
      <c r="N594" s="74"/>
      <c r="O594" s="74"/>
      <c r="P594" s="74"/>
      <c r="Q594" s="74"/>
      <c r="R594" s="74"/>
      <c r="S594" s="74"/>
      <c r="T594" s="74"/>
      <c r="U594" s="74"/>
      <c r="V594" s="74"/>
      <c r="W594" s="74"/>
      <c r="X594" s="74"/>
      <c r="Y594" s="74"/>
      <c r="Z594" s="74"/>
      <c r="AA594" s="74"/>
      <c r="AB594" s="74"/>
    </row>
    <row r="595" spans="1:28" ht="12" customHeight="1">
      <c r="A595" s="565"/>
      <c r="B595" s="107"/>
      <c r="C595" s="107"/>
      <c r="D595" s="108"/>
      <c r="E595" s="104"/>
      <c r="F595" s="104"/>
      <c r="G595" s="35"/>
      <c r="H595" s="104"/>
      <c r="I595" s="140"/>
      <c r="J595" s="74"/>
      <c r="K595" s="74"/>
      <c r="L595" s="74"/>
      <c r="M595" s="74"/>
      <c r="N595" s="74"/>
      <c r="O595" s="74"/>
      <c r="P595" s="74"/>
      <c r="Q595" s="74"/>
      <c r="R595" s="74"/>
      <c r="S595" s="74"/>
      <c r="T595" s="74"/>
      <c r="U595" s="74"/>
      <c r="V595" s="74"/>
      <c r="W595" s="74"/>
      <c r="X595" s="74"/>
      <c r="Y595" s="74"/>
      <c r="Z595" s="74"/>
      <c r="AA595" s="74"/>
      <c r="AB595" s="74"/>
    </row>
    <row r="596" spans="1:28" ht="12" customHeight="1">
      <c r="A596" s="565"/>
      <c r="B596" s="107"/>
      <c r="C596" s="107"/>
      <c r="D596" s="108"/>
      <c r="E596" s="104"/>
      <c r="F596" s="104"/>
      <c r="G596" s="35"/>
      <c r="H596" s="104"/>
      <c r="I596" s="140"/>
      <c r="J596" s="74"/>
      <c r="K596" s="74"/>
      <c r="L596" s="74"/>
      <c r="M596" s="74"/>
      <c r="N596" s="74"/>
      <c r="O596" s="74"/>
      <c r="P596" s="74"/>
      <c r="Q596" s="74"/>
      <c r="R596" s="74"/>
      <c r="S596" s="74"/>
      <c r="T596" s="74"/>
      <c r="U596" s="74"/>
      <c r="V596" s="74"/>
      <c r="W596" s="74"/>
      <c r="X596" s="74"/>
      <c r="Y596" s="74"/>
      <c r="Z596" s="74"/>
      <c r="AA596" s="74"/>
      <c r="AB596" s="74"/>
    </row>
    <row r="597" spans="1:28" ht="12" customHeight="1">
      <c r="A597" s="565"/>
      <c r="B597" s="107"/>
      <c r="C597" s="107"/>
      <c r="D597" s="108"/>
      <c r="E597" s="104"/>
      <c r="F597" s="104"/>
      <c r="G597" s="35"/>
      <c r="H597" s="104"/>
      <c r="I597" s="140"/>
      <c r="J597" s="74"/>
      <c r="K597" s="74"/>
      <c r="L597" s="74"/>
      <c r="M597" s="74"/>
      <c r="N597" s="74"/>
      <c r="O597" s="74"/>
      <c r="P597" s="74"/>
      <c r="Q597" s="74"/>
      <c r="R597" s="74"/>
      <c r="S597" s="74"/>
      <c r="T597" s="74"/>
      <c r="U597" s="74"/>
      <c r="V597" s="74"/>
      <c r="W597" s="74"/>
      <c r="X597" s="74"/>
      <c r="Y597" s="74"/>
      <c r="Z597" s="74"/>
      <c r="AA597" s="74"/>
      <c r="AB597" s="74"/>
    </row>
    <row r="598" spans="1:28" ht="12" customHeight="1">
      <c r="A598" s="565"/>
      <c r="B598" s="107"/>
      <c r="C598" s="107"/>
      <c r="D598" s="108"/>
      <c r="E598" s="104"/>
      <c r="F598" s="104"/>
      <c r="G598" s="35"/>
      <c r="H598" s="104"/>
      <c r="I598" s="140"/>
      <c r="J598" s="74"/>
      <c r="K598" s="74"/>
      <c r="L598" s="74"/>
      <c r="M598" s="74"/>
      <c r="N598" s="74"/>
      <c r="O598" s="74"/>
      <c r="P598" s="74"/>
      <c r="Q598" s="74"/>
      <c r="R598" s="74"/>
      <c r="S598" s="74"/>
      <c r="T598" s="74"/>
      <c r="U598" s="74"/>
      <c r="V598" s="74"/>
      <c r="W598" s="74"/>
      <c r="X598" s="74"/>
      <c r="Y598" s="74"/>
      <c r="Z598" s="74"/>
      <c r="AA598" s="74"/>
      <c r="AB598" s="74"/>
    </row>
    <row r="599" spans="1:28" ht="12" customHeight="1">
      <c r="A599" s="565"/>
      <c r="B599" s="107"/>
      <c r="C599" s="107"/>
      <c r="D599" s="108"/>
      <c r="E599" s="104"/>
      <c r="F599" s="104"/>
      <c r="G599" s="35"/>
      <c r="H599" s="104"/>
      <c r="I599" s="140"/>
      <c r="J599" s="74"/>
      <c r="K599" s="74"/>
      <c r="L599" s="74"/>
      <c r="M599" s="74"/>
      <c r="N599" s="74"/>
      <c r="O599" s="74"/>
      <c r="P599" s="74"/>
      <c r="Q599" s="74"/>
      <c r="R599" s="74"/>
      <c r="S599" s="74"/>
      <c r="T599" s="74"/>
      <c r="U599" s="74"/>
      <c r="V599" s="74"/>
      <c r="W599" s="74"/>
      <c r="X599" s="74"/>
      <c r="Y599" s="74"/>
      <c r="Z599" s="74"/>
      <c r="AA599" s="74"/>
      <c r="AB599" s="74"/>
    </row>
    <row r="600" spans="1:28" ht="12" customHeight="1">
      <c r="A600" s="565"/>
      <c r="B600" s="107"/>
      <c r="C600" s="107"/>
      <c r="D600" s="108"/>
      <c r="E600" s="104"/>
      <c r="F600" s="104"/>
      <c r="G600" s="35"/>
      <c r="H600" s="104"/>
      <c r="I600" s="140"/>
      <c r="J600" s="74"/>
      <c r="K600" s="74"/>
      <c r="L600" s="74"/>
      <c r="M600" s="74"/>
      <c r="N600" s="74"/>
      <c r="O600" s="74"/>
      <c r="P600" s="74"/>
      <c r="Q600" s="74"/>
      <c r="R600" s="74"/>
      <c r="S600" s="74"/>
      <c r="T600" s="74"/>
      <c r="U600" s="74"/>
      <c r="V600" s="74"/>
      <c r="W600" s="74"/>
      <c r="X600" s="74"/>
      <c r="Y600" s="74"/>
      <c r="Z600" s="74"/>
      <c r="AA600" s="74"/>
      <c r="AB600" s="74"/>
    </row>
    <row r="601" spans="1:28" ht="12" customHeight="1">
      <c r="A601" s="565"/>
      <c r="B601" s="107"/>
      <c r="C601" s="107"/>
      <c r="D601" s="108"/>
      <c r="E601" s="104"/>
      <c r="F601" s="104"/>
      <c r="G601" s="35"/>
      <c r="H601" s="104"/>
      <c r="I601" s="140"/>
      <c r="J601" s="74"/>
      <c r="K601" s="74"/>
      <c r="L601" s="74"/>
      <c r="M601" s="74"/>
      <c r="N601" s="74"/>
      <c r="O601" s="74"/>
      <c r="P601" s="74"/>
      <c r="Q601" s="74"/>
      <c r="R601" s="74"/>
      <c r="S601" s="74"/>
      <c r="T601" s="74"/>
      <c r="U601" s="74"/>
      <c r="V601" s="74"/>
      <c r="W601" s="74"/>
      <c r="X601" s="74"/>
      <c r="Y601" s="74"/>
      <c r="Z601" s="74"/>
      <c r="AA601" s="74"/>
      <c r="AB601" s="74"/>
    </row>
    <row r="602" spans="1:28" ht="12" customHeight="1">
      <c r="A602" s="565"/>
      <c r="B602" s="107"/>
      <c r="C602" s="107"/>
      <c r="D602" s="108"/>
      <c r="E602" s="104"/>
      <c r="F602" s="104"/>
      <c r="G602" s="35"/>
      <c r="H602" s="104"/>
      <c r="I602" s="140"/>
      <c r="J602" s="74"/>
      <c r="K602" s="74"/>
      <c r="L602" s="74"/>
      <c r="M602" s="74"/>
      <c r="N602" s="74"/>
      <c r="O602" s="74"/>
      <c r="P602" s="74"/>
      <c r="Q602" s="74"/>
      <c r="R602" s="74"/>
      <c r="S602" s="74"/>
      <c r="T602" s="74"/>
      <c r="U602" s="74"/>
      <c r="V602" s="74"/>
      <c r="W602" s="74"/>
      <c r="X602" s="74"/>
      <c r="Y602" s="74"/>
      <c r="Z602" s="74"/>
      <c r="AA602" s="74"/>
      <c r="AB602" s="74"/>
    </row>
    <row r="603" spans="1:28" ht="12" customHeight="1">
      <c r="A603" s="565"/>
      <c r="B603" s="107"/>
      <c r="C603" s="107"/>
      <c r="D603" s="108"/>
      <c r="E603" s="104"/>
      <c r="F603" s="104"/>
      <c r="G603" s="35"/>
      <c r="H603" s="104"/>
      <c r="I603" s="140"/>
      <c r="J603" s="74"/>
      <c r="K603" s="74"/>
      <c r="L603" s="74"/>
      <c r="M603" s="74"/>
      <c r="N603" s="74"/>
      <c r="O603" s="74"/>
      <c r="P603" s="74"/>
      <c r="Q603" s="74"/>
      <c r="R603" s="74"/>
      <c r="S603" s="74"/>
      <c r="T603" s="74"/>
      <c r="U603" s="74"/>
      <c r="V603" s="74"/>
      <c r="W603" s="74"/>
      <c r="X603" s="74"/>
      <c r="Y603" s="74"/>
      <c r="Z603" s="74"/>
      <c r="AA603" s="74"/>
      <c r="AB603" s="74"/>
    </row>
    <row r="604" spans="1:28" ht="12" customHeight="1">
      <c r="A604" s="565"/>
      <c r="B604" s="107"/>
      <c r="C604" s="107"/>
      <c r="D604" s="108"/>
      <c r="E604" s="104"/>
      <c r="F604" s="104"/>
      <c r="G604" s="35"/>
      <c r="H604" s="104"/>
      <c r="I604" s="140"/>
      <c r="J604" s="74"/>
      <c r="K604" s="74"/>
      <c r="L604" s="74"/>
      <c r="M604" s="74"/>
      <c r="N604" s="74"/>
      <c r="O604" s="74"/>
      <c r="P604" s="74"/>
      <c r="Q604" s="74"/>
      <c r="R604" s="74"/>
      <c r="S604" s="74"/>
      <c r="T604" s="74"/>
      <c r="U604" s="74"/>
      <c r="V604" s="74"/>
      <c r="W604" s="74"/>
      <c r="X604" s="74"/>
      <c r="Y604" s="74"/>
      <c r="Z604" s="74"/>
      <c r="AA604" s="74"/>
      <c r="AB604" s="74"/>
    </row>
    <row r="605" spans="1:28" ht="12" customHeight="1">
      <c r="A605" s="565"/>
      <c r="B605" s="107"/>
      <c r="C605" s="107"/>
      <c r="D605" s="108"/>
      <c r="E605" s="104"/>
      <c r="F605" s="104"/>
      <c r="G605" s="35"/>
      <c r="H605" s="104"/>
      <c r="I605" s="140"/>
      <c r="J605" s="74"/>
      <c r="K605" s="74"/>
      <c r="L605" s="74"/>
      <c r="M605" s="74"/>
      <c r="N605" s="74"/>
      <c r="O605" s="74"/>
      <c r="P605" s="74"/>
      <c r="Q605" s="74"/>
      <c r="R605" s="74"/>
      <c r="S605" s="74"/>
      <c r="T605" s="74"/>
      <c r="U605" s="74"/>
      <c r="V605" s="74"/>
      <c r="W605" s="74"/>
      <c r="X605" s="74"/>
      <c r="Y605" s="74"/>
      <c r="Z605" s="74"/>
      <c r="AA605" s="74"/>
      <c r="AB605" s="74"/>
    </row>
    <row r="606" spans="1:28" ht="12" customHeight="1">
      <c r="A606" s="565"/>
      <c r="B606" s="107"/>
      <c r="C606" s="107"/>
      <c r="D606" s="108"/>
      <c r="E606" s="104"/>
      <c r="F606" s="104"/>
      <c r="G606" s="35"/>
      <c r="H606" s="104"/>
      <c r="I606" s="140"/>
      <c r="J606" s="74"/>
      <c r="K606" s="74"/>
      <c r="L606" s="74"/>
      <c r="M606" s="74"/>
      <c r="N606" s="74"/>
      <c r="O606" s="74"/>
      <c r="P606" s="74"/>
      <c r="Q606" s="74"/>
      <c r="R606" s="74"/>
      <c r="S606" s="74"/>
      <c r="T606" s="74"/>
      <c r="U606" s="74"/>
      <c r="V606" s="74"/>
      <c r="W606" s="74"/>
      <c r="X606" s="74"/>
      <c r="Y606" s="74"/>
      <c r="Z606" s="74"/>
      <c r="AA606" s="74"/>
      <c r="AB606" s="74"/>
    </row>
    <row r="607" spans="1:28" ht="12" customHeight="1">
      <c r="A607" s="565"/>
      <c r="B607" s="107"/>
      <c r="C607" s="107"/>
      <c r="D607" s="108"/>
      <c r="E607" s="104"/>
      <c r="F607" s="104"/>
      <c r="G607" s="35"/>
      <c r="H607" s="104"/>
      <c r="I607" s="140"/>
      <c r="J607" s="74"/>
      <c r="K607" s="74"/>
      <c r="L607" s="74"/>
      <c r="M607" s="74"/>
      <c r="N607" s="74"/>
      <c r="O607" s="74"/>
      <c r="P607" s="74"/>
      <c r="Q607" s="74"/>
      <c r="R607" s="74"/>
      <c r="S607" s="74"/>
      <c r="T607" s="74"/>
      <c r="U607" s="74"/>
      <c r="V607" s="74"/>
      <c r="W607" s="74"/>
      <c r="X607" s="74"/>
      <c r="Y607" s="74"/>
      <c r="Z607" s="74"/>
      <c r="AA607" s="74"/>
      <c r="AB607" s="74"/>
    </row>
    <row r="608" spans="1:28" ht="12" customHeight="1">
      <c r="A608" s="565"/>
      <c r="B608" s="107"/>
      <c r="C608" s="107"/>
      <c r="D608" s="108"/>
      <c r="E608" s="104"/>
      <c r="F608" s="104"/>
      <c r="G608" s="35"/>
      <c r="H608" s="104"/>
      <c r="I608" s="140"/>
      <c r="J608" s="74"/>
      <c r="K608" s="74"/>
      <c r="L608" s="74"/>
      <c r="M608" s="74"/>
      <c r="N608" s="74"/>
      <c r="O608" s="74"/>
      <c r="P608" s="74"/>
      <c r="Q608" s="74"/>
      <c r="R608" s="74"/>
      <c r="S608" s="74"/>
      <c r="T608" s="74"/>
      <c r="U608" s="74"/>
      <c r="V608" s="74"/>
      <c r="W608" s="74"/>
      <c r="X608" s="74"/>
      <c r="Y608" s="74"/>
      <c r="Z608" s="74"/>
      <c r="AA608" s="74"/>
      <c r="AB608" s="74"/>
    </row>
    <row r="609" spans="1:28" ht="12" customHeight="1">
      <c r="A609" s="565"/>
      <c r="B609" s="107"/>
      <c r="C609" s="107"/>
      <c r="D609" s="108"/>
      <c r="E609" s="104"/>
      <c r="F609" s="104"/>
      <c r="G609" s="35"/>
      <c r="H609" s="104"/>
      <c r="I609" s="140"/>
      <c r="J609" s="74"/>
      <c r="K609" s="74"/>
      <c r="L609" s="74"/>
      <c r="M609" s="74"/>
      <c r="N609" s="74"/>
      <c r="O609" s="74"/>
      <c r="P609" s="74"/>
      <c r="Q609" s="74"/>
      <c r="R609" s="74"/>
      <c r="S609" s="74"/>
      <c r="T609" s="74"/>
      <c r="U609" s="74"/>
      <c r="V609" s="74"/>
      <c r="W609" s="74"/>
      <c r="X609" s="74"/>
      <c r="Y609" s="74"/>
      <c r="Z609" s="74"/>
      <c r="AA609" s="74"/>
      <c r="AB609" s="74"/>
    </row>
    <row r="610" spans="1:28" ht="12" customHeight="1">
      <c r="A610" s="565"/>
      <c r="B610" s="107"/>
      <c r="C610" s="107"/>
      <c r="D610" s="108"/>
      <c r="E610" s="104"/>
      <c r="F610" s="104"/>
      <c r="G610" s="35"/>
      <c r="H610" s="104"/>
      <c r="I610" s="140"/>
      <c r="J610" s="74"/>
      <c r="K610" s="74"/>
      <c r="L610" s="74"/>
      <c r="M610" s="74"/>
      <c r="N610" s="74"/>
      <c r="O610" s="74"/>
      <c r="P610" s="74"/>
      <c r="Q610" s="74"/>
      <c r="R610" s="74"/>
      <c r="S610" s="74"/>
      <c r="T610" s="74"/>
      <c r="U610" s="74"/>
      <c r="V610" s="74"/>
      <c r="W610" s="74"/>
      <c r="X610" s="74"/>
      <c r="Y610" s="74"/>
      <c r="Z610" s="74"/>
      <c r="AA610" s="74"/>
      <c r="AB610" s="74"/>
    </row>
    <row r="611" spans="1:28" ht="12" customHeight="1">
      <c r="A611" s="565"/>
      <c r="B611" s="107"/>
      <c r="C611" s="107"/>
      <c r="D611" s="108"/>
      <c r="E611" s="104"/>
      <c r="F611" s="104"/>
      <c r="G611" s="35"/>
      <c r="H611" s="104"/>
      <c r="I611" s="140"/>
      <c r="J611" s="74"/>
      <c r="K611" s="74"/>
      <c r="L611" s="74"/>
      <c r="M611" s="74"/>
      <c r="N611" s="74"/>
      <c r="O611" s="74"/>
      <c r="P611" s="74"/>
      <c r="Q611" s="74"/>
      <c r="R611" s="74"/>
      <c r="S611" s="74"/>
      <c r="T611" s="74"/>
      <c r="U611" s="74"/>
      <c r="V611" s="74"/>
      <c r="W611" s="74"/>
      <c r="X611" s="74"/>
      <c r="Y611" s="74"/>
      <c r="Z611" s="74"/>
      <c r="AA611" s="74"/>
      <c r="AB611" s="74"/>
    </row>
    <row r="612" spans="1:28" ht="12" customHeight="1">
      <c r="A612" s="565"/>
      <c r="B612" s="107"/>
      <c r="C612" s="107"/>
      <c r="D612" s="108"/>
      <c r="E612" s="104"/>
      <c r="F612" s="104"/>
      <c r="G612" s="35"/>
      <c r="H612" s="104"/>
      <c r="I612" s="140"/>
      <c r="J612" s="74"/>
      <c r="K612" s="74"/>
      <c r="L612" s="74"/>
      <c r="M612" s="74"/>
      <c r="N612" s="74"/>
      <c r="O612" s="74"/>
      <c r="P612" s="74"/>
      <c r="Q612" s="74"/>
      <c r="R612" s="74"/>
      <c r="S612" s="74"/>
      <c r="T612" s="74"/>
      <c r="U612" s="74"/>
      <c r="V612" s="74"/>
      <c r="W612" s="74"/>
      <c r="X612" s="74"/>
      <c r="Y612" s="74"/>
      <c r="Z612" s="74"/>
      <c r="AA612" s="74"/>
      <c r="AB612" s="74"/>
    </row>
    <row r="613" spans="1:28" ht="12" customHeight="1">
      <c r="A613" s="565"/>
      <c r="B613" s="107"/>
      <c r="C613" s="107"/>
      <c r="D613" s="108"/>
      <c r="E613" s="104"/>
      <c r="F613" s="104"/>
      <c r="G613" s="35"/>
      <c r="H613" s="104"/>
      <c r="I613" s="140"/>
      <c r="J613" s="74"/>
      <c r="K613" s="74"/>
      <c r="L613" s="74"/>
      <c r="M613" s="74"/>
      <c r="N613" s="74"/>
      <c r="O613" s="74"/>
      <c r="P613" s="74"/>
      <c r="Q613" s="74"/>
      <c r="R613" s="74"/>
      <c r="S613" s="74"/>
      <c r="T613" s="74"/>
      <c r="U613" s="74"/>
      <c r="V613" s="74"/>
      <c r="W613" s="74"/>
      <c r="X613" s="74"/>
      <c r="Y613" s="74"/>
      <c r="Z613" s="74"/>
      <c r="AA613" s="74"/>
      <c r="AB613" s="74"/>
    </row>
    <row r="614" spans="1:28" ht="12" customHeight="1">
      <c r="A614" s="565"/>
      <c r="B614" s="107"/>
      <c r="C614" s="107"/>
      <c r="D614" s="108"/>
      <c r="E614" s="104"/>
      <c r="F614" s="104"/>
      <c r="G614" s="35"/>
      <c r="H614" s="104"/>
      <c r="I614" s="140"/>
      <c r="J614" s="74"/>
      <c r="K614" s="74"/>
      <c r="L614" s="74"/>
      <c r="M614" s="74"/>
      <c r="N614" s="74"/>
      <c r="O614" s="74"/>
      <c r="P614" s="74"/>
      <c r="Q614" s="74"/>
      <c r="R614" s="74"/>
      <c r="S614" s="74"/>
      <c r="T614" s="74"/>
      <c r="U614" s="74"/>
      <c r="V614" s="74"/>
      <c r="W614" s="74"/>
      <c r="X614" s="74"/>
      <c r="Y614" s="74"/>
      <c r="Z614" s="74"/>
      <c r="AA614" s="74"/>
      <c r="AB614" s="74"/>
    </row>
    <row r="615" spans="1:28" ht="12" customHeight="1">
      <c r="A615" s="565"/>
      <c r="B615" s="107"/>
      <c r="C615" s="107"/>
      <c r="D615" s="108"/>
      <c r="E615" s="104"/>
      <c r="F615" s="104"/>
      <c r="G615" s="35"/>
      <c r="H615" s="104"/>
      <c r="I615" s="140"/>
      <c r="J615" s="74"/>
      <c r="K615" s="74"/>
      <c r="L615" s="74"/>
      <c r="M615" s="74"/>
      <c r="N615" s="74"/>
      <c r="O615" s="74"/>
      <c r="P615" s="74"/>
      <c r="Q615" s="74"/>
      <c r="R615" s="74"/>
      <c r="S615" s="74"/>
      <c r="T615" s="74"/>
      <c r="U615" s="74"/>
      <c r="V615" s="74"/>
      <c r="W615" s="74"/>
      <c r="X615" s="74"/>
      <c r="Y615" s="74"/>
      <c r="Z615" s="74"/>
      <c r="AA615" s="74"/>
      <c r="AB615" s="74"/>
    </row>
    <row r="616" spans="1:28" ht="12" customHeight="1">
      <c r="A616" s="565"/>
      <c r="B616" s="107"/>
      <c r="C616" s="107"/>
      <c r="D616" s="108"/>
      <c r="E616" s="104"/>
      <c r="F616" s="104"/>
      <c r="G616" s="35"/>
      <c r="H616" s="104"/>
      <c r="I616" s="140"/>
      <c r="J616" s="74"/>
      <c r="K616" s="74"/>
      <c r="L616" s="74"/>
      <c r="M616" s="74"/>
      <c r="N616" s="74"/>
      <c r="O616" s="74"/>
      <c r="P616" s="74"/>
      <c r="Q616" s="74"/>
      <c r="R616" s="74"/>
      <c r="S616" s="74"/>
      <c r="T616" s="74"/>
      <c r="U616" s="74"/>
      <c r="V616" s="74"/>
      <c r="W616" s="74"/>
      <c r="X616" s="74"/>
      <c r="Y616" s="74"/>
      <c r="Z616" s="74"/>
      <c r="AA616" s="74"/>
      <c r="AB616" s="74"/>
    </row>
    <row r="617" spans="1:28" ht="12" customHeight="1">
      <c r="A617" s="565"/>
      <c r="B617" s="107"/>
      <c r="C617" s="107"/>
      <c r="D617" s="108"/>
      <c r="E617" s="104"/>
      <c r="F617" s="104"/>
      <c r="G617" s="35"/>
      <c r="H617" s="104"/>
      <c r="I617" s="140"/>
      <c r="J617" s="74"/>
      <c r="K617" s="74"/>
      <c r="L617" s="74"/>
      <c r="M617" s="74"/>
      <c r="N617" s="74"/>
      <c r="O617" s="74"/>
      <c r="P617" s="74"/>
      <c r="Q617" s="74"/>
      <c r="R617" s="74"/>
      <c r="S617" s="74"/>
      <c r="T617" s="74"/>
      <c r="U617" s="74"/>
      <c r="V617" s="74"/>
      <c r="W617" s="74"/>
      <c r="X617" s="74"/>
      <c r="Y617" s="74"/>
      <c r="Z617" s="74"/>
      <c r="AA617" s="74"/>
      <c r="AB617" s="74"/>
    </row>
    <row r="618" spans="1:28" ht="12" customHeight="1">
      <c r="A618" s="565"/>
      <c r="B618" s="107"/>
      <c r="C618" s="107"/>
      <c r="D618" s="108"/>
      <c r="E618" s="104"/>
      <c r="F618" s="104"/>
      <c r="G618" s="35"/>
      <c r="H618" s="104"/>
      <c r="I618" s="140"/>
      <c r="J618" s="74"/>
      <c r="K618" s="74"/>
      <c r="L618" s="74"/>
      <c r="M618" s="74"/>
      <c r="N618" s="74"/>
      <c r="O618" s="74"/>
      <c r="P618" s="74"/>
      <c r="Q618" s="74"/>
      <c r="R618" s="74"/>
      <c r="S618" s="74"/>
      <c r="T618" s="74"/>
      <c r="U618" s="74"/>
      <c r="V618" s="74"/>
      <c r="W618" s="74"/>
      <c r="X618" s="74"/>
      <c r="Y618" s="74"/>
      <c r="Z618" s="74"/>
      <c r="AA618" s="74"/>
      <c r="AB618" s="74"/>
    </row>
    <row r="619" spans="1:28" ht="12" customHeight="1">
      <c r="A619" s="565"/>
      <c r="B619" s="107"/>
      <c r="C619" s="107"/>
      <c r="D619" s="108"/>
      <c r="E619" s="104"/>
      <c r="F619" s="104"/>
      <c r="G619" s="35"/>
      <c r="H619" s="104"/>
      <c r="I619" s="140"/>
      <c r="J619" s="74"/>
      <c r="K619" s="74"/>
      <c r="L619" s="74"/>
      <c r="M619" s="74"/>
      <c r="N619" s="74"/>
      <c r="O619" s="74"/>
      <c r="P619" s="74"/>
      <c r="Q619" s="74"/>
      <c r="R619" s="74"/>
      <c r="S619" s="74"/>
      <c r="T619" s="74"/>
      <c r="U619" s="74"/>
      <c r="V619" s="74"/>
      <c r="W619" s="74"/>
      <c r="X619" s="74"/>
      <c r="Y619" s="74"/>
      <c r="Z619" s="74"/>
      <c r="AA619" s="74"/>
      <c r="AB619" s="74"/>
    </row>
    <row r="620" spans="1:28" ht="12" customHeight="1">
      <c r="A620" s="565"/>
      <c r="B620" s="107"/>
      <c r="C620" s="107"/>
      <c r="D620" s="108"/>
      <c r="E620" s="104"/>
      <c r="F620" s="104"/>
      <c r="G620" s="35"/>
      <c r="H620" s="104"/>
      <c r="I620" s="140"/>
      <c r="J620" s="74"/>
      <c r="K620" s="74"/>
      <c r="L620" s="74"/>
      <c r="M620" s="74"/>
      <c r="N620" s="74"/>
      <c r="O620" s="74"/>
      <c r="P620" s="74"/>
      <c r="Q620" s="74"/>
      <c r="R620" s="74"/>
      <c r="S620" s="74"/>
      <c r="T620" s="74"/>
      <c r="U620" s="74"/>
      <c r="V620" s="74"/>
      <c r="W620" s="74"/>
      <c r="X620" s="74"/>
      <c r="Y620" s="74"/>
      <c r="Z620" s="74"/>
      <c r="AA620" s="74"/>
      <c r="AB620" s="74"/>
    </row>
    <row r="621" spans="1:28" ht="12" customHeight="1">
      <c r="A621" s="565"/>
      <c r="B621" s="107"/>
      <c r="C621" s="107"/>
      <c r="D621" s="108"/>
      <c r="E621" s="104"/>
      <c r="F621" s="104"/>
      <c r="G621" s="35"/>
      <c r="H621" s="104"/>
      <c r="I621" s="140"/>
      <c r="J621" s="74"/>
      <c r="K621" s="74"/>
      <c r="L621" s="74"/>
      <c r="M621" s="74"/>
      <c r="N621" s="74"/>
      <c r="O621" s="74"/>
      <c r="P621" s="74"/>
      <c r="Q621" s="74"/>
      <c r="R621" s="74"/>
      <c r="S621" s="74"/>
      <c r="T621" s="74"/>
      <c r="U621" s="74"/>
      <c r="V621" s="74"/>
      <c r="W621" s="74"/>
      <c r="X621" s="74"/>
      <c r="Y621" s="74"/>
      <c r="Z621" s="74"/>
      <c r="AA621" s="74"/>
      <c r="AB621" s="74"/>
    </row>
    <row r="622" spans="1:28" ht="12" customHeight="1">
      <c r="A622" s="565"/>
      <c r="B622" s="107"/>
      <c r="C622" s="107"/>
      <c r="D622" s="108"/>
      <c r="E622" s="104"/>
      <c r="F622" s="104"/>
      <c r="G622" s="35"/>
      <c r="H622" s="104"/>
      <c r="I622" s="140"/>
      <c r="J622" s="74"/>
      <c r="K622" s="74"/>
      <c r="L622" s="74"/>
      <c r="M622" s="74"/>
      <c r="N622" s="74"/>
      <c r="O622" s="74"/>
      <c r="P622" s="74"/>
      <c r="Q622" s="74"/>
      <c r="R622" s="74"/>
      <c r="S622" s="74"/>
      <c r="T622" s="74"/>
      <c r="U622" s="74"/>
      <c r="V622" s="74"/>
      <c r="W622" s="74"/>
      <c r="X622" s="74"/>
      <c r="Y622" s="74"/>
      <c r="Z622" s="74"/>
      <c r="AA622" s="74"/>
      <c r="AB622" s="74"/>
    </row>
    <row r="623" spans="1:28" ht="12" customHeight="1">
      <c r="A623" s="565"/>
      <c r="B623" s="107"/>
      <c r="C623" s="107"/>
      <c r="D623" s="108"/>
      <c r="E623" s="104"/>
      <c r="F623" s="104"/>
      <c r="G623" s="35"/>
      <c r="H623" s="104"/>
      <c r="I623" s="140"/>
      <c r="J623" s="74"/>
      <c r="K623" s="74"/>
      <c r="L623" s="74"/>
      <c r="M623" s="74"/>
      <c r="N623" s="74"/>
      <c r="O623" s="74"/>
      <c r="P623" s="74"/>
      <c r="Q623" s="74"/>
      <c r="R623" s="74"/>
      <c r="S623" s="74"/>
      <c r="T623" s="74"/>
      <c r="U623" s="74"/>
      <c r="V623" s="74"/>
      <c r="W623" s="74"/>
      <c r="X623" s="74"/>
      <c r="Y623" s="74"/>
      <c r="Z623" s="74"/>
      <c r="AA623" s="74"/>
      <c r="AB623" s="74"/>
    </row>
    <row r="624" spans="1:28" ht="12" customHeight="1">
      <c r="A624" s="565"/>
      <c r="B624" s="107"/>
      <c r="C624" s="107"/>
      <c r="D624" s="108"/>
      <c r="E624" s="104"/>
      <c r="F624" s="104"/>
      <c r="G624" s="35"/>
      <c r="H624" s="104"/>
      <c r="I624" s="140"/>
      <c r="J624" s="74"/>
      <c r="K624" s="74"/>
      <c r="L624" s="74"/>
      <c r="M624" s="74"/>
      <c r="N624" s="74"/>
      <c r="O624" s="74"/>
      <c r="P624" s="74"/>
      <c r="Q624" s="74"/>
      <c r="R624" s="74"/>
      <c r="S624" s="74"/>
      <c r="T624" s="74"/>
      <c r="U624" s="74"/>
      <c r="V624" s="74"/>
      <c r="W624" s="74"/>
      <c r="X624" s="74"/>
      <c r="Y624" s="74"/>
      <c r="Z624" s="74"/>
      <c r="AA624" s="74"/>
      <c r="AB624" s="74"/>
    </row>
    <row r="625" spans="1:28" ht="12" customHeight="1">
      <c r="A625" s="565"/>
      <c r="B625" s="107"/>
      <c r="C625" s="107"/>
      <c r="D625" s="108"/>
      <c r="E625" s="104"/>
      <c r="F625" s="104"/>
      <c r="G625" s="35"/>
      <c r="H625" s="104"/>
      <c r="I625" s="140"/>
      <c r="J625" s="74"/>
      <c r="K625" s="74"/>
      <c r="L625" s="74"/>
      <c r="M625" s="74"/>
      <c r="N625" s="74"/>
      <c r="O625" s="74"/>
      <c r="P625" s="74"/>
      <c r="Q625" s="74"/>
      <c r="R625" s="74"/>
      <c r="S625" s="74"/>
      <c r="T625" s="74"/>
      <c r="U625" s="74"/>
      <c r="V625" s="74"/>
      <c r="W625" s="74"/>
      <c r="X625" s="74"/>
      <c r="Y625" s="74"/>
      <c r="Z625" s="74"/>
      <c r="AA625" s="74"/>
      <c r="AB625" s="74"/>
    </row>
    <row r="626" spans="1:28" ht="12" customHeight="1">
      <c r="A626" s="565"/>
      <c r="B626" s="107"/>
      <c r="C626" s="107"/>
      <c r="D626" s="108"/>
      <c r="E626" s="104"/>
      <c r="F626" s="104"/>
      <c r="G626" s="35"/>
      <c r="H626" s="104"/>
      <c r="I626" s="140"/>
      <c r="J626" s="74"/>
      <c r="K626" s="74"/>
      <c r="L626" s="74"/>
      <c r="M626" s="74"/>
      <c r="N626" s="74"/>
      <c r="O626" s="74"/>
      <c r="P626" s="74"/>
      <c r="Q626" s="74"/>
      <c r="R626" s="74"/>
      <c r="S626" s="74"/>
      <c r="T626" s="74"/>
      <c r="U626" s="74"/>
      <c r="V626" s="74"/>
      <c r="W626" s="74"/>
      <c r="X626" s="74"/>
      <c r="Y626" s="74"/>
      <c r="Z626" s="74"/>
      <c r="AA626" s="74"/>
      <c r="AB626" s="74"/>
    </row>
    <row r="627" spans="1:28" ht="12" customHeight="1">
      <c r="A627" s="565"/>
      <c r="B627" s="107"/>
      <c r="C627" s="107"/>
      <c r="D627" s="108"/>
      <c r="E627" s="104"/>
      <c r="F627" s="104"/>
      <c r="G627" s="35"/>
      <c r="H627" s="104"/>
      <c r="I627" s="140"/>
      <c r="J627" s="74"/>
      <c r="K627" s="74"/>
      <c r="L627" s="74"/>
      <c r="M627" s="74"/>
      <c r="N627" s="74"/>
      <c r="O627" s="74"/>
      <c r="P627" s="74"/>
      <c r="Q627" s="74"/>
      <c r="R627" s="74"/>
      <c r="S627" s="74"/>
      <c r="T627" s="74"/>
      <c r="U627" s="74"/>
      <c r="V627" s="74"/>
      <c r="W627" s="74"/>
      <c r="X627" s="74"/>
      <c r="Y627" s="74"/>
      <c r="Z627" s="74"/>
      <c r="AA627" s="74"/>
      <c r="AB627" s="74"/>
    </row>
    <row r="628" spans="1:28" ht="12" customHeight="1">
      <c r="A628" s="565"/>
      <c r="B628" s="107"/>
      <c r="C628" s="107"/>
      <c r="D628" s="108"/>
      <c r="E628" s="104"/>
      <c r="F628" s="104"/>
      <c r="G628" s="35"/>
      <c r="H628" s="104"/>
      <c r="I628" s="140"/>
      <c r="J628" s="74"/>
      <c r="K628" s="74"/>
      <c r="L628" s="74"/>
      <c r="M628" s="74"/>
      <c r="N628" s="74"/>
      <c r="O628" s="74"/>
      <c r="P628" s="74"/>
      <c r="Q628" s="74"/>
      <c r="R628" s="74"/>
      <c r="S628" s="74"/>
      <c r="T628" s="74"/>
      <c r="U628" s="74"/>
      <c r="V628" s="74"/>
      <c r="W628" s="74"/>
      <c r="X628" s="74"/>
      <c r="Y628" s="74"/>
      <c r="Z628" s="74"/>
      <c r="AA628" s="74"/>
      <c r="AB628" s="74"/>
    </row>
    <row r="629" spans="1:28" ht="12" customHeight="1">
      <c r="A629" s="565"/>
      <c r="B629" s="107"/>
      <c r="C629" s="107"/>
      <c r="D629" s="108"/>
      <c r="E629" s="104"/>
      <c r="F629" s="104"/>
      <c r="G629" s="35"/>
      <c r="H629" s="104"/>
      <c r="I629" s="140"/>
      <c r="J629" s="74"/>
      <c r="K629" s="74"/>
      <c r="L629" s="74"/>
      <c r="M629" s="74"/>
      <c r="N629" s="74"/>
      <c r="O629" s="74"/>
      <c r="P629" s="74"/>
      <c r="Q629" s="74"/>
      <c r="R629" s="74"/>
      <c r="S629" s="74"/>
      <c r="T629" s="74"/>
      <c r="U629" s="74"/>
      <c r="V629" s="74"/>
      <c r="W629" s="74"/>
      <c r="X629" s="74"/>
      <c r="Y629" s="74"/>
      <c r="Z629" s="74"/>
      <c r="AA629" s="74"/>
      <c r="AB629" s="74"/>
    </row>
    <row r="630" spans="1:28" ht="12" customHeight="1">
      <c r="A630" s="565"/>
      <c r="B630" s="107"/>
      <c r="C630" s="107"/>
      <c r="D630" s="108"/>
      <c r="E630" s="104"/>
      <c r="F630" s="104"/>
      <c r="G630" s="35"/>
      <c r="H630" s="104"/>
      <c r="I630" s="140"/>
      <c r="J630" s="74"/>
      <c r="K630" s="74"/>
      <c r="L630" s="74"/>
      <c r="M630" s="74"/>
      <c r="N630" s="74"/>
      <c r="O630" s="74"/>
      <c r="P630" s="74"/>
      <c r="Q630" s="74"/>
      <c r="R630" s="74"/>
      <c r="S630" s="74"/>
      <c r="T630" s="74"/>
      <c r="U630" s="74"/>
      <c r="V630" s="74"/>
      <c r="W630" s="74"/>
      <c r="X630" s="74"/>
      <c r="Y630" s="74"/>
      <c r="Z630" s="74"/>
      <c r="AA630" s="74"/>
      <c r="AB630" s="74"/>
    </row>
    <row r="631" spans="1:28" ht="12" customHeight="1">
      <c r="A631" s="565"/>
      <c r="B631" s="107"/>
      <c r="C631" s="107"/>
      <c r="D631" s="108"/>
      <c r="E631" s="104"/>
      <c r="F631" s="104"/>
      <c r="G631" s="35"/>
      <c r="H631" s="104"/>
      <c r="I631" s="140"/>
      <c r="J631" s="74"/>
      <c r="K631" s="74"/>
      <c r="L631" s="74"/>
      <c r="M631" s="74"/>
      <c r="N631" s="74"/>
      <c r="O631" s="74"/>
      <c r="P631" s="74"/>
      <c r="Q631" s="74"/>
      <c r="R631" s="74"/>
      <c r="S631" s="74"/>
      <c r="T631" s="74"/>
      <c r="U631" s="74"/>
      <c r="V631" s="74"/>
      <c r="W631" s="74"/>
      <c r="X631" s="74"/>
      <c r="Y631" s="74"/>
      <c r="Z631" s="74"/>
      <c r="AA631" s="74"/>
      <c r="AB631" s="74"/>
    </row>
    <row r="632" spans="1:28" ht="12" customHeight="1">
      <c r="A632" s="565"/>
      <c r="B632" s="107"/>
      <c r="C632" s="107"/>
      <c r="D632" s="108"/>
      <c r="E632" s="104"/>
      <c r="F632" s="104"/>
      <c r="G632" s="35"/>
      <c r="H632" s="104"/>
      <c r="I632" s="140"/>
      <c r="J632" s="74"/>
      <c r="K632" s="74"/>
      <c r="L632" s="74"/>
      <c r="M632" s="74"/>
      <c r="N632" s="74"/>
      <c r="O632" s="74"/>
      <c r="P632" s="74"/>
      <c r="Q632" s="74"/>
      <c r="R632" s="74"/>
      <c r="S632" s="74"/>
      <c r="T632" s="74"/>
      <c r="U632" s="74"/>
      <c r="V632" s="74"/>
      <c r="W632" s="74"/>
      <c r="X632" s="74"/>
      <c r="Y632" s="74"/>
      <c r="Z632" s="74"/>
      <c r="AA632" s="74"/>
      <c r="AB632" s="74"/>
    </row>
    <row r="633" spans="1:28" ht="12" customHeight="1">
      <c r="A633" s="565"/>
      <c r="B633" s="107"/>
      <c r="C633" s="107"/>
      <c r="D633" s="108"/>
      <c r="E633" s="104"/>
      <c r="F633" s="104"/>
      <c r="G633" s="35"/>
      <c r="H633" s="104"/>
      <c r="I633" s="140"/>
      <c r="J633" s="74"/>
      <c r="K633" s="74"/>
      <c r="L633" s="74"/>
      <c r="M633" s="74"/>
      <c r="N633" s="74"/>
      <c r="O633" s="74"/>
      <c r="P633" s="74"/>
      <c r="Q633" s="74"/>
      <c r="R633" s="74"/>
      <c r="S633" s="74"/>
      <c r="T633" s="74"/>
      <c r="U633" s="74"/>
      <c r="V633" s="74"/>
      <c r="W633" s="74"/>
      <c r="X633" s="74"/>
      <c r="Y633" s="74"/>
      <c r="Z633" s="74"/>
      <c r="AA633" s="74"/>
      <c r="AB633" s="74"/>
    </row>
    <row r="634" spans="1:28" ht="12" customHeight="1">
      <c r="A634" s="565"/>
      <c r="B634" s="107"/>
      <c r="C634" s="107"/>
      <c r="D634" s="108"/>
      <c r="E634" s="104"/>
      <c r="F634" s="104"/>
      <c r="G634" s="35"/>
      <c r="H634" s="104"/>
      <c r="I634" s="140"/>
      <c r="J634" s="74"/>
      <c r="K634" s="74"/>
      <c r="L634" s="74"/>
      <c r="M634" s="74"/>
      <c r="N634" s="74"/>
      <c r="O634" s="74"/>
      <c r="P634" s="74"/>
      <c r="Q634" s="74"/>
      <c r="R634" s="74"/>
      <c r="S634" s="74"/>
      <c r="T634" s="74"/>
      <c r="U634" s="74"/>
      <c r="V634" s="74"/>
      <c r="W634" s="74"/>
      <c r="X634" s="74"/>
      <c r="Y634" s="74"/>
      <c r="Z634" s="74"/>
      <c r="AA634" s="74"/>
      <c r="AB634" s="74"/>
    </row>
    <row r="635" spans="1:28" ht="12" customHeight="1">
      <c r="A635" s="565"/>
      <c r="B635" s="107"/>
      <c r="C635" s="107"/>
      <c r="D635" s="108"/>
      <c r="E635" s="104"/>
      <c r="F635" s="104"/>
      <c r="G635" s="35"/>
      <c r="H635" s="104"/>
      <c r="I635" s="140"/>
      <c r="J635" s="74"/>
      <c r="K635" s="74"/>
      <c r="L635" s="74"/>
      <c r="M635" s="74"/>
      <c r="N635" s="74"/>
      <c r="O635" s="74"/>
      <c r="P635" s="74"/>
      <c r="Q635" s="74"/>
      <c r="R635" s="74"/>
      <c r="S635" s="74"/>
      <c r="T635" s="74"/>
      <c r="U635" s="74"/>
      <c r="V635" s="74"/>
      <c r="W635" s="74"/>
      <c r="X635" s="74"/>
      <c r="Y635" s="74"/>
      <c r="Z635" s="74"/>
      <c r="AA635" s="74"/>
      <c r="AB635" s="74"/>
    </row>
    <row r="636" spans="1:28" ht="12" customHeight="1">
      <c r="A636" s="565"/>
      <c r="B636" s="107"/>
      <c r="C636" s="107"/>
      <c r="D636" s="108"/>
      <c r="E636" s="104"/>
      <c r="F636" s="104"/>
      <c r="G636" s="35"/>
      <c r="H636" s="104"/>
      <c r="I636" s="140"/>
      <c r="J636" s="74"/>
      <c r="K636" s="74"/>
      <c r="L636" s="74"/>
      <c r="M636" s="74"/>
      <c r="N636" s="74"/>
      <c r="O636" s="74"/>
      <c r="P636" s="74"/>
      <c r="Q636" s="74"/>
      <c r="R636" s="74"/>
      <c r="S636" s="74"/>
      <c r="T636" s="74"/>
      <c r="U636" s="74"/>
      <c r="V636" s="74"/>
      <c r="W636" s="74"/>
      <c r="X636" s="74"/>
      <c r="Y636" s="74"/>
      <c r="Z636" s="74"/>
      <c r="AA636" s="74"/>
      <c r="AB636" s="74"/>
    </row>
    <row r="637" spans="1:28" ht="12" customHeight="1">
      <c r="A637" s="565"/>
      <c r="B637" s="107"/>
      <c r="C637" s="107"/>
      <c r="D637" s="108"/>
      <c r="E637" s="104"/>
      <c r="F637" s="104"/>
      <c r="G637" s="35"/>
      <c r="H637" s="104"/>
      <c r="I637" s="140"/>
      <c r="J637" s="74"/>
      <c r="K637" s="74"/>
      <c r="L637" s="74"/>
      <c r="M637" s="74"/>
      <c r="N637" s="74"/>
      <c r="O637" s="74"/>
      <c r="P637" s="74"/>
      <c r="Q637" s="74"/>
      <c r="R637" s="74"/>
      <c r="S637" s="74"/>
      <c r="T637" s="74"/>
      <c r="U637" s="74"/>
      <c r="V637" s="74"/>
      <c r="W637" s="74"/>
      <c r="X637" s="74"/>
      <c r="Y637" s="74"/>
      <c r="Z637" s="74"/>
      <c r="AA637" s="74"/>
      <c r="AB637" s="74"/>
    </row>
    <row r="638" spans="1:28" ht="12" customHeight="1">
      <c r="A638" s="565"/>
      <c r="B638" s="107"/>
      <c r="C638" s="107"/>
      <c r="D638" s="108"/>
      <c r="E638" s="104"/>
      <c r="F638" s="104"/>
      <c r="G638" s="35"/>
      <c r="H638" s="104"/>
      <c r="I638" s="140"/>
      <c r="J638" s="74"/>
      <c r="K638" s="74"/>
      <c r="L638" s="74"/>
      <c r="M638" s="74"/>
      <c r="N638" s="74"/>
      <c r="O638" s="74"/>
      <c r="P638" s="74"/>
      <c r="Q638" s="74"/>
      <c r="R638" s="74"/>
      <c r="S638" s="74"/>
      <c r="T638" s="74"/>
      <c r="U638" s="74"/>
      <c r="V638" s="74"/>
      <c r="W638" s="74"/>
      <c r="X638" s="74"/>
      <c r="Y638" s="74"/>
      <c r="Z638" s="74"/>
      <c r="AA638" s="74"/>
      <c r="AB638" s="74"/>
    </row>
    <row r="639" spans="1:28" ht="12" customHeight="1">
      <c r="A639" s="565"/>
      <c r="B639" s="107"/>
      <c r="C639" s="107"/>
      <c r="D639" s="108"/>
      <c r="E639" s="104"/>
      <c r="F639" s="104"/>
      <c r="G639" s="35"/>
      <c r="H639" s="104"/>
      <c r="I639" s="140"/>
      <c r="J639" s="74"/>
      <c r="K639" s="74"/>
      <c r="L639" s="74"/>
      <c r="M639" s="74"/>
      <c r="N639" s="74"/>
      <c r="O639" s="74"/>
      <c r="P639" s="74"/>
      <c r="Q639" s="74"/>
      <c r="R639" s="74"/>
      <c r="S639" s="74"/>
      <c r="T639" s="74"/>
      <c r="U639" s="74"/>
      <c r="V639" s="74"/>
      <c r="W639" s="74"/>
      <c r="X639" s="74"/>
      <c r="Y639" s="74"/>
      <c r="Z639" s="74"/>
      <c r="AA639" s="74"/>
      <c r="AB639" s="74"/>
    </row>
    <row r="640" spans="1:28" ht="12" customHeight="1">
      <c r="A640" s="565"/>
      <c r="B640" s="107"/>
      <c r="C640" s="107"/>
      <c r="D640" s="108"/>
      <c r="E640" s="104"/>
      <c r="F640" s="104"/>
      <c r="G640" s="35"/>
      <c r="H640" s="104"/>
      <c r="I640" s="140"/>
      <c r="J640" s="74"/>
      <c r="K640" s="74"/>
      <c r="L640" s="74"/>
      <c r="M640" s="74"/>
      <c r="N640" s="74"/>
      <c r="O640" s="74"/>
      <c r="P640" s="74"/>
      <c r="Q640" s="74"/>
      <c r="R640" s="74"/>
      <c r="S640" s="74"/>
      <c r="T640" s="74"/>
      <c r="U640" s="74"/>
      <c r="V640" s="74"/>
      <c r="W640" s="74"/>
      <c r="X640" s="74"/>
      <c r="Y640" s="74"/>
      <c r="Z640" s="74"/>
      <c r="AA640" s="74"/>
      <c r="AB640" s="74"/>
    </row>
    <row r="641" spans="1:28" ht="12" customHeight="1">
      <c r="A641" s="565"/>
      <c r="B641" s="107"/>
      <c r="C641" s="107"/>
      <c r="D641" s="108"/>
      <c r="E641" s="104"/>
      <c r="F641" s="104"/>
      <c r="G641" s="35"/>
      <c r="H641" s="104"/>
      <c r="I641" s="140"/>
      <c r="J641" s="74"/>
      <c r="K641" s="74"/>
      <c r="L641" s="74"/>
      <c r="M641" s="74"/>
      <c r="N641" s="74"/>
      <c r="O641" s="74"/>
      <c r="P641" s="74"/>
      <c r="Q641" s="74"/>
      <c r="R641" s="74"/>
      <c r="S641" s="74"/>
      <c r="T641" s="74"/>
      <c r="U641" s="74"/>
      <c r="V641" s="74"/>
      <c r="W641" s="74"/>
      <c r="X641" s="74"/>
      <c r="Y641" s="74"/>
      <c r="Z641" s="74"/>
      <c r="AA641" s="74"/>
      <c r="AB641" s="74"/>
    </row>
    <row r="642" spans="1:28" ht="12" customHeight="1">
      <c r="A642" s="565"/>
      <c r="B642" s="107"/>
      <c r="C642" s="107"/>
      <c r="D642" s="108"/>
      <c r="E642" s="104"/>
      <c r="F642" s="104"/>
      <c r="G642" s="35"/>
      <c r="H642" s="104"/>
      <c r="I642" s="140"/>
      <c r="J642" s="74"/>
      <c r="K642" s="74"/>
      <c r="L642" s="74"/>
      <c r="M642" s="74"/>
      <c r="N642" s="74"/>
      <c r="O642" s="74"/>
      <c r="P642" s="74"/>
      <c r="Q642" s="74"/>
      <c r="R642" s="74"/>
      <c r="S642" s="74"/>
      <c r="T642" s="74"/>
      <c r="U642" s="74"/>
      <c r="V642" s="74"/>
      <c r="W642" s="74"/>
      <c r="X642" s="74"/>
      <c r="Y642" s="74"/>
      <c r="Z642" s="74"/>
      <c r="AA642" s="74"/>
      <c r="AB642" s="74"/>
    </row>
    <row r="643" spans="1:28" ht="12" customHeight="1">
      <c r="A643" s="565"/>
      <c r="B643" s="107"/>
      <c r="C643" s="107"/>
      <c r="D643" s="108"/>
      <c r="E643" s="104"/>
      <c r="F643" s="104"/>
      <c r="G643" s="35"/>
      <c r="H643" s="104"/>
      <c r="I643" s="140"/>
      <c r="J643" s="74"/>
      <c r="K643" s="74"/>
      <c r="L643" s="74"/>
      <c r="M643" s="74"/>
      <c r="N643" s="74"/>
      <c r="O643" s="74"/>
      <c r="P643" s="74"/>
      <c r="Q643" s="74"/>
      <c r="R643" s="74"/>
      <c r="S643" s="74"/>
      <c r="T643" s="74"/>
      <c r="U643" s="74"/>
      <c r="V643" s="74"/>
      <c r="W643" s="74"/>
      <c r="X643" s="74"/>
      <c r="Y643" s="74"/>
      <c r="Z643" s="74"/>
      <c r="AA643" s="74"/>
      <c r="AB643" s="74"/>
    </row>
    <row r="644" spans="1:28" ht="12" customHeight="1">
      <c r="A644" s="565"/>
      <c r="B644" s="107"/>
      <c r="C644" s="107"/>
      <c r="D644" s="108"/>
      <c r="E644" s="104"/>
      <c r="F644" s="104"/>
      <c r="G644" s="35"/>
      <c r="H644" s="104"/>
      <c r="I644" s="140"/>
      <c r="J644" s="74"/>
      <c r="K644" s="74"/>
      <c r="L644" s="74"/>
      <c r="M644" s="74"/>
      <c r="N644" s="74"/>
      <c r="O644" s="74"/>
      <c r="P644" s="74"/>
      <c r="Q644" s="74"/>
      <c r="R644" s="74"/>
      <c r="S644" s="74"/>
      <c r="T644" s="74"/>
      <c r="U644" s="74"/>
      <c r="V644" s="74"/>
      <c r="W644" s="74"/>
      <c r="X644" s="74"/>
      <c r="Y644" s="74"/>
      <c r="Z644" s="74"/>
      <c r="AA644" s="74"/>
      <c r="AB644" s="74"/>
    </row>
    <row r="645" spans="1:28" ht="12" customHeight="1">
      <c r="A645" s="565"/>
      <c r="B645" s="107"/>
      <c r="C645" s="107"/>
      <c r="D645" s="108"/>
      <c r="E645" s="104"/>
      <c r="F645" s="104"/>
      <c r="G645" s="35"/>
      <c r="H645" s="104"/>
      <c r="I645" s="140"/>
      <c r="J645" s="74"/>
      <c r="K645" s="74"/>
      <c r="L645" s="74"/>
      <c r="M645" s="74"/>
      <c r="N645" s="74"/>
      <c r="O645" s="74"/>
      <c r="P645" s="74"/>
      <c r="Q645" s="74"/>
      <c r="R645" s="74"/>
      <c r="S645" s="74"/>
      <c r="T645" s="74"/>
      <c r="U645" s="74"/>
      <c r="V645" s="74"/>
      <c r="W645" s="74"/>
      <c r="X645" s="74"/>
      <c r="Y645" s="74"/>
      <c r="Z645" s="74"/>
      <c r="AA645" s="74"/>
      <c r="AB645" s="74"/>
    </row>
    <row r="646" spans="1:28" ht="12" customHeight="1">
      <c r="A646" s="565"/>
      <c r="B646" s="107"/>
      <c r="C646" s="107"/>
      <c r="D646" s="108"/>
      <c r="E646" s="104"/>
      <c r="F646" s="104"/>
      <c r="G646" s="35"/>
      <c r="H646" s="104"/>
      <c r="I646" s="140"/>
      <c r="J646" s="74"/>
      <c r="K646" s="74"/>
      <c r="L646" s="74"/>
      <c r="M646" s="74"/>
      <c r="N646" s="74"/>
      <c r="O646" s="74"/>
      <c r="P646" s="74"/>
      <c r="Q646" s="74"/>
      <c r="R646" s="74"/>
      <c r="S646" s="74"/>
      <c r="T646" s="74"/>
      <c r="U646" s="74"/>
      <c r="V646" s="74"/>
      <c r="W646" s="74"/>
      <c r="X646" s="74"/>
      <c r="Y646" s="74"/>
      <c r="Z646" s="74"/>
      <c r="AA646" s="74"/>
      <c r="AB646" s="74"/>
    </row>
    <row r="647" spans="1:28" ht="12" customHeight="1">
      <c r="A647" s="565"/>
      <c r="B647" s="107"/>
      <c r="C647" s="107"/>
      <c r="D647" s="108"/>
      <c r="E647" s="104"/>
      <c r="F647" s="104"/>
      <c r="G647" s="35"/>
      <c r="H647" s="104"/>
      <c r="I647" s="140"/>
      <c r="J647" s="74"/>
      <c r="K647" s="74"/>
      <c r="L647" s="74"/>
      <c r="M647" s="74"/>
      <c r="N647" s="74"/>
      <c r="O647" s="74"/>
      <c r="P647" s="74"/>
      <c r="Q647" s="74"/>
      <c r="R647" s="74"/>
      <c r="S647" s="74"/>
      <c r="T647" s="74"/>
      <c r="U647" s="74"/>
      <c r="V647" s="74"/>
      <c r="W647" s="74"/>
      <c r="X647" s="74"/>
      <c r="Y647" s="74"/>
      <c r="Z647" s="74"/>
      <c r="AA647" s="74"/>
      <c r="AB647" s="74"/>
    </row>
    <row r="648" spans="1:28" ht="12" customHeight="1">
      <c r="A648" s="565"/>
      <c r="B648" s="107"/>
      <c r="C648" s="107"/>
      <c r="D648" s="108"/>
      <c r="E648" s="104"/>
      <c r="F648" s="104"/>
      <c r="G648" s="35"/>
      <c r="H648" s="104"/>
      <c r="I648" s="140"/>
      <c r="J648" s="74"/>
      <c r="K648" s="74"/>
      <c r="L648" s="74"/>
      <c r="M648" s="74"/>
      <c r="N648" s="74"/>
      <c r="O648" s="74"/>
      <c r="P648" s="74"/>
      <c r="Q648" s="74"/>
      <c r="R648" s="74"/>
      <c r="S648" s="74"/>
      <c r="T648" s="74"/>
      <c r="U648" s="74"/>
      <c r="V648" s="74"/>
      <c r="W648" s="74"/>
      <c r="X648" s="74"/>
      <c r="Y648" s="74"/>
      <c r="Z648" s="74"/>
      <c r="AA648" s="74"/>
      <c r="AB648" s="74"/>
    </row>
    <row r="649" spans="1:28" ht="12" customHeight="1">
      <c r="A649" s="565"/>
      <c r="B649" s="107"/>
      <c r="C649" s="107"/>
      <c r="D649" s="108"/>
      <c r="E649" s="104"/>
      <c r="F649" s="104"/>
      <c r="G649" s="35"/>
      <c r="H649" s="104"/>
      <c r="I649" s="140"/>
      <c r="J649" s="74"/>
      <c r="K649" s="74"/>
      <c r="L649" s="74"/>
      <c r="M649" s="74"/>
      <c r="N649" s="74"/>
      <c r="O649" s="74"/>
      <c r="P649" s="74"/>
      <c r="Q649" s="74"/>
      <c r="R649" s="74"/>
      <c r="S649" s="74"/>
      <c r="T649" s="74"/>
      <c r="U649" s="74"/>
      <c r="V649" s="74"/>
      <c r="W649" s="74"/>
      <c r="X649" s="74"/>
      <c r="Y649" s="74"/>
      <c r="Z649" s="74"/>
      <c r="AA649" s="74"/>
      <c r="AB649" s="74"/>
    </row>
    <row r="650" spans="1:28" ht="12" customHeight="1">
      <c r="A650" s="565"/>
      <c r="B650" s="107"/>
      <c r="C650" s="107"/>
      <c r="D650" s="108"/>
      <c r="E650" s="104"/>
      <c r="F650" s="104"/>
      <c r="G650" s="35"/>
      <c r="H650" s="104"/>
      <c r="I650" s="140"/>
      <c r="J650" s="74"/>
      <c r="K650" s="74"/>
      <c r="L650" s="74"/>
      <c r="M650" s="74"/>
      <c r="N650" s="74"/>
      <c r="O650" s="74"/>
      <c r="P650" s="74"/>
      <c r="Q650" s="74"/>
      <c r="R650" s="74"/>
      <c r="S650" s="74"/>
      <c r="T650" s="74"/>
      <c r="U650" s="74"/>
      <c r="V650" s="74"/>
      <c r="W650" s="74"/>
      <c r="X650" s="74"/>
      <c r="Y650" s="74"/>
      <c r="Z650" s="74"/>
      <c r="AA650" s="74"/>
      <c r="AB650" s="74"/>
    </row>
    <row r="651" spans="1:28" ht="12" customHeight="1">
      <c r="A651" s="565"/>
      <c r="B651" s="107"/>
      <c r="C651" s="107"/>
      <c r="D651" s="108"/>
      <c r="E651" s="104"/>
      <c r="F651" s="104"/>
      <c r="G651" s="35"/>
      <c r="H651" s="104"/>
      <c r="I651" s="140"/>
      <c r="J651" s="74"/>
      <c r="K651" s="74"/>
      <c r="L651" s="74"/>
      <c r="M651" s="74"/>
      <c r="N651" s="74"/>
      <c r="O651" s="74"/>
      <c r="P651" s="74"/>
      <c r="Q651" s="74"/>
      <c r="R651" s="74"/>
      <c r="S651" s="74"/>
      <c r="T651" s="74"/>
      <c r="U651" s="74"/>
      <c r="V651" s="74"/>
      <c r="W651" s="74"/>
      <c r="X651" s="74"/>
      <c r="Y651" s="74"/>
      <c r="Z651" s="74"/>
      <c r="AA651" s="74"/>
      <c r="AB651" s="74"/>
    </row>
    <row r="652" spans="1:28" ht="12" customHeight="1">
      <c r="A652" s="565"/>
      <c r="B652" s="107"/>
      <c r="C652" s="107"/>
      <c r="D652" s="108"/>
      <c r="E652" s="104"/>
      <c r="F652" s="104"/>
      <c r="G652" s="35"/>
      <c r="H652" s="104"/>
      <c r="I652" s="140"/>
      <c r="J652" s="74"/>
      <c r="K652" s="74"/>
      <c r="L652" s="74"/>
      <c r="M652" s="74"/>
      <c r="N652" s="74"/>
      <c r="O652" s="74"/>
      <c r="P652" s="74"/>
      <c r="Q652" s="74"/>
      <c r="R652" s="74"/>
      <c r="S652" s="74"/>
      <c r="T652" s="74"/>
      <c r="U652" s="74"/>
      <c r="V652" s="74"/>
      <c r="W652" s="74"/>
      <c r="X652" s="74"/>
      <c r="Y652" s="74"/>
      <c r="Z652" s="74"/>
      <c r="AA652" s="74"/>
      <c r="AB652" s="74"/>
    </row>
    <row r="653" spans="1:28" ht="12" customHeight="1">
      <c r="A653" s="565"/>
      <c r="B653" s="107"/>
      <c r="C653" s="107"/>
      <c r="D653" s="108"/>
      <c r="E653" s="104"/>
      <c r="F653" s="104"/>
      <c r="G653" s="35"/>
      <c r="H653" s="104"/>
      <c r="I653" s="140"/>
      <c r="J653" s="74"/>
      <c r="K653" s="74"/>
      <c r="L653" s="74"/>
      <c r="M653" s="74"/>
      <c r="N653" s="74"/>
      <c r="O653" s="74"/>
      <c r="P653" s="74"/>
      <c r="Q653" s="74"/>
      <c r="R653" s="74"/>
      <c r="S653" s="74"/>
      <c r="T653" s="74"/>
      <c r="U653" s="74"/>
      <c r="V653" s="74"/>
      <c r="W653" s="74"/>
      <c r="X653" s="74"/>
      <c r="Y653" s="74"/>
      <c r="Z653" s="74"/>
      <c r="AA653" s="74"/>
      <c r="AB653" s="74"/>
    </row>
    <row r="654" spans="1:28" ht="12" customHeight="1">
      <c r="A654" s="565"/>
      <c r="B654" s="107"/>
      <c r="C654" s="107"/>
      <c r="D654" s="108"/>
      <c r="E654" s="104"/>
      <c r="F654" s="104"/>
      <c r="G654" s="35"/>
      <c r="H654" s="104"/>
      <c r="I654" s="140"/>
      <c r="J654" s="74"/>
      <c r="K654" s="74"/>
      <c r="L654" s="74"/>
      <c r="M654" s="74"/>
      <c r="N654" s="74"/>
      <c r="O654" s="74"/>
      <c r="P654" s="74"/>
      <c r="Q654" s="74"/>
      <c r="R654" s="74"/>
      <c r="S654" s="74"/>
      <c r="T654" s="74"/>
      <c r="U654" s="74"/>
      <c r="V654" s="74"/>
      <c r="W654" s="74"/>
      <c r="X654" s="74"/>
      <c r="Y654" s="74"/>
      <c r="Z654" s="74"/>
      <c r="AA654" s="74"/>
      <c r="AB654" s="74"/>
    </row>
    <row r="655" spans="1:28" ht="12" customHeight="1">
      <c r="A655" s="565"/>
      <c r="B655" s="107"/>
      <c r="C655" s="107"/>
      <c r="D655" s="108"/>
      <c r="E655" s="104"/>
      <c r="F655" s="104"/>
      <c r="G655" s="35"/>
      <c r="H655" s="104"/>
      <c r="I655" s="140"/>
      <c r="J655" s="74"/>
      <c r="K655" s="74"/>
      <c r="L655" s="74"/>
      <c r="M655" s="74"/>
      <c r="N655" s="74"/>
      <c r="O655" s="74"/>
      <c r="P655" s="74"/>
      <c r="Q655" s="74"/>
      <c r="R655" s="74"/>
      <c r="S655" s="74"/>
      <c r="T655" s="74"/>
      <c r="U655" s="74"/>
      <c r="V655" s="74"/>
      <c r="W655" s="74"/>
      <c r="X655" s="74"/>
      <c r="Y655" s="74"/>
      <c r="Z655" s="74"/>
      <c r="AA655" s="74"/>
      <c r="AB655" s="74"/>
    </row>
    <row r="656" spans="1:28" ht="12" customHeight="1">
      <c r="A656" s="565"/>
      <c r="B656" s="107"/>
      <c r="C656" s="107"/>
      <c r="D656" s="108"/>
      <c r="E656" s="104"/>
      <c r="F656" s="104"/>
      <c r="G656" s="35"/>
      <c r="H656" s="104"/>
      <c r="I656" s="140"/>
      <c r="J656" s="74"/>
      <c r="K656" s="74"/>
      <c r="L656" s="74"/>
      <c r="M656" s="74"/>
      <c r="N656" s="74"/>
      <c r="O656" s="74"/>
      <c r="P656" s="74"/>
      <c r="Q656" s="74"/>
      <c r="R656" s="74"/>
      <c r="S656" s="74"/>
      <c r="T656" s="74"/>
      <c r="U656" s="74"/>
      <c r="V656" s="74"/>
      <c r="W656" s="74"/>
      <c r="X656" s="74"/>
      <c r="Y656" s="74"/>
      <c r="Z656" s="74"/>
      <c r="AA656" s="74"/>
      <c r="AB656" s="74"/>
    </row>
    <row r="657" spans="1:28" ht="12" customHeight="1">
      <c r="A657" s="565"/>
      <c r="B657" s="107"/>
      <c r="C657" s="107"/>
      <c r="D657" s="108"/>
      <c r="E657" s="104"/>
      <c r="F657" s="104"/>
      <c r="G657" s="35"/>
      <c r="H657" s="104"/>
      <c r="I657" s="140"/>
      <c r="J657" s="74"/>
      <c r="K657" s="74"/>
      <c r="L657" s="74"/>
      <c r="M657" s="74"/>
      <c r="N657" s="74"/>
      <c r="O657" s="74"/>
      <c r="P657" s="74"/>
      <c r="Q657" s="74"/>
      <c r="R657" s="74"/>
      <c r="S657" s="74"/>
      <c r="T657" s="74"/>
      <c r="U657" s="74"/>
      <c r="V657" s="74"/>
      <c r="W657" s="74"/>
      <c r="X657" s="74"/>
      <c r="Y657" s="74"/>
      <c r="Z657" s="74"/>
      <c r="AA657" s="74"/>
      <c r="AB657" s="74"/>
    </row>
    <row r="658" spans="1:28" ht="12" customHeight="1">
      <c r="A658" s="565"/>
      <c r="B658" s="107"/>
      <c r="C658" s="107"/>
      <c r="D658" s="108"/>
      <c r="E658" s="104"/>
      <c r="F658" s="104"/>
      <c r="G658" s="35"/>
      <c r="H658" s="104"/>
      <c r="I658" s="140"/>
      <c r="J658" s="74"/>
      <c r="K658" s="74"/>
      <c r="L658" s="74"/>
      <c r="M658" s="74"/>
      <c r="N658" s="74"/>
      <c r="O658" s="74"/>
      <c r="P658" s="74"/>
      <c r="Q658" s="74"/>
      <c r="R658" s="74"/>
      <c r="S658" s="74"/>
      <c r="T658" s="74"/>
      <c r="U658" s="74"/>
      <c r="V658" s="74"/>
      <c r="W658" s="74"/>
      <c r="X658" s="74"/>
      <c r="Y658" s="74"/>
      <c r="Z658" s="74"/>
      <c r="AA658" s="74"/>
      <c r="AB658" s="74"/>
    </row>
    <row r="659" spans="1:28" ht="12" customHeight="1">
      <c r="A659" s="565"/>
      <c r="B659" s="107"/>
      <c r="C659" s="107"/>
      <c r="D659" s="108"/>
      <c r="E659" s="104"/>
      <c r="F659" s="104"/>
      <c r="G659" s="35"/>
      <c r="H659" s="104"/>
      <c r="I659" s="140"/>
      <c r="J659" s="74"/>
      <c r="K659" s="74"/>
      <c r="L659" s="74"/>
      <c r="M659" s="74"/>
      <c r="N659" s="74"/>
      <c r="O659" s="74"/>
      <c r="P659" s="74"/>
      <c r="Q659" s="74"/>
      <c r="R659" s="74"/>
      <c r="S659" s="74"/>
      <c r="T659" s="74"/>
      <c r="U659" s="74"/>
      <c r="V659" s="74"/>
      <c r="W659" s="74"/>
      <c r="X659" s="74"/>
      <c r="Y659" s="74"/>
      <c r="Z659" s="74"/>
      <c r="AA659" s="74"/>
      <c r="AB659" s="74"/>
    </row>
    <row r="660" spans="1:28" ht="12" customHeight="1">
      <c r="A660" s="565"/>
      <c r="B660" s="107"/>
      <c r="C660" s="107"/>
      <c r="D660" s="108"/>
      <c r="E660" s="104"/>
      <c r="F660" s="104"/>
      <c r="G660" s="35"/>
      <c r="H660" s="104"/>
      <c r="I660" s="140"/>
      <c r="J660" s="74"/>
      <c r="K660" s="74"/>
      <c r="L660" s="74"/>
      <c r="M660" s="74"/>
      <c r="N660" s="74"/>
      <c r="O660" s="74"/>
      <c r="P660" s="74"/>
      <c r="Q660" s="74"/>
      <c r="R660" s="74"/>
      <c r="S660" s="74"/>
      <c r="T660" s="74"/>
      <c r="U660" s="74"/>
      <c r="V660" s="74"/>
      <c r="W660" s="74"/>
      <c r="X660" s="74"/>
      <c r="Y660" s="74"/>
      <c r="Z660" s="74"/>
      <c r="AA660" s="74"/>
      <c r="AB660" s="74"/>
    </row>
    <row r="661" spans="1:28" ht="12" customHeight="1">
      <c r="A661" s="565"/>
      <c r="B661" s="107"/>
      <c r="C661" s="107"/>
      <c r="D661" s="108"/>
      <c r="E661" s="104"/>
      <c r="F661" s="104"/>
      <c r="G661" s="35"/>
      <c r="H661" s="104"/>
      <c r="I661" s="140"/>
      <c r="J661" s="74"/>
      <c r="K661" s="74"/>
      <c r="L661" s="74"/>
      <c r="M661" s="74"/>
      <c r="N661" s="74"/>
      <c r="O661" s="74"/>
      <c r="P661" s="74"/>
      <c r="Q661" s="74"/>
      <c r="R661" s="74"/>
      <c r="S661" s="74"/>
      <c r="T661" s="74"/>
      <c r="U661" s="74"/>
      <c r="V661" s="74"/>
      <c r="W661" s="74"/>
      <c r="X661" s="74"/>
      <c r="Y661" s="74"/>
      <c r="Z661" s="74"/>
      <c r="AA661" s="74"/>
      <c r="AB661" s="74"/>
    </row>
    <row r="662" spans="1:28" ht="12" customHeight="1">
      <c r="A662" s="565"/>
      <c r="B662" s="107"/>
      <c r="C662" s="107"/>
      <c r="D662" s="108"/>
      <c r="E662" s="104"/>
      <c r="F662" s="104"/>
      <c r="G662" s="35"/>
      <c r="H662" s="104"/>
      <c r="I662" s="140"/>
      <c r="J662" s="74"/>
      <c r="K662" s="74"/>
      <c r="L662" s="74"/>
      <c r="M662" s="74"/>
      <c r="N662" s="74"/>
      <c r="O662" s="74"/>
      <c r="P662" s="74"/>
      <c r="Q662" s="74"/>
      <c r="R662" s="74"/>
      <c r="S662" s="74"/>
      <c r="T662" s="74"/>
      <c r="U662" s="74"/>
      <c r="V662" s="74"/>
      <c r="W662" s="74"/>
      <c r="X662" s="74"/>
      <c r="Y662" s="74"/>
      <c r="Z662" s="74"/>
      <c r="AA662" s="74"/>
      <c r="AB662" s="74"/>
    </row>
    <row r="663" spans="1:28" ht="12" customHeight="1">
      <c r="A663" s="565"/>
      <c r="B663" s="107"/>
      <c r="C663" s="107"/>
      <c r="D663" s="108"/>
      <c r="E663" s="104"/>
      <c r="F663" s="104"/>
      <c r="G663" s="35"/>
      <c r="H663" s="104"/>
      <c r="I663" s="140"/>
      <c r="J663" s="74"/>
      <c r="K663" s="74"/>
      <c r="L663" s="74"/>
      <c r="M663" s="74"/>
      <c r="N663" s="74"/>
      <c r="O663" s="74"/>
      <c r="P663" s="74"/>
      <c r="Q663" s="74"/>
      <c r="R663" s="74"/>
      <c r="S663" s="74"/>
      <c r="T663" s="74"/>
      <c r="U663" s="74"/>
      <c r="V663" s="74"/>
      <c r="W663" s="74"/>
      <c r="X663" s="74"/>
      <c r="Y663" s="74"/>
      <c r="Z663" s="74"/>
      <c r="AA663" s="74"/>
      <c r="AB663" s="74"/>
    </row>
    <row r="664" spans="1:28" ht="12" customHeight="1">
      <c r="A664" s="565"/>
      <c r="B664" s="107"/>
      <c r="C664" s="107"/>
      <c r="D664" s="108"/>
      <c r="E664" s="104"/>
      <c r="F664" s="104"/>
      <c r="G664" s="35"/>
      <c r="H664" s="104"/>
      <c r="I664" s="140"/>
      <c r="J664" s="74"/>
      <c r="K664" s="74"/>
      <c r="L664" s="74"/>
      <c r="M664" s="74"/>
      <c r="N664" s="74"/>
      <c r="O664" s="74"/>
      <c r="P664" s="74"/>
      <c r="Q664" s="74"/>
      <c r="R664" s="74"/>
      <c r="S664" s="74"/>
      <c r="T664" s="74"/>
      <c r="U664" s="74"/>
      <c r="V664" s="74"/>
      <c r="W664" s="74"/>
      <c r="X664" s="74"/>
      <c r="Y664" s="74"/>
      <c r="Z664" s="74"/>
      <c r="AA664" s="74"/>
      <c r="AB664" s="74"/>
    </row>
    <row r="665" spans="1:28" ht="12" customHeight="1">
      <c r="A665" s="565"/>
      <c r="B665" s="107"/>
      <c r="C665" s="107"/>
      <c r="D665" s="108"/>
      <c r="E665" s="104"/>
      <c r="F665" s="104"/>
      <c r="G665" s="35"/>
      <c r="H665" s="104"/>
      <c r="I665" s="140"/>
      <c r="J665" s="74"/>
      <c r="K665" s="74"/>
      <c r="L665" s="74"/>
      <c r="M665" s="74"/>
      <c r="N665" s="74"/>
      <c r="O665" s="74"/>
      <c r="P665" s="74"/>
      <c r="Q665" s="74"/>
      <c r="R665" s="74"/>
      <c r="S665" s="74"/>
      <c r="T665" s="74"/>
      <c r="U665" s="74"/>
      <c r="V665" s="74"/>
      <c r="W665" s="74"/>
      <c r="X665" s="74"/>
      <c r="Y665" s="74"/>
      <c r="Z665" s="74"/>
      <c r="AA665" s="74"/>
      <c r="AB665" s="74"/>
    </row>
    <row r="666" spans="1:28" ht="12" customHeight="1">
      <c r="A666" s="565"/>
      <c r="B666" s="107"/>
      <c r="C666" s="107"/>
      <c r="D666" s="108"/>
      <c r="E666" s="104"/>
      <c r="F666" s="104"/>
      <c r="G666" s="35"/>
      <c r="H666" s="104"/>
      <c r="I666" s="140"/>
      <c r="J666" s="74"/>
      <c r="K666" s="74"/>
      <c r="L666" s="74"/>
      <c r="M666" s="74"/>
      <c r="N666" s="74"/>
      <c r="O666" s="74"/>
      <c r="P666" s="74"/>
      <c r="Q666" s="74"/>
      <c r="R666" s="74"/>
      <c r="S666" s="74"/>
      <c r="T666" s="74"/>
      <c r="U666" s="74"/>
      <c r="V666" s="74"/>
      <c r="W666" s="74"/>
      <c r="X666" s="74"/>
      <c r="Y666" s="74"/>
      <c r="Z666" s="74"/>
      <c r="AA666" s="74"/>
      <c r="AB666" s="74"/>
    </row>
    <row r="667" spans="1:28" ht="12" customHeight="1">
      <c r="A667" s="565"/>
      <c r="B667" s="107"/>
      <c r="C667" s="107"/>
      <c r="D667" s="108"/>
      <c r="E667" s="104"/>
      <c r="F667" s="104"/>
      <c r="G667" s="35"/>
      <c r="H667" s="104"/>
      <c r="I667" s="140"/>
      <c r="J667" s="74"/>
      <c r="K667" s="74"/>
      <c r="L667" s="74"/>
      <c r="M667" s="74"/>
      <c r="N667" s="74"/>
      <c r="O667" s="74"/>
      <c r="P667" s="74"/>
      <c r="Q667" s="74"/>
      <c r="R667" s="74"/>
      <c r="S667" s="74"/>
      <c r="T667" s="74"/>
      <c r="U667" s="74"/>
      <c r="V667" s="74"/>
      <c r="W667" s="74"/>
      <c r="X667" s="74"/>
      <c r="Y667" s="74"/>
      <c r="Z667" s="74"/>
      <c r="AA667" s="74"/>
      <c r="AB667" s="74"/>
    </row>
    <row r="668" spans="1:28" ht="12" customHeight="1">
      <c r="A668" s="565"/>
      <c r="B668" s="107"/>
      <c r="C668" s="107"/>
      <c r="D668" s="108"/>
      <c r="E668" s="104"/>
      <c r="F668" s="104"/>
      <c r="G668" s="35"/>
      <c r="H668" s="104"/>
      <c r="I668" s="140"/>
      <c r="J668" s="74"/>
      <c r="K668" s="74"/>
      <c r="L668" s="74"/>
      <c r="M668" s="74"/>
      <c r="N668" s="74"/>
      <c r="O668" s="74"/>
      <c r="P668" s="74"/>
      <c r="Q668" s="74"/>
      <c r="R668" s="74"/>
      <c r="S668" s="74"/>
      <c r="T668" s="74"/>
      <c r="U668" s="74"/>
      <c r="V668" s="74"/>
      <c r="W668" s="74"/>
      <c r="X668" s="74"/>
      <c r="Y668" s="74"/>
      <c r="Z668" s="74"/>
      <c r="AA668" s="74"/>
      <c r="AB668" s="74"/>
    </row>
    <row r="669" spans="1:28" ht="12" customHeight="1">
      <c r="A669" s="565"/>
      <c r="B669" s="107"/>
      <c r="C669" s="107"/>
      <c r="D669" s="108"/>
      <c r="E669" s="104"/>
      <c r="F669" s="104"/>
      <c r="G669" s="35"/>
      <c r="H669" s="104"/>
      <c r="I669" s="140"/>
      <c r="J669" s="74"/>
      <c r="K669" s="74"/>
      <c r="L669" s="74"/>
      <c r="M669" s="74"/>
      <c r="N669" s="74"/>
      <c r="O669" s="74"/>
      <c r="P669" s="74"/>
      <c r="Q669" s="74"/>
      <c r="R669" s="74"/>
      <c r="S669" s="74"/>
      <c r="T669" s="74"/>
      <c r="U669" s="74"/>
      <c r="V669" s="74"/>
      <c r="W669" s="74"/>
      <c r="X669" s="74"/>
      <c r="Y669" s="74"/>
      <c r="Z669" s="74"/>
      <c r="AA669" s="74"/>
      <c r="AB669" s="74"/>
    </row>
    <row r="670" spans="1:28" ht="12" customHeight="1">
      <c r="A670" s="565"/>
      <c r="B670" s="107"/>
      <c r="C670" s="107"/>
      <c r="D670" s="108"/>
      <c r="E670" s="104"/>
      <c r="F670" s="104"/>
      <c r="G670" s="35"/>
      <c r="H670" s="104"/>
      <c r="I670" s="140"/>
      <c r="J670" s="74"/>
      <c r="K670" s="74"/>
      <c r="L670" s="74"/>
      <c r="M670" s="74"/>
      <c r="N670" s="74"/>
      <c r="O670" s="74"/>
      <c r="P670" s="74"/>
      <c r="Q670" s="74"/>
      <c r="R670" s="74"/>
      <c r="S670" s="74"/>
      <c r="T670" s="74"/>
      <c r="U670" s="74"/>
      <c r="V670" s="74"/>
      <c r="W670" s="74"/>
      <c r="X670" s="74"/>
      <c r="Y670" s="74"/>
      <c r="Z670" s="74"/>
      <c r="AA670" s="74"/>
      <c r="AB670" s="74"/>
    </row>
    <row r="671" spans="1:28" ht="12" customHeight="1">
      <c r="A671" s="565"/>
      <c r="B671" s="107"/>
      <c r="C671" s="107"/>
      <c r="D671" s="108"/>
      <c r="E671" s="104"/>
      <c r="F671" s="104"/>
      <c r="G671" s="35"/>
      <c r="H671" s="104"/>
      <c r="I671" s="140"/>
      <c r="J671" s="74"/>
      <c r="K671" s="74"/>
      <c r="L671" s="74"/>
      <c r="M671" s="74"/>
      <c r="N671" s="74"/>
      <c r="O671" s="74"/>
      <c r="P671" s="74"/>
      <c r="Q671" s="74"/>
      <c r="R671" s="74"/>
      <c r="S671" s="74"/>
      <c r="T671" s="74"/>
      <c r="U671" s="74"/>
      <c r="V671" s="74"/>
      <c r="W671" s="74"/>
      <c r="X671" s="74"/>
      <c r="Y671" s="74"/>
      <c r="Z671" s="74"/>
      <c r="AA671" s="74"/>
      <c r="AB671" s="74"/>
    </row>
    <row r="672" spans="1:28" ht="12" customHeight="1">
      <c r="A672" s="565"/>
      <c r="B672" s="107"/>
      <c r="C672" s="107"/>
      <c r="D672" s="108"/>
      <c r="E672" s="104"/>
      <c r="F672" s="104"/>
      <c r="G672" s="35"/>
      <c r="H672" s="104"/>
      <c r="I672" s="140"/>
      <c r="J672" s="74"/>
      <c r="K672" s="74"/>
      <c r="L672" s="74"/>
      <c r="M672" s="74"/>
      <c r="N672" s="74"/>
      <c r="O672" s="74"/>
      <c r="P672" s="74"/>
      <c r="Q672" s="74"/>
      <c r="R672" s="74"/>
      <c r="S672" s="74"/>
      <c r="T672" s="74"/>
      <c r="U672" s="74"/>
      <c r="V672" s="74"/>
      <c r="W672" s="74"/>
      <c r="X672" s="74"/>
      <c r="Y672" s="74"/>
      <c r="Z672" s="74"/>
      <c r="AA672" s="74"/>
      <c r="AB672" s="74"/>
    </row>
    <row r="673" spans="1:28" ht="12" customHeight="1">
      <c r="A673" s="565"/>
      <c r="B673" s="107"/>
      <c r="C673" s="107"/>
      <c r="D673" s="108"/>
      <c r="E673" s="104"/>
      <c r="F673" s="104"/>
      <c r="G673" s="35"/>
      <c r="H673" s="104"/>
      <c r="I673" s="140"/>
      <c r="J673" s="74"/>
      <c r="K673" s="74"/>
      <c r="L673" s="74"/>
      <c r="M673" s="74"/>
      <c r="N673" s="74"/>
      <c r="O673" s="74"/>
      <c r="P673" s="74"/>
      <c r="Q673" s="74"/>
      <c r="R673" s="74"/>
      <c r="S673" s="74"/>
      <c r="T673" s="74"/>
      <c r="U673" s="74"/>
      <c r="V673" s="74"/>
      <c r="W673" s="74"/>
      <c r="X673" s="74"/>
      <c r="Y673" s="74"/>
      <c r="Z673" s="74"/>
      <c r="AA673" s="74"/>
      <c r="AB673" s="74"/>
    </row>
    <row r="674" spans="1:28" ht="12" customHeight="1">
      <c r="A674" s="565"/>
      <c r="B674" s="107"/>
      <c r="C674" s="107"/>
      <c r="D674" s="108"/>
      <c r="E674" s="104"/>
      <c r="F674" s="104"/>
      <c r="G674" s="35"/>
      <c r="H674" s="104"/>
      <c r="I674" s="140"/>
      <c r="J674" s="74"/>
      <c r="K674" s="74"/>
      <c r="L674" s="74"/>
      <c r="M674" s="74"/>
      <c r="N674" s="74"/>
      <c r="O674" s="74"/>
      <c r="P674" s="74"/>
      <c r="Q674" s="74"/>
      <c r="R674" s="74"/>
      <c r="S674" s="74"/>
      <c r="T674" s="74"/>
      <c r="U674" s="74"/>
      <c r="V674" s="74"/>
      <c r="W674" s="74"/>
      <c r="X674" s="74"/>
      <c r="Y674" s="74"/>
      <c r="Z674" s="74"/>
      <c r="AA674" s="74"/>
      <c r="AB674" s="74"/>
    </row>
    <row r="675" spans="1:28" ht="12" customHeight="1">
      <c r="A675" s="565"/>
      <c r="B675" s="107"/>
      <c r="C675" s="107"/>
      <c r="D675" s="108"/>
      <c r="E675" s="104"/>
      <c r="F675" s="104"/>
      <c r="G675" s="35"/>
      <c r="H675" s="104"/>
      <c r="I675" s="140"/>
      <c r="J675" s="74"/>
      <c r="K675" s="74"/>
      <c r="L675" s="74"/>
      <c r="M675" s="74"/>
      <c r="N675" s="74"/>
      <c r="O675" s="74"/>
      <c r="P675" s="74"/>
      <c r="Q675" s="74"/>
      <c r="R675" s="74"/>
      <c r="S675" s="74"/>
      <c r="T675" s="74"/>
      <c r="U675" s="74"/>
      <c r="V675" s="74"/>
      <c r="W675" s="74"/>
      <c r="X675" s="74"/>
      <c r="Y675" s="74"/>
      <c r="Z675" s="74"/>
      <c r="AA675" s="74"/>
      <c r="AB675" s="74"/>
    </row>
    <row r="676" spans="1:28" ht="12" customHeight="1">
      <c r="A676" s="565"/>
      <c r="B676" s="107"/>
      <c r="C676" s="107"/>
      <c r="D676" s="108"/>
      <c r="E676" s="104"/>
      <c r="F676" s="104"/>
      <c r="G676" s="35"/>
      <c r="H676" s="104"/>
      <c r="I676" s="140"/>
      <c r="J676" s="74"/>
      <c r="K676" s="74"/>
      <c r="L676" s="74"/>
      <c r="M676" s="74"/>
      <c r="N676" s="74"/>
      <c r="O676" s="74"/>
      <c r="P676" s="74"/>
      <c r="Q676" s="74"/>
      <c r="R676" s="74"/>
      <c r="S676" s="74"/>
      <c r="T676" s="74"/>
      <c r="U676" s="74"/>
      <c r="V676" s="74"/>
      <c r="W676" s="74"/>
      <c r="X676" s="74"/>
      <c r="Y676" s="74"/>
      <c r="Z676" s="74"/>
      <c r="AA676" s="74"/>
      <c r="AB676" s="74"/>
    </row>
    <row r="677" spans="1:28" ht="12" customHeight="1">
      <c r="A677" s="565"/>
      <c r="B677" s="107"/>
      <c r="C677" s="107"/>
      <c r="D677" s="108"/>
      <c r="E677" s="104"/>
      <c r="F677" s="104"/>
      <c r="G677" s="35"/>
      <c r="H677" s="104"/>
      <c r="I677" s="140"/>
      <c r="J677" s="74"/>
      <c r="K677" s="74"/>
      <c r="L677" s="74"/>
      <c r="M677" s="74"/>
      <c r="N677" s="74"/>
      <c r="O677" s="74"/>
      <c r="P677" s="74"/>
      <c r="Q677" s="74"/>
      <c r="R677" s="74"/>
      <c r="S677" s="74"/>
      <c r="T677" s="74"/>
      <c r="U677" s="74"/>
      <c r="V677" s="74"/>
      <c r="W677" s="74"/>
      <c r="X677" s="74"/>
      <c r="Y677" s="74"/>
      <c r="Z677" s="74"/>
      <c r="AA677" s="74"/>
      <c r="AB677" s="74"/>
    </row>
    <row r="678" spans="1:28" ht="12" customHeight="1">
      <c r="A678" s="565"/>
      <c r="B678" s="107"/>
      <c r="C678" s="107"/>
      <c r="D678" s="108"/>
      <c r="E678" s="104"/>
      <c r="F678" s="104"/>
      <c r="G678" s="35"/>
      <c r="H678" s="104"/>
      <c r="I678" s="140"/>
      <c r="J678" s="74"/>
      <c r="K678" s="74"/>
      <c r="L678" s="74"/>
      <c r="M678" s="74"/>
      <c r="N678" s="74"/>
      <c r="O678" s="74"/>
      <c r="P678" s="74"/>
      <c r="Q678" s="74"/>
      <c r="R678" s="74"/>
      <c r="S678" s="74"/>
      <c r="T678" s="74"/>
      <c r="U678" s="74"/>
      <c r="V678" s="74"/>
      <c r="W678" s="74"/>
      <c r="X678" s="74"/>
      <c r="Y678" s="74"/>
      <c r="Z678" s="74"/>
      <c r="AA678" s="74"/>
      <c r="AB678" s="74"/>
    </row>
    <row r="679" spans="1:28" ht="12" customHeight="1">
      <c r="A679" s="565"/>
      <c r="B679" s="107"/>
      <c r="C679" s="107"/>
      <c r="D679" s="108"/>
      <c r="E679" s="104"/>
      <c r="F679" s="104"/>
      <c r="G679" s="35"/>
      <c r="H679" s="104"/>
      <c r="I679" s="140"/>
      <c r="J679" s="74"/>
      <c r="K679" s="74"/>
      <c r="L679" s="74"/>
      <c r="M679" s="74"/>
      <c r="N679" s="74"/>
      <c r="O679" s="74"/>
      <c r="P679" s="74"/>
      <c r="Q679" s="74"/>
      <c r="R679" s="74"/>
      <c r="S679" s="74"/>
      <c r="T679" s="74"/>
      <c r="U679" s="74"/>
      <c r="V679" s="74"/>
      <c r="W679" s="74"/>
      <c r="X679" s="74"/>
      <c r="Y679" s="74"/>
      <c r="Z679" s="74"/>
      <c r="AA679" s="74"/>
      <c r="AB679" s="74"/>
    </row>
    <row r="680" spans="1:28" ht="12" customHeight="1">
      <c r="A680" s="565"/>
      <c r="B680" s="107"/>
      <c r="C680" s="107"/>
      <c r="D680" s="108"/>
      <c r="E680" s="104"/>
      <c r="F680" s="104"/>
      <c r="G680" s="35"/>
      <c r="H680" s="104"/>
      <c r="I680" s="140"/>
      <c r="J680" s="74"/>
      <c r="K680" s="74"/>
      <c r="L680" s="74"/>
      <c r="M680" s="74"/>
      <c r="N680" s="74"/>
      <c r="O680" s="74"/>
      <c r="P680" s="74"/>
      <c r="Q680" s="74"/>
      <c r="R680" s="74"/>
      <c r="S680" s="74"/>
      <c r="T680" s="74"/>
      <c r="U680" s="74"/>
      <c r="V680" s="74"/>
      <c r="W680" s="74"/>
      <c r="X680" s="74"/>
      <c r="Y680" s="74"/>
      <c r="Z680" s="74"/>
      <c r="AA680" s="74"/>
      <c r="AB680" s="74"/>
    </row>
    <row r="681" spans="1:28" ht="12" customHeight="1">
      <c r="A681" s="565"/>
      <c r="B681" s="107"/>
      <c r="C681" s="107"/>
      <c r="D681" s="108"/>
      <c r="E681" s="104"/>
      <c r="F681" s="104"/>
      <c r="G681" s="35"/>
      <c r="H681" s="104"/>
      <c r="I681" s="140"/>
      <c r="J681" s="74"/>
      <c r="K681" s="74"/>
      <c r="L681" s="74"/>
      <c r="M681" s="74"/>
      <c r="N681" s="74"/>
      <c r="O681" s="74"/>
      <c r="P681" s="74"/>
      <c r="Q681" s="74"/>
      <c r="R681" s="74"/>
      <c r="S681" s="74"/>
      <c r="T681" s="74"/>
      <c r="U681" s="74"/>
      <c r="V681" s="74"/>
      <c r="W681" s="74"/>
      <c r="X681" s="74"/>
      <c r="Y681" s="74"/>
      <c r="Z681" s="74"/>
      <c r="AA681" s="74"/>
      <c r="AB681" s="74"/>
    </row>
    <row r="682" spans="1:28" ht="12" customHeight="1">
      <c r="A682" s="565"/>
      <c r="B682" s="107"/>
      <c r="C682" s="107"/>
      <c r="D682" s="108"/>
      <c r="E682" s="104"/>
      <c r="F682" s="104"/>
      <c r="G682" s="35"/>
      <c r="H682" s="104"/>
      <c r="I682" s="140"/>
      <c r="J682" s="74"/>
      <c r="K682" s="74"/>
      <c r="L682" s="74"/>
      <c r="M682" s="74"/>
      <c r="N682" s="74"/>
      <c r="O682" s="74"/>
      <c r="P682" s="74"/>
      <c r="Q682" s="74"/>
      <c r="R682" s="74"/>
      <c r="S682" s="74"/>
      <c r="T682" s="74"/>
      <c r="U682" s="74"/>
      <c r="V682" s="74"/>
      <c r="W682" s="74"/>
      <c r="X682" s="74"/>
      <c r="Y682" s="74"/>
      <c r="Z682" s="74"/>
      <c r="AA682" s="74"/>
      <c r="AB682" s="74"/>
    </row>
    <row r="683" spans="1:28" ht="12" customHeight="1">
      <c r="A683" s="565"/>
      <c r="B683" s="107"/>
      <c r="C683" s="107"/>
      <c r="D683" s="108"/>
      <c r="E683" s="104"/>
      <c r="F683" s="104"/>
      <c r="G683" s="35"/>
      <c r="H683" s="104"/>
      <c r="I683" s="140"/>
      <c r="J683" s="74"/>
      <c r="K683" s="74"/>
      <c r="L683" s="74"/>
      <c r="M683" s="74"/>
      <c r="N683" s="74"/>
      <c r="O683" s="74"/>
      <c r="P683" s="74"/>
      <c r="Q683" s="74"/>
      <c r="R683" s="74"/>
      <c r="S683" s="74"/>
      <c r="T683" s="74"/>
      <c r="U683" s="74"/>
      <c r="V683" s="74"/>
      <c r="W683" s="74"/>
      <c r="X683" s="74"/>
      <c r="Y683" s="74"/>
      <c r="Z683" s="74"/>
      <c r="AA683" s="74"/>
      <c r="AB683" s="74"/>
    </row>
    <row r="684" spans="1:28" ht="12" customHeight="1">
      <c r="A684" s="565"/>
      <c r="B684" s="107"/>
      <c r="C684" s="107"/>
      <c r="D684" s="108"/>
      <c r="E684" s="104"/>
      <c r="F684" s="104"/>
      <c r="G684" s="35"/>
      <c r="H684" s="104"/>
      <c r="I684" s="140"/>
      <c r="J684" s="74"/>
      <c r="K684" s="74"/>
      <c r="L684" s="74"/>
      <c r="M684" s="74"/>
      <c r="N684" s="74"/>
      <c r="O684" s="74"/>
      <c r="P684" s="74"/>
      <c r="Q684" s="74"/>
      <c r="R684" s="74"/>
      <c r="S684" s="74"/>
      <c r="T684" s="74"/>
      <c r="U684" s="74"/>
      <c r="V684" s="74"/>
      <c r="W684" s="74"/>
      <c r="X684" s="74"/>
      <c r="Y684" s="74"/>
      <c r="Z684" s="74"/>
      <c r="AA684" s="74"/>
      <c r="AB684" s="74"/>
    </row>
    <row r="685" spans="1:28" ht="12" customHeight="1">
      <c r="A685" s="565"/>
      <c r="B685" s="107"/>
      <c r="C685" s="107"/>
      <c r="D685" s="108"/>
      <c r="E685" s="104"/>
      <c r="F685" s="104"/>
      <c r="G685" s="35"/>
      <c r="H685" s="104"/>
      <c r="I685" s="140"/>
      <c r="J685" s="74"/>
      <c r="K685" s="74"/>
      <c r="L685" s="74"/>
      <c r="M685" s="74"/>
      <c r="N685" s="74"/>
      <c r="O685" s="74"/>
      <c r="P685" s="74"/>
      <c r="Q685" s="74"/>
      <c r="R685" s="74"/>
      <c r="S685" s="74"/>
      <c r="T685" s="74"/>
      <c r="U685" s="74"/>
      <c r="V685" s="74"/>
      <c r="W685" s="74"/>
      <c r="X685" s="74"/>
      <c r="Y685" s="74"/>
      <c r="Z685" s="74"/>
      <c r="AA685" s="74"/>
      <c r="AB685" s="74"/>
    </row>
    <row r="686" spans="1:28" ht="12" customHeight="1">
      <c r="A686" s="565"/>
      <c r="B686" s="107"/>
      <c r="C686" s="107"/>
      <c r="D686" s="108"/>
      <c r="E686" s="104"/>
      <c r="F686" s="104"/>
      <c r="G686" s="35"/>
      <c r="H686" s="104"/>
      <c r="I686" s="140"/>
      <c r="J686" s="74"/>
      <c r="K686" s="74"/>
      <c r="L686" s="74"/>
      <c r="M686" s="74"/>
      <c r="N686" s="74"/>
      <c r="O686" s="74"/>
      <c r="P686" s="74"/>
      <c r="Q686" s="74"/>
      <c r="R686" s="74"/>
      <c r="S686" s="74"/>
      <c r="T686" s="74"/>
      <c r="U686" s="74"/>
      <c r="V686" s="74"/>
      <c r="W686" s="74"/>
      <c r="X686" s="74"/>
      <c r="Y686" s="74"/>
      <c r="Z686" s="74"/>
      <c r="AA686" s="74"/>
      <c r="AB686" s="74"/>
    </row>
    <row r="687" spans="1:28" ht="12" customHeight="1">
      <c r="A687" s="565"/>
      <c r="B687" s="107"/>
      <c r="C687" s="107"/>
      <c r="D687" s="108"/>
      <c r="E687" s="104"/>
      <c r="F687" s="104"/>
      <c r="G687" s="35"/>
      <c r="H687" s="104"/>
      <c r="I687" s="140"/>
      <c r="J687" s="74"/>
      <c r="K687" s="74"/>
      <c r="L687" s="74"/>
      <c r="M687" s="74"/>
      <c r="N687" s="74"/>
      <c r="O687" s="74"/>
      <c r="P687" s="74"/>
      <c r="Q687" s="74"/>
      <c r="R687" s="74"/>
      <c r="S687" s="74"/>
      <c r="T687" s="74"/>
      <c r="U687" s="74"/>
      <c r="V687" s="74"/>
      <c r="W687" s="74"/>
      <c r="X687" s="74"/>
      <c r="Y687" s="74"/>
      <c r="Z687" s="74"/>
      <c r="AA687" s="74"/>
      <c r="AB687" s="74"/>
    </row>
    <row r="688" spans="1:28" ht="12" customHeight="1">
      <c r="A688" s="565"/>
      <c r="B688" s="107"/>
      <c r="C688" s="107"/>
      <c r="D688" s="108"/>
      <c r="E688" s="104"/>
      <c r="F688" s="104"/>
      <c r="G688" s="35"/>
      <c r="H688" s="104"/>
      <c r="I688" s="140"/>
      <c r="J688" s="74"/>
      <c r="K688" s="74"/>
      <c r="L688" s="74"/>
      <c r="M688" s="74"/>
      <c r="N688" s="74"/>
      <c r="O688" s="74"/>
      <c r="P688" s="74"/>
      <c r="Q688" s="74"/>
      <c r="R688" s="74"/>
      <c r="S688" s="74"/>
      <c r="T688" s="74"/>
      <c r="U688" s="74"/>
      <c r="V688" s="74"/>
      <c r="W688" s="74"/>
      <c r="X688" s="74"/>
      <c r="Y688" s="74"/>
      <c r="Z688" s="74"/>
      <c r="AA688" s="74"/>
      <c r="AB688" s="74"/>
    </row>
    <row r="689" spans="1:28" ht="12" customHeight="1">
      <c r="A689" s="565"/>
      <c r="B689" s="107"/>
      <c r="C689" s="107"/>
      <c r="D689" s="108"/>
      <c r="E689" s="104"/>
      <c r="F689" s="104"/>
      <c r="G689" s="35"/>
      <c r="H689" s="104"/>
      <c r="I689" s="140"/>
      <c r="J689" s="74"/>
      <c r="K689" s="74"/>
      <c r="L689" s="74"/>
      <c r="M689" s="74"/>
      <c r="N689" s="74"/>
      <c r="O689" s="74"/>
      <c r="P689" s="74"/>
      <c r="Q689" s="74"/>
      <c r="R689" s="74"/>
      <c r="S689" s="74"/>
      <c r="T689" s="74"/>
      <c r="U689" s="74"/>
      <c r="V689" s="74"/>
      <c r="W689" s="74"/>
      <c r="X689" s="74"/>
      <c r="Y689" s="74"/>
      <c r="Z689" s="74"/>
      <c r="AA689" s="74"/>
      <c r="AB689" s="74"/>
    </row>
    <row r="690" spans="1:28" ht="12" customHeight="1">
      <c r="A690" s="565"/>
      <c r="B690" s="107"/>
      <c r="C690" s="107"/>
      <c r="D690" s="108"/>
      <c r="E690" s="104"/>
      <c r="F690" s="104"/>
      <c r="G690" s="35"/>
      <c r="H690" s="104"/>
      <c r="I690" s="140"/>
      <c r="J690" s="74"/>
      <c r="K690" s="74"/>
      <c r="L690" s="74"/>
      <c r="M690" s="74"/>
      <c r="N690" s="74"/>
      <c r="O690" s="74"/>
      <c r="P690" s="74"/>
      <c r="Q690" s="74"/>
      <c r="R690" s="74"/>
      <c r="S690" s="74"/>
      <c r="T690" s="74"/>
      <c r="U690" s="74"/>
      <c r="V690" s="74"/>
      <c r="W690" s="74"/>
      <c r="X690" s="74"/>
      <c r="Y690" s="74"/>
      <c r="Z690" s="74"/>
      <c r="AA690" s="74"/>
      <c r="AB690" s="74"/>
    </row>
    <row r="691" spans="1:28" ht="12" customHeight="1">
      <c r="A691" s="565"/>
      <c r="B691" s="107"/>
      <c r="C691" s="107"/>
      <c r="D691" s="108"/>
      <c r="E691" s="104"/>
      <c r="F691" s="104"/>
      <c r="G691" s="35"/>
      <c r="H691" s="104"/>
      <c r="I691" s="140"/>
      <c r="J691" s="74"/>
      <c r="K691" s="74"/>
      <c r="L691" s="74"/>
      <c r="M691" s="74"/>
      <c r="N691" s="74"/>
      <c r="O691" s="74"/>
      <c r="P691" s="74"/>
      <c r="Q691" s="74"/>
      <c r="R691" s="74"/>
      <c r="S691" s="74"/>
      <c r="T691" s="74"/>
      <c r="U691" s="74"/>
      <c r="V691" s="74"/>
      <c r="W691" s="74"/>
      <c r="X691" s="74"/>
      <c r="Y691" s="74"/>
      <c r="Z691" s="74"/>
      <c r="AA691" s="74"/>
      <c r="AB691" s="74"/>
    </row>
    <row r="692" spans="1:28" ht="12" customHeight="1">
      <c r="A692" s="565"/>
      <c r="B692" s="107"/>
      <c r="C692" s="107"/>
      <c r="D692" s="108"/>
      <c r="E692" s="104"/>
      <c r="F692" s="104"/>
      <c r="G692" s="35"/>
      <c r="H692" s="104"/>
      <c r="I692" s="140"/>
      <c r="J692" s="74"/>
      <c r="K692" s="74"/>
      <c r="L692" s="74"/>
      <c r="M692" s="74"/>
      <c r="N692" s="74"/>
      <c r="O692" s="74"/>
      <c r="P692" s="74"/>
      <c r="Q692" s="74"/>
      <c r="R692" s="74"/>
      <c r="S692" s="74"/>
      <c r="T692" s="74"/>
      <c r="U692" s="74"/>
      <c r="V692" s="74"/>
      <c r="W692" s="74"/>
      <c r="X692" s="74"/>
      <c r="Y692" s="74"/>
      <c r="Z692" s="74"/>
      <c r="AA692" s="74"/>
      <c r="AB692" s="74"/>
    </row>
    <row r="693" spans="1:28" ht="12" customHeight="1">
      <c r="A693" s="565"/>
      <c r="B693" s="107"/>
      <c r="C693" s="107"/>
      <c r="D693" s="108"/>
      <c r="E693" s="104"/>
      <c r="F693" s="104"/>
      <c r="G693" s="35"/>
      <c r="H693" s="104"/>
      <c r="I693" s="140"/>
      <c r="J693" s="74"/>
      <c r="K693" s="74"/>
      <c r="L693" s="74"/>
      <c r="M693" s="74"/>
      <c r="N693" s="74"/>
      <c r="O693" s="74"/>
      <c r="P693" s="74"/>
      <c r="Q693" s="74"/>
      <c r="R693" s="74"/>
      <c r="S693" s="74"/>
      <c r="T693" s="74"/>
      <c r="U693" s="74"/>
      <c r="V693" s="74"/>
      <c r="W693" s="74"/>
      <c r="X693" s="74"/>
      <c r="Y693" s="74"/>
      <c r="Z693" s="74"/>
      <c r="AA693" s="74"/>
      <c r="AB693" s="74"/>
    </row>
    <row r="694" spans="1:28" ht="12" customHeight="1">
      <c r="A694" s="565"/>
      <c r="B694" s="107"/>
      <c r="C694" s="107"/>
      <c r="D694" s="108"/>
      <c r="E694" s="104"/>
      <c r="F694" s="104"/>
      <c r="G694" s="35"/>
      <c r="H694" s="104"/>
      <c r="I694" s="140"/>
      <c r="J694" s="74"/>
      <c r="K694" s="74"/>
      <c r="L694" s="74"/>
      <c r="M694" s="74"/>
      <c r="N694" s="74"/>
      <c r="O694" s="74"/>
      <c r="P694" s="74"/>
      <c r="Q694" s="74"/>
      <c r="R694" s="74"/>
      <c r="S694" s="74"/>
      <c r="T694" s="74"/>
      <c r="U694" s="74"/>
      <c r="V694" s="74"/>
      <c r="W694" s="74"/>
      <c r="X694" s="74"/>
      <c r="Y694" s="74"/>
      <c r="Z694" s="74"/>
      <c r="AA694" s="74"/>
      <c r="AB694" s="74"/>
    </row>
    <row r="695" spans="1:28" ht="12" customHeight="1">
      <c r="A695" s="565"/>
      <c r="B695" s="107"/>
      <c r="C695" s="107"/>
      <c r="D695" s="108"/>
      <c r="E695" s="104"/>
      <c r="F695" s="104"/>
      <c r="G695" s="35"/>
      <c r="H695" s="104"/>
      <c r="I695" s="140"/>
      <c r="J695" s="74"/>
      <c r="K695" s="74"/>
      <c r="L695" s="74"/>
      <c r="M695" s="74"/>
      <c r="N695" s="74"/>
      <c r="O695" s="74"/>
      <c r="P695" s="74"/>
      <c r="Q695" s="74"/>
      <c r="R695" s="74"/>
      <c r="S695" s="74"/>
      <c r="T695" s="74"/>
      <c r="U695" s="74"/>
      <c r="V695" s="74"/>
      <c r="W695" s="74"/>
      <c r="X695" s="74"/>
      <c r="Y695" s="74"/>
      <c r="Z695" s="74"/>
      <c r="AA695" s="74"/>
      <c r="AB695" s="74"/>
    </row>
    <row r="696" spans="1:28" ht="12" customHeight="1">
      <c r="A696" s="565"/>
      <c r="B696" s="107"/>
      <c r="C696" s="107"/>
      <c r="D696" s="108"/>
      <c r="E696" s="104"/>
      <c r="F696" s="104"/>
      <c r="G696" s="35"/>
      <c r="H696" s="104"/>
      <c r="I696" s="140"/>
      <c r="J696" s="74"/>
      <c r="K696" s="74"/>
      <c r="L696" s="74"/>
      <c r="M696" s="74"/>
      <c r="N696" s="74"/>
      <c r="O696" s="74"/>
      <c r="P696" s="74"/>
      <c r="Q696" s="74"/>
      <c r="R696" s="74"/>
      <c r="S696" s="74"/>
      <c r="T696" s="74"/>
      <c r="U696" s="74"/>
      <c r="V696" s="74"/>
      <c r="W696" s="74"/>
      <c r="X696" s="74"/>
      <c r="Y696" s="74"/>
      <c r="Z696" s="74"/>
      <c r="AA696" s="74"/>
      <c r="AB696" s="74"/>
    </row>
    <row r="697" spans="1:28" ht="12" customHeight="1">
      <c r="A697" s="565"/>
      <c r="B697" s="107"/>
      <c r="C697" s="107"/>
      <c r="D697" s="108"/>
      <c r="E697" s="104"/>
      <c r="F697" s="104"/>
      <c r="G697" s="35"/>
      <c r="H697" s="104"/>
      <c r="I697" s="140"/>
      <c r="J697" s="74"/>
      <c r="K697" s="74"/>
      <c r="L697" s="74"/>
      <c r="M697" s="74"/>
      <c r="N697" s="74"/>
      <c r="O697" s="74"/>
      <c r="P697" s="74"/>
      <c r="Q697" s="74"/>
      <c r="R697" s="74"/>
      <c r="S697" s="74"/>
      <c r="T697" s="74"/>
      <c r="U697" s="74"/>
      <c r="V697" s="74"/>
      <c r="W697" s="74"/>
      <c r="X697" s="74"/>
      <c r="Y697" s="74"/>
      <c r="Z697" s="74"/>
      <c r="AA697" s="74"/>
      <c r="AB697" s="74"/>
    </row>
    <row r="698" spans="1:28" ht="12" customHeight="1">
      <c r="A698" s="565"/>
      <c r="B698" s="107"/>
      <c r="C698" s="107"/>
      <c r="D698" s="108"/>
      <c r="E698" s="104"/>
      <c r="F698" s="104"/>
      <c r="G698" s="35"/>
      <c r="H698" s="104"/>
      <c r="I698" s="140"/>
      <c r="J698" s="74"/>
      <c r="K698" s="74"/>
      <c r="L698" s="74"/>
      <c r="M698" s="74"/>
      <c r="N698" s="74"/>
      <c r="O698" s="74"/>
      <c r="P698" s="74"/>
      <c r="Q698" s="74"/>
      <c r="R698" s="74"/>
      <c r="S698" s="74"/>
      <c r="T698" s="74"/>
      <c r="U698" s="74"/>
      <c r="V698" s="74"/>
      <c r="W698" s="74"/>
      <c r="X698" s="74"/>
      <c r="Y698" s="74"/>
      <c r="Z698" s="74"/>
      <c r="AA698" s="74"/>
      <c r="AB698" s="74"/>
    </row>
    <row r="699" spans="1:28" ht="12" customHeight="1">
      <c r="A699" s="565"/>
      <c r="B699" s="107"/>
      <c r="C699" s="107"/>
      <c r="D699" s="108"/>
      <c r="E699" s="104"/>
      <c r="F699" s="104"/>
      <c r="G699" s="35"/>
      <c r="H699" s="104"/>
      <c r="I699" s="140"/>
      <c r="J699" s="74"/>
      <c r="K699" s="74"/>
      <c r="L699" s="74"/>
      <c r="M699" s="74"/>
      <c r="N699" s="74"/>
      <c r="O699" s="74"/>
      <c r="P699" s="74"/>
      <c r="Q699" s="74"/>
      <c r="R699" s="74"/>
      <c r="S699" s="74"/>
      <c r="T699" s="74"/>
      <c r="U699" s="74"/>
      <c r="V699" s="74"/>
      <c r="W699" s="74"/>
      <c r="X699" s="74"/>
      <c r="Y699" s="74"/>
      <c r="Z699" s="74"/>
      <c r="AA699" s="74"/>
      <c r="AB699" s="74"/>
    </row>
    <row r="700" spans="1:28" ht="12" customHeight="1">
      <c r="A700" s="565"/>
      <c r="B700" s="107"/>
      <c r="C700" s="107"/>
      <c r="D700" s="108"/>
      <c r="E700" s="104"/>
      <c r="F700" s="104"/>
      <c r="G700" s="35"/>
      <c r="H700" s="104"/>
      <c r="I700" s="140"/>
      <c r="J700" s="74"/>
      <c r="K700" s="74"/>
      <c r="L700" s="74"/>
      <c r="M700" s="74"/>
      <c r="N700" s="74"/>
      <c r="O700" s="74"/>
      <c r="P700" s="74"/>
      <c r="Q700" s="74"/>
      <c r="R700" s="74"/>
      <c r="S700" s="74"/>
      <c r="T700" s="74"/>
      <c r="U700" s="74"/>
      <c r="V700" s="74"/>
      <c r="W700" s="74"/>
      <c r="X700" s="74"/>
      <c r="Y700" s="74"/>
      <c r="Z700" s="74"/>
      <c r="AA700" s="74"/>
      <c r="AB700" s="74"/>
    </row>
    <row r="701" spans="1:28" ht="12" customHeight="1">
      <c r="A701" s="565"/>
      <c r="B701" s="107"/>
      <c r="C701" s="107"/>
      <c r="D701" s="108"/>
      <c r="E701" s="104"/>
      <c r="F701" s="104"/>
      <c r="G701" s="35"/>
      <c r="H701" s="104"/>
      <c r="I701" s="140"/>
      <c r="J701" s="74"/>
      <c r="K701" s="74"/>
      <c r="L701" s="74"/>
      <c r="M701" s="74"/>
      <c r="N701" s="74"/>
      <c r="O701" s="74"/>
      <c r="P701" s="74"/>
      <c r="Q701" s="74"/>
      <c r="R701" s="74"/>
      <c r="S701" s="74"/>
      <c r="T701" s="74"/>
      <c r="U701" s="74"/>
      <c r="V701" s="74"/>
      <c r="W701" s="74"/>
      <c r="X701" s="74"/>
      <c r="Y701" s="74"/>
      <c r="Z701" s="74"/>
      <c r="AA701" s="74"/>
      <c r="AB701" s="74"/>
    </row>
    <row r="702" spans="1:28" ht="12" customHeight="1">
      <c r="A702" s="565"/>
      <c r="B702" s="107"/>
      <c r="C702" s="107"/>
      <c r="D702" s="108"/>
      <c r="E702" s="104"/>
      <c r="F702" s="104"/>
      <c r="G702" s="35"/>
      <c r="H702" s="104"/>
      <c r="I702" s="140"/>
      <c r="J702" s="74"/>
      <c r="K702" s="74"/>
      <c r="L702" s="74"/>
      <c r="M702" s="74"/>
      <c r="N702" s="74"/>
      <c r="O702" s="74"/>
      <c r="P702" s="74"/>
      <c r="Q702" s="74"/>
      <c r="R702" s="74"/>
      <c r="S702" s="74"/>
      <c r="T702" s="74"/>
      <c r="U702" s="74"/>
      <c r="V702" s="74"/>
      <c r="W702" s="74"/>
      <c r="X702" s="74"/>
      <c r="Y702" s="74"/>
      <c r="Z702" s="74"/>
      <c r="AA702" s="74"/>
      <c r="AB702" s="74"/>
    </row>
    <row r="703" spans="1:28" ht="12" customHeight="1">
      <c r="A703" s="565"/>
      <c r="B703" s="107"/>
      <c r="C703" s="107"/>
      <c r="D703" s="108"/>
      <c r="E703" s="104"/>
      <c r="F703" s="104"/>
      <c r="G703" s="35"/>
      <c r="H703" s="104"/>
      <c r="I703" s="140"/>
      <c r="J703" s="74"/>
      <c r="K703" s="74"/>
      <c r="L703" s="74"/>
      <c r="M703" s="74"/>
      <c r="N703" s="74"/>
      <c r="O703" s="74"/>
      <c r="P703" s="74"/>
      <c r="Q703" s="74"/>
      <c r="R703" s="74"/>
      <c r="S703" s="74"/>
      <c r="T703" s="74"/>
      <c r="U703" s="74"/>
      <c r="V703" s="74"/>
      <c r="W703" s="74"/>
      <c r="X703" s="74"/>
      <c r="Y703" s="74"/>
      <c r="Z703" s="74"/>
      <c r="AA703" s="74"/>
      <c r="AB703" s="74"/>
    </row>
    <row r="704" spans="1:28" ht="12" customHeight="1">
      <c r="A704" s="565"/>
      <c r="B704" s="107"/>
      <c r="C704" s="107"/>
      <c r="D704" s="108"/>
      <c r="E704" s="104"/>
      <c r="F704" s="104"/>
      <c r="G704" s="35"/>
      <c r="H704" s="104"/>
      <c r="I704" s="140"/>
      <c r="J704" s="74"/>
      <c r="K704" s="74"/>
      <c r="L704" s="74"/>
      <c r="M704" s="74"/>
      <c r="N704" s="74"/>
      <c r="O704" s="74"/>
      <c r="P704" s="74"/>
      <c r="Q704" s="74"/>
      <c r="R704" s="74"/>
      <c r="S704" s="74"/>
      <c r="T704" s="74"/>
      <c r="U704" s="74"/>
      <c r="V704" s="74"/>
      <c r="W704" s="74"/>
      <c r="X704" s="74"/>
      <c r="Y704" s="74"/>
      <c r="Z704" s="74"/>
      <c r="AA704" s="74"/>
      <c r="AB704" s="74"/>
    </row>
    <row r="705" spans="1:28" ht="12" customHeight="1">
      <c r="A705" s="565"/>
      <c r="B705" s="107"/>
      <c r="C705" s="107"/>
      <c r="D705" s="108"/>
      <c r="E705" s="104"/>
      <c r="F705" s="104"/>
      <c r="G705" s="35"/>
      <c r="H705" s="104"/>
      <c r="I705" s="140"/>
      <c r="J705" s="74"/>
      <c r="K705" s="74"/>
      <c r="L705" s="74"/>
      <c r="M705" s="74"/>
      <c r="N705" s="74"/>
      <c r="O705" s="74"/>
      <c r="P705" s="74"/>
      <c r="Q705" s="74"/>
      <c r="R705" s="74"/>
      <c r="S705" s="74"/>
      <c r="T705" s="74"/>
      <c r="U705" s="74"/>
      <c r="V705" s="74"/>
      <c r="W705" s="74"/>
      <c r="X705" s="74"/>
      <c r="Y705" s="74"/>
      <c r="Z705" s="74"/>
      <c r="AA705" s="74"/>
      <c r="AB705" s="74"/>
    </row>
    <row r="706" spans="1:28" ht="12" customHeight="1">
      <c r="A706" s="565"/>
      <c r="B706" s="107"/>
      <c r="C706" s="107"/>
      <c r="D706" s="108"/>
      <c r="E706" s="104"/>
      <c r="F706" s="104"/>
      <c r="G706" s="35"/>
      <c r="H706" s="104"/>
      <c r="I706" s="140"/>
      <c r="J706" s="74"/>
      <c r="K706" s="74"/>
      <c r="L706" s="74"/>
      <c r="M706" s="74"/>
      <c r="N706" s="74"/>
      <c r="O706" s="74"/>
      <c r="P706" s="74"/>
      <c r="Q706" s="74"/>
      <c r="R706" s="74"/>
      <c r="S706" s="74"/>
      <c r="T706" s="74"/>
      <c r="U706" s="74"/>
      <c r="V706" s="74"/>
      <c r="W706" s="74"/>
      <c r="X706" s="74"/>
      <c r="Y706" s="74"/>
      <c r="Z706" s="74"/>
      <c r="AA706" s="74"/>
      <c r="AB706" s="74"/>
    </row>
    <row r="707" spans="1:28" ht="12" customHeight="1">
      <c r="A707" s="565"/>
      <c r="B707" s="107"/>
      <c r="C707" s="107"/>
      <c r="D707" s="108"/>
      <c r="E707" s="104"/>
      <c r="F707" s="104"/>
      <c r="G707" s="35"/>
      <c r="H707" s="104"/>
      <c r="I707" s="140"/>
      <c r="J707" s="74"/>
      <c r="K707" s="74"/>
      <c r="L707" s="74"/>
      <c r="M707" s="74"/>
      <c r="N707" s="74"/>
      <c r="O707" s="74"/>
      <c r="P707" s="74"/>
      <c r="Q707" s="74"/>
      <c r="R707" s="74"/>
      <c r="S707" s="74"/>
      <c r="T707" s="74"/>
      <c r="U707" s="74"/>
      <c r="V707" s="74"/>
      <c r="W707" s="74"/>
      <c r="X707" s="74"/>
      <c r="Y707" s="74"/>
      <c r="Z707" s="74"/>
      <c r="AA707" s="74"/>
      <c r="AB707" s="74"/>
    </row>
    <row r="708" spans="1:28" ht="12" customHeight="1">
      <c r="A708" s="565"/>
      <c r="B708" s="107"/>
      <c r="C708" s="107"/>
      <c r="D708" s="108"/>
      <c r="E708" s="104"/>
      <c r="F708" s="104"/>
      <c r="G708" s="35"/>
      <c r="H708" s="104"/>
      <c r="I708" s="140"/>
      <c r="J708" s="74"/>
      <c r="K708" s="74"/>
      <c r="L708" s="74"/>
      <c r="M708" s="74"/>
      <c r="N708" s="74"/>
      <c r="O708" s="74"/>
      <c r="P708" s="74"/>
      <c r="Q708" s="74"/>
      <c r="R708" s="74"/>
      <c r="S708" s="74"/>
      <c r="T708" s="74"/>
      <c r="U708" s="74"/>
      <c r="V708" s="74"/>
      <c r="W708" s="74"/>
      <c r="X708" s="74"/>
      <c r="Y708" s="74"/>
      <c r="Z708" s="74"/>
      <c r="AA708" s="74"/>
      <c r="AB708" s="74"/>
    </row>
    <row r="709" spans="1:28" ht="12" customHeight="1">
      <c r="A709" s="565"/>
      <c r="B709" s="107"/>
      <c r="C709" s="107"/>
      <c r="D709" s="108"/>
      <c r="E709" s="104"/>
      <c r="F709" s="104"/>
      <c r="G709" s="35"/>
      <c r="H709" s="104"/>
      <c r="I709" s="140"/>
      <c r="J709" s="74"/>
      <c r="K709" s="74"/>
      <c r="L709" s="74"/>
      <c r="M709" s="74"/>
      <c r="N709" s="74"/>
      <c r="O709" s="74"/>
      <c r="P709" s="74"/>
      <c r="Q709" s="74"/>
      <c r="R709" s="74"/>
      <c r="S709" s="74"/>
      <c r="T709" s="74"/>
      <c r="U709" s="74"/>
      <c r="V709" s="74"/>
      <c r="W709" s="74"/>
      <c r="X709" s="74"/>
      <c r="Y709" s="74"/>
      <c r="Z709" s="74"/>
      <c r="AA709" s="74"/>
      <c r="AB709" s="74"/>
    </row>
    <row r="710" spans="1:28" ht="12" customHeight="1">
      <c r="A710" s="565"/>
      <c r="B710" s="107"/>
      <c r="C710" s="107"/>
      <c r="D710" s="108"/>
      <c r="E710" s="104"/>
      <c r="F710" s="104"/>
      <c r="G710" s="35"/>
      <c r="H710" s="104"/>
      <c r="I710" s="140"/>
      <c r="J710" s="74"/>
      <c r="K710" s="74"/>
      <c r="L710" s="74"/>
      <c r="M710" s="74"/>
      <c r="N710" s="74"/>
      <c r="O710" s="74"/>
      <c r="P710" s="74"/>
      <c r="Q710" s="74"/>
      <c r="R710" s="74"/>
      <c r="S710" s="74"/>
      <c r="T710" s="74"/>
      <c r="U710" s="74"/>
      <c r="V710" s="74"/>
      <c r="W710" s="74"/>
      <c r="X710" s="74"/>
      <c r="Y710" s="74"/>
      <c r="Z710" s="74"/>
      <c r="AA710" s="74"/>
      <c r="AB710" s="74"/>
    </row>
    <row r="711" spans="1:28" ht="12" customHeight="1">
      <c r="A711" s="565"/>
      <c r="B711" s="107"/>
      <c r="C711" s="107"/>
      <c r="D711" s="108"/>
      <c r="E711" s="104"/>
      <c r="F711" s="104"/>
      <c r="G711" s="35"/>
      <c r="H711" s="104"/>
      <c r="I711" s="140"/>
      <c r="J711" s="74"/>
      <c r="K711" s="74"/>
      <c r="L711" s="74"/>
      <c r="M711" s="74"/>
      <c r="N711" s="74"/>
      <c r="O711" s="74"/>
      <c r="P711" s="74"/>
      <c r="Q711" s="74"/>
      <c r="R711" s="74"/>
      <c r="S711" s="74"/>
      <c r="T711" s="74"/>
      <c r="U711" s="74"/>
      <c r="V711" s="74"/>
      <c r="W711" s="74"/>
      <c r="X711" s="74"/>
      <c r="Y711" s="74"/>
      <c r="Z711" s="74"/>
      <c r="AA711" s="74"/>
      <c r="AB711" s="74"/>
    </row>
    <row r="712" spans="1:28" ht="12" customHeight="1">
      <c r="A712" s="565"/>
      <c r="B712" s="107"/>
      <c r="C712" s="107"/>
      <c r="D712" s="108"/>
      <c r="E712" s="104"/>
      <c r="F712" s="104"/>
      <c r="G712" s="35"/>
      <c r="H712" s="104"/>
      <c r="I712" s="140"/>
      <c r="J712" s="74"/>
      <c r="K712" s="74"/>
      <c r="L712" s="74"/>
      <c r="M712" s="74"/>
      <c r="N712" s="74"/>
      <c r="O712" s="74"/>
      <c r="P712" s="74"/>
      <c r="Q712" s="74"/>
      <c r="R712" s="74"/>
      <c r="S712" s="74"/>
      <c r="T712" s="74"/>
      <c r="U712" s="74"/>
      <c r="V712" s="74"/>
      <c r="W712" s="74"/>
      <c r="X712" s="74"/>
      <c r="Y712" s="74"/>
      <c r="Z712" s="74"/>
      <c r="AA712" s="74"/>
      <c r="AB712" s="74"/>
    </row>
    <row r="713" spans="1:28" ht="12" customHeight="1">
      <c r="A713" s="565"/>
      <c r="B713" s="107"/>
      <c r="C713" s="107"/>
      <c r="D713" s="108"/>
      <c r="E713" s="104"/>
      <c r="F713" s="104"/>
      <c r="G713" s="35"/>
      <c r="H713" s="104"/>
      <c r="I713" s="140"/>
      <c r="J713" s="74"/>
      <c r="K713" s="74"/>
      <c r="L713" s="74"/>
      <c r="M713" s="74"/>
      <c r="N713" s="74"/>
      <c r="O713" s="74"/>
      <c r="P713" s="74"/>
      <c r="Q713" s="74"/>
      <c r="R713" s="74"/>
      <c r="S713" s="74"/>
      <c r="T713" s="74"/>
      <c r="U713" s="74"/>
      <c r="V713" s="74"/>
      <c r="W713" s="74"/>
      <c r="X713" s="74"/>
      <c r="Y713" s="74"/>
      <c r="Z713" s="74"/>
      <c r="AA713" s="74"/>
      <c r="AB713" s="74"/>
    </row>
    <row r="714" spans="1:28" ht="12" customHeight="1">
      <c r="A714" s="565"/>
      <c r="B714" s="107"/>
      <c r="C714" s="107"/>
      <c r="D714" s="108"/>
      <c r="E714" s="104"/>
      <c r="F714" s="104"/>
      <c r="G714" s="35"/>
      <c r="H714" s="104"/>
      <c r="I714" s="140"/>
      <c r="J714" s="74"/>
      <c r="K714" s="74"/>
      <c r="L714" s="74"/>
      <c r="M714" s="74"/>
      <c r="N714" s="74"/>
      <c r="O714" s="74"/>
      <c r="P714" s="74"/>
      <c r="Q714" s="74"/>
      <c r="R714" s="74"/>
      <c r="S714" s="74"/>
      <c r="T714" s="74"/>
      <c r="U714" s="74"/>
      <c r="V714" s="74"/>
      <c r="W714" s="74"/>
      <c r="X714" s="74"/>
      <c r="Y714" s="74"/>
      <c r="Z714" s="74"/>
      <c r="AA714" s="74"/>
      <c r="AB714" s="74"/>
    </row>
    <row r="715" spans="1:28" ht="12" customHeight="1">
      <c r="A715" s="565"/>
      <c r="B715" s="107"/>
      <c r="C715" s="107"/>
      <c r="D715" s="108"/>
      <c r="E715" s="104"/>
      <c r="F715" s="104"/>
      <c r="G715" s="35"/>
      <c r="H715" s="104"/>
      <c r="I715" s="140"/>
      <c r="J715" s="74"/>
      <c r="K715" s="74"/>
      <c r="L715" s="74"/>
      <c r="M715" s="74"/>
      <c r="N715" s="74"/>
      <c r="O715" s="74"/>
      <c r="P715" s="74"/>
      <c r="Q715" s="74"/>
      <c r="R715" s="74"/>
      <c r="S715" s="74"/>
      <c r="T715" s="74"/>
      <c r="U715" s="74"/>
      <c r="V715" s="74"/>
      <c r="W715" s="74"/>
      <c r="X715" s="74"/>
      <c r="Y715" s="74"/>
      <c r="Z715" s="74"/>
      <c r="AA715" s="74"/>
      <c r="AB715" s="74"/>
    </row>
    <row r="716" spans="1:28" ht="12" customHeight="1">
      <c r="A716" s="565"/>
      <c r="B716" s="107"/>
      <c r="C716" s="107"/>
      <c r="D716" s="108"/>
      <c r="E716" s="104"/>
      <c r="F716" s="104"/>
      <c r="G716" s="35"/>
      <c r="H716" s="104"/>
      <c r="I716" s="140"/>
      <c r="J716" s="74"/>
      <c r="K716" s="74"/>
      <c r="L716" s="74"/>
      <c r="M716" s="74"/>
      <c r="N716" s="74"/>
      <c r="O716" s="74"/>
      <c r="P716" s="74"/>
      <c r="Q716" s="74"/>
      <c r="R716" s="74"/>
      <c r="S716" s="74"/>
      <c r="T716" s="74"/>
      <c r="U716" s="74"/>
      <c r="V716" s="74"/>
      <c r="W716" s="74"/>
      <c r="X716" s="74"/>
      <c r="Y716" s="74"/>
      <c r="Z716" s="74"/>
      <c r="AA716" s="74"/>
      <c r="AB716" s="74"/>
    </row>
    <row r="717" spans="1:28" ht="12" customHeight="1">
      <c r="A717" s="565"/>
      <c r="B717" s="107"/>
      <c r="C717" s="107"/>
      <c r="D717" s="108"/>
      <c r="E717" s="104"/>
      <c r="F717" s="104"/>
      <c r="G717" s="35"/>
      <c r="H717" s="104"/>
      <c r="I717" s="140"/>
      <c r="J717" s="74"/>
      <c r="K717" s="74"/>
      <c r="L717" s="74"/>
      <c r="M717" s="74"/>
      <c r="N717" s="74"/>
      <c r="O717" s="74"/>
      <c r="P717" s="74"/>
      <c r="Q717" s="74"/>
      <c r="R717" s="74"/>
      <c r="S717" s="74"/>
      <c r="T717" s="74"/>
      <c r="U717" s="74"/>
      <c r="V717" s="74"/>
      <c r="W717" s="74"/>
      <c r="X717" s="74"/>
      <c r="Y717" s="74"/>
      <c r="Z717" s="74"/>
      <c r="AA717" s="74"/>
      <c r="AB717" s="74"/>
    </row>
    <row r="718" spans="1:28" ht="12" customHeight="1">
      <c r="A718" s="565"/>
      <c r="B718" s="107"/>
      <c r="C718" s="107"/>
      <c r="D718" s="108"/>
      <c r="E718" s="104"/>
      <c r="F718" s="104"/>
      <c r="G718" s="35"/>
      <c r="H718" s="104"/>
      <c r="I718" s="140"/>
      <c r="J718" s="74"/>
      <c r="K718" s="74"/>
      <c r="L718" s="74"/>
      <c r="M718" s="74"/>
      <c r="N718" s="74"/>
      <c r="O718" s="74"/>
      <c r="P718" s="74"/>
      <c r="Q718" s="74"/>
      <c r="R718" s="74"/>
      <c r="S718" s="74"/>
      <c r="T718" s="74"/>
      <c r="U718" s="74"/>
      <c r="V718" s="74"/>
      <c r="W718" s="74"/>
      <c r="X718" s="74"/>
      <c r="Y718" s="74"/>
      <c r="Z718" s="74"/>
      <c r="AA718" s="74"/>
      <c r="AB718" s="74"/>
    </row>
    <row r="719" spans="1:28" ht="12" customHeight="1">
      <c r="A719" s="565"/>
      <c r="B719" s="107"/>
      <c r="C719" s="107"/>
      <c r="D719" s="108"/>
      <c r="E719" s="104"/>
      <c r="F719" s="104"/>
      <c r="G719" s="35"/>
      <c r="H719" s="104"/>
      <c r="I719" s="140"/>
      <c r="J719" s="74"/>
      <c r="K719" s="74"/>
      <c r="L719" s="74"/>
      <c r="M719" s="74"/>
      <c r="N719" s="74"/>
      <c r="O719" s="74"/>
      <c r="P719" s="74"/>
      <c r="Q719" s="74"/>
      <c r="R719" s="74"/>
      <c r="S719" s="74"/>
      <c r="T719" s="74"/>
      <c r="U719" s="74"/>
      <c r="V719" s="74"/>
      <c r="W719" s="74"/>
      <c r="X719" s="74"/>
      <c r="Y719" s="74"/>
      <c r="Z719" s="74"/>
      <c r="AA719" s="74"/>
      <c r="AB719" s="74"/>
    </row>
    <row r="720" spans="1:28" ht="12" customHeight="1">
      <c r="A720" s="565"/>
      <c r="B720" s="107"/>
      <c r="C720" s="107"/>
      <c r="D720" s="108"/>
      <c r="E720" s="104"/>
      <c r="F720" s="104"/>
      <c r="G720" s="35"/>
      <c r="H720" s="104"/>
      <c r="I720" s="140"/>
      <c r="J720" s="74"/>
      <c r="K720" s="74"/>
      <c r="L720" s="74"/>
      <c r="M720" s="74"/>
      <c r="N720" s="74"/>
      <c r="O720" s="74"/>
      <c r="P720" s="74"/>
      <c r="Q720" s="74"/>
      <c r="R720" s="74"/>
      <c r="S720" s="74"/>
      <c r="T720" s="74"/>
      <c r="U720" s="74"/>
      <c r="V720" s="74"/>
      <c r="W720" s="74"/>
      <c r="X720" s="74"/>
      <c r="Y720" s="74"/>
      <c r="Z720" s="74"/>
      <c r="AA720" s="74"/>
      <c r="AB720" s="74"/>
    </row>
    <row r="721" spans="1:28" ht="12" customHeight="1">
      <c r="A721" s="565"/>
      <c r="B721" s="107"/>
      <c r="C721" s="107"/>
      <c r="D721" s="108"/>
      <c r="E721" s="104"/>
      <c r="F721" s="104"/>
      <c r="G721" s="35"/>
      <c r="H721" s="104"/>
      <c r="I721" s="140"/>
      <c r="J721" s="74"/>
      <c r="K721" s="74"/>
      <c r="L721" s="74"/>
      <c r="M721" s="74"/>
      <c r="N721" s="74"/>
      <c r="O721" s="74"/>
      <c r="P721" s="74"/>
      <c r="Q721" s="74"/>
      <c r="R721" s="74"/>
      <c r="S721" s="74"/>
      <c r="T721" s="74"/>
      <c r="U721" s="74"/>
      <c r="V721" s="74"/>
      <c r="W721" s="74"/>
      <c r="X721" s="74"/>
      <c r="Y721" s="74"/>
      <c r="Z721" s="74"/>
      <c r="AA721" s="74"/>
      <c r="AB721" s="74"/>
    </row>
    <row r="722" spans="1:28" ht="12" customHeight="1">
      <c r="A722" s="565"/>
      <c r="B722" s="107"/>
      <c r="C722" s="107"/>
      <c r="D722" s="108"/>
      <c r="E722" s="104"/>
      <c r="F722" s="104"/>
      <c r="G722" s="35"/>
      <c r="H722" s="104"/>
      <c r="I722" s="140"/>
      <c r="J722" s="74"/>
      <c r="K722" s="74"/>
      <c r="L722" s="74"/>
      <c r="M722" s="74"/>
      <c r="N722" s="74"/>
      <c r="O722" s="74"/>
      <c r="P722" s="74"/>
      <c r="Q722" s="74"/>
      <c r="R722" s="74"/>
      <c r="S722" s="74"/>
      <c r="T722" s="74"/>
      <c r="U722" s="74"/>
      <c r="V722" s="74"/>
      <c r="W722" s="74"/>
      <c r="X722" s="74"/>
      <c r="Y722" s="74"/>
      <c r="Z722" s="74"/>
      <c r="AA722" s="74"/>
      <c r="AB722" s="74"/>
    </row>
    <row r="723" spans="1:28" ht="12" customHeight="1">
      <c r="A723" s="565"/>
      <c r="B723" s="107"/>
      <c r="C723" s="107"/>
      <c r="D723" s="108"/>
      <c r="E723" s="104"/>
      <c r="F723" s="104"/>
      <c r="G723" s="35"/>
      <c r="H723" s="104"/>
      <c r="I723" s="140"/>
      <c r="J723" s="74"/>
      <c r="K723" s="74"/>
      <c r="L723" s="74"/>
      <c r="M723" s="74"/>
      <c r="N723" s="74"/>
      <c r="O723" s="74"/>
      <c r="P723" s="74"/>
      <c r="Q723" s="74"/>
      <c r="R723" s="74"/>
      <c r="S723" s="74"/>
      <c r="T723" s="74"/>
      <c r="U723" s="74"/>
      <c r="V723" s="74"/>
      <c r="W723" s="74"/>
      <c r="X723" s="74"/>
      <c r="Y723" s="74"/>
      <c r="Z723" s="74"/>
      <c r="AA723" s="74"/>
      <c r="AB723" s="74"/>
    </row>
    <row r="724" spans="1:28" ht="12" customHeight="1">
      <c r="A724" s="565"/>
      <c r="B724" s="107"/>
      <c r="C724" s="107"/>
      <c r="D724" s="108"/>
      <c r="E724" s="104"/>
      <c r="F724" s="104"/>
      <c r="G724" s="35"/>
      <c r="H724" s="104"/>
      <c r="I724" s="140"/>
      <c r="J724" s="74"/>
      <c r="K724" s="74"/>
      <c r="L724" s="74"/>
      <c r="M724" s="74"/>
      <c r="N724" s="74"/>
      <c r="O724" s="74"/>
      <c r="P724" s="74"/>
      <c r="Q724" s="74"/>
      <c r="R724" s="74"/>
      <c r="S724" s="74"/>
      <c r="T724" s="74"/>
      <c r="U724" s="74"/>
      <c r="V724" s="74"/>
      <c r="W724" s="74"/>
      <c r="X724" s="74"/>
      <c r="Y724" s="74"/>
      <c r="Z724" s="74"/>
      <c r="AA724" s="74"/>
      <c r="AB724" s="74"/>
    </row>
    <row r="725" spans="1:28" ht="12" customHeight="1">
      <c r="A725" s="565"/>
      <c r="B725" s="107"/>
      <c r="C725" s="107"/>
      <c r="D725" s="108"/>
      <c r="E725" s="104"/>
      <c r="F725" s="104"/>
      <c r="G725" s="35"/>
      <c r="H725" s="104"/>
      <c r="I725" s="140"/>
      <c r="J725" s="74"/>
      <c r="K725" s="74"/>
      <c r="L725" s="74"/>
      <c r="M725" s="74"/>
      <c r="N725" s="74"/>
      <c r="O725" s="74"/>
      <c r="P725" s="74"/>
      <c r="Q725" s="74"/>
      <c r="R725" s="74"/>
      <c r="S725" s="74"/>
      <c r="T725" s="74"/>
      <c r="U725" s="74"/>
      <c r="V725" s="74"/>
      <c r="W725" s="74"/>
      <c r="X725" s="74"/>
      <c r="Y725" s="74"/>
      <c r="Z725" s="74"/>
      <c r="AA725" s="74"/>
      <c r="AB725" s="74"/>
    </row>
    <row r="726" spans="1:28" ht="12" customHeight="1">
      <c r="A726" s="565"/>
      <c r="B726" s="107"/>
      <c r="C726" s="107"/>
      <c r="D726" s="108"/>
      <c r="E726" s="104"/>
      <c r="F726" s="104"/>
      <c r="G726" s="35"/>
      <c r="H726" s="104"/>
      <c r="I726" s="140"/>
      <c r="J726" s="74"/>
      <c r="K726" s="74"/>
      <c r="L726" s="74"/>
      <c r="M726" s="74"/>
      <c r="N726" s="74"/>
      <c r="O726" s="74"/>
      <c r="P726" s="74"/>
      <c r="Q726" s="74"/>
      <c r="R726" s="74"/>
      <c r="S726" s="74"/>
      <c r="T726" s="74"/>
      <c r="U726" s="74"/>
      <c r="V726" s="74"/>
      <c r="W726" s="74"/>
      <c r="X726" s="74"/>
      <c r="Y726" s="74"/>
      <c r="Z726" s="74"/>
      <c r="AA726" s="74"/>
      <c r="AB726" s="74"/>
    </row>
    <row r="727" spans="1:28" ht="12" customHeight="1">
      <c r="A727" s="565"/>
      <c r="B727" s="107"/>
      <c r="C727" s="107"/>
      <c r="D727" s="108"/>
      <c r="E727" s="104"/>
      <c r="F727" s="104"/>
      <c r="G727" s="35"/>
      <c r="H727" s="104"/>
      <c r="I727" s="140"/>
      <c r="J727" s="74"/>
      <c r="K727" s="74"/>
      <c r="L727" s="74"/>
      <c r="M727" s="74"/>
      <c r="N727" s="74"/>
      <c r="O727" s="74"/>
      <c r="P727" s="74"/>
      <c r="Q727" s="74"/>
      <c r="R727" s="74"/>
      <c r="S727" s="74"/>
      <c r="T727" s="74"/>
      <c r="U727" s="74"/>
      <c r="V727" s="74"/>
      <c r="W727" s="74"/>
      <c r="X727" s="74"/>
      <c r="Y727" s="74"/>
      <c r="Z727" s="74"/>
      <c r="AA727" s="74"/>
      <c r="AB727" s="74"/>
    </row>
    <row r="728" spans="1:28" ht="12" customHeight="1">
      <c r="A728" s="565"/>
      <c r="B728" s="107"/>
      <c r="C728" s="107"/>
      <c r="D728" s="108"/>
      <c r="E728" s="104"/>
      <c r="F728" s="104"/>
      <c r="G728" s="35"/>
      <c r="H728" s="104"/>
      <c r="I728" s="140"/>
      <c r="J728" s="74"/>
      <c r="K728" s="74"/>
      <c r="L728" s="74"/>
      <c r="M728" s="74"/>
      <c r="N728" s="74"/>
      <c r="O728" s="74"/>
      <c r="P728" s="74"/>
      <c r="Q728" s="74"/>
      <c r="R728" s="74"/>
      <c r="S728" s="74"/>
      <c r="T728" s="74"/>
      <c r="U728" s="74"/>
      <c r="V728" s="74"/>
      <c r="W728" s="74"/>
      <c r="X728" s="74"/>
      <c r="Y728" s="74"/>
      <c r="Z728" s="74"/>
      <c r="AA728" s="74"/>
      <c r="AB728" s="74"/>
    </row>
    <row r="729" spans="1:28" ht="12" customHeight="1">
      <c r="A729" s="565"/>
      <c r="B729" s="107"/>
      <c r="C729" s="107"/>
      <c r="D729" s="108"/>
      <c r="E729" s="104"/>
      <c r="F729" s="104"/>
      <c r="G729" s="35"/>
      <c r="H729" s="104"/>
      <c r="I729" s="140"/>
      <c r="J729" s="74"/>
      <c r="K729" s="74"/>
      <c r="L729" s="74"/>
      <c r="M729" s="74"/>
      <c r="N729" s="74"/>
      <c r="O729" s="74"/>
      <c r="P729" s="74"/>
      <c r="Q729" s="74"/>
      <c r="R729" s="74"/>
      <c r="S729" s="74"/>
      <c r="T729" s="74"/>
      <c r="U729" s="74"/>
      <c r="V729" s="74"/>
      <c r="W729" s="74"/>
      <c r="X729" s="74"/>
      <c r="Y729" s="74"/>
      <c r="Z729" s="74"/>
      <c r="AA729" s="74"/>
      <c r="AB729" s="74"/>
    </row>
    <row r="730" spans="1:28" ht="12" customHeight="1">
      <c r="A730" s="565"/>
      <c r="B730" s="107"/>
      <c r="C730" s="107"/>
      <c r="D730" s="108"/>
      <c r="E730" s="104"/>
      <c r="F730" s="104"/>
      <c r="G730" s="35"/>
      <c r="H730" s="104"/>
      <c r="I730" s="140"/>
      <c r="J730" s="74"/>
      <c r="K730" s="74"/>
      <c r="L730" s="74"/>
      <c r="M730" s="74"/>
      <c r="N730" s="74"/>
      <c r="O730" s="74"/>
      <c r="P730" s="74"/>
      <c r="Q730" s="74"/>
      <c r="R730" s="74"/>
      <c r="S730" s="74"/>
      <c r="T730" s="74"/>
      <c r="U730" s="74"/>
      <c r="V730" s="74"/>
      <c r="W730" s="74"/>
      <c r="X730" s="74"/>
      <c r="Y730" s="74"/>
      <c r="Z730" s="74"/>
      <c r="AA730" s="74"/>
      <c r="AB730" s="74"/>
    </row>
    <row r="731" spans="1:28" ht="12" customHeight="1">
      <c r="A731" s="565"/>
      <c r="B731" s="107"/>
      <c r="C731" s="107"/>
      <c r="D731" s="108"/>
      <c r="E731" s="104"/>
      <c r="F731" s="104"/>
      <c r="G731" s="35"/>
      <c r="H731" s="104"/>
      <c r="I731" s="140"/>
      <c r="J731" s="74"/>
      <c r="K731" s="74"/>
      <c r="L731" s="74"/>
      <c r="M731" s="74"/>
      <c r="N731" s="74"/>
      <c r="O731" s="74"/>
      <c r="P731" s="74"/>
      <c r="Q731" s="74"/>
      <c r="R731" s="74"/>
      <c r="S731" s="74"/>
      <c r="T731" s="74"/>
      <c r="U731" s="74"/>
      <c r="V731" s="74"/>
      <c r="W731" s="74"/>
      <c r="X731" s="74"/>
      <c r="Y731" s="74"/>
      <c r="Z731" s="74"/>
      <c r="AA731" s="74"/>
      <c r="AB731" s="74"/>
    </row>
    <row r="732" spans="1:28" ht="12" customHeight="1">
      <c r="A732" s="565"/>
      <c r="B732" s="107"/>
      <c r="C732" s="107"/>
      <c r="D732" s="108"/>
      <c r="E732" s="104"/>
      <c r="F732" s="104"/>
      <c r="G732" s="35"/>
      <c r="H732" s="104"/>
      <c r="I732" s="140"/>
      <c r="J732" s="74"/>
      <c r="K732" s="74"/>
      <c r="L732" s="74"/>
      <c r="M732" s="74"/>
      <c r="N732" s="74"/>
      <c r="O732" s="74"/>
      <c r="P732" s="74"/>
      <c r="Q732" s="74"/>
      <c r="R732" s="74"/>
      <c r="S732" s="74"/>
      <c r="T732" s="74"/>
      <c r="U732" s="74"/>
      <c r="V732" s="74"/>
      <c r="W732" s="74"/>
      <c r="X732" s="74"/>
      <c r="Y732" s="74"/>
      <c r="Z732" s="74"/>
      <c r="AA732" s="74"/>
      <c r="AB732" s="74"/>
    </row>
    <row r="733" spans="1:28" ht="12" customHeight="1">
      <c r="A733" s="565"/>
      <c r="B733" s="107"/>
      <c r="C733" s="107"/>
      <c r="D733" s="108"/>
      <c r="E733" s="104"/>
      <c r="F733" s="104"/>
      <c r="G733" s="35"/>
      <c r="H733" s="104"/>
      <c r="I733" s="140"/>
      <c r="J733" s="74"/>
      <c r="K733" s="74"/>
      <c r="L733" s="74"/>
      <c r="M733" s="74"/>
      <c r="N733" s="74"/>
      <c r="O733" s="74"/>
      <c r="P733" s="74"/>
      <c r="Q733" s="74"/>
      <c r="R733" s="74"/>
      <c r="S733" s="74"/>
      <c r="T733" s="74"/>
      <c r="U733" s="74"/>
      <c r="V733" s="74"/>
      <c r="W733" s="74"/>
      <c r="X733" s="74"/>
      <c r="Y733" s="74"/>
      <c r="Z733" s="74"/>
      <c r="AA733" s="74"/>
      <c r="AB733" s="74"/>
    </row>
    <row r="734" spans="1:28" ht="12" customHeight="1">
      <c r="A734" s="565"/>
      <c r="B734" s="107"/>
      <c r="C734" s="107"/>
      <c r="D734" s="108"/>
      <c r="E734" s="104"/>
      <c r="F734" s="104"/>
      <c r="G734" s="35"/>
      <c r="H734" s="104"/>
      <c r="I734" s="140"/>
      <c r="J734" s="74"/>
      <c r="K734" s="74"/>
      <c r="L734" s="74"/>
      <c r="M734" s="74"/>
      <c r="N734" s="74"/>
      <c r="O734" s="74"/>
      <c r="P734" s="74"/>
      <c r="Q734" s="74"/>
      <c r="R734" s="74"/>
      <c r="S734" s="74"/>
      <c r="T734" s="74"/>
      <c r="U734" s="74"/>
      <c r="V734" s="74"/>
      <c r="W734" s="74"/>
      <c r="X734" s="74"/>
      <c r="Y734" s="74"/>
      <c r="Z734" s="74"/>
      <c r="AA734" s="74"/>
      <c r="AB734" s="74"/>
    </row>
    <row r="735" spans="1:28" ht="12" customHeight="1">
      <c r="A735" s="565"/>
      <c r="B735" s="107"/>
      <c r="C735" s="107"/>
      <c r="D735" s="108"/>
      <c r="E735" s="104"/>
      <c r="F735" s="104"/>
      <c r="G735" s="35"/>
      <c r="H735" s="104"/>
      <c r="I735" s="140"/>
      <c r="J735" s="74"/>
      <c r="K735" s="74"/>
      <c r="L735" s="74"/>
      <c r="M735" s="74"/>
      <c r="N735" s="74"/>
      <c r="O735" s="74"/>
      <c r="P735" s="74"/>
      <c r="Q735" s="74"/>
      <c r="R735" s="74"/>
      <c r="S735" s="74"/>
      <c r="T735" s="74"/>
      <c r="U735" s="74"/>
      <c r="V735" s="74"/>
      <c r="W735" s="74"/>
      <c r="X735" s="74"/>
      <c r="Y735" s="74"/>
      <c r="Z735" s="74"/>
      <c r="AA735" s="74"/>
      <c r="AB735" s="74"/>
    </row>
    <row r="736" spans="1:28" ht="12" customHeight="1">
      <c r="A736" s="565"/>
      <c r="B736" s="107"/>
      <c r="C736" s="107"/>
      <c r="D736" s="108"/>
      <c r="E736" s="104"/>
      <c r="F736" s="104"/>
      <c r="G736" s="35"/>
      <c r="H736" s="104"/>
      <c r="I736" s="140"/>
      <c r="J736" s="74"/>
      <c r="K736" s="74"/>
      <c r="L736" s="74"/>
      <c r="M736" s="74"/>
      <c r="N736" s="74"/>
      <c r="O736" s="74"/>
      <c r="P736" s="74"/>
      <c r="Q736" s="74"/>
      <c r="R736" s="74"/>
      <c r="S736" s="74"/>
      <c r="T736" s="74"/>
      <c r="U736" s="74"/>
      <c r="V736" s="74"/>
      <c r="W736" s="74"/>
      <c r="X736" s="74"/>
      <c r="Y736" s="74"/>
      <c r="Z736" s="74"/>
      <c r="AA736" s="74"/>
      <c r="AB736" s="74"/>
    </row>
    <row r="737" spans="1:28" ht="12" customHeight="1">
      <c r="A737" s="565"/>
      <c r="B737" s="107"/>
      <c r="C737" s="107"/>
      <c r="D737" s="108"/>
      <c r="E737" s="104"/>
      <c r="F737" s="104"/>
      <c r="G737" s="35"/>
      <c r="H737" s="104"/>
      <c r="I737" s="140"/>
      <c r="J737" s="74"/>
      <c r="K737" s="74"/>
      <c r="L737" s="74"/>
      <c r="M737" s="74"/>
      <c r="N737" s="74"/>
      <c r="O737" s="74"/>
      <c r="P737" s="74"/>
      <c r="Q737" s="74"/>
      <c r="R737" s="74"/>
      <c r="S737" s="74"/>
      <c r="T737" s="74"/>
      <c r="U737" s="74"/>
      <c r="V737" s="74"/>
      <c r="W737" s="74"/>
      <c r="X737" s="74"/>
      <c r="Y737" s="74"/>
      <c r="Z737" s="74"/>
      <c r="AA737" s="74"/>
      <c r="AB737" s="74"/>
    </row>
    <row r="738" spans="1:28" ht="12" customHeight="1">
      <c r="A738" s="565"/>
      <c r="B738" s="107"/>
      <c r="C738" s="107"/>
      <c r="D738" s="108"/>
      <c r="E738" s="104"/>
      <c r="F738" s="104"/>
      <c r="G738" s="35"/>
      <c r="H738" s="104"/>
      <c r="I738" s="140"/>
      <c r="J738" s="74"/>
      <c r="K738" s="74"/>
      <c r="L738" s="74"/>
      <c r="M738" s="74"/>
      <c r="N738" s="74"/>
      <c r="O738" s="74"/>
      <c r="P738" s="74"/>
      <c r="Q738" s="74"/>
      <c r="R738" s="74"/>
      <c r="S738" s="74"/>
      <c r="T738" s="74"/>
      <c r="U738" s="74"/>
      <c r="V738" s="74"/>
      <c r="W738" s="74"/>
      <c r="X738" s="74"/>
      <c r="Y738" s="74"/>
      <c r="Z738" s="74"/>
      <c r="AA738" s="74"/>
      <c r="AB738" s="74"/>
    </row>
    <row r="739" spans="1:28" ht="12" customHeight="1">
      <c r="A739" s="565"/>
      <c r="B739" s="107"/>
      <c r="C739" s="107"/>
      <c r="D739" s="108"/>
      <c r="E739" s="104"/>
      <c r="F739" s="104"/>
      <c r="G739" s="35"/>
      <c r="H739" s="104"/>
      <c r="I739" s="140"/>
      <c r="J739" s="74"/>
      <c r="K739" s="74"/>
      <c r="L739" s="74"/>
      <c r="M739" s="74"/>
      <c r="N739" s="74"/>
      <c r="O739" s="74"/>
      <c r="P739" s="74"/>
      <c r="Q739" s="74"/>
      <c r="R739" s="74"/>
      <c r="S739" s="74"/>
      <c r="T739" s="74"/>
      <c r="U739" s="74"/>
      <c r="V739" s="74"/>
      <c r="W739" s="74"/>
      <c r="X739" s="74"/>
      <c r="Y739" s="74"/>
      <c r="Z739" s="74"/>
      <c r="AA739" s="74"/>
      <c r="AB739" s="74"/>
    </row>
    <row r="740" spans="1:28" ht="12" customHeight="1">
      <c r="A740" s="565"/>
      <c r="B740" s="107"/>
      <c r="C740" s="107"/>
      <c r="D740" s="108"/>
      <c r="E740" s="104"/>
      <c r="F740" s="104"/>
      <c r="G740" s="35"/>
      <c r="H740" s="104"/>
      <c r="I740" s="140"/>
      <c r="J740" s="74"/>
      <c r="K740" s="74"/>
      <c r="L740" s="74"/>
      <c r="M740" s="74"/>
      <c r="N740" s="74"/>
      <c r="O740" s="74"/>
      <c r="P740" s="74"/>
      <c r="Q740" s="74"/>
      <c r="R740" s="74"/>
      <c r="S740" s="74"/>
      <c r="T740" s="74"/>
      <c r="U740" s="74"/>
      <c r="V740" s="74"/>
      <c r="W740" s="74"/>
      <c r="X740" s="74"/>
      <c r="Y740" s="74"/>
      <c r="Z740" s="74"/>
      <c r="AA740" s="74"/>
      <c r="AB740" s="74"/>
    </row>
    <row r="741" spans="1:28" ht="12" customHeight="1">
      <c r="A741" s="565"/>
      <c r="B741" s="107"/>
      <c r="C741" s="107"/>
      <c r="D741" s="108"/>
      <c r="E741" s="104"/>
      <c r="F741" s="104"/>
      <c r="G741" s="35"/>
      <c r="H741" s="104"/>
      <c r="I741" s="140"/>
      <c r="J741" s="74"/>
      <c r="K741" s="74"/>
      <c r="L741" s="74"/>
      <c r="M741" s="74"/>
      <c r="N741" s="74"/>
      <c r="O741" s="74"/>
      <c r="P741" s="74"/>
      <c r="Q741" s="74"/>
      <c r="R741" s="74"/>
      <c r="S741" s="74"/>
      <c r="T741" s="74"/>
      <c r="U741" s="74"/>
      <c r="V741" s="74"/>
      <c r="W741" s="74"/>
      <c r="X741" s="74"/>
      <c r="Y741" s="74"/>
      <c r="Z741" s="74"/>
      <c r="AA741" s="74"/>
      <c r="AB741" s="74"/>
    </row>
    <row r="742" spans="1:28" ht="12" customHeight="1">
      <c r="A742" s="565"/>
      <c r="B742" s="107"/>
      <c r="C742" s="107"/>
      <c r="D742" s="108"/>
      <c r="E742" s="104"/>
      <c r="F742" s="104"/>
      <c r="G742" s="35"/>
      <c r="H742" s="104"/>
      <c r="I742" s="140"/>
      <c r="J742" s="74"/>
      <c r="K742" s="74"/>
      <c r="L742" s="74"/>
      <c r="M742" s="74"/>
      <c r="N742" s="74"/>
      <c r="O742" s="74"/>
      <c r="P742" s="74"/>
      <c r="Q742" s="74"/>
      <c r="R742" s="74"/>
      <c r="S742" s="74"/>
      <c r="T742" s="74"/>
      <c r="U742" s="74"/>
      <c r="V742" s="74"/>
      <c r="W742" s="74"/>
      <c r="X742" s="74"/>
      <c r="Y742" s="74"/>
      <c r="Z742" s="74"/>
      <c r="AA742" s="74"/>
      <c r="AB742" s="74"/>
    </row>
    <row r="743" spans="1:28" ht="12" customHeight="1">
      <c r="A743" s="565"/>
      <c r="B743" s="107"/>
      <c r="C743" s="107"/>
      <c r="D743" s="108"/>
      <c r="E743" s="104"/>
      <c r="F743" s="104"/>
      <c r="G743" s="35"/>
      <c r="H743" s="104"/>
      <c r="I743" s="140"/>
      <c r="J743" s="74"/>
      <c r="K743" s="74"/>
      <c r="L743" s="74"/>
      <c r="M743" s="74"/>
      <c r="N743" s="74"/>
      <c r="O743" s="74"/>
      <c r="P743" s="74"/>
      <c r="Q743" s="74"/>
      <c r="R743" s="74"/>
      <c r="S743" s="74"/>
      <c r="T743" s="74"/>
      <c r="U743" s="74"/>
      <c r="V743" s="74"/>
      <c r="W743" s="74"/>
      <c r="X743" s="74"/>
      <c r="Y743" s="74"/>
      <c r="Z743" s="74"/>
      <c r="AA743" s="74"/>
      <c r="AB743" s="74"/>
    </row>
    <row r="744" spans="1:28" ht="12" customHeight="1">
      <c r="A744" s="565"/>
      <c r="B744" s="107"/>
      <c r="C744" s="107"/>
      <c r="D744" s="108"/>
      <c r="E744" s="104"/>
      <c r="F744" s="104"/>
      <c r="G744" s="35"/>
      <c r="H744" s="104"/>
      <c r="I744" s="140"/>
      <c r="J744" s="74"/>
      <c r="K744" s="74"/>
      <c r="L744" s="74"/>
      <c r="M744" s="74"/>
      <c r="N744" s="74"/>
      <c r="O744" s="74"/>
      <c r="P744" s="74"/>
      <c r="Q744" s="74"/>
      <c r="R744" s="74"/>
      <c r="S744" s="74"/>
      <c r="T744" s="74"/>
      <c r="U744" s="74"/>
      <c r="V744" s="74"/>
      <c r="W744" s="74"/>
      <c r="X744" s="74"/>
      <c r="Y744" s="74"/>
      <c r="Z744" s="74"/>
      <c r="AA744" s="74"/>
      <c r="AB744" s="74"/>
    </row>
    <row r="745" spans="1:28" ht="12" customHeight="1">
      <c r="A745" s="565"/>
      <c r="B745" s="107"/>
      <c r="C745" s="107"/>
      <c r="D745" s="108"/>
      <c r="E745" s="104"/>
      <c r="F745" s="104"/>
      <c r="G745" s="35"/>
      <c r="H745" s="104"/>
      <c r="I745" s="140"/>
      <c r="J745" s="74"/>
      <c r="K745" s="74"/>
      <c r="L745" s="74"/>
      <c r="M745" s="74"/>
      <c r="N745" s="74"/>
      <c r="O745" s="74"/>
      <c r="P745" s="74"/>
      <c r="Q745" s="74"/>
      <c r="R745" s="74"/>
      <c r="S745" s="74"/>
      <c r="T745" s="74"/>
      <c r="U745" s="74"/>
      <c r="V745" s="74"/>
      <c r="W745" s="74"/>
      <c r="X745" s="74"/>
      <c r="Y745" s="74"/>
      <c r="Z745" s="74"/>
      <c r="AA745" s="74"/>
      <c r="AB745" s="74"/>
    </row>
    <row r="746" spans="1:28" ht="12" customHeight="1">
      <c r="A746" s="565"/>
      <c r="B746" s="107"/>
      <c r="C746" s="107"/>
      <c r="D746" s="108"/>
      <c r="E746" s="104"/>
      <c r="F746" s="104"/>
      <c r="G746" s="35"/>
      <c r="H746" s="104"/>
      <c r="I746" s="140"/>
      <c r="J746" s="74"/>
      <c r="K746" s="74"/>
      <c r="L746" s="74"/>
      <c r="M746" s="74"/>
      <c r="N746" s="74"/>
      <c r="O746" s="74"/>
      <c r="P746" s="74"/>
      <c r="Q746" s="74"/>
      <c r="R746" s="74"/>
      <c r="S746" s="74"/>
      <c r="T746" s="74"/>
      <c r="U746" s="74"/>
      <c r="V746" s="74"/>
      <c r="W746" s="74"/>
      <c r="X746" s="74"/>
      <c r="Y746" s="74"/>
      <c r="Z746" s="74"/>
      <c r="AA746" s="74"/>
      <c r="AB746" s="74"/>
    </row>
    <row r="747" spans="1:28" ht="12" customHeight="1">
      <c r="A747" s="565"/>
      <c r="B747" s="107"/>
      <c r="C747" s="107"/>
      <c r="D747" s="108"/>
      <c r="E747" s="104"/>
      <c r="F747" s="104"/>
      <c r="G747" s="35"/>
      <c r="H747" s="104"/>
      <c r="I747" s="140"/>
      <c r="J747" s="74"/>
      <c r="K747" s="74"/>
      <c r="L747" s="74"/>
      <c r="M747" s="74"/>
      <c r="N747" s="74"/>
      <c r="O747" s="74"/>
      <c r="P747" s="74"/>
      <c r="Q747" s="74"/>
      <c r="R747" s="74"/>
      <c r="S747" s="74"/>
      <c r="T747" s="74"/>
      <c r="U747" s="74"/>
      <c r="V747" s="74"/>
      <c r="W747" s="74"/>
      <c r="X747" s="74"/>
      <c r="Y747" s="74"/>
      <c r="Z747" s="74"/>
      <c r="AA747" s="74"/>
      <c r="AB747" s="74"/>
    </row>
    <row r="748" spans="1:28" ht="12" customHeight="1">
      <c r="A748" s="565"/>
      <c r="B748" s="107"/>
      <c r="C748" s="107"/>
      <c r="D748" s="108"/>
      <c r="E748" s="104"/>
      <c r="F748" s="104"/>
      <c r="G748" s="35"/>
      <c r="H748" s="104"/>
      <c r="I748" s="140"/>
      <c r="J748" s="74"/>
      <c r="K748" s="74"/>
      <c r="L748" s="74"/>
      <c r="M748" s="74"/>
      <c r="N748" s="74"/>
      <c r="O748" s="74"/>
      <c r="P748" s="74"/>
      <c r="Q748" s="74"/>
      <c r="R748" s="74"/>
      <c r="S748" s="74"/>
      <c r="T748" s="74"/>
      <c r="U748" s="74"/>
      <c r="V748" s="74"/>
      <c r="W748" s="74"/>
      <c r="X748" s="74"/>
      <c r="Y748" s="74"/>
      <c r="Z748" s="74"/>
      <c r="AA748" s="74"/>
      <c r="AB748" s="74"/>
    </row>
    <row r="749" spans="1:28" ht="12" customHeight="1">
      <c r="A749" s="565"/>
      <c r="B749" s="107"/>
      <c r="C749" s="107"/>
      <c r="D749" s="108"/>
      <c r="E749" s="104"/>
      <c r="F749" s="104"/>
      <c r="G749" s="35"/>
      <c r="H749" s="104"/>
      <c r="I749" s="140"/>
      <c r="J749" s="74"/>
      <c r="K749" s="74"/>
      <c r="L749" s="74"/>
      <c r="M749" s="74"/>
      <c r="N749" s="74"/>
      <c r="O749" s="74"/>
      <c r="P749" s="74"/>
      <c r="Q749" s="74"/>
      <c r="R749" s="74"/>
      <c r="S749" s="74"/>
      <c r="T749" s="74"/>
      <c r="U749" s="74"/>
      <c r="V749" s="74"/>
      <c r="W749" s="74"/>
      <c r="X749" s="74"/>
      <c r="Y749" s="74"/>
      <c r="Z749" s="74"/>
      <c r="AA749" s="74"/>
      <c r="AB749" s="74"/>
    </row>
    <row r="750" spans="1:28" ht="12" customHeight="1">
      <c r="A750" s="565"/>
      <c r="B750" s="107"/>
      <c r="C750" s="107"/>
      <c r="D750" s="108"/>
      <c r="E750" s="104"/>
      <c r="F750" s="104"/>
      <c r="G750" s="35"/>
      <c r="H750" s="104"/>
      <c r="I750" s="140"/>
      <c r="J750" s="74"/>
      <c r="K750" s="74"/>
      <c r="L750" s="74"/>
      <c r="M750" s="74"/>
      <c r="N750" s="74"/>
      <c r="O750" s="74"/>
      <c r="P750" s="74"/>
      <c r="Q750" s="74"/>
      <c r="R750" s="74"/>
      <c r="S750" s="74"/>
      <c r="T750" s="74"/>
      <c r="U750" s="74"/>
      <c r="V750" s="74"/>
      <c r="W750" s="74"/>
      <c r="X750" s="74"/>
      <c r="Y750" s="74"/>
      <c r="Z750" s="74"/>
      <c r="AA750" s="74"/>
      <c r="AB750" s="74"/>
    </row>
    <row r="751" spans="1:28" ht="12" customHeight="1">
      <c r="A751" s="565"/>
      <c r="B751" s="107"/>
      <c r="C751" s="107"/>
      <c r="D751" s="108"/>
      <c r="E751" s="104"/>
      <c r="F751" s="104"/>
      <c r="G751" s="35"/>
      <c r="H751" s="104"/>
      <c r="I751" s="140"/>
      <c r="J751" s="74"/>
      <c r="K751" s="74"/>
      <c r="L751" s="74"/>
      <c r="M751" s="74"/>
      <c r="N751" s="74"/>
      <c r="O751" s="74"/>
      <c r="P751" s="74"/>
      <c r="Q751" s="74"/>
      <c r="R751" s="74"/>
      <c r="S751" s="74"/>
      <c r="T751" s="74"/>
      <c r="U751" s="74"/>
      <c r="V751" s="74"/>
      <c r="W751" s="74"/>
      <c r="X751" s="74"/>
      <c r="Y751" s="74"/>
      <c r="Z751" s="74"/>
      <c r="AA751" s="74"/>
      <c r="AB751" s="74"/>
    </row>
    <row r="752" spans="1:28" ht="12" customHeight="1">
      <c r="A752" s="565"/>
      <c r="B752" s="107"/>
      <c r="C752" s="107"/>
      <c r="D752" s="108"/>
      <c r="E752" s="104"/>
      <c r="F752" s="104"/>
      <c r="G752" s="35"/>
      <c r="H752" s="104"/>
      <c r="I752" s="140"/>
      <c r="J752" s="74"/>
      <c r="K752" s="74"/>
      <c r="L752" s="74"/>
      <c r="M752" s="74"/>
      <c r="N752" s="74"/>
      <c r="O752" s="74"/>
      <c r="P752" s="74"/>
      <c r="Q752" s="74"/>
      <c r="R752" s="74"/>
      <c r="S752" s="74"/>
      <c r="T752" s="74"/>
      <c r="U752" s="74"/>
      <c r="V752" s="74"/>
      <c r="W752" s="74"/>
      <c r="X752" s="74"/>
      <c r="Y752" s="74"/>
      <c r="Z752" s="74"/>
      <c r="AA752" s="74"/>
      <c r="AB752" s="74"/>
    </row>
    <row r="753" spans="1:28" ht="12" customHeight="1">
      <c r="A753" s="565"/>
      <c r="B753" s="107"/>
      <c r="C753" s="107"/>
      <c r="D753" s="108"/>
      <c r="E753" s="104"/>
      <c r="F753" s="104"/>
      <c r="G753" s="35"/>
      <c r="H753" s="104"/>
      <c r="I753" s="140"/>
      <c r="J753" s="74"/>
      <c r="K753" s="74"/>
      <c r="L753" s="74"/>
      <c r="M753" s="74"/>
      <c r="N753" s="74"/>
      <c r="O753" s="74"/>
      <c r="P753" s="74"/>
      <c r="Q753" s="74"/>
      <c r="R753" s="74"/>
      <c r="S753" s="74"/>
      <c r="T753" s="74"/>
      <c r="U753" s="74"/>
      <c r="V753" s="74"/>
      <c r="W753" s="74"/>
      <c r="X753" s="74"/>
      <c r="Y753" s="74"/>
      <c r="Z753" s="74"/>
      <c r="AA753" s="74"/>
      <c r="AB753" s="74"/>
    </row>
    <row r="754" spans="1:28" ht="12" customHeight="1">
      <c r="A754" s="565"/>
      <c r="B754" s="107"/>
      <c r="C754" s="107"/>
      <c r="D754" s="108"/>
      <c r="E754" s="104"/>
      <c r="F754" s="104"/>
      <c r="G754" s="35"/>
      <c r="H754" s="104"/>
      <c r="I754" s="140"/>
      <c r="J754" s="74"/>
      <c r="K754" s="74"/>
      <c r="L754" s="74"/>
      <c r="M754" s="74"/>
      <c r="N754" s="74"/>
      <c r="O754" s="74"/>
      <c r="P754" s="74"/>
      <c r="Q754" s="74"/>
      <c r="R754" s="74"/>
      <c r="S754" s="74"/>
      <c r="T754" s="74"/>
      <c r="U754" s="74"/>
      <c r="V754" s="74"/>
      <c r="W754" s="74"/>
      <c r="X754" s="74"/>
      <c r="Y754" s="74"/>
      <c r="Z754" s="74"/>
      <c r="AA754" s="74"/>
      <c r="AB754" s="74"/>
    </row>
    <row r="755" spans="1:28" ht="12" customHeight="1">
      <c r="A755" s="565"/>
      <c r="B755" s="107"/>
      <c r="C755" s="107"/>
      <c r="D755" s="108"/>
      <c r="E755" s="104"/>
      <c r="F755" s="104"/>
      <c r="G755" s="35"/>
      <c r="H755" s="104"/>
      <c r="I755" s="140"/>
      <c r="J755" s="74"/>
      <c r="K755" s="74"/>
      <c r="L755" s="74"/>
      <c r="M755" s="74"/>
      <c r="N755" s="74"/>
      <c r="O755" s="74"/>
      <c r="P755" s="74"/>
      <c r="Q755" s="74"/>
      <c r="R755" s="74"/>
      <c r="S755" s="74"/>
      <c r="T755" s="74"/>
      <c r="U755" s="74"/>
      <c r="V755" s="74"/>
      <c r="W755" s="74"/>
      <c r="X755" s="74"/>
      <c r="Y755" s="74"/>
      <c r="Z755" s="74"/>
      <c r="AA755" s="74"/>
      <c r="AB755" s="74"/>
    </row>
    <row r="756" spans="1:28" ht="12" customHeight="1">
      <c r="A756" s="565"/>
      <c r="B756" s="107"/>
      <c r="C756" s="107"/>
      <c r="D756" s="108"/>
      <c r="E756" s="104"/>
      <c r="F756" s="104"/>
      <c r="G756" s="35"/>
      <c r="H756" s="104"/>
      <c r="I756" s="140"/>
      <c r="J756" s="74"/>
      <c r="K756" s="74"/>
      <c r="L756" s="74"/>
      <c r="M756" s="74"/>
      <c r="N756" s="74"/>
      <c r="O756" s="74"/>
      <c r="P756" s="74"/>
      <c r="Q756" s="74"/>
      <c r="R756" s="74"/>
      <c r="S756" s="74"/>
      <c r="T756" s="74"/>
      <c r="U756" s="74"/>
      <c r="V756" s="74"/>
      <c r="W756" s="74"/>
      <c r="X756" s="74"/>
      <c r="Y756" s="74"/>
      <c r="Z756" s="74"/>
      <c r="AA756" s="74"/>
      <c r="AB756" s="74"/>
    </row>
    <row r="757" spans="1:28" ht="12" customHeight="1">
      <c r="A757" s="565"/>
      <c r="B757" s="107"/>
      <c r="C757" s="107"/>
      <c r="D757" s="108"/>
      <c r="E757" s="104"/>
      <c r="F757" s="104"/>
      <c r="G757" s="35"/>
      <c r="H757" s="104"/>
      <c r="I757" s="140"/>
      <c r="J757" s="74"/>
      <c r="K757" s="74"/>
      <c r="L757" s="74"/>
      <c r="M757" s="74"/>
      <c r="N757" s="74"/>
      <c r="O757" s="74"/>
      <c r="P757" s="74"/>
      <c r="Q757" s="74"/>
      <c r="R757" s="74"/>
      <c r="S757" s="74"/>
      <c r="T757" s="74"/>
      <c r="U757" s="74"/>
      <c r="V757" s="74"/>
      <c r="W757" s="74"/>
      <c r="X757" s="74"/>
      <c r="Y757" s="74"/>
      <c r="Z757" s="74"/>
      <c r="AA757" s="74"/>
      <c r="AB757" s="74"/>
    </row>
    <row r="758" spans="1:28" ht="12" customHeight="1">
      <c r="A758" s="565"/>
      <c r="B758" s="107"/>
      <c r="C758" s="107"/>
      <c r="D758" s="108"/>
      <c r="E758" s="104"/>
      <c r="F758" s="104"/>
      <c r="G758" s="35"/>
      <c r="H758" s="104"/>
      <c r="I758" s="140"/>
      <c r="J758" s="74"/>
      <c r="K758" s="74"/>
      <c r="L758" s="74"/>
      <c r="M758" s="74"/>
      <c r="N758" s="74"/>
      <c r="O758" s="74"/>
      <c r="P758" s="74"/>
      <c r="Q758" s="74"/>
      <c r="R758" s="74"/>
      <c r="S758" s="74"/>
      <c r="T758" s="74"/>
      <c r="U758" s="74"/>
      <c r="V758" s="74"/>
      <c r="W758" s="74"/>
      <c r="X758" s="74"/>
      <c r="Y758" s="74"/>
      <c r="Z758" s="74"/>
      <c r="AA758" s="74"/>
      <c r="AB758" s="74"/>
    </row>
    <row r="759" spans="1:28" ht="12" customHeight="1">
      <c r="A759" s="565"/>
      <c r="B759" s="107"/>
      <c r="C759" s="107"/>
      <c r="D759" s="108"/>
      <c r="E759" s="104"/>
      <c r="F759" s="104"/>
      <c r="G759" s="35"/>
      <c r="H759" s="104"/>
      <c r="I759" s="140"/>
      <c r="J759" s="74"/>
      <c r="K759" s="74"/>
      <c r="L759" s="74"/>
      <c r="M759" s="74"/>
      <c r="N759" s="74"/>
      <c r="O759" s="74"/>
      <c r="P759" s="74"/>
      <c r="Q759" s="74"/>
      <c r="R759" s="74"/>
      <c r="S759" s="74"/>
      <c r="T759" s="74"/>
      <c r="U759" s="74"/>
      <c r="V759" s="74"/>
      <c r="W759" s="74"/>
      <c r="X759" s="74"/>
      <c r="Y759" s="74"/>
      <c r="Z759" s="74"/>
      <c r="AA759" s="74"/>
      <c r="AB759" s="74"/>
    </row>
    <row r="760" spans="1:28" ht="12" customHeight="1">
      <c r="A760" s="565"/>
      <c r="B760" s="107"/>
      <c r="C760" s="107"/>
      <c r="D760" s="108"/>
      <c r="E760" s="104"/>
      <c r="F760" s="104"/>
      <c r="G760" s="35"/>
      <c r="H760" s="104"/>
      <c r="I760" s="140"/>
      <c r="J760" s="74"/>
      <c r="K760" s="74"/>
      <c r="L760" s="74"/>
      <c r="M760" s="74"/>
      <c r="N760" s="74"/>
      <c r="O760" s="74"/>
      <c r="P760" s="74"/>
      <c r="Q760" s="74"/>
      <c r="R760" s="74"/>
      <c r="S760" s="74"/>
      <c r="T760" s="74"/>
      <c r="U760" s="74"/>
      <c r="V760" s="74"/>
      <c r="W760" s="74"/>
      <c r="X760" s="74"/>
      <c r="Y760" s="74"/>
      <c r="Z760" s="74"/>
      <c r="AA760" s="74"/>
      <c r="AB760" s="74"/>
    </row>
    <row r="761" spans="1:28" ht="12" customHeight="1">
      <c r="A761" s="565"/>
      <c r="B761" s="107"/>
      <c r="C761" s="107"/>
      <c r="D761" s="108"/>
      <c r="E761" s="104"/>
      <c r="F761" s="104"/>
      <c r="G761" s="35"/>
      <c r="H761" s="104"/>
      <c r="I761" s="140"/>
      <c r="J761" s="74"/>
      <c r="K761" s="74"/>
      <c r="L761" s="74"/>
      <c r="M761" s="74"/>
      <c r="N761" s="74"/>
      <c r="O761" s="74"/>
      <c r="P761" s="74"/>
      <c r="Q761" s="74"/>
      <c r="R761" s="74"/>
      <c r="S761" s="74"/>
      <c r="T761" s="74"/>
      <c r="U761" s="74"/>
      <c r="V761" s="74"/>
      <c r="W761" s="74"/>
      <c r="X761" s="74"/>
      <c r="Y761" s="74"/>
      <c r="Z761" s="74"/>
      <c r="AA761" s="74"/>
      <c r="AB761" s="74"/>
    </row>
    <row r="762" spans="1:28" ht="12" customHeight="1">
      <c r="A762" s="565"/>
      <c r="B762" s="107"/>
      <c r="C762" s="107"/>
      <c r="D762" s="108"/>
      <c r="E762" s="104"/>
      <c r="F762" s="104"/>
      <c r="G762" s="35"/>
      <c r="H762" s="104"/>
      <c r="I762" s="140"/>
      <c r="J762" s="74"/>
      <c r="K762" s="74"/>
      <c r="L762" s="74"/>
      <c r="M762" s="74"/>
      <c r="N762" s="74"/>
      <c r="O762" s="74"/>
      <c r="P762" s="74"/>
      <c r="Q762" s="74"/>
      <c r="R762" s="74"/>
      <c r="S762" s="74"/>
      <c r="T762" s="74"/>
      <c r="U762" s="74"/>
      <c r="V762" s="74"/>
      <c r="W762" s="74"/>
      <c r="X762" s="74"/>
      <c r="Y762" s="74"/>
      <c r="Z762" s="74"/>
      <c r="AA762" s="74"/>
      <c r="AB762" s="74"/>
    </row>
    <row r="763" spans="1:28" ht="12" customHeight="1">
      <c r="A763" s="565"/>
      <c r="B763" s="107"/>
      <c r="C763" s="107"/>
      <c r="D763" s="108"/>
      <c r="E763" s="104"/>
      <c r="F763" s="104"/>
      <c r="G763" s="35"/>
      <c r="H763" s="104"/>
      <c r="I763" s="140"/>
      <c r="J763" s="74"/>
      <c r="K763" s="74"/>
      <c r="L763" s="74"/>
      <c r="M763" s="74"/>
      <c r="N763" s="74"/>
      <c r="O763" s="74"/>
      <c r="P763" s="74"/>
      <c r="Q763" s="74"/>
      <c r="R763" s="74"/>
      <c r="S763" s="74"/>
      <c r="T763" s="74"/>
      <c r="U763" s="74"/>
      <c r="V763" s="74"/>
      <c r="W763" s="74"/>
      <c r="X763" s="74"/>
      <c r="Y763" s="74"/>
      <c r="Z763" s="74"/>
      <c r="AA763" s="74"/>
      <c r="AB763" s="74"/>
    </row>
    <row r="764" spans="1:28" ht="12" customHeight="1">
      <c r="A764" s="565"/>
      <c r="B764" s="107"/>
      <c r="C764" s="107"/>
      <c r="D764" s="108"/>
      <c r="E764" s="104"/>
      <c r="F764" s="104"/>
      <c r="G764" s="35"/>
      <c r="H764" s="104"/>
      <c r="I764" s="140"/>
      <c r="J764" s="74"/>
      <c r="K764" s="74"/>
      <c r="L764" s="74"/>
      <c r="M764" s="74"/>
      <c r="N764" s="74"/>
      <c r="O764" s="74"/>
      <c r="P764" s="74"/>
      <c r="Q764" s="74"/>
      <c r="R764" s="74"/>
      <c r="S764" s="74"/>
      <c r="T764" s="74"/>
      <c r="U764" s="74"/>
      <c r="V764" s="74"/>
      <c r="W764" s="74"/>
      <c r="X764" s="74"/>
      <c r="Y764" s="74"/>
      <c r="Z764" s="74"/>
      <c r="AA764" s="74"/>
      <c r="AB764" s="74"/>
    </row>
    <row r="765" spans="1:28" ht="12" customHeight="1">
      <c r="A765" s="565"/>
      <c r="B765" s="107"/>
      <c r="C765" s="107"/>
      <c r="D765" s="108"/>
      <c r="E765" s="104"/>
      <c r="F765" s="104"/>
      <c r="G765" s="35"/>
      <c r="H765" s="104"/>
      <c r="I765" s="140"/>
      <c r="J765" s="74"/>
      <c r="K765" s="74"/>
      <c r="L765" s="74"/>
      <c r="M765" s="74"/>
      <c r="N765" s="74"/>
      <c r="O765" s="74"/>
      <c r="P765" s="74"/>
      <c r="Q765" s="74"/>
      <c r="R765" s="74"/>
      <c r="S765" s="74"/>
      <c r="T765" s="74"/>
      <c r="U765" s="74"/>
      <c r="V765" s="74"/>
      <c r="W765" s="74"/>
      <c r="X765" s="74"/>
      <c r="Y765" s="74"/>
      <c r="Z765" s="74"/>
      <c r="AA765" s="74"/>
      <c r="AB765" s="74"/>
    </row>
    <row r="766" spans="1:28" ht="12" customHeight="1">
      <c r="A766" s="565"/>
      <c r="B766" s="107"/>
      <c r="C766" s="107"/>
      <c r="D766" s="108"/>
      <c r="E766" s="104"/>
      <c r="F766" s="104"/>
      <c r="G766" s="35"/>
      <c r="H766" s="104"/>
      <c r="I766" s="140"/>
      <c r="J766" s="74"/>
      <c r="K766" s="74"/>
      <c r="L766" s="74"/>
      <c r="M766" s="74"/>
      <c r="N766" s="74"/>
      <c r="O766" s="74"/>
      <c r="P766" s="74"/>
      <c r="Q766" s="74"/>
      <c r="R766" s="74"/>
      <c r="S766" s="74"/>
      <c r="T766" s="74"/>
      <c r="U766" s="74"/>
      <c r="V766" s="74"/>
      <c r="W766" s="74"/>
      <c r="X766" s="74"/>
      <c r="Y766" s="74"/>
      <c r="Z766" s="74"/>
      <c r="AA766" s="74"/>
      <c r="AB766" s="74"/>
    </row>
    <row r="767" spans="1:28" ht="12" customHeight="1">
      <c r="A767" s="565"/>
      <c r="B767" s="107"/>
      <c r="C767" s="107"/>
      <c r="D767" s="108"/>
      <c r="E767" s="104"/>
      <c r="F767" s="104"/>
      <c r="G767" s="35"/>
      <c r="H767" s="104"/>
      <c r="I767" s="140"/>
      <c r="J767" s="74"/>
      <c r="K767" s="74"/>
      <c r="L767" s="74"/>
      <c r="M767" s="74"/>
      <c r="N767" s="74"/>
      <c r="O767" s="74"/>
      <c r="P767" s="74"/>
      <c r="Q767" s="74"/>
      <c r="R767" s="74"/>
      <c r="S767" s="74"/>
      <c r="T767" s="74"/>
      <c r="U767" s="74"/>
      <c r="V767" s="74"/>
      <c r="W767" s="74"/>
      <c r="X767" s="74"/>
      <c r="Y767" s="74"/>
      <c r="Z767" s="74"/>
      <c r="AA767" s="74"/>
      <c r="AB767" s="74"/>
    </row>
    <row r="768" spans="1:28" ht="12" customHeight="1">
      <c r="A768" s="565"/>
      <c r="B768" s="107"/>
      <c r="C768" s="107"/>
      <c r="D768" s="108"/>
      <c r="E768" s="104"/>
      <c r="F768" s="104"/>
      <c r="G768" s="35"/>
      <c r="H768" s="104"/>
      <c r="I768" s="140"/>
      <c r="J768" s="74"/>
      <c r="K768" s="74"/>
      <c r="L768" s="74"/>
      <c r="M768" s="74"/>
      <c r="N768" s="74"/>
      <c r="O768" s="74"/>
      <c r="P768" s="74"/>
      <c r="Q768" s="74"/>
      <c r="R768" s="74"/>
      <c r="S768" s="74"/>
      <c r="T768" s="74"/>
      <c r="U768" s="74"/>
      <c r="V768" s="74"/>
      <c r="W768" s="74"/>
      <c r="X768" s="74"/>
      <c r="Y768" s="74"/>
      <c r="Z768" s="74"/>
      <c r="AA768" s="74"/>
      <c r="AB768" s="74"/>
    </row>
    <row r="769" spans="1:28" ht="12" customHeight="1">
      <c r="A769" s="565"/>
      <c r="B769" s="107"/>
      <c r="C769" s="107"/>
      <c r="D769" s="108"/>
      <c r="E769" s="104"/>
      <c r="F769" s="104"/>
      <c r="G769" s="35"/>
      <c r="H769" s="104"/>
      <c r="I769" s="140"/>
      <c r="J769" s="74"/>
      <c r="K769" s="74"/>
      <c r="L769" s="74"/>
      <c r="M769" s="74"/>
      <c r="N769" s="74"/>
      <c r="O769" s="74"/>
      <c r="P769" s="74"/>
      <c r="Q769" s="74"/>
      <c r="R769" s="74"/>
      <c r="S769" s="74"/>
      <c r="T769" s="74"/>
      <c r="U769" s="74"/>
      <c r="V769" s="74"/>
      <c r="W769" s="74"/>
      <c r="X769" s="74"/>
      <c r="Y769" s="74"/>
      <c r="Z769" s="74"/>
      <c r="AA769" s="74"/>
      <c r="AB769" s="74"/>
    </row>
    <row r="770" spans="1:28" ht="12" customHeight="1">
      <c r="A770" s="565"/>
      <c r="B770" s="107"/>
      <c r="C770" s="107"/>
      <c r="D770" s="108"/>
      <c r="E770" s="104"/>
      <c r="F770" s="104"/>
      <c r="G770" s="35"/>
      <c r="H770" s="104"/>
      <c r="I770" s="140"/>
      <c r="J770" s="74"/>
      <c r="K770" s="74"/>
      <c r="L770" s="74"/>
      <c r="M770" s="74"/>
      <c r="N770" s="74"/>
      <c r="O770" s="74"/>
      <c r="P770" s="74"/>
      <c r="Q770" s="74"/>
      <c r="R770" s="74"/>
      <c r="S770" s="74"/>
      <c r="T770" s="74"/>
      <c r="U770" s="74"/>
      <c r="V770" s="74"/>
      <c r="W770" s="74"/>
      <c r="X770" s="74"/>
      <c r="Y770" s="74"/>
      <c r="Z770" s="74"/>
      <c r="AA770" s="74"/>
      <c r="AB770" s="74"/>
    </row>
    <row r="771" spans="1:28" ht="12" customHeight="1">
      <c r="A771" s="565"/>
      <c r="B771" s="107"/>
      <c r="C771" s="107"/>
      <c r="D771" s="108"/>
      <c r="E771" s="104"/>
      <c r="F771" s="104"/>
      <c r="G771" s="35"/>
      <c r="H771" s="104"/>
      <c r="I771" s="140"/>
      <c r="J771" s="74"/>
      <c r="K771" s="74"/>
      <c r="L771" s="74"/>
      <c r="M771" s="74"/>
      <c r="N771" s="74"/>
      <c r="O771" s="74"/>
      <c r="P771" s="74"/>
      <c r="Q771" s="74"/>
      <c r="R771" s="74"/>
      <c r="S771" s="74"/>
      <c r="T771" s="74"/>
      <c r="U771" s="74"/>
      <c r="V771" s="74"/>
      <c r="W771" s="74"/>
      <c r="X771" s="74"/>
      <c r="Y771" s="74"/>
      <c r="Z771" s="74"/>
      <c r="AA771" s="74"/>
      <c r="AB771" s="74"/>
    </row>
    <row r="772" spans="1:28" ht="12" customHeight="1">
      <c r="A772" s="565"/>
      <c r="B772" s="107"/>
      <c r="C772" s="107"/>
      <c r="D772" s="108"/>
      <c r="E772" s="104"/>
      <c r="F772" s="104"/>
      <c r="G772" s="35"/>
      <c r="H772" s="104"/>
      <c r="I772" s="140"/>
      <c r="J772" s="74"/>
      <c r="K772" s="74"/>
      <c r="L772" s="74"/>
      <c r="M772" s="74"/>
      <c r="N772" s="74"/>
      <c r="O772" s="74"/>
      <c r="P772" s="74"/>
      <c r="Q772" s="74"/>
      <c r="R772" s="74"/>
      <c r="S772" s="74"/>
      <c r="T772" s="74"/>
      <c r="U772" s="74"/>
      <c r="V772" s="74"/>
      <c r="W772" s="74"/>
      <c r="X772" s="74"/>
      <c r="Y772" s="74"/>
      <c r="Z772" s="74"/>
      <c r="AA772" s="74"/>
      <c r="AB772" s="74"/>
    </row>
    <row r="773" spans="1:28" ht="12" customHeight="1">
      <c r="A773" s="565"/>
      <c r="B773" s="107"/>
      <c r="C773" s="107"/>
      <c r="D773" s="108"/>
      <c r="E773" s="104"/>
      <c r="F773" s="104"/>
      <c r="G773" s="35"/>
      <c r="H773" s="104"/>
      <c r="I773" s="140"/>
      <c r="J773" s="74"/>
      <c r="K773" s="74"/>
      <c r="L773" s="74"/>
      <c r="M773" s="74"/>
      <c r="N773" s="74"/>
      <c r="O773" s="74"/>
      <c r="P773" s="74"/>
      <c r="Q773" s="74"/>
      <c r="R773" s="74"/>
      <c r="S773" s="74"/>
      <c r="T773" s="74"/>
      <c r="U773" s="74"/>
      <c r="V773" s="74"/>
      <c r="W773" s="74"/>
      <c r="X773" s="74"/>
      <c r="Y773" s="74"/>
      <c r="Z773" s="74"/>
      <c r="AA773" s="74"/>
      <c r="AB773" s="74"/>
    </row>
    <row r="774" spans="1:28" ht="12" customHeight="1">
      <c r="A774" s="565"/>
      <c r="B774" s="107"/>
      <c r="C774" s="107"/>
      <c r="D774" s="108"/>
      <c r="E774" s="104"/>
      <c r="F774" s="104"/>
      <c r="G774" s="35"/>
      <c r="H774" s="104"/>
      <c r="I774" s="140"/>
      <c r="J774" s="74"/>
      <c r="K774" s="74"/>
      <c r="L774" s="74"/>
      <c r="M774" s="74"/>
      <c r="N774" s="74"/>
      <c r="O774" s="74"/>
      <c r="P774" s="74"/>
      <c r="Q774" s="74"/>
      <c r="R774" s="74"/>
      <c r="S774" s="74"/>
      <c r="T774" s="74"/>
      <c r="U774" s="74"/>
      <c r="V774" s="74"/>
      <c r="W774" s="74"/>
      <c r="X774" s="74"/>
      <c r="Y774" s="74"/>
      <c r="Z774" s="74"/>
      <c r="AA774" s="74"/>
      <c r="AB774" s="74"/>
    </row>
    <row r="775" spans="1:28" ht="12" customHeight="1">
      <c r="A775" s="565"/>
      <c r="B775" s="107"/>
      <c r="C775" s="107"/>
      <c r="D775" s="108"/>
      <c r="E775" s="104"/>
      <c r="F775" s="104"/>
      <c r="G775" s="35"/>
      <c r="H775" s="104"/>
      <c r="I775" s="140"/>
      <c r="J775" s="74"/>
      <c r="K775" s="74"/>
      <c r="L775" s="74"/>
      <c r="M775" s="74"/>
      <c r="N775" s="74"/>
      <c r="O775" s="74"/>
      <c r="P775" s="74"/>
      <c r="Q775" s="74"/>
      <c r="R775" s="74"/>
      <c r="S775" s="74"/>
      <c r="T775" s="74"/>
      <c r="U775" s="74"/>
      <c r="V775" s="74"/>
      <c r="W775" s="74"/>
      <c r="X775" s="74"/>
      <c r="Y775" s="74"/>
      <c r="Z775" s="74"/>
      <c r="AA775" s="74"/>
      <c r="AB775" s="74"/>
    </row>
    <row r="776" spans="1:28" ht="12" customHeight="1">
      <c r="A776" s="565"/>
      <c r="B776" s="107"/>
      <c r="C776" s="107"/>
      <c r="D776" s="108"/>
      <c r="E776" s="104"/>
      <c r="F776" s="104"/>
      <c r="G776" s="35"/>
      <c r="H776" s="104"/>
      <c r="I776" s="140"/>
      <c r="J776" s="74"/>
      <c r="K776" s="74"/>
      <c r="L776" s="74"/>
      <c r="M776" s="74"/>
      <c r="N776" s="74"/>
      <c r="O776" s="74"/>
      <c r="P776" s="74"/>
      <c r="Q776" s="74"/>
      <c r="R776" s="74"/>
      <c r="S776" s="74"/>
      <c r="T776" s="74"/>
      <c r="U776" s="74"/>
      <c r="V776" s="74"/>
      <c r="W776" s="74"/>
      <c r="X776" s="74"/>
      <c r="Y776" s="74"/>
      <c r="Z776" s="74"/>
      <c r="AA776" s="74"/>
      <c r="AB776" s="74"/>
    </row>
    <row r="777" spans="1:28" ht="12" customHeight="1">
      <c r="A777" s="565"/>
      <c r="B777" s="107"/>
      <c r="C777" s="107"/>
      <c r="D777" s="108"/>
      <c r="E777" s="104"/>
      <c r="F777" s="104"/>
      <c r="G777" s="35"/>
      <c r="H777" s="104"/>
      <c r="I777" s="140"/>
      <c r="J777" s="74"/>
      <c r="K777" s="74"/>
      <c r="L777" s="74"/>
      <c r="M777" s="74"/>
      <c r="N777" s="74"/>
      <c r="O777" s="74"/>
      <c r="P777" s="74"/>
      <c r="Q777" s="74"/>
      <c r="R777" s="74"/>
      <c r="S777" s="74"/>
      <c r="T777" s="74"/>
      <c r="U777" s="74"/>
      <c r="V777" s="74"/>
      <c r="W777" s="74"/>
      <c r="X777" s="74"/>
      <c r="Y777" s="74"/>
      <c r="Z777" s="74"/>
      <c r="AA777" s="74"/>
      <c r="AB777" s="74"/>
    </row>
    <row r="778" spans="1:28" ht="12" customHeight="1">
      <c r="A778" s="565"/>
      <c r="B778" s="107"/>
      <c r="C778" s="107"/>
      <c r="D778" s="108"/>
      <c r="E778" s="104"/>
      <c r="F778" s="104"/>
      <c r="G778" s="35"/>
      <c r="H778" s="104"/>
      <c r="I778" s="140"/>
      <c r="J778" s="74"/>
      <c r="K778" s="74"/>
      <c r="L778" s="74"/>
      <c r="M778" s="74"/>
      <c r="N778" s="74"/>
      <c r="O778" s="74"/>
      <c r="P778" s="74"/>
      <c r="Q778" s="74"/>
      <c r="R778" s="74"/>
      <c r="S778" s="74"/>
      <c r="T778" s="74"/>
      <c r="U778" s="74"/>
      <c r="V778" s="74"/>
      <c r="W778" s="74"/>
      <c r="X778" s="74"/>
      <c r="Y778" s="74"/>
      <c r="Z778" s="74"/>
      <c r="AA778" s="74"/>
      <c r="AB778" s="74"/>
    </row>
    <row r="779" spans="1:28" ht="12" customHeight="1">
      <c r="A779" s="565"/>
      <c r="B779" s="107"/>
      <c r="C779" s="107"/>
      <c r="D779" s="108"/>
      <c r="E779" s="104"/>
      <c r="F779" s="104"/>
      <c r="G779" s="35"/>
      <c r="H779" s="104"/>
      <c r="I779" s="140"/>
      <c r="J779" s="74"/>
      <c r="K779" s="74"/>
      <c r="L779" s="74"/>
      <c r="M779" s="74"/>
      <c r="N779" s="74"/>
      <c r="O779" s="74"/>
      <c r="P779" s="74"/>
      <c r="Q779" s="74"/>
      <c r="R779" s="74"/>
      <c r="S779" s="74"/>
      <c r="T779" s="74"/>
      <c r="U779" s="74"/>
      <c r="V779" s="74"/>
      <c r="W779" s="74"/>
      <c r="X779" s="74"/>
      <c r="Y779" s="74"/>
      <c r="Z779" s="74"/>
      <c r="AA779" s="74"/>
      <c r="AB779" s="74"/>
    </row>
    <row r="780" spans="1:28" ht="12" customHeight="1">
      <c r="A780" s="565"/>
      <c r="B780" s="107"/>
      <c r="C780" s="107"/>
      <c r="D780" s="108"/>
      <c r="E780" s="104"/>
      <c r="F780" s="104"/>
      <c r="G780" s="35"/>
      <c r="H780" s="104"/>
      <c r="I780" s="140"/>
      <c r="J780" s="74"/>
      <c r="K780" s="74"/>
      <c r="L780" s="74"/>
      <c r="M780" s="74"/>
      <c r="N780" s="74"/>
      <c r="O780" s="74"/>
      <c r="P780" s="74"/>
      <c r="Q780" s="74"/>
      <c r="R780" s="74"/>
      <c r="S780" s="74"/>
      <c r="T780" s="74"/>
      <c r="U780" s="74"/>
      <c r="V780" s="74"/>
      <c r="W780" s="74"/>
      <c r="X780" s="74"/>
      <c r="Y780" s="74"/>
      <c r="Z780" s="74"/>
      <c r="AA780" s="74"/>
      <c r="AB780" s="74"/>
    </row>
    <row r="781" spans="1:28" ht="12" customHeight="1">
      <c r="A781" s="565"/>
      <c r="B781" s="107"/>
      <c r="C781" s="107"/>
      <c r="D781" s="108"/>
      <c r="E781" s="104"/>
      <c r="F781" s="104"/>
      <c r="G781" s="35"/>
      <c r="H781" s="104"/>
      <c r="I781" s="140"/>
      <c r="J781" s="74"/>
      <c r="K781" s="74"/>
      <c r="L781" s="74"/>
      <c r="M781" s="74"/>
      <c r="N781" s="74"/>
      <c r="O781" s="74"/>
      <c r="P781" s="74"/>
      <c r="Q781" s="74"/>
      <c r="R781" s="74"/>
      <c r="S781" s="74"/>
      <c r="T781" s="74"/>
      <c r="U781" s="74"/>
      <c r="V781" s="74"/>
      <c r="W781" s="74"/>
      <c r="X781" s="74"/>
      <c r="Y781" s="74"/>
      <c r="Z781" s="74"/>
      <c r="AA781" s="74"/>
      <c r="AB781" s="74"/>
    </row>
    <row r="782" spans="1:28" ht="12" customHeight="1">
      <c r="A782" s="565"/>
      <c r="B782" s="107"/>
      <c r="C782" s="107"/>
      <c r="D782" s="108"/>
      <c r="E782" s="104"/>
      <c r="F782" s="104"/>
      <c r="G782" s="35"/>
      <c r="H782" s="104"/>
      <c r="I782" s="140"/>
      <c r="J782" s="74"/>
      <c r="K782" s="74"/>
      <c r="L782" s="74"/>
      <c r="M782" s="74"/>
      <c r="N782" s="74"/>
      <c r="O782" s="74"/>
      <c r="P782" s="74"/>
      <c r="Q782" s="74"/>
      <c r="R782" s="74"/>
      <c r="S782" s="74"/>
      <c r="T782" s="74"/>
      <c r="U782" s="74"/>
      <c r="V782" s="74"/>
      <c r="W782" s="74"/>
      <c r="X782" s="74"/>
      <c r="Y782" s="74"/>
      <c r="Z782" s="74"/>
      <c r="AA782" s="74"/>
      <c r="AB782" s="74"/>
    </row>
    <row r="783" spans="1:28" ht="12" customHeight="1">
      <c r="A783" s="565"/>
      <c r="B783" s="107"/>
      <c r="C783" s="107"/>
      <c r="D783" s="108"/>
      <c r="E783" s="104"/>
      <c r="F783" s="104"/>
      <c r="G783" s="35"/>
      <c r="H783" s="104"/>
      <c r="I783" s="140"/>
      <c r="J783" s="74"/>
      <c r="K783" s="74"/>
      <c r="L783" s="74"/>
      <c r="M783" s="74"/>
      <c r="N783" s="74"/>
      <c r="O783" s="74"/>
      <c r="P783" s="74"/>
      <c r="Q783" s="74"/>
      <c r="R783" s="74"/>
      <c r="S783" s="74"/>
      <c r="T783" s="74"/>
      <c r="U783" s="74"/>
      <c r="V783" s="74"/>
      <c r="W783" s="74"/>
      <c r="X783" s="74"/>
      <c r="Y783" s="74"/>
      <c r="Z783" s="74"/>
      <c r="AA783" s="74"/>
      <c r="AB783" s="74"/>
    </row>
    <row r="784" spans="1:28" ht="12" customHeight="1">
      <c r="A784" s="565"/>
      <c r="B784" s="107"/>
      <c r="C784" s="107"/>
      <c r="D784" s="108"/>
      <c r="E784" s="104"/>
      <c r="F784" s="104"/>
      <c r="G784" s="35"/>
      <c r="H784" s="104"/>
      <c r="I784" s="140"/>
      <c r="J784" s="74"/>
      <c r="K784" s="74"/>
      <c r="L784" s="74"/>
      <c r="M784" s="74"/>
      <c r="N784" s="74"/>
      <c r="O784" s="74"/>
      <c r="P784" s="74"/>
      <c r="Q784" s="74"/>
      <c r="R784" s="74"/>
      <c r="S784" s="74"/>
      <c r="T784" s="74"/>
      <c r="U784" s="74"/>
      <c r="V784" s="74"/>
      <c r="W784" s="74"/>
      <c r="X784" s="74"/>
      <c r="Y784" s="74"/>
      <c r="Z784" s="74"/>
      <c r="AA784" s="74"/>
      <c r="AB784" s="74"/>
    </row>
    <row r="785" spans="1:28" ht="12" customHeight="1">
      <c r="A785" s="565"/>
      <c r="B785" s="107"/>
      <c r="C785" s="107"/>
      <c r="D785" s="108"/>
      <c r="E785" s="104"/>
      <c r="F785" s="104"/>
      <c r="G785" s="35"/>
      <c r="H785" s="104"/>
      <c r="I785" s="140"/>
      <c r="J785" s="74"/>
      <c r="K785" s="74"/>
      <c r="L785" s="74"/>
      <c r="M785" s="74"/>
      <c r="N785" s="74"/>
      <c r="O785" s="74"/>
      <c r="P785" s="74"/>
      <c r="Q785" s="74"/>
      <c r="R785" s="74"/>
      <c r="S785" s="74"/>
      <c r="T785" s="74"/>
      <c r="U785" s="74"/>
      <c r="V785" s="74"/>
      <c r="W785" s="74"/>
      <c r="X785" s="74"/>
      <c r="Y785" s="74"/>
      <c r="Z785" s="74"/>
      <c r="AA785" s="74"/>
      <c r="AB785" s="74"/>
    </row>
    <row r="786" spans="1:28" ht="12" customHeight="1">
      <c r="A786" s="565"/>
      <c r="B786" s="107"/>
      <c r="C786" s="107"/>
      <c r="D786" s="108"/>
      <c r="E786" s="104"/>
      <c r="F786" s="104"/>
      <c r="G786" s="35"/>
      <c r="H786" s="104"/>
      <c r="I786" s="140"/>
      <c r="J786" s="74"/>
      <c r="K786" s="74"/>
      <c r="L786" s="74"/>
      <c r="M786" s="74"/>
      <c r="N786" s="74"/>
      <c r="O786" s="74"/>
      <c r="P786" s="74"/>
      <c r="Q786" s="74"/>
      <c r="R786" s="74"/>
      <c r="S786" s="74"/>
      <c r="T786" s="74"/>
      <c r="U786" s="74"/>
      <c r="V786" s="74"/>
      <c r="W786" s="74"/>
      <c r="X786" s="74"/>
      <c r="Y786" s="74"/>
      <c r="Z786" s="74"/>
      <c r="AA786" s="74"/>
      <c r="AB786" s="74"/>
    </row>
    <row r="787" spans="1:28" ht="12" customHeight="1">
      <c r="A787" s="565"/>
      <c r="B787" s="107"/>
      <c r="C787" s="107"/>
      <c r="D787" s="108"/>
      <c r="E787" s="104"/>
      <c r="F787" s="104"/>
      <c r="G787" s="35"/>
      <c r="H787" s="104"/>
      <c r="I787" s="140"/>
      <c r="J787" s="74"/>
      <c r="K787" s="74"/>
      <c r="L787" s="74"/>
      <c r="M787" s="74"/>
      <c r="N787" s="74"/>
      <c r="O787" s="74"/>
      <c r="P787" s="74"/>
      <c r="Q787" s="74"/>
      <c r="R787" s="74"/>
      <c r="S787" s="74"/>
      <c r="T787" s="74"/>
      <c r="U787" s="74"/>
      <c r="V787" s="74"/>
      <c r="W787" s="74"/>
      <c r="X787" s="74"/>
      <c r="Y787" s="74"/>
      <c r="Z787" s="74"/>
      <c r="AA787" s="74"/>
      <c r="AB787" s="74"/>
    </row>
    <row r="788" spans="1:28" ht="12" customHeight="1">
      <c r="A788" s="565"/>
      <c r="B788" s="107"/>
      <c r="C788" s="107"/>
      <c r="D788" s="108"/>
      <c r="E788" s="104"/>
      <c r="F788" s="104"/>
      <c r="G788" s="35"/>
      <c r="H788" s="104"/>
      <c r="I788" s="140"/>
      <c r="J788" s="74"/>
      <c r="K788" s="74"/>
      <c r="L788" s="74"/>
      <c r="M788" s="74"/>
      <c r="N788" s="74"/>
      <c r="O788" s="74"/>
      <c r="P788" s="74"/>
      <c r="Q788" s="74"/>
      <c r="R788" s="74"/>
      <c r="S788" s="74"/>
      <c r="T788" s="74"/>
      <c r="U788" s="74"/>
      <c r="V788" s="74"/>
      <c r="W788" s="74"/>
      <c r="X788" s="74"/>
      <c r="Y788" s="74"/>
      <c r="Z788" s="74"/>
      <c r="AA788" s="74"/>
      <c r="AB788" s="74"/>
    </row>
    <row r="789" spans="1:28" ht="12" customHeight="1">
      <c r="A789" s="565"/>
      <c r="B789" s="107"/>
      <c r="C789" s="107"/>
      <c r="D789" s="108"/>
      <c r="E789" s="104"/>
      <c r="F789" s="104"/>
      <c r="G789" s="35"/>
      <c r="H789" s="104"/>
      <c r="I789" s="140"/>
      <c r="J789" s="74"/>
      <c r="K789" s="74"/>
      <c r="L789" s="74"/>
      <c r="M789" s="74"/>
      <c r="N789" s="74"/>
      <c r="O789" s="74"/>
      <c r="P789" s="74"/>
      <c r="Q789" s="74"/>
      <c r="R789" s="74"/>
      <c r="S789" s="74"/>
      <c r="T789" s="74"/>
      <c r="U789" s="74"/>
      <c r="V789" s="74"/>
      <c r="W789" s="74"/>
      <c r="X789" s="74"/>
      <c r="Y789" s="74"/>
      <c r="Z789" s="74"/>
      <c r="AA789" s="74"/>
      <c r="AB789" s="74"/>
    </row>
    <row r="790" spans="1:28" ht="12" customHeight="1">
      <c r="A790" s="565"/>
      <c r="B790" s="107"/>
      <c r="C790" s="107"/>
      <c r="D790" s="108"/>
      <c r="E790" s="104"/>
      <c r="F790" s="104"/>
      <c r="G790" s="35"/>
      <c r="H790" s="104"/>
      <c r="I790" s="140"/>
      <c r="J790" s="74"/>
      <c r="K790" s="74"/>
      <c r="L790" s="74"/>
      <c r="M790" s="74"/>
      <c r="N790" s="74"/>
      <c r="O790" s="74"/>
      <c r="P790" s="74"/>
      <c r="Q790" s="74"/>
      <c r="R790" s="74"/>
      <c r="S790" s="74"/>
      <c r="T790" s="74"/>
      <c r="U790" s="74"/>
      <c r="V790" s="74"/>
      <c r="W790" s="74"/>
      <c r="X790" s="74"/>
      <c r="Y790" s="74"/>
      <c r="Z790" s="74"/>
      <c r="AA790" s="74"/>
      <c r="AB790" s="74"/>
    </row>
    <row r="791" spans="1:28" ht="12" customHeight="1">
      <c r="A791" s="565"/>
      <c r="B791" s="107"/>
      <c r="C791" s="107"/>
      <c r="D791" s="108"/>
      <c r="E791" s="104"/>
      <c r="F791" s="104"/>
      <c r="G791" s="35"/>
      <c r="H791" s="104"/>
      <c r="I791" s="140"/>
      <c r="J791" s="74"/>
      <c r="K791" s="74"/>
      <c r="L791" s="74"/>
      <c r="M791" s="74"/>
      <c r="N791" s="74"/>
      <c r="O791" s="74"/>
      <c r="P791" s="74"/>
      <c r="Q791" s="74"/>
      <c r="R791" s="74"/>
      <c r="S791" s="74"/>
      <c r="T791" s="74"/>
      <c r="U791" s="74"/>
      <c r="V791" s="74"/>
      <c r="W791" s="74"/>
      <c r="X791" s="74"/>
      <c r="Y791" s="74"/>
      <c r="Z791" s="74"/>
      <c r="AA791" s="74"/>
      <c r="AB791" s="74"/>
    </row>
    <row r="792" spans="1:28" ht="12" customHeight="1">
      <c r="A792" s="565"/>
      <c r="B792" s="107"/>
      <c r="C792" s="107"/>
      <c r="D792" s="108"/>
      <c r="E792" s="104"/>
      <c r="F792" s="104"/>
      <c r="G792" s="35"/>
      <c r="H792" s="104"/>
      <c r="I792" s="140"/>
      <c r="J792" s="74"/>
      <c r="K792" s="74"/>
      <c r="L792" s="74"/>
      <c r="M792" s="74"/>
      <c r="N792" s="74"/>
      <c r="O792" s="74"/>
      <c r="P792" s="74"/>
      <c r="Q792" s="74"/>
      <c r="R792" s="74"/>
      <c r="S792" s="74"/>
      <c r="T792" s="74"/>
      <c r="U792" s="74"/>
      <c r="V792" s="74"/>
      <c r="W792" s="74"/>
      <c r="X792" s="74"/>
      <c r="Y792" s="74"/>
      <c r="Z792" s="74"/>
      <c r="AA792" s="74"/>
      <c r="AB792" s="74"/>
    </row>
    <row r="793" spans="1:28" ht="12" customHeight="1">
      <c r="A793" s="565"/>
      <c r="B793" s="107"/>
      <c r="C793" s="107"/>
      <c r="D793" s="108"/>
      <c r="E793" s="104"/>
      <c r="F793" s="104"/>
      <c r="G793" s="35"/>
      <c r="H793" s="104"/>
      <c r="I793" s="140"/>
      <c r="J793" s="74"/>
      <c r="K793" s="74"/>
      <c r="L793" s="74"/>
      <c r="M793" s="74"/>
      <c r="N793" s="74"/>
      <c r="O793" s="74"/>
      <c r="P793" s="74"/>
      <c r="Q793" s="74"/>
      <c r="R793" s="74"/>
      <c r="S793" s="74"/>
      <c r="T793" s="74"/>
      <c r="U793" s="74"/>
      <c r="V793" s="74"/>
      <c r="W793" s="74"/>
      <c r="X793" s="74"/>
      <c r="Y793" s="74"/>
      <c r="Z793" s="74"/>
      <c r="AA793" s="74"/>
      <c r="AB793" s="74"/>
    </row>
    <row r="794" spans="1:28" ht="12" customHeight="1">
      <c r="A794" s="565"/>
      <c r="B794" s="107"/>
      <c r="C794" s="107"/>
      <c r="D794" s="108"/>
      <c r="E794" s="104"/>
      <c r="F794" s="104"/>
      <c r="G794" s="35"/>
      <c r="H794" s="104"/>
      <c r="I794" s="140"/>
      <c r="J794" s="74"/>
      <c r="K794" s="74"/>
      <c r="L794" s="74"/>
      <c r="M794" s="74"/>
      <c r="N794" s="74"/>
      <c r="O794" s="74"/>
      <c r="P794" s="74"/>
      <c r="Q794" s="74"/>
      <c r="R794" s="74"/>
      <c r="S794" s="74"/>
      <c r="T794" s="74"/>
      <c r="U794" s="74"/>
      <c r="V794" s="74"/>
      <c r="W794" s="74"/>
      <c r="X794" s="74"/>
      <c r="Y794" s="74"/>
      <c r="Z794" s="74"/>
      <c r="AA794" s="74"/>
      <c r="AB794" s="74"/>
    </row>
    <row r="795" spans="1:28" ht="12" customHeight="1">
      <c r="A795" s="565"/>
      <c r="B795" s="107"/>
      <c r="C795" s="107"/>
      <c r="D795" s="108"/>
      <c r="E795" s="104"/>
      <c r="F795" s="104"/>
      <c r="G795" s="35"/>
      <c r="H795" s="104"/>
      <c r="I795" s="140"/>
      <c r="J795" s="74"/>
      <c r="K795" s="74"/>
      <c r="L795" s="74"/>
      <c r="M795" s="74"/>
      <c r="N795" s="74"/>
      <c r="O795" s="74"/>
      <c r="P795" s="74"/>
      <c r="Q795" s="74"/>
      <c r="R795" s="74"/>
      <c r="S795" s="74"/>
      <c r="T795" s="74"/>
      <c r="U795" s="74"/>
      <c r="V795" s="74"/>
      <c r="W795" s="74"/>
      <c r="X795" s="74"/>
      <c r="Y795" s="74"/>
      <c r="Z795" s="74"/>
      <c r="AA795" s="74"/>
      <c r="AB795" s="74"/>
    </row>
    <row r="796" spans="1:28" ht="12" customHeight="1">
      <c r="A796" s="565"/>
      <c r="B796" s="107"/>
      <c r="C796" s="107"/>
      <c r="D796" s="108"/>
      <c r="E796" s="104"/>
      <c r="F796" s="104"/>
      <c r="G796" s="35"/>
      <c r="H796" s="104"/>
      <c r="I796" s="140"/>
      <c r="J796" s="74"/>
      <c r="K796" s="74"/>
      <c r="L796" s="74"/>
      <c r="M796" s="74"/>
      <c r="N796" s="74"/>
      <c r="O796" s="74"/>
      <c r="P796" s="74"/>
      <c r="Q796" s="74"/>
      <c r="R796" s="74"/>
      <c r="S796" s="74"/>
      <c r="T796" s="74"/>
      <c r="U796" s="74"/>
      <c r="V796" s="74"/>
      <c r="W796" s="74"/>
      <c r="X796" s="74"/>
      <c r="Y796" s="74"/>
      <c r="Z796" s="74"/>
      <c r="AA796" s="74"/>
      <c r="AB796" s="74"/>
    </row>
    <row r="797" spans="1:28" ht="12" customHeight="1">
      <c r="A797" s="565"/>
      <c r="B797" s="107"/>
      <c r="C797" s="107"/>
      <c r="D797" s="108"/>
      <c r="E797" s="104"/>
      <c r="F797" s="104"/>
      <c r="G797" s="35"/>
      <c r="H797" s="104"/>
      <c r="I797" s="140"/>
      <c r="J797" s="74"/>
      <c r="K797" s="74"/>
      <c r="L797" s="74"/>
      <c r="M797" s="74"/>
      <c r="N797" s="74"/>
      <c r="O797" s="74"/>
      <c r="P797" s="74"/>
      <c r="Q797" s="74"/>
      <c r="R797" s="74"/>
      <c r="S797" s="74"/>
      <c r="T797" s="74"/>
      <c r="U797" s="74"/>
      <c r="V797" s="74"/>
      <c r="W797" s="74"/>
      <c r="X797" s="74"/>
      <c r="Y797" s="74"/>
      <c r="Z797" s="74"/>
      <c r="AA797" s="74"/>
      <c r="AB797" s="74"/>
    </row>
    <row r="798" spans="1:28" ht="12" customHeight="1">
      <c r="A798" s="565"/>
      <c r="B798" s="107"/>
      <c r="C798" s="107"/>
      <c r="D798" s="108"/>
      <c r="E798" s="104"/>
      <c r="F798" s="104"/>
      <c r="G798" s="35"/>
      <c r="H798" s="104"/>
      <c r="I798" s="140"/>
      <c r="J798" s="74"/>
      <c r="K798" s="74"/>
      <c r="L798" s="74"/>
      <c r="M798" s="74"/>
      <c r="N798" s="74"/>
      <c r="O798" s="74"/>
      <c r="P798" s="74"/>
      <c r="Q798" s="74"/>
      <c r="R798" s="74"/>
      <c r="S798" s="74"/>
      <c r="T798" s="74"/>
      <c r="U798" s="74"/>
      <c r="V798" s="74"/>
      <c r="W798" s="74"/>
      <c r="X798" s="74"/>
      <c r="Y798" s="74"/>
      <c r="Z798" s="74"/>
      <c r="AA798" s="74"/>
      <c r="AB798" s="74"/>
    </row>
    <row r="799" spans="1:28" ht="12" customHeight="1">
      <c r="A799" s="565"/>
      <c r="B799" s="107"/>
      <c r="C799" s="107"/>
      <c r="D799" s="108"/>
      <c r="E799" s="104"/>
      <c r="F799" s="104"/>
      <c r="G799" s="35"/>
      <c r="H799" s="104"/>
      <c r="I799" s="140"/>
      <c r="J799" s="74"/>
      <c r="K799" s="74"/>
      <c r="L799" s="74"/>
      <c r="M799" s="74"/>
      <c r="N799" s="74"/>
      <c r="O799" s="74"/>
      <c r="P799" s="74"/>
      <c r="Q799" s="74"/>
      <c r="R799" s="74"/>
      <c r="S799" s="74"/>
      <c r="T799" s="74"/>
      <c r="U799" s="74"/>
      <c r="V799" s="74"/>
      <c r="W799" s="74"/>
      <c r="X799" s="74"/>
      <c r="Y799" s="74"/>
      <c r="Z799" s="74"/>
      <c r="AA799" s="74"/>
      <c r="AB799" s="74"/>
    </row>
    <row r="800" spans="1:28" ht="12" customHeight="1">
      <c r="A800" s="565"/>
      <c r="B800" s="107"/>
      <c r="C800" s="107"/>
      <c r="D800" s="108"/>
      <c r="E800" s="104"/>
      <c r="F800" s="104"/>
      <c r="G800" s="35"/>
      <c r="H800" s="104"/>
      <c r="I800" s="140"/>
      <c r="J800" s="74"/>
      <c r="K800" s="74"/>
      <c r="L800" s="74"/>
      <c r="M800" s="74"/>
      <c r="N800" s="74"/>
      <c r="O800" s="74"/>
      <c r="P800" s="74"/>
      <c r="Q800" s="74"/>
      <c r="R800" s="74"/>
      <c r="S800" s="74"/>
      <c r="T800" s="74"/>
      <c r="U800" s="74"/>
      <c r="V800" s="74"/>
      <c r="W800" s="74"/>
      <c r="X800" s="74"/>
      <c r="Y800" s="74"/>
      <c r="Z800" s="74"/>
      <c r="AA800" s="74"/>
      <c r="AB800" s="74"/>
    </row>
    <row r="801" spans="1:28" ht="12" customHeight="1">
      <c r="A801" s="565"/>
      <c r="B801" s="107"/>
      <c r="C801" s="107"/>
      <c r="D801" s="108"/>
      <c r="E801" s="104"/>
      <c r="F801" s="104"/>
      <c r="G801" s="35"/>
      <c r="H801" s="104"/>
      <c r="I801" s="140"/>
      <c r="J801" s="74"/>
      <c r="K801" s="74"/>
      <c r="L801" s="74"/>
      <c r="M801" s="74"/>
      <c r="N801" s="74"/>
      <c r="O801" s="74"/>
      <c r="P801" s="74"/>
      <c r="Q801" s="74"/>
      <c r="R801" s="74"/>
      <c r="S801" s="74"/>
      <c r="T801" s="74"/>
      <c r="U801" s="74"/>
      <c r="V801" s="74"/>
      <c r="W801" s="74"/>
      <c r="X801" s="74"/>
      <c r="Y801" s="74"/>
      <c r="Z801" s="74"/>
      <c r="AA801" s="74"/>
      <c r="AB801" s="74"/>
    </row>
    <row r="802" spans="1:28" ht="12" customHeight="1">
      <c r="A802" s="565"/>
      <c r="B802" s="107"/>
      <c r="C802" s="107"/>
      <c r="D802" s="108"/>
      <c r="E802" s="104"/>
      <c r="F802" s="104"/>
      <c r="G802" s="35"/>
      <c r="H802" s="104"/>
      <c r="I802" s="140"/>
      <c r="J802" s="74"/>
      <c r="K802" s="74"/>
      <c r="L802" s="74"/>
      <c r="M802" s="74"/>
      <c r="N802" s="74"/>
      <c r="O802" s="74"/>
      <c r="P802" s="74"/>
      <c r="Q802" s="74"/>
      <c r="R802" s="74"/>
      <c r="S802" s="74"/>
      <c r="T802" s="74"/>
      <c r="U802" s="74"/>
      <c r="V802" s="74"/>
      <c r="W802" s="74"/>
      <c r="X802" s="74"/>
      <c r="Y802" s="74"/>
      <c r="Z802" s="74"/>
      <c r="AA802" s="74"/>
      <c r="AB802" s="74"/>
    </row>
    <row r="803" spans="1:28" ht="12" customHeight="1">
      <c r="A803" s="565"/>
      <c r="B803" s="107"/>
      <c r="C803" s="107"/>
      <c r="D803" s="108"/>
      <c r="E803" s="104"/>
      <c r="F803" s="104"/>
      <c r="G803" s="35"/>
      <c r="H803" s="104"/>
      <c r="I803" s="140"/>
      <c r="J803" s="74"/>
      <c r="K803" s="74"/>
      <c r="L803" s="74"/>
      <c r="M803" s="74"/>
      <c r="N803" s="74"/>
      <c r="O803" s="74"/>
      <c r="P803" s="74"/>
      <c r="Q803" s="74"/>
      <c r="R803" s="74"/>
      <c r="S803" s="74"/>
      <c r="T803" s="74"/>
      <c r="U803" s="74"/>
      <c r="V803" s="74"/>
      <c r="W803" s="74"/>
      <c r="X803" s="74"/>
      <c r="Y803" s="74"/>
      <c r="Z803" s="74"/>
      <c r="AA803" s="74"/>
      <c r="AB803" s="74"/>
    </row>
    <row r="804" spans="1:28" ht="12" customHeight="1">
      <c r="A804" s="565"/>
      <c r="B804" s="107"/>
      <c r="C804" s="107"/>
      <c r="D804" s="108"/>
      <c r="E804" s="104"/>
      <c r="F804" s="104"/>
      <c r="G804" s="35"/>
      <c r="H804" s="104"/>
      <c r="I804" s="140"/>
      <c r="J804" s="74"/>
      <c r="K804" s="74"/>
      <c r="L804" s="74"/>
      <c r="M804" s="74"/>
      <c r="N804" s="74"/>
      <c r="O804" s="74"/>
      <c r="P804" s="74"/>
      <c r="Q804" s="74"/>
      <c r="R804" s="74"/>
      <c r="S804" s="74"/>
      <c r="T804" s="74"/>
      <c r="U804" s="74"/>
      <c r="V804" s="74"/>
      <c r="W804" s="74"/>
      <c r="X804" s="74"/>
      <c r="Y804" s="74"/>
      <c r="Z804" s="74"/>
      <c r="AA804" s="74"/>
      <c r="AB804" s="74"/>
    </row>
    <row r="805" spans="1:28" ht="12" customHeight="1">
      <c r="A805" s="565"/>
      <c r="B805" s="107"/>
      <c r="C805" s="107"/>
      <c r="D805" s="108"/>
      <c r="E805" s="104"/>
      <c r="F805" s="104"/>
      <c r="G805" s="35"/>
      <c r="H805" s="104"/>
      <c r="I805" s="140"/>
      <c r="J805" s="74"/>
      <c r="K805" s="74"/>
      <c r="L805" s="74"/>
      <c r="M805" s="74"/>
      <c r="N805" s="74"/>
      <c r="O805" s="74"/>
      <c r="P805" s="74"/>
      <c r="Q805" s="74"/>
      <c r="R805" s="74"/>
      <c r="S805" s="74"/>
      <c r="T805" s="74"/>
      <c r="U805" s="74"/>
      <c r="V805" s="74"/>
      <c r="W805" s="74"/>
      <c r="X805" s="74"/>
      <c r="Y805" s="74"/>
      <c r="Z805" s="74"/>
      <c r="AA805" s="74"/>
      <c r="AB805" s="74"/>
    </row>
    <row r="806" spans="1:28" ht="12" customHeight="1">
      <c r="A806" s="565"/>
      <c r="B806" s="107"/>
      <c r="C806" s="107"/>
      <c r="D806" s="108"/>
      <c r="E806" s="104"/>
      <c r="F806" s="104"/>
      <c r="G806" s="35"/>
      <c r="H806" s="104"/>
      <c r="I806" s="140"/>
      <c r="J806" s="74"/>
      <c r="K806" s="74"/>
      <c r="L806" s="74"/>
      <c r="M806" s="74"/>
      <c r="N806" s="74"/>
      <c r="O806" s="74"/>
      <c r="P806" s="74"/>
      <c r="Q806" s="74"/>
      <c r="R806" s="74"/>
      <c r="S806" s="74"/>
      <c r="T806" s="74"/>
      <c r="U806" s="74"/>
      <c r="V806" s="74"/>
      <c r="W806" s="74"/>
      <c r="X806" s="74"/>
      <c r="Y806" s="74"/>
      <c r="Z806" s="74"/>
      <c r="AA806" s="74"/>
      <c r="AB806" s="74"/>
    </row>
    <row r="807" spans="1:28" ht="12" customHeight="1">
      <c r="A807" s="565"/>
      <c r="B807" s="107"/>
      <c r="C807" s="107"/>
      <c r="D807" s="108"/>
      <c r="E807" s="104"/>
      <c r="F807" s="104"/>
      <c r="G807" s="35"/>
      <c r="H807" s="104"/>
      <c r="I807" s="140"/>
      <c r="J807" s="74"/>
      <c r="K807" s="74"/>
      <c r="L807" s="74"/>
      <c r="M807" s="74"/>
      <c r="N807" s="74"/>
      <c r="O807" s="74"/>
      <c r="P807" s="74"/>
      <c r="Q807" s="74"/>
      <c r="R807" s="74"/>
      <c r="S807" s="74"/>
      <c r="T807" s="74"/>
      <c r="U807" s="74"/>
      <c r="V807" s="74"/>
      <c r="W807" s="74"/>
      <c r="X807" s="74"/>
      <c r="Y807" s="74"/>
      <c r="Z807" s="74"/>
      <c r="AA807" s="74"/>
      <c r="AB807" s="74"/>
    </row>
    <row r="808" spans="1:28" ht="12" customHeight="1">
      <c r="A808" s="565"/>
      <c r="B808" s="107"/>
      <c r="C808" s="107"/>
      <c r="D808" s="108"/>
      <c r="E808" s="104"/>
      <c r="F808" s="104"/>
      <c r="G808" s="35"/>
      <c r="H808" s="104"/>
      <c r="I808" s="140"/>
      <c r="J808" s="74"/>
      <c r="K808" s="74"/>
      <c r="L808" s="74"/>
      <c r="M808" s="74"/>
      <c r="N808" s="74"/>
      <c r="O808" s="74"/>
      <c r="P808" s="74"/>
      <c r="Q808" s="74"/>
      <c r="R808" s="74"/>
      <c r="S808" s="74"/>
      <c r="T808" s="74"/>
      <c r="U808" s="74"/>
      <c r="V808" s="74"/>
      <c r="W808" s="74"/>
      <c r="X808" s="74"/>
      <c r="Y808" s="74"/>
      <c r="Z808" s="74"/>
      <c r="AA808" s="74"/>
      <c r="AB808" s="74"/>
    </row>
    <row r="809" spans="1:28" ht="12" customHeight="1">
      <c r="A809" s="565"/>
      <c r="B809" s="107"/>
      <c r="C809" s="107"/>
      <c r="D809" s="108"/>
      <c r="E809" s="104"/>
      <c r="F809" s="104"/>
      <c r="G809" s="35"/>
      <c r="H809" s="104"/>
      <c r="I809" s="140"/>
      <c r="J809" s="74"/>
      <c r="K809" s="74"/>
      <c r="L809" s="74"/>
      <c r="M809" s="74"/>
      <c r="N809" s="74"/>
      <c r="O809" s="74"/>
      <c r="P809" s="74"/>
      <c r="Q809" s="74"/>
      <c r="R809" s="74"/>
      <c r="S809" s="74"/>
      <c r="T809" s="74"/>
      <c r="U809" s="74"/>
      <c r="V809" s="74"/>
      <c r="W809" s="74"/>
      <c r="X809" s="74"/>
      <c r="Y809" s="74"/>
      <c r="Z809" s="74"/>
      <c r="AA809" s="74"/>
      <c r="AB809" s="74"/>
    </row>
    <row r="810" spans="1:28" ht="12" customHeight="1">
      <c r="A810" s="565"/>
      <c r="B810" s="107"/>
      <c r="C810" s="107"/>
      <c r="D810" s="108"/>
      <c r="E810" s="104"/>
      <c r="F810" s="104"/>
      <c r="G810" s="35"/>
      <c r="H810" s="104"/>
      <c r="I810" s="140"/>
      <c r="J810" s="74"/>
      <c r="K810" s="74"/>
      <c r="L810" s="74"/>
      <c r="M810" s="74"/>
      <c r="N810" s="74"/>
      <c r="O810" s="74"/>
      <c r="P810" s="74"/>
      <c r="Q810" s="74"/>
      <c r="R810" s="74"/>
      <c r="S810" s="74"/>
      <c r="T810" s="74"/>
      <c r="U810" s="74"/>
      <c r="V810" s="74"/>
      <c r="W810" s="74"/>
      <c r="X810" s="74"/>
      <c r="Y810" s="74"/>
      <c r="Z810" s="74"/>
      <c r="AA810" s="74"/>
      <c r="AB810" s="74"/>
    </row>
    <row r="811" spans="1:28" ht="12" customHeight="1">
      <c r="A811" s="565"/>
      <c r="B811" s="107"/>
      <c r="C811" s="107"/>
      <c r="D811" s="108"/>
      <c r="E811" s="104"/>
      <c r="F811" s="104"/>
      <c r="G811" s="35"/>
      <c r="H811" s="104"/>
      <c r="I811" s="140"/>
      <c r="J811" s="74"/>
      <c r="K811" s="74"/>
      <c r="L811" s="74"/>
      <c r="M811" s="74"/>
      <c r="N811" s="74"/>
      <c r="O811" s="74"/>
      <c r="P811" s="74"/>
      <c r="Q811" s="74"/>
      <c r="R811" s="74"/>
      <c r="S811" s="74"/>
      <c r="T811" s="74"/>
      <c r="U811" s="74"/>
      <c r="V811" s="74"/>
      <c r="W811" s="74"/>
      <c r="X811" s="74"/>
      <c r="Y811" s="74"/>
      <c r="Z811" s="74"/>
      <c r="AA811" s="74"/>
      <c r="AB811" s="74"/>
    </row>
    <row r="812" spans="1:28" ht="12" customHeight="1">
      <c r="A812" s="565"/>
      <c r="B812" s="107"/>
      <c r="C812" s="107"/>
      <c r="D812" s="108"/>
      <c r="E812" s="104"/>
      <c r="F812" s="104"/>
      <c r="G812" s="35"/>
      <c r="H812" s="104"/>
      <c r="I812" s="140"/>
      <c r="J812" s="74"/>
      <c r="K812" s="74"/>
      <c r="L812" s="74"/>
      <c r="M812" s="74"/>
      <c r="N812" s="74"/>
      <c r="O812" s="74"/>
      <c r="P812" s="74"/>
      <c r="Q812" s="74"/>
      <c r="R812" s="74"/>
      <c r="S812" s="74"/>
      <c r="T812" s="74"/>
      <c r="U812" s="74"/>
      <c r="V812" s="74"/>
      <c r="W812" s="74"/>
      <c r="X812" s="74"/>
      <c r="Y812" s="74"/>
      <c r="Z812" s="74"/>
      <c r="AA812" s="74"/>
      <c r="AB812" s="74"/>
    </row>
    <row r="813" spans="1:28" ht="12" customHeight="1">
      <c r="A813" s="565"/>
      <c r="B813" s="107"/>
      <c r="C813" s="107"/>
      <c r="D813" s="108"/>
      <c r="E813" s="104"/>
      <c r="F813" s="104"/>
      <c r="G813" s="35"/>
      <c r="H813" s="104"/>
      <c r="I813" s="140"/>
      <c r="J813" s="74"/>
      <c r="K813" s="74"/>
      <c r="L813" s="74"/>
      <c r="M813" s="74"/>
      <c r="N813" s="74"/>
      <c r="O813" s="74"/>
      <c r="P813" s="74"/>
      <c r="Q813" s="74"/>
      <c r="R813" s="74"/>
      <c r="S813" s="74"/>
      <c r="T813" s="74"/>
      <c r="U813" s="74"/>
      <c r="V813" s="74"/>
      <c r="W813" s="74"/>
      <c r="X813" s="74"/>
      <c r="Y813" s="74"/>
      <c r="Z813" s="74"/>
      <c r="AA813" s="74"/>
      <c r="AB813" s="74"/>
    </row>
    <row r="814" spans="1:28" ht="12" customHeight="1">
      <c r="A814" s="565"/>
      <c r="B814" s="107"/>
      <c r="C814" s="107"/>
      <c r="D814" s="108"/>
      <c r="E814" s="104"/>
      <c r="F814" s="104"/>
      <c r="G814" s="35"/>
      <c r="H814" s="104"/>
      <c r="I814" s="140"/>
      <c r="J814" s="74"/>
      <c r="K814" s="74"/>
      <c r="L814" s="74"/>
      <c r="M814" s="74"/>
      <c r="N814" s="74"/>
      <c r="O814" s="74"/>
      <c r="P814" s="74"/>
      <c r="Q814" s="74"/>
      <c r="R814" s="74"/>
      <c r="S814" s="74"/>
      <c r="T814" s="74"/>
      <c r="U814" s="74"/>
      <c r="V814" s="74"/>
      <c r="W814" s="74"/>
      <c r="X814" s="74"/>
      <c r="Y814" s="74"/>
      <c r="Z814" s="74"/>
      <c r="AA814" s="74"/>
      <c r="AB814" s="74"/>
    </row>
    <row r="815" spans="1:28" ht="12" customHeight="1">
      <c r="A815" s="565"/>
      <c r="B815" s="107"/>
      <c r="C815" s="107"/>
      <c r="D815" s="108"/>
      <c r="E815" s="104"/>
      <c r="F815" s="104"/>
      <c r="G815" s="35"/>
      <c r="H815" s="104"/>
      <c r="I815" s="140"/>
      <c r="J815" s="74"/>
      <c r="K815" s="74"/>
      <c r="L815" s="74"/>
      <c r="M815" s="74"/>
      <c r="N815" s="74"/>
      <c r="O815" s="74"/>
      <c r="P815" s="74"/>
      <c r="Q815" s="74"/>
      <c r="R815" s="74"/>
      <c r="S815" s="74"/>
      <c r="T815" s="74"/>
      <c r="U815" s="74"/>
      <c r="V815" s="74"/>
      <c r="W815" s="74"/>
      <c r="X815" s="74"/>
      <c r="Y815" s="74"/>
      <c r="Z815" s="74"/>
      <c r="AA815" s="74"/>
      <c r="AB815" s="74"/>
    </row>
    <row r="816" spans="1:28" ht="12" customHeight="1">
      <c r="A816" s="565"/>
      <c r="B816" s="107"/>
      <c r="C816" s="107"/>
      <c r="D816" s="108"/>
      <c r="E816" s="104"/>
      <c r="F816" s="104"/>
      <c r="G816" s="35"/>
      <c r="H816" s="104"/>
      <c r="I816" s="140"/>
      <c r="J816" s="74"/>
      <c r="K816" s="74"/>
      <c r="L816" s="74"/>
      <c r="M816" s="74"/>
      <c r="N816" s="74"/>
      <c r="O816" s="74"/>
      <c r="P816" s="74"/>
      <c r="Q816" s="74"/>
      <c r="R816" s="74"/>
      <c r="S816" s="74"/>
      <c r="T816" s="74"/>
      <c r="U816" s="74"/>
      <c r="V816" s="74"/>
      <c r="W816" s="74"/>
      <c r="X816" s="74"/>
      <c r="Y816" s="74"/>
      <c r="Z816" s="74"/>
      <c r="AA816" s="74"/>
      <c r="AB816" s="74"/>
    </row>
    <row r="817" spans="1:28" ht="12" customHeight="1">
      <c r="A817" s="565"/>
      <c r="B817" s="107"/>
      <c r="C817" s="107"/>
      <c r="D817" s="108"/>
      <c r="E817" s="104"/>
      <c r="F817" s="104"/>
      <c r="G817" s="35"/>
      <c r="H817" s="104"/>
      <c r="I817" s="140"/>
      <c r="J817" s="74"/>
      <c r="K817" s="74"/>
      <c r="L817" s="74"/>
      <c r="M817" s="74"/>
      <c r="N817" s="74"/>
      <c r="O817" s="74"/>
      <c r="P817" s="74"/>
      <c r="Q817" s="74"/>
      <c r="R817" s="74"/>
      <c r="S817" s="74"/>
      <c r="T817" s="74"/>
      <c r="U817" s="74"/>
      <c r="V817" s="74"/>
      <c r="W817" s="74"/>
      <c r="X817" s="74"/>
      <c r="Y817" s="74"/>
      <c r="Z817" s="74"/>
      <c r="AA817" s="74"/>
      <c r="AB817" s="74"/>
    </row>
    <row r="818" spans="1:28" ht="12" customHeight="1">
      <c r="A818" s="565"/>
      <c r="B818" s="107"/>
      <c r="C818" s="107"/>
      <c r="D818" s="108"/>
      <c r="E818" s="104"/>
      <c r="F818" s="104"/>
      <c r="G818" s="35"/>
      <c r="H818" s="104"/>
      <c r="I818" s="140"/>
      <c r="J818" s="74"/>
      <c r="K818" s="74"/>
      <c r="L818" s="74"/>
      <c r="M818" s="74"/>
      <c r="N818" s="74"/>
      <c r="O818" s="74"/>
      <c r="P818" s="74"/>
      <c r="Q818" s="74"/>
      <c r="R818" s="74"/>
      <c r="S818" s="74"/>
      <c r="T818" s="74"/>
      <c r="U818" s="74"/>
      <c r="V818" s="74"/>
      <c r="W818" s="74"/>
      <c r="X818" s="74"/>
      <c r="Y818" s="74"/>
      <c r="Z818" s="74"/>
      <c r="AA818" s="74"/>
      <c r="AB818" s="74"/>
    </row>
    <row r="819" spans="1:28" ht="12" customHeight="1">
      <c r="A819" s="565"/>
      <c r="B819" s="107"/>
      <c r="C819" s="107"/>
      <c r="D819" s="108"/>
      <c r="E819" s="104"/>
      <c r="F819" s="104"/>
      <c r="G819" s="35"/>
      <c r="H819" s="104"/>
      <c r="I819" s="140"/>
      <c r="J819" s="74"/>
      <c r="K819" s="74"/>
      <c r="L819" s="74"/>
      <c r="M819" s="74"/>
      <c r="N819" s="74"/>
      <c r="O819" s="74"/>
      <c r="P819" s="74"/>
      <c r="Q819" s="74"/>
      <c r="R819" s="74"/>
      <c r="S819" s="74"/>
      <c r="T819" s="74"/>
      <c r="U819" s="74"/>
      <c r="V819" s="74"/>
      <c r="W819" s="74"/>
      <c r="X819" s="74"/>
      <c r="Y819" s="74"/>
      <c r="Z819" s="74"/>
      <c r="AA819" s="74"/>
      <c r="AB819" s="74"/>
    </row>
    <row r="820" spans="1:28" ht="12" customHeight="1">
      <c r="A820" s="565"/>
      <c r="B820" s="107"/>
      <c r="C820" s="107"/>
      <c r="D820" s="108"/>
      <c r="E820" s="104"/>
      <c r="F820" s="104"/>
      <c r="G820" s="35"/>
      <c r="H820" s="104"/>
      <c r="I820" s="140"/>
      <c r="J820" s="74"/>
      <c r="K820" s="74"/>
      <c r="L820" s="74"/>
      <c r="M820" s="74"/>
      <c r="N820" s="74"/>
      <c r="O820" s="74"/>
      <c r="P820" s="74"/>
      <c r="Q820" s="74"/>
      <c r="R820" s="74"/>
      <c r="S820" s="74"/>
      <c r="T820" s="74"/>
      <c r="U820" s="74"/>
      <c r="V820" s="74"/>
      <c r="W820" s="74"/>
      <c r="X820" s="74"/>
      <c r="Y820" s="74"/>
      <c r="Z820" s="74"/>
      <c r="AA820" s="74"/>
      <c r="AB820" s="74"/>
    </row>
    <row r="821" spans="1:28" ht="12" customHeight="1">
      <c r="A821" s="565"/>
      <c r="B821" s="107"/>
      <c r="C821" s="107"/>
      <c r="D821" s="108"/>
      <c r="E821" s="104"/>
      <c r="F821" s="104"/>
      <c r="G821" s="35"/>
      <c r="H821" s="104"/>
      <c r="I821" s="140"/>
      <c r="J821" s="74"/>
      <c r="K821" s="74"/>
      <c r="L821" s="74"/>
      <c r="M821" s="74"/>
      <c r="N821" s="74"/>
      <c r="O821" s="74"/>
      <c r="P821" s="74"/>
      <c r="Q821" s="74"/>
      <c r="R821" s="74"/>
      <c r="S821" s="74"/>
      <c r="T821" s="74"/>
      <c r="U821" s="74"/>
      <c r="V821" s="74"/>
      <c r="W821" s="74"/>
      <c r="X821" s="74"/>
      <c r="Y821" s="74"/>
      <c r="Z821" s="74"/>
      <c r="AA821" s="74"/>
      <c r="AB821" s="74"/>
    </row>
    <row r="822" spans="1:28" ht="12" customHeight="1">
      <c r="A822" s="565"/>
      <c r="B822" s="107"/>
      <c r="C822" s="107"/>
      <c r="D822" s="108"/>
      <c r="E822" s="104"/>
      <c r="F822" s="104"/>
      <c r="G822" s="35"/>
      <c r="H822" s="104"/>
      <c r="I822" s="140"/>
      <c r="J822" s="74"/>
      <c r="K822" s="74"/>
      <c r="L822" s="74"/>
      <c r="M822" s="74"/>
      <c r="N822" s="74"/>
      <c r="O822" s="74"/>
      <c r="P822" s="74"/>
      <c r="Q822" s="74"/>
      <c r="R822" s="74"/>
      <c r="S822" s="74"/>
      <c r="T822" s="74"/>
      <c r="U822" s="74"/>
      <c r="V822" s="74"/>
      <c r="W822" s="74"/>
      <c r="X822" s="74"/>
      <c r="Y822" s="74"/>
      <c r="Z822" s="74"/>
      <c r="AA822" s="74"/>
      <c r="AB822" s="74"/>
    </row>
    <row r="823" spans="1:28" ht="12" customHeight="1">
      <c r="A823" s="565"/>
      <c r="B823" s="107"/>
      <c r="C823" s="107"/>
      <c r="D823" s="108"/>
      <c r="E823" s="104"/>
      <c r="F823" s="104"/>
      <c r="G823" s="35"/>
      <c r="H823" s="104"/>
      <c r="I823" s="140"/>
      <c r="J823" s="74"/>
      <c r="K823" s="74"/>
      <c r="L823" s="74"/>
      <c r="M823" s="74"/>
      <c r="N823" s="74"/>
      <c r="O823" s="74"/>
      <c r="P823" s="74"/>
      <c r="Q823" s="74"/>
      <c r="R823" s="74"/>
      <c r="S823" s="74"/>
      <c r="T823" s="74"/>
      <c r="U823" s="74"/>
      <c r="V823" s="74"/>
      <c r="W823" s="74"/>
      <c r="X823" s="74"/>
      <c r="Y823" s="74"/>
      <c r="Z823" s="74"/>
      <c r="AA823" s="74"/>
      <c r="AB823" s="74"/>
    </row>
    <row r="824" spans="1:28" ht="12" customHeight="1">
      <c r="A824" s="565"/>
      <c r="B824" s="107"/>
      <c r="C824" s="107"/>
      <c r="D824" s="108"/>
      <c r="E824" s="104"/>
      <c r="F824" s="104"/>
      <c r="G824" s="35"/>
      <c r="H824" s="104"/>
      <c r="I824" s="140"/>
      <c r="J824" s="74"/>
      <c r="K824" s="74"/>
      <c r="L824" s="74"/>
      <c r="M824" s="74"/>
      <c r="N824" s="74"/>
      <c r="O824" s="74"/>
      <c r="P824" s="74"/>
      <c r="Q824" s="74"/>
      <c r="R824" s="74"/>
      <c r="S824" s="74"/>
      <c r="T824" s="74"/>
      <c r="U824" s="74"/>
      <c r="V824" s="74"/>
      <c r="W824" s="74"/>
      <c r="X824" s="74"/>
      <c r="Y824" s="74"/>
      <c r="Z824" s="74"/>
      <c r="AA824" s="74"/>
      <c r="AB824" s="74"/>
    </row>
    <row r="825" spans="1:28" ht="12" customHeight="1">
      <c r="A825" s="565"/>
      <c r="B825" s="107"/>
      <c r="C825" s="107"/>
      <c r="D825" s="108"/>
      <c r="E825" s="104"/>
      <c r="F825" s="104"/>
      <c r="G825" s="35"/>
      <c r="H825" s="104"/>
      <c r="I825" s="140"/>
      <c r="J825" s="74"/>
      <c r="K825" s="74"/>
      <c r="L825" s="74"/>
      <c r="M825" s="74"/>
      <c r="N825" s="74"/>
      <c r="O825" s="74"/>
      <c r="P825" s="74"/>
      <c r="Q825" s="74"/>
      <c r="R825" s="74"/>
      <c r="S825" s="74"/>
      <c r="T825" s="74"/>
      <c r="U825" s="74"/>
      <c r="V825" s="74"/>
      <c r="W825" s="74"/>
      <c r="X825" s="74"/>
      <c r="Y825" s="74"/>
      <c r="Z825" s="74"/>
      <c r="AA825" s="74"/>
      <c r="AB825" s="74"/>
    </row>
    <row r="826" spans="1:28" ht="12" customHeight="1">
      <c r="A826" s="565"/>
      <c r="B826" s="107"/>
      <c r="C826" s="107"/>
      <c r="D826" s="108"/>
      <c r="E826" s="104"/>
      <c r="F826" s="104"/>
      <c r="G826" s="35"/>
      <c r="H826" s="104"/>
      <c r="I826" s="140"/>
      <c r="J826" s="74"/>
      <c r="K826" s="74"/>
      <c r="L826" s="74"/>
      <c r="M826" s="74"/>
      <c r="N826" s="74"/>
      <c r="O826" s="74"/>
      <c r="P826" s="74"/>
      <c r="Q826" s="74"/>
      <c r="R826" s="74"/>
      <c r="S826" s="74"/>
      <c r="T826" s="74"/>
      <c r="U826" s="74"/>
      <c r="V826" s="74"/>
      <c r="W826" s="74"/>
      <c r="X826" s="74"/>
      <c r="Y826" s="74"/>
      <c r="Z826" s="74"/>
      <c r="AA826" s="74"/>
      <c r="AB826" s="74"/>
    </row>
    <row r="827" spans="1:28" ht="12" customHeight="1">
      <c r="A827" s="565"/>
      <c r="B827" s="107"/>
      <c r="C827" s="107"/>
      <c r="D827" s="108"/>
      <c r="E827" s="104"/>
      <c r="F827" s="104"/>
      <c r="G827" s="35"/>
      <c r="H827" s="104"/>
      <c r="I827" s="140"/>
      <c r="J827" s="74"/>
      <c r="K827" s="74"/>
      <c r="L827" s="74"/>
      <c r="M827" s="74"/>
      <c r="N827" s="74"/>
      <c r="O827" s="74"/>
      <c r="P827" s="74"/>
      <c r="Q827" s="74"/>
      <c r="R827" s="74"/>
      <c r="S827" s="74"/>
      <c r="T827" s="74"/>
      <c r="U827" s="74"/>
      <c r="V827" s="74"/>
      <c r="W827" s="74"/>
      <c r="X827" s="74"/>
      <c r="Y827" s="74"/>
      <c r="Z827" s="74"/>
      <c r="AA827" s="74"/>
      <c r="AB827" s="74"/>
    </row>
    <row r="828" spans="1:28" ht="12" customHeight="1">
      <c r="A828" s="565"/>
      <c r="B828" s="107"/>
      <c r="C828" s="107"/>
      <c r="D828" s="108"/>
      <c r="E828" s="104"/>
      <c r="F828" s="104"/>
      <c r="G828" s="35"/>
      <c r="H828" s="104"/>
      <c r="I828" s="140"/>
      <c r="J828" s="74"/>
      <c r="K828" s="74"/>
      <c r="L828" s="74"/>
      <c r="M828" s="74"/>
      <c r="N828" s="74"/>
      <c r="O828" s="74"/>
      <c r="P828" s="74"/>
      <c r="Q828" s="74"/>
      <c r="R828" s="74"/>
      <c r="S828" s="74"/>
      <c r="T828" s="74"/>
      <c r="U828" s="74"/>
      <c r="V828" s="74"/>
      <c r="W828" s="74"/>
      <c r="X828" s="74"/>
      <c r="Y828" s="74"/>
      <c r="Z828" s="74"/>
      <c r="AA828" s="74"/>
      <c r="AB828" s="74"/>
    </row>
    <row r="829" spans="1:28" ht="12" customHeight="1">
      <c r="A829" s="565"/>
      <c r="B829" s="107"/>
      <c r="C829" s="107"/>
      <c r="D829" s="108"/>
      <c r="E829" s="104"/>
      <c r="F829" s="104"/>
      <c r="G829" s="35"/>
      <c r="H829" s="104"/>
      <c r="I829" s="140"/>
      <c r="J829" s="74"/>
      <c r="K829" s="74"/>
      <c r="L829" s="74"/>
      <c r="M829" s="74"/>
      <c r="N829" s="74"/>
      <c r="O829" s="74"/>
      <c r="P829" s="74"/>
      <c r="Q829" s="74"/>
      <c r="R829" s="74"/>
      <c r="S829" s="74"/>
      <c r="T829" s="74"/>
      <c r="U829" s="74"/>
      <c r="V829" s="74"/>
      <c r="W829" s="74"/>
      <c r="X829" s="74"/>
      <c r="Y829" s="74"/>
      <c r="Z829" s="74"/>
      <c r="AA829" s="74"/>
      <c r="AB829" s="74"/>
    </row>
    <row r="830" spans="1:28" ht="12" customHeight="1">
      <c r="A830" s="565"/>
      <c r="B830" s="107"/>
      <c r="C830" s="107"/>
      <c r="D830" s="108"/>
      <c r="E830" s="104"/>
      <c r="F830" s="104"/>
      <c r="G830" s="35"/>
      <c r="H830" s="104"/>
      <c r="I830" s="140"/>
      <c r="J830" s="74"/>
      <c r="K830" s="74"/>
      <c r="L830" s="74"/>
      <c r="M830" s="74"/>
      <c r="N830" s="74"/>
      <c r="O830" s="74"/>
      <c r="P830" s="74"/>
      <c r="Q830" s="74"/>
      <c r="R830" s="74"/>
      <c r="S830" s="74"/>
      <c r="T830" s="74"/>
      <c r="U830" s="74"/>
      <c r="V830" s="74"/>
      <c r="W830" s="74"/>
      <c r="X830" s="74"/>
      <c r="Y830" s="74"/>
      <c r="Z830" s="74"/>
      <c r="AA830" s="74"/>
      <c r="AB830" s="74"/>
    </row>
    <row r="831" spans="1:28" ht="12" customHeight="1">
      <c r="A831" s="565"/>
      <c r="B831" s="107"/>
      <c r="C831" s="107"/>
      <c r="D831" s="108"/>
      <c r="E831" s="104"/>
      <c r="F831" s="104"/>
      <c r="G831" s="35"/>
      <c r="H831" s="104"/>
      <c r="I831" s="140"/>
      <c r="J831" s="74"/>
      <c r="K831" s="74"/>
      <c r="L831" s="74"/>
      <c r="M831" s="74"/>
      <c r="N831" s="74"/>
      <c r="O831" s="74"/>
      <c r="P831" s="74"/>
      <c r="Q831" s="74"/>
      <c r="R831" s="74"/>
      <c r="S831" s="74"/>
      <c r="T831" s="74"/>
      <c r="U831" s="74"/>
      <c r="V831" s="74"/>
      <c r="W831" s="74"/>
      <c r="X831" s="74"/>
      <c r="Y831" s="74"/>
      <c r="Z831" s="74"/>
      <c r="AA831" s="74"/>
      <c r="AB831" s="74"/>
    </row>
    <row r="832" spans="1:28" ht="12" customHeight="1">
      <c r="A832" s="565"/>
      <c r="B832" s="107"/>
      <c r="C832" s="107"/>
      <c r="D832" s="108"/>
      <c r="E832" s="104"/>
      <c r="F832" s="104"/>
      <c r="G832" s="35"/>
      <c r="H832" s="104"/>
      <c r="I832" s="140"/>
      <c r="J832" s="74"/>
      <c r="K832" s="74"/>
      <c r="L832" s="74"/>
      <c r="M832" s="74"/>
      <c r="N832" s="74"/>
      <c r="O832" s="74"/>
      <c r="P832" s="74"/>
      <c r="Q832" s="74"/>
      <c r="R832" s="74"/>
      <c r="S832" s="74"/>
      <c r="T832" s="74"/>
      <c r="U832" s="74"/>
      <c r="V832" s="74"/>
      <c r="W832" s="74"/>
      <c r="X832" s="74"/>
      <c r="Y832" s="74"/>
      <c r="Z832" s="74"/>
      <c r="AA832" s="74"/>
      <c r="AB832" s="74"/>
    </row>
    <row r="833" spans="1:28" ht="12" customHeight="1">
      <c r="A833" s="565"/>
      <c r="B833" s="107"/>
      <c r="C833" s="107"/>
      <c r="D833" s="108"/>
      <c r="E833" s="104"/>
      <c r="F833" s="104"/>
      <c r="G833" s="35"/>
      <c r="H833" s="104"/>
      <c r="I833" s="140"/>
      <c r="J833" s="74"/>
      <c r="K833" s="74"/>
      <c r="L833" s="74"/>
      <c r="M833" s="74"/>
      <c r="N833" s="74"/>
      <c r="O833" s="74"/>
      <c r="P833" s="74"/>
      <c r="Q833" s="74"/>
      <c r="R833" s="74"/>
      <c r="S833" s="74"/>
      <c r="T833" s="74"/>
      <c r="U833" s="74"/>
      <c r="V833" s="74"/>
      <c r="W833" s="74"/>
      <c r="X833" s="74"/>
      <c r="Y833" s="74"/>
      <c r="Z833" s="74"/>
      <c r="AA833" s="74"/>
      <c r="AB833" s="74"/>
    </row>
    <row r="834" spans="1:28" ht="12" customHeight="1">
      <c r="A834" s="565"/>
      <c r="B834" s="107"/>
      <c r="C834" s="107"/>
      <c r="D834" s="108"/>
      <c r="E834" s="104"/>
      <c r="F834" s="104"/>
      <c r="G834" s="35"/>
      <c r="H834" s="104"/>
      <c r="I834" s="140"/>
      <c r="J834" s="74"/>
      <c r="K834" s="74"/>
      <c r="L834" s="74"/>
      <c r="M834" s="74"/>
      <c r="N834" s="74"/>
      <c r="O834" s="74"/>
      <c r="P834" s="74"/>
      <c r="Q834" s="74"/>
      <c r="R834" s="74"/>
      <c r="S834" s="74"/>
      <c r="T834" s="74"/>
      <c r="U834" s="74"/>
      <c r="V834" s="74"/>
      <c r="W834" s="74"/>
      <c r="X834" s="74"/>
      <c r="Y834" s="74"/>
      <c r="Z834" s="74"/>
      <c r="AA834" s="74"/>
      <c r="AB834" s="74"/>
    </row>
    <row r="835" spans="1:28" ht="12" customHeight="1">
      <c r="A835" s="565"/>
      <c r="B835" s="107"/>
      <c r="C835" s="107"/>
      <c r="D835" s="108"/>
      <c r="E835" s="104"/>
      <c r="F835" s="104"/>
      <c r="G835" s="35"/>
      <c r="H835" s="104"/>
      <c r="I835" s="140"/>
      <c r="J835" s="74"/>
      <c r="K835" s="74"/>
      <c r="L835" s="74"/>
      <c r="M835" s="74"/>
      <c r="N835" s="74"/>
      <c r="O835" s="74"/>
      <c r="P835" s="74"/>
      <c r="Q835" s="74"/>
      <c r="R835" s="74"/>
      <c r="S835" s="74"/>
      <c r="T835" s="74"/>
      <c r="U835" s="74"/>
      <c r="V835" s="74"/>
      <c r="W835" s="74"/>
      <c r="X835" s="74"/>
      <c r="Y835" s="74"/>
      <c r="Z835" s="74"/>
      <c r="AA835" s="74"/>
      <c r="AB835" s="74"/>
    </row>
    <row r="836" spans="1:28" ht="12" customHeight="1">
      <c r="A836" s="565"/>
      <c r="B836" s="107"/>
      <c r="C836" s="107"/>
      <c r="D836" s="108"/>
      <c r="E836" s="104"/>
      <c r="F836" s="104"/>
      <c r="G836" s="35"/>
      <c r="H836" s="104"/>
      <c r="I836" s="140"/>
      <c r="J836" s="74"/>
      <c r="K836" s="74"/>
      <c r="L836" s="74"/>
      <c r="M836" s="74"/>
      <c r="N836" s="74"/>
      <c r="O836" s="74"/>
      <c r="P836" s="74"/>
      <c r="Q836" s="74"/>
      <c r="R836" s="74"/>
      <c r="S836" s="74"/>
      <c r="T836" s="74"/>
      <c r="U836" s="74"/>
      <c r="V836" s="74"/>
      <c r="W836" s="74"/>
      <c r="X836" s="74"/>
      <c r="Y836" s="74"/>
      <c r="Z836" s="74"/>
      <c r="AA836" s="74"/>
      <c r="AB836" s="74"/>
    </row>
    <row r="837" spans="1:28" ht="12" customHeight="1">
      <c r="A837" s="565"/>
      <c r="B837" s="107"/>
      <c r="C837" s="107"/>
      <c r="D837" s="108"/>
      <c r="E837" s="104"/>
      <c r="F837" s="104"/>
      <c r="G837" s="35"/>
      <c r="H837" s="104"/>
      <c r="I837" s="140"/>
      <c r="J837" s="74"/>
      <c r="K837" s="74"/>
      <c r="L837" s="74"/>
      <c r="M837" s="74"/>
      <c r="N837" s="74"/>
      <c r="O837" s="74"/>
      <c r="P837" s="74"/>
      <c r="Q837" s="74"/>
      <c r="R837" s="74"/>
      <c r="S837" s="74"/>
      <c r="T837" s="74"/>
      <c r="U837" s="74"/>
      <c r="V837" s="74"/>
      <c r="W837" s="74"/>
      <c r="X837" s="74"/>
      <c r="Y837" s="74"/>
      <c r="Z837" s="74"/>
      <c r="AA837" s="74"/>
      <c r="AB837" s="74"/>
    </row>
    <row r="838" spans="1:28" ht="12" customHeight="1">
      <c r="A838" s="565"/>
      <c r="B838" s="107"/>
      <c r="C838" s="107"/>
      <c r="D838" s="108"/>
      <c r="E838" s="104"/>
      <c r="F838" s="104"/>
      <c r="G838" s="35"/>
      <c r="H838" s="104"/>
      <c r="I838" s="140"/>
      <c r="J838" s="74"/>
      <c r="K838" s="74"/>
      <c r="L838" s="74"/>
      <c r="M838" s="74"/>
      <c r="N838" s="74"/>
      <c r="O838" s="74"/>
      <c r="P838" s="74"/>
      <c r="Q838" s="74"/>
      <c r="R838" s="74"/>
      <c r="S838" s="74"/>
      <c r="T838" s="74"/>
      <c r="U838" s="74"/>
      <c r="V838" s="74"/>
      <c r="W838" s="74"/>
      <c r="X838" s="74"/>
      <c r="Y838" s="74"/>
      <c r="Z838" s="74"/>
      <c r="AA838" s="74"/>
      <c r="AB838" s="74"/>
    </row>
    <row r="839" spans="1:28" ht="12" customHeight="1">
      <c r="A839" s="565"/>
      <c r="B839" s="107"/>
      <c r="C839" s="107"/>
      <c r="D839" s="108"/>
      <c r="E839" s="104"/>
      <c r="F839" s="104"/>
      <c r="G839" s="35"/>
      <c r="H839" s="104"/>
      <c r="I839" s="140"/>
      <c r="J839" s="74"/>
      <c r="K839" s="74"/>
      <c r="L839" s="74"/>
      <c r="M839" s="74"/>
      <c r="N839" s="74"/>
      <c r="O839" s="74"/>
      <c r="P839" s="74"/>
      <c r="Q839" s="74"/>
      <c r="R839" s="74"/>
      <c r="S839" s="74"/>
      <c r="T839" s="74"/>
      <c r="U839" s="74"/>
      <c r="V839" s="74"/>
      <c r="W839" s="74"/>
      <c r="X839" s="74"/>
      <c r="Y839" s="74"/>
      <c r="Z839" s="74"/>
      <c r="AA839" s="74"/>
      <c r="AB839" s="74"/>
    </row>
    <row r="840" spans="1:28" ht="12" customHeight="1">
      <c r="A840" s="565"/>
      <c r="B840" s="107"/>
      <c r="C840" s="107"/>
      <c r="D840" s="108"/>
      <c r="E840" s="104"/>
      <c r="F840" s="104"/>
      <c r="G840" s="35"/>
      <c r="H840" s="104"/>
      <c r="I840" s="140"/>
      <c r="J840" s="74"/>
      <c r="K840" s="74"/>
      <c r="L840" s="74"/>
      <c r="M840" s="74"/>
      <c r="N840" s="74"/>
      <c r="O840" s="74"/>
      <c r="P840" s="74"/>
      <c r="Q840" s="74"/>
      <c r="R840" s="74"/>
      <c r="S840" s="74"/>
      <c r="T840" s="74"/>
      <c r="U840" s="74"/>
      <c r="V840" s="74"/>
      <c r="W840" s="74"/>
      <c r="X840" s="74"/>
      <c r="Y840" s="74"/>
      <c r="Z840" s="74"/>
      <c r="AA840" s="74"/>
      <c r="AB840" s="74"/>
    </row>
    <row r="841" spans="1:28" ht="12" customHeight="1">
      <c r="A841" s="565"/>
      <c r="B841" s="107"/>
      <c r="C841" s="107"/>
      <c r="D841" s="108"/>
      <c r="E841" s="104"/>
      <c r="F841" s="104"/>
      <c r="G841" s="35"/>
      <c r="H841" s="104"/>
      <c r="I841" s="140"/>
      <c r="J841" s="74"/>
      <c r="K841" s="74"/>
      <c r="L841" s="74"/>
      <c r="M841" s="74"/>
      <c r="N841" s="74"/>
      <c r="O841" s="74"/>
      <c r="P841" s="74"/>
      <c r="Q841" s="74"/>
      <c r="R841" s="74"/>
      <c r="S841" s="74"/>
      <c r="T841" s="74"/>
      <c r="U841" s="74"/>
      <c r="V841" s="74"/>
      <c r="W841" s="74"/>
      <c r="X841" s="74"/>
      <c r="Y841" s="74"/>
      <c r="Z841" s="74"/>
      <c r="AA841" s="74"/>
      <c r="AB841" s="74"/>
    </row>
    <row r="842" spans="1:28" ht="12" customHeight="1">
      <c r="A842" s="565"/>
      <c r="B842" s="107"/>
      <c r="C842" s="107"/>
      <c r="D842" s="108"/>
      <c r="E842" s="104"/>
      <c r="F842" s="104"/>
      <c r="G842" s="35"/>
      <c r="H842" s="104"/>
      <c r="I842" s="140"/>
      <c r="J842" s="74"/>
      <c r="K842" s="74"/>
      <c r="L842" s="74"/>
      <c r="M842" s="74"/>
      <c r="N842" s="74"/>
      <c r="O842" s="74"/>
      <c r="P842" s="74"/>
      <c r="Q842" s="74"/>
      <c r="R842" s="74"/>
      <c r="S842" s="74"/>
      <c r="T842" s="74"/>
      <c r="U842" s="74"/>
      <c r="V842" s="74"/>
      <c r="W842" s="74"/>
      <c r="X842" s="74"/>
      <c r="Y842" s="74"/>
      <c r="Z842" s="74"/>
      <c r="AA842" s="74"/>
      <c r="AB842" s="74"/>
    </row>
    <row r="843" spans="1:28" ht="12" customHeight="1">
      <c r="A843" s="565"/>
      <c r="B843" s="107"/>
      <c r="C843" s="107"/>
      <c r="D843" s="108"/>
      <c r="E843" s="104"/>
      <c r="F843" s="104"/>
      <c r="G843" s="35"/>
      <c r="H843" s="104"/>
      <c r="I843" s="140"/>
      <c r="J843" s="74"/>
      <c r="K843" s="74"/>
      <c r="L843" s="74"/>
      <c r="M843" s="74"/>
      <c r="N843" s="74"/>
      <c r="O843" s="74"/>
      <c r="P843" s="74"/>
      <c r="Q843" s="74"/>
      <c r="R843" s="74"/>
      <c r="S843" s="74"/>
      <c r="T843" s="74"/>
      <c r="U843" s="74"/>
      <c r="V843" s="74"/>
      <c r="W843" s="74"/>
      <c r="X843" s="74"/>
      <c r="Y843" s="74"/>
      <c r="Z843" s="74"/>
      <c r="AA843" s="74"/>
      <c r="AB843" s="74"/>
    </row>
    <row r="844" spans="1:28" ht="12" customHeight="1">
      <c r="A844" s="565"/>
      <c r="B844" s="107"/>
      <c r="C844" s="107"/>
      <c r="D844" s="108"/>
      <c r="E844" s="104"/>
      <c r="F844" s="104"/>
      <c r="G844" s="35"/>
      <c r="H844" s="104"/>
      <c r="I844" s="140"/>
      <c r="J844" s="74"/>
      <c r="K844" s="74"/>
      <c r="L844" s="74"/>
      <c r="M844" s="74"/>
      <c r="N844" s="74"/>
      <c r="O844" s="74"/>
      <c r="P844" s="74"/>
      <c r="Q844" s="74"/>
      <c r="R844" s="74"/>
      <c r="S844" s="74"/>
      <c r="T844" s="74"/>
      <c r="U844" s="74"/>
      <c r="V844" s="74"/>
      <c r="W844" s="74"/>
      <c r="X844" s="74"/>
      <c r="Y844" s="74"/>
      <c r="Z844" s="74"/>
      <c r="AA844" s="74"/>
      <c r="AB844" s="74"/>
    </row>
    <row r="845" spans="1:28" ht="12" customHeight="1">
      <c r="A845" s="565"/>
      <c r="B845" s="107"/>
      <c r="C845" s="107"/>
      <c r="D845" s="108"/>
      <c r="E845" s="104"/>
      <c r="F845" s="104"/>
      <c r="G845" s="35"/>
      <c r="H845" s="104"/>
      <c r="I845" s="140"/>
      <c r="J845" s="74"/>
      <c r="K845" s="74"/>
      <c r="L845" s="74"/>
      <c r="M845" s="74"/>
      <c r="N845" s="74"/>
      <c r="O845" s="74"/>
      <c r="P845" s="74"/>
      <c r="Q845" s="74"/>
      <c r="R845" s="74"/>
      <c r="S845" s="74"/>
      <c r="T845" s="74"/>
      <c r="U845" s="74"/>
      <c r="V845" s="74"/>
      <c r="W845" s="74"/>
      <c r="X845" s="74"/>
      <c r="Y845" s="74"/>
      <c r="Z845" s="74"/>
      <c r="AA845" s="74"/>
      <c r="AB845" s="74"/>
    </row>
    <row r="846" spans="1:28" ht="12" customHeight="1">
      <c r="A846" s="565"/>
      <c r="B846" s="107"/>
      <c r="C846" s="107"/>
      <c r="D846" s="108"/>
      <c r="E846" s="104"/>
      <c r="F846" s="104"/>
      <c r="G846" s="35"/>
      <c r="H846" s="104"/>
      <c r="I846" s="140"/>
      <c r="J846" s="74"/>
      <c r="K846" s="74"/>
      <c r="L846" s="74"/>
      <c r="M846" s="74"/>
      <c r="N846" s="74"/>
      <c r="O846" s="74"/>
      <c r="P846" s="74"/>
      <c r="Q846" s="74"/>
      <c r="R846" s="74"/>
      <c r="S846" s="74"/>
      <c r="T846" s="74"/>
      <c r="U846" s="74"/>
      <c r="V846" s="74"/>
      <c r="W846" s="74"/>
      <c r="X846" s="74"/>
      <c r="Y846" s="74"/>
      <c r="Z846" s="74"/>
      <c r="AA846" s="74"/>
      <c r="AB846" s="74"/>
    </row>
    <row r="847" spans="1:28" ht="12" customHeight="1">
      <c r="A847" s="565"/>
      <c r="B847" s="107"/>
      <c r="C847" s="107"/>
      <c r="D847" s="108"/>
      <c r="E847" s="104"/>
      <c r="F847" s="104"/>
      <c r="G847" s="35"/>
      <c r="H847" s="104"/>
      <c r="I847" s="140"/>
      <c r="J847" s="74"/>
      <c r="K847" s="74"/>
      <c r="L847" s="74"/>
      <c r="M847" s="74"/>
      <c r="N847" s="74"/>
      <c r="O847" s="74"/>
      <c r="P847" s="74"/>
      <c r="Q847" s="74"/>
      <c r="R847" s="74"/>
      <c r="S847" s="74"/>
      <c r="T847" s="74"/>
      <c r="U847" s="74"/>
      <c r="V847" s="74"/>
      <c r="W847" s="74"/>
      <c r="X847" s="74"/>
      <c r="Y847" s="74"/>
      <c r="Z847" s="74"/>
      <c r="AA847" s="74"/>
      <c r="AB847" s="74"/>
    </row>
    <row r="848" spans="1:28" ht="12" customHeight="1">
      <c r="A848" s="565"/>
      <c r="B848" s="107"/>
      <c r="C848" s="107"/>
      <c r="D848" s="108"/>
      <c r="E848" s="104"/>
      <c r="F848" s="104"/>
      <c r="G848" s="35"/>
      <c r="H848" s="104"/>
      <c r="I848" s="140"/>
      <c r="J848" s="74"/>
      <c r="K848" s="74"/>
      <c r="L848" s="74"/>
      <c r="M848" s="74"/>
      <c r="N848" s="74"/>
      <c r="O848" s="74"/>
      <c r="P848" s="74"/>
      <c r="Q848" s="74"/>
      <c r="R848" s="74"/>
      <c r="S848" s="74"/>
      <c r="T848" s="74"/>
      <c r="U848" s="74"/>
      <c r="V848" s="74"/>
      <c r="W848" s="74"/>
      <c r="X848" s="74"/>
      <c r="Y848" s="74"/>
      <c r="Z848" s="74"/>
      <c r="AA848" s="74"/>
      <c r="AB848" s="74"/>
    </row>
    <row r="849" spans="1:28" ht="12" customHeight="1">
      <c r="A849" s="565"/>
      <c r="B849" s="107"/>
      <c r="C849" s="107"/>
      <c r="D849" s="108"/>
      <c r="E849" s="104"/>
      <c r="F849" s="104"/>
      <c r="G849" s="35"/>
      <c r="H849" s="104"/>
      <c r="I849" s="140"/>
      <c r="J849" s="74"/>
      <c r="K849" s="74"/>
      <c r="L849" s="74"/>
      <c r="M849" s="74"/>
      <c r="N849" s="74"/>
      <c r="O849" s="74"/>
      <c r="P849" s="74"/>
      <c r="Q849" s="74"/>
      <c r="R849" s="74"/>
      <c r="S849" s="74"/>
      <c r="T849" s="74"/>
      <c r="U849" s="74"/>
      <c r="V849" s="74"/>
      <c r="W849" s="74"/>
      <c r="X849" s="74"/>
      <c r="Y849" s="74"/>
      <c r="Z849" s="74"/>
      <c r="AA849" s="74"/>
      <c r="AB849" s="74"/>
    </row>
    <row r="850" spans="1:28" ht="12" customHeight="1">
      <c r="A850" s="565"/>
      <c r="B850" s="107"/>
      <c r="C850" s="107"/>
      <c r="D850" s="108"/>
      <c r="E850" s="104"/>
      <c r="F850" s="104"/>
      <c r="G850" s="35"/>
      <c r="H850" s="104"/>
      <c r="I850" s="140"/>
      <c r="J850" s="74"/>
      <c r="K850" s="74"/>
      <c r="L850" s="74"/>
      <c r="M850" s="74"/>
      <c r="N850" s="74"/>
      <c r="O850" s="74"/>
      <c r="P850" s="74"/>
      <c r="Q850" s="74"/>
      <c r="R850" s="74"/>
      <c r="S850" s="74"/>
      <c r="T850" s="74"/>
      <c r="U850" s="74"/>
      <c r="V850" s="74"/>
      <c r="W850" s="74"/>
      <c r="X850" s="74"/>
      <c r="Y850" s="74"/>
      <c r="Z850" s="74"/>
      <c r="AA850" s="74"/>
      <c r="AB850" s="74"/>
    </row>
    <row r="851" spans="1:28" ht="12" customHeight="1">
      <c r="A851" s="565"/>
      <c r="B851" s="107"/>
      <c r="C851" s="107"/>
      <c r="D851" s="108"/>
      <c r="E851" s="104"/>
      <c r="F851" s="104"/>
      <c r="G851" s="35"/>
      <c r="H851" s="104"/>
      <c r="I851" s="140"/>
      <c r="J851" s="74"/>
      <c r="K851" s="74"/>
      <c r="L851" s="74"/>
      <c r="M851" s="74"/>
      <c r="N851" s="74"/>
      <c r="O851" s="74"/>
      <c r="P851" s="74"/>
      <c r="Q851" s="74"/>
      <c r="R851" s="74"/>
      <c r="S851" s="74"/>
      <c r="T851" s="74"/>
      <c r="U851" s="74"/>
      <c r="V851" s="74"/>
      <c r="W851" s="74"/>
      <c r="X851" s="74"/>
      <c r="Y851" s="74"/>
      <c r="Z851" s="74"/>
      <c r="AA851" s="74"/>
      <c r="AB851" s="74"/>
    </row>
    <row r="852" spans="1:28" ht="12" customHeight="1">
      <c r="A852" s="565"/>
      <c r="B852" s="107"/>
      <c r="C852" s="107"/>
      <c r="D852" s="108"/>
      <c r="E852" s="104"/>
      <c r="F852" s="104"/>
      <c r="G852" s="35"/>
      <c r="H852" s="104"/>
      <c r="I852" s="140"/>
      <c r="J852" s="74"/>
      <c r="K852" s="74"/>
      <c r="L852" s="74"/>
      <c r="M852" s="74"/>
      <c r="N852" s="74"/>
      <c r="O852" s="74"/>
      <c r="P852" s="74"/>
      <c r="Q852" s="74"/>
      <c r="R852" s="74"/>
      <c r="S852" s="74"/>
      <c r="T852" s="74"/>
      <c r="U852" s="74"/>
      <c r="V852" s="74"/>
      <c r="W852" s="74"/>
      <c r="X852" s="74"/>
      <c r="Y852" s="74"/>
      <c r="Z852" s="74"/>
      <c r="AA852" s="74"/>
      <c r="AB852" s="74"/>
    </row>
    <row r="853" spans="1:28" ht="12" customHeight="1">
      <c r="A853" s="565"/>
      <c r="B853" s="107"/>
      <c r="C853" s="107"/>
      <c r="D853" s="108"/>
      <c r="E853" s="104"/>
      <c r="F853" s="104"/>
      <c r="G853" s="35"/>
      <c r="H853" s="104"/>
      <c r="I853" s="140"/>
      <c r="J853" s="74"/>
      <c r="K853" s="74"/>
      <c r="L853" s="74"/>
      <c r="M853" s="74"/>
      <c r="N853" s="74"/>
      <c r="O853" s="74"/>
      <c r="P853" s="74"/>
      <c r="Q853" s="74"/>
      <c r="R853" s="74"/>
      <c r="S853" s="74"/>
      <c r="T853" s="74"/>
      <c r="U853" s="74"/>
      <c r="V853" s="74"/>
      <c r="W853" s="74"/>
      <c r="X853" s="74"/>
      <c r="Y853" s="74"/>
      <c r="Z853" s="74"/>
      <c r="AA853" s="74"/>
      <c r="AB853" s="74"/>
    </row>
    <row r="854" spans="1:28" ht="12" customHeight="1">
      <c r="A854" s="565"/>
      <c r="B854" s="107"/>
      <c r="C854" s="107"/>
      <c r="D854" s="108"/>
      <c r="E854" s="104"/>
      <c r="F854" s="104"/>
      <c r="G854" s="35"/>
      <c r="H854" s="104"/>
      <c r="I854" s="140"/>
      <c r="J854" s="74"/>
      <c r="K854" s="74"/>
      <c r="L854" s="74"/>
      <c r="M854" s="74"/>
      <c r="N854" s="74"/>
      <c r="O854" s="74"/>
      <c r="P854" s="74"/>
      <c r="Q854" s="74"/>
      <c r="R854" s="74"/>
      <c r="S854" s="74"/>
      <c r="T854" s="74"/>
      <c r="U854" s="74"/>
      <c r="V854" s="74"/>
      <c r="W854" s="74"/>
      <c r="X854" s="74"/>
      <c r="Y854" s="74"/>
      <c r="Z854" s="74"/>
      <c r="AA854" s="74"/>
      <c r="AB854" s="74"/>
    </row>
    <row r="855" spans="1:28" ht="12" customHeight="1">
      <c r="A855" s="565"/>
      <c r="B855" s="107"/>
      <c r="C855" s="107"/>
      <c r="D855" s="108"/>
      <c r="E855" s="104"/>
      <c r="F855" s="104"/>
      <c r="G855" s="35"/>
      <c r="H855" s="104"/>
      <c r="I855" s="140"/>
      <c r="J855" s="74"/>
      <c r="K855" s="74"/>
      <c r="L855" s="74"/>
      <c r="M855" s="74"/>
      <c r="N855" s="74"/>
      <c r="O855" s="74"/>
      <c r="P855" s="74"/>
      <c r="Q855" s="74"/>
      <c r="R855" s="74"/>
      <c r="S855" s="74"/>
      <c r="T855" s="74"/>
      <c r="U855" s="74"/>
      <c r="V855" s="74"/>
      <c r="W855" s="74"/>
      <c r="X855" s="74"/>
      <c r="Y855" s="74"/>
      <c r="Z855" s="74"/>
      <c r="AA855" s="74"/>
      <c r="AB855" s="74"/>
    </row>
    <row r="856" spans="1:28" ht="12" customHeight="1">
      <c r="A856" s="565"/>
      <c r="B856" s="107"/>
      <c r="C856" s="107"/>
      <c r="D856" s="108"/>
      <c r="E856" s="104"/>
      <c r="F856" s="104"/>
      <c r="G856" s="35"/>
      <c r="H856" s="104"/>
      <c r="I856" s="140"/>
      <c r="J856" s="74"/>
      <c r="K856" s="74"/>
      <c r="L856" s="74"/>
      <c r="M856" s="74"/>
      <c r="N856" s="74"/>
      <c r="O856" s="74"/>
      <c r="P856" s="74"/>
      <c r="Q856" s="74"/>
      <c r="R856" s="74"/>
      <c r="S856" s="74"/>
      <c r="T856" s="74"/>
      <c r="U856" s="74"/>
      <c r="V856" s="74"/>
      <c r="W856" s="74"/>
      <c r="X856" s="74"/>
      <c r="Y856" s="74"/>
      <c r="Z856" s="74"/>
      <c r="AA856" s="74"/>
      <c r="AB856" s="74"/>
    </row>
    <row r="857" spans="1:28" ht="12" customHeight="1">
      <c r="A857" s="565"/>
      <c r="B857" s="107"/>
      <c r="C857" s="107"/>
      <c r="D857" s="108"/>
      <c r="E857" s="104"/>
      <c r="F857" s="104"/>
      <c r="G857" s="35"/>
      <c r="H857" s="104"/>
      <c r="I857" s="140"/>
      <c r="J857" s="74"/>
      <c r="K857" s="74"/>
      <c r="L857" s="74"/>
      <c r="M857" s="74"/>
      <c r="N857" s="74"/>
      <c r="O857" s="74"/>
      <c r="P857" s="74"/>
      <c r="Q857" s="74"/>
      <c r="R857" s="74"/>
      <c r="S857" s="74"/>
      <c r="T857" s="74"/>
      <c r="U857" s="74"/>
      <c r="V857" s="74"/>
      <c r="W857" s="74"/>
      <c r="X857" s="74"/>
      <c r="Y857" s="74"/>
      <c r="Z857" s="74"/>
      <c r="AA857" s="74"/>
      <c r="AB857" s="74"/>
    </row>
    <row r="858" spans="1:28" ht="12" customHeight="1">
      <c r="A858" s="565"/>
      <c r="B858" s="107"/>
      <c r="C858" s="107"/>
      <c r="D858" s="108"/>
      <c r="E858" s="104"/>
      <c r="F858" s="104"/>
      <c r="G858" s="35"/>
      <c r="H858" s="104"/>
      <c r="I858" s="140"/>
      <c r="J858" s="74"/>
      <c r="K858" s="74"/>
      <c r="L858" s="74"/>
      <c r="M858" s="74"/>
      <c r="N858" s="74"/>
      <c r="O858" s="74"/>
      <c r="P858" s="74"/>
      <c r="Q858" s="74"/>
      <c r="R858" s="74"/>
      <c r="S858" s="74"/>
      <c r="T858" s="74"/>
      <c r="U858" s="74"/>
      <c r="V858" s="74"/>
      <c r="W858" s="74"/>
      <c r="X858" s="74"/>
      <c r="Y858" s="74"/>
      <c r="Z858" s="74"/>
      <c r="AA858" s="74"/>
      <c r="AB858" s="74"/>
    </row>
    <row r="859" spans="1:28" ht="12" customHeight="1">
      <c r="A859" s="565"/>
      <c r="B859" s="107"/>
      <c r="C859" s="107"/>
      <c r="D859" s="108"/>
      <c r="E859" s="104"/>
      <c r="F859" s="104"/>
      <c r="G859" s="35"/>
      <c r="H859" s="104"/>
      <c r="I859" s="140"/>
      <c r="J859" s="74"/>
      <c r="K859" s="74"/>
      <c r="L859" s="74"/>
      <c r="M859" s="74"/>
      <c r="N859" s="74"/>
      <c r="O859" s="74"/>
      <c r="P859" s="74"/>
      <c r="Q859" s="74"/>
      <c r="R859" s="74"/>
      <c r="S859" s="74"/>
      <c r="T859" s="74"/>
      <c r="U859" s="74"/>
      <c r="V859" s="74"/>
      <c r="W859" s="74"/>
      <c r="X859" s="74"/>
      <c r="Y859" s="74"/>
      <c r="Z859" s="74"/>
      <c r="AA859" s="74"/>
      <c r="AB859" s="74"/>
    </row>
    <row r="860" spans="1:28" ht="12" customHeight="1">
      <c r="A860" s="565"/>
      <c r="B860" s="107"/>
      <c r="C860" s="107"/>
      <c r="D860" s="108"/>
      <c r="E860" s="104"/>
      <c r="F860" s="104"/>
      <c r="G860" s="35"/>
      <c r="H860" s="104"/>
      <c r="I860" s="140"/>
      <c r="J860" s="74"/>
      <c r="K860" s="74"/>
      <c r="L860" s="74"/>
      <c r="M860" s="74"/>
      <c r="N860" s="74"/>
      <c r="O860" s="74"/>
      <c r="P860" s="74"/>
      <c r="Q860" s="74"/>
      <c r="R860" s="74"/>
      <c r="S860" s="74"/>
      <c r="T860" s="74"/>
      <c r="U860" s="74"/>
      <c r="V860" s="74"/>
      <c r="W860" s="74"/>
      <c r="X860" s="74"/>
      <c r="Y860" s="74"/>
      <c r="Z860" s="74"/>
      <c r="AA860" s="74"/>
      <c r="AB860" s="74"/>
    </row>
    <row r="861" spans="1:28" ht="12" customHeight="1">
      <c r="A861" s="565"/>
      <c r="B861" s="107"/>
      <c r="C861" s="107"/>
      <c r="D861" s="108"/>
      <c r="E861" s="104"/>
      <c r="F861" s="104"/>
      <c r="G861" s="35"/>
      <c r="H861" s="104"/>
      <c r="I861" s="140"/>
      <c r="J861" s="74"/>
      <c r="K861" s="74"/>
      <c r="L861" s="74"/>
      <c r="M861" s="74"/>
      <c r="N861" s="74"/>
      <c r="O861" s="74"/>
      <c r="P861" s="74"/>
      <c r="Q861" s="74"/>
      <c r="R861" s="74"/>
      <c r="S861" s="74"/>
      <c r="T861" s="74"/>
      <c r="U861" s="74"/>
      <c r="V861" s="74"/>
      <c r="W861" s="74"/>
      <c r="X861" s="74"/>
      <c r="Y861" s="74"/>
      <c r="Z861" s="74"/>
      <c r="AA861" s="74"/>
      <c r="AB861" s="74"/>
    </row>
    <row r="862" spans="1:28" ht="12" customHeight="1">
      <c r="A862" s="565"/>
      <c r="B862" s="107"/>
      <c r="C862" s="107"/>
      <c r="D862" s="108"/>
      <c r="E862" s="104"/>
      <c r="F862" s="104"/>
      <c r="G862" s="35"/>
      <c r="H862" s="104"/>
      <c r="I862" s="140"/>
      <c r="J862" s="74"/>
      <c r="K862" s="74"/>
      <c r="L862" s="74"/>
      <c r="M862" s="74"/>
      <c r="N862" s="74"/>
      <c r="O862" s="74"/>
      <c r="P862" s="74"/>
      <c r="Q862" s="74"/>
      <c r="R862" s="74"/>
      <c r="S862" s="74"/>
      <c r="T862" s="74"/>
      <c r="U862" s="74"/>
      <c r="V862" s="74"/>
      <c r="W862" s="74"/>
      <c r="X862" s="74"/>
      <c r="Y862" s="74"/>
      <c r="Z862" s="74"/>
      <c r="AA862" s="74"/>
      <c r="AB862" s="74"/>
    </row>
    <row r="863" spans="1:28" ht="12" customHeight="1">
      <c r="A863" s="565"/>
      <c r="B863" s="107"/>
      <c r="C863" s="107"/>
      <c r="D863" s="108"/>
      <c r="E863" s="104"/>
      <c r="F863" s="104"/>
      <c r="G863" s="35"/>
      <c r="H863" s="104"/>
      <c r="I863" s="140"/>
      <c r="J863" s="74"/>
      <c r="K863" s="74"/>
      <c r="L863" s="74"/>
      <c r="M863" s="74"/>
      <c r="N863" s="74"/>
      <c r="O863" s="74"/>
      <c r="P863" s="74"/>
      <c r="Q863" s="74"/>
      <c r="R863" s="74"/>
      <c r="S863" s="74"/>
      <c r="T863" s="74"/>
      <c r="U863" s="74"/>
      <c r="V863" s="74"/>
      <c r="W863" s="74"/>
      <c r="X863" s="74"/>
      <c r="Y863" s="74"/>
      <c r="Z863" s="74"/>
      <c r="AA863" s="74"/>
      <c r="AB863" s="74"/>
    </row>
    <row r="864" spans="1:28" ht="12" customHeight="1">
      <c r="A864" s="565"/>
      <c r="B864" s="107"/>
      <c r="C864" s="107"/>
      <c r="D864" s="108"/>
      <c r="E864" s="104"/>
      <c r="F864" s="104"/>
      <c r="G864" s="35"/>
      <c r="H864" s="104"/>
      <c r="I864" s="140"/>
      <c r="J864" s="74"/>
      <c r="K864" s="74"/>
      <c r="L864" s="74"/>
      <c r="M864" s="74"/>
      <c r="N864" s="74"/>
      <c r="O864" s="74"/>
      <c r="P864" s="74"/>
      <c r="Q864" s="74"/>
      <c r="R864" s="74"/>
      <c r="S864" s="74"/>
      <c r="T864" s="74"/>
      <c r="U864" s="74"/>
      <c r="V864" s="74"/>
      <c r="W864" s="74"/>
      <c r="X864" s="74"/>
      <c r="Y864" s="74"/>
      <c r="Z864" s="74"/>
      <c r="AA864" s="74"/>
      <c r="AB864" s="74"/>
    </row>
    <row r="865" spans="1:28" ht="12" customHeight="1">
      <c r="A865" s="565"/>
      <c r="B865" s="107"/>
      <c r="C865" s="107"/>
      <c r="D865" s="108"/>
      <c r="E865" s="104"/>
      <c r="F865" s="104"/>
      <c r="G865" s="35"/>
      <c r="H865" s="104"/>
      <c r="I865" s="140"/>
      <c r="J865" s="74"/>
      <c r="K865" s="74"/>
      <c r="L865" s="74"/>
      <c r="M865" s="74"/>
      <c r="N865" s="74"/>
      <c r="O865" s="74"/>
      <c r="P865" s="74"/>
      <c r="Q865" s="74"/>
      <c r="R865" s="74"/>
      <c r="S865" s="74"/>
      <c r="T865" s="74"/>
      <c r="U865" s="74"/>
      <c r="V865" s="74"/>
      <c r="W865" s="74"/>
      <c r="X865" s="74"/>
      <c r="Y865" s="74"/>
      <c r="Z865" s="74"/>
      <c r="AA865" s="74"/>
      <c r="AB865" s="74"/>
    </row>
    <row r="866" spans="1:28" ht="12" customHeight="1">
      <c r="A866" s="565"/>
      <c r="B866" s="107"/>
      <c r="C866" s="107"/>
      <c r="D866" s="108"/>
      <c r="E866" s="104"/>
      <c r="F866" s="104"/>
      <c r="G866" s="35"/>
      <c r="H866" s="104"/>
      <c r="I866" s="140"/>
      <c r="J866" s="74"/>
      <c r="K866" s="74"/>
      <c r="L866" s="74"/>
      <c r="M866" s="74"/>
      <c r="N866" s="74"/>
      <c r="O866" s="74"/>
      <c r="P866" s="74"/>
      <c r="Q866" s="74"/>
      <c r="R866" s="74"/>
      <c r="S866" s="74"/>
      <c r="T866" s="74"/>
      <c r="U866" s="74"/>
      <c r="V866" s="74"/>
      <c r="W866" s="74"/>
      <c r="X866" s="74"/>
      <c r="Y866" s="74"/>
      <c r="Z866" s="74"/>
      <c r="AA866" s="74"/>
      <c r="AB866" s="74"/>
    </row>
    <row r="867" spans="1:28" ht="12" customHeight="1">
      <c r="A867" s="565"/>
      <c r="B867" s="107"/>
      <c r="C867" s="107"/>
      <c r="D867" s="108"/>
      <c r="E867" s="104"/>
      <c r="F867" s="104"/>
      <c r="G867" s="35"/>
      <c r="H867" s="104"/>
      <c r="I867" s="140"/>
      <c r="J867" s="74"/>
      <c r="K867" s="74"/>
      <c r="L867" s="74"/>
      <c r="M867" s="74"/>
      <c r="N867" s="74"/>
      <c r="O867" s="74"/>
      <c r="P867" s="74"/>
      <c r="Q867" s="74"/>
      <c r="R867" s="74"/>
      <c r="S867" s="74"/>
      <c r="T867" s="74"/>
      <c r="U867" s="74"/>
      <c r="V867" s="74"/>
      <c r="W867" s="74"/>
      <c r="X867" s="74"/>
      <c r="Y867" s="74"/>
      <c r="Z867" s="74"/>
      <c r="AA867" s="74"/>
      <c r="AB867" s="74"/>
    </row>
    <row r="868" spans="1:28" ht="12" customHeight="1">
      <c r="A868" s="565"/>
      <c r="B868" s="107"/>
      <c r="C868" s="107"/>
      <c r="D868" s="108"/>
      <c r="E868" s="104"/>
      <c r="F868" s="104"/>
      <c r="G868" s="35"/>
      <c r="H868" s="104"/>
      <c r="I868" s="140"/>
      <c r="J868" s="74"/>
      <c r="K868" s="74"/>
      <c r="L868" s="74"/>
      <c r="M868" s="74"/>
      <c r="N868" s="74"/>
      <c r="O868" s="74"/>
      <c r="P868" s="74"/>
      <c r="Q868" s="74"/>
      <c r="R868" s="74"/>
      <c r="S868" s="74"/>
      <c r="T868" s="74"/>
      <c r="U868" s="74"/>
      <c r="V868" s="74"/>
      <c r="W868" s="74"/>
      <c r="X868" s="74"/>
      <c r="Y868" s="74"/>
      <c r="Z868" s="74"/>
      <c r="AA868" s="74"/>
      <c r="AB868" s="74"/>
    </row>
    <row r="869" spans="1:28" ht="12" customHeight="1">
      <c r="A869" s="565"/>
      <c r="B869" s="107"/>
      <c r="C869" s="107"/>
      <c r="D869" s="108"/>
      <c r="E869" s="104"/>
      <c r="F869" s="104"/>
      <c r="G869" s="35"/>
      <c r="H869" s="104"/>
      <c r="I869" s="140"/>
      <c r="J869" s="74"/>
      <c r="K869" s="74"/>
      <c r="L869" s="74"/>
      <c r="M869" s="74"/>
      <c r="N869" s="74"/>
      <c r="O869" s="74"/>
      <c r="P869" s="74"/>
      <c r="Q869" s="74"/>
      <c r="R869" s="74"/>
      <c r="S869" s="74"/>
      <c r="T869" s="74"/>
      <c r="U869" s="74"/>
      <c r="V869" s="74"/>
      <c r="W869" s="74"/>
      <c r="X869" s="74"/>
      <c r="Y869" s="74"/>
      <c r="Z869" s="74"/>
      <c r="AA869" s="74"/>
      <c r="AB869" s="74"/>
    </row>
    <row r="870" spans="1:28" ht="12" customHeight="1">
      <c r="A870" s="565"/>
      <c r="B870" s="107"/>
      <c r="C870" s="107"/>
      <c r="D870" s="108"/>
      <c r="E870" s="104"/>
      <c r="F870" s="104"/>
      <c r="G870" s="35"/>
      <c r="H870" s="104"/>
      <c r="I870" s="140"/>
      <c r="J870" s="74"/>
      <c r="K870" s="74"/>
      <c r="L870" s="74"/>
      <c r="M870" s="74"/>
      <c r="N870" s="74"/>
      <c r="O870" s="74"/>
      <c r="P870" s="74"/>
      <c r="Q870" s="74"/>
      <c r="R870" s="74"/>
      <c r="S870" s="74"/>
      <c r="T870" s="74"/>
      <c r="U870" s="74"/>
      <c r="V870" s="74"/>
      <c r="W870" s="74"/>
      <c r="X870" s="74"/>
      <c r="Y870" s="74"/>
      <c r="Z870" s="74"/>
      <c r="AA870" s="74"/>
      <c r="AB870" s="74"/>
    </row>
    <row r="871" spans="1:28" ht="12" customHeight="1">
      <c r="A871" s="565"/>
      <c r="B871" s="107"/>
      <c r="C871" s="107"/>
      <c r="D871" s="108"/>
      <c r="E871" s="104"/>
      <c r="F871" s="104"/>
      <c r="G871" s="35"/>
      <c r="H871" s="104"/>
      <c r="I871" s="140"/>
      <c r="J871" s="74"/>
      <c r="K871" s="74"/>
      <c r="L871" s="74"/>
      <c r="M871" s="74"/>
      <c r="N871" s="74"/>
      <c r="O871" s="74"/>
      <c r="P871" s="74"/>
      <c r="Q871" s="74"/>
      <c r="R871" s="74"/>
      <c r="S871" s="74"/>
      <c r="T871" s="74"/>
      <c r="U871" s="74"/>
      <c r="V871" s="74"/>
      <c r="W871" s="74"/>
      <c r="X871" s="74"/>
      <c r="Y871" s="74"/>
      <c r="Z871" s="74"/>
      <c r="AA871" s="74"/>
      <c r="AB871" s="74"/>
    </row>
    <row r="872" spans="1:28" ht="12" customHeight="1">
      <c r="A872" s="565"/>
      <c r="B872" s="107"/>
      <c r="C872" s="107"/>
      <c r="D872" s="108"/>
      <c r="E872" s="104"/>
      <c r="F872" s="104"/>
      <c r="G872" s="35"/>
      <c r="H872" s="104"/>
      <c r="I872" s="140"/>
      <c r="J872" s="74"/>
      <c r="K872" s="74"/>
      <c r="L872" s="74"/>
      <c r="M872" s="74"/>
      <c r="N872" s="74"/>
      <c r="O872" s="74"/>
      <c r="P872" s="74"/>
      <c r="Q872" s="74"/>
      <c r="R872" s="74"/>
      <c r="S872" s="74"/>
      <c r="T872" s="74"/>
      <c r="U872" s="74"/>
      <c r="V872" s="74"/>
      <c r="W872" s="74"/>
      <c r="X872" s="74"/>
      <c r="Y872" s="74"/>
      <c r="Z872" s="74"/>
      <c r="AA872" s="74"/>
      <c r="AB872" s="74"/>
    </row>
    <row r="873" spans="1:28" ht="12" customHeight="1">
      <c r="A873" s="565"/>
      <c r="B873" s="107"/>
      <c r="C873" s="107"/>
      <c r="D873" s="108"/>
      <c r="E873" s="104"/>
      <c r="F873" s="104"/>
      <c r="G873" s="35"/>
      <c r="H873" s="104"/>
      <c r="I873" s="140"/>
      <c r="J873" s="74"/>
      <c r="K873" s="74"/>
      <c r="L873" s="74"/>
      <c r="M873" s="74"/>
      <c r="N873" s="74"/>
      <c r="O873" s="74"/>
      <c r="P873" s="74"/>
      <c r="Q873" s="74"/>
      <c r="R873" s="74"/>
      <c r="S873" s="74"/>
      <c r="T873" s="74"/>
      <c r="U873" s="74"/>
      <c r="V873" s="74"/>
      <c r="W873" s="74"/>
      <c r="X873" s="74"/>
      <c r="Y873" s="74"/>
      <c r="Z873" s="74"/>
      <c r="AA873" s="74"/>
      <c r="AB873" s="74"/>
    </row>
    <row r="874" spans="1:28" ht="12" customHeight="1">
      <c r="A874" s="565"/>
      <c r="B874" s="107"/>
      <c r="C874" s="107"/>
      <c r="D874" s="108"/>
      <c r="E874" s="104"/>
      <c r="F874" s="104"/>
      <c r="G874" s="35"/>
      <c r="H874" s="104"/>
      <c r="I874" s="140"/>
      <c r="J874" s="74"/>
      <c r="K874" s="74"/>
      <c r="L874" s="74"/>
      <c r="M874" s="74"/>
      <c r="N874" s="74"/>
      <c r="O874" s="74"/>
      <c r="P874" s="74"/>
      <c r="Q874" s="74"/>
      <c r="R874" s="74"/>
      <c r="S874" s="74"/>
      <c r="T874" s="74"/>
      <c r="U874" s="74"/>
      <c r="V874" s="74"/>
      <c r="W874" s="74"/>
      <c r="X874" s="74"/>
      <c r="Y874" s="74"/>
      <c r="Z874" s="74"/>
      <c r="AA874" s="74"/>
      <c r="AB874" s="74"/>
    </row>
    <row r="875" spans="1:28" ht="12" customHeight="1">
      <c r="A875" s="565"/>
      <c r="B875" s="107"/>
      <c r="C875" s="107"/>
      <c r="D875" s="108"/>
      <c r="E875" s="104"/>
      <c r="F875" s="104"/>
      <c r="G875" s="35"/>
      <c r="H875" s="104"/>
      <c r="I875" s="140"/>
      <c r="J875" s="74"/>
      <c r="K875" s="74"/>
      <c r="L875" s="74"/>
      <c r="M875" s="74"/>
      <c r="N875" s="74"/>
      <c r="O875" s="74"/>
      <c r="P875" s="74"/>
      <c r="Q875" s="74"/>
      <c r="R875" s="74"/>
      <c r="S875" s="74"/>
      <c r="T875" s="74"/>
      <c r="U875" s="74"/>
      <c r="V875" s="74"/>
      <c r="W875" s="74"/>
      <c r="X875" s="74"/>
      <c r="Y875" s="74"/>
      <c r="Z875" s="74"/>
      <c r="AA875" s="74"/>
      <c r="AB875" s="74"/>
    </row>
    <row r="876" spans="1:28" ht="12" customHeight="1">
      <c r="A876" s="565"/>
      <c r="B876" s="107"/>
      <c r="C876" s="107"/>
      <c r="D876" s="108"/>
      <c r="E876" s="104"/>
      <c r="F876" s="104"/>
      <c r="G876" s="35"/>
      <c r="H876" s="104"/>
      <c r="I876" s="140"/>
      <c r="J876" s="74"/>
      <c r="K876" s="74"/>
      <c r="L876" s="74"/>
      <c r="M876" s="74"/>
      <c r="N876" s="74"/>
      <c r="O876" s="74"/>
      <c r="P876" s="74"/>
      <c r="Q876" s="74"/>
      <c r="R876" s="74"/>
      <c r="S876" s="74"/>
      <c r="T876" s="74"/>
      <c r="U876" s="74"/>
      <c r="V876" s="74"/>
      <c r="W876" s="74"/>
      <c r="X876" s="74"/>
      <c r="Y876" s="74"/>
      <c r="Z876" s="74"/>
      <c r="AA876" s="74"/>
      <c r="AB876" s="74"/>
    </row>
    <row r="877" spans="1:28" ht="12" customHeight="1">
      <c r="A877" s="565"/>
      <c r="B877" s="107"/>
      <c r="C877" s="107"/>
      <c r="D877" s="108"/>
      <c r="E877" s="104"/>
      <c r="F877" s="104"/>
      <c r="G877" s="35"/>
      <c r="H877" s="104"/>
      <c r="I877" s="140"/>
      <c r="J877" s="74"/>
      <c r="K877" s="74"/>
      <c r="L877" s="74"/>
      <c r="M877" s="74"/>
      <c r="N877" s="74"/>
      <c r="O877" s="74"/>
      <c r="P877" s="74"/>
      <c r="Q877" s="74"/>
      <c r="R877" s="74"/>
      <c r="S877" s="74"/>
      <c r="T877" s="74"/>
      <c r="U877" s="74"/>
      <c r="V877" s="74"/>
      <c r="W877" s="74"/>
      <c r="X877" s="74"/>
      <c r="Y877" s="74"/>
      <c r="Z877" s="74"/>
      <c r="AA877" s="74"/>
      <c r="AB877" s="74"/>
    </row>
    <row r="878" spans="1:28" ht="12" customHeight="1">
      <c r="A878" s="565"/>
      <c r="B878" s="107"/>
      <c r="C878" s="107"/>
      <c r="D878" s="108"/>
      <c r="E878" s="104"/>
      <c r="F878" s="104"/>
      <c r="G878" s="35"/>
      <c r="H878" s="104"/>
      <c r="I878" s="140"/>
      <c r="J878" s="74"/>
      <c r="K878" s="74"/>
      <c r="L878" s="74"/>
      <c r="M878" s="74"/>
      <c r="N878" s="74"/>
      <c r="O878" s="74"/>
      <c r="P878" s="74"/>
      <c r="Q878" s="74"/>
      <c r="R878" s="74"/>
      <c r="S878" s="74"/>
      <c r="T878" s="74"/>
      <c r="U878" s="74"/>
      <c r="V878" s="74"/>
      <c r="W878" s="74"/>
      <c r="X878" s="74"/>
      <c r="Y878" s="74"/>
      <c r="Z878" s="74"/>
      <c r="AA878" s="74"/>
      <c r="AB878" s="74"/>
    </row>
    <row r="879" spans="1:28" ht="12" customHeight="1">
      <c r="A879" s="565"/>
      <c r="B879" s="107"/>
      <c r="C879" s="107"/>
      <c r="D879" s="108"/>
      <c r="E879" s="104"/>
      <c r="F879" s="104"/>
      <c r="G879" s="35"/>
      <c r="H879" s="104"/>
      <c r="I879" s="140"/>
      <c r="J879" s="74"/>
      <c r="K879" s="74"/>
      <c r="L879" s="74"/>
      <c r="M879" s="74"/>
      <c r="N879" s="74"/>
      <c r="O879" s="74"/>
      <c r="P879" s="74"/>
      <c r="Q879" s="74"/>
      <c r="R879" s="74"/>
      <c r="S879" s="74"/>
      <c r="T879" s="74"/>
      <c r="U879" s="74"/>
      <c r="V879" s="74"/>
      <c r="W879" s="74"/>
      <c r="X879" s="74"/>
      <c r="Y879" s="74"/>
      <c r="Z879" s="74"/>
      <c r="AA879" s="74"/>
      <c r="AB879" s="74"/>
    </row>
    <row r="880" spans="1:28" ht="12" customHeight="1">
      <c r="A880" s="565"/>
      <c r="B880" s="107"/>
      <c r="C880" s="107"/>
      <c r="D880" s="108"/>
      <c r="E880" s="104"/>
      <c r="F880" s="104"/>
      <c r="G880" s="35"/>
      <c r="H880" s="104"/>
      <c r="I880" s="140"/>
      <c r="J880" s="74"/>
      <c r="K880" s="74"/>
      <c r="L880" s="74"/>
      <c r="M880" s="74"/>
      <c r="N880" s="74"/>
      <c r="O880" s="74"/>
      <c r="P880" s="74"/>
      <c r="Q880" s="74"/>
      <c r="R880" s="74"/>
      <c r="S880" s="74"/>
      <c r="T880" s="74"/>
      <c r="U880" s="74"/>
      <c r="V880" s="74"/>
      <c r="W880" s="74"/>
      <c r="X880" s="74"/>
      <c r="Y880" s="74"/>
      <c r="Z880" s="74"/>
      <c r="AA880" s="74"/>
      <c r="AB880" s="74"/>
    </row>
    <row r="881" spans="1:28" ht="12" customHeight="1">
      <c r="A881" s="565"/>
      <c r="B881" s="107"/>
      <c r="C881" s="107"/>
      <c r="D881" s="108"/>
      <c r="E881" s="104"/>
      <c r="F881" s="104"/>
      <c r="G881" s="35"/>
      <c r="H881" s="104"/>
      <c r="I881" s="140"/>
      <c r="J881" s="74"/>
      <c r="K881" s="74"/>
      <c r="L881" s="74"/>
      <c r="M881" s="74"/>
      <c r="N881" s="74"/>
      <c r="O881" s="74"/>
      <c r="P881" s="74"/>
      <c r="Q881" s="74"/>
      <c r="R881" s="74"/>
      <c r="S881" s="74"/>
      <c r="T881" s="74"/>
      <c r="U881" s="74"/>
      <c r="V881" s="74"/>
      <c r="W881" s="74"/>
      <c r="X881" s="74"/>
      <c r="Y881" s="74"/>
      <c r="Z881" s="74"/>
      <c r="AA881" s="74"/>
      <c r="AB881" s="74"/>
    </row>
    <row r="882" spans="1:28" ht="12" customHeight="1">
      <c r="A882" s="565"/>
      <c r="B882" s="107"/>
      <c r="C882" s="107"/>
      <c r="D882" s="108"/>
      <c r="E882" s="104"/>
      <c r="F882" s="104"/>
      <c r="G882" s="35"/>
      <c r="H882" s="104"/>
      <c r="I882" s="140"/>
      <c r="J882" s="74"/>
      <c r="K882" s="74"/>
      <c r="L882" s="74"/>
      <c r="M882" s="74"/>
      <c r="N882" s="74"/>
      <c r="O882" s="74"/>
      <c r="P882" s="74"/>
      <c r="Q882" s="74"/>
      <c r="R882" s="74"/>
      <c r="S882" s="74"/>
      <c r="T882" s="74"/>
      <c r="U882" s="74"/>
      <c r="V882" s="74"/>
      <c r="W882" s="74"/>
      <c r="X882" s="74"/>
      <c r="Y882" s="74"/>
      <c r="Z882" s="74"/>
      <c r="AA882" s="74"/>
      <c r="AB882" s="74"/>
    </row>
    <row r="883" spans="1:28" ht="12" customHeight="1">
      <c r="A883" s="565"/>
      <c r="B883" s="107"/>
      <c r="C883" s="107"/>
      <c r="D883" s="108"/>
      <c r="E883" s="104"/>
      <c r="F883" s="104"/>
      <c r="G883" s="35"/>
      <c r="H883" s="104"/>
      <c r="I883" s="140"/>
      <c r="J883" s="74"/>
      <c r="K883" s="74"/>
      <c r="L883" s="74"/>
      <c r="M883" s="74"/>
      <c r="N883" s="74"/>
      <c r="O883" s="74"/>
      <c r="P883" s="74"/>
      <c r="Q883" s="74"/>
      <c r="R883" s="74"/>
      <c r="S883" s="74"/>
      <c r="T883" s="74"/>
      <c r="U883" s="74"/>
      <c r="V883" s="74"/>
      <c r="W883" s="74"/>
      <c r="X883" s="74"/>
      <c r="Y883" s="74"/>
      <c r="Z883" s="74"/>
      <c r="AA883" s="74"/>
      <c r="AB883" s="74"/>
    </row>
    <row r="884" spans="1:28" ht="12" customHeight="1">
      <c r="A884" s="565"/>
      <c r="B884" s="107"/>
      <c r="C884" s="107"/>
      <c r="D884" s="108"/>
      <c r="E884" s="104"/>
      <c r="F884" s="104"/>
      <c r="G884" s="35"/>
      <c r="H884" s="104"/>
      <c r="I884" s="140"/>
      <c r="J884" s="74"/>
      <c r="K884" s="74"/>
      <c r="L884" s="74"/>
      <c r="M884" s="74"/>
      <c r="N884" s="74"/>
      <c r="O884" s="74"/>
      <c r="P884" s="74"/>
      <c r="Q884" s="74"/>
      <c r="R884" s="74"/>
      <c r="S884" s="74"/>
      <c r="T884" s="74"/>
      <c r="U884" s="74"/>
      <c r="V884" s="74"/>
      <c r="W884" s="74"/>
      <c r="X884" s="74"/>
      <c r="Y884" s="74"/>
      <c r="Z884" s="74"/>
      <c r="AA884" s="74"/>
      <c r="AB884" s="74"/>
    </row>
    <row r="885" spans="1:28" ht="12" customHeight="1">
      <c r="A885" s="565"/>
      <c r="B885" s="107"/>
      <c r="C885" s="107"/>
      <c r="D885" s="108"/>
      <c r="E885" s="104"/>
      <c r="F885" s="104"/>
      <c r="G885" s="35"/>
      <c r="H885" s="104"/>
      <c r="I885" s="140"/>
      <c r="J885" s="74"/>
      <c r="K885" s="74"/>
      <c r="L885" s="74"/>
      <c r="M885" s="74"/>
      <c r="N885" s="74"/>
      <c r="O885" s="74"/>
      <c r="P885" s="74"/>
      <c r="Q885" s="74"/>
      <c r="R885" s="74"/>
      <c r="S885" s="74"/>
      <c r="T885" s="74"/>
      <c r="U885" s="74"/>
      <c r="V885" s="74"/>
      <c r="W885" s="74"/>
      <c r="X885" s="74"/>
      <c r="Y885" s="74"/>
      <c r="Z885" s="74"/>
      <c r="AA885" s="74"/>
      <c r="AB885" s="74"/>
    </row>
    <row r="886" spans="1:28" ht="12" customHeight="1">
      <c r="A886" s="565"/>
      <c r="B886" s="107"/>
      <c r="C886" s="107"/>
      <c r="D886" s="108"/>
      <c r="E886" s="104"/>
      <c r="F886" s="104"/>
      <c r="G886" s="35"/>
      <c r="H886" s="104"/>
      <c r="I886" s="140"/>
      <c r="J886" s="74"/>
      <c r="K886" s="74"/>
      <c r="L886" s="74"/>
      <c r="M886" s="74"/>
      <c r="N886" s="74"/>
      <c r="O886" s="74"/>
      <c r="P886" s="74"/>
      <c r="Q886" s="74"/>
      <c r="R886" s="74"/>
      <c r="S886" s="74"/>
      <c r="T886" s="74"/>
      <c r="U886" s="74"/>
      <c r="V886" s="74"/>
      <c r="W886" s="74"/>
      <c r="X886" s="74"/>
      <c r="Y886" s="74"/>
      <c r="Z886" s="74"/>
      <c r="AA886" s="74"/>
      <c r="AB886" s="74"/>
    </row>
    <row r="887" spans="1:28" ht="12" customHeight="1">
      <c r="A887" s="565"/>
      <c r="B887" s="107"/>
      <c r="C887" s="107"/>
      <c r="D887" s="108"/>
      <c r="E887" s="104"/>
      <c r="F887" s="104"/>
      <c r="G887" s="35"/>
      <c r="H887" s="104"/>
      <c r="I887" s="140"/>
      <c r="J887" s="74"/>
      <c r="K887" s="74"/>
      <c r="L887" s="74"/>
      <c r="M887" s="74"/>
      <c r="N887" s="74"/>
      <c r="O887" s="74"/>
      <c r="P887" s="74"/>
      <c r="Q887" s="74"/>
      <c r="R887" s="74"/>
      <c r="S887" s="74"/>
      <c r="T887" s="74"/>
      <c r="U887" s="74"/>
      <c r="V887" s="74"/>
      <c r="W887" s="74"/>
      <c r="X887" s="74"/>
      <c r="Y887" s="74"/>
      <c r="Z887" s="74"/>
      <c r="AA887" s="74"/>
      <c r="AB887" s="74"/>
    </row>
    <row r="888" spans="1:28" ht="12" customHeight="1">
      <c r="A888" s="565"/>
      <c r="B888" s="107"/>
      <c r="C888" s="107"/>
      <c r="D888" s="108"/>
      <c r="E888" s="104"/>
      <c r="F888" s="104"/>
      <c r="G888" s="35"/>
      <c r="H888" s="104"/>
      <c r="I888" s="140"/>
      <c r="J888" s="74"/>
      <c r="K888" s="74"/>
      <c r="L888" s="74"/>
      <c r="M888" s="74"/>
      <c r="N888" s="74"/>
      <c r="O888" s="74"/>
      <c r="P888" s="74"/>
      <c r="Q888" s="74"/>
      <c r="R888" s="74"/>
      <c r="S888" s="74"/>
      <c r="T888" s="74"/>
      <c r="U888" s="74"/>
      <c r="V888" s="74"/>
      <c r="W888" s="74"/>
      <c r="X888" s="74"/>
      <c r="Y888" s="74"/>
      <c r="Z888" s="74"/>
      <c r="AA888" s="74"/>
      <c r="AB888" s="74"/>
    </row>
    <row r="889" spans="1:28" ht="12" customHeight="1">
      <c r="A889" s="565"/>
      <c r="B889" s="107"/>
      <c r="C889" s="107"/>
      <c r="D889" s="108"/>
      <c r="E889" s="104"/>
      <c r="F889" s="104"/>
      <c r="G889" s="35"/>
      <c r="H889" s="104"/>
      <c r="I889" s="140"/>
      <c r="J889" s="74"/>
      <c r="K889" s="74"/>
      <c r="L889" s="74"/>
      <c r="M889" s="74"/>
      <c r="N889" s="74"/>
      <c r="O889" s="74"/>
      <c r="P889" s="74"/>
      <c r="Q889" s="74"/>
      <c r="R889" s="74"/>
      <c r="S889" s="74"/>
      <c r="T889" s="74"/>
      <c r="U889" s="74"/>
      <c r="V889" s="74"/>
      <c r="W889" s="74"/>
      <c r="X889" s="74"/>
      <c r="Y889" s="74"/>
      <c r="Z889" s="74"/>
      <c r="AA889" s="74"/>
      <c r="AB889" s="74"/>
    </row>
    <row r="890" spans="1:28" ht="12" customHeight="1">
      <c r="A890" s="565"/>
      <c r="B890" s="107"/>
      <c r="C890" s="107"/>
      <c r="D890" s="108"/>
      <c r="E890" s="104"/>
      <c r="F890" s="104"/>
      <c r="G890" s="35"/>
      <c r="H890" s="104"/>
      <c r="I890" s="140"/>
      <c r="J890" s="74"/>
      <c r="K890" s="74"/>
      <c r="L890" s="74"/>
      <c r="M890" s="74"/>
      <c r="N890" s="74"/>
      <c r="O890" s="74"/>
      <c r="P890" s="74"/>
      <c r="Q890" s="74"/>
      <c r="R890" s="74"/>
      <c r="S890" s="74"/>
      <c r="T890" s="74"/>
      <c r="U890" s="74"/>
      <c r="V890" s="74"/>
      <c r="W890" s="74"/>
      <c r="X890" s="74"/>
      <c r="Y890" s="74"/>
      <c r="Z890" s="74"/>
      <c r="AA890" s="74"/>
      <c r="AB890" s="74"/>
    </row>
    <row r="891" spans="1:28" ht="12" customHeight="1">
      <c r="A891" s="565"/>
      <c r="B891" s="107"/>
      <c r="C891" s="107"/>
      <c r="D891" s="108"/>
      <c r="E891" s="104"/>
      <c r="F891" s="104"/>
      <c r="G891" s="35"/>
      <c r="H891" s="104"/>
      <c r="I891" s="140"/>
      <c r="J891" s="74"/>
      <c r="K891" s="74"/>
      <c r="L891" s="74"/>
      <c r="M891" s="74"/>
      <c r="N891" s="74"/>
      <c r="O891" s="74"/>
      <c r="P891" s="74"/>
      <c r="Q891" s="74"/>
      <c r="R891" s="74"/>
      <c r="S891" s="74"/>
      <c r="T891" s="74"/>
      <c r="U891" s="74"/>
      <c r="V891" s="74"/>
      <c r="W891" s="74"/>
      <c r="X891" s="74"/>
      <c r="Y891" s="74"/>
      <c r="Z891" s="74"/>
      <c r="AA891" s="74"/>
      <c r="AB891" s="74"/>
    </row>
    <row r="892" spans="1:28" ht="12" customHeight="1">
      <c r="A892" s="565"/>
      <c r="B892" s="107"/>
      <c r="C892" s="107"/>
      <c r="D892" s="108"/>
      <c r="E892" s="104"/>
      <c r="F892" s="104"/>
      <c r="G892" s="35"/>
      <c r="H892" s="104"/>
      <c r="I892" s="140"/>
      <c r="J892" s="74"/>
      <c r="K892" s="74"/>
      <c r="L892" s="74"/>
      <c r="M892" s="74"/>
      <c r="N892" s="74"/>
      <c r="O892" s="74"/>
      <c r="P892" s="74"/>
      <c r="Q892" s="74"/>
      <c r="R892" s="74"/>
      <c r="S892" s="74"/>
      <c r="T892" s="74"/>
      <c r="U892" s="74"/>
      <c r="V892" s="74"/>
      <c r="W892" s="74"/>
      <c r="X892" s="74"/>
      <c r="Y892" s="74"/>
      <c r="Z892" s="74"/>
      <c r="AA892" s="74"/>
      <c r="AB892" s="74"/>
    </row>
    <row r="893" spans="1:28" ht="12" customHeight="1">
      <c r="A893" s="565"/>
      <c r="B893" s="107"/>
      <c r="C893" s="107"/>
      <c r="D893" s="108"/>
      <c r="E893" s="104"/>
      <c r="F893" s="104"/>
      <c r="G893" s="35"/>
      <c r="H893" s="104"/>
      <c r="I893" s="140"/>
      <c r="J893" s="74"/>
      <c r="K893" s="74"/>
      <c r="L893" s="74"/>
      <c r="M893" s="74"/>
      <c r="N893" s="74"/>
      <c r="O893" s="74"/>
      <c r="P893" s="74"/>
      <c r="Q893" s="74"/>
      <c r="R893" s="74"/>
      <c r="S893" s="74"/>
      <c r="T893" s="74"/>
      <c r="U893" s="74"/>
      <c r="V893" s="74"/>
      <c r="W893" s="74"/>
      <c r="X893" s="74"/>
      <c r="Y893" s="74"/>
      <c r="Z893" s="74"/>
      <c r="AA893" s="74"/>
      <c r="AB893" s="74"/>
    </row>
    <row r="894" spans="1:28" ht="12" customHeight="1">
      <c r="A894" s="565"/>
      <c r="B894" s="107"/>
      <c r="C894" s="107"/>
      <c r="D894" s="108"/>
      <c r="E894" s="104"/>
      <c r="F894" s="104"/>
      <c r="G894" s="35"/>
      <c r="H894" s="104"/>
      <c r="I894" s="140"/>
      <c r="J894" s="74"/>
      <c r="K894" s="74"/>
      <c r="L894" s="74"/>
      <c r="M894" s="74"/>
      <c r="N894" s="74"/>
      <c r="O894" s="74"/>
      <c r="P894" s="74"/>
      <c r="Q894" s="74"/>
      <c r="R894" s="74"/>
      <c r="S894" s="74"/>
      <c r="T894" s="74"/>
      <c r="U894" s="74"/>
      <c r="V894" s="74"/>
      <c r="W894" s="74"/>
      <c r="X894" s="74"/>
      <c r="Y894" s="74"/>
      <c r="Z894" s="74"/>
      <c r="AA894" s="74"/>
      <c r="AB894" s="74"/>
    </row>
    <row r="895" spans="1:28" ht="12" customHeight="1">
      <c r="A895" s="565"/>
      <c r="B895" s="107"/>
      <c r="C895" s="107"/>
      <c r="D895" s="108"/>
      <c r="E895" s="104"/>
      <c r="F895" s="104"/>
      <c r="G895" s="35"/>
      <c r="H895" s="104"/>
      <c r="I895" s="140"/>
      <c r="J895" s="74"/>
      <c r="K895" s="74"/>
      <c r="L895" s="74"/>
      <c r="M895" s="74"/>
      <c r="N895" s="74"/>
      <c r="O895" s="74"/>
      <c r="P895" s="74"/>
      <c r="Q895" s="74"/>
      <c r="R895" s="74"/>
      <c r="S895" s="74"/>
      <c r="T895" s="74"/>
      <c r="U895" s="74"/>
      <c r="V895" s="74"/>
      <c r="W895" s="74"/>
      <c r="X895" s="74"/>
      <c r="Y895" s="74"/>
      <c r="Z895" s="74"/>
      <c r="AA895" s="74"/>
      <c r="AB895" s="74"/>
    </row>
    <row r="896" spans="1:28" ht="12" customHeight="1">
      <c r="A896" s="565"/>
      <c r="B896" s="107"/>
      <c r="C896" s="107"/>
      <c r="D896" s="108"/>
      <c r="E896" s="104"/>
      <c r="F896" s="104"/>
      <c r="G896" s="35"/>
      <c r="H896" s="104"/>
      <c r="I896" s="140"/>
      <c r="J896" s="74"/>
      <c r="K896" s="74"/>
      <c r="L896" s="74"/>
      <c r="M896" s="74"/>
      <c r="N896" s="74"/>
      <c r="O896" s="74"/>
      <c r="P896" s="74"/>
      <c r="Q896" s="74"/>
      <c r="R896" s="74"/>
      <c r="S896" s="74"/>
      <c r="T896" s="74"/>
      <c r="U896" s="74"/>
      <c r="V896" s="74"/>
      <c r="W896" s="74"/>
      <c r="X896" s="74"/>
      <c r="Y896" s="74"/>
      <c r="Z896" s="74"/>
      <c r="AA896" s="74"/>
      <c r="AB896" s="74"/>
    </row>
    <row r="897" spans="1:28" ht="12" customHeight="1">
      <c r="A897" s="565"/>
      <c r="B897" s="107"/>
      <c r="C897" s="107"/>
      <c r="D897" s="108"/>
      <c r="E897" s="104"/>
      <c r="F897" s="104"/>
      <c r="G897" s="35"/>
      <c r="H897" s="104"/>
      <c r="I897" s="140"/>
      <c r="J897" s="74"/>
      <c r="K897" s="74"/>
      <c r="L897" s="74"/>
      <c r="M897" s="74"/>
      <c r="N897" s="74"/>
      <c r="O897" s="74"/>
      <c r="P897" s="74"/>
      <c r="Q897" s="74"/>
      <c r="R897" s="74"/>
      <c r="S897" s="74"/>
      <c r="T897" s="74"/>
      <c r="U897" s="74"/>
      <c r="V897" s="74"/>
      <c r="W897" s="74"/>
      <c r="X897" s="74"/>
      <c r="Y897" s="74"/>
      <c r="Z897" s="74"/>
      <c r="AA897" s="74"/>
      <c r="AB897" s="74"/>
    </row>
    <row r="898" spans="1:28" ht="12" customHeight="1">
      <c r="A898" s="565"/>
      <c r="B898" s="107"/>
      <c r="C898" s="107"/>
      <c r="D898" s="108"/>
      <c r="E898" s="104"/>
      <c r="F898" s="104"/>
      <c r="G898" s="35"/>
      <c r="H898" s="104"/>
      <c r="I898" s="140"/>
      <c r="J898" s="74"/>
      <c r="K898" s="74"/>
      <c r="L898" s="74"/>
      <c r="M898" s="74"/>
      <c r="N898" s="74"/>
      <c r="O898" s="74"/>
      <c r="P898" s="74"/>
      <c r="Q898" s="74"/>
      <c r="R898" s="74"/>
      <c r="S898" s="74"/>
      <c r="T898" s="74"/>
      <c r="U898" s="74"/>
      <c r="V898" s="74"/>
      <c r="W898" s="74"/>
      <c r="X898" s="74"/>
      <c r="Y898" s="74"/>
      <c r="Z898" s="74"/>
      <c r="AA898" s="74"/>
      <c r="AB898" s="74"/>
    </row>
    <row r="899" spans="1:28" ht="12" customHeight="1">
      <c r="A899" s="565"/>
      <c r="B899" s="107"/>
      <c r="C899" s="107"/>
      <c r="D899" s="108"/>
      <c r="E899" s="104"/>
      <c r="F899" s="104"/>
      <c r="G899" s="35"/>
      <c r="H899" s="104"/>
      <c r="I899" s="140"/>
      <c r="J899" s="74"/>
      <c r="K899" s="74"/>
      <c r="L899" s="74"/>
      <c r="M899" s="74"/>
      <c r="N899" s="74"/>
      <c r="O899" s="74"/>
      <c r="P899" s="74"/>
      <c r="Q899" s="74"/>
      <c r="R899" s="74"/>
      <c r="S899" s="74"/>
      <c r="T899" s="74"/>
      <c r="U899" s="74"/>
      <c r="V899" s="74"/>
      <c r="W899" s="74"/>
      <c r="X899" s="74"/>
      <c r="Y899" s="74"/>
      <c r="Z899" s="74"/>
      <c r="AA899" s="74"/>
      <c r="AB899" s="74"/>
    </row>
    <row r="900" spans="1:28" ht="12" customHeight="1">
      <c r="A900" s="565"/>
      <c r="B900" s="107"/>
      <c r="C900" s="107"/>
      <c r="D900" s="108"/>
      <c r="E900" s="104"/>
      <c r="F900" s="104"/>
      <c r="G900" s="35"/>
      <c r="H900" s="104"/>
      <c r="I900" s="140"/>
      <c r="J900" s="74"/>
      <c r="K900" s="74"/>
      <c r="L900" s="74"/>
      <c r="M900" s="74"/>
      <c r="N900" s="74"/>
      <c r="O900" s="74"/>
      <c r="P900" s="74"/>
      <c r="Q900" s="74"/>
      <c r="R900" s="74"/>
      <c r="S900" s="74"/>
      <c r="T900" s="74"/>
      <c r="U900" s="74"/>
      <c r="V900" s="74"/>
      <c r="W900" s="74"/>
      <c r="X900" s="74"/>
      <c r="Y900" s="74"/>
      <c r="Z900" s="74"/>
      <c r="AA900" s="74"/>
      <c r="AB900" s="74"/>
    </row>
    <row r="901" spans="1:28" ht="12" customHeight="1">
      <c r="A901" s="565"/>
      <c r="B901" s="107"/>
      <c r="C901" s="107"/>
      <c r="D901" s="108"/>
      <c r="E901" s="104"/>
      <c r="F901" s="104"/>
      <c r="G901" s="35"/>
      <c r="H901" s="104"/>
      <c r="I901" s="140"/>
      <c r="J901" s="74"/>
      <c r="K901" s="74"/>
      <c r="L901" s="74"/>
      <c r="M901" s="74"/>
      <c r="N901" s="74"/>
      <c r="O901" s="74"/>
      <c r="P901" s="74"/>
      <c r="Q901" s="74"/>
      <c r="R901" s="74"/>
      <c r="S901" s="74"/>
      <c r="T901" s="74"/>
      <c r="U901" s="74"/>
      <c r="V901" s="74"/>
      <c r="W901" s="74"/>
      <c r="X901" s="74"/>
      <c r="Y901" s="74"/>
      <c r="Z901" s="74"/>
      <c r="AA901" s="74"/>
      <c r="AB901" s="74"/>
    </row>
    <row r="902" spans="1:28" ht="12" customHeight="1">
      <c r="A902" s="565"/>
      <c r="B902" s="107"/>
      <c r="C902" s="107"/>
      <c r="D902" s="108"/>
      <c r="E902" s="104"/>
      <c r="F902" s="104"/>
      <c r="G902" s="35"/>
      <c r="H902" s="104"/>
      <c r="I902" s="140"/>
      <c r="J902" s="74"/>
      <c r="K902" s="74"/>
      <c r="L902" s="74"/>
      <c r="M902" s="74"/>
      <c r="N902" s="74"/>
      <c r="O902" s="74"/>
      <c r="P902" s="74"/>
      <c r="Q902" s="74"/>
      <c r="R902" s="74"/>
      <c r="S902" s="74"/>
      <c r="T902" s="74"/>
      <c r="U902" s="74"/>
      <c r="V902" s="74"/>
      <c r="W902" s="74"/>
      <c r="X902" s="74"/>
      <c r="Y902" s="74"/>
      <c r="Z902" s="74"/>
      <c r="AA902" s="74"/>
      <c r="AB902" s="74"/>
    </row>
    <row r="903" spans="1:28" ht="12" customHeight="1">
      <c r="A903" s="565"/>
      <c r="B903" s="107"/>
      <c r="C903" s="107"/>
      <c r="D903" s="108"/>
      <c r="E903" s="104"/>
      <c r="F903" s="104"/>
      <c r="G903" s="35"/>
      <c r="H903" s="104"/>
      <c r="I903" s="140"/>
      <c r="J903" s="74"/>
      <c r="K903" s="74"/>
      <c r="L903" s="74"/>
      <c r="M903" s="74"/>
      <c r="N903" s="74"/>
      <c r="O903" s="74"/>
      <c r="P903" s="74"/>
      <c r="Q903" s="74"/>
      <c r="R903" s="74"/>
      <c r="S903" s="74"/>
      <c r="T903" s="74"/>
      <c r="U903" s="74"/>
      <c r="V903" s="74"/>
      <c r="W903" s="74"/>
      <c r="X903" s="74"/>
      <c r="Y903" s="74"/>
      <c r="Z903" s="74"/>
      <c r="AA903" s="74"/>
      <c r="AB903" s="74"/>
    </row>
    <row r="904" spans="1:28" ht="12" customHeight="1">
      <c r="A904" s="565"/>
      <c r="B904" s="107"/>
      <c r="C904" s="107"/>
      <c r="D904" s="108"/>
      <c r="E904" s="104"/>
      <c r="F904" s="104"/>
      <c r="G904" s="35"/>
      <c r="H904" s="104"/>
      <c r="I904" s="140"/>
      <c r="J904" s="74"/>
      <c r="K904" s="74"/>
      <c r="L904" s="74"/>
      <c r="M904" s="74"/>
      <c r="N904" s="74"/>
      <c r="O904" s="74"/>
      <c r="P904" s="74"/>
      <c r="Q904" s="74"/>
      <c r="R904" s="74"/>
      <c r="S904" s="74"/>
      <c r="T904" s="74"/>
      <c r="U904" s="74"/>
      <c r="V904" s="74"/>
      <c r="W904" s="74"/>
      <c r="X904" s="74"/>
      <c r="Y904" s="74"/>
      <c r="Z904" s="74"/>
      <c r="AA904" s="74"/>
      <c r="AB904" s="74"/>
    </row>
    <row r="905" spans="1:28" ht="12" customHeight="1">
      <c r="A905" s="565"/>
      <c r="B905" s="107"/>
      <c r="C905" s="107"/>
      <c r="D905" s="108"/>
      <c r="E905" s="104"/>
      <c r="F905" s="104"/>
      <c r="G905" s="35"/>
      <c r="H905" s="104"/>
      <c r="I905" s="140"/>
      <c r="J905" s="74"/>
      <c r="K905" s="74"/>
      <c r="L905" s="74"/>
      <c r="M905" s="74"/>
      <c r="N905" s="74"/>
      <c r="O905" s="74"/>
      <c r="P905" s="74"/>
      <c r="Q905" s="74"/>
      <c r="R905" s="74"/>
      <c r="S905" s="74"/>
      <c r="T905" s="74"/>
      <c r="U905" s="74"/>
      <c r="V905" s="74"/>
      <c r="W905" s="74"/>
      <c r="X905" s="74"/>
      <c r="Y905" s="74"/>
      <c r="Z905" s="74"/>
      <c r="AA905" s="74"/>
      <c r="AB905" s="74"/>
    </row>
    <row r="906" spans="1:28" ht="12" customHeight="1">
      <c r="A906" s="565"/>
      <c r="B906" s="107"/>
      <c r="C906" s="107"/>
      <c r="D906" s="108"/>
      <c r="E906" s="104"/>
      <c r="F906" s="104"/>
      <c r="G906" s="35"/>
      <c r="H906" s="104"/>
      <c r="I906" s="140"/>
      <c r="J906" s="74"/>
      <c r="K906" s="74"/>
      <c r="L906" s="74"/>
      <c r="M906" s="74"/>
      <c r="N906" s="74"/>
      <c r="O906" s="74"/>
      <c r="P906" s="74"/>
      <c r="Q906" s="74"/>
      <c r="R906" s="74"/>
      <c r="S906" s="74"/>
      <c r="T906" s="74"/>
      <c r="U906" s="74"/>
      <c r="V906" s="74"/>
      <c r="W906" s="74"/>
      <c r="X906" s="74"/>
      <c r="Y906" s="74"/>
      <c r="Z906" s="74"/>
      <c r="AA906" s="74"/>
      <c r="AB906" s="74"/>
    </row>
    <row r="907" spans="1:28" ht="12" customHeight="1">
      <c r="A907" s="565"/>
      <c r="B907" s="107"/>
      <c r="C907" s="107"/>
      <c r="D907" s="108"/>
      <c r="E907" s="104"/>
      <c r="F907" s="104"/>
      <c r="G907" s="35"/>
      <c r="H907" s="104"/>
      <c r="I907" s="140"/>
      <c r="J907" s="74"/>
      <c r="K907" s="74"/>
      <c r="L907" s="74"/>
      <c r="M907" s="74"/>
      <c r="N907" s="74"/>
      <c r="O907" s="74"/>
      <c r="P907" s="74"/>
      <c r="Q907" s="74"/>
      <c r="R907" s="74"/>
      <c r="S907" s="74"/>
      <c r="T907" s="74"/>
      <c r="U907" s="74"/>
      <c r="V907" s="74"/>
      <c r="W907" s="74"/>
      <c r="X907" s="74"/>
      <c r="Y907" s="74"/>
      <c r="Z907" s="74"/>
      <c r="AA907" s="74"/>
      <c r="AB907" s="74"/>
    </row>
    <row r="908" spans="1:28" ht="12" customHeight="1">
      <c r="A908" s="565"/>
      <c r="B908" s="107"/>
      <c r="C908" s="107"/>
      <c r="D908" s="108"/>
      <c r="E908" s="104"/>
      <c r="F908" s="104"/>
      <c r="G908" s="35"/>
      <c r="H908" s="104"/>
      <c r="I908" s="140"/>
      <c r="J908" s="74"/>
      <c r="K908" s="74"/>
      <c r="L908" s="74"/>
      <c r="M908" s="74"/>
      <c r="N908" s="74"/>
      <c r="O908" s="74"/>
      <c r="P908" s="74"/>
      <c r="Q908" s="74"/>
      <c r="R908" s="74"/>
      <c r="S908" s="74"/>
      <c r="T908" s="74"/>
      <c r="U908" s="74"/>
      <c r="V908" s="74"/>
      <c r="W908" s="74"/>
      <c r="X908" s="74"/>
      <c r="Y908" s="74"/>
      <c r="Z908" s="74"/>
      <c r="AA908" s="74"/>
      <c r="AB908" s="74"/>
    </row>
    <row r="909" spans="1:28" ht="12" customHeight="1">
      <c r="A909" s="565"/>
      <c r="B909" s="107"/>
      <c r="C909" s="107"/>
      <c r="D909" s="108"/>
      <c r="E909" s="104"/>
      <c r="F909" s="104"/>
      <c r="G909" s="35"/>
      <c r="H909" s="104"/>
      <c r="I909" s="140"/>
      <c r="J909" s="74"/>
      <c r="K909" s="74"/>
      <c r="L909" s="74"/>
      <c r="M909" s="74"/>
      <c r="N909" s="74"/>
      <c r="O909" s="74"/>
      <c r="P909" s="74"/>
      <c r="Q909" s="74"/>
      <c r="R909" s="74"/>
      <c r="S909" s="74"/>
      <c r="T909" s="74"/>
      <c r="U909" s="74"/>
      <c r="V909" s="74"/>
      <c r="W909" s="74"/>
      <c r="X909" s="74"/>
      <c r="Y909" s="74"/>
      <c r="Z909" s="74"/>
      <c r="AA909" s="74"/>
      <c r="AB909" s="74"/>
    </row>
    <row r="910" spans="1:28" ht="12" customHeight="1">
      <c r="A910" s="565"/>
      <c r="B910" s="107"/>
      <c r="C910" s="107"/>
      <c r="D910" s="108"/>
      <c r="E910" s="104"/>
      <c r="F910" s="104"/>
      <c r="G910" s="35"/>
      <c r="H910" s="104"/>
      <c r="I910" s="140"/>
      <c r="J910" s="74"/>
      <c r="K910" s="74"/>
      <c r="L910" s="74"/>
      <c r="M910" s="74"/>
      <c r="N910" s="74"/>
      <c r="O910" s="74"/>
      <c r="P910" s="74"/>
      <c r="Q910" s="74"/>
      <c r="R910" s="74"/>
      <c r="S910" s="74"/>
      <c r="T910" s="74"/>
      <c r="U910" s="74"/>
      <c r="V910" s="74"/>
      <c r="W910" s="74"/>
      <c r="X910" s="74"/>
      <c r="Y910" s="74"/>
      <c r="Z910" s="74"/>
      <c r="AA910" s="74"/>
      <c r="AB910" s="74"/>
    </row>
    <row r="911" spans="1:28" ht="12" customHeight="1">
      <c r="A911" s="565"/>
      <c r="B911" s="107"/>
      <c r="C911" s="107"/>
      <c r="D911" s="108"/>
      <c r="E911" s="104"/>
      <c r="F911" s="104"/>
      <c r="G911" s="35"/>
      <c r="H911" s="104"/>
      <c r="I911" s="140"/>
      <c r="J911" s="74"/>
      <c r="K911" s="74"/>
      <c r="L911" s="74"/>
      <c r="M911" s="74"/>
      <c r="N911" s="74"/>
      <c r="O911" s="74"/>
      <c r="P911" s="74"/>
      <c r="Q911" s="74"/>
      <c r="R911" s="74"/>
      <c r="S911" s="74"/>
      <c r="T911" s="74"/>
      <c r="U911" s="74"/>
      <c r="V911" s="74"/>
      <c r="W911" s="74"/>
      <c r="X911" s="74"/>
      <c r="Y911" s="74"/>
      <c r="Z911" s="74"/>
      <c r="AA911" s="74"/>
      <c r="AB911" s="74"/>
    </row>
    <row r="912" spans="1:28" ht="12" customHeight="1">
      <c r="A912" s="565"/>
      <c r="B912" s="107"/>
      <c r="C912" s="107"/>
      <c r="D912" s="108"/>
      <c r="E912" s="104"/>
      <c r="F912" s="104"/>
      <c r="G912" s="35"/>
      <c r="H912" s="104"/>
      <c r="I912" s="140"/>
      <c r="J912" s="74"/>
      <c r="K912" s="74"/>
      <c r="L912" s="74"/>
      <c r="M912" s="74"/>
      <c r="N912" s="74"/>
      <c r="O912" s="74"/>
      <c r="P912" s="74"/>
      <c r="Q912" s="74"/>
      <c r="R912" s="74"/>
      <c r="S912" s="74"/>
      <c r="T912" s="74"/>
      <c r="U912" s="74"/>
      <c r="V912" s="74"/>
      <c r="W912" s="74"/>
      <c r="X912" s="74"/>
      <c r="Y912" s="74"/>
      <c r="Z912" s="74"/>
      <c r="AA912" s="74"/>
      <c r="AB912" s="74"/>
    </row>
    <row r="913" spans="1:28" ht="12" customHeight="1">
      <c r="A913" s="565"/>
      <c r="B913" s="107"/>
      <c r="C913" s="107"/>
      <c r="D913" s="108"/>
      <c r="E913" s="104"/>
      <c r="F913" s="104"/>
      <c r="G913" s="35"/>
      <c r="H913" s="104"/>
      <c r="I913" s="140"/>
      <c r="J913" s="74"/>
      <c r="K913" s="74"/>
      <c r="L913" s="74"/>
      <c r="M913" s="74"/>
      <c r="N913" s="74"/>
      <c r="O913" s="74"/>
      <c r="P913" s="74"/>
      <c r="Q913" s="74"/>
      <c r="R913" s="74"/>
      <c r="S913" s="74"/>
      <c r="T913" s="74"/>
      <c r="U913" s="74"/>
      <c r="V913" s="74"/>
      <c r="W913" s="74"/>
      <c r="X913" s="74"/>
      <c r="Y913" s="74"/>
      <c r="Z913" s="74"/>
      <c r="AA913" s="74"/>
      <c r="AB913" s="74"/>
    </row>
    <row r="914" spans="1:28" ht="12" customHeight="1">
      <c r="A914" s="565"/>
      <c r="B914" s="107"/>
      <c r="C914" s="107"/>
      <c r="D914" s="108"/>
      <c r="E914" s="104"/>
      <c r="F914" s="104"/>
      <c r="G914" s="35"/>
      <c r="H914" s="104"/>
      <c r="I914" s="140"/>
      <c r="J914" s="74"/>
      <c r="K914" s="74"/>
      <c r="L914" s="74"/>
      <c r="M914" s="74"/>
      <c r="N914" s="74"/>
      <c r="O914" s="74"/>
      <c r="P914" s="74"/>
      <c r="Q914" s="74"/>
      <c r="R914" s="74"/>
      <c r="S914" s="74"/>
      <c r="T914" s="74"/>
      <c r="U914" s="74"/>
      <c r="V914" s="74"/>
      <c r="W914" s="74"/>
      <c r="X914" s="74"/>
      <c r="Y914" s="74"/>
      <c r="Z914" s="74"/>
      <c r="AA914" s="74"/>
      <c r="AB914" s="74"/>
    </row>
    <row r="915" spans="1:28" ht="12" customHeight="1">
      <c r="A915" s="565"/>
      <c r="B915" s="107"/>
      <c r="C915" s="107"/>
      <c r="D915" s="108"/>
      <c r="E915" s="104"/>
      <c r="F915" s="104"/>
      <c r="G915" s="35"/>
      <c r="H915" s="104"/>
      <c r="I915" s="140"/>
      <c r="J915" s="74"/>
      <c r="K915" s="74"/>
      <c r="L915" s="74"/>
      <c r="M915" s="74"/>
      <c r="N915" s="74"/>
      <c r="O915" s="74"/>
      <c r="P915" s="74"/>
      <c r="Q915" s="74"/>
      <c r="R915" s="74"/>
      <c r="S915" s="74"/>
      <c r="T915" s="74"/>
      <c r="U915" s="74"/>
      <c r="V915" s="74"/>
      <c r="W915" s="74"/>
      <c r="X915" s="74"/>
      <c r="Y915" s="74"/>
      <c r="Z915" s="74"/>
      <c r="AA915" s="74"/>
      <c r="AB915" s="74"/>
    </row>
    <row r="916" spans="1:28" ht="12" customHeight="1">
      <c r="A916" s="565"/>
      <c r="B916" s="107"/>
      <c r="C916" s="107"/>
      <c r="D916" s="108"/>
      <c r="E916" s="104"/>
      <c r="F916" s="104"/>
      <c r="G916" s="35"/>
      <c r="H916" s="104"/>
      <c r="I916" s="140"/>
      <c r="J916" s="74"/>
      <c r="K916" s="74"/>
      <c r="L916" s="74"/>
      <c r="M916" s="74"/>
      <c r="N916" s="74"/>
      <c r="O916" s="74"/>
      <c r="P916" s="74"/>
      <c r="Q916" s="74"/>
      <c r="R916" s="74"/>
      <c r="S916" s="74"/>
      <c r="T916" s="74"/>
      <c r="U916" s="74"/>
      <c r="V916" s="74"/>
      <c r="W916" s="74"/>
      <c r="X916" s="74"/>
      <c r="Y916" s="74"/>
      <c r="Z916" s="74"/>
      <c r="AA916" s="74"/>
      <c r="AB916" s="74"/>
    </row>
    <row r="917" spans="1:28" ht="12" customHeight="1">
      <c r="A917" s="565"/>
      <c r="B917" s="107"/>
      <c r="C917" s="107"/>
      <c r="D917" s="108"/>
      <c r="E917" s="104"/>
      <c r="F917" s="104"/>
      <c r="G917" s="35"/>
      <c r="H917" s="104"/>
      <c r="I917" s="140"/>
      <c r="J917" s="74"/>
      <c r="K917" s="74"/>
      <c r="L917" s="74"/>
      <c r="M917" s="74"/>
      <c r="N917" s="74"/>
      <c r="O917" s="74"/>
      <c r="P917" s="74"/>
      <c r="Q917" s="74"/>
      <c r="R917" s="74"/>
      <c r="S917" s="74"/>
      <c r="T917" s="74"/>
      <c r="U917" s="74"/>
      <c r="V917" s="74"/>
      <c r="W917" s="74"/>
      <c r="X917" s="74"/>
      <c r="Y917" s="74"/>
      <c r="Z917" s="74"/>
      <c r="AA917" s="74"/>
      <c r="AB917" s="74"/>
    </row>
    <row r="918" spans="1:28" ht="12" customHeight="1">
      <c r="A918" s="565"/>
      <c r="B918" s="107"/>
      <c r="C918" s="107"/>
      <c r="D918" s="108"/>
      <c r="E918" s="104"/>
      <c r="F918" s="104"/>
      <c r="G918" s="35"/>
      <c r="H918" s="104"/>
      <c r="I918" s="140"/>
      <c r="J918" s="74"/>
      <c r="K918" s="74"/>
      <c r="L918" s="74"/>
      <c r="M918" s="74"/>
      <c r="N918" s="74"/>
      <c r="O918" s="74"/>
      <c r="P918" s="74"/>
      <c r="Q918" s="74"/>
      <c r="R918" s="74"/>
      <c r="S918" s="74"/>
      <c r="T918" s="74"/>
      <c r="U918" s="74"/>
      <c r="V918" s="74"/>
      <c r="W918" s="74"/>
      <c r="X918" s="74"/>
      <c r="Y918" s="74"/>
      <c r="Z918" s="74"/>
      <c r="AA918" s="74"/>
      <c r="AB918" s="74"/>
    </row>
    <row r="919" spans="1:28" ht="12" customHeight="1">
      <c r="A919" s="565"/>
      <c r="B919" s="107"/>
      <c r="C919" s="107"/>
      <c r="D919" s="108"/>
      <c r="E919" s="104"/>
      <c r="F919" s="104"/>
      <c r="G919" s="35"/>
      <c r="H919" s="104"/>
      <c r="I919" s="140"/>
      <c r="J919" s="74"/>
      <c r="K919" s="74"/>
      <c r="L919" s="74"/>
      <c r="M919" s="74"/>
      <c r="N919" s="74"/>
      <c r="O919" s="74"/>
      <c r="P919" s="74"/>
      <c r="Q919" s="74"/>
      <c r="R919" s="74"/>
      <c r="S919" s="74"/>
      <c r="T919" s="74"/>
      <c r="U919" s="74"/>
      <c r="V919" s="74"/>
      <c r="W919" s="74"/>
      <c r="X919" s="74"/>
      <c r="Y919" s="74"/>
      <c r="Z919" s="74"/>
      <c r="AA919" s="74"/>
      <c r="AB919" s="74"/>
    </row>
    <row r="920" spans="1:28" ht="12" customHeight="1">
      <c r="A920" s="565"/>
      <c r="B920" s="107"/>
      <c r="C920" s="107"/>
      <c r="D920" s="108"/>
      <c r="E920" s="104"/>
      <c r="F920" s="104"/>
      <c r="G920" s="35"/>
      <c r="H920" s="104"/>
      <c r="I920" s="140"/>
      <c r="J920" s="74"/>
      <c r="K920" s="74"/>
      <c r="L920" s="74"/>
      <c r="M920" s="74"/>
      <c r="N920" s="74"/>
      <c r="O920" s="74"/>
      <c r="P920" s="74"/>
      <c r="Q920" s="74"/>
      <c r="R920" s="74"/>
      <c r="S920" s="74"/>
      <c r="T920" s="74"/>
      <c r="U920" s="74"/>
      <c r="V920" s="74"/>
      <c r="W920" s="74"/>
      <c r="X920" s="74"/>
      <c r="Y920" s="74"/>
      <c r="Z920" s="74"/>
      <c r="AA920" s="74"/>
      <c r="AB920" s="74"/>
    </row>
    <row r="921" spans="1:28" ht="12" customHeight="1">
      <c r="A921" s="565"/>
      <c r="B921" s="107"/>
      <c r="C921" s="107"/>
      <c r="D921" s="108"/>
      <c r="E921" s="104"/>
      <c r="F921" s="104"/>
      <c r="G921" s="35"/>
      <c r="H921" s="104"/>
      <c r="I921" s="140"/>
      <c r="J921" s="74"/>
      <c r="K921" s="74"/>
      <c r="L921" s="74"/>
      <c r="M921" s="74"/>
      <c r="N921" s="74"/>
      <c r="O921" s="74"/>
      <c r="P921" s="74"/>
      <c r="Q921" s="74"/>
      <c r="R921" s="74"/>
      <c r="S921" s="74"/>
      <c r="T921" s="74"/>
      <c r="U921" s="74"/>
      <c r="V921" s="74"/>
      <c r="W921" s="74"/>
      <c r="X921" s="74"/>
      <c r="Y921" s="74"/>
      <c r="Z921" s="74"/>
      <c r="AA921" s="74"/>
      <c r="AB921" s="74"/>
    </row>
    <row r="922" spans="1:28" ht="12" customHeight="1">
      <c r="A922" s="565"/>
      <c r="B922" s="107"/>
      <c r="C922" s="107"/>
      <c r="D922" s="108"/>
      <c r="E922" s="104"/>
      <c r="F922" s="104"/>
      <c r="G922" s="35"/>
      <c r="H922" s="104"/>
      <c r="I922" s="140"/>
      <c r="J922" s="74"/>
      <c r="K922" s="74"/>
      <c r="L922" s="74"/>
      <c r="M922" s="74"/>
      <c r="N922" s="74"/>
      <c r="O922" s="74"/>
      <c r="P922" s="74"/>
      <c r="Q922" s="74"/>
      <c r="R922" s="74"/>
      <c r="S922" s="74"/>
      <c r="T922" s="74"/>
      <c r="U922" s="74"/>
      <c r="V922" s="74"/>
      <c r="W922" s="74"/>
      <c r="X922" s="74"/>
      <c r="Y922" s="74"/>
      <c r="Z922" s="74"/>
      <c r="AA922" s="74"/>
      <c r="AB922" s="74"/>
    </row>
    <row r="923" spans="1:28" ht="12" customHeight="1">
      <c r="A923" s="565"/>
      <c r="B923" s="107"/>
      <c r="C923" s="107"/>
      <c r="D923" s="108"/>
      <c r="E923" s="104"/>
      <c r="F923" s="104"/>
      <c r="G923" s="35"/>
      <c r="H923" s="104"/>
      <c r="I923" s="140"/>
      <c r="J923" s="74"/>
      <c r="K923" s="74"/>
      <c r="L923" s="74"/>
      <c r="M923" s="74"/>
      <c r="N923" s="74"/>
      <c r="O923" s="74"/>
      <c r="P923" s="74"/>
      <c r="Q923" s="74"/>
      <c r="R923" s="74"/>
      <c r="S923" s="74"/>
      <c r="T923" s="74"/>
      <c r="U923" s="74"/>
      <c r="V923" s="74"/>
      <c r="W923" s="74"/>
      <c r="X923" s="74"/>
      <c r="Y923" s="74"/>
      <c r="Z923" s="74"/>
      <c r="AA923" s="74"/>
      <c r="AB923" s="74"/>
    </row>
    <row r="924" spans="1:28" ht="12" customHeight="1">
      <c r="A924" s="565"/>
      <c r="B924" s="107"/>
      <c r="C924" s="107"/>
      <c r="D924" s="108"/>
      <c r="E924" s="104"/>
      <c r="F924" s="104"/>
      <c r="G924" s="35"/>
      <c r="H924" s="104"/>
      <c r="I924" s="140"/>
      <c r="J924" s="74"/>
      <c r="K924" s="74"/>
      <c r="L924" s="74"/>
      <c r="M924" s="74"/>
      <c r="N924" s="74"/>
      <c r="O924" s="74"/>
      <c r="P924" s="74"/>
      <c r="Q924" s="74"/>
      <c r="R924" s="74"/>
      <c r="S924" s="74"/>
      <c r="T924" s="74"/>
      <c r="U924" s="74"/>
      <c r="V924" s="74"/>
      <c r="W924" s="74"/>
      <c r="X924" s="74"/>
      <c r="Y924" s="74"/>
      <c r="Z924" s="74"/>
      <c r="AA924" s="74"/>
      <c r="AB924" s="74"/>
    </row>
    <row r="925" spans="1:28" ht="12" customHeight="1">
      <c r="A925" s="565"/>
      <c r="B925" s="107"/>
      <c r="C925" s="107"/>
      <c r="D925" s="108"/>
      <c r="E925" s="104"/>
      <c r="F925" s="104"/>
      <c r="G925" s="35"/>
      <c r="H925" s="104"/>
      <c r="I925" s="140"/>
      <c r="J925" s="74"/>
      <c r="K925" s="74"/>
      <c r="L925" s="74"/>
      <c r="M925" s="74"/>
      <c r="N925" s="74"/>
      <c r="O925" s="74"/>
      <c r="P925" s="74"/>
      <c r="Q925" s="74"/>
      <c r="R925" s="74"/>
      <c r="S925" s="74"/>
      <c r="T925" s="74"/>
      <c r="U925" s="74"/>
      <c r="V925" s="74"/>
      <c r="W925" s="74"/>
      <c r="X925" s="74"/>
      <c r="Y925" s="74"/>
      <c r="Z925" s="74"/>
      <c r="AA925" s="74"/>
      <c r="AB925" s="74"/>
    </row>
    <row r="926" spans="1:28" ht="12" customHeight="1">
      <c r="A926" s="565"/>
      <c r="B926" s="107"/>
      <c r="C926" s="107"/>
      <c r="D926" s="108"/>
      <c r="E926" s="104"/>
      <c r="F926" s="104"/>
      <c r="G926" s="35"/>
      <c r="H926" s="104"/>
      <c r="I926" s="140"/>
      <c r="J926" s="74"/>
      <c r="K926" s="74"/>
      <c r="L926" s="74"/>
      <c r="M926" s="74"/>
      <c r="N926" s="74"/>
      <c r="O926" s="74"/>
      <c r="P926" s="74"/>
      <c r="Q926" s="74"/>
      <c r="R926" s="74"/>
      <c r="S926" s="74"/>
      <c r="T926" s="74"/>
      <c r="U926" s="74"/>
      <c r="V926" s="74"/>
      <c r="W926" s="74"/>
      <c r="X926" s="74"/>
      <c r="Y926" s="74"/>
      <c r="Z926" s="74"/>
      <c r="AA926" s="74"/>
      <c r="AB926" s="74"/>
    </row>
    <row r="927" spans="1:28" ht="12" customHeight="1">
      <c r="A927" s="565"/>
      <c r="B927" s="107"/>
      <c r="C927" s="107"/>
      <c r="D927" s="108"/>
      <c r="E927" s="104"/>
      <c r="F927" s="104"/>
      <c r="G927" s="35"/>
      <c r="H927" s="104"/>
      <c r="I927" s="140"/>
      <c r="J927" s="74"/>
      <c r="K927" s="74"/>
      <c r="L927" s="74"/>
      <c r="M927" s="74"/>
      <c r="N927" s="74"/>
      <c r="O927" s="74"/>
      <c r="P927" s="74"/>
      <c r="Q927" s="74"/>
      <c r="R927" s="74"/>
      <c r="S927" s="74"/>
      <c r="T927" s="74"/>
      <c r="U927" s="74"/>
      <c r="V927" s="74"/>
      <c r="W927" s="74"/>
      <c r="X927" s="74"/>
      <c r="Y927" s="74"/>
      <c r="Z927" s="74"/>
      <c r="AA927" s="74"/>
      <c r="AB927" s="74"/>
    </row>
    <row r="928" spans="1:28" ht="12" customHeight="1">
      <c r="A928" s="565"/>
      <c r="B928" s="107"/>
      <c r="C928" s="107"/>
      <c r="D928" s="108"/>
      <c r="E928" s="104"/>
      <c r="F928" s="104"/>
      <c r="G928" s="35"/>
      <c r="H928" s="104"/>
      <c r="I928" s="140"/>
      <c r="J928" s="74"/>
      <c r="K928" s="74"/>
      <c r="L928" s="74"/>
      <c r="M928" s="74"/>
      <c r="N928" s="74"/>
      <c r="O928" s="74"/>
      <c r="P928" s="74"/>
      <c r="Q928" s="74"/>
      <c r="R928" s="74"/>
      <c r="S928" s="74"/>
      <c r="T928" s="74"/>
      <c r="U928" s="74"/>
      <c r="V928" s="74"/>
      <c r="W928" s="74"/>
      <c r="X928" s="74"/>
      <c r="Y928" s="74"/>
      <c r="Z928" s="74"/>
      <c r="AA928" s="74"/>
      <c r="AB928" s="74"/>
    </row>
    <row r="929" spans="1:28" ht="12" customHeight="1">
      <c r="A929" s="565"/>
      <c r="B929" s="107"/>
      <c r="C929" s="107"/>
      <c r="D929" s="108"/>
      <c r="E929" s="104"/>
      <c r="F929" s="104"/>
      <c r="G929" s="35"/>
      <c r="H929" s="104"/>
      <c r="I929" s="140"/>
      <c r="J929" s="74"/>
      <c r="K929" s="74"/>
      <c r="L929" s="74"/>
      <c r="M929" s="74"/>
      <c r="N929" s="74"/>
      <c r="O929" s="74"/>
      <c r="P929" s="74"/>
      <c r="Q929" s="74"/>
      <c r="R929" s="74"/>
      <c r="S929" s="74"/>
      <c r="T929" s="74"/>
      <c r="U929" s="74"/>
      <c r="V929" s="74"/>
      <c r="W929" s="74"/>
      <c r="X929" s="74"/>
      <c r="Y929" s="74"/>
      <c r="Z929" s="74"/>
      <c r="AA929" s="74"/>
      <c r="AB929" s="74"/>
    </row>
    <row r="930" spans="1:28" ht="12" customHeight="1">
      <c r="A930" s="565"/>
      <c r="B930" s="107"/>
      <c r="C930" s="107"/>
      <c r="D930" s="108"/>
      <c r="E930" s="104"/>
      <c r="F930" s="104"/>
      <c r="G930" s="35"/>
      <c r="H930" s="104"/>
      <c r="I930" s="140"/>
      <c r="J930" s="74"/>
      <c r="K930" s="74"/>
      <c r="L930" s="74"/>
      <c r="M930" s="74"/>
      <c r="N930" s="74"/>
      <c r="O930" s="74"/>
      <c r="P930" s="74"/>
      <c r="Q930" s="74"/>
      <c r="R930" s="74"/>
      <c r="S930" s="74"/>
      <c r="T930" s="74"/>
      <c r="U930" s="74"/>
      <c r="V930" s="74"/>
      <c r="W930" s="74"/>
      <c r="X930" s="74"/>
      <c r="Y930" s="74"/>
      <c r="Z930" s="74"/>
      <c r="AA930" s="74"/>
      <c r="AB930" s="74"/>
    </row>
    <row r="931" spans="1:28" ht="12" customHeight="1">
      <c r="A931" s="565"/>
      <c r="B931" s="107"/>
      <c r="C931" s="107"/>
      <c r="D931" s="108"/>
      <c r="E931" s="104"/>
      <c r="F931" s="104"/>
      <c r="G931" s="35"/>
      <c r="H931" s="104"/>
      <c r="I931" s="140"/>
      <c r="J931" s="74"/>
      <c r="K931" s="74"/>
      <c r="L931" s="74"/>
      <c r="M931" s="74"/>
      <c r="N931" s="74"/>
      <c r="O931" s="74"/>
      <c r="P931" s="74"/>
      <c r="Q931" s="74"/>
      <c r="R931" s="74"/>
      <c r="S931" s="74"/>
      <c r="T931" s="74"/>
      <c r="U931" s="74"/>
      <c r="V931" s="74"/>
      <c r="W931" s="74"/>
      <c r="X931" s="74"/>
      <c r="Y931" s="74"/>
      <c r="Z931" s="74"/>
      <c r="AA931" s="74"/>
      <c r="AB931" s="74"/>
    </row>
    <row r="932" spans="1:28" ht="12" customHeight="1">
      <c r="A932" s="565"/>
      <c r="B932" s="107"/>
      <c r="C932" s="107"/>
      <c r="D932" s="108"/>
      <c r="E932" s="104"/>
      <c r="F932" s="104"/>
      <c r="G932" s="35"/>
      <c r="H932" s="104"/>
      <c r="I932" s="140"/>
      <c r="J932" s="74"/>
      <c r="K932" s="74"/>
      <c r="L932" s="74"/>
      <c r="M932" s="74"/>
      <c r="N932" s="74"/>
      <c r="O932" s="74"/>
      <c r="P932" s="74"/>
      <c r="Q932" s="74"/>
      <c r="R932" s="74"/>
      <c r="S932" s="74"/>
      <c r="T932" s="74"/>
      <c r="U932" s="74"/>
      <c r="V932" s="74"/>
      <c r="W932" s="74"/>
      <c r="X932" s="74"/>
      <c r="Y932" s="74"/>
      <c r="Z932" s="74"/>
      <c r="AA932" s="74"/>
      <c r="AB932" s="74"/>
    </row>
    <row r="933" spans="1:28" ht="12" customHeight="1">
      <c r="A933" s="565"/>
      <c r="B933" s="107"/>
      <c r="C933" s="107"/>
      <c r="D933" s="108"/>
      <c r="E933" s="104"/>
      <c r="F933" s="104"/>
      <c r="G933" s="35"/>
      <c r="H933" s="104"/>
      <c r="I933" s="140"/>
      <c r="J933" s="74"/>
      <c r="K933" s="74"/>
      <c r="L933" s="74"/>
      <c r="M933" s="74"/>
      <c r="N933" s="74"/>
      <c r="O933" s="74"/>
      <c r="P933" s="74"/>
      <c r="Q933" s="74"/>
      <c r="R933" s="74"/>
      <c r="S933" s="74"/>
      <c r="T933" s="74"/>
      <c r="U933" s="74"/>
      <c r="V933" s="74"/>
      <c r="W933" s="74"/>
      <c r="X933" s="74"/>
      <c r="Y933" s="74"/>
      <c r="Z933" s="74"/>
      <c r="AA933" s="74"/>
      <c r="AB933" s="74"/>
    </row>
    <row r="934" spans="1:28" ht="12" customHeight="1">
      <c r="A934" s="565"/>
      <c r="B934" s="107"/>
      <c r="C934" s="107"/>
      <c r="D934" s="108"/>
      <c r="E934" s="104"/>
      <c r="F934" s="104"/>
      <c r="G934" s="35"/>
      <c r="H934" s="104"/>
      <c r="I934" s="140"/>
      <c r="J934" s="74"/>
      <c r="K934" s="74"/>
      <c r="L934" s="74"/>
      <c r="M934" s="74"/>
      <c r="N934" s="74"/>
      <c r="O934" s="74"/>
      <c r="P934" s="74"/>
      <c r="Q934" s="74"/>
      <c r="R934" s="74"/>
      <c r="S934" s="74"/>
      <c r="T934" s="74"/>
      <c r="U934" s="74"/>
      <c r="V934" s="74"/>
      <c r="W934" s="74"/>
      <c r="X934" s="74"/>
      <c r="Y934" s="74"/>
      <c r="Z934" s="74"/>
      <c r="AA934" s="74"/>
      <c r="AB934" s="74"/>
    </row>
    <row r="935" spans="1:28" ht="12" customHeight="1">
      <c r="A935" s="565"/>
      <c r="B935" s="107"/>
      <c r="C935" s="107"/>
      <c r="D935" s="108"/>
      <c r="E935" s="104"/>
      <c r="F935" s="104"/>
      <c r="G935" s="35"/>
      <c r="H935" s="104"/>
      <c r="I935" s="140"/>
      <c r="J935" s="74"/>
      <c r="K935" s="74"/>
      <c r="L935" s="74"/>
      <c r="M935" s="74"/>
      <c r="N935" s="74"/>
      <c r="O935" s="74"/>
      <c r="P935" s="74"/>
      <c r="Q935" s="74"/>
      <c r="R935" s="74"/>
      <c r="S935" s="74"/>
      <c r="T935" s="74"/>
      <c r="U935" s="74"/>
      <c r="V935" s="74"/>
      <c r="W935" s="74"/>
      <c r="X935" s="74"/>
      <c r="Y935" s="74"/>
      <c r="Z935" s="74"/>
      <c r="AA935" s="74"/>
      <c r="AB935" s="74"/>
    </row>
    <row r="936" spans="1:28" ht="12" customHeight="1">
      <c r="A936" s="565"/>
      <c r="B936" s="107"/>
      <c r="C936" s="107"/>
      <c r="D936" s="108"/>
      <c r="E936" s="104"/>
      <c r="F936" s="104"/>
      <c r="G936" s="35"/>
      <c r="H936" s="104"/>
      <c r="I936" s="140"/>
      <c r="J936" s="74"/>
      <c r="K936" s="74"/>
      <c r="L936" s="74"/>
      <c r="M936" s="74"/>
      <c r="N936" s="74"/>
      <c r="O936" s="74"/>
      <c r="P936" s="74"/>
      <c r="Q936" s="74"/>
      <c r="R936" s="74"/>
      <c r="S936" s="74"/>
      <c r="T936" s="74"/>
      <c r="U936" s="74"/>
      <c r="V936" s="74"/>
      <c r="W936" s="74"/>
      <c r="X936" s="74"/>
      <c r="Y936" s="74"/>
      <c r="Z936" s="74"/>
      <c r="AA936" s="74"/>
      <c r="AB936" s="74"/>
    </row>
    <row r="937" spans="1:28" ht="12" customHeight="1">
      <c r="A937" s="565"/>
      <c r="B937" s="107"/>
      <c r="C937" s="107"/>
      <c r="D937" s="108"/>
      <c r="E937" s="104"/>
      <c r="F937" s="104"/>
      <c r="G937" s="35"/>
      <c r="H937" s="104"/>
      <c r="I937" s="140"/>
      <c r="J937" s="74"/>
      <c r="K937" s="74"/>
      <c r="L937" s="74"/>
      <c r="M937" s="74"/>
      <c r="N937" s="74"/>
      <c r="O937" s="74"/>
      <c r="P937" s="74"/>
      <c r="Q937" s="74"/>
      <c r="R937" s="74"/>
      <c r="S937" s="74"/>
      <c r="T937" s="74"/>
      <c r="U937" s="74"/>
      <c r="V937" s="74"/>
      <c r="W937" s="74"/>
      <c r="X937" s="74"/>
      <c r="Y937" s="74"/>
      <c r="Z937" s="74"/>
      <c r="AA937" s="74"/>
      <c r="AB937" s="74"/>
    </row>
    <row r="938" spans="1:28" ht="12" customHeight="1">
      <c r="A938" s="565"/>
      <c r="B938" s="107"/>
      <c r="C938" s="107"/>
      <c r="D938" s="108"/>
      <c r="E938" s="104"/>
      <c r="F938" s="104"/>
      <c r="G938" s="35"/>
      <c r="H938" s="104"/>
      <c r="I938" s="140"/>
      <c r="J938" s="74"/>
      <c r="K938" s="74"/>
      <c r="L938" s="74"/>
      <c r="M938" s="74"/>
      <c r="N938" s="74"/>
      <c r="O938" s="74"/>
      <c r="P938" s="74"/>
      <c r="Q938" s="74"/>
      <c r="R938" s="74"/>
      <c r="S938" s="74"/>
      <c r="T938" s="74"/>
      <c r="U938" s="74"/>
      <c r="V938" s="74"/>
      <c r="W938" s="74"/>
      <c r="X938" s="74"/>
      <c r="Y938" s="74"/>
      <c r="Z938" s="74"/>
      <c r="AA938" s="74"/>
      <c r="AB938" s="74"/>
    </row>
    <row r="939" spans="1:28" ht="12" customHeight="1">
      <c r="A939" s="565"/>
      <c r="B939" s="107"/>
      <c r="C939" s="107"/>
      <c r="D939" s="108"/>
      <c r="E939" s="104"/>
      <c r="F939" s="104"/>
      <c r="G939" s="35"/>
      <c r="H939" s="104"/>
      <c r="I939" s="140"/>
      <c r="J939" s="74"/>
      <c r="K939" s="74"/>
      <c r="L939" s="74"/>
      <c r="M939" s="74"/>
      <c r="N939" s="74"/>
      <c r="O939" s="74"/>
      <c r="P939" s="74"/>
      <c r="Q939" s="74"/>
      <c r="R939" s="74"/>
      <c r="S939" s="74"/>
      <c r="T939" s="74"/>
      <c r="U939" s="74"/>
      <c r="V939" s="74"/>
      <c r="W939" s="74"/>
      <c r="X939" s="74"/>
      <c r="Y939" s="74"/>
      <c r="Z939" s="74"/>
      <c r="AA939" s="74"/>
      <c r="AB939" s="74"/>
    </row>
    <row r="940" spans="1:28" ht="12" customHeight="1">
      <c r="A940" s="565"/>
      <c r="B940" s="107"/>
      <c r="C940" s="107"/>
      <c r="D940" s="108"/>
      <c r="E940" s="104"/>
      <c r="F940" s="104"/>
      <c r="G940" s="35"/>
      <c r="H940" s="104"/>
      <c r="I940" s="140"/>
      <c r="J940" s="74"/>
      <c r="K940" s="74"/>
      <c r="L940" s="74"/>
      <c r="M940" s="74"/>
      <c r="N940" s="74"/>
      <c r="O940" s="74"/>
      <c r="P940" s="74"/>
      <c r="Q940" s="74"/>
      <c r="R940" s="74"/>
      <c r="S940" s="74"/>
      <c r="T940" s="74"/>
      <c r="U940" s="74"/>
      <c r="V940" s="74"/>
      <c r="W940" s="74"/>
      <c r="X940" s="74"/>
      <c r="Y940" s="74"/>
      <c r="Z940" s="74"/>
      <c r="AA940" s="74"/>
      <c r="AB940" s="74"/>
    </row>
    <row r="941" spans="1:28" ht="12" customHeight="1">
      <c r="A941" s="565"/>
      <c r="B941" s="107"/>
      <c r="C941" s="107"/>
      <c r="D941" s="108"/>
      <c r="E941" s="104"/>
      <c r="F941" s="104"/>
      <c r="G941" s="35"/>
      <c r="H941" s="104"/>
      <c r="I941" s="140"/>
      <c r="J941" s="74"/>
      <c r="K941" s="74"/>
      <c r="L941" s="74"/>
      <c r="M941" s="74"/>
      <c r="N941" s="74"/>
      <c r="O941" s="74"/>
      <c r="P941" s="74"/>
      <c r="Q941" s="74"/>
      <c r="R941" s="74"/>
      <c r="S941" s="74"/>
      <c r="T941" s="74"/>
      <c r="U941" s="74"/>
      <c r="V941" s="74"/>
      <c r="W941" s="74"/>
      <c r="X941" s="74"/>
      <c r="Y941" s="74"/>
      <c r="Z941" s="74"/>
      <c r="AA941" s="74"/>
      <c r="AB941" s="74"/>
    </row>
    <row r="942" spans="1:28" ht="12" customHeight="1">
      <c r="A942" s="565"/>
      <c r="B942" s="107"/>
      <c r="C942" s="107"/>
      <c r="D942" s="108"/>
      <c r="E942" s="104"/>
      <c r="F942" s="104"/>
      <c r="G942" s="35"/>
      <c r="H942" s="104"/>
      <c r="I942" s="140"/>
      <c r="J942" s="74"/>
      <c r="K942" s="74"/>
      <c r="L942" s="74"/>
      <c r="M942" s="74"/>
      <c r="N942" s="74"/>
      <c r="O942" s="74"/>
      <c r="P942" s="74"/>
      <c r="Q942" s="74"/>
      <c r="R942" s="74"/>
      <c r="S942" s="74"/>
      <c r="T942" s="74"/>
      <c r="U942" s="74"/>
      <c r="V942" s="74"/>
      <c r="W942" s="74"/>
      <c r="X942" s="74"/>
      <c r="Y942" s="74"/>
      <c r="Z942" s="74"/>
      <c r="AA942" s="74"/>
      <c r="AB942" s="74"/>
    </row>
    <row r="943" spans="1:28" ht="12" customHeight="1">
      <c r="A943" s="565"/>
      <c r="B943" s="107"/>
      <c r="C943" s="107"/>
      <c r="D943" s="108"/>
      <c r="E943" s="104"/>
      <c r="F943" s="104"/>
      <c r="G943" s="35"/>
      <c r="H943" s="104"/>
      <c r="I943" s="140"/>
      <c r="J943" s="74"/>
      <c r="K943" s="74"/>
      <c r="L943" s="74"/>
      <c r="M943" s="74"/>
      <c r="N943" s="74"/>
      <c r="O943" s="74"/>
      <c r="P943" s="74"/>
      <c r="Q943" s="74"/>
      <c r="R943" s="74"/>
      <c r="S943" s="74"/>
      <c r="T943" s="74"/>
      <c r="U943" s="74"/>
      <c r="V943" s="74"/>
      <c r="W943" s="74"/>
      <c r="X943" s="74"/>
      <c r="Y943" s="74"/>
      <c r="Z943" s="74"/>
      <c r="AA943" s="74"/>
      <c r="AB943" s="74"/>
    </row>
    <row r="944" spans="1:28" ht="12" customHeight="1">
      <c r="A944" s="565"/>
      <c r="B944" s="107"/>
      <c r="C944" s="107"/>
      <c r="D944" s="108"/>
      <c r="E944" s="104"/>
      <c r="F944" s="104"/>
      <c r="G944" s="35"/>
      <c r="H944" s="104"/>
      <c r="I944" s="140"/>
      <c r="J944" s="74"/>
      <c r="K944" s="74"/>
      <c r="L944" s="74"/>
      <c r="M944" s="74"/>
      <c r="N944" s="74"/>
      <c r="O944" s="74"/>
      <c r="P944" s="74"/>
      <c r="Q944" s="74"/>
      <c r="R944" s="74"/>
      <c r="S944" s="74"/>
      <c r="T944" s="74"/>
      <c r="U944" s="74"/>
      <c r="V944" s="74"/>
      <c r="W944" s="74"/>
      <c r="X944" s="74"/>
      <c r="Y944" s="74"/>
      <c r="Z944" s="74"/>
      <c r="AA944" s="74"/>
      <c r="AB944" s="74"/>
    </row>
    <row r="945" spans="1:28" ht="12" customHeight="1">
      <c r="A945" s="565"/>
      <c r="B945" s="107"/>
      <c r="C945" s="107"/>
      <c r="D945" s="108"/>
      <c r="E945" s="104"/>
      <c r="F945" s="104"/>
      <c r="G945" s="35"/>
      <c r="H945" s="104"/>
      <c r="I945" s="140"/>
      <c r="J945" s="74"/>
      <c r="K945" s="74"/>
      <c r="L945" s="74"/>
      <c r="M945" s="74"/>
      <c r="N945" s="74"/>
      <c r="O945" s="74"/>
      <c r="P945" s="74"/>
      <c r="Q945" s="74"/>
      <c r="R945" s="74"/>
      <c r="S945" s="74"/>
      <c r="T945" s="74"/>
      <c r="U945" s="74"/>
      <c r="V945" s="74"/>
      <c r="W945" s="74"/>
      <c r="X945" s="74"/>
      <c r="Y945" s="74"/>
      <c r="Z945" s="74"/>
      <c r="AA945" s="74"/>
      <c r="AB945" s="74"/>
    </row>
    <row r="946" spans="1:28" ht="12" customHeight="1">
      <c r="A946" s="565"/>
      <c r="B946" s="107"/>
      <c r="C946" s="107"/>
      <c r="D946" s="108"/>
      <c r="E946" s="104"/>
      <c r="F946" s="104"/>
      <c r="G946" s="35"/>
      <c r="H946" s="104"/>
      <c r="I946" s="140"/>
      <c r="J946" s="74"/>
      <c r="K946" s="74"/>
      <c r="L946" s="74"/>
      <c r="M946" s="74"/>
      <c r="N946" s="74"/>
      <c r="O946" s="74"/>
      <c r="P946" s="74"/>
      <c r="Q946" s="74"/>
      <c r="R946" s="74"/>
      <c r="S946" s="74"/>
      <c r="T946" s="74"/>
      <c r="U946" s="74"/>
      <c r="V946" s="74"/>
      <c r="W946" s="74"/>
      <c r="X946" s="74"/>
      <c r="Y946" s="74"/>
      <c r="Z946" s="74"/>
      <c r="AA946" s="74"/>
      <c r="AB946" s="74"/>
    </row>
    <row r="947" spans="1:28" ht="12" customHeight="1">
      <c r="A947" s="565"/>
      <c r="B947" s="107"/>
      <c r="C947" s="107"/>
      <c r="D947" s="108"/>
      <c r="E947" s="104"/>
      <c r="F947" s="104"/>
      <c r="G947" s="35"/>
      <c r="H947" s="104"/>
      <c r="I947" s="140"/>
      <c r="J947" s="74"/>
      <c r="K947" s="74"/>
      <c r="L947" s="74"/>
      <c r="M947" s="74"/>
      <c r="N947" s="74"/>
      <c r="O947" s="74"/>
      <c r="P947" s="74"/>
      <c r="Q947" s="74"/>
      <c r="R947" s="74"/>
      <c r="S947" s="74"/>
      <c r="T947" s="74"/>
      <c r="U947" s="74"/>
      <c r="V947" s="74"/>
      <c r="W947" s="74"/>
      <c r="X947" s="74"/>
      <c r="Y947" s="74"/>
      <c r="Z947" s="74"/>
      <c r="AA947" s="74"/>
      <c r="AB947" s="74"/>
    </row>
    <row r="948" spans="1:28" ht="12" customHeight="1">
      <c r="A948" s="565"/>
      <c r="B948" s="107"/>
      <c r="C948" s="107"/>
      <c r="D948" s="108"/>
      <c r="E948" s="104"/>
      <c r="F948" s="104"/>
      <c r="G948" s="35"/>
      <c r="H948" s="104"/>
      <c r="I948" s="140"/>
      <c r="J948" s="74"/>
      <c r="K948" s="74"/>
      <c r="L948" s="74"/>
      <c r="M948" s="74"/>
      <c r="N948" s="74"/>
      <c r="O948" s="74"/>
      <c r="P948" s="74"/>
      <c r="Q948" s="74"/>
      <c r="R948" s="74"/>
      <c r="S948" s="74"/>
      <c r="T948" s="74"/>
      <c r="U948" s="74"/>
      <c r="V948" s="74"/>
      <c r="W948" s="74"/>
      <c r="X948" s="74"/>
      <c r="Y948" s="74"/>
      <c r="Z948" s="74"/>
      <c r="AA948" s="74"/>
      <c r="AB948" s="74"/>
    </row>
    <row r="949" spans="1:28" ht="12" customHeight="1">
      <c r="A949" s="565"/>
      <c r="B949" s="107"/>
      <c r="C949" s="107"/>
      <c r="D949" s="108"/>
      <c r="E949" s="104"/>
      <c r="F949" s="104"/>
      <c r="G949" s="35"/>
      <c r="H949" s="104"/>
      <c r="I949" s="140"/>
      <c r="J949" s="74"/>
      <c r="K949" s="74"/>
      <c r="L949" s="74"/>
      <c r="M949" s="74"/>
      <c r="N949" s="74"/>
      <c r="O949" s="74"/>
      <c r="P949" s="74"/>
      <c r="Q949" s="74"/>
      <c r="R949" s="74"/>
      <c r="S949" s="74"/>
      <c r="T949" s="74"/>
      <c r="U949" s="74"/>
      <c r="V949" s="74"/>
      <c r="W949" s="74"/>
      <c r="X949" s="74"/>
      <c r="Y949" s="74"/>
      <c r="Z949" s="74"/>
      <c r="AA949" s="74"/>
      <c r="AB949" s="74"/>
    </row>
    <row r="950" spans="1:28" ht="12" customHeight="1">
      <c r="A950" s="565"/>
      <c r="B950" s="107"/>
      <c r="C950" s="107"/>
      <c r="D950" s="108"/>
      <c r="E950" s="104"/>
      <c r="F950" s="104"/>
      <c r="G950" s="35"/>
      <c r="H950" s="104"/>
      <c r="I950" s="140"/>
      <c r="J950" s="74"/>
      <c r="K950" s="74"/>
      <c r="L950" s="74"/>
      <c r="M950" s="74"/>
      <c r="N950" s="74"/>
      <c r="O950" s="74"/>
      <c r="P950" s="74"/>
      <c r="Q950" s="74"/>
      <c r="R950" s="74"/>
      <c r="S950" s="74"/>
      <c r="T950" s="74"/>
      <c r="U950" s="74"/>
      <c r="V950" s="74"/>
      <c r="W950" s="74"/>
      <c r="X950" s="74"/>
      <c r="Y950" s="74"/>
      <c r="Z950" s="74"/>
      <c r="AA950" s="74"/>
      <c r="AB950" s="74"/>
    </row>
    <row r="951" spans="1:28" ht="12" customHeight="1">
      <c r="A951" s="565"/>
      <c r="B951" s="107"/>
      <c r="C951" s="107"/>
      <c r="D951" s="108"/>
      <c r="E951" s="104"/>
      <c r="F951" s="104"/>
      <c r="G951" s="35"/>
      <c r="H951" s="104"/>
      <c r="I951" s="140"/>
      <c r="J951" s="74"/>
      <c r="K951" s="74"/>
      <c r="L951" s="74"/>
      <c r="M951" s="74"/>
      <c r="N951" s="74"/>
      <c r="O951" s="74"/>
      <c r="P951" s="74"/>
      <c r="Q951" s="74"/>
      <c r="R951" s="74"/>
      <c r="S951" s="74"/>
      <c r="T951" s="74"/>
      <c r="U951" s="74"/>
      <c r="V951" s="74"/>
      <c r="W951" s="74"/>
      <c r="X951" s="74"/>
      <c r="Y951" s="74"/>
      <c r="Z951" s="74"/>
      <c r="AA951" s="74"/>
      <c r="AB951" s="74"/>
    </row>
    <row r="952" spans="1:28" ht="12" customHeight="1">
      <c r="A952" s="565"/>
      <c r="B952" s="107"/>
      <c r="C952" s="107"/>
      <c r="D952" s="108"/>
      <c r="E952" s="104"/>
      <c r="F952" s="104"/>
      <c r="G952" s="35"/>
      <c r="H952" s="104"/>
      <c r="I952" s="140"/>
      <c r="J952" s="74"/>
      <c r="K952" s="74"/>
      <c r="L952" s="74"/>
      <c r="M952" s="74"/>
      <c r="N952" s="74"/>
      <c r="O952" s="74"/>
      <c r="P952" s="74"/>
      <c r="Q952" s="74"/>
      <c r="R952" s="74"/>
      <c r="S952" s="74"/>
      <c r="T952" s="74"/>
      <c r="U952" s="74"/>
      <c r="V952" s="74"/>
      <c r="W952" s="74"/>
      <c r="X952" s="74"/>
      <c r="Y952" s="74"/>
      <c r="Z952" s="74"/>
      <c r="AA952" s="74"/>
      <c r="AB952" s="74"/>
    </row>
    <row r="953" spans="1:28" ht="12" customHeight="1">
      <c r="A953" s="565"/>
      <c r="B953" s="107"/>
      <c r="C953" s="107"/>
      <c r="D953" s="108"/>
      <c r="E953" s="104"/>
      <c r="F953" s="104"/>
      <c r="G953" s="35"/>
      <c r="H953" s="104"/>
      <c r="I953" s="140"/>
      <c r="J953" s="74"/>
      <c r="K953" s="74"/>
      <c r="L953" s="74"/>
      <c r="M953" s="74"/>
      <c r="N953" s="74"/>
      <c r="O953" s="74"/>
      <c r="P953" s="74"/>
      <c r="Q953" s="74"/>
      <c r="R953" s="74"/>
      <c r="S953" s="74"/>
      <c r="T953" s="74"/>
      <c r="U953" s="74"/>
      <c r="V953" s="74"/>
      <c r="W953" s="74"/>
      <c r="X953" s="74"/>
      <c r="Y953" s="74"/>
      <c r="Z953" s="74"/>
      <c r="AA953" s="74"/>
      <c r="AB953" s="74"/>
    </row>
    <row r="954" spans="1:28" ht="12" customHeight="1">
      <c r="A954" s="565"/>
      <c r="B954" s="107"/>
      <c r="C954" s="107"/>
      <c r="D954" s="108"/>
      <c r="E954" s="104"/>
      <c r="F954" s="104"/>
      <c r="G954" s="35"/>
      <c r="H954" s="104"/>
      <c r="I954" s="140"/>
      <c r="J954" s="74"/>
      <c r="K954" s="74"/>
      <c r="L954" s="74"/>
      <c r="M954" s="74"/>
      <c r="N954" s="74"/>
      <c r="O954" s="74"/>
      <c r="P954" s="74"/>
      <c r="Q954" s="74"/>
      <c r="R954" s="74"/>
      <c r="S954" s="74"/>
      <c r="T954" s="74"/>
      <c r="U954" s="74"/>
      <c r="V954" s="74"/>
      <c r="W954" s="74"/>
      <c r="X954" s="74"/>
      <c r="Y954" s="74"/>
      <c r="Z954" s="74"/>
      <c r="AA954" s="74"/>
      <c r="AB954" s="74"/>
    </row>
    <row r="955" spans="1:28" ht="12" customHeight="1">
      <c r="A955" s="565"/>
      <c r="B955" s="107"/>
      <c r="C955" s="107"/>
      <c r="D955" s="108"/>
      <c r="E955" s="104"/>
      <c r="F955" s="104"/>
      <c r="G955" s="35"/>
      <c r="H955" s="104"/>
      <c r="I955" s="140"/>
      <c r="J955" s="74"/>
      <c r="K955" s="74"/>
      <c r="L955" s="74"/>
      <c r="M955" s="74"/>
      <c r="N955" s="74"/>
      <c r="O955" s="74"/>
      <c r="P955" s="74"/>
      <c r="Q955" s="74"/>
      <c r="R955" s="74"/>
      <c r="S955" s="74"/>
      <c r="T955" s="74"/>
      <c r="U955" s="74"/>
      <c r="V955" s="74"/>
      <c r="W955" s="74"/>
      <c r="X955" s="74"/>
      <c r="Y955" s="74"/>
      <c r="Z955" s="74"/>
      <c r="AA955" s="74"/>
      <c r="AB955" s="74"/>
    </row>
    <row r="956" spans="1:28" ht="12" customHeight="1">
      <c r="A956" s="565"/>
      <c r="B956" s="107"/>
      <c r="C956" s="107"/>
      <c r="D956" s="108"/>
      <c r="E956" s="104"/>
      <c r="F956" s="104"/>
      <c r="G956" s="35"/>
      <c r="H956" s="104"/>
      <c r="I956" s="140"/>
      <c r="J956" s="74"/>
      <c r="K956" s="74"/>
      <c r="L956" s="74"/>
      <c r="M956" s="74"/>
      <c r="N956" s="74"/>
      <c r="O956" s="74"/>
      <c r="P956" s="74"/>
      <c r="Q956" s="74"/>
      <c r="R956" s="74"/>
      <c r="S956" s="74"/>
      <c r="T956" s="74"/>
      <c r="U956" s="74"/>
      <c r="V956" s="74"/>
      <c r="W956" s="74"/>
      <c r="X956" s="74"/>
      <c r="Y956" s="74"/>
      <c r="Z956" s="74"/>
      <c r="AA956" s="74"/>
      <c r="AB956" s="74"/>
    </row>
    <row r="957" spans="1:28" ht="12" customHeight="1">
      <c r="A957" s="565"/>
      <c r="B957" s="107"/>
      <c r="C957" s="107"/>
      <c r="D957" s="108"/>
      <c r="E957" s="104"/>
      <c r="F957" s="104"/>
      <c r="G957" s="35"/>
      <c r="H957" s="104"/>
      <c r="I957" s="140"/>
      <c r="J957" s="74"/>
      <c r="K957" s="74"/>
      <c r="L957" s="74"/>
      <c r="M957" s="74"/>
      <c r="N957" s="74"/>
      <c r="O957" s="74"/>
      <c r="P957" s="74"/>
      <c r="Q957" s="74"/>
      <c r="R957" s="74"/>
      <c r="S957" s="74"/>
      <c r="T957" s="74"/>
      <c r="U957" s="74"/>
      <c r="V957" s="74"/>
      <c r="W957" s="74"/>
      <c r="X957" s="74"/>
      <c r="Y957" s="74"/>
      <c r="Z957" s="74"/>
      <c r="AA957" s="74"/>
      <c r="AB957" s="74"/>
    </row>
    <row r="958" spans="1:28" ht="12" customHeight="1">
      <c r="A958" s="565"/>
      <c r="B958" s="107"/>
      <c r="C958" s="107"/>
      <c r="D958" s="108"/>
      <c r="E958" s="104"/>
      <c r="F958" s="104"/>
      <c r="G958" s="35"/>
      <c r="H958" s="104"/>
      <c r="I958" s="140"/>
      <c r="J958" s="74"/>
      <c r="K958" s="74"/>
      <c r="L958" s="74"/>
      <c r="M958" s="74"/>
      <c r="N958" s="74"/>
      <c r="O958" s="74"/>
      <c r="P958" s="74"/>
      <c r="Q958" s="74"/>
      <c r="R958" s="74"/>
      <c r="S958" s="74"/>
      <c r="T958" s="74"/>
      <c r="U958" s="74"/>
      <c r="V958" s="74"/>
      <c r="W958" s="74"/>
      <c r="X958" s="74"/>
      <c r="Y958" s="74"/>
      <c r="Z958" s="74"/>
      <c r="AA958" s="74"/>
      <c r="AB958" s="74"/>
    </row>
    <row r="959" spans="1:28" ht="12" customHeight="1">
      <c r="A959" s="565"/>
      <c r="B959" s="107"/>
      <c r="C959" s="107"/>
      <c r="D959" s="108"/>
      <c r="E959" s="104"/>
      <c r="F959" s="104"/>
      <c r="G959" s="35"/>
      <c r="H959" s="104"/>
      <c r="I959" s="140"/>
      <c r="J959" s="74"/>
      <c r="K959" s="74"/>
      <c r="L959" s="74"/>
      <c r="M959" s="74"/>
      <c r="N959" s="74"/>
      <c r="O959" s="74"/>
      <c r="P959" s="74"/>
      <c r="Q959" s="74"/>
      <c r="R959" s="74"/>
      <c r="S959" s="74"/>
      <c r="T959" s="74"/>
      <c r="U959" s="74"/>
      <c r="V959" s="74"/>
      <c r="W959" s="74"/>
      <c r="X959" s="74"/>
      <c r="Y959" s="74"/>
      <c r="Z959" s="74"/>
      <c r="AA959" s="74"/>
      <c r="AB959" s="74"/>
    </row>
    <row r="960" spans="1:28" ht="12" customHeight="1">
      <c r="A960" s="565"/>
      <c r="B960" s="107"/>
      <c r="C960" s="107"/>
      <c r="D960" s="108"/>
      <c r="E960" s="104"/>
      <c r="F960" s="104"/>
      <c r="G960" s="35"/>
      <c r="H960" s="104"/>
      <c r="I960" s="140"/>
      <c r="J960" s="74"/>
      <c r="K960" s="74"/>
      <c r="L960" s="74"/>
      <c r="M960" s="74"/>
      <c r="N960" s="74"/>
      <c r="O960" s="74"/>
      <c r="P960" s="74"/>
      <c r="Q960" s="74"/>
      <c r="R960" s="74"/>
      <c r="S960" s="74"/>
      <c r="T960" s="74"/>
      <c r="U960" s="74"/>
      <c r="V960" s="74"/>
      <c r="W960" s="74"/>
      <c r="X960" s="74"/>
      <c r="Y960" s="74"/>
      <c r="Z960" s="74"/>
      <c r="AA960" s="74"/>
      <c r="AB960" s="74"/>
    </row>
    <row r="961" spans="1:28" ht="12" customHeight="1">
      <c r="A961" s="565"/>
      <c r="B961" s="107"/>
      <c r="C961" s="107"/>
      <c r="D961" s="108"/>
      <c r="E961" s="104"/>
      <c r="F961" s="104"/>
      <c r="G961" s="35"/>
      <c r="H961" s="104"/>
      <c r="I961" s="140"/>
      <c r="J961" s="74"/>
      <c r="K961" s="74"/>
      <c r="L961" s="74"/>
      <c r="M961" s="74"/>
      <c r="N961" s="74"/>
      <c r="O961" s="74"/>
      <c r="P961" s="74"/>
      <c r="Q961" s="74"/>
      <c r="R961" s="74"/>
      <c r="S961" s="74"/>
      <c r="T961" s="74"/>
      <c r="U961" s="74"/>
      <c r="V961" s="74"/>
      <c r="W961" s="74"/>
      <c r="X961" s="74"/>
      <c r="Y961" s="74"/>
      <c r="Z961" s="74"/>
      <c r="AA961" s="74"/>
      <c r="AB961" s="74"/>
    </row>
    <row r="962" spans="1:28" ht="12" customHeight="1">
      <c r="A962" s="565"/>
      <c r="B962" s="107"/>
      <c r="C962" s="107"/>
      <c r="D962" s="108"/>
      <c r="E962" s="104"/>
      <c r="F962" s="104"/>
      <c r="G962" s="35"/>
      <c r="H962" s="104"/>
      <c r="I962" s="140"/>
      <c r="J962" s="74"/>
      <c r="K962" s="74"/>
      <c r="L962" s="74"/>
      <c r="M962" s="74"/>
      <c r="N962" s="74"/>
      <c r="O962" s="74"/>
      <c r="P962" s="74"/>
      <c r="Q962" s="74"/>
      <c r="R962" s="74"/>
      <c r="S962" s="74"/>
      <c r="T962" s="74"/>
      <c r="U962" s="74"/>
      <c r="V962" s="74"/>
      <c r="W962" s="74"/>
      <c r="X962" s="74"/>
      <c r="Y962" s="74"/>
      <c r="Z962" s="74"/>
      <c r="AA962" s="74"/>
      <c r="AB962" s="74"/>
    </row>
    <row r="963" spans="1:28" ht="12" customHeight="1">
      <c r="A963" s="565"/>
      <c r="B963" s="107"/>
      <c r="C963" s="107"/>
      <c r="D963" s="108"/>
      <c r="E963" s="104"/>
      <c r="F963" s="104"/>
      <c r="G963" s="35"/>
      <c r="H963" s="104"/>
      <c r="I963" s="140"/>
      <c r="J963" s="74"/>
      <c r="K963" s="74"/>
      <c r="L963" s="74"/>
      <c r="M963" s="74"/>
      <c r="N963" s="74"/>
      <c r="O963" s="74"/>
      <c r="P963" s="74"/>
      <c r="Q963" s="74"/>
      <c r="R963" s="74"/>
      <c r="S963" s="74"/>
      <c r="T963" s="74"/>
      <c r="U963" s="74"/>
      <c r="V963" s="74"/>
      <c r="W963" s="74"/>
      <c r="X963" s="74"/>
      <c r="Y963" s="74"/>
      <c r="Z963" s="74"/>
      <c r="AA963" s="74"/>
      <c r="AB963" s="74"/>
    </row>
    <row r="964" spans="1:28" ht="12" customHeight="1">
      <c r="A964" s="565"/>
      <c r="B964" s="107"/>
      <c r="C964" s="107"/>
      <c r="D964" s="108"/>
      <c r="E964" s="104"/>
      <c r="F964" s="104"/>
      <c r="G964" s="35"/>
      <c r="H964" s="104"/>
      <c r="I964" s="140"/>
      <c r="J964" s="74"/>
      <c r="K964" s="74"/>
      <c r="L964" s="74"/>
      <c r="M964" s="74"/>
      <c r="N964" s="74"/>
      <c r="O964" s="74"/>
      <c r="P964" s="74"/>
      <c r="Q964" s="74"/>
      <c r="R964" s="74"/>
      <c r="S964" s="74"/>
      <c r="T964" s="74"/>
      <c r="U964" s="74"/>
      <c r="V964" s="74"/>
      <c r="W964" s="74"/>
      <c r="X964" s="74"/>
      <c r="Y964" s="74"/>
      <c r="Z964" s="74"/>
      <c r="AA964" s="74"/>
      <c r="AB964" s="74"/>
    </row>
    <row r="965" spans="1:28" ht="12" customHeight="1">
      <c r="A965" s="565"/>
      <c r="B965" s="107"/>
      <c r="C965" s="107"/>
      <c r="D965" s="108"/>
      <c r="E965" s="104"/>
      <c r="F965" s="104"/>
      <c r="G965" s="35"/>
      <c r="H965" s="104"/>
      <c r="I965" s="140"/>
      <c r="J965" s="74"/>
      <c r="K965" s="74"/>
      <c r="L965" s="74"/>
      <c r="M965" s="74"/>
      <c r="N965" s="74"/>
      <c r="O965" s="74"/>
      <c r="P965" s="74"/>
      <c r="Q965" s="74"/>
      <c r="R965" s="74"/>
      <c r="S965" s="74"/>
      <c r="T965" s="74"/>
      <c r="U965" s="74"/>
      <c r="V965" s="74"/>
      <c r="W965" s="74"/>
      <c r="X965" s="74"/>
      <c r="Y965" s="74"/>
      <c r="Z965" s="74"/>
      <c r="AA965" s="74"/>
      <c r="AB965" s="74"/>
    </row>
    <row r="966" spans="1:28" ht="12" customHeight="1">
      <c r="A966" s="565"/>
      <c r="B966" s="107"/>
      <c r="C966" s="107"/>
      <c r="D966" s="108"/>
      <c r="E966" s="104"/>
      <c r="F966" s="104"/>
      <c r="G966" s="35"/>
      <c r="H966" s="104"/>
      <c r="I966" s="140"/>
      <c r="J966" s="74"/>
      <c r="K966" s="74"/>
      <c r="L966" s="74"/>
      <c r="M966" s="74"/>
      <c r="N966" s="74"/>
      <c r="O966" s="74"/>
      <c r="P966" s="74"/>
      <c r="Q966" s="74"/>
      <c r="R966" s="74"/>
      <c r="S966" s="74"/>
      <c r="T966" s="74"/>
      <c r="U966" s="74"/>
      <c r="V966" s="74"/>
      <c r="W966" s="74"/>
      <c r="X966" s="74"/>
      <c r="Y966" s="74"/>
      <c r="Z966" s="74"/>
      <c r="AA966" s="74"/>
      <c r="AB966" s="74"/>
    </row>
    <row r="967" spans="1:28" ht="12" customHeight="1">
      <c r="A967" s="565"/>
      <c r="B967" s="107"/>
      <c r="C967" s="107"/>
      <c r="D967" s="108"/>
      <c r="E967" s="104"/>
      <c r="F967" s="104"/>
      <c r="G967" s="35"/>
      <c r="H967" s="104"/>
      <c r="I967" s="140"/>
      <c r="J967" s="74"/>
      <c r="K967" s="74"/>
      <c r="L967" s="74"/>
      <c r="M967" s="74"/>
      <c r="N967" s="74"/>
      <c r="O967" s="74"/>
      <c r="P967" s="74"/>
      <c r="Q967" s="74"/>
      <c r="R967" s="74"/>
      <c r="S967" s="74"/>
      <c r="T967" s="74"/>
      <c r="U967" s="74"/>
      <c r="V967" s="74"/>
      <c r="W967" s="74"/>
      <c r="X967" s="74"/>
      <c r="Y967" s="74"/>
      <c r="Z967" s="74"/>
      <c r="AA967" s="74"/>
      <c r="AB967" s="74"/>
    </row>
    <row r="968" spans="1:28" ht="12" customHeight="1">
      <c r="A968" s="565"/>
      <c r="B968" s="107"/>
      <c r="C968" s="107"/>
      <c r="D968" s="108"/>
      <c r="E968" s="104"/>
      <c r="F968" s="104"/>
      <c r="G968" s="35"/>
      <c r="H968" s="104"/>
      <c r="I968" s="140"/>
      <c r="J968" s="74"/>
      <c r="K968" s="74"/>
      <c r="L968" s="74"/>
      <c r="M968" s="74"/>
      <c r="N968" s="74"/>
      <c r="O968" s="74"/>
      <c r="P968" s="74"/>
      <c r="Q968" s="74"/>
      <c r="R968" s="74"/>
      <c r="S968" s="74"/>
      <c r="T968" s="74"/>
      <c r="U968" s="74"/>
      <c r="V968" s="74"/>
      <c r="W968" s="74"/>
      <c r="X968" s="74"/>
      <c r="Y968" s="74"/>
      <c r="Z968" s="74"/>
      <c r="AA968" s="74"/>
      <c r="AB968" s="74"/>
    </row>
    <row r="969" spans="1:28" ht="12" customHeight="1">
      <c r="A969" s="565"/>
      <c r="B969" s="107"/>
      <c r="C969" s="107"/>
      <c r="D969" s="108"/>
      <c r="E969" s="104"/>
      <c r="F969" s="104"/>
      <c r="G969" s="35"/>
      <c r="H969" s="104"/>
      <c r="I969" s="140"/>
      <c r="J969" s="74"/>
      <c r="K969" s="74"/>
      <c r="L969" s="74"/>
      <c r="M969" s="74"/>
      <c r="N969" s="74"/>
      <c r="O969" s="74"/>
      <c r="P969" s="74"/>
      <c r="Q969" s="74"/>
      <c r="R969" s="74"/>
      <c r="S969" s="74"/>
      <c r="T969" s="74"/>
      <c r="U969" s="74"/>
      <c r="V969" s="74"/>
      <c r="W969" s="74"/>
      <c r="X969" s="74"/>
      <c r="Y969" s="74"/>
      <c r="Z969" s="74"/>
      <c r="AA969" s="74"/>
      <c r="AB969" s="74"/>
    </row>
    <row r="970" spans="1:28" ht="12" customHeight="1">
      <c r="A970" s="565"/>
      <c r="B970" s="107"/>
      <c r="C970" s="107"/>
      <c r="D970" s="108"/>
      <c r="E970" s="104"/>
      <c r="F970" s="104"/>
      <c r="G970" s="35"/>
      <c r="H970" s="104"/>
      <c r="I970" s="140"/>
      <c r="J970" s="74"/>
      <c r="K970" s="74"/>
      <c r="L970" s="74"/>
      <c r="M970" s="74"/>
      <c r="N970" s="74"/>
      <c r="O970" s="74"/>
      <c r="P970" s="74"/>
      <c r="Q970" s="74"/>
      <c r="R970" s="74"/>
      <c r="S970" s="74"/>
      <c r="T970" s="74"/>
      <c r="U970" s="74"/>
      <c r="V970" s="74"/>
      <c r="W970" s="74"/>
      <c r="X970" s="74"/>
      <c r="Y970" s="74"/>
      <c r="Z970" s="74"/>
      <c r="AA970" s="74"/>
      <c r="AB970" s="74"/>
    </row>
    <row r="971" spans="1:28" ht="12" customHeight="1">
      <c r="A971" s="565"/>
      <c r="B971" s="107"/>
      <c r="C971" s="107"/>
      <c r="D971" s="108"/>
      <c r="E971" s="104"/>
      <c r="F971" s="104"/>
      <c r="G971" s="35"/>
      <c r="H971" s="104"/>
      <c r="I971" s="140"/>
      <c r="J971" s="74"/>
      <c r="K971" s="74"/>
      <c r="L971" s="74"/>
      <c r="M971" s="74"/>
      <c r="N971" s="74"/>
      <c r="O971" s="74"/>
      <c r="P971" s="74"/>
      <c r="Q971" s="74"/>
      <c r="R971" s="74"/>
      <c r="S971" s="74"/>
      <c r="T971" s="74"/>
      <c r="U971" s="74"/>
      <c r="V971" s="74"/>
      <c r="W971" s="74"/>
      <c r="X971" s="74"/>
      <c r="Y971" s="74"/>
      <c r="Z971" s="74"/>
      <c r="AA971" s="74"/>
      <c r="AB971" s="74"/>
    </row>
    <row r="972" spans="1:28" ht="12" customHeight="1">
      <c r="A972" s="565"/>
      <c r="B972" s="107"/>
      <c r="C972" s="107"/>
      <c r="D972" s="108"/>
      <c r="E972" s="104"/>
      <c r="F972" s="104"/>
      <c r="G972" s="35"/>
      <c r="H972" s="104"/>
      <c r="I972" s="140"/>
      <c r="J972" s="74"/>
      <c r="K972" s="74"/>
      <c r="L972" s="74"/>
      <c r="M972" s="74"/>
      <c r="N972" s="74"/>
      <c r="O972" s="74"/>
      <c r="P972" s="74"/>
      <c r="Q972" s="74"/>
      <c r="R972" s="74"/>
      <c r="S972" s="74"/>
      <c r="T972" s="74"/>
      <c r="U972" s="74"/>
      <c r="V972" s="74"/>
      <c r="W972" s="74"/>
      <c r="X972" s="74"/>
      <c r="Y972" s="74"/>
      <c r="Z972" s="74"/>
      <c r="AA972" s="74"/>
      <c r="AB972" s="74"/>
    </row>
    <row r="973" spans="1:28" ht="12" customHeight="1">
      <c r="A973" s="565"/>
      <c r="B973" s="107"/>
      <c r="C973" s="107"/>
      <c r="D973" s="108"/>
      <c r="E973" s="104"/>
      <c r="F973" s="104"/>
      <c r="G973" s="35"/>
      <c r="H973" s="104"/>
      <c r="I973" s="140"/>
      <c r="J973" s="74"/>
      <c r="K973" s="74"/>
      <c r="L973" s="74"/>
      <c r="M973" s="74"/>
      <c r="N973" s="74"/>
      <c r="O973" s="74"/>
      <c r="P973" s="74"/>
      <c r="Q973" s="74"/>
      <c r="R973" s="74"/>
      <c r="S973" s="74"/>
      <c r="T973" s="74"/>
      <c r="U973" s="74"/>
      <c r="V973" s="74"/>
      <c r="W973" s="74"/>
      <c r="X973" s="74"/>
      <c r="Y973" s="74"/>
      <c r="Z973" s="74"/>
      <c r="AA973" s="74"/>
      <c r="AB973" s="74"/>
    </row>
    <row r="974" spans="1:28" ht="12" customHeight="1">
      <c r="A974" s="565"/>
      <c r="B974" s="107"/>
      <c r="C974" s="107"/>
      <c r="D974" s="108"/>
      <c r="E974" s="104"/>
      <c r="F974" s="104"/>
      <c r="G974" s="35"/>
      <c r="H974" s="104"/>
      <c r="I974" s="140"/>
      <c r="J974" s="74"/>
      <c r="K974" s="74"/>
      <c r="L974" s="74"/>
      <c r="M974" s="74"/>
      <c r="N974" s="74"/>
      <c r="O974" s="74"/>
      <c r="P974" s="74"/>
      <c r="Q974" s="74"/>
      <c r="R974" s="74"/>
      <c r="S974" s="74"/>
      <c r="T974" s="74"/>
      <c r="U974" s="74"/>
      <c r="V974" s="74"/>
      <c r="W974" s="74"/>
      <c r="X974" s="74"/>
      <c r="Y974" s="74"/>
      <c r="Z974" s="74"/>
      <c r="AA974" s="74"/>
      <c r="AB974" s="74"/>
    </row>
    <row r="975" spans="1:28" ht="12" customHeight="1">
      <c r="A975" s="565"/>
      <c r="B975" s="107"/>
      <c r="C975" s="107"/>
      <c r="D975" s="108"/>
      <c r="E975" s="104"/>
      <c r="F975" s="104"/>
      <c r="G975" s="35"/>
      <c r="H975" s="104"/>
      <c r="I975" s="140"/>
      <c r="J975" s="74"/>
      <c r="K975" s="74"/>
      <c r="L975" s="74"/>
      <c r="M975" s="74"/>
      <c r="N975" s="74"/>
      <c r="O975" s="74"/>
      <c r="P975" s="74"/>
      <c r="Q975" s="74"/>
      <c r="R975" s="74"/>
      <c r="S975" s="74"/>
      <c r="T975" s="74"/>
      <c r="U975" s="74"/>
      <c r="V975" s="74"/>
      <c r="W975" s="74"/>
      <c r="X975" s="74"/>
      <c r="Y975" s="74"/>
      <c r="Z975" s="74"/>
      <c r="AA975" s="74"/>
      <c r="AB975" s="74"/>
    </row>
    <row r="976" spans="1:28" ht="12" customHeight="1">
      <c r="A976" s="565"/>
      <c r="B976" s="107"/>
      <c r="C976" s="107"/>
      <c r="D976" s="108"/>
      <c r="E976" s="104"/>
      <c r="F976" s="104"/>
      <c r="G976" s="35"/>
      <c r="H976" s="104"/>
      <c r="I976" s="140"/>
      <c r="J976" s="74"/>
      <c r="K976" s="74"/>
      <c r="L976" s="74"/>
      <c r="M976" s="74"/>
      <c r="N976" s="74"/>
      <c r="O976" s="74"/>
      <c r="P976" s="74"/>
      <c r="Q976" s="74"/>
      <c r="R976" s="74"/>
      <c r="S976" s="74"/>
      <c r="T976" s="74"/>
      <c r="U976" s="74"/>
      <c r="V976" s="74"/>
      <c r="W976" s="74"/>
      <c r="X976" s="74"/>
      <c r="Y976" s="74"/>
      <c r="Z976" s="74"/>
      <c r="AA976" s="74"/>
      <c r="AB976" s="74"/>
    </row>
    <row r="977" spans="1:28" ht="12" customHeight="1">
      <c r="A977" s="565"/>
      <c r="B977" s="107"/>
      <c r="C977" s="107"/>
      <c r="D977" s="108"/>
      <c r="E977" s="104"/>
      <c r="F977" s="104"/>
      <c r="G977" s="35"/>
      <c r="H977" s="104"/>
      <c r="I977" s="140"/>
      <c r="J977" s="74"/>
      <c r="K977" s="74"/>
      <c r="L977" s="74"/>
      <c r="M977" s="74"/>
      <c r="N977" s="74"/>
      <c r="O977" s="74"/>
      <c r="P977" s="74"/>
      <c r="Q977" s="74"/>
      <c r="R977" s="74"/>
      <c r="S977" s="74"/>
      <c r="T977" s="74"/>
      <c r="U977" s="74"/>
      <c r="V977" s="74"/>
      <c r="W977" s="74"/>
      <c r="X977" s="74"/>
      <c r="Y977" s="74"/>
      <c r="Z977" s="74"/>
      <c r="AA977" s="74"/>
      <c r="AB977" s="74"/>
    </row>
    <row r="978" spans="1:28" ht="12" customHeight="1">
      <c r="A978" s="565"/>
      <c r="B978" s="107"/>
      <c r="C978" s="107"/>
      <c r="D978" s="108"/>
      <c r="E978" s="104"/>
      <c r="F978" s="104"/>
      <c r="G978" s="35"/>
      <c r="H978" s="104"/>
      <c r="I978" s="140"/>
      <c r="J978" s="74"/>
      <c r="K978" s="74"/>
      <c r="L978" s="74"/>
      <c r="M978" s="74"/>
      <c r="N978" s="74"/>
      <c r="O978" s="74"/>
      <c r="P978" s="74"/>
      <c r="Q978" s="74"/>
      <c r="R978" s="74"/>
      <c r="S978" s="74"/>
      <c r="T978" s="74"/>
      <c r="U978" s="74"/>
      <c r="V978" s="74"/>
      <c r="W978" s="74"/>
      <c r="X978" s="74"/>
      <c r="Y978" s="74"/>
      <c r="Z978" s="74"/>
      <c r="AA978" s="74"/>
      <c r="AB978" s="74"/>
    </row>
    <row r="979" spans="1:28" ht="12" customHeight="1">
      <c r="A979" s="565"/>
      <c r="B979" s="107"/>
      <c r="C979" s="107"/>
      <c r="D979" s="108"/>
      <c r="E979" s="104"/>
      <c r="F979" s="104"/>
      <c r="G979" s="35"/>
      <c r="H979" s="104"/>
      <c r="I979" s="140"/>
      <c r="J979" s="74"/>
      <c r="K979" s="74"/>
      <c r="L979" s="74"/>
      <c r="M979" s="74"/>
      <c r="N979" s="74"/>
      <c r="O979" s="74"/>
      <c r="P979" s="74"/>
      <c r="Q979" s="74"/>
      <c r="R979" s="74"/>
      <c r="S979" s="74"/>
      <c r="T979" s="74"/>
      <c r="U979" s="74"/>
      <c r="V979" s="74"/>
      <c r="W979" s="74"/>
      <c r="X979" s="74"/>
      <c r="Y979" s="74"/>
      <c r="Z979" s="74"/>
      <c r="AA979" s="74"/>
      <c r="AB979" s="74"/>
    </row>
    <row r="980" spans="1:28" ht="12" customHeight="1">
      <c r="A980" s="565"/>
      <c r="B980" s="107"/>
      <c r="C980" s="107"/>
      <c r="D980" s="108"/>
      <c r="E980" s="104"/>
      <c r="F980" s="104"/>
      <c r="G980" s="35"/>
      <c r="H980" s="104"/>
      <c r="I980" s="140"/>
      <c r="J980" s="74"/>
      <c r="K980" s="74"/>
      <c r="L980" s="74"/>
      <c r="M980" s="74"/>
      <c r="N980" s="74"/>
      <c r="O980" s="74"/>
      <c r="P980" s="74"/>
      <c r="Q980" s="74"/>
      <c r="R980" s="74"/>
      <c r="S980" s="74"/>
      <c r="T980" s="74"/>
      <c r="U980" s="74"/>
      <c r="V980" s="74"/>
      <c r="W980" s="74"/>
      <c r="X980" s="74"/>
      <c r="Y980" s="74"/>
      <c r="Z980" s="74"/>
      <c r="AA980" s="74"/>
      <c r="AB980" s="74"/>
    </row>
    <row r="981" spans="1:28" ht="12" customHeight="1">
      <c r="A981" s="565"/>
      <c r="B981" s="107"/>
      <c r="C981" s="107"/>
      <c r="D981" s="108"/>
      <c r="E981" s="104"/>
      <c r="F981" s="104"/>
      <c r="G981" s="35"/>
      <c r="H981" s="104"/>
      <c r="I981" s="140"/>
      <c r="J981" s="74"/>
      <c r="K981" s="74"/>
      <c r="L981" s="74"/>
      <c r="M981" s="74"/>
      <c r="N981" s="74"/>
      <c r="O981" s="74"/>
      <c r="P981" s="74"/>
      <c r="Q981" s="74"/>
      <c r="R981" s="74"/>
      <c r="S981" s="74"/>
      <c r="T981" s="74"/>
      <c r="U981" s="74"/>
      <c r="V981" s="74"/>
      <c r="W981" s="74"/>
      <c r="X981" s="74"/>
      <c r="Y981" s="74"/>
      <c r="Z981" s="74"/>
      <c r="AA981" s="74"/>
      <c r="AB981" s="74"/>
    </row>
    <row r="982" spans="1:28" ht="12" customHeight="1">
      <c r="A982" s="565"/>
      <c r="B982" s="107"/>
      <c r="C982" s="107"/>
      <c r="D982" s="108"/>
      <c r="E982" s="104"/>
      <c r="F982" s="104"/>
      <c r="G982" s="35"/>
      <c r="H982" s="104"/>
      <c r="I982" s="140"/>
      <c r="J982" s="74"/>
      <c r="K982" s="74"/>
      <c r="L982" s="74"/>
      <c r="M982" s="74"/>
      <c r="N982" s="74"/>
      <c r="O982" s="74"/>
      <c r="P982" s="74"/>
      <c r="Q982" s="74"/>
      <c r="R982" s="74"/>
      <c r="S982" s="74"/>
      <c r="T982" s="74"/>
      <c r="U982" s="74"/>
      <c r="V982" s="74"/>
      <c r="W982" s="74"/>
      <c r="X982" s="74"/>
      <c r="Y982" s="74"/>
      <c r="Z982" s="74"/>
      <c r="AA982" s="74"/>
      <c r="AB982" s="74"/>
    </row>
    <row r="983" spans="1:28" ht="12" customHeight="1">
      <c r="A983" s="565"/>
      <c r="B983" s="107"/>
      <c r="C983" s="107"/>
      <c r="D983" s="108"/>
      <c r="E983" s="104"/>
      <c r="F983" s="104"/>
      <c r="G983" s="35"/>
      <c r="H983" s="104"/>
      <c r="I983" s="140"/>
      <c r="J983" s="74"/>
      <c r="K983" s="74"/>
      <c r="L983" s="74"/>
      <c r="M983" s="74"/>
      <c r="N983" s="74"/>
      <c r="O983" s="74"/>
      <c r="P983" s="74"/>
      <c r="Q983" s="74"/>
      <c r="R983" s="74"/>
      <c r="S983" s="74"/>
      <c r="T983" s="74"/>
      <c r="U983" s="74"/>
      <c r="V983" s="74"/>
      <c r="W983" s="74"/>
      <c r="X983" s="74"/>
      <c r="Y983" s="74"/>
      <c r="Z983" s="74"/>
      <c r="AA983" s="74"/>
      <c r="AB983" s="74"/>
    </row>
    <row r="984" spans="1:28" ht="12" customHeight="1">
      <c r="A984" s="565"/>
      <c r="B984" s="107"/>
      <c r="C984" s="107"/>
      <c r="D984" s="108"/>
      <c r="E984" s="104"/>
      <c r="F984" s="104"/>
      <c r="G984" s="35"/>
      <c r="H984" s="104"/>
      <c r="I984" s="140"/>
      <c r="J984" s="74"/>
      <c r="K984" s="74"/>
      <c r="L984" s="74"/>
      <c r="M984" s="74"/>
      <c r="N984" s="74"/>
      <c r="O984" s="74"/>
      <c r="P984" s="74"/>
      <c r="Q984" s="74"/>
      <c r="R984" s="74"/>
      <c r="S984" s="74"/>
      <c r="T984" s="74"/>
      <c r="U984" s="74"/>
      <c r="V984" s="74"/>
      <c r="W984" s="74"/>
      <c r="X984" s="74"/>
      <c r="Y984" s="74"/>
      <c r="Z984" s="74"/>
      <c r="AA984" s="74"/>
      <c r="AB984" s="74"/>
    </row>
    <row r="985" spans="1:28" ht="12" customHeight="1">
      <c r="A985" s="565"/>
      <c r="B985" s="107"/>
      <c r="C985" s="107"/>
      <c r="D985" s="108"/>
      <c r="E985" s="104"/>
      <c r="F985" s="104"/>
      <c r="G985" s="35"/>
      <c r="H985" s="104"/>
      <c r="I985" s="140"/>
      <c r="J985" s="74"/>
      <c r="K985" s="74"/>
      <c r="L985" s="74"/>
      <c r="M985" s="74"/>
      <c r="N985" s="74"/>
      <c r="O985" s="74"/>
      <c r="P985" s="74"/>
      <c r="Q985" s="74"/>
      <c r="R985" s="74"/>
      <c r="S985" s="74"/>
      <c r="T985" s="74"/>
      <c r="U985" s="74"/>
      <c r="V985" s="74"/>
      <c r="W985" s="74"/>
      <c r="X985" s="74"/>
      <c r="Y985" s="74"/>
      <c r="Z985" s="74"/>
      <c r="AA985" s="74"/>
      <c r="AB985" s="74"/>
    </row>
    <row r="986" spans="1:28" ht="12" customHeight="1">
      <c r="A986" s="565"/>
      <c r="B986" s="107"/>
      <c r="C986" s="107"/>
      <c r="D986" s="108"/>
      <c r="E986" s="104"/>
      <c r="F986" s="104"/>
      <c r="G986" s="35"/>
      <c r="H986" s="104"/>
      <c r="I986" s="140"/>
      <c r="J986" s="74"/>
      <c r="K986" s="74"/>
      <c r="L986" s="74"/>
      <c r="M986" s="74"/>
      <c r="N986" s="74"/>
      <c r="O986" s="74"/>
      <c r="P986" s="74"/>
      <c r="Q986" s="74"/>
      <c r="R986" s="74"/>
      <c r="S986" s="74"/>
      <c r="T986" s="74"/>
      <c r="U986" s="74"/>
      <c r="V986" s="74"/>
      <c r="W986" s="74"/>
      <c r="X986" s="74"/>
      <c r="Y986" s="74"/>
      <c r="Z986" s="74"/>
      <c r="AA986" s="74"/>
      <c r="AB986" s="74"/>
    </row>
    <row r="987" spans="1:28" ht="12" customHeight="1">
      <c r="A987" s="565"/>
      <c r="B987" s="107"/>
      <c r="C987" s="107"/>
      <c r="D987" s="108"/>
      <c r="E987" s="104"/>
      <c r="F987" s="104"/>
      <c r="G987" s="35"/>
      <c r="H987" s="104"/>
      <c r="I987" s="140"/>
      <c r="J987" s="74"/>
      <c r="K987" s="74"/>
      <c r="L987" s="74"/>
      <c r="M987" s="74"/>
      <c r="N987" s="74"/>
      <c r="O987" s="74"/>
      <c r="P987" s="74"/>
      <c r="Q987" s="74"/>
      <c r="R987" s="74"/>
      <c r="S987" s="74"/>
      <c r="T987" s="74"/>
      <c r="U987" s="74"/>
      <c r="V987" s="74"/>
      <c r="W987" s="74"/>
      <c r="X987" s="74"/>
      <c r="Y987" s="74"/>
      <c r="Z987" s="74"/>
      <c r="AA987" s="74"/>
      <c r="AB987" s="74"/>
    </row>
    <row r="988" spans="1:28" ht="12" customHeight="1">
      <c r="A988" s="565"/>
      <c r="B988" s="107"/>
      <c r="C988" s="107"/>
      <c r="D988" s="108"/>
      <c r="E988" s="104"/>
      <c r="F988" s="104"/>
      <c r="G988" s="35"/>
      <c r="H988" s="104"/>
      <c r="I988" s="140"/>
      <c r="J988" s="74"/>
      <c r="K988" s="74"/>
      <c r="L988" s="74"/>
      <c r="M988" s="74"/>
      <c r="N988" s="74"/>
      <c r="O988" s="74"/>
      <c r="P988" s="74"/>
      <c r="Q988" s="74"/>
      <c r="R988" s="74"/>
      <c r="S988" s="74"/>
      <c r="T988" s="74"/>
      <c r="U988" s="74"/>
      <c r="V988" s="74"/>
      <c r="W988" s="74"/>
      <c r="X988" s="74"/>
      <c r="Y988" s="74"/>
      <c r="Z988" s="74"/>
      <c r="AA988" s="74"/>
      <c r="AB988" s="74"/>
    </row>
    <row r="989" spans="1:28" ht="12" customHeight="1">
      <c r="A989" s="565"/>
      <c r="B989" s="107"/>
      <c r="C989" s="107"/>
      <c r="D989" s="108"/>
      <c r="E989" s="104"/>
      <c r="F989" s="104"/>
      <c r="G989" s="35"/>
      <c r="H989" s="104"/>
      <c r="I989" s="140"/>
      <c r="J989" s="74"/>
      <c r="K989" s="74"/>
      <c r="L989" s="74"/>
      <c r="M989" s="74"/>
      <c r="N989" s="74"/>
      <c r="O989" s="74"/>
      <c r="P989" s="74"/>
      <c r="Q989" s="74"/>
      <c r="R989" s="74"/>
      <c r="S989" s="74"/>
      <c r="T989" s="74"/>
      <c r="U989" s="74"/>
      <c r="V989" s="74"/>
      <c r="W989" s="74"/>
      <c r="X989" s="74"/>
      <c r="Y989" s="74"/>
      <c r="Z989" s="74"/>
      <c r="AA989" s="74"/>
      <c r="AB989" s="74"/>
    </row>
    <row r="990" spans="1:28" ht="12" customHeight="1">
      <c r="A990" s="565"/>
      <c r="B990" s="107"/>
      <c r="C990" s="107"/>
      <c r="D990" s="108"/>
      <c r="E990" s="104"/>
      <c r="F990" s="104"/>
      <c r="G990" s="35"/>
      <c r="H990" s="104"/>
      <c r="I990" s="140"/>
      <c r="J990" s="74"/>
      <c r="K990" s="74"/>
      <c r="L990" s="74"/>
      <c r="M990" s="74"/>
      <c r="N990" s="74"/>
      <c r="O990" s="74"/>
      <c r="P990" s="74"/>
      <c r="Q990" s="74"/>
      <c r="R990" s="74"/>
      <c r="S990" s="74"/>
      <c r="T990" s="74"/>
      <c r="U990" s="74"/>
      <c r="V990" s="74"/>
      <c r="W990" s="74"/>
      <c r="X990" s="74"/>
      <c r="Y990" s="74"/>
      <c r="Z990" s="74"/>
      <c r="AA990" s="74"/>
      <c r="AB990" s="74"/>
    </row>
    <row r="991" spans="1:28" ht="12" customHeight="1">
      <c r="A991" s="565"/>
      <c r="B991" s="107"/>
      <c r="C991" s="107"/>
      <c r="D991" s="108"/>
      <c r="E991" s="104"/>
      <c r="F991" s="104"/>
      <c r="G991" s="35"/>
      <c r="H991" s="104"/>
      <c r="I991" s="140"/>
      <c r="J991" s="74"/>
      <c r="K991" s="74"/>
      <c r="L991" s="74"/>
      <c r="M991" s="74"/>
      <c r="N991" s="74"/>
      <c r="O991" s="74"/>
      <c r="P991" s="74"/>
      <c r="Q991" s="74"/>
      <c r="R991" s="74"/>
      <c r="S991" s="74"/>
      <c r="T991" s="74"/>
      <c r="U991" s="74"/>
      <c r="V991" s="74"/>
      <c r="W991" s="74"/>
      <c r="X991" s="74"/>
      <c r="Y991" s="74"/>
      <c r="Z991" s="74"/>
      <c r="AA991" s="74"/>
      <c r="AB991" s="74"/>
    </row>
    <row r="992" spans="1:28" ht="12" customHeight="1">
      <c r="A992" s="565"/>
      <c r="B992" s="107"/>
      <c r="C992" s="107"/>
      <c r="D992" s="108"/>
      <c r="E992" s="104"/>
      <c r="F992" s="104"/>
      <c r="G992" s="35"/>
      <c r="H992" s="104"/>
      <c r="I992" s="140"/>
      <c r="J992" s="74"/>
      <c r="K992" s="74"/>
      <c r="L992" s="74"/>
      <c r="M992" s="74"/>
      <c r="N992" s="74"/>
      <c r="O992" s="74"/>
      <c r="P992" s="74"/>
      <c r="Q992" s="74"/>
      <c r="R992" s="74"/>
      <c r="S992" s="74"/>
      <c r="T992" s="74"/>
      <c r="U992" s="74"/>
      <c r="V992" s="74"/>
      <c r="W992" s="74"/>
      <c r="X992" s="74"/>
      <c r="Y992" s="74"/>
      <c r="Z992" s="74"/>
      <c r="AA992" s="74"/>
      <c r="AB992" s="74"/>
    </row>
    <row r="993" spans="1:28" ht="12" customHeight="1">
      <c r="A993" s="565"/>
      <c r="B993" s="107"/>
      <c r="C993" s="107"/>
      <c r="D993" s="108"/>
      <c r="E993" s="104"/>
      <c r="F993" s="104"/>
      <c r="G993" s="35"/>
      <c r="H993" s="104"/>
      <c r="I993" s="140"/>
      <c r="J993" s="74"/>
      <c r="K993" s="74"/>
      <c r="L993" s="74"/>
      <c r="M993" s="74"/>
      <c r="N993" s="74"/>
      <c r="O993" s="74"/>
      <c r="P993" s="74"/>
      <c r="Q993" s="74"/>
      <c r="R993" s="74"/>
      <c r="S993" s="74"/>
      <c r="T993" s="74"/>
      <c r="U993" s="74"/>
      <c r="V993" s="74"/>
      <c r="W993" s="74"/>
      <c r="X993" s="74"/>
      <c r="Y993" s="74"/>
      <c r="Z993" s="74"/>
      <c r="AA993" s="74"/>
      <c r="AB993" s="74"/>
    </row>
    <row r="994" spans="1:28" ht="12" customHeight="1">
      <c r="A994" s="565"/>
      <c r="B994" s="107"/>
      <c r="C994" s="107"/>
      <c r="D994" s="108"/>
      <c r="E994" s="104"/>
      <c r="F994" s="104"/>
      <c r="G994" s="35"/>
      <c r="H994" s="104"/>
      <c r="I994" s="140"/>
      <c r="J994" s="74"/>
      <c r="K994" s="74"/>
      <c r="L994" s="74"/>
      <c r="M994" s="74"/>
      <c r="N994" s="74"/>
      <c r="O994" s="74"/>
      <c r="P994" s="74"/>
      <c r="Q994" s="74"/>
      <c r="R994" s="74"/>
      <c r="S994" s="74"/>
      <c r="T994" s="74"/>
      <c r="U994" s="74"/>
      <c r="V994" s="74"/>
      <c r="W994" s="74"/>
      <c r="X994" s="74"/>
      <c r="Y994" s="74"/>
      <c r="Z994" s="74"/>
      <c r="AA994" s="74"/>
      <c r="AB994" s="74"/>
    </row>
    <row r="995" spans="1:28" ht="12" customHeight="1">
      <c r="A995" s="565"/>
      <c r="B995" s="107"/>
      <c r="C995" s="107"/>
      <c r="D995" s="108"/>
      <c r="E995" s="104"/>
      <c r="F995" s="104"/>
      <c r="G995" s="35"/>
      <c r="H995" s="104"/>
      <c r="I995" s="140"/>
      <c r="J995" s="74"/>
      <c r="K995" s="74"/>
      <c r="L995" s="74"/>
      <c r="M995" s="74"/>
      <c r="N995" s="74"/>
      <c r="O995" s="74"/>
      <c r="P995" s="74"/>
      <c r="Q995" s="74"/>
      <c r="R995" s="74"/>
      <c r="S995" s="74"/>
      <c r="T995" s="74"/>
      <c r="U995" s="74"/>
      <c r="V995" s="74"/>
      <c r="W995" s="74"/>
      <c r="X995" s="74"/>
      <c r="Y995" s="74"/>
      <c r="Z995" s="74"/>
      <c r="AA995" s="74"/>
      <c r="AB995" s="74"/>
    </row>
    <row r="996" spans="1:28" ht="12" customHeight="1">
      <c r="A996" s="565"/>
      <c r="B996" s="107"/>
      <c r="C996" s="107"/>
      <c r="D996" s="108"/>
      <c r="E996" s="104"/>
      <c r="F996" s="104"/>
      <c r="G996" s="35"/>
      <c r="H996" s="104"/>
      <c r="I996" s="140"/>
      <c r="J996" s="74"/>
      <c r="K996" s="74"/>
      <c r="L996" s="74"/>
      <c r="M996" s="74"/>
      <c r="N996" s="74"/>
      <c r="O996" s="74"/>
      <c r="P996" s="74"/>
      <c r="Q996" s="74"/>
      <c r="R996" s="74"/>
      <c r="S996" s="74"/>
      <c r="T996" s="74"/>
      <c r="U996" s="74"/>
      <c r="V996" s="74"/>
      <c r="W996" s="74"/>
      <c r="X996" s="74"/>
      <c r="Y996" s="74"/>
      <c r="Z996" s="74"/>
      <c r="AA996" s="74"/>
      <c r="AB996" s="74"/>
    </row>
    <row r="997" spans="1:28" ht="12" customHeight="1">
      <c r="A997" s="565"/>
      <c r="B997" s="107"/>
      <c r="C997" s="107"/>
      <c r="D997" s="108"/>
      <c r="E997" s="104"/>
      <c r="F997" s="104"/>
      <c r="G997" s="35"/>
      <c r="H997" s="104"/>
      <c r="I997" s="140"/>
      <c r="J997" s="74"/>
      <c r="K997" s="74"/>
      <c r="L997" s="74"/>
      <c r="M997" s="74"/>
      <c r="N997" s="74"/>
      <c r="O997" s="74"/>
      <c r="P997" s="74"/>
      <c r="Q997" s="74"/>
      <c r="R997" s="74"/>
      <c r="S997" s="74"/>
      <c r="T997" s="74"/>
      <c r="U997" s="74"/>
      <c r="V997" s="74"/>
      <c r="W997" s="74"/>
      <c r="X997" s="74"/>
      <c r="Y997" s="74"/>
      <c r="Z997" s="74"/>
      <c r="AA997" s="74"/>
      <c r="AB997" s="74"/>
    </row>
    <row r="998" spans="1:28" ht="12" customHeight="1">
      <c r="A998" s="565"/>
      <c r="B998" s="107"/>
      <c r="C998" s="107"/>
      <c r="D998" s="108"/>
      <c r="E998" s="104"/>
      <c r="F998" s="104"/>
      <c r="G998" s="35"/>
      <c r="H998" s="104"/>
      <c r="I998" s="140"/>
      <c r="J998" s="74"/>
      <c r="K998" s="74"/>
      <c r="L998" s="74"/>
      <c r="M998" s="74"/>
      <c r="N998" s="74"/>
      <c r="O998" s="74"/>
      <c r="P998" s="74"/>
      <c r="Q998" s="74"/>
      <c r="R998" s="74"/>
      <c r="S998" s="74"/>
      <c r="T998" s="74"/>
      <c r="U998" s="74"/>
      <c r="V998" s="74"/>
      <c r="W998" s="74"/>
      <c r="X998" s="74"/>
      <c r="Y998" s="74"/>
      <c r="Z998" s="74"/>
      <c r="AA998" s="74"/>
      <c r="AB998" s="74"/>
    </row>
    <row r="999" spans="1:28" ht="12" customHeight="1">
      <c r="A999" s="565"/>
      <c r="B999" s="107"/>
      <c r="C999" s="107"/>
      <c r="D999" s="108"/>
      <c r="E999" s="104"/>
      <c r="F999" s="104"/>
      <c r="G999" s="35"/>
      <c r="H999" s="104"/>
      <c r="I999" s="140"/>
      <c r="J999" s="74"/>
      <c r="K999" s="74"/>
      <c r="L999" s="74"/>
      <c r="M999" s="74"/>
      <c r="N999" s="74"/>
      <c r="O999" s="74"/>
      <c r="P999" s="74"/>
      <c r="Q999" s="74"/>
      <c r="R999" s="74"/>
      <c r="S999" s="74"/>
      <c r="T999" s="74"/>
      <c r="U999" s="74"/>
      <c r="V999" s="74"/>
      <c r="W999" s="74"/>
      <c r="X999" s="74"/>
      <c r="Y999" s="74"/>
      <c r="Z999" s="74"/>
      <c r="AA999" s="74"/>
      <c r="AB999" s="74"/>
    </row>
    <row r="1000" spans="1:28" ht="12" customHeight="1">
      <c r="A1000" s="565"/>
      <c r="B1000" s="107"/>
      <c r="C1000" s="107"/>
      <c r="D1000" s="108"/>
      <c r="E1000" s="104"/>
      <c r="F1000" s="104"/>
      <c r="G1000" s="35"/>
      <c r="H1000" s="104"/>
      <c r="I1000" s="140"/>
      <c r="J1000" s="74"/>
      <c r="K1000" s="74"/>
      <c r="L1000" s="74"/>
      <c r="M1000" s="74"/>
      <c r="N1000" s="74"/>
      <c r="O1000" s="74"/>
      <c r="P1000" s="74"/>
      <c r="Q1000" s="74"/>
      <c r="R1000" s="74"/>
      <c r="S1000" s="74"/>
      <c r="T1000" s="74"/>
      <c r="U1000" s="74"/>
      <c r="V1000" s="74"/>
      <c r="W1000" s="74"/>
      <c r="X1000" s="74"/>
      <c r="Y1000" s="74"/>
      <c r="Z1000" s="74"/>
      <c r="AA1000" s="74"/>
      <c r="AB1000" s="74"/>
    </row>
    <row r="1001" spans="1:28" ht="12" customHeight="1">
      <c r="A1001" s="565"/>
      <c r="B1001" s="107"/>
      <c r="C1001" s="107"/>
      <c r="D1001" s="108"/>
      <c r="E1001" s="104"/>
      <c r="F1001" s="104"/>
      <c r="G1001" s="35"/>
      <c r="H1001" s="104"/>
      <c r="I1001" s="140"/>
      <c r="J1001" s="74"/>
      <c r="K1001" s="74"/>
      <c r="L1001" s="74"/>
      <c r="M1001" s="74"/>
      <c r="N1001" s="74"/>
      <c r="O1001" s="74"/>
      <c r="P1001" s="74"/>
      <c r="Q1001" s="74"/>
      <c r="R1001" s="74"/>
      <c r="S1001" s="74"/>
      <c r="T1001" s="74"/>
      <c r="U1001" s="74"/>
      <c r="V1001" s="74"/>
      <c r="W1001" s="74"/>
      <c r="X1001" s="74"/>
      <c r="Y1001" s="74"/>
      <c r="Z1001" s="74"/>
      <c r="AA1001" s="74"/>
      <c r="AB1001" s="74"/>
    </row>
    <row r="1002" spans="1:28" ht="12" customHeight="1">
      <c r="A1002" s="565"/>
      <c r="B1002" s="107"/>
      <c r="C1002" s="107"/>
      <c r="D1002" s="108"/>
      <c r="E1002" s="104"/>
      <c r="F1002" s="104"/>
      <c r="G1002" s="35"/>
      <c r="H1002" s="104"/>
      <c r="I1002" s="140"/>
      <c r="J1002" s="74"/>
      <c r="K1002" s="74"/>
      <c r="L1002" s="74"/>
      <c r="M1002" s="74"/>
      <c r="N1002" s="74"/>
      <c r="O1002" s="74"/>
      <c r="P1002" s="74"/>
      <c r="Q1002" s="74"/>
      <c r="R1002" s="74"/>
      <c r="S1002" s="74"/>
      <c r="T1002" s="74"/>
      <c r="U1002" s="74"/>
      <c r="V1002" s="74"/>
      <c r="W1002" s="74"/>
      <c r="X1002" s="74"/>
      <c r="Y1002" s="74"/>
      <c r="Z1002" s="74"/>
      <c r="AA1002" s="74"/>
      <c r="AB1002" s="74"/>
    </row>
    <row r="1003" spans="1:28" ht="12" customHeight="1">
      <c r="A1003" s="565"/>
      <c r="B1003" s="107"/>
      <c r="C1003" s="107"/>
      <c r="D1003" s="108"/>
      <c r="E1003" s="104"/>
      <c r="F1003" s="104"/>
      <c r="G1003" s="35"/>
      <c r="H1003" s="104"/>
      <c r="I1003" s="140"/>
      <c r="J1003" s="74"/>
      <c r="K1003" s="74"/>
      <c r="L1003" s="74"/>
      <c r="M1003" s="74"/>
      <c r="N1003" s="74"/>
      <c r="O1003" s="74"/>
      <c r="P1003" s="74"/>
      <c r="Q1003" s="74"/>
      <c r="R1003" s="74"/>
      <c r="S1003" s="74"/>
      <c r="T1003" s="74"/>
      <c r="U1003" s="74"/>
      <c r="V1003" s="74"/>
      <c r="W1003" s="74"/>
      <c r="X1003" s="74"/>
      <c r="Y1003" s="74"/>
      <c r="Z1003" s="74"/>
      <c r="AA1003" s="74"/>
      <c r="AB1003" s="74"/>
    </row>
    <row r="1004" spans="1:28" ht="12" customHeight="1">
      <c r="A1004" s="565"/>
      <c r="B1004" s="107"/>
      <c r="C1004" s="107"/>
      <c r="D1004" s="108"/>
      <c r="E1004" s="104"/>
      <c r="F1004" s="104"/>
      <c r="G1004" s="35"/>
      <c r="H1004" s="104"/>
      <c r="I1004" s="140"/>
      <c r="J1004" s="74"/>
      <c r="K1004" s="74"/>
      <c r="L1004" s="74"/>
      <c r="M1004" s="74"/>
      <c r="N1004" s="74"/>
      <c r="O1004" s="74"/>
      <c r="P1004" s="74"/>
      <c r="Q1004" s="74"/>
      <c r="R1004" s="74"/>
      <c r="S1004" s="74"/>
      <c r="T1004" s="74"/>
      <c r="U1004" s="74"/>
      <c r="V1004" s="74"/>
      <c r="W1004" s="74"/>
      <c r="X1004" s="74"/>
      <c r="Y1004" s="74"/>
      <c r="Z1004" s="74"/>
      <c r="AA1004" s="74"/>
      <c r="AB1004" s="74"/>
    </row>
    <row r="1005" spans="1:28" ht="12" customHeight="1">
      <c r="A1005" s="565"/>
      <c r="B1005" s="107"/>
      <c r="C1005" s="107"/>
      <c r="D1005" s="108"/>
      <c r="E1005" s="104"/>
      <c r="F1005" s="104"/>
      <c r="G1005" s="35"/>
      <c r="H1005" s="104"/>
      <c r="I1005" s="140"/>
      <c r="J1005" s="74"/>
      <c r="K1005" s="74"/>
      <c r="L1005" s="74"/>
      <c r="M1005" s="74"/>
      <c r="N1005" s="74"/>
      <c r="O1005" s="74"/>
      <c r="P1005" s="74"/>
      <c r="Q1005" s="74"/>
      <c r="R1005" s="74"/>
      <c r="S1005" s="74"/>
      <c r="T1005" s="74"/>
      <c r="U1005" s="74"/>
      <c r="V1005" s="74"/>
      <c r="W1005" s="74"/>
      <c r="X1005" s="74"/>
      <c r="Y1005" s="74"/>
      <c r="Z1005" s="74"/>
      <c r="AA1005" s="74"/>
      <c r="AB1005" s="74"/>
    </row>
    <row r="1006" spans="1:28" ht="12" customHeight="1">
      <c r="A1006" s="565"/>
      <c r="B1006" s="107"/>
      <c r="C1006" s="107"/>
      <c r="D1006" s="108"/>
      <c r="E1006" s="104"/>
      <c r="F1006" s="104"/>
      <c r="G1006" s="35"/>
      <c r="H1006" s="104"/>
      <c r="I1006" s="140"/>
      <c r="J1006" s="74"/>
      <c r="K1006" s="74"/>
      <c r="L1006" s="74"/>
      <c r="M1006" s="74"/>
      <c r="N1006" s="74"/>
      <c r="O1006" s="74"/>
      <c r="P1006" s="74"/>
      <c r="Q1006" s="74"/>
      <c r="R1006" s="74"/>
      <c r="S1006" s="74"/>
      <c r="T1006" s="74"/>
      <c r="U1006" s="74"/>
      <c r="V1006" s="74"/>
      <c r="W1006" s="74"/>
      <c r="X1006" s="74"/>
      <c r="Y1006" s="74"/>
      <c r="Z1006" s="74"/>
      <c r="AA1006" s="74"/>
      <c r="AB1006" s="74"/>
    </row>
    <row r="1007" spans="1:28" ht="12" customHeight="1">
      <c r="A1007" s="565"/>
      <c r="B1007" s="107"/>
      <c r="C1007" s="107"/>
      <c r="D1007" s="108"/>
      <c r="E1007" s="104"/>
      <c r="F1007" s="104"/>
      <c r="G1007" s="35"/>
      <c r="H1007" s="104"/>
      <c r="I1007" s="140"/>
      <c r="J1007" s="74"/>
      <c r="K1007" s="74"/>
      <c r="L1007" s="74"/>
      <c r="M1007" s="74"/>
      <c r="N1007" s="74"/>
      <c r="O1007" s="74"/>
      <c r="P1007" s="74"/>
      <c r="Q1007" s="74"/>
      <c r="R1007" s="74"/>
      <c r="S1007" s="74"/>
      <c r="T1007" s="74"/>
      <c r="U1007" s="74"/>
      <c r="V1007" s="74"/>
      <c r="W1007" s="74"/>
      <c r="X1007" s="74"/>
      <c r="Y1007" s="74"/>
      <c r="Z1007" s="74"/>
      <c r="AA1007" s="74"/>
      <c r="AB1007" s="74"/>
    </row>
    <row r="1008" spans="1:28" ht="12" customHeight="1">
      <c r="A1008" s="565"/>
      <c r="B1008" s="107"/>
      <c r="C1008" s="107"/>
      <c r="D1008" s="108"/>
      <c r="E1008" s="104"/>
      <c r="F1008" s="104"/>
      <c r="G1008" s="35"/>
      <c r="H1008" s="104"/>
      <c r="I1008" s="140"/>
      <c r="J1008" s="74"/>
      <c r="K1008" s="74"/>
      <c r="L1008" s="74"/>
      <c r="M1008" s="74"/>
      <c r="N1008" s="74"/>
      <c r="O1008" s="74"/>
      <c r="P1008" s="74"/>
      <c r="Q1008" s="74"/>
      <c r="R1008" s="74"/>
      <c r="S1008" s="74"/>
      <c r="T1008" s="74"/>
      <c r="U1008" s="74"/>
      <c r="V1008" s="74"/>
      <c r="W1008" s="74"/>
      <c r="X1008" s="74"/>
      <c r="Y1008" s="74"/>
      <c r="Z1008" s="74"/>
      <c r="AA1008" s="74"/>
      <c r="AB1008" s="74"/>
    </row>
    <row r="1009" spans="1:28" ht="12" customHeight="1">
      <c r="A1009" s="565"/>
      <c r="B1009" s="107"/>
      <c r="C1009" s="107"/>
      <c r="D1009" s="108"/>
      <c r="E1009" s="104"/>
      <c r="F1009" s="104"/>
      <c r="G1009" s="35"/>
      <c r="H1009" s="104"/>
      <c r="I1009" s="140"/>
      <c r="J1009" s="74"/>
      <c r="K1009" s="74"/>
      <c r="L1009" s="74"/>
      <c r="M1009" s="74"/>
      <c r="N1009" s="74"/>
      <c r="O1009" s="74"/>
      <c r="P1009" s="74"/>
      <c r="Q1009" s="74"/>
      <c r="R1009" s="74"/>
      <c r="S1009" s="74"/>
      <c r="T1009" s="74"/>
      <c r="U1009" s="74"/>
      <c r="V1009" s="74"/>
      <c r="W1009" s="74"/>
      <c r="X1009" s="74"/>
      <c r="Y1009" s="74"/>
      <c r="Z1009" s="74"/>
      <c r="AA1009" s="74"/>
      <c r="AB1009" s="74"/>
    </row>
    <row r="1010" spans="1:28" ht="12" customHeight="1">
      <c r="A1010" s="565"/>
      <c r="B1010" s="107"/>
      <c r="C1010" s="107"/>
      <c r="D1010" s="108"/>
      <c r="E1010" s="104"/>
      <c r="F1010" s="104"/>
      <c r="G1010" s="35"/>
      <c r="H1010" s="104"/>
      <c r="I1010" s="140"/>
      <c r="J1010" s="74"/>
      <c r="K1010" s="74"/>
      <c r="L1010" s="74"/>
      <c r="M1010" s="74"/>
      <c r="N1010" s="74"/>
      <c r="O1010" s="74"/>
      <c r="P1010" s="74"/>
      <c r="Q1010" s="74"/>
      <c r="R1010" s="74"/>
      <c r="S1010" s="74"/>
      <c r="T1010" s="74"/>
      <c r="U1010" s="74"/>
      <c r="V1010" s="74"/>
      <c r="W1010" s="74"/>
      <c r="X1010" s="74"/>
      <c r="Y1010" s="74"/>
      <c r="Z1010" s="74"/>
      <c r="AA1010" s="74"/>
      <c r="AB1010" s="74"/>
    </row>
    <row r="1011" spans="1:28" ht="12" customHeight="1">
      <c r="A1011" s="565"/>
      <c r="B1011" s="107"/>
      <c r="C1011" s="107"/>
      <c r="D1011" s="108"/>
      <c r="E1011" s="104"/>
      <c r="F1011" s="104"/>
      <c r="G1011" s="35"/>
      <c r="H1011" s="104"/>
      <c r="I1011" s="140"/>
      <c r="J1011" s="74"/>
      <c r="K1011" s="74"/>
      <c r="L1011" s="74"/>
      <c r="M1011" s="74"/>
      <c r="N1011" s="74"/>
      <c r="O1011" s="74"/>
      <c r="P1011" s="74"/>
      <c r="Q1011" s="74"/>
      <c r="R1011" s="74"/>
      <c r="S1011" s="74"/>
      <c r="T1011" s="74"/>
      <c r="U1011" s="74"/>
      <c r="V1011" s="74"/>
      <c r="W1011" s="74"/>
      <c r="X1011" s="74"/>
      <c r="Y1011" s="74"/>
      <c r="Z1011" s="74"/>
      <c r="AA1011" s="74"/>
      <c r="AB1011" s="74"/>
    </row>
    <row r="1012" spans="1:28" ht="12" customHeight="1">
      <c r="A1012" s="565"/>
      <c r="B1012" s="107"/>
      <c r="C1012" s="107"/>
      <c r="D1012" s="108"/>
      <c r="E1012" s="104"/>
      <c r="F1012" s="104"/>
      <c r="G1012" s="35"/>
      <c r="H1012" s="104"/>
      <c r="I1012" s="140"/>
      <c r="J1012" s="74"/>
      <c r="K1012" s="74"/>
      <c r="L1012" s="74"/>
      <c r="M1012" s="74"/>
      <c r="N1012" s="74"/>
      <c r="O1012" s="74"/>
      <c r="P1012" s="74"/>
      <c r="Q1012" s="74"/>
      <c r="R1012" s="74"/>
      <c r="S1012" s="74"/>
      <c r="T1012" s="74"/>
      <c r="U1012" s="74"/>
      <c r="V1012" s="74"/>
      <c r="W1012" s="74"/>
      <c r="X1012" s="74"/>
      <c r="Y1012" s="74"/>
      <c r="Z1012" s="74"/>
      <c r="AA1012" s="74"/>
      <c r="AB1012" s="74"/>
    </row>
    <row r="1013" spans="1:28" ht="12" customHeight="1">
      <c r="A1013" s="565"/>
      <c r="B1013" s="107"/>
      <c r="C1013" s="107"/>
      <c r="D1013" s="108"/>
      <c r="E1013" s="104"/>
      <c r="F1013" s="104"/>
      <c r="G1013" s="35"/>
      <c r="H1013" s="104"/>
      <c r="I1013" s="140"/>
      <c r="J1013" s="74"/>
      <c r="K1013" s="74"/>
      <c r="L1013" s="74"/>
      <c r="M1013" s="74"/>
      <c r="N1013" s="74"/>
      <c r="O1013" s="74"/>
      <c r="P1013" s="74"/>
      <c r="Q1013" s="74"/>
      <c r="R1013" s="74"/>
      <c r="S1013" s="74"/>
      <c r="T1013" s="74"/>
      <c r="U1013" s="74"/>
      <c r="V1013" s="74"/>
      <c r="W1013" s="74"/>
      <c r="X1013" s="74"/>
      <c r="Y1013" s="74"/>
      <c r="Z1013" s="74"/>
      <c r="AA1013" s="74"/>
      <c r="AB1013" s="74"/>
    </row>
    <row r="1014" spans="1:28" ht="12" customHeight="1">
      <c r="A1014" s="565"/>
      <c r="B1014" s="107"/>
      <c r="C1014" s="107"/>
      <c r="D1014" s="108"/>
      <c r="E1014" s="104"/>
      <c r="F1014" s="104"/>
      <c r="G1014" s="35"/>
      <c r="H1014" s="104"/>
      <c r="I1014" s="140"/>
      <c r="J1014" s="74"/>
      <c r="K1014" s="74"/>
      <c r="L1014" s="74"/>
      <c r="M1014" s="74"/>
      <c r="N1014" s="74"/>
      <c r="O1014" s="74"/>
      <c r="P1014" s="74"/>
      <c r="Q1014" s="74"/>
      <c r="R1014" s="74"/>
      <c r="S1014" s="74"/>
      <c r="T1014" s="74"/>
      <c r="U1014" s="74"/>
      <c r="V1014" s="74"/>
      <c r="W1014" s="74"/>
      <c r="X1014" s="74"/>
      <c r="Y1014" s="74"/>
      <c r="Z1014" s="74"/>
      <c r="AA1014" s="74"/>
      <c r="AB1014" s="74"/>
    </row>
    <row r="1015" spans="1:28" ht="12" customHeight="1">
      <c r="A1015" s="565"/>
      <c r="B1015" s="107"/>
      <c r="C1015" s="107"/>
      <c r="D1015" s="108"/>
      <c r="E1015" s="104"/>
      <c r="F1015" s="104"/>
      <c r="G1015" s="35"/>
      <c r="H1015" s="104"/>
      <c r="I1015" s="140"/>
      <c r="J1015" s="74"/>
      <c r="K1015" s="74"/>
      <c r="L1015" s="74"/>
      <c r="M1015" s="74"/>
      <c r="N1015" s="74"/>
      <c r="O1015" s="74"/>
      <c r="P1015" s="74"/>
      <c r="Q1015" s="74"/>
      <c r="R1015" s="74"/>
      <c r="S1015" s="74"/>
      <c r="T1015" s="74"/>
      <c r="U1015" s="74"/>
      <c r="V1015" s="74"/>
      <c r="W1015" s="74"/>
      <c r="X1015" s="74"/>
      <c r="Y1015" s="74"/>
      <c r="Z1015" s="74"/>
      <c r="AA1015" s="74"/>
      <c r="AB1015" s="74"/>
    </row>
    <row r="1016" spans="1:28" ht="12" customHeight="1">
      <c r="A1016" s="565"/>
      <c r="B1016" s="107"/>
      <c r="C1016" s="107"/>
      <c r="D1016" s="108"/>
      <c r="E1016" s="104"/>
      <c r="F1016" s="104"/>
      <c r="G1016" s="35"/>
      <c r="H1016" s="104"/>
      <c r="I1016" s="140"/>
      <c r="J1016" s="74"/>
      <c r="K1016" s="74"/>
      <c r="L1016" s="74"/>
      <c r="M1016" s="74"/>
      <c r="N1016" s="74"/>
      <c r="O1016" s="74"/>
      <c r="P1016" s="74"/>
      <c r="Q1016" s="74"/>
      <c r="R1016" s="74"/>
      <c r="S1016" s="74"/>
      <c r="T1016" s="74"/>
      <c r="U1016" s="74"/>
      <c r="V1016" s="74"/>
      <c r="W1016" s="74"/>
      <c r="X1016" s="74"/>
      <c r="Y1016" s="74"/>
      <c r="Z1016" s="74"/>
      <c r="AA1016" s="74"/>
      <c r="AB1016" s="74"/>
    </row>
    <row r="1017" spans="1:28" ht="12" customHeight="1">
      <c r="A1017" s="565"/>
      <c r="B1017" s="107"/>
      <c r="C1017" s="107"/>
      <c r="D1017" s="108"/>
      <c r="E1017" s="104"/>
      <c r="F1017" s="104"/>
      <c r="G1017" s="35"/>
      <c r="H1017" s="104"/>
      <c r="I1017" s="140"/>
      <c r="J1017" s="74"/>
      <c r="K1017" s="74"/>
      <c r="L1017" s="74"/>
      <c r="M1017" s="74"/>
      <c r="N1017" s="74"/>
      <c r="O1017" s="74"/>
      <c r="P1017" s="74"/>
      <c r="Q1017" s="74"/>
      <c r="R1017" s="74"/>
      <c r="S1017" s="74"/>
      <c r="T1017" s="74"/>
      <c r="U1017" s="74"/>
      <c r="V1017" s="74"/>
      <c r="W1017" s="74"/>
      <c r="X1017" s="74"/>
      <c r="Y1017" s="74"/>
      <c r="Z1017" s="74"/>
      <c r="AA1017" s="74"/>
      <c r="AB1017" s="74"/>
    </row>
    <row r="1018" spans="1:28" ht="12" customHeight="1">
      <c r="A1018" s="565"/>
      <c r="B1018" s="107"/>
      <c r="C1018" s="107"/>
      <c r="D1018" s="108"/>
      <c r="E1018" s="104"/>
      <c r="F1018" s="104"/>
      <c r="G1018" s="35"/>
      <c r="H1018" s="104"/>
      <c r="I1018" s="140"/>
      <c r="J1018" s="74"/>
      <c r="K1018" s="74"/>
      <c r="L1018" s="74"/>
      <c r="M1018" s="74"/>
      <c r="N1018" s="74"/>
      <c r="O1018" s="74"/>
      <c r="P1018" s="74"/>
      <c r="Q1018" s="74"/>
      <c r="R1018" s="74"/>
      <c r="S1018" s="74"/>
      <c r="T1018" s="74"/>
      <c r="U1018" s="74"/>
      <c r="V1018" s="74"/>
      <c r="W1018" s="74"/>
      <c r="X1018" s="74"/>
      <c r="Y1018" s="74"/>
      <c r="Z1018" s="74"/>
      <c r="AA1018" s="74"/>
      <c r="AB1018" s="74"/>
    </row>
    <row r="1019" spans="1:28" ht="12" customHeight="1">
      <c r="A1019" s="565"/>
      <c r="B1019" s="107"/>
      <c r="C1019" s="107"/>
      <c r="D1019" s="108"/>
      <c r="E1019" s="104"/>
      <c r="F1019" s="104"/>
      <c r="G1019" s="35"/>
      <c r="H1019" s="104"/>
      <c r="I1019" s="140"/>
      <c r="J1019" s="74"/>
      <c r="K1019" s="74"/>
      <c r="L1019" s="74"/>
      <c r="M1019" s="74"/>
      <c r="N1019" s="74"/>
      <c r="O1019" s="74"/>
      <c r="P1019" s="74"/>
      <c r="Q1019" s="74"/>
      <c r="R1019" s="74"/>
      <c r="S1019" s="74"/>
      <c r="T1019" s="74"/>
      <c r="U1019" s="74"/>
      <c r="V1019" s="74"/>
      <c r="W1019" s="74"/>
      <c r="X1019" s="74"/>
      <c r="Y1019" s="74"/>
      <c r="Z1019" s="74"/>
      <c r="AA1019" s="74"/>
      <c r="AB1019" s="74"/>
    </row>
    <row r="1020" spans="1:28" ht="12" customHeight="1">
      <c r="A1020" s="565"/>
      <c r="B1020" s="107"/>
      <c r="C1020" s="107"/>
      <c r="D1020" s="108"/>
      <c r="E1020" s="104"/>
      <c r="F1020" s="104"/>
      <c r="G1020" s="35"/>
      <c r="H1020" s="104"/>
      <c r="I1020" s="140"/>
      <c r="J1020" s="74"/>
      <c r="K1020" s="74"/>
      <c r="L1020" s="74"/>
      <c r="M1020" s="74"/>
      <c r="N1020" s="74"/>
      <c r="O1020" s="74"/>
      <c r="P1020" s="74"/>
      <c r="Q1020" s="74"/>
      <c r="R1020" s="74"/>
      <c r="S1020" s="74"/>
      <c r="T1020" s="74"/>
      <c r="U1020" s="74"/>
      <c r="V1020" s="74"/>
      <c r="W1020" s="74"/>
      <c r="X1020" s="74"/>
      <c r="Y1020" s="74"/>
      <c r="Z1020" s="74"/>
      <c r="AA1020" s="74"/>
      <c r="AB1020" s="74"/>
    </row>
    <row r="1021" spans="1:28" ht="12" customHeight="1">
      <c r="A1021" s="565"/>
      <c r="B1021" s="107"/>
      <c r="C1021" s="107"/>
      <c r="D1021" s="108"/>
      <c r="E1021" s="104"/>
      <c r="F1021" s="104"/>
      <c r="G1021" s="35"/>
      <c r="H1021" s="104"/>
      <c r="I1021" s="140"/>
      <c r="J1021" s="74"/>
      <c r="K1021" s="74"/>
      <c r="L1021" s="74"/>
      <c r="M1021" s="74"/>
      <c r="N1021" s="74"/>
      <c r="O1021" s="74"/>
      <c r="P1021" s="74"/>
      <c r="Q1021" s="74"/>
      <c r="R1021" s="74"/>
      <c r="S1021" s="74"/>
      <c r="T1021" s="74"/>
      <c r="U1021" s="74"/>
      <c r="V1021" s="74"/>
      <c r="W1021" s="74"/>
      <c r="X1021" s="74"/>
      <c r="Y1021" s="74"/>
      <c r="Z1021" s="74"/>
      <c r="AA1021" s="74"/>
      <c r="AB1021" s="74"/>
    </row>
    <row r="1022" spans="1:28" ht="12" customHeight="1">
      <c r="A1022" s="565"/>
      <c r="B1022" s="107"/>
      <c r="C1022" s="107"/>
      <c r="D1022" s="108"/>
      <c r="E1022" s="104"/>
      <c r="F1022" s="104"/>
      <c r="G1022" s="35"/>
      <c r="H1022" s="104"/>
      <c r="I1022" s="140"/>
      <c r="J1022" s="74"/>
      <c r="K1022" s="74"/>
      <c r="L1022" s="74"/>
      <c r="M1022" s="74"/>
      <c r="N1022" s="74"/>
      <c r="O1022" s="74"/>
      <c r="P1022" s="74"/>
      <c r="Q1022" s="74"/>
      <c r="R1022" s="74"/>
      <c r="S1022" s="74"/>
      <c r="T1022" s="74"/>
      <c r="U1022" s="74"/>
      <c r="V1022" s="74"/>
      <c r="W1022" s="74"/>
      <c r="X1022" s="74"/>
      <c r="Y1022" s="74"/>
      <c r="Z1022" s="74"/>
      <c r="AA1022" s="74"/>
      <c r="AB1022" s="74"/>
    </row>
    <row r="1023" spans="1:28" ht="12" customHeight="1">
      <c r="A1023" s="565"/>
      <c r="B1023" s="107"/>
      <c r="C1023" s="107"/>
      <c r="D1023" s="108"/>
      <c r="E1023" s="104"/>
      <c r="F1023" s="104"/>
      <c r="G1023" s="35"/>
      <c r="H1023" s="104"/>
      <c r="I1023" s="140"/>
      <c r="J1023" s="74"/>
      <c r="K1023" s="74"/>
      <c r="L1023" s="74"/>
      <c r="M1023" s="74"/>
      <c r="N1023" s="74"/>
      <c r="O1023" s="74"/>
      <c r="P1023" s="74"/>
      <c r="Q1023" s="74"/>
      <c r="R1023" s="74"/>
      <c r="S1023" s="74"/>
      <c r="T1023" s="74"/>
      <c r="U1023" s="74"/>
      <c r="V1023" s="74"/>
      <c r="W1023" s="74"/>
      <c r="X1023" s="74"/>
      <c r="Y1023" s="74"/>
      <c r="Z1023" s="74"/>
      <c r="AA1023" s="74"/>
      <c r="AB1023" s="74"/>
    </row>
    <row r="1024" spans="1:28" ht="12" customHeight="1">
      <c r="A1024" s="565"/>
      <c r="B1024" s="107"/>
      <c r="C1024" s="107"/>
      <c r="D1024" s="108"/>
      <c r="E1024" s="104"/>
      <c r="F1024" s="104"/>
      <c r="G1024" s="35"/>
      <c r="H1024" s="104"/>
      <c r="I1024" s="140"/>
      <c r="J1024" s="74"/>
      <c r="K1024" s="74"/>
      <c r="L1024" s="74"/>
      <c r="M1024" s="74"/>
      <c r="N1024" s="74"/>
      <c r="O1024" s="74"/>
      <c r="P1024" s="74"/>
      <c r="Q1024" s="74"/>
      <c r="R1024" s="74"/>
      <c r="S1024" s="74"/>
      <c r="T1024" s="74"/>
      <c r="U1024" s="74"/>
      <c r="V1024" s="74"/>
      <c r="W1024" s="74"/>
      <c r="X1024" s="74"/>
      <c r="Y1024" s="74"/>
      <c r="Z1024" s="74"/>
      <c r="AA1024" s="74"/>
      <c r="AB1024" s="74"/>
    </row>
    <row r="1025" spans="1:28" ht="12" customHeight="1">
      <c r="A1025" s="565"/>
      <c r="B1025" s="107"/>
      <c r="C1025" s="107"/>
      <c r="D1025" s="108"/>
      <c r="E1025" s="104"/>
      <c r="F1025" s="104"/>
      <c r="G1025" s="35"/>
      <c r="H1025" s="104"/>
      <c r="I1025" s="140"/>
      <c r="J1025" s="74"/>
      <c r="K1025" s="74"/>
      <c r="L1025" s="74"/>
      <c r="M1025" s="74"/>
      <c r="N1025" s="74"/>
      <c r="O1025" s="74"/>
      <c r="P1025" s="74"/>
      <c r="Q1025" s="74"/>
      <c r="R1025" s="74"/>
      <c r="S1025" s="74"/>
      <c r="T1025" s="74"/>
      <c r="U1025" s="74"/>
      <c r="V1025" s="74"/>
      <c r="W1025" s="74"/>
      <c r="X1025" s="74"/>
      <c r="Y1025" s="74"/>
      <c r="Z1025" s="74"/>
      <c r="AA1025" s="74"/>
      <c r="AB1025" s="74"/>
    </row>
    <row r="1026" spans="1:28" ht="12" customHeight="1">
      <c r="A1026" s="565"/>
      <c r="B1026" s="107"/>
      <c r="C1026" s="107"/>
      <c r="D1026" s="108"/>
      <c r="E1026" s="104"/>
      <c r="F1026" s="104"/>
      <c r="G1026" s="35"/>
      <c r="H1026" s="104"/>
      <c r="I1026" s="140"/>
      <c r="J1026" s="74"/>
      <c r="K1026" s="74"/>
      <c r="L1026" s="74"/>
      <c r="M1026" s="74"/>
      <c r="N1026" s="74"/>
      <c r="O1026" s="74"/>
      <c r="P1026" s="74"/>
      <c r="Q1026" s="74"/>
      <c r="R1026" s="74"/>
      <c r="S1026" s="74"/>
      <c r="T1026" s="74"/>
      <c r="U1026" s="74"/>
      <c r="V1026" s="74"/>
      <c r="W1026" s="74"/>
      <c r="X1026" s="74"/>
      <c r="Y1026" s="74"/>
      <c r="Z1026" s="74"/>
      <c r="AA1026" s="74"/>
      <c r="AB1026" s="74"/>
    </row>
    <row r="1027" spans="1:28" ht="12" customHeight="1">
      <c r="A1027" s="565"/>
      <c r="B1027" s="107"/>
      <c r="C1027" s="107"/>
      <c r="D1027" s="108"/>
      <c r="E1027" s="104"/>
      <c r="F1027" s="104"/>
      <c r="G1027" s="35"/>
      <c r="H1027" s="104"/>
      <c r="I1027" s="140"/>
      <c r="J1027" s="74"/>
      <c r="K1027" s="74"/>
      <c r="L1027" s="74"/>
      <c r="M1027" s="74"/>
      <c r="N1027" s="74"/>
      <c r="O1027" s="74"/>
      <c r="P1027" s="74"/>
      <c r="Q1027" s="74"/>
      <c r="R1027" s="74"/>
      <c r="S1027" s="74"/>
      <c r="T1027" s="74"/>
      <c r="U1027" s="74"/>
      <c r="V1027" s="74"/>
      <c r="W1027" s="74"/>
      <c r="X1027" s="74"/>
      <c r="Y1027" s="74"/>
      <c r="Z1027" s="74"/>
      <c r="AA1027" s="74"/>
      <c r="AB1027" s="74"/>
    </row>
    <row r="1028" spans="1:28" ht="12" customHeight="1">
      <c r="A1028" s="565"/>
      <c r="B1028" s="107"/>
      <c r="C1028" s="107"/>
      <c r="D1028" s="108"/>
      <c r="E1028" s="104"/>
      <c r="F1028" s="104"/>
      <c r="G1028" s="35"/>
      <c r="H1028" s="104"/>
      <c r="I1028" s="140"/>
      <c r="J1028" s="74"/>
      <c r="K1028" s="74"/>
      <c r="L1028" s="74"/>
      <c r="M1028" s="74"/>
      <c r="N1028" s="74"/>
      <c r="O1028" s="74"/>
      <c r="P1028" s="74"/>
      <c r="Q1028" s="74"/>
      <c r="R1028" s="74"/>
      <c r="S1028" s="74"/>
      <c r="T1028" s="74"/>
      <c r="U1028" s="74"/>
      <c r="V1028" s="74"/>
      <c r="W1028" s="74"/>
      <c r="X1028" s="74"/>
      <c r="Y1028" s="74"/>
      <c r="Z1028" s="74"/>
      <c r="AA1028" s="74"/>
      <c r="AB1028" s="74"/>
    </row>
    <row r="1029" spans="1:28" ht="12" customHeight="1">
      <c r="A1029" s="565"/>
      <c r="B1029" s="107"/>
      <c r="C1029" s="107"/>
      <c r="D1029" s="108"/>
      <c r="E1029" s="104"/>
      <c r="F1029" s="104"/>
      <c r="G1029" s="35"/>
      <c r="H1029" s="104"/>
      <c r="I1029" s="140"/>
      <c r="J1029" s="74"/>
      <c r="K1029" s="74"/>
      <c r="L1029" s="74"/>
      <c r="M1029" s="74"/>
      <c r="N1029" s="74"/>
      <c r="O1029" s="74"/>
      <c r="P1029" s="74"/>
      <c r="Q1029" s="74"/>
      <c r="R1029" s="74"/>
      <c r="S1029" s="74"/>
      <c r="T1029" s="74"/>
      <c r="U1029" s="74"/>
      <c r="V1029" s="74"/>
      <c r="W1029" s="74"/>
      <c r="X1029" s="74"/>
      <c r="Y1029" s="74"/>
      <c r="Z1029" s="74"/>
      <c r="AA1029" s="74"/>
      <c r="AB1029" s="74"/>
    </row>
    <row r="1030" spans="1:28" ht="12" customHeight="1">
      <c r="A1030" s="565"/>
      <c r="B1030" s="107"/>
      <c r="C1030" s="107"/>
      <c r="D1030" s="108"/>
      <c r="E1030" s="104"/>
      <c r="F1030" s="104"/>
      <c r="G1030" s="35"/>
      <c r="H1030" s="104"/>
      <c r="I1030" s="140"/>
      <c r="J1030" s="74"/>
      <c r="K1030" s="74"/>
      <c r="L1030" s="74"/>
      <c r="M1030" s="74"/>
      <c r="N1030" s="74"/>
      <c r="O1030" s="74"/>
      <c r="P1030" s="74"/>
      <c r="Q1030" s="74"/>
      <c r="R1030" s="74"/>
      <c r="S1030" s="74"/>
      <c r="T1030" s="74"/>
      <c r="U1030" s="74"/>
      <c r="V1030" s="74"/>
      <c r="W1030" s="74"/>
      <c r="X1030" s="74"/>
      <c r="Y1030" s="74"/>
      <c r="Z1030" s="74"/>
      <c r="AA1030" s="74"/>
      <c r="AB1030" s="74"/>
    </row>
    <row r="1031" spans="1:28" ht="12" customHeight="1">
      <c r="A1031" s="565"/>
      <c r="B1031" s="107"/>
      <c r="C1031" s="107"/>
      <c r="D1031" s="108"/>
      <c r="E1031" s="104"/>
      <c r="F1031" s="104"/>
      <c r="G1031" s="35"/>
      <c r="H1031" s="104"/>
      <c r="I1031" s="140"/>
      <c r="J1031" s="74"/>
      <c r="K1031" s="74"/>
      <c r="L1031" s="74"/>
      <c r="M1031" s="74"/>
      <c r="N1031" s="74"/>
      <c r="O1031" s="74"/>
      <c r="P1031" s="74"/>
      <c r="Q1031" s="74"/>
      <c r="R1031" s="74"/>
      <c r="S1031" s="74"/>
      <c r="T1031" s="74"/>
      <c r="U1031" s="74"/>
      <c r="V1031" s="74"/>
      <c r="W1031" s="74"/>
      <c r="X1031" s="74"/>
      <c r="Y1031" s="74"/>
      <c r="Z1031" s="74"/>
      <c r="AA1031" s="74"/>
      <c r="AB1031" s="74"/>
    </row>
    <row r="1032" spans="1:28" ht="12" customHeight="1">
      <c r="A1032" s="565"/>
      <c r="B1032" s="107"/>
      <c r="C1032" s="107"/>
      <c r="D1032" s="108"/>
      <c r="E1032" s="104"/>
      <c r="F1032" s="104"/>
      <c r="G1032" s="35"/>
      <c r="H1032" s="104"/>
      <c r="I1032" s="140"/>
      <c r="J1032" s="74"/>
      <c r="K1032" s="74"/>
      <c r="L1032" s="74"/>
      <c r="M1032" s="74"/>
      <c r="N1032" s="74"/>
      <c r="O1032" s="74"/>
      <c r="P1032" s="74"/>
      <c r="Q1032" s="74"/>
      <c r="R1032" s="74"/>
      <c r="S1032" s="74"/>
      <c r="T1032" s="74"/>
      <c r="U1032" s="74"/>
      <c r="V1032" s="74"/>
      <c r="W1032" s="74"/>
      <c r="X1032" s="74"/>
      <c r="Y1032" s="74"/>
      <c r="Z1032" s="74"/>
      <c r="AA1032" s="74"/>
      <c r="AB1032" s="74"/>
    </row>
    <row r="1033" spans="1:28" ht="12" customHeight="1">
      <c r="A1033" s="565"/>
      <c r="B1033" s="107"/>
      <c r="C1033" s="107"/>
      <c r="D1033" s="108"/>
      <c r="E1033" s="104"/>
      <c r="F1033" s="104"/>
      <c r="G1033" s="35"/>
      <c r="H1033" s="104"/>
      <c r="I1033" s="140"/>
      <c r="J1033" s="74"/>
      <c r="K1033" s="74"/>
      <c r="L1033" s="74"/>
      <c r="M1033" s="74"/>
      <c r="N1033" s="74"/>
      <c r="O1033" s="74"/>
      <c r="P1033" s="74"/>
      <c r="Q1033" s="74"/>
      <c r="R1033" s="74"/>
      <c r="S1033" s="74"/>
      <c r="T1033" s="74"/>
      <c r="U1033" s="74"/>
      <c r="V1033" s="74"/>
      <c r="W1033" s="74"/>
      <c r="X1033" s="74"/>
      <c r="Y1033" s="74"/>
      <c r="Z1033" s="74"/>
      <c r="AA1033" s="74"/>
      <c r="AB1033" s="74"/>
    </row>
    <row r="1034" spans="1:28" ht="12" customHeight="1">
      <c r="A1034" s="565"/>
      <c r="B1034" s="107"/>
      <c r="C1034" s="107"/>
      <c r="D1034" s="108"/>
      <c r="E1034" s="104"/>
      <c r="F1034" s="104"/>
      <c r="G1034" s="35"/>
      <c r="H1034" s="104"/>
      <c r="I1034" s="140"/>
      <c r="J1034" s="74"/>
      <c r="K1034" s="74"/>
      <c r="L1034" s="74"/>
      <c r="M1034" s="74"/>
      <c r="N1034" s="74"/>
      <c r="O1034" s="74"/>
      <c r="P1034" s="74"/>
      <c r="Q1034" s="74"/>
      <c r="R1034" s="74"/>
      <c r="S1034" s="74"/>
      <c r="T1034" s="74"/>
      <c r="U1034" s="74"/>
      <c r="V1034" s="74"/>
      <c r="W1034" s="74"/>
      <c r="X1034" s="74"/>
      <c r="Y1034" s="74"/>
      <c r="Z1034" s="74"/>
      <c r="AA1034" s="74"/>
      <c r="AB1034" s="74"/>
    </row>
    <row r="1035" spans="1:28" ht="12" customHeight="1">
      <c r="A1035" s="565"/>
      <c r="B1035" s="107"/>
      <c r="C1035" s="107"/>
      <c r="D1035" s="108"/>
      <c r="E1035" s="104"/>
      <c r="F1035" s="104"/>
      <c r="G1035" s="35"/>
      <c r="H1035" s="104"/>
      <c r="I1035" s="140"/>
      <c r="J1035" s="74"/>
      <c r="K1035" s="74"/>
      <c r="L1035" s="74"/>
      <c r="M1035" s="74"/>
      <c r="N1035" s="74"/>
      <c r="O1035" s="74"/>
      <c r="P1035" s="74"/>
      <c r="Q1035" s="74"/>
      <c r="R1035" s="74"/>
      <c r="S1035" s="74"/>
      <c r="T1035" s="74"/>
      <c r="U1035" s="74"/>
      <c r="V1035" s="74"/>
      <c r="W1035" s="74"/>
      <c r="X1035" s="74"/>
      <c r="Y1035" s="74"/>
      <c r="Z1035" s="74"/>
      <c r="AA1035" s="74"/>
      <c r="AB1035" s="74"/>
    </row>
    <row r="1036" spans="1:28" ht="12" customHeight="1">
      <c r="A1036" s="565"/>
      <c r="B1036" s="107"/>
      <c r="C1036" s="107"/>
      <c r="D1036" s="108"/>
      <c r="E1036" s="104"/>
      <c r="F1036" s="104"/>
      <c r="G1036" s="35"/>
      <c r="H1036" s="104"/>
      <c r="I1036" s="140"/>
      <c r="J1036" s="74"/>
      <c r="K1036" s="74"/>
      <c r="L1036" s="74"/>
      <c r="M1036" s="74"/>
      <c r="N1036" s="74"/>
      <c r="O1036" s="74"/>
      <c r="P1036" s="74"/>
      <c r="Q1036" s="74"/>
      <c r="R1036" s="74"/>
      <c r="S1036" s="74"/>
      <c r="T1036" s="74"/>
      <c r="U1036" s="74"/>
      <c r="V1036" s="74"/>
      <c r="W1036" s="74"/>
      <c r="X1036" s="74"/>
      <c r="Y1036" s="74"/>
      <c r="Z1036" s="74"/>
      <c r="AA1036" s="74"/>
      <c r="AB1036" s="74"/>
    </row>
    <row r="1037" spans="1:28" ht="12" customHeight="1">
      <c r="A1037" s="565"/>
      <c r="B1037" s="107"/>
      <c r="C1037" s="107"/>
      <c r="D1037" s="108"/>
      <c r="E1037" s="104"/>
      <c r="F1037" s="104"/>
      <c r="G1037" s="35"/>
      <c r="H1037" s="104"/>
      <c r="I1037" s="140"/>
      <c r="J1037" s="74"/>
      <c r="K1037" s="74"/>
      <c r="L1037" s="74"/>
      <c r="M1037" s="74"/>
      <c r="N1037" s="74"/>
      <c r="O1037" s="74"/>
      <c r="P1037" s="74"/>
      <c r="Q1037" s="74"/>
      <c r="R1037" s="74"/>
      <c r="S1037" s="74"/>
      <c r="T1037" s="74"/>
      <c r="U1037" s="74"/>
      <c r="V1037" s="74"/>
      <c r="W1037" s="74"/>
      <c r="X1037" s="74"/>
      <c r="Y1037" s="74"/>
      <c r="Z1037" s="74"/>
      <c r="AA1037" s="74"/>
      <c r="AB1037" s="74"/>
    </row>
    <row r="1038" spans="1:28" ht="12" customHeight="1">
      <c r="A1038" s="565"/>
      <c r="B1038" s="107"/>
      <c r="C1038" s="107"/>
      <c r="D1038" s="108"/>
      <c r="E1038" s="104"/>
      <c r="F1038" s="104"/>
      <c r="G1038" s="35"/>
      <c r="H1038" s="104"/>
      <c r="I1038" s="140"/>
      <c r="J1038" s="74"/>
      <c r="K1038" s="74"/>
      <c r="L1038" s="74"/>
      <c r="M1038" s="74"/>
      <c r="N1038" s="74"/>
      <c r="O1038" s="74"/>
      <c r="P1038" s="74"/>
      <c r="Q1038" s="74"/>
      <c r="R1038" s="74"/>
      <c r="S1038" s="74"/>
      <c r="T1038" s="74"/>
      <c r="U1038" s="74"/>
      <c r="V1038" s="74"/>
      <c r="W1038" s="74"/>
      <c r="X1038" s="74"/>
      <c r="Y1038" s="74"/>
      <c r="Z1038" s="74"/>
      <c r="AA1038" s="74"/>
      <c r="AB1038" s="74"/>
    </row>
    <row r="1039" spans="1:28" ht="12" customHeight="1">
      <c r="A1039" s="565"/>
      <c r="B1039" s="107"/>
      <c r="C1039" s="107"/>
      <c r="D1039" s="108"/>
      <c r="E1039" s="104"/>
      <c r="F1039" s="104"/>
      <c r="G1039" s="35"/>
      <c r="H1039" s="104"/>
      <c r="I1039" s="140"/>
      <c r="J1039" s="74"/>
      <c r="K1039" s="74"/>
      <c r="L1039" s="74"/>
      <c r="M1039" s="74"/>
      <c r="N1039" s="74"/>
      <c r="O1039" s="74"/>
      <c r="P1039" s="74"/>
      <c r="Q1039" s="74"/>
      <c r="R1039" s="74"/>
      <c r="S1039" s="74"/>
      <c r="T1039" s="74"/>
      <c r="U1039" s="74"/>
      <c r="V1039" s="74"/>
      <c r="W1039" s="74"/>
      <c r="X1039" s="74"/>
      <c r="Y1039" s="74"/>
      <c r="Z1039" s="74"/>
      <c r="AA1039" s="74"/>
      <c r="AB1039" s="74"/>
    </row>
    <row r="1040" spans="1:28" ht="12" customHeight="1">
      <c r="A1040" s="565"/>
      <c r="B1040" s="107"/>
      <c r="C1040" s="107"/>
      <c r="D1040" s="108"/>
      <c r="E1040" s="104"/>
      <c r="F1040" s="104"/>
      <c r="G1040" s="35"/>
      <c r="H1040" s="104"/>
      <c r="I1040" s="140"/>
      <c r="J1040" s="74"/>
      <c r="K1040" s="74"/>
      <c r="L1040" s="74"/>
      <c r="M1040" s="74"/>
      <c r="N1040" s="74"/>
      <c r="O1040" s="74"/>
      <c r="P1040" s="74"/>
      <c r="Q1040" s="74"/>
      <c r="R1040" s="74"/>
      <c r="S1040" s="74"/>
      <c r="T1040" s="74"/>
      <c r="U1040" s="74"/>
      <c r="V1040" s="74"/>
      <c r="W1040" s="74"/>
      <c r="X1040" s="74"/>
      <c r="Y1040" s="74"/>
      <c r="Z1040" s="74"/>
      <c r="AA1040" s="74"/>
      <c r="AB1040" s="74"/>
    </row>
    <row r="1041" spans="1:28" ht="12" customHeight="1">
      <c r="A1041" s="565"/>
      <c r="B1041" s="107"/>
      <c r="C1041" s="107"/>
      <c r="D1041" s="108"/>
      <c r="E1041" s="104"/>
      <c r="F1041" s="104"/>
      <c r="G1041" s="35"/>
      <c r="H1041" s="104"/>
      <c r="I1041" s="140"/>
      <c r="J1041" s="74"/>
      <c r="K1041" s="74"/>
      <c r="L1041" s="74"/>
      <c r="M1041" s="74"/>
      <c r="N1041" s="74"/>
      <c r="O1041" s="74"/>
      <c r="P1041" s="74"/>
      <c r="Q1041" s="74"/>
      <c r="R1041" s="74"/>
      <c r="S1041" s="74"/>
      <c r="T1041" s="74"/>
      <c r="U1041" s="74"/>
      <c r="V1041" s="74"/>
      <c r="W1041" s="74"/>
      <c r="X1041" s="74"/>
      <c r="Y1041" s="74"/>
      <c r="Z1041" s="74"/>
      <c r="AA1041" s="74"/>
      <c r="AB1041" s="74"/>
    </row>
    <row r="1042" spans="1:28" ht="12" customHeight="1">
      <c r="A1042" s="565"/>
      <c r="B1042" s="107"/>
      <c r="C1042" s="107"/>
      <c r="D1042" s="108"/>
      <c r="E1042" s="104"/>
      <c r="F1042" s="104"/>
      <c r="G1042" s="35"/>
      <c r="H1042" s="104"/>
      <c r="I1042" s="140"/>
      <c r="J1042" s="74"/>
      <c r="K1042" s="74"/>
      <c r="L1042" s="74"/>
      <c r="M1042" s="74"/>
      <c r="N1042" s="74"/>
      <c r="O1042" s="74"/>
      <c r="P1042" s="74"/>
      <c r="Q1042" s="74"/>
      <c r="R1042" s="74"/>
      <c r="S1042" s="74"/>
      <c r="T1042" s="74"/>
      <c r="U1042" s="74"/>
      <c r="V1042" s="74"/>
      <c r="W1042" s="74"/>
      <c r="X1042" s="74"/>
      <c r="Y1042" s="74"/>
      <c r="Z1042" s="74"/>
      <c r="AA1042" s="74"/>
      <c r="AB1042" s="74"/>
    </row>
    <row r="1043" spans="1:28" ht="12" customHeight="1">
      <c r="A1043" s="565"/>
      <c r="B1043" s="107"/>
      <c r="C1043" s="107"/>
      <c r="D1043" s="108"/>
      <c r="E1043" s="104"/>
      <c r="F1043" s="104"/>
      <c r="G1043" s="35"/>
      <c r="H1043" s="104"/>
      <c r="I1043" s="140"/>
      <c r="J1043" s="74"/>
      <c r="K1043" s="74"/>
      <c r="L1043" s="74"/>
      <c r="M1043" s="74"/>
      <c r="N1043" s="74"/>
      <c r="O1043" s="74"/>
      <c r="P1043" s="74"/>
      <c r="Q1043" s="74"/>
      <c r="R1043" s="74"/>
      <c r="S1043" s="74"/>
      <c r="T1043" s="74"/>
      <c r="U1043" s="74"/>
      <c r="V1043" s="74"/>
      <c r="W1043" s="74"/>
      <c r="X1043" s="74"/>
      <c r="Y1043" s="74"/>
      <c r="Z1043" s="74"/>
      <c r="AA1043" s="74"/>
      <c r="AB1043" s="74"/>
    </row>
    <row r="1044" spans="1:28" ht="12" customHeight="1">
      <c r="A1044" s="565"/>
      <c r="B1044" s="107"/>
      <c r="C1044" s="107"/>
      <c r="D1044" s="108"/>
      <c r="E1044" s="104"/>
      <c r="F1044" s="104"/>
      <c r="G1044" s="35"/>
      <c r="H1044" s="104"/>
      <c r="I1044" s="140"/>
      <c r="J1044" s="74"/>
      <c r="K1044" s="74"/>
      <c r="L1044" s="74"/>
      <c r="M1044" s="74"/>
      <c r="N1044" s="74"/>
      <c r="O1044" s="74"/>
      <c r="P1044" s="74"/>
      <c r="Q1044" s="74"/>
      <c r="R1044" s="74"/>
      <c r="S1044" s="74"/>
      <c r="T1044" s="74"/>
      <c r="U1044" s="74"/>
      <c r="V1044" s="74"/>
      <c r="W1044" s="74"/>
      <c r="X1044" s="74"/>
      <c r="Y1044" s="74"/>
      <c r="Z1044" s="74"/>
      <c r="AA1044" s="74"/>
      <c r="AB1044" s="74"/>
    </row>
    <row r="1045" spans="1:28" ht="12" customHeight="1">
      <c r="A1045" s="565"/>
      <c r="B1045" s="107"/>
      <c r="C1045" s="107"/>
      <c r="D1045" s="108"/>
      <c r="E1045" s="104"/>
      <c r="F1045" s="104"/>
      <c r="G1045" s="35"/>
      <c r="H1045" s="104"/>
      <c r="I1045" s="140"/>
      <c r="J1045" s="74"/>
      <c r="K1045" s="74"/>
      <c r="L1045" s="74"/>
      <c r="M1045" s="74"/>
      <c r="N1045" s="74"/>
      <c r="O1045" s="74"/>
      <c r="P1045" s="74"/>
      <c r="Q1045" s="74"/>
      <c r="R1045" s="74"/>
      <c r="S1045" s="74"/>
      <c r="T1045" s="74"/>
      <c r="U1045" s="74"/>
      <c r="V1045" s="74"/>
      <c r="W1045" s="74"/>
      <c r="X1045" s="74"/>
      <c r="Y1045" s="74"/>
      <c r="Z1045" s="74"/>
      <c r="AA1045" s="74"/>
      <c r="AB1045" s="74"/>
    </row>
    <row r="1046" spans="1:28" ht="12" customHeight="1">
      <c r="A1046" s="565"/>
      <c r="B1046" s="107"/>
      <c r="C1046" s="107"/>
      <c r="D1046" s="108"/>
      <c r="E1046" s="104"/>
      <c r="F1046" s="104"/>
      <c r="G1046" s="35"/>
      <c r="H1046" s="104"/>
      <c r="I1046" s="140"/>
      <c r="J1046" s="74"/>
      <c r="K1046" s="74"/>
      <c r="L1046" s="74"/>
      <c r="M1046" s="74"/>
      <c r="N1046" s="74"/>
      <c r="O1046" s="74"/>
      <c r="P1046" s="74"/>
      <c r="Q1046" s="74"/>
      <c r="R1046" s="74"/>
      <c r="S1046" s="74"/>
      <c r="T1046" s="74"/>
      <c r="U1046" s="74"/>
      <c r="V1046" s="74"/>
      <c r="W1046" s="74"/>
      <c r="X1046" s="74"/>
      <c r="Y1046" s="74"/>
      <c r="Z1046" s="74"/>
      <c r="AA1046" s="74"/>
      <c r="AB1046" s="74"/>
    </row>
    <row r="1047" spans="1:28" ht="12" customHeight="1">
      <c r="A1047" s="565"/>
      <c r="B1047" s="107"/>
      <c r="C1047" s="107"/>
      <c r="D1047" s="108"/>
      <c r="E1047" s="104"/>
      <c r="F1047" s="104"/>
      <c r="G1047" s="35"/>
      <c r="H1047" s="104"/>
      <c r="I1047" s="140"/>
      <c r="J1047" s="74"/>
      <c r="K1047" s="74"/>
      <c r="L1047" s="74"/>
      <c r="M1047" s="74"/>
      <c r="N1047" s="74"/>
      <c r="O1047" s="74"/>
      <c r="P1047" s="74"/>
      <c r="Q1047" s="74"/>
      <c r="R1047" s="74"/>
      <c r="S1047" s="74"/>
      <c r="T1047" s="74"/>
      <c r="U1047" s="74"/>
      <c r="V1047" s="74"/>
      <c r="W1047" s="74"/>
      <c r="X1047" s="74"/>
      <c r="Y1047" s="74"/>
      <c r="Z1047" s="74"/>
      <c r="AA1047" s="74"/>
      <c r="AB1047" s="74"/>
    </row>
    <row r="1048" spans="1:28" ht="12" customHeight="1">
      <c r="A1048" s="565"/>
      <c r="B1048" s="107"/>
      <c r="C1048" s="107"/>
      <c r="D1048" s="108"/>
      <c r="E1048" s="104"/>
      <c r="F1048" s="104"/>
      <c r="G1048" s="35"/>
      <c r="H1048" s="104"/>
      <c r="I1048" s="140"/>
      <c r="J1048" s="74"/>
      <c r="K1048" s="74"/>
      <c r="L1048" s="74"/>
      <c r="M1048" s="74"/>
      <c r="N1048" s="74"/>
      <c r="O1048" s="74"/>
      <c r="P1048" s="74"/>
      <c r="Q1048" s="74"/>
      <c r="R1048" s="74"/>
      <c r="S1048" s="74"/>
      <c r="T1048" s="74"/>
      <c r="U1048" s="74"/>
      <c r="V1048" s="74"/>
      <c r="W1048" s="74"/>
      <c r="X1048" s="74"/>
      <c r="Y1048" s="74"/>
      <c r="Z1048" s="74"/>
      <c r="AA1048" s="74"/>
      <c r="AB1048" s="74"/>
    </row>
    <row r="1049" spans="1:28" ht="12" customHeight="1">
      <c r="A1049" s="565"/>
      <c r="B1049" s="107"/>
      <c r="C1049" s="107"/>
      <c r="D1049" s="108"/>
      <c r="E1049" s="104"/>
      <c r="F1049" s="104"/>
      <c r="G1049" s="35"/>
      <c r="H1049" s="104"/>
      <c r="I1049" s="140"/>
      <c r="J1049" s="74"/>
      <c r="K1049" s="74"/>
      <c r="L1049" s="74"/>
      <c r="M1049" s="74"/>
      <c r="N1049" s="74"/>
      <c r="O1049" s="74"/>
      <c r="P1049" s="74"/>
      <c r="Q1049" s="74"/>
      <c r="R1049" s="74"/>
      <c r="S1049" s="74"/>
      <c r="T1049" s="74"/>
      <c r="U1049" s="74"/>
      <c r="V1049" s="74"/>
      <c r="W1049" s="74"/>
      <c r="X1049" s="74"/>
      <c r="Y1049" s="74"/>
      <c r="Z1049" s="74"/>
      <c r="AA1049" s="74"/>
      <c r="AB1049" s="74"/>
    </row>
    <row r="1050" spans="1:28" ht="12" customHeight="1">
      <c r="A1050" s="565"/>
      <c r="B1050" s="107"/>
      <c r="C1050" s="107"/>
      <c r="D1050" s="108"/>
      <c r="E1050" s="104"/>
      <c r="F1050" s="104"/>
      <c r="G1050" s="35"/>
      <c r="H1050" s="104"/>
      <c r="I1050" s="140"/>
      <c r="J1050" s="74"/>
      <c r="K1050" s="74"/>
      <c r="L1050" s="74"/>
      <c r="M1050" s="74"/>
      <c r="N1050" s="74"/>
      <c r="O1050" s="74"/>
      <c r="P1050" s="74"/>
      <c r="Q1050" s="74"/>
      <c r="R1050" s="74"/>
      <c r="S1050" s="74"/>
      <c r="T1050" s="74"/>
      <c r="U1050" s="74"/>
      <c r="V1050" s="74"/>
      <c r="W1050" s="74"/>
      <c r="X1050" s="74"/>
      <c r="Y1050" s="74"/>
      <c r="Z1050" s="74"/>
      <c r="AA1050" s="74"/>
      <c r="AB1050" s="74"/>
    </row>
    <row r="1051" spans="1:28" ht="12" customHeight="1">
      <c r="A1051" s="565"/>
      <c r="B1051" s="107"/>
      <c r="C1051" s="107"/>
      <c r="D1051" s="108"/>
      <c r="E1051" s="104"/>
      <c r="F1051" s="104"/>
      <c r="G1051" s="35"/>
      <c r="H1051" s="104"/>
      <c r="I1051" s="140"/>
      <c r="J1051" s="74"/>
      <c r="K1051" s="74"/>
      <c r="L1051" s="74"/>
      <c r="M1051" s="74"/>
      <c r="N1051" s="74"/>
      <c r="O1051" s="74"/>
      <c r="P1051" s="74"/>
      <c r="Q1051" s="74"/>
      <c r="R1051" s="74"/>
      <c r="S1051" s="74"/>
      <c r="T1051" s="74"/>
      <c r="U1051" s="74"/>
      <c r="V1051" s="74"/>
      <c r="W1051" s="74"/>
      <c r="X1051" s="74"/>
      <c r="Y1051" s="74"/>
      <c r="Z1051" s="74"/>
      <c r="AA1051" s="74"/>
      <c r="AB1051" s="74"/>
    </row>
    <row r="1052" spans="1:28" ht="12" customHeight="1">
      <c r="A1052" s="565"/>
      <c r="B1052" s="107"/>
      <c r="C1052" s="107"/>
      <c r="D1052" s="108"/>
      <c r="E1052" s="104"/>
      <c r="F1052" s="104"/>
      <c r="G1052" s="35"/>
      <c r="H1052" s="104"/>
      <c r="I1052" s="140"/>
      <c r="J1052" s="74"/>
      <c r="K1052" s="74"/>
      <c r="L1052" s="74"/>
      <c r="M1052" s="74"/>
      <c r="N1052" s="74"/>
      <c r="O1052" s="74"/>
      <c r="P1052" s="74"/>
      <c r="Q1052" s="74"/>
      <c r="R1052" s="74"/>
      <c r="S1052" s="74"/>
      <c r="T1052" s="74"/>
      <c r="U1052" s="74"/>
      <c r="V1052" s="74"/>
      <c r="W1052" s="74"/>
      <c r="X1052" s="74"/>
      <c r="Y1052" s="74"/>
      <c r="Z1052" s="74"/>
      <c r="AA1052" s="74"/>
      <c r="AB1052" s="74"/>
    </row>
    <row r="1053" spans="1:28" ht="12" customHeight="1">
      <c r="A1053" s="565"/>
      <c r="B1053" s="107"/>
      <c r="C1053" s="107"/>
      <c r="D1053" s="108"/>
      <c r="E1053" s="104"/>
      <c r="F1053" s="104"/>
      <c r="G1053" s="35"/>
      <c r="H1053" s="104"/>
      <c r="I1053" s="140"/>
      <c r="J1053" s="74"/>
      <c r="K1053" s="74"/>
      <c r="L1053" s="74"/>
      <c r="M1053" s="74"/>
      <c r="N1053" s="74"/>
      <c r="O1053" s="74"/>
      <c r="P1053" s="74"/>
      <c r="Q1053" s="74"/>
      <c r="R1053" s="74"/>
      <c r="S1053" s="74"/>
      <c r="T1053" s="74"/>
      <c r="U1053" s="74"/>
      <c r="V1053" s="74"/>
      <c r="W1053" s="74"/>
      <c r="X1053" s="74"/>
      <c r="Y1053" s="74"/>
      <c r="Z1053" s="74"/>
      <c r="AA1053" s="74"/>
      <c r="AB1053" s="74"/>
    </row>
    <row r="1054" spans="1:28" ht="12" customHeight="1">
      <c r="A1054" s="565"/>
      <c r="B1054" s="107"/>
      <c r="C1054" s="107"/>
      <c r="D1054" s="108"/>
      <c r="E1054" s="104"/>
      <c r="F1054" s="104"/>
      <c r="G1054" s="35"/>
      <c r="H1054" s="104"/>
      <c r="I1054" s="140"/>
      <c r="J1054" s="74"/>
      <c r="K1054" s="74"/>
      <c r="L1054" s="74"/>
      <c r="M1054" s="74"/>
      <c r="N1054" s="74"/>
      <c r="O1054" s="74"/>
      <c r="P1054" s="74"/>
      <c r="Q1054" s="74"/>
      <c r="R1054" s="74"/>
      <c r="S1054" s="74"/>
      <c r="T1054" s="74"/>
      <c r="U1054" s="74"/>
      <c r="V1054" s="74"/>
      <c r="W1054" s="74"/>
      <c r="X1054" s="74"/>
      <c r="Y1054" s="74"/>
      <c r="Z1054" s="74"/>
      <c r="AA1054" s="74"/>
      <c r="AB1054" s="74"/>
    </row>
    <row r="1055" spans="1:28" ht="12" customHeight="1">
      <c r="A1055" s="565"/>
      <c r="B1055" s="107"/>
      <c r="C1055" s="107"/>
      <c r="D1055" s="108"/>
      <c r="E1055" s="104"/>
      <c r="F1055" s="104"/>
      <c r="G1055" s="35"/>
      <c r="H1055" s="104"/>
      <c r="I1055" s="140"/>
      <c r="J1055" s="74"/>
      <c r="K1055" s="74"/>
      <c r="L1055" s="74"/>
      <c r="M1055" s="74"/>
      <c r="N1055" s="74"/>
      <c r="O1055" s="74"/>
      <c r="P1055" s="74"/>
      <c r="Q1055" s="74"/>
      <c r="R1055" s="74"/>
      <c r="S1055" s="74"/>
      <c r="T1055" s="74"/>
      <c r="U1055" s="74"/>
      <c r="V1055" s="74"/>
      <c r="W1055" s="74"/>
      <c r="X1055" s="74"/>
      <c r="Y1055" s="74"/>
      <c r="Z1055" s="74"/>
      <c r="AA1055" s="74"/>
      <c r="AB1055" s="74"/>
    </row>
    <row r="1056" spans="1:28" ht="12" customHeight="1">
      <c r="A1056" s="565"/>
      <c r="B1056" s="107"/>
      <c r="C1056" s="107"/>
      <c r="D1056" s="108"/>
      <c r="E1056" s="104"/>
      <c r="F1056" s="104"/>
      <c r="G1056" s="35"/>
      <c r="H1056" s="104"/>
      <c r="I1056" s="140"/>
      <c r="J1056" s="74"/>
      <c r="K1056" s="74"/>
      <c r="L1056" s="74"/>
      <c r="M1056" s="74"/>
      <c r="N1056" s="74"/>
      <c r="O1056" s="74"/>
      <c r="P1056" s="74"/>
      <c r="Q1056" s="74"/>
      <c r="R1056" s="74"/>
      <c r="S1056" s="74"/>
      <c r="T1056" s="74"/>
      <c r="U1056" s="74"/>
      <c r="V1056" s="74"/>
      <c r="W1056" s="74"/>
      <c r="X1056" s="74"/>
      <c r="Y1056" s="74"/>
      <c r="Z1056" s="74"/>
      <c r="AA1056" s="74"/>
      <c r="AB1056" s="74"/>
    </row>
    <row r="1057" spans="1:28" ht="12" customHeight="1">
      <c r="A1057" s="565"/>
      <c r="B1057" s="107"/>
      <c r="C1057" s="107"/>
      <c r="D1057" s="108"/>
      <c r="E1057" s="104"/>
      <c r="F1057" s="104"/>
      <c r="G1057" s="35"/>
      <c r="H1057" s="104"/>
      <c r="I1057" s="140"/>
      <c r="J1057" s="74"/>
      <c r="K1057" s="74"/>
      <c r="L1057" s="74"/>
      <c r="M1057" s="74"/>
      <c r="N1057" s="74"/>
      <c r="O1057" s="74"/>
      <c r="P1057" s="74"/>
      <c r="Q1057" s="74"/>
      <c r="R1057" s="74"/>
      <c r="S1057" s="74"/>
      <c r="T1057" s="74"/>
      <c r="U1057" s="74"/>
      <c r="V1057" s="74"/>
      <c r="W1057" s="74"/>
      <c r="X1057" s="74"/>
      <c r="Y1057" s="74"/>
      <c r="Z1057" s="74"/>
      <c r="AA1057" s="74"/>
      <c r="AB1057" s="74"/>
    </row>
    <row r="1058" spans="1:28" ht="12" customHeight="1">
      <c r="A1058" s="565"/>
      <c r="B1058" s="107"/>
      <c r="C1058" s="107"/>
      <c r="D1058" s="108"/>
      <c r="E1058" s="104"/>
      <c r="F1058" s="104"/>
      <c r="G1058" s="35"/>
      <c r="H1058" s="104"/>
      <c r="I1058" s="140"/>
      <c r="J1058" s="74"/>
      <c r="K1058" s="74"/>
      <c r="L1058" s="74"/>
      <c r="M1058" s="74"/>
      <c r="N1058" s="74"/>
      <c r="O1058" s="74"/>
      <c r="P1058" s="74"/>
      <c r="Q1058" s="74"/>
      <c r="R1058" s="74"/>
      <c r="S1058" s="74"/>
      <c r="T1058" s="74"/>
      <c r="U1058" s="74"/>
      <c r="V1058" s="74"/>
      <c r="W1058" s="74"/>
      <c r="X1058" s="74"/>
      <c r="Y1058" s="74"/>
      <c r="Z1058" s="74"/>
      <c r="AA1058" s="74"/>
      <c r="AB1058" s="74"/>
    </row>
    <row r="1059" spans="1:28" ht="12" customHeight="1">
      <c r="A1059" s="565"/>
      <c r="B1059" s="107"/>
      <c r="C1059" s="107"/>
      <c r="D1059" s="108"/>
      <c r="E1059" s="104"/>
      <c r="F1059" s="104"/>
      <c r="G1059" s="35"/>
      <c r="H1059" s="104"/>
      <c r="I1059" s="140"/>
      <c r="J1059" s="74"/>
      <c r="K1059" s="74"/>
      <c r="L1059" s="74"/>
      <c r="M1059" s="74"/>
      <c r="N1059" s="74"/>
      <c r="O1059" s="74"/>
      <c r="P1059" s="74"/>
      <c r="Q1059" s="74"/>
      <c r="R1059" s="74"/>
      <c r="S1059" s="74"/>
      <c r="T1059" s="74"/>
      <c r="U1059" s="74"/>
      <c r="V1059" s="74"/>
      <c r="W1059" s="74"/>
      <c r="X1059" s="74"/>
      <c r="Y1059" s="74"/>
      <c r="Z1059" s="74"/>
      <c r="AA1059" s="74"/>
      <c r="AB1059" s="74"/>
    </row>
    <row r="1060" spans="1:28" ht="12" customHeight="1">
      <c r="A1060" s="565"/>
      <c r="B1060" s="107"/>
      <c r="C1060" s="107"/>
      <c r="D1060" s="108"/>
      <c r="E1060" s="104"/>
      <c r="F1060" s="104"/>
      <c r="G1060" s="35"/>
      <c r="H1060" s="104"/>
      <c r="I1060" s="140"/>
      <c r="J1060" s="74"/>
      <c r="K1060" s="74"/>
      <c r="L1060" s="74"/>
      <c r="M1060" s="74"/>
      <c r="N1060" s="74"/>
      <c r="O1060" s="74"/>
      <c r="P1060" s="74"/>
      <c r="Q1060" s="74"/>
      <c r="R1060" s="74"/>
      <c r="S1060" s="74"/>
      <c r="T1060" s="74"/>
      <c r="U1060" s="74"/>
      <c r="V1060" s="74"/>
      <c r="W1060" s="74"/>
      <c r="X1060" s="74"/>
      <c r="Y1060" s="74"/>
      <c r="Z1060" s="74"/>
      <c r="AA1060" s="74"/>
      <c r="AB1060" s="74"/>
    </row>
    <row r="1061" spans="1:28" ht="12" customHeight="1">
      <c r="A1061" s="565"/>
      <c r="B1061" s="107"/>
      <c r="C1061" s="107"/>
      <c r="D1061" s="108"/>
      <c r="E1061" s="104"/>
      <c r="F1061" s="104"/>
      <c r="G1061" s="35"/>
      <c r="H1061" s="104"/>
      <c r="I1061" s="140"/>
      <c r="J1061" s="74"/>
      <c r="K1061" s="74"/>
      <c r="L1061" s="74"/>
      <c r="M1061" s="74"/>
      <c r="N1061" s="74"/>
      <c r="O1061" s="74"/>
      <c r="P1061" s="74"/>
      <c r="Q1061" s="74"/>
      <c r="R1061" s="74"/>
      <c r="S1061" s="74"/>
      <c r="T1061" s="74"/>
      <c r="U1061" s="74"/>
      <c r="V1061" s="74"/>
      <c r="W1061" s="74"/>
      <c r="X1061" s="74"/>
      <c r="Y1061" s="74"/>
      <c r="Z1061" s="74"/>
      <c r="AA1061" s="74"/>
      <c r="AB1061" s="74"/>
    </row>
    <row r="1062" spans="1:28" ht="12" customHeight="1">
      <c r="A1062" s="565"/>
      <c r="B1062" s="107"/>
      <c r="C1062" s="107"/>
      <c r="D1062" s="108"/>
      <c r="E1062" s="104"/>
      <c r="F1062" s="104"/>
      <c r="G1062" s="35"/>
      <c r="H1062" s="104"/>
      <c r="I1062" s="140"/>
      <c r="J1062" s="74"/>
      <c r="K1062" s="74"/>
      <c r="L1062" s="74"/>
      <c r="M1062" s="74"/>
      <c r="N1062" s="74"/>
      <c r="O1062" s="74"/>
      <c r="P1062" s="74"/>
      <c r="Q1062" s="74"/>
      <c r="R1062" s="74"/>
      <c r="S1062" s="74"/>
      <c r="T1062" s="74"/>
      <c r="U1062" s="74"/>
      <c r="V1062" s="74"/>
      <c r="W1062" s="74"/>
      <c r="X1062" s="74"/>
      <c r="Y1062" s="74"/>
      <c r="Z1062" s="74"/>
      <c r="AA1062" s="74"/>
      <c r="AB1062" s="74"/>
    </row>
    <row r="1063" spans="1:28" ht="12" customHeight="1">
      <c r="A1063" s="565"/>
      <c r="B1063" s="107"/>
      <c r="C1063" s="107"/>
      <c r="D1063" s="108"/>
      <c r="E1063" s="104"/>
      <c r="F1063" s="104"/>
      <c r="G1063" s="35"/>
      <c r="H1063" s="104"/>
      <c r="I1063" s="140"/>
      <c r="J1063" s="74"/>
      <c r="K1063" s="74"/>
      <c r="L1063" s="74"/>
      <c r="M1063" s="74"/>
      <c r="N1063" s="74"/>
      <c r="O1063" s="74"/>
      <c r="P1063" s="74"/>
      <c r="Q1063" s="74"/>
      <c r="R1063" s="74"/>
      <c r="S1063" s="74"/>
      <c r="T1063" s="74"/>
      <c r="U1063" s="74"/>
      <c r="V1063" s="74"/>
      <c r="W1063" s="74"/>
      <c r="X1063" s="74"/>
      <c r="Y1063" s="74"/>
      <c r="Z1063" s="74"/>
      <c r="AA1063" s="74"/>
      <c r="AB1063" s="74"/>
    </row>
    <row r="1064" spans="1:28" ht="12" customHeight="1">
      <c r="A1064" s="565"/>
      <c r="B1064" s="107"/>
      <c r="C1064" s="107"/>
      <c r="D1064" s="108"/>
      <c r="E1064" s="104"/>
      <c r="F1064" s="104"/>
      <c r="G1064" s="35"/>
      <c r="H1064" s="104"/>
      <c r="I1064" s="140"/>
      <c r="J1064" s="74"/>
      <c r="K1064" s="74"/>
      <c r="L1064" s="74"/>
      <c r="M1064" s="74"/>
      <c r="N1064" s="74"/>
      <c r="O1064" s="74"/>
      <c r="P1064" s="74"/>
      <c r="Q1064" s="74"/>
      <c r="R1064" s="74"/>
      <c r="S1064" s="74"/>
      <c r="T1064" s="74"/>
      <c r="U1064" s="74"/>
      <c r="V1064" s="74"/>
      <c r="W1064" s="74"/>
      <c r="X1064" s="74"/>
      <c r="Y1064" s="74"/>
      <c r="Z1064" s="74"/>
      <c r="AA1064" s="74"/>
      <c r="AB1064" s="74"/>
    </row>
    <row r="1065" spans="1:28" ht="12" customHeight="1">
      <c r="A1065" s="565"/>
      <c r="B1065" s="107"/>
      <c r="C1065" s="107"/>
      <c r="D1065" s="108"/>
      <c r="E1065" s="104"/>
      <c r="F1065" s="104"/>
      <c r="G1065" s="35"/>
      <c r="H1065" s="104"/>
      <c r="I1065" s="140"/>
      <c r="J1065" s="74"/>
      <c r="K1065" s="74"/>
      <c r="L1065" s="74"/>
      <c r="M1065" s="74"/>
      <c r="N1065" s="74"/>
      <c r="O1065" s="74"/>
      <c r="P1065" s="74"/>
      <c r="Q1065" s="74"/>
      <c r="R1065" s="74"/>
      <c r="S1065" s="74"/>
      <c r="T1065" s="74"/>
      <c r="U1065" s="74"/>
      <c r="V1065" s="74"/>
      <c r="W1065" s="74"/>
      <c r="X1065" s="74"/>
      <c r="Y1065" s="74"/>
      <c r="Z1065" s="74"/>
      <c r="AA1065" s="74"/>
      <c r="AB1065" s="74"/>
    </row>
    <row r="1066" spans="1:28" ht="12" customHeight="1">
      <c r="A1066" s="565"/>
      <c r="B1066" s="107"/>
      <c r="C1066" s="107"/>
      <c r="D1066" s="108"/>
      <c r="E1066" s="104"/>
      <c r="F1066" s="104"/>
      <c r="G1066" s="35"/>
      <c r="H1066" s="104"/>
      <c r="I1066" s="140"/>
      <c r="J1066" s="74"/>
      <c r="K1066" s="74"/>
      <c r="L1066" s="74"/>
      <c r="M1066" s="74"/>
      <c r="N1066" s="74"/>
      <c r="O1066" s="74"/>
      <c r="P1066" s="74"/>
      <c r="Q1066" s="74"/>
      <c r="R1066" s="74"/>
      <c r="S1066" s="74"/>
      <c r="T1066" s="74"/>
      <c r="U1066" s="74"/>
      <c r="V1066" s="74"/>
      <c r="W1066" s="74"/>
      <c r="X1066" s="74"/>
      <c r="Y1066" s="74"/>
      <c r="Z1066" s="74"/>
      <c r="AA1066" s="74"/>
      <c r="AB1066" s="74"/>
    </row>
    <row r="1067" spans="1:28" ht="12" customHeight="1">
      <c r="A1067" s="565"/>
      <c r="B1067" s="107"/>
      <c r="C1067" s="107"/>
      <c r="D1067" s="108"/>
      <c r="E1067" s="104"/>
      <c r="F1067" s="104"/>
      <c r="G1067" s="35"/>
      <c r="H1067" s="104"/>
      <c r="I1067" s="140"/>
      <c r="J1067" s="74"/>
      <c r="K1067" s="74"/>
      <c r="L1067" s="74"/>
      <c r="M1067" s="74"/>
      <c r="N1067" s="74"/>
      <c r="O1067" s="74"/>
      <c r="P1067" s="74"/>
      <c r="Q1067" s="74"/>
      <c r="R1067" s="74"/>
      <c r="S1067" s="74"/>
      <c r="T1067" s="74"/>
      <c r="U1067" s="74"/>
      <c r="V1067" s="74"/>
      <c r="W1067" s="74"/>
      <c r="X1067" s="74"/>
      <c r="Y1067" s="74"/>
      <c r="Z1067" s="74"/>
      <c r="AA1067" s="74"/>
      <c r="AB1067" s="74"/>
    </row>
    <row r="1068" spans="1:28" ht="12" customHeight="1">
      <c r="A1068" s="565"/>
      <c r="B1068" s="107"/>
      <c r="C1068" s="107"/>
      <c r="D1068" s="108"/>
      <c r="E1068" s="104"/>
      <c r="F1068" s="104"/>
      <c r="G1068" s="35"/>
      <c r="H1068" s="104"/>
      <c r="I1068" s="140"/>
      <c r="J1068" s="74"/>
      <c r="K1068" s="74"/>
      <c r="L1068" s="74"/>
      <c r="M1068" s="74"/>
      <c r="N1068" s="74"/>
      <c r="O1068" s="74"/>
      <c r="P1068" s="74"/>
      <c r="Q1068" s="74"/>
      <c r="R1068" s="74"/>
      <c r="S1068" s="74"/>
      <c r="T1068" s="74"/>
      <c r="U1068" s="74"/>
      <c r="V1068" s="74"/>
      <c r="W1068" s="74"/>
      <c r="X1068" s="74"/>
      <c r="Y1068" s="74"/>
      <c r="Z1068" s="74"/>
      <c r="AA1068" s="74"/>
      <c r="AB1068" s="74"/>
    </row>
    <row r="1069" spans="1:28" ht="12" customHeight="1">
      <c r="A1069" s="565"/>
      <c r="B1069" s="107"/>
      <c r="C1069" s="107"/>
      <c r="D1069" s="108"/>
      <c r="E1069" s="104"/>
      <c r="F1069" s="104"/>
      <c r="G1069" s="35"/>
      <c r="H1069" s="104"/>
      <c r="I1069" s="140"/>
      <c r="J1069" s="74"/>
      <c r="K1069" s="74"/>
      <c r="L1069" s="74"/>
      <c r="M1069" s="74"/>
      <c r="N1069" s="74"/>
      <c r="O1069" s="74"/>
      <c r="P1069" s="74"/>
      <c r="Q1069" s="74"/>
      <c r="R1069" s="74"/>
      <c r="S1069" s="74"/>
      <c r="T1069" s="74"/>
      <c r="U1069" s="74"/>
      <c r="V1069" s="74"/>
      <c r="W1069" s="74"/>
      <c r="X1069" s="74"/>
      <c r="Y1069" s="74"/>
      <c r="Z1069" s="74"/>
      <c r="AA1069" s="74"/>
      <c r="AB1069" s="74"/>
    </row>
    <row r="1070" spans="1:28" ht="12" customHeight="1">
      <c r="A1070" s="565"/>
      <c r="B1070" s="107"/>
      <c r="C1070" s="107"/>
      <c r="D1070" s="108"/>
      <c r="E1070" s="104"/>
      <c r="F1070" s="104"/>
      <c r="G1070" s="35"/>
      <c r="H1070" s="104"/>
      <c r="I1070" s="140"/>
      <c r="J1070" s="74"/>
      <c r="K1070" s="74"/>
      <c r="L1070" s="74"/>
      <c r="M1070" s="74"/>
      <c r="N1070" s="74"/>
      <c r="O1070" s="74"/>
      <c r="P1070" s="74"/>
      <c r="Q1070" s="74"/>
      <c r="R1070" s="74"/>
      <c r="S1070" s="74"/>
      <c r="T1070" s="74"/>
      <c r="U1070" s="74"/>
      <c r="V1070" s="74"/>
      <c r="W1070" s="74"/>
      <c r="X1070" s="74"/>
      <c r="Y1070" s="74"/>
      <c r="Z1070" s="74"/>
      <c r="AA1070" s="74"/>
      <c r="AB1070" s="74"/>
    </row>
    <row r="1071" spans="1:28" ht="12" customHeight="1">
      <c r="A1071" s="565"/>
      <c r="B1071" s="107"/>
      <c r="C1071" s="107"/>
      <c r="D1071" s="108"/>
      <c r="E1071" s="104"/>
      <c r="F1071" s="104"/>
      <c r="G1071" s="35"/>
      <c r="H1071" s="104"/>
      <c r="I1071" s="140"/>
      <c r="J1071" s="74"/>
      <c r="K1071" s="74"/>
      <c r="L1071" s="74"/>
      <c r="M1071" s="74"/>
      <c r="N1071" s="74"/>
      <c r="O1071" s="74"/>
      <c r="P1071" s="74"/>
      <c r="Q1071" s="74"/>
      <c r="R1071" s="74"/>
      <c r="S1071" s="74"/>
      <c r="T1071" s="74"/>
      <c r="U1071" s="74"/>
      <c r="V1071" s="74"/>
      <c r="W1071" s="74"/>
      <c r="X1071" s="74"/>
      <c r="Y1071" s="74"/>
      <c r="Z1071" s="74"/>
      <c r="AA1071" s="74"/>
      <c r="AB1071" s="74"/>
    </row>
    <row r="1072" spans="1:28" ht="12" customHeight="1">
      <c r="A1072" s="565"/>
      <c r="B1072" s="107"/>
      <c r="C1072" s="107"/>
      <c r="D1072" s="108"/>
      <c r="E1072" s="104"/>
      <c r="F1072" s="104"/>
      <c r="G1072" s="35"/>
      <c r="H1072" s="104"/>
      <c r="I1072" s="140"/>
      <c r="J1072" s="74"/>
      <c r="K1072" s="74"/>
      <c r="L1072" s="74"/>
      <c r="M1072" s="74"/>
      <c r="N1072" s="74"/>
      <c r="O1072" s="74"/>
      <c r="P1072" s="74"/>
      <c r="Q1072" s="74"/>
      <c r="R1072" s="74"/>
      <c r="S1072" s="74"/>
      <c r="T1072" s="74"/>
      <c r="U1072" s="74"/>
      <c r="V1072" s="74"/>
      <c r="W1072" s="74"/>
      <c r="X1072" s="74"/>
      <c r="Y1072" s="74"/>
      <c r="Z1072" s="74"/>
      <c r="AA1072" s="74"/>
      <c r="AB1072" s="74"/>
    </row>
    <row r="1073" spans="1:28" ht="12" customHeight="1">
      <c r="A1073" s="565"/>
      <c r="B1073" s="107"/>
      <c r="C1073" s="107"/>
      <c r="D1073" s="108"/>
      <c r="E1073" s="104"/>
      <c r="F1073" s="104"/>
      <c r="G1073" s="35"/>
      <c r="H1073" s="104"/>
      <c r="I1073" s="140"/>
      <c r="J1073" s="74"/>
      <c r="K1073" s="74"/>
      <c r="L1073" s="74"/>
      <c r="M1073" s="74"/>
      <c r="N1073" s="74"/>
      <c r="O1073" s="74"/>
      <c r="P1073" s="74"/>
      <c r="Q1073" s="74"/>
      <c r="R1073" s="74"/>
      <c r="S1073" s="74"/>
      <c r="T1073" s="74"/>
      <c r="U1073" s="74"/>
      <c r="V1073" s="74"/>
      <c r="W1073" s="74"/>
      <c r="X1073" s="74"/>
      <c r="Y1073" s="74"/>
      <c r="Z1073" s="74"/>
      <c r="AA1073" s="74"/>
      <c r="AB1073" s="74"/>
    </row>
    <row r="1074" spans="1:28" ht="12" customHeight="1">
      <c r="A1074" s="565"/>
      <c r="B1074" s="107"/>
      <c r="C1074" s="107"/>
      <c r="D1074" s="108"/>
      <c r="E1074" s="104"/>
      <c r="F1074" s="104"/>
      <c r="G1074" s="35"/>
      <c r="H1074" s="104"/>
      <c r="I1074" s="140"/>
      <c r="J1074" s="74"/>
      <c r="K1074" s="74"/>
      <c r="L1074" s="74"/>
      <c r="M1074" s="74"/>
      <c r="N1074" s="74"/>
      <c r="O1074" s="74"/>
      <c r="P1074" s="74"/>
      <c r="Q1074" s="74"/>
      <c r="R1074" s="74"/>
      <c r="S1074" s="74"/>
      <c r="T1074" s="74"/>
      <c r="U1074" s="74"/>
      <c r="V1074" s="74"/>
      <c r="W1074" s="74"/>
      <c r="X1074" s="74"/>
      <c r="Y1074" s="74"/>
      <c r="Z1074" s="74"/>
      <c r="AA1074" s="74"/>
      <c r="AB1074" s="74"/>
    </row>
    <row r="1075" spans="1:28" ht="12" customHeight="1">
      <c r="A1075" s="565"/>
      <c r="B1075" s="107"/>
      <c r="C1075" s="107"/>
      <c r="D1075" s="108"/>
      <c r="E1075" s="104"/>
      <c r="F1075" s="104"/>
      <c r="G1075" s="35"/>
      <c r="H1075" s="104"/>
      <c r="I1075" s="140"/>
      <c r="J1075" s="74"/>
      <c r="K1075" s="74"/>
      <c r="L1075" s="74"/>
      <c r="M1075" s="74"/>
      <c r="N1075" s="74"/>
      <c r="O1075" s="74"/>
      <c r="P1075" s="74"/>
      <c r="Q1075" s="74"/>
      <c r="R1075" s="74"/>
      <c r="S1075" s="74"/>
      <c r="T1075" s="74"/>
      <c r="U1075" s="74"/>
      <c r="V1075" s="74"/>
      <c r="W1075" s="74"/>
      <c r="X1075" s="74"/>
      <c r="Y1075" s="74"/>
      <c r="Z1075" s="74"/>
      <c r="AA1075" s="74"/>
      <c r="AB1075" s="74"/>
    </row>
    <row r="1076" spans="1:28" ht="12" customHeight="1">
      <c r="A1076" s="565"/>
      <c r="B1076" s="107"/>
      <c r="C1076" s="107"/>
      <c r="D1076" s="108"/>
      <c r="E1076" s="104"/>
      <c r="F1076" s="104"/>
      <c r="G1076" s="35"/>
      <c r="H1076" s="104"/>
      <c r="I1076" s="140"/>
      <c r="J1076" s="74"/>
      <c r="K1076" s="74"/>
      <c r="L1076" s="74"/>
      <c r="M1076" s="74"/>
      <c r="N1076" s="74"/>
      <c r="O1076" s="74"/>
      <c r="P1076" s="74"/>
      <c r="Q1076" s="74"/>
      <c r="R1076" s="74"/>
      <c r="S1076" s="74"/>
      <c r="T1076" s="74"/>
      <c r="U1076" s="74"/>
      <c r="V1076" s="74"/>
      <c r="W1076" s="74"/>
      <c r="X1076" s="74"/>
      <c r="Y1076" s="74"/>
      <c r="Z1076" s="74"/>
      <c r="AA1076" s="74"/>
      <c r="AB1076" s="74"/>
    </row>
    <row r="1077" spans="1:28" ht="12" customHeight="1">
      <c r="A1077" s="565"/>
      <c r="B1077" s="107"/>
      <c r="C1077" s="107"/>
      <c r="D1077" s="108"/>
      <c r="E1077" s="104"/>
      <c r="F1077" s="104"/>
      <c r="G1077" s="35"/>
      <c r="H1077" s="104"/>
      <c r="I1077" s="140"/>
      <c r="J1077" s="74"/>
      <c r="K1077" s="74"/>
      <c r="L1077" s="74"/>
      <c r="M1077" s="74"/>
      <c r="N1077" s="74"/>
      <c r="O1077" s="74"/>
      <c r="P1077" s="74"/>
      <c r="Q1077" s="74"/>
      <c r="R1077" s="74"/>
      <c r="S1077" s="74"/>
      <c r="T1077" s="74"/>
      <c r="U1077" s="74"/>
      <c r="V1077" s="74"/>
      <c r="W1077" s="74"/>
      <c r="X1077" s="74"/>
      <c r="Y1077" s="74"/>
      <c r="Z1077" s="74"/>
      <c r="AA1077" s="74"/>
      <c r="AB1077" s="74"/>
    </row>
    <row r="1078" spans="1:28" ht="12" customHeight="1">
      <c r="A1078" s="565"/>
      <c r="B1078" s="107"/>
      <c r="C1078" s="107"/>
      <c r="D1078" s="108"/>
      <c r="E1078" s="104"/>
      <c r="F1078" s="104"/>
      <c r="G1078" s="35"/>
      <c r="H1078" s="104"/>
      <c r="I1078" s="140"/>
      <c r="J1078" s="74"/>
      <c r="K1078" s="74"/>
      <c r="L1078" s="74"/>
      <c r="M1078" s="74"/>
      <c r="N1078" s="74"/>
      <c r="O1078" s="74"/>
      <c r="P1078" s="74"/>
      <c r="Q1078" s="74"/>
      <c r="R1078" s="74"/>
      <c r="S1078" s="74"/>
      <c r="T1078" s="74"/>
      <c r="U1078" s="74"/>
      <c r="V1078" s="74"/>
      <c r="W1078" s="74"/>
      <c r="X1078" s="74"/>
      <c r="Y1078" s="74"/>
      <c r="Z1078" s="74"/>
      <c r="AA1078" s="74"/>
      <c r="AB1078" s="74"/>
    </row>
    <row r="1079" spans="1:28" ht="12" customHeight="1">
      <c r="A1079" s="565"/>
      <c r="B1079" s="107"/>
      <c r="C1079" s="107"/>
      <c r="D1079" s="108"/>
      <c r="E1079" s="104"/>
      <c r="F1079" s="104"/>
      <c r="G1079" s="35"/>
      <c r="H1079" s="104"/>
      <c r="I1079" s="140"/>
      <c r="J1079" s="74"/>
      <c r="K1079" s="74"/>
      <c r="L1079" s="74"/>
      <c r="M1079" s="74"/>
      <c r="N1079" s="74"/>
      <c r="O1079" s="74"/>
      <c r="P1079" s="74"/>
      <c r="Q1079" s="74"/>
      <c r="R1079" s="74"/>
      <c r="S1079" s="74"/>
      <c r="T1079" s="74"/>
      <c r="U1079" s="74"/>
      <c r="V1079" s="74"/>
      <c r="W1079" s="74"/>
      <c r="X1079" s="74"/>
      <c r="Y1079" s="74"/>
      <c r="Z1079" s="74"/>
      <c r="AA1079" s="74"/>
      <c r="AB1079" s="74"/>
    </row>
    <row r="1080" spans="1:28" ht="12" customHeight="1">
      <c r="A1080" s="565"/>
      <c r="B1080" s="107"/>
      <c r="C1080" s="107"/>
      <c r="D1080" s="108"/>
      <c r="E1080" s="104"/>
      <c r="F1080" s="104"/>
      <c r="G1080" s="35"/>
      <c r="H1080" s="104"/>
      <c r="I1080" s="140"/>
      <c r="J1080" s="74"/>
      <c r="K1080" s="74"/>
      <c r="L1080" s="74"/>
      <c r="M1080" s="74"/>
      <c r="N1080" s="74"/>
      <c r="O1080" s="74"/>
      <c r="P1080" s="74"/>
      <c r="Q1080" s="74"/>
      <c r="R1080" s="74"/>
      <c r="S1080" s="74"/>
      <c r="T1080" s="74"/>
      <c r="U1080" s="74"/>
      <c r="V1080" s="74"/>
      <c r="W1080" s="74"/>
      <c r="X1080" s="74"/>
      <c r="Y1080" s="74"/>
      <c r="Z1080" s="74"/>
      <c r="AA1080" s="74"/>
      <c r="AB1080" s="74"/>
    </row>
    <row r="1081" spans="1:28" ht="12" customHeight="1">
      <c r="A1081" s="565"/>
      <c r="B1081" s="107"/>
      <c r="C1081" s="107"/>
      <c r="D1081" s="108"/>
      <c r="E1081" s="104"/>
      <c r="F1081" s="104"/>
      <c r="G1081" s="35"/>
      <c r="H1081" s="104"/>
      <c r="I1081" s="140"/>
      <c r="J1081" s="74"/>
      <c r="K1081" s="74"/>
      <c r="L1081" s="74"/>
      <c r="M1081" s="74"/>
      <c r="N1081" s="74"/>
      <c r="O1081" s="74"/>
      <c r="P1081" s="74"/>
      <c r="Q1081" s="74"/>
      <c r="R1081" s="74"/>
      <c r="S1081" s="74"/>
      <c r="T1081" s="74"/>
      <c r="U1081" s="74"/>
      <c r="V1081" s="74"/>
      <c r="W1081" s="74"/>
      <c r="X1081" s="74"/>
      <c r="Y1081" s="74"/>
      <c r="Z1081" s="74"/>
      <c r="AA1081" s="74"/>
      <c r="AB1081" s="74"/>
    </row>
    <row r="1082" spans="1:28" ht="12" customHeight="1">
      <c r="A1082" s="565"/>
      <c r="B1082" s="107"/>
      <c r="C1082" s="107"/>
      <c r="D1082" s="108"/>
      <c r="E1082" s="104"/>
      <c r="F1082" s="104"/>
      <c r="G1082" s="35"/>
      <c r="H1082" s="104"/>
      <c r="I1082" s="140"/>
      <c r="J1082" s="74"/>
      <c r="K1082" s="74"/>
      <c r="L1082" s="74"/>
      <c r="M1082" s="74"/>
      <c r="N1082" s="74"/>
      <c r="O1082" s="74"/>
      <c r="P1082" s="74"/>
      <c r="Q1082" s="74"/>
      <c r="R1082" s="74"/>
      <c r="S1082" s="74"/>
      <c r="T1082" s="74"/>
      <c r="U1082" s="74"/>
      <c r="V1082" s="74"/>
      <c r="W1082" s="74"/>
      <c r="X1082" s="74"/>
      <c r="Y1082" s="74"/>
      <c r="Z1082" s="74"/>
      <c r="AA1082" s="74"/>
      <c r="AB1082" s="74"/>
    </row>
    <row r="1083" spans="1:28" ht="12" customHeight="1">
      <c r="A1083" s="565"/>
      <c r="B1083" s="107"/>
      <c r="C1083" s="107"/>
      <c r="D1083" s="108"/>
      <c r="E1083" s="104"/>
      <c r="F1083" s="104"/>
      <c r="G1083" s="35"/>
      <c r="H1083" s="104"/>
      <c r="I1083" s="140"/>
      <c r="J1083" s="74"/>
      <c r="K1083" s="74"/>
      <c r="L1083" s="74"/>
      <c r="M1083" s="74"/>
      <c r="N1083" s="74"/>
      <c r="O1083" s="74"/>
      <c r="P1083" s="74"/>
      <c r="Q1083" s="74"/>
      <c r="R1083" s="74"/>
      <c r="S1083" s="74"/>
      <c r="T1083" s="74"/>
      <c r="U1083" s="74"/>
      <c r="V1083" s="74"/>
      <c r="W1083" s="74"/>
      <c r="X1083" s="74"/>
      <c r="Y1083" s="74"/>
      <c r="Z1083" s="74"/>
      <c r="AA1083" s="74"/>
      <c r="AB1083" s="74"/>
    </row>
    <row r="1084" spans="1:28" ht="12" customHeight="1">
      <c r="A1084" s="565"/>
      <c r="B1084" s="107"/>
      <c r="C1084" s="107"/>
      <c r="D1084" s="108"/>
      <c r="E1084" s="104"/>
      <c r="F1084" s="104"/>
      <c r="G1084" s="35"/>
      <c r="H1084" s="104"/>
      <c r="I1084" s="140"/>
      <c r="J1084" s="74"/>
      <c r="K1084" s="74"/>
      <c r="L1084" s="74"/>
      <c r="M1084" s="74"/>
      <c r="N1084" s="74"/>
      <c r="O1084" s="74"/>
      <c r="P1084" s="74"/>
      <c r="Q1084" s="74"/>
      <c r="R1084" s="74"/>
      <c r="S1084" s="74"/>
      <c r="T1084" s="74"/>
      <c r="U1084" s="74"/>
      <c r="V1084" s="74"/>
      <c r="W1084" s="74"/>
      <c r="X1084" s="74"/>
      <c r="Y1084" s="74"/>
      <c r="Z1084" s="74"/>
      <c r="AA1084" s="74"/>
      <c r="AB1084" s="74"/>
    </row>
    <row r="1085" spans="1:28" ht="12" customHeight="1">
      <c r="A1085" s="565"/>
      <c r="B1085" s="107"/>
      <c r="C1085" s="107"/>
      <c r="D1085" s="108"/>
      <c r="E1085" s="104"/>
      <c r="F1085" s="104"/>
      <c r="G1085" s="35"/>
      <c r="H1085" s="104"/>
      <c r="I1085" s="140"/>
      <c r="J1085" s="74"/>
      <c r="K1085" s="74"/>
      <c r="L1085" s="74"/>
      <c r="M1085" s="74"/>
      <c r="N1085" s="74"/>
      <c r="O1085" s="74"/>
      <c r="P1085" s="74"/>
      <c r="Q1085" s="74"/>
      <c r="R1085" s="74"/>
      <c r="S1085" s="74"/>
      <c r="T1085" s="74"/>
      <c r="U1085" s="74"/>
      <c r="V1085" s="74"/>
      <c r="W1085" s="74"/>
      <c r="X1085" s="74"/>
      <c r="Y1085" s="74"/>
      <c r="Z1085" s="74"/>
      <c r="AA1085" s="74"/>
      <c r="AB1085" s="74"/>
    </row>
    <row r="1086" spans="1:28" ht="12" customHeight="1">
      <c r="A1086" s="565"/>
      <c r="B1086" s="107"/>
      <c r="C1086" s="107"/>
      <c r="D1086" s="108"/>
      <c r="E1086" s="104"/>
      <c r="F1086" s="104"/>
      <c r="G1086" s="35"/>
      <c r="H1086" s="104"/>
      <c r="I1086" s="140"/>
      <c r="J1086" s="74"/>
      <c r="K1086" s="74"/>
      <c r="L1086" s="74"/>
      <c r="M1086" s="74"/>
      <c r="N1086" s="74"/>
      <c r="O1086" s="74"/>
      <c r="P1086" s="74"/>
      <c r="Q1086" s="74"/>
      <c r="R1086" s="74"/>
      <c r="S1086" s="74"/>
      <c r="T1086" s="74"/>
      <c r="U1086" s="74"/>
      <c r="V1086" s="74"/>
      <c r="W1086" s="74"/>
      <c r="X1086" s="74"/>
      <c r="Y1086" s="74"/>
      <c r="Z1086" s="74"/>
      <c r="AA1086" s="74"/>
      <c r="AB1086" s="74"/>
    </row>
    <row r="1087" spans="1:28" ht="12" customHeight="1">
      <c r="A1087" s="565"/>
      <c r="B1087" s="107"/>
      <c r="C1087" s="107"/>
      <c r="D1087" s="108"/>
      <c r="E1087" s="104"/>
      <c r="F1087" s="104"/>
      <c r="G1087" s="35"/>
      <c r="H1087" s="104"/>
      <c r="I1087" s="140"/>
      <c r="J1087" s="74"/>
      <c r="K1087" s="74"/>
      <c r="L1087" s="74"/>
      <c r="M1087" s="74"/>
      <c r="N1087" s="74"/>
      <c r="O1087" s="74"/>
      <c r="P1087" s="74"/>
      <c r="Q1087" s="74"/>
      <c r="R1087" s="74"/>
      <c r="S1087" s="74"/>
      <c r="T1087" s="74"/>
      <c r="U1087" s="74"/>
      <c r="V1087" s="74"/>
      <c r="W1087" s="74"/>
      <c r="X1087" s="74"/>
      <c r="Y1087" s="74"/>
      <c r="Z1087" s="74"/>
      <c r="AA1087" s="74"/>
      <c r="AB1087" s="74"/>
    </row>
    <row r="1088" spans="1:28" ht="12" customHeight="1">
      <c r="A1088" s="565"/>
      <c r="B1088" s="107"/>
      <c r="C1088" s="107"/>
      <c r="D1088" s="108"/>
      <c r="E1088" s="104"/>
      <c r="F1088" s="104"/>
      <c r="G1088" s="35"/>
      <c r="H1088" s="104"/>
      <c r="I1088" s="140"/>
      <c r="J1088" s="74"/>
      <c r="K1088" s="74"/>
      <c r="L1088" s="74"/>
      <c r="M1088" s="74"/>
      <c r="N1088" s="74"/>
      <c r="O1088" s="74"/>
      <c r="P1088" s="74"/>
      <c r="Q1088" s="74"/>
      <c r="R1088" s="74"/>
      <c r="S1088" s="74"/>
      <c r="T1088" s="74"/>
      <c r="U1088" s="74"/>
      <c r="V1088" s="74"/>
      <c r="W1088" s="74"/>
      <c r="X1088" s="74"/>
      <c r="Y1088" s="74"/>
      <c r="Z1088" s="74"/>
      <c r="AA1088" s="74"/>
      <c r="AB1088" s="74"/>
    </row>
    <row r="1089" spans="1:28" ht="12" customHeight="1">
      <c r="A1089" s="565"/>
      <c r="B1089" s="107"/>
      <c r="C1089" s="107"/>
      <c r="D1089" s="108"/>
      <c r="E1089" s="104"/>
      <c r="F1089" s="104"/>
      <c r="G1089" s="35"/>
      <c r="H1089" s="104"/>
      <c r="I1089" s="140"/>
      <c r="J1089" s="74"/>
      <c r="K1089" s="74"/>
      <c r="L1089" s="74"/>
      <c r="M1089" s="74"/>
      <c r="N1089" s="74"/>
      <c r="O1089" s="74"/>
      <c r="P1089" s="74"/>
      <c r="Q1089" s="74"/>
      <c r="R1089" s="74"/>
      <c r="S1089" s="74"/>
      <c r="T1089" s="74"/>
      <c r="U1089" s="74"/>
      <c r="V1089" s="74"/>
      <c r="W1089" s="74"/>
      <c r="X1089" s="74"/>
      <c r="Y1089" s="74"/>
      <c r="Z1089" s="74"/>
      <c r="AA1089" s="74"/>
      <c r="AB1089" s="74"/>
    </row>
    <row r="1090" spans="1:28" ht="12" customHeight="1">
      <c r="A1090" s="565"/>
      <c r="B1090" s="107"/>
      <c r="C1090" s="107"/>
      <c r="D1090" s="108"/>
      <c r="E1090" s="104"/>
      <c r="F1090" s="104"/>
      <c r="G1090" s="35"/>
      <c r="H1090" s="104"/>
      <c r="I1090" s="140"/>
      <c r="J1090" s="74"/>
      <c r="K1090" s="74"/>
      <c r="L1090" s="74"/>
      <c r="M1090" s="74"/>
      <c r="N1090" s="74"/>
      <c r="O1090" s="74"/>
      <c r="P1090" s="74"/>
      <c r="Q1090" s="74"/>
      <c r="R1090" s="74"/>
      <c r="S1090" s="74"/>
      <c r="T1090" s="74"/>
      <c r="U1090" s="74"/>
      <c r="V1090" s="74"/>
      <c r="W1090" s="74"/>
      <c r="X1090" s="74"/>
      <c r="Y1090" s="74"/>
      <c r="Z1090" s="74"/>
      <c r="AA1090" s="74"/>
      <c r="AB1090" s="74"/>
    </row>
    <row r="1091" spans="1:28" ht="12" customHeight="1">
      <c r="A1091" s="565"/>
      <c r="B1091" s="107"/>
      <c r="C1091" s="107"/>
      <c r="D1091" s="108"/>
      <c r="E1091" s="104"/>
      <c r="F1091" s="104"/>
      <c r="G1091" s="35"/>
      <c r="H1091" s="104"/>
      <c r="I1091" s="140"/>
      <c r="J1091" s="74"/>
      <c r="K1091" s="74"/>
      <c r="L1091" s="74"/>
      <c r="M1091" s="74"/>
      <c r="N1091" s="74"/>
      <c r="O1091" s="74"/>
      <c r="P1091" s="74"/>
      <c r="Q1091" s="74"/>
      <c r="R1091" s="74"/>
      <c r="S1091" s="74"/>
      <c r="T1091" s="74"/>
      <c r="U1091" s="74"/>
      <c r="V1091" s="74"/>
      <c r="W1091" s="74"/>
      <c r="X1091" s="74"/>
      <c r="Y1091" s="74"/>
      <c r="Z1091" s="74"/>
      <c r="AA1091" s="74"/>
      <c r="AB1091" s="74"/>
    </row>
    <row r="1092" spans="1:28" ht="12" customHeight="1">
      <c r="A1092" s="565"/>
      <c r="B1092" s="107"/>
      <c r="C1092" s="107"/>
      <c r="D1092" s="108"/>
      <c r="E1092" s="104"/>
      <c r="F1092" s="104"/>
      <c r="G1092" s="35"/>
      <c r="H1092" s="104"/>
      <c r="I1092" s="140"/>
      <c r="J1092" s="74"/>
      <c r="K1092" s="74"/>
      <c r="L1092" s="74"/>
      <c r="M1092" s="74"/>
      <c r="N1092" s="74"/>
      <c r="O1092" s="74"/>
      <c r="P1092" s="74"/>
      <c r="Q1092" s="74"/>
      <c r="R1092" s="74"/>
      <c r="S1092" s="74"/>
      <c r="T1092" s="74"/>
      <c r="U1092" s="74"/>
      <c r="V1092" s="74"/>
      <c r="W1092" s="74"/>
      <c r="X1092" s="74"/>
      <c r="Y1092" s="74"/>
      <c r="Z1092" s="74"/>
      <c r="AA1092" s="74"/>
      <c r="AB1092" s="74"/>
    </row>
    <row r="1093" spans="1:28" ht="12" customHeight="1">
      <c r="A1093" s="565"/>
      <c r="B1093" s="107"/>
      <c r="C1093" s="107"/>
      <c r="D1093" s="108"/>
      <c r="E1093" s="104"/>
      <c r="F1093" s="104"/>
      <c r="G1093" s="35"/>
      <c r="H1093" s="104"/>
      <c r="I1093" s="140"/>
      <c r="J1093" s="74"/>
      <c r="K1093" s="74"/>
      <c r="L1093" s="74"/>
      <c r="M1093" s="74"/>
      <c r="N1093" s="74"/>
      <c r="O1093" s="74"/>
      <c r="P1093" s="74"/>
      <c r="Q1093" s="74"/>
      <c r="R1093" s="74"/>
      <c r="S1093" s="74"/>
      <c r="T1093" s="74"/>
      <c r="U1093" s="74"/>
      <c r="V1093" s="74"/>
      <c r="W1093" s="74"/>
      <c r="X1093" s="74"/>
      <c r="Y1093" s="74"/>
      <c r="Z1093" s="74"/>
      <c r="AA1093" s="74"/>
      <c r="AB1093" s="74"/>
    </row>
    <row r="1094" spans="1:28" ht="12" customHeight="1">
      <c r="A1094" s="565"/>
      <c r="B1094" s="107"/>
      <c r="C1094" s="107"/>
      <c r="D1094" s="108"/>
      <c r="E1094" s="104"/>
      <c r="F1094" s="104"/>
      <c r="G1094" s="35"/>
      <c r="H1094" s="104"/>
      <c r="I1094" s="140"/>
      <c r="J1094" s="74"/>
      <c r="K1094" s="74"/>
      <c r="L1094" s="74"/>
      <c r="M1094" s="74"/>
      <c r="N1094" s="74"/>
      <c r="O1094" s="74"/>
      <c r="P1094" s="74"/>
      <c r="Q1094" s="74"/>
      <c r="R1094" s="74"/>
      <c r="S1094" s="74"/>
      <c r="T1094" s="74"/>
      <c r="U1094" s="74"/>
      <c r="V1094" s="74"/>
      <c r="W1094" s="74"/>
      <c r="X1094" s="74"/>
      <c r="Y1094" s="74"/>
      <c r="Z1094" s="74"/>
      <c r="AA1094" s="74"/>
      <c r="AB1094" s="74"/>
    </row>
    <row r="1095" spans="1:28" ht="12" customHeight="1">
      <c r="A1095" s="565"/>
      <c r="B1095" s="107"/>
      <c r="C1095" s="107"/>
      <c r="D1095" s="108"/>
      <c r="E1095" s="104"/>
      <c r="F1095" s="104"/>
      <c r="G1095" s="35"/>
      <c r="H1095" s="104"/>
      <c r="I1095" s="140"/>
      <c r="J1095" s="74"/>
      <c r="K1095" s="74"/>
      <c r="L1095" s="74"/>
      <c r="M1095" s="74"/>
      <c r="N1095" s="74"/>
      <c r="O1095" s="74"/>
      <c r="P1095" s="74"/>
      <c r="Q1095" s="74"/>
      <c r="R1095" s="74"/>
      <c r="S1095" s="74"/>
      <c r="T1095" s="74"/>
      <c r="U1095" s="74"/>
      <c r="V1095" s="74"/>
      <c r="W1095" s="74"/>
      <c r="X1095" s="74"/>
      <c r="Y1095" s="74"/>
      <c r="Z1095" s="74"/>
      <c r="AA1095" s="74"/>
      <c r="AB1095" s="74"/>
    </row>
    <row r="1096" spans="1:28" ht="12" customHeight="1">
      <c r="A1096" s="565"/>
      <c r="B1096" s="107"/>
      <c r="C1096" s="107"/>
      <c r="D1096" s="108"/>
      <c r="E1096" s="104"/>
      <c r="F1096" s="104"/>
      <c r="G1096" s="35"/>
      <c r="H1096" s="104"/>
      <c r="I1096" s="140"/>
      <c r="J1096" s="74"/>
      <c r="K1096" s="74"/>
      <c r="L1096" s="74"/>
      <c r="M1096" s="74"/>
      <c r="N1096" s="74"/>
      <c r="O1096" s="74"/>
      <c r="P1096" s="74"/>
      <c r="Q1096" s="74"/>
      <c r="R1096" s="74"/>
      <c r="S1096" s="74"/>
      <c r="T1096" s="74"/>
      <c r="U1096" s="74"/>
      <c r="V1096" s="74"/>
      <c r="W1096" s="74"/>
      <c r="X1096" s="74"/>
      <c r="Y1096" s="74"/>
      <c r="Z1096" s="74"/>
      <c r="AA1096" s="74"/>
      <c r="AB1096" s="74"/>
    </row>
    <row r="1097" spans="1:28" ht="12" customHeight="1">
      <c r="A1097" s="565"/>
      <c r="B1097" s="107"/>
      <c r="C1097" s="107"/>
      <c r="D1097" s="108"/>
      <c r="E1097" s="104"/>
      <c r="F1097" s="104"/>
      <c r="G1097" s="35"/>
      <c r="H1097" s="104"/>
      <c r="I1097" s="140"/>
      <c r="J1097" s="74"/>
      <c r="K1097" s="74"/>
      <c r="L1097" s="74"/>
      <c r="M1097" s="74"/>
      <c r="N1097" s="74"/>
      <c r="O1097" s="74"/>
      <c r="P1097" s="74"/>
      <c r="Q1097" s="74"/>
      <c r="R1097" s="74"/>
      <c r="S1097" s="74"/>
      <c r="T1097" s="74"/>
      <c r="U1097" s="74"/>
      <c r="V1097" s="74"/>
      <c r="W1097" s="74"/>
      <c r="X1097" s="74"/>
      <c r="Y1097" s="74"/>
      <c r="Z1097" s="74"/>
      <c r="AA1097" s="74"/>
      <c r="AB1097" s="74"/>
    </row>
    <row r="1098" spans="1:28" ht="12" customHeight="1">
      <c r="A1098" s="565"/>
      <c r="B1098" s="107"/>
      <c r="C1098" s="107"/>
      <c r="D1098" s="108"/>
      <c r="E1098" s="104"/>
      <c r="F1098" s="104"/>
      <c r="G1098" s="35"/>
      <c r="H1098" s="104"/>
      <c r="I1098" s="140"/>
      <c r="J1098" s="74"/>
      <c r="K1098" s="74"/>
      <c r="L1098" s="74"/>
      <c r="M1098" s="74"/>
      <c r="N1098" s="74"/>
      <c r="O1098" s="74"/>
      <c r="P1098" s="74"/>
      <c r="Q1098" s="74"/>
      <c r="R1098" s="74"/>
      <c r="S1098" s="74"/>
      <c r="T1098" s="74"/>
      <c r="U1098" s="74"/>
      <c r="V1098" s="74"/>
      <c r="W1098" s="74"/>
      <c r="X1098" s="74"/>
      <c r="Y1098" s="74"/>
      <c r="Z1098" s="74"/>
      <c r="AA1098" s="74"/>
      <c r="AB1098" s="74"/>
    </row>
    <row r="1099" spans="1:28" ht="12" customHeight="1">
      <c r="A1099" s="565"/>
      <c r="B1099" s="107"/>
      <c r="C1099" s="107"/>
      <c r="D1099" s="108"/>
      <c r="E1099" s="104"/>
      <c r="F1099" s="104"/>
      <c r="G1099" s="35"/>
      <c r="H1099" s="104"/>
      <c r="I1099" s="140"/>
      <c r="J1099" s="74"/>
      <c r="K1099" s="74"/>
      <c r="L1099" s="74"/>
      <c r="M1099" s="74"/>
      <c r="N1099" s="74"/>
      <c r="O1099" s="74"/>
      <c r="P1099" s="74"/>
      <c r="Q1099" s="74"/>
      <c r="R1099" s="74"/>
      <c r="S1099" s="74"/>
      <c r="T1099" s="74"/>
      <c r="U1099" s="74"/>
      <c r="V1099" s="74"/>
      <c r="W1099" s="74"/>
      <c r="X1099" s="74"/>
      <c r="Y1099" s="74"/>
      <c r="Z1099" s="74"/>
      <c r="AA1099" s="74"/>
      <c r="AB1099" s="74"/>
    </row>
    <row r="1100" spans="1:28" ht="12" customHeight="1">
      <c r="A1100" s="565"/>
      <c r="B1100" s="107"/>
      <c r="C1100" s="107"/>
      <c r="D1100" s="108"/>
      <c r="E1100" s="104"/>
      <c r="F1100" s="104"/>
      <c r="G1100" s="35"/>
      <c r="H1100" s="104"/>
      <c r="I1100" s="140"/>
      <c r="J1100" s="74"/>
      <c r="K1100" s="74"/>
      <c r="L1100" s="74"/>
      <c r="M1100" s="74"/>
      <c r="N1100" s="74"/>
      <c r="O1100" s="74"/>
      <c r="P1100" s="74"/>
      <c r="Q1100" s="74"/>
      <c r="R1100" s="74"/>
      <c r="S1100" s="74"/>
      <c r="T1100" s="74"/>
      <c r="U1100" s="74"/>
      <c r="V1100" s="74"/>
      <c r="W1100" s="74"/>
      <c r="X1100" s="74"/>
      <c r="Y1100" s="74"/>
      <c r="Z1100" s="74"/>
      <c r="AA1100" s="74"/>
      <c r="AB1100" s="74"/>
    </row>
    <row r="1101" spans="1:28" ht="12" customHeight="1">
      <c r="A1101" s="565"/>
      <c r="B1101" s="107"/>
      <c r="C1101" s="107"/>
      <c r="D1101" s="108"/>
      <c r="E1101" s="104"/>
      <c r="F1101" s="104"/>
      <c r="G1101" s="35"/>
      <c r="H1101" s="104"/>
      <c r="I1101" s="140"/>
      <c r="J1101" s="74"/>
      <c r="K1101" s="74"/>
      <c r="L1101" s="74"/>
      <c r="M1101" s="74"/>
      <c r="N1101" s="74"/>
      <c r="O1101" s="74"/>
      <c r="P1101" s="74"/>
      <c r="Q1101" s="74"/>
      <c r="R1101" s="74"/>
      <c r="S1101" s="74"/>
      <c r="T1101" s="74"/>
      <c r="U1101" s="74"/>
      <c r="V1101" s="74"/>
      <c r="W1101" s="74"/>
      <c r="X1101" s="74"/>
      <c r="Y1101" s="74"/>
      <c r="Z1101" s="74"/>
      <c r="AA1101" s="74"/>
      <c r="AB1101" s="74"/>
    </row>
    <row r="1102" spans="1:28" ht="12" customHeight="1">
      <c r="A1102" s="565"/>
      <c r="B1102" s="107"/>
      <c r="C1102" s="107"/>
      <c r="D1102" s="108"/>
      <c r="E1102" s="104"/>
      <c r="F1102" s="104"/>
      <c r="G1102" s="35"/>
      <c r="H1102" s="104"/>
      <c r="I1102" s="140"/>
      <c r="J1102" s="74"/>
      <c r="K1102" s="74"/>
      <c r="L1102" s="74"/>
      <c r="M1102" s="74"/>
      <c r="N1102" s="74"/>
      <c r="O1102" s="74"/>
      <c r="P1102" s="74"/>
      <c r="Q1102" s="74"/>
      <c r="R1102" s="74"/>
      <c r="S1102" s="74"/>
      <c r="T1102" s="74"/>
      <c r="U1102" s="74"/>
      <c r="V1102" s="74"/>
      <c r="W1102" s="74"/>
      <c r="X1102" s="74"/>
      <c r="Y1102" s="74"/>
      <c r="Z1102" s="74"/>
      <c r="AA1102" s="74"/>
      <c r="AB1102" s="74"/>
    </row>
    <row r="1103" spans="1:28" ht="12" customHeight="1">
      <c r="A1103" s="565"/>
      <c r="B1103" s="107"/>
      <c r="C1103" s="107"/>
      <c r="D1103" s="108"/>
      <c r="E1103" s="104"/>
      <c r="F1103" s="104"/>
      <c r="G1103" s="35"/>
      <c r="H1103" s="104"/>
      <c r="I1103" s="140"/>
      <c r="J1103" s="74"/>
      <c r="K1103" s="74"/>
      <c r="L1103" s="74"/>
      <c r="M1103" s="74"/>
      <c r="N1103" s="74"/>
      <c r="O1103" s="74"/>
      <c r="P1103" s="74"/>
      <c r="Q1103" s="74"/>
      <c r="R1103" s="74"/>
      <c r="S1103" s="74"/>
      <c r="T1103" s="74"/>
      <c r="U1103" s="74"/>
      <c r="V1103" s="74"/>
      <c r="W1103" s="74"/>
      <c r="X1103" s="74"/>
      <c r="Y1103" s="74"/>
      <c r="Z1103" s="74"/>
      <c r="AA1103" s="74"/>
      <c r="AB1103" s="74"/>
    </row>
    <row r="1104" spans="1:28" ht="12" customHeight="1">
      <c r="A1104" s="565"/>
      <c r="B1104" s="107"/>
      <c r="C1104" s="107"/>
      <c r="D1104" s="108"/>
      <c r="E1104" s="104"/>
      <c r="F1104" s="104"/>
      <c r="G1104" s="35"/>
      <c r="H1104" s="104"/>
      <c r="I1104" s="140"/>
      <c r="J1104" s="74"/>
      <c r="K1104" s="74"/>
      <c r="L1104" s="74"/>
      <c r="M1104" s="74"/>
      <c r="N1104" s="74"/>
      <c r="O1104" s="74"/>
      <c r="P1104" s="74"/>
      <c r="Q1104" s="74"/>
      <c r="R1104" s="74"/>
      <c r="S1104" s="74"/>
      <c r="T1104" s="74"/>
      <c r="U1104" s="74"/>
      <c r="V1104" s="74"/>
      <c r="W1104" s="74"/>
      <c r="X1104" s="74"/>
      <c r="Y1104" s="74"/>
      <c r="Z1104" s="74"/>
      <c r="AA1104" s="74"/>
      <c r="AB1104" s="74"/>
    </row>
    <row r="1105" spans="1:28" ht="12" customHeight="1">
      <c r="A1105" s="565"/>
      <c r="B1105" s="107"/>
      <c r="C1105" s="107"/>
      <c r="D1105" s="108"/>
      <c r="E1105" s="104"/>
      <c r="F1105" s="104"/>
      <c r="G1105" s="35"/>
      <c r="H1105" s="104"/>
      <c r="I1105" s="140"/>
      <c r="J1105" s="74"/>
      <c r="K1105" s="74"/>
      <c r="L1105" s="74"/>
      <c r="M1105" s="74"/>
      <c r="N1105" s="74"/>
      <c r="O1105" s="74"/>
      <c r="P1105" s="74"/>
      <c r="Q1105" s="74"/>
      <c r="R1105" s="74"/>
      <c r="S1105" s="74"/>
      <c r="T1105" s="74"/>
      <c r="U1105" s="74"/>
      <c r="V1105" s="74"/>
      <c r="W1105" s="74"/>
      <c r="X1105" s="74"/>
      <c r="Y1105" s="74"/>
      <c r="Z1105" s="74"/>
      <c r="AA1105" s="74"/>
      <c r="AB1105" s="74"/>
    </row>
    <row r="1106" spans="1:28" ht="12" customHeight="1">
      <c r="A1106" s="565"/>
      <c r="B1106" s="107"/>
      <c r="C1106" s="107"/>
      <c r="D1106" s="108"/>
      <c r="E1106" s="104"/>
      <c r="F1106" s="104"/>
      <c r="G1106" s="35"/>
      <c r="H1106" s="104"/>
      <c r="I1106" s="140"/>
      <c r="J1106" s="74"/>
      <c r="K1106" s="74"/>
      <c r="L1106" s="74"/>
      <c r="M1106" s="74"/>
      <c r="N1106" s="74"/>
      <c r="O1106" s="74"/>
      <c r="P1106" s="74"/>
      <c r="Q1106" s="74"/>
      <c r="R1106" s="74"/>
      <c r="S1106" s="74"/>
      <c r="T1106" s="74"/>
      <c r="U1106" s="74"/>
      <c r="V1106" s="74"/>
      <c r="W1106" s="74"/>
      <c r="X1106" s="74"/>
      <c r="Y1106" s="74"/>
      <c r="Z1106" s="74"/>
      <c r="AA1106" s="74"/>
      <c r="AB1106" s="74"/>
    </row>
    <row r="1107" spans="1:28" ht="12" customHeight="1">
      <c r="A1107" s="565"/>
      <c r="B1107" s="107"/>
      <c r="C1107" s="107"/>
      <c r="D1107" s="108"/>
      <c r="E1107" s="104"/>
      <c r="F1107" s="104"/>
      <c r="G1107" s="35"/>
      <c r="H1107" s="104"/>
      <c r="I1107" s="140"/>
      <c r="J1107" s="74"/>
      <c r="K1107" s="74"/>
      <c r="L1107" s="74"/>
      <c r="M1107" s="74"/>
      <c r="N1107" s="74"/>
      <c r="O1107" s="74"/>
      <c r="P1107" s="74"/>
      <c r="Q1107" s="74"/>
      <c r="R1107" s="74"/>
      <c r="S1107" s="74"/>
      <c r="T1107" s="74"/>
      <c r="U1107" s="74"/>
      <c r="V1107" s="74"/>
      <c r="W1107" s="74"/>
      <c r="X1107" s="74"/>
      <c r="Y1107" s="74"/>
      <c r="Z1107" s="74"/>
      <c r="AA1107" s="74"/>
      <c r="AB1107" s="74"/>
    </row>
    <row r="1108" spans="1:28" ht="12" customHeight="1">
      <c r="A1108" s="565"/>
      <c r="B1108" s="107"/>
      <c r="C1108" s="107"/>
      <c r="D1108" s="108"/>
      <c r="E1108" s="104"/>
      <c r="F1108" s="104"/>
      <c r="G1108" s="35"/>
      <c r="H1108" s="104"/>
      <c r="I1108" s="140"/>
      <c r="J1108" s="74"/>
      <c r="K1108" s="74"/>
      <c r="L1108" s="74"/>
      <c r="M1108" s="74"/>
      <c r="N1108" s="74"/>
      <c r="O1108" s="74"/>
      <c r="P1108" s="74"/>
      <c r="Q1108" s="74"/>
      <c r="R1108" s="74"/>
      <c r="S1108" s="74"/>
      <c r="T1108" s="74"/>
      <c r="U1108" s="74"/>
      <c r="V1108" s="74"/>
      <c r="W1108" s="74"/>
      <c r="X1108" s="74"/>
      <c r="Y1108" s="74"/>
      <c r="Z1108" s="74"/>
      <c r="AA1108" s="74"/>
      <c r="AB1108" s="74"/>
    </row>
    <row r="1109" spans="1:28" ht="12" customHeight="1">
      <c r="A1109" s="565"/>
      <c r="B1109" s="107"/>
      <c r="C1109" s="107"/>
      <c r="D1109" s="108"/>
      <c r="E1109" s="104"/>
      <c r="F1109" s="104"/>
      <c r="G1109" s="35"/>
      <c r="H1109" s="104"/>
      <c r="I1109" s="140"/>
      <c r="J1109" s="74"/>
      <c r="K1109" s="74"/>
      <c r="L1109" s="74"/>
      <c r="M1109" s="74"/>
      <c r="N1109" s="74"/>
      <c r="O1109" s="74"/>
      <c r="P1109" s="74"/>
      <c r="Q1109" s="74"/>
      <c r="R1109" s="74"/>
      <c r="S1109" s="74"/>
      <c r="T1109" s="74"/>
      <c r="U1109" s="74"/>
      <c r="V1109" s="74"/>
      <c r="W1109" s="74"/>
      <c r="X1109" s="74"/>
      <c r="Y1109" s="74"/>
      <c r="Z1109" s="74"/>
      <c r="AA1109" s="74"/>
      <c r="AB1109" s="74"/>
    </row>
    <row r="1110" spans="1:28" ht="12" customHeight="1">
      <c r="A1110" s="565"/>
      <c r="B1110" s="107"/>
      <c r="C1110" s="107"/>
      <c r="D1110" s="108"/>
      <c r="E1110" s="104"/>
      <c r="F1110" s="104"/>
      <c r="G1110" s="35"/>
      <c r="H1110" s="104"/>
      <c r="I1110" s="140"/>
      <c r="J1110" s="74"/>
      <c r="K1110" s="74"/>
      <c r="L1110" s="74"/>
      <c r="M1110" s="74"/>
      <c r="N1110" s="74"/>
      <c r="O1110" s="74"/>
      <c r="P1110" s="74"/>
      <c r="Q1110" s="74"/>
      <c r="R1110" s="74"/>
      <c r="S1110" s="74"/>
      <c r="T1110" s="74"/>
      <c r="U1110" s="74"/>
      <c r="V1110" s="74"/>
      <c r="W1110" s="74"/>
      <c r="X1110" s="74"/>
      <c r="Y1110" s="74"/>
      <c r="Z1110" s="74"/>
      <c r="AA1110" s="74"/>
      <c r="AB1110" s="74"/>
    </row>
    <row r="1111" spans="1:28" ht="12" customHeight="1">
      <c r="A1111" s="565"/>
      <c r="B1111" s="107"/>
      <c r="C1111" s="107"/>
      <c r="D1111" s="108"/>
      <c r="E1111" s="104"/>
      <c r="F1111" s="104"/>
      <c r="G1111" s="35"/>
      <c r="H1111" s="104"/>
      <c r="I1111" s="140"/>
      <c r="J1111" s="74"/>
      <c r="K1111" s="74"/>
      <c r="L1111" s="74"/>
      <c r="M1111" s="74"/>
      <c r="N1111" s="74"/>
      <c r="O1111" s="74"/>
      <c r="P1111" s="74"/>
      <c r="Q1111" s="74"/>
      <c r="R1111" s="74"/>
      <c r="S1111" s="74"/>
      <c r="T1111" s="74"/>
      <c r="U1111" s="74"/>
      <c r="V1111" s="74"/>
      <c r="W1111" s="74"/>
      <c r="X1111" s="74"/>
      <c r="Y1111" s="74"/>
      <c r="Z1111" s="74"/>
      <c r="AA1111" s="74"/>
      <c r="AB1111" s="74"/>
    </row>
    <row r="1112" spans="1:28" ht="12" customHeight="1">
      <c r="A1112" s="565"/>
      <c r="B1112" s="107"/>
      <c r="C1112" s="107"/>
      <c r="D1112" s="108"/>
      <c r="E1112" s="104"/>
      <c r="F1112" s="104"/>
      <c r="G1112" s="35"/>
      <c r="H1112" s="104"/>
      <c r="I1112" s="140"/>
      <c r="J1112" s="74"/>
      <c r="K1112" s="74"/>
      <c r="L1112" s="74"/>
      <c r="M1112" s="74"/>
      <c r="N1112" s="74"/>
      <c r="O1112" s="74"/>
      <c r="P1112" s="74"/>
      <c r="Q1112" s="74"/>
      <c r="R1112" s="74"/>
      <c r="S1112" s="74"/>
      <c r="T1112" s="74"/>
      <c r="U1112" s="74"/>
      <c r="V1112" s="74"/>
      <c r="W1112" s="74"/>
      <c r="X1112" s="74"/>
      <c r="Y1112" s="74"/>
      <c r="Z1112" s="74"/>
      <c r="AA1112" s="74"/>
      <c r="AB1112" s="74"/>
    </row>
    <row r="1113" spans="1:28" ht="12" customHeight="1">
      <c r="A1113" s="565"/>
      <c r="B1113" s="107"/>
      <c r="C1113" s="107"/>
      <c r="D1113" s="108"/>
      <c r="E1113" s="104"/>
      <c r="F1113" s="104"/>
      <c r="G1113" s="35"/>
      <c r="H1113" s="104"/>
      <c r="I1113" s="140"/>
      <c r="J1113" s="74"/>
      <c r="K1113" s="74"/>
      <c r="L1113" s="74"/>
      <c r="M1113" s="74"/>
      <c r="N1113" s="74"/>
      <c r="O1113" s="74"/>
      <c r="P1113" s="74"/>
      <c r="Q1113" s="74"/>
      <c r="R1113" s="74"/>
      <c r="S1113" s="74"/>
      <c r="T1113" s="74"/>
      <c r="U1113" s="74"/>
      <c r="V1113" s="74"/>
      <c r="W1113" s="74"/>
      <c r="X1113" s="74"/>
      <c r="Y1113" s="74"/>
      <c r="Z1113" s="74"/>
      <c r="AA1113" s="74"/>
      <c r="AB1113" s="74"/>
    </row>
    <row r="1114" spans="1:28" ht="12" customHeight="1">
      <c r="A1114" s="565"/>
      <c r="B1114" s="107"/>
      <c r="C1114" s="107"/>
      <c r="D1114" s="108"/>
      <c r="E1114" s="104"/>
      <c r="F1114" s="104"/>
      <c r="G1114" s="35"/>
      <c r="H1114" s="104"/>
      <c r="I1114" s="140"/>
      <c r="J1114" s="74"/>
      <c r="K1114" s="74"/>
      <c r="L1114" s="74"/>
      <c r="M1114" s="74"/>
      <c r="N1114" s="74"/>
      <c r="O1114" s="74"/>
      <c r="P1114" s="74"/>
      <c r="Q1114" s="74"/>
      <c r="R1114" s="74"/>
      <c r="S1114" s="74"/>
      <c r="T1114" s="74"/>
      <c r="U1114" s="74"/>
      <c r="V1114" s="74"/>
      <c r="W1114" s="74"/>
      <c r="X1114" s="74"/>
      <c r="Y1114" s="74"/>
      <c r="Z1114" s="74"/>
      <c r="AA1114" s="74"/>
      <c r="AB1114" s="74"/>
    </row>
    <row r="1115" spans="1:28" ht="12" customHeight="1">
      <c r="A1115" s="565"/>
      <c r="B1115" s="107"/>
      <c r="C1115" s="107"/>
      <c r="D1115" s="108"/>
      <c r="E1115" s="104"/>
      <c r="F1115" s="104"/>
      <c r="G1115" s="35"/>
      <c r="H1115" s="104"/>
      <c r="I1115" s="140"/>
      <c r="J1115" s="74"/>
      <c r="K1115" s="74"/>
      <c r="L1115" s="74"/>
      <c r="M1115" s="74"/>
      <c r="N1115" s="74"/>
      <c r="O1115" s="74"/>
      <c r="P1115" s="74"/>
      <c r="Q1115" s="74"/>
      <c r="R1115" s="74"/>
      <c r="S1115" s="74"/>
      <c r="T1115" s="74"/>
      <c r="U1115" s="74"/>
      <c r="V1115" s="74"/>
      <c r="W1115" s="74"/>
      <c r="X1115" s="74"/>
      <c r="Y1115" s="74"/>
      <c r="Z1115" s="74"/>
      <c r="AA1115" s="74"/>
      <c r="AB1115" s="74"/>
    </row>
    <row r="1116" spans="1:28" ht="12" customHeight="1">
      <c r="A1116" s="565"/>
      <c r="B1116" s="107"/>
      <c r="C1116" s="107"/>
      <c r="D1116" s="108"/>
      <c r="E1116" s="104"/>
      <c r="F1116" s="104"/>
      <c r="G1116" s="35"/>
      <c r="H1116" s="104"/>
      <c r="I1116" s="140"/>
      <c r="J1116" s="74"/>
      <c r="K1116" s="74"/>
      <c r="L1116" s="74"/>
      <c r="M1116" s="74"/>
      <c r="N1116" s="74"/>
      <c r="O1116" s="74"/>
      <c r="P1116" s="74"/>
      <c r="Q1116" s="74"/>
      <c r="R1116" s="74"/>
      <c r="S1116" s="74"/>
      <c r="T1116" s="74"/>
      <c r="U1116" s="74"/>
      <c r="V1116" s="74"/>
      <c r="W1116" s="74"/>
      <c r="X1116" s="74"/>
      <c r="Y1116" s="74"/>
      <c r="Z1116" s="74"/>
      <c r="AA1116" s="74"/>
      <c r="AB1116" s="74"/>
    </row>
    <row r="1117" spans="1:28" ht="12" customHeight="1">
      <c r="A1117" s="565"/>
      <c r="B1117" s="107"/>
      <c r="C1117" s="107"/>
      <c r="D1117" s="108"/>
      <c r="E1117" s="104"/>
      <c r="F1117" s="104"/>
      <c r="G1117" s="35"/>
      <c r="H1117" s="104"/>
      <c r="I1117" s="140"/>
      <c r="J1117" s="74"/>
      <c r="K1117" s="74"/>
      <c r="L1117" s="74"/>
      <c r="M1117" s="74"/>
      <c r="N1117" s="74"/>
      <c r="O1117" s="74"/>
      <c r="P1117" s="74"/>
      <c r="Q1117" s="74"/>
      <c r="R1117" s="74"/>
      <c r="S1117" s="74"/>
      <c r="T1117" s="74"/>
      <c r="U1117" s="74"/>
      <c r="V1117" s="74"/>
      <c r="W1117" s="74"/>
      <c r="X1117" s="74"/>
      <c r="Y1117" s="74"/>
      <c r="Z1117" s="74"/>
      <c r="AA1117" s="74"/>
      <c r="AB1117" s="74"/>
    </row>
    <row r="1118" spans="1:28" ht="12" customHeight="1">
      <c r="A1118" s="565"/>
      <c r="B1118" s="107"/>
      <c r="C1118" s="107"/>
      <c r="D1118" s="108"/>
      <c r="E1118" s="104"/>
      <c r="F1118" s="104"/>
      <c r="G1118" s="35"/>
      <c r="H1118" s="104"/>
      <c r="I1118" s="140"/>
      <c r="J1118" s="74"/>
      <c r="K1118" s="74"/>
      <c r="L1118" s="74"/>
      <c r="M1118" s="74"/>
      <c r="N1118" s="74"/>
      <c r="O1118" s="74"/>
      <c r="P1118" s="74"/>
      <c r="Q1118" s="74"/>
      <c r="R1118" s="74"/>
      <c r="S1118" s="74"/>
      <c r="T1118" s="74"/>
      <c r="U1118" s="74"/>
      <c r="V1118" s="74"/>
      <c r="W1118" s="74"/>
      <c r="X1118" s="74"/>
      <c r="Y1118" s="74"/>
      <c r="Z1118" s="74"/>
      <c r="AA1118" s="74"/>
      <c r="AB1118" s="74"/>
    </row>
    <row r="1119" spans="1:28" ht="12" customHeight="1">
      <c r="A1119" s="565"/>
      <c r="B1119" s="107"/>
      <c r="C1119" s="107"/>
      <c r="D1119" s="108"/>
      <c r="E1119" s="104"/>
      <c r="F1119" s="104"/>
      <c r="G1119" s="35"/>
      <c r="H1119" s="104"/>
      <c r="I1119" s="140"/>
      <c r="J1119" s="74"/>
      <c r="K1119" s="74"/>
      <c r="L1119" s="74"/>
      <c r="M1119" s="74"/>
      <c r="N1119" s="74"/>
      <c r="O1119" s="74"/>
      <c r="P1119" s="74"/>
      <c r="Q1119" s="74"/>
      <c r="R1119" s="74"/>
      <c r="S1119" s="74"/>
      <c r="T1119" s="74"/>
      <c r="U1119" s="74"/>
      <c r="V1119" s="74"/>
      <c r="W1119" s="74"/>
      <c r="X1119" s="74"/>
      <c r="Y1119" s="74"/>
      <c r="Z1119" s="74"/>
      <c r="AA1119" s="74"/>
      <c r="AB1119" s="74"/>
    </row>
    <row r="1120" spans="1:28" ht="12" customHeight="1">
      <c r="A1120" s="565"/>
      <c r="B1120" s="107"/>
      <c r="C1120" s="107"/>
      <c r="D1120" s="108"/>
      <c r="E1120" s="104"/>
      <c r="F1120" s="104"/>
      <c r="G1120" s="35"/>
      <c r="H1120" s="104"/>
      <c r="I1120" s="140"/>
      <c r="J1120" s="74"/>
      <c r="K1120" s="74"/>
      <c r="L1120" s="74"/>
      <c r="M1120" s="74"/>
      <c r="N1120" s="74"/>
      <c r="O1120" s="74"/>
      <c r="P1120" s="74"/>
      <c r="Q1120" s="74"/>
      <c r="R1120" s="74"/>
      <c r="S1120" s="74"/>
      <c r="T1120" s="74"/>
      <c r="U1120" s="74"/>
      <c r="V1120" s="74"/>
      <c r="W1120" s="74"/>
      <c r="X1120" s="74"/>
      <c r="Y1120" s="74"/>
      <c r="Z1120" s="74"/>
      <c r="AA1120" s="74"/>
      <c r="AB1120" s="74"/>
    </row>
    <row r="1121" spans="1:28" ht="12" customHeight="1">
      <c r="A1121" s="565"/>
      <c r="B1121" s="107"/>
      <c r="C1121" s="107"/>
      <c r="D1121" s="108"/>
      <c r="E1121" s="104"/>
      <c r="F1121" s="104"/>
      <c r="G1121" s="35"/>
      <c r="H1121" s="104"/>
      <c r="I1121" s="140"/>
      <c r="J1121" s="74"/>
      <c r="K1121" s="74"/>
      <c r="L1121" s="74"/>
      <c r="M1121" s="74"/>
      <c r="N1121" s="74"/>
      <c r="O1121" s="74"/>
      <c r="P1121" s="74"/>
      <c r="Q1121" s="74"/>
      <c r="R1121" s="74"/>
      <c r="S1121" s="74"/>
      <c r="T1121" s="74"/>
      <c r="U1121" s="74"/>
      <c r="V1121" s="74"/>
      <c r="W1121" s="74"/>
      <c r="X1121" s="74"/>
      <c r="Y1121" s="74"/>
      <c r="Z1121" s="74"/>
      <c r="AA1121" s="74"/>
      <c r="AB1121" s="74"/>
    </row>
    <row r="1122" spans="1:28" ht="12" customHeight="1">
      <c r="A1122" s="565"/>
      <c r="B1122" s="107"/>
      <c r="C1122" s="107"/>
      <c r="D1122" s="108"/>
      <c r="E1122" s="104"/>
      <c r="F1122" s="104"/>
      <c r="G1122" s="35"/>
      <c r="H1122" s="104"/>
      <c r="I1122" s="140"/>
      <c r="J1122" s="74"/>
      <c r="K1122" s="74"/>
      <c r="L1122" s="74"/>
      <c r="M1122" s="74"/>
      <c r="N1122" s="74"/>
      <c r="O1122" s="74"/>
      <c r="P1122" s="74"/>
      <c r="Q1122" s="74"/>
      <c r="R1122" s="74"/>
      <c r="S1122" s="74"/>
      <c r="T1122" s="74"/>
      <c r="U1122" s="74"/>
      <c r="V1122" s="74"/>
      <c r="W1122" s="74"/>
      <c r="X1122" s="74"/>
      <c r="Y1122" s="74"/>
      <c r="Z1122" s="74"/>
      <c r="AA1122" s="74"/>
      <c r="AB1122" s="74"/>
    </row>
    <row r="1123" spans="1:28" ht="12" customHeight="1">
      <c r="A1123" s="565"/>
      <c r="B1123" s="107"/>
      <c r="C1123" s="107"/>
      <c r="D1123" s="108"/>
      <c r="E1123" s="104"/>
      <c r="F1123" s="104"/>
      <c r="G1123" s="35"/>
      <c r="H1123" s="104"/>
      <c r="I1123" s="140"/>
      <c r="J1123" s="74"/>
      <c r="K1123" s="74"/>
      <c r="L1123" s="74"/>
      <c r="M1123" s="74"/>
      <c r="N1123" s="74"/>
      <c r="O1123" s="74"/>
      <c r="P1123" s="74"/>
      <c r="Q1123" s="74"/>
      <c r="R1123" s="74"/>
      <c r="S1123" s="74"/>
      <c r="T1123" s="74"/>
      <c r="U1123" s="74"/>
      <c r="V1123" s="74"/>
      <c r="W1123" s="74"/>
      <c r="X1123" s="74"/>
      <c r="Y1123" s="74"/>
      <c r="Z1123" s="74"/>
      <c r="AA1123" s="74"/>
      <c r="AB1123" s="74"/>
    </row>
    <row r="1124" spans="1:28" ht="12" customHeight="1">
      <c r="A1124" s="565"/>
      <c r="B1124" s="107"/>
      <c r="C1124" s="107"/>
      <c r="D1124" s="108"/>
      <c r="E1124" s="104"/>
      <c r="F1124" s="104"/>
      <c r="G1124" s="35"/>
      <c r="H1124" s="104"/>
      <c r="I1124" s="140"/>
      <c r="J1124" s="74"/>
      <c r="K1124" s="74"/>
      <c r="L1124" s="74"/>
      <c r="M1124" s="74"/>
      <c r="N1124" s="74"/>
      <c r="O1124" s="74"/>
      <c r="P1124" s="74"/>
      <c r="Q1124" s="74"/>
      <c r="R1124" s="74"/>
      <c r="S1124" s="74"/>
      <c r="T1124" s="74"/>
      <c r="U1124" s="74"/>
      <c r="V1124" s="74"/>
      <c r="W1124" s="74"/>
      <c r="X1124" s="74"/>
      <c r="Y1124" s="74"/>
      <c r="Z1124" s="74"/>
      <c r="AA1124" s="74"/>
      <c r="AB1124" s="74"/>
    </row>
    <row r="1125" spans="1:28" ht="12" customHeight="1">
      <c r="A1125" s="565"/>
      <c r="B1125" s="107"/>
      <c r="C1125" s="107"/>
      <c r="D1125" s="108"/>
      <c r="E1125" s="104"/>
      <c r="F1125" s="104"/>
      <c r="G1125" s="35"/>
      <c r="H1125" s="104"/>
      <c r="I1125" s="140"/>
      <c r="J1125" s="74"/>
      <c r="K1125" s="74"/>
      <c r="L1125" s="74"/>
      <c r="M1125" s="74"/>
      <c r="N1125" s="74"/>
      <c r="O1125" s="74"/>
      <c r="P1125" s="74"/>
      <c r="Q1125" s="74"/>
      <c r="R1125" s="74"/>
      <c r="S1125" s="74"/>
      <c r="T1125" s="74"/>
      <c r="U1125" s="74"/>
      <c r="V1125" s="74"/>
      <c r="W1125" s="74"/>
      <c r="X1125" s="74"/>
      <c r="Y1125" s="74"/>
      <c r="Z1125" s="74"/>
      <c r="AA1125" s="74"/>
      <c r="AB1125" s="74"/>
    </row>
    <row r="1126" spans="1:28" ht="12" customHeight="1">
      <c r="A1126" s="565"/>
      <c r="B1126" s="107"/>
      <c r="C1126" s="107"/>
      <c r="D1126" s="108"/>
      <c r="E1126" s="104"/>
      <c r="F1126" s="104"/>
      <c r="G1126" s="35"/>
      <c r="H1126" s="104"/>
      <c r="I1126" s="140"/>
      <c r="J1126" s="74"/>
      <c r="K1126" s="74"/>
      <c r="L1126" s="74"/>
      <c r="M1126" s="74"/>
      <c r="N1126" s="74"/>
      <c r="O1126" s="74"/>
      <c r="P1126" s="74"/>
      <c r="Q1126" s="74"/>
      <c r="R1126" s="74"/>
      <c r="S1126" s="74"/>
      <c r="T1126" s="74"/>
      <c r="U1126" s="74"/>
      <c r="V1126" s="74"/>
      <c r="W1126" s="74"/>
      <c r="X1126" s="74"/>
      <c r="Y1126" s="74"/>
      <c r="Z1126" s="74"/>
      <c r="AA1126" s="74"/>
      <c r="AB1126" s="74"/>
    </row>
  </sheetData>
  <mergeCells count="3">
    <mergeCell ref="A1:H1"/>
    <mergeCell ref="A2:F2"/>
    <mergeCell ref="A3:F3"/>
  </mergeCells>
  <hyperlinks>
    <hyperlink ref="A72" r:id="rId1" xr:uid="{00000000-0004-0000-1500-000000000000}"/>
    <hyperlink ref="A75" r:id="rId2" xr:uid="{00000000-0004-0000-1500-000001000000}"/>
    <hyperlink ref="A88" r:id="rId3" xr:uid="{00000000-0004-0000-1500-000002000000}"/>
    <hyperlink ref="A93" r:id="rId4" xr:uid="{00000000-0004-0000-1500-000003000000}"/>
    <hyperlink ref="A94" r:id="rId5" xr:uid="{00000000-0004-0000-1500-000004000000}"/>
    <hyperlink ref="A95" r:id="rId6" xr:uid="{00000000-0004-0000-1500-000005000000}"/>
    <hyperlink ref="A96" r:id="rId7" location="38;" xr:uid="{00000000-0004-0000-1500-000006000000}"/>
    <hyperlink ref="A97" r:id="rId8" location="38;" xr:uid="{00000000-0004-0000-1500-000007000000}"/>
    <hyperlink ref="A117" r:id="rId9" xr:uid="{00000000-0004-0000-1500-000008000000}"/>
  </hyperlinks>
  <pageMargins left="0.25" right="0.25" top="0.75" bottom="0.75" header="0" footer="0"/>
  <pageSetup orientation="landscape"/>
  <drawing r:id="rId10"/>
  <legacyDrawing r:id="rId1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9D18E"/>
  </sheetPr>
  <dimension ref="A1:AB1105"/>
  <sheetViews>
    <sheetView workbookViewId="0">
      <pane ySplit="1" topLeftCell="A2" activePane="bottomLeft" state="frozen"/>
      <selection pane="bottomLeft" activeCell="B3" sqref="B3"/>
    </sheetView>
  </sheetViews>
  <sheetFormatPr baseColWidth="10" defaultColWidth="14.42578125" defaultRowHeight="15" customHeight="1"/>
  <cols>
    <col min="1" max="1" width="36.7109375" customWidth="1"/>
    <col min="2" max="2" width="12.85546875" customWidth="1"/>
    <col min="3" max="3" width="27.140625" customWidth="1"/>
    <col min="4" max="4" width="61.7109375" customWidth="1"/>
    <col min="5" max="5" width="38.7109375" customWidth="1"/>
    <col min="6" max="6" width="28.8554687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788"/>
      <c r="B1" s="772"/>
      <c r="C1" s="772"/>
      <c r="D1" s="772"/>
      <c r="E1" s="772"/>
      <c r="F1" s="772"/>
      <c r="G1" s="772"/>
      <c r="H1" s="772"/>
      <c r="I1" s="17"/>
      <c r="J1" s="18"/>
      <c r="K1" s="18"/>
      <c r="L1" s="18"/>
      <c r="M1" s="18"/>
      <c r="N1" s="18"/>
      <c r="O1" s="18"/>
      <c r="P1" s="18"/>
      <c r="Q1" s="18"/>
      <c r="R1" s="18"/>
      <c r="S1" s="18"/>
      <c r="T1" s="18"/>
      <c r="U1" s="18"/>
      <c r="V1" s="18"/>
      <c r="W1" s="18"/>
      <c r="X1" s="18"/>
      <c r="Y1" s="18"/>
      <c r="Z1" s="18"/>
      <c r="AA1" s="18"/>
      <c r="AB1" s="18"/>
    </row>
    <row r="2" spans="1:28" ht="20.25" customHeight="1">
      <c r="A2" s="767" t="s">
        <v>28</v>
      </c>
      <c r="B2" s="765"/>
      <c r="C2" s="765"/>
      <c r="D2" s="765"/>
      <c r="E2" s="765"/>
      <c r="F2" s="766"/>
      <c r="G2" s="15"/>
      <c r="H2" s="16"/>
      <c r="I2" s="17"/>
      <c r="J2" s="18"/>
      <c r="K2" s="18"/>
      <c r="L2" s="18"/>
      <c r="M2" s="18"/>
      <c r="N2" s="18"/>
      <c r="O2" s="18"/>
      <c r="P2" s="18"/>
      <c r="Q2" s="18"/>
      <c r="R2" s="18"/>
      <c r="S2" s="18"/>
      <c r="T2" s="18"/>
      <c r="U2" s="18"/>
      <c r="V2" s="18"/>
      <c r="W2" s="18"/>
      <c r="X2" s="18"/>
      <c r="Y2" s="18"/>
      <c r="Z2" s="18"/>
      <c r="AA2" s="18"/>
      <c r="AB2" s="18"/>
    </row>
    <row r="3" spans="1:28" ht="27.75" customHeight="1">
      <c r="A3" s="566" t="s">
        <v>3689</v>
      </c>
      <c r="B3" s="315"/>
      <c r="C3" s="315"/>
      <c r="D3" s="315"/>
      <c r="E3" s="315"/>
      <c r="F3" s="317" t="s">
        <v>30</v>
      </c>
      <c r="G3" s="19"/>
      <c r="H3" s="21"/>
      <c r="I3" s="17"/>
      <c r="J3" s="18"/>
      <c r="K3" s="18"/>
      <c r="L3" s="18"/>
      <c r="M3" s="18"/>
      <c r="N3" s="18"/>
      <c r="O3" s="18"/>
      <c r="P3" s="18"/>
      <c r="Q3" s="18"/>
      <c r="R3" s="18"/>
      <c r="S3" s="18"/>
      <c r="T3" s="18"/>
      <c r="U3" s="18"/>
      <c r="V3" s="18"/>
      <c r="W3" s="18"/>
      <c r="X3" s="18"/>
      <c r="Y3" s="18"/>
      <c r="Z3" s="18"/>
      <c r="AA3" s="18"/>
      <c r="AB3" s="18"/>
    </row>
    <row r="4" spans="1:28" ht="33" customHeight="1">
      <c r="A4" s="789" t="s">
        <v>463</v>
      </c>
      <c r="B4" s="777"/>
      <c r="C4" s="777"/>
      <c r="D4" s="777"/>
      <c r="E4" s="777"/>
      <c r="F4" s="778"/>
      <c r="G4" s="22"/>
      <c r="H4" s="22"/>
      <c r="I4" s="17"/>
      <c r="J4" s="18"/>
      <c r="K4" s="18"/>
      <c r="L4" s="18"/>
      <c r="M4" s="18"/>
      <c r="N4" s="18"/>
      <c r="O4" s="18"/>
      <c r="P4" s="18"/>
      <c r="Q4" s="18"/>
      <c r="R4" s="18"/>
      <c r="S4" s="18"/>
      <c r="T4" s="18"/>
      <c r="U4" s="18"/>
      <c r="V4" s="18"/>
      <c r="W4" s="18"/>
      <c r="X4" s="18"/>
      <c r="Y4" s="18"/>
      <c r="Z4" s="18"/>
      <c r="AA4" s="18"/>
      <c r="AB4" s="18"/>
    </row>
    <row r="5" spans="1:28" ht="34.5" customHeight="1">
      <c r="A5" s="318" t="s">
        <v>235</v>
      </c>
      <c r="B5" s="319" t="s">
        <v>32</v>
      </c>
      <c r="C5" s="27" t="s">
        <v>33</v>
      </c>
      <c r="D5" s="27" t="s">
        <v>34</v>
      </c>
      <c r="E5" s="27" t="s">
        <v>35</v>
      </c>
      <c r="F5" s="27" t="s">
        <v>36</v>
      </c>
      <c r="G5" s="27" t="s">
        <v>37</v>
      </c>
      <c r="H5" s="27" t="s">
        <v>38</v>
      </c>
      <c r="I5" s="28"/>
      <c r="J5" s="29"/>
      <c r="K5" s="29"/>
      <c r="L5" s="29"/>
      <c r="M5" s="29"/>
      <c r="N5" s="29"/>
      <c r="O5" s="29"/>
      <c r="P5" s="29"/>
      <c r="Q5" s="29"/>
      <c r="R5" s="29"/>
      <c r="S5" s="29"/>
      <c r="T5" s="29"/>
      <c r="U5" s="29"/>
      <c r="V5" s="29"/>
      <c r="W5" s="29"/>
      <c r="X5" s="29"/>
      <c r="Y5" s="29"/>
      <c r="Z5" s="29"/>
      <c r="AA5" s="29"/>
      <c r="AB5" s="29"/>
    </row>
    <row r="6" spans="1:28" ht="72.75" customHeight="1">
      <c r="A6" s="120" t="str">
        <f>HYPERLINK("https://www.bogotajuridica.gov.co/sisjur/normas/Norma1.jsp?i=327","LEY 152")</f>
        <v>LEY 152</v>
      </c>
      <c r="B6" s="307">
        <v>34530</v>
      </c>
      <c r="C6" s="80" t="s">
        <v>39</v>
      </c>
      <c r="D6" s="308" t="s">
        <v>755</v>
      </c>
      <c r="E6" s="79" t="s">
        <v>3690</v>
      </c>
      <c r="F6" s="79" t="s">
        <v>42</v>
      </c>
      <c r="G6" s="81" t="s">
        <v>43</v>
      </c>
      <c r="H6" s="81" t="s">
        <v>976</v>
      </c>
      <c r="I6" s="35"/>
      <c r="J6" s="36"/>
      <c r="K6" s="36"/>
      <c r="L6" s="36"/>
      <c r="M6" s="36"/>
      <c r="N6" s="36"/>
      <c r="O6" s="36"/>
      <c r="P6" s="36"/>
      <c r="Q6" s="36"/>
      <c r="R6" s="36"/>
      <c r="S6" s="36"/>
      <c r="T6" s="36"/>
      <c r="U6" s="36"/>
      <c r="V6" s="36"/>
      <c r="W6" s="36"/>
      <c r="X6" s="36"/>
      <c r="Y6" s="36"/>
      <c r="Z6" s="36"/>
      <c r="AA6" s="36"/>
      <c r="AB6" s="36"/>
    </row>
    <row r="7" spans="1:28" ht="45.75" customHeight="1">
      <c r="A7" s="120" t="str">
        <f>HYPERLINK("https://www.alcaldiabogota.gov.co/sisjur/normas/Norma1.jsp?i=17004","LEY 962")</f>
        <v>LEY 962</v>
      </c>
      <c r="B7" s="307">
        <v>38541</v>
      </c>
      <c r="C7" s="80" t="s">
        <v>39</v>
      </c>
      <c r="D7" s="308" t="s">
        <v>495</v>
      </c>
      <c r="E7" s="79" t="s">
        <v>3691</v>
      </c>
      <c r="F7" s="79" t="s">
        <v>42</v>
      </c>
      <c r="G7" s="81" t="s">
        <v>43</v>
      </c>
      <c r="H7" s="81" t="s">
        <v>976</v>
      </c>
      <c r="I7" s="35"/>
      <c r="J7" s="36"/>
      <c r="K7" s="36"/>
      <c r="L7" s="36"/>
      <c r="M7" s="36"/>
      <c r="N7" s="36"/>
      <c r="O7" s="36"/>
      <c r="P7" s="36"/>
      <c r="Q7" s="36"/>
      <c r="R7" s="36"/>
      <c r="S7" s="36"/>
      <c r="T7" s="36"/>
      <c r="U7" s="36"/>
      <c r="V7" s="36"/>
      <c r="W7" s="36"/>
      <c r="X7" s="36"/>
      <c r="Y7" s="36"/>
      <c r="Z7" s="36"/>
      <c r="AA7" s="36"/>
      <c r="AB7" s="36"/>
    </row>
    <row r="8" spans="1:28" ht="36" customHeight="1">
      <c r="A8" s="120" t="str">
        <f>HYPERLINK("https://www.alcaldiabogota.gov.co/sisjur/normas/Norma1.jsp?i=43043","LEY 1448")</f>
        <v>LEY 1448</v>
      </c>
      <c r="B8" s="307">
        <v>40704</v>
      </c>
      <c r="C8" s="80" t="s">
        <v>39</v>
      </c>
      <c r="D8" s="308" t="s">
        <v>982</v>
      </c>
      <c r="E8" s="79" t="s">
        <v>41</v>
      </c>
      <c r="F8" s="79" t="s">
        <v>42</v>
      </c>
      <c r="G8" s="81" t="s">
        <v>43</v>
      </c>
      <c r="H8" s="81" t="s">
        <v>976</v>
      </c>
      <c r="I8" s="35"/>
      <c r="J8" s="36"/>
      <c r="K8" s="36"/>
      <c r="L8" s="36"/>
      <c r="M8" s="36"/>
      <c r="N8" s="36"/>
      <c r="O8" s="36"/>
      <c r="P8" s="36"/>
      <c r="Q8" s="36"/>
      <c r="R8" s="36"/>
      <c r="S8" s="36"/>
      <c r="T8" s="36"/>
      <c r="U8" s="36"/>
      <c r="V8" s="36"/>
      <c r="W8" s="36"/>
      <c r="X8" s="36"/>
      <c r="Y8" s="36"/>
      <c r="Z8" s="36"/>
      <c r="AA8" s="36"/>
      <c r="AB8" s="36"/>
    </row>
    <row r="9" spans="1:28" ht="67.5" customHeight="1">
      <c r="A9" s="543" t="s">
        <v>3692</v>
      </c>
      <c r="B9" s="307">
        <v>44204</v>
      </c>
      <c r="C9" s="80" t="s">
        <v>39</v>
      </c>
      <c r="D9" s="308" t="s">
        <v>3693</v>
      </c>
      <c r="E9" s="79" t="s">
        <v>41</v>
      </c>
      <c r="F9" s="79" t="s">
        <v>42</v>
      </c>
      <c r="G9" s="81"/>
      <c r="H9" s="81"/>
      <c r="I9" s="35"/>
      <c r="J9" s="36"/>
      <c r="K9" s="36"/>
      <c r="L9" s="36"/>
      <c r="M9" s="36"/>
      <c r="N9" s="36"/>
      <c r="O9" s="36"/>
      <c r="P9" s="36"/>
      <c r="Q9" s="36"/>
      <c r="R9" s="36"/>
      <c r="S9" s="36"/>
      <c r="T9" s="36"/>
      <c r="U9" s="36"/>
      <c r="V9" s="36"/>
      <c r="W9" s="36"/>
      <c r="X9" s="36"/>
      <c r="Y9" s="36"/>
      <c r="Z9" s="36"/>
      <c r="AA9" s="36"/>
      <c r="AB9" s="36"/>
    </row>
    <row r="10" spans="1:28" ht="67.5" customHeight="1">
      <c r="A10" s="120" t="str">
        <f>HYPERLINK("https://www.alcaldiabogota.gov.co/sisjur/normas/Norma1.jsp?i=43292","LEY 1474")</f>
        <v>LEY 1474</v>
      </c>
      <c r="B10" s="307">
        <v>40736</v>
      </c>
      <c r="C10" s="80" t="s">
        <v>39</v>
      </c>
      <c r="D10" s="308" t="s">
        <v>54</v>
      </c>
      <c r="E10" s="80" t="s">
        <v>3694</v>
      </c>
      <c r="F10" s="79" t="s">
        <v>3695</v>
      </c>
      <c r="G10" s="81" t="s">
        <v>43</v>
      </c>
      <c r="H10" s="81" t="s">
        <v>976</v>
      </c>
      <c r="I10" s="35"/>
      <c r="J10" s="36"/>
      <c r="K10" s="36"/>
      <c r="L10" s="36"/>
      <c r="M10" s="36"/>
      <c r="N10" s="36"/>
      <c r="O10" s="36"/>
      <c r="P10" s="36"/>
      <c r="Q10" s="36"/>
      <c r="R10" s="36"/>
      <c r="S10" s="36"/>
      <c r="T10" s="36"/>
      <c r="U10" s="36"/>
      <c r="V10" s="36"/>
      <c r="W10" s="36"/>
      <c r="X10" s="36"/>
      <c r="Y10" s="36"/>
      <c r="Z10" s="36"/>
      <c r="AA10" s="36"/>
      <c r="AB10" s="36"/>
    </row>
    <row r="11" spans="1:28" ht="36" customHeight="1">
      <c r="A11" s="120" t="str">
        <f>HYPERLINK("https://www.alcaldiabogota.gov.co/sisjur/normas/Norma1.jsp?i=44949","LEY 1483")</f>
        <v>LEY 1483</v>
      </c>
      <c r="B11" s="307">
        <v>40886</v>
      </c>
      <c r="C11" s="80" t="s">
        <v>39</v>
      </c>
      <c r="D11" s="308" t="s">
        <v>986</v>
      </c>
      <c r="E11" s="79" t="s">
        <v>41</v>
      </c>
      <c r="F11" s="79" t="s">
        <v>42</v>
      </c>
      <c r="G11" s="81" t="s">
        <v>43</v>
      </c>
      <c r="H11" s="81" t="s">
        <v>976</v>
      </c>
      <c r="I11" s="35"/>
      <c r="J11" s="36"/>
      <c r="K11" s="36"/>
      <c r="L11" s="36"/>
      <c r="M11" s="36"/>
      <c r="N11" s="36"/>
      <c r="O11" s="36"/>
      <c r="P11" s="36"/>
      <c r="Q11" s="36"/>
      <c r="R11" s="36"/>
      <c r="S11" s="36"/>
      <c r="T11" s="36"/>
      <c r="U11" s="36"/>
      <c r="V11" s="36"/>
      <c r="W11" s="36"/>
      <c r="X11" s="36"/>
      <c r="Y11" s="36"/>
      <c r="Z11" s="36"/>
      <c r="AA11" s="36"/>
      <c r="AB11" s="36"/>
    </row>
    <row r="12" spans="1:28" ht="68.25" customHeight="1">
      <c r="A12" s="120" t="str">
        <f>HYPERLINK("https://www.alcaldiabogota.gov.co/sisjur/normas/Norma1.jsp?i=56882","LEY 1712")</f>
        <v>LEY 1712</v>
      </c>
      <c r="B12" s="307">
        <v>41704</v>
      </c>
      <c r="C12" s="80" t="s">
        <v>39</v>
      </c>
      <c r="D12" s="308" t="s">
        <v>987</v>
      </c>
      <c r="E12" s="80" t="s">
        <v>3696</v>
      </c>
      <c r="F12" s="79" t="s">
        <v>3697</v>
      </c>
      <c r="G12" s="81" t="s">
        <v>43</v>
      </c>
      <c r="H12" s="81" t="s">
        <v>976</v>
      </c>
      <c r="I12" s="35"/>
      <c r="J12" s="36"/>
      <c r="K12" s="36"/>
      <c r="L12" s="36"/>
      <c r="M12" s="36"/>
      <c r="N12" s="36"/>
      <c r="O12" s="36"/>
      <c r="P12" s="36"/>
      <c r="Q12" s="36"/>
      <c r="R12" s="36"/>
      <c r="S12" s="36"/>
      <c r="T12" s="36"/>
      <c r="U12" s="36"/>
      <c r="V12" s="36"/>
      <c r="W12" s="36"/>
      <c r="X12" s="36"/>
      <c r="Y12" s="36"/>
      <c r="Z12" s="36"/>
      <c r="AA12" s="36"/>
      <c r="AB12" s="36"/>
    </row>
    <row r="13" spans="1:28" ht="50.25" customHeight="1">
      <c r="A13" s="120" t="str">
        <f>HYPERLINK("https://www.alcaldiabogota.gov.co/sisjur/normas/Norma1.jsp?i=62230","LEY 1757")</f>
        <v>LEY 1757</v>
      </c>
      <c r="B13" s="307">
        <v>42191</v>
      </c>
      <c r="C13" s="80" t="s">
        <v>39</v>
      </c>
      <c r="D13" s="308" t="s">
        <v>994</v>
      </c>
      <c r="E13" s="79" t="s">
        <v>41</v>
      </c>
      <c r="F13" s="79" t="s">
        <v>42</v>
      </c>
      <c r="G13" s="81" t="s">
        <v>43</v>
      </c>
      <c r="H13" s="81" t="s">
        <v>976</v>
      </c>
      <c r="I13" s="35"/>
      <c r="J13" s="36"/>
      <c r="K13" s="36"/>
      <c r="L13" s="36"/>
      <c r="M13" s="36"/>
      <c r="N13" s="36"/>
      <c r="O13" s="36"/>
      <c r="P13" s="36"/>
      <c r="Q13" s="36"/>
      <c r="R13" s="36"/>
      <c r="S13" s="36"/>
      <c r="T13" s="36"/>
      <c r="U13" s="36"/>
      <c r="V13" s="36"/>
      <c r="W13" s="36"/>
      <c r="X13" s="36"/>
      <c r="Y13" s="36"/>
      <c r="Z13" s="36"/>
      <c r="AA13" s="36"/>
      <c r="AB13" s="36"/>
    </row>
    <row r="14" spans="1:28" ht="39.75" customHeight="1">
      <c r="A14" s="543" t="s">
        <v>3485</v>
      </c>
      <c r="B14" s="307">
        <v>44068</v>
      </c>
      <c r="C14" s="80" t="s">
        <v>39</v>
      </c>
      <c r="D14" s="308" t="s">
        <v>3698</v>
      </c>
      <c r="E14" s="79" t="s">
        <v>41</v>
      </c>
      <c r="F14" s="79" t="s">
        <v>42</v>
      </c>
      <c r="G14" s="81"/>
      <c r="H14" s="81"/>
      <c r="I14" s="35"/>
      <c r="J14" s="36"/>
      <c r="K14" s="36"/>
      <c r="L14" s="36"/>
      <c r="M14" s="36"/>
      <c r="N14" s="36"/>
      <c r="O14" s="36"/>
      <c r="P14" s="36"/>
      <c r="Q14" s="36"/>
      <c r="R14" s="36"/>
      <c r="S14" s="36"/>
      <c r="T14" s="36"/>
      <c r="U14" s="36"/>
      <c r="V14" s="36"/>
      <c r="W14" s="36"/>
      <c r="X14" s="36"/>
      <c r="Y14" s="36"/>
      <c r="Z14" s="36"/>
      <c r="AA14" s="36"/>
      <c r="AB14" s="36"/>
    </row>
    <row r="15" spans="1:28" ht="39.75" customHeight="1">
      <c r="A15" s="120" t="str">
        <f>HYPERLINK("https://www.alcaldiabogota.gov.co/sisjur/normas/Norma1.jsp?i=1507","DECRETO LEY 1421")</f>
        <v>DECRETO LEY 1421</v>
      </c>
      <c r="B15" s="307">
        <v>34171</v>
      </c>
      <c r="C15" s="80" t="s">
        <v>57</v>
      </c>
      <c r="D15" s="308" t="s">
        <v>513</v>
      </c>
      <c r="E15" s="80" t="s">
        <v>3699</v>
      </c>
      <c r="F15" s="79" t="s">
        <v>42</v>
      </c>
      <c r="G15" s="81" t="s">
        <v>43</v>
      </c>
      <c r="H15" s="81" t="s">
        <v>976</v>
      </c>
      <c r="I15" s="35"/>
      <c r="J15" s="36"/>
      <c r="K15" s="36"/>
      <c r="L15" s="36"/>
      <c r="M15" s="36"/>
      <c r="N15" s="36"/>
      <c r="O15" s="36"/>
      <c r="P15" s="36"/>
      <c r="Q15" s="36"/>
      <c r="R15" s="36"/>
      <c r="S15" s="36"/>
      <c r="T15" s="36"/>
      <c r="U15" s="36"/>
      <c r="V15" s="36"/>
      <c r="W15" s="36"/>
      <c r="X15" s="36"/>
      <c r="Y15" s="36"/>
      <c r="Z15" s="36"/>
      <c r="AA15" s="36"/>
      <c r="AB15" s="36"/>
    </row>
    <row r="16" spans="1:28" ht="39.75" customHeight="1">
      <c r="A16" s="543" t="s">
        <v>3700</v>
      </c>
      <c r="B16" s="307">
        <v>40918</v>
      </c>
      <c r="C16" s="80" t="s">
        <v>57</v>
      </c>
      <c r="D16" s="308" t="s">
        <v>546</v>
      </c>
      <c r="E16" s="79" t="s">
        <v>41</v>
      </c>
      <c r="F16" s="79" t="s">
        <v>42</v>
      </c>
      <c r="G16" s="81" t="s">
        <v>43</v>
      </c>
      <c r="H16" s="81" t="s">
        <v>976</v>
      </c>
      <c r="I16" s="35"/>
      <c r="J16" s="36"/>
      <c r="K16" s="36"/>
      <c r="L16" s="36"/>
      <c r="M16" s="36"/>
      <c r="N16" s="36"/>
      <c r="O16" s="36"/>
      <c r="P16" s="36"/>
      <c r="Q16" s="36"/>
      <c r="R16" s="36"/>
      <c r="S16" s="36"/>
      <c r="T16" s="36"/>
      <c r="U16" s="36"/>
      <c r="V16" s="36"/>
      <c r="W16" s="36"/>
      <c r="X16" s="36"/>
      <c r="Y16" s="36"/>
      <c r="Z16" s="36"/>
      <c r="AA16" s="36"/>
      <c r="AB16" s="36"/>
    </row>
    <row r="17" spans="1:28" ht="56.25" customHeight="1">
      <c r="A17" s="120" t="str">
        <f>HYPERLINK("https://www.bogotajuridica.gov.co/sisjur/normas/Norma1.jsp?i=1693","DECRETO DISTRITAL 714")</f>
        <v>DECRETO DISTRITAL 714</v>
      </c>
      <c r="B17" s="311">
        <v>35384</v>
      </c>
      <c r="C17" s="80" t="s">
        <v>61</v>
      </c>
      <c r="D17" s="308" t="s">
        <v>523</v>
      </c>
      <c r="E17" s="80" t="s">
        <v>3701</v>
      </c>
      <c r="F17" s="79" t="s">
        <v>42</v>
      </c>
      <c r="G17" s="81" t="s">
        <v>43</v>
      </c>
      <c r="H17" s="81" t="s">
        <v>976</v>
      </c>
      <c r="I17" s="35"/>
      <c r="J17" s="36"/>
      <c r="K17" s="36"/>
      <c r="L17" s="36"/>
      <c r="M17" s="36"/>
      <c r="N17" s="36"/>
      <c r="O17" s="36"/>
      <c r="P17" s="36"/>
      <c r="Q17" s="36"/>
      <c r="R17" s="36"/>
      <c r="S17" s="36"/>
      <c r="T17" s="36"/>
      <c r="U17" s="36"/>
      <c r="V17" s="36"/>
      <c r="W17" s="36"/>
      <c r="X17" s="36"/>
      <c r="Y17" s="36"/>
      <c r="Z17" s="36"/>
      <c r="AA17" s="36"/>
      <c r="AB17" s="36"/>
    </row>
    <row r="18" spans="1:28" ht="24" customHeight="1">
      <c r="A18" s="120" t="str">
        <f>HYPERLINK("https://www.bogotajuridica.gov.co/sisjur/normas/Norma1.jsp?i=1744","DECRETO 449")</f>
        <v>DECRETO 449</v>
      </c>
      <c r="B18" s="307">
        <v>36350</v>
      </c>
      <c r="C18" s="80" t="s">
        <v>61</v>
      </c>
      <c r="D18" s="308" t="s">
        <v>1000</v>
      </c>
      <c r="E18" s="79" t="s">
        <v>41</v>
      </c>
      <c r="F18" s="79" t="s">
        <v>42</v>
      </c>
      <c r="G18" s="81" t="s">
        <v>43</v>
      </c>
      <c r="H18" s="81" t="s">
        <v>976</v>
      </c>
      <c r="I18" s="35"/>
      <c r="J18" s="36"/>
      <c r="K18" s="36"/>
      <c r="L18" s="36"/>
      <c r="M18" s="36"/>
      <c r="N18" s="36"/>
      <c r="O18" s="36"/>
      <c r="P18" s="36"/>
      <c r="Q18" s="36"/>
      <c r="R18" s="36"/>
      <c r="S18" s="36"/>
      <c r="T18" s="36"/>
      <c r="U18" s="36"/>
      <c r="V18" s="36"/>
      <c r="W18" s="36"/>
      <c r="X18" s="36"/>
      <c r="Y18" s="36"/>
      <c r="Z18" s="36"/>
      <c r="AA18" s="36"/>
      <c r="AB18" s="36"/>
    </row>
    <row r="19" spans="1:28" ht="24" customHeight="1">
      <c r="A19" s="120" t="str">
        <f>HYPERLINK("https://www.alcaldiabogota.gov.co/sisjur/normas/Norma1.jsp?i=9706","DECRETO 350")</f>
        <v>DECRETO 350</v>
      </c>
      <c r="B19" s="307">
        <v>37902</v>
      </c>
      <c r="C19" s="80" t="s">
        <v>61</v>
      </c>
      <c r="D19" s="308" t="s">
        <v>1002</v>
      </c>
      <c r="E19" s="79" t="s">
        <v>41</v>
      </c>
      <c r="F19" s="79" t="s">
        <v>42</v>
      </c>
      <c r="G19" s="81" t="s">
        <v>43</v>
      </c>
      <c r="H19" s="81" t="s">
        <v>976</v>
      </c>
      <c r="I19" s="35"/>
      <c r="J19" s="36"/>
      <c r="K19" s="36"/>
      <c r="L19" s="36"/>
      <c r="M19" s="36"/>
      <c r="N19" s="36"/>
      <c r="O19" s="36"/>
      <c r="P19" s="36"/>
      <c r="Q19" s="36"/>
      <c r="R19" s="36"/>
      <c r="S19" s="36"/>
      <c r="T19" s="36"/>
      <c r="U19" s="36"/>
      <c r="V19" s="36"/>
      <c r="W19" s="36"/>
      <c r="X19" s="36"/>
      <c r="Y19" s="36"/>
      <c r="Z19" s="36"/>
      <c r="AA19" s="36"/>
      <c r="AB19" s="36"/>
    </row>
    <row r="20" spans="1:28" ht="24" customHeight="1">
      <c r="A20" s="120" t="str">
        <f>HYPERLINK("https://www.alcaldiabogota.gov.co/sisjur/normas/Norma1.jsp?i=18630","DECRETO 4669")</f>
        <v>DECRETO 4669</v>
      </c>
      <c r="B20" s="311">
        <v>38707</v>
      </c>
      <c r="C20" s="80" t="s">
        <v>57</v>
      </c>
      <c r="D20" s="308" t="s">
        <v>1004</v>
      </c>
      <c r="E20" s="80" t="s">
        <v>3702</v>
      </c>
      <c r="F20" s="79" t="s">
        <v>42</v>
      </c>
      <c r="G20" s="81" t="s">
        <v>43</v>
      </c>
      <c r="H20" s="81" t="s">
        <v>976</v>
      </c>
      <c r="I20" s="35"/>
      <c r="J20" s="36"/>
      <c r="K20" s="36"/>
      <c r="L20" s="36"/>
      <c r="M20" s="36"/>
      <c r="N20" s="36"/>
      <c r="O20" s="36"/>
      <c r="P20" s="36"/>
      <c r="Q20" s="36"/>
      <c r="R20" s="36"/>
      <c r="S20" s="36"/>
      <c r="T20" s="36"/>
      <c r="U20" s="36"/>
      <c r="V20" s="36"/>
      <c r="W20" s="36"/>
      <c r="X20" s="36"/>
      <c r="Y20" s="36"/>
      <c r="Z20" s="36"/>
      <c r="AA20" s="36"/>
      <c r="AB20" s="36"/>
    </row>
    <row r="21" spans="1:28" ht="36" customHeight="1">
      <c r="A21" s="120" t="str">
        <f>HYPERLINK("https://www.alcaldiabogota.gov.co/sisjur/normas/Norma1.jsp?i=21055","DECRETO 308")</f>
        <v>DECRETO 308</v>
      </c>
      <c r="B21" s="307">
        <v>38944</v>
      </c>
      <c r="C21" s="80" t="s">
        <v>61</v>
      </c>
      <c r="D21" s="308" t="s">
        <v>3703</v>
      </c>
      <c r="E21" s="79" t="s">
        <v>41</v>
      </c>
      <c r="F21" s="79" t="s">
        <v>42</v>
      </c>
      <c r="G21" s="81" t="s">
        <v>43</v>
      </c>
      <c r="H21" s="81" t="s">
        <v>976</v>
      </c>
      <c r="I21" s="35"/>
      <c r="J21" s="36"/>
      <c r="K21" s="36"/>
      <c r="L21" s="36"/>
      <c r="M21" s="36"/>
      <c r="N21" s="36"/>
      <c r="O21" s="36"/>
      <c r="P21" s="36"/>
      <c r="Q21" s="36"/>
      <c r="R21" s="36"/>
      <c r="S21" s="36"/>
      <c r="T21" s="36"/>
      <c r="U21" s="36"/>
      <c r="V21" s="36"/>
      <c r="W21" s="36"/>
      <c r="X21" s="36"/>
      <c r="Y21" s="36"/>
      <c r="Z21" s="36"/>
      <c r="AA21" s="36"/>
      <c r="AB21" s="36"/>
    </row>
    <row r="22" spans="1:28" ht="24" customHeight="1">
      <c r="A22" s="120" t="str">
        <f>HYPERLINK("https://www.alcaldiabogota.gov.co/sisjur/normas/Norma1.jsp?i=27092","DECRETO 470")</f>
        <v>DECRETO 470</v>
      </c>
      <c r="B22" s="311">
        <v>39367</v>
      </c>
      <c r="C22" s="80" t="s">
        <v>61</v>
      </c>
      <c r="D22" s="308" t="s">
        <v>1009</v>
      </c>
      <c r="E22" s="79" t="s">
        <v>41</v>
      </c>
      <c r="F22" s="79" t="s">
        <v>42</v>
      </c>
      <c r="G22" s="81" t="s">
        <v>43</v>
      </c>
      <c r="H22" s="81" t="s">
        <v>976</v>
      </c>
      <c r="I22" s="35"/>
      <c r="J22" s="36"/>
      <c r="K22" s="36"/>
      <c r="L22" s="36"/>
      <c r="M22" s="36"/>
      <c r="N22" s="36"/>
      <c r="O22" s="36"/>
      <c r="P22" s="36"/>
      <c r="Q22" s="36"/>
      <c r="R22" s="36"/>
      <c r="S22" s="36"/>
      <c r="T22" s="36"/>
      <c r="U22" s="36"/>
      <c r="V22" s="36"/>
      <c r="W22" s="36"/>
      <c r="X22" s="36"/>
      <c r="Y22" s="36"/>
      <c r="Z22" s="36"/>
      <c r="AA22" s="36"/>
      <c r="AB22" s="36"/>
    </row>
    <row r="23" spans="1:28" ht="36" customHeight="1">
      <c r="A23" s="120" t="str">
        <f>HYPERLINK("https://www.alcaldiabogota.gov.co/sisjur/normas/Norma1.jsp?i=27139","DECRETO 484")</f>
        <v>DECRETO 484</v>
      </c>
      <c r="B23" s="311">
        <v>39377</v>
      </c>
      <c r="C23" s="80" t="s">
        <v>61</v>
      </c>
      <c r="D23" s="308" t="s">
        <v>1011</v>
      </c>
      <c r="E23" s="79" t="s">
        <v>41</v>
      </c>
      <c r="F23" s="79" t="s">
        <v>42</v>
      </c>
      <c r="G23" s="81" t="s">
        <v>43</v>
      </c>
      <c r="H23" s="81" t="s">
        <v>976</v>
      </c>
      <c r="I23" s="35"/>
      <c r="J23" s="36"/>
      <c r="K23" s="36"/>
      <c r="L23" s="36"/>
      <c r="M23" s="36"/>
      <c r="N23" s="36"/>
      <c r="O23" s="36"/>
      <c r="P23" s="36"/>
      <c r="Q23" s="36"/>
      <c r="R23" s="36"/>
      <c r="S23" s="36"/>
      <c r="T23" s="36"/>
      <c r="U23" s="36"/>
      <c r="V23" s="36"/>
      <c r="W23" s="36"/>
      <c r="X23" s="36"/>
      <c r="Y23" s="36"/>
      <c r="Z23" s="36"/>
      <c r="AA23" s="36"/>
      <c r="AB23" s="36"/>
    </row>
    <row r="24" spans="1:28" ht="48" customHeight="1">
      <c r="A24" s="120" t="str">
        <f>HYPERLINK("https://www.alcaldiabogota.gov.co/sisjur/normas/Norma1.jsp?i=30505","DECRETO 151")</f>
        <v>DECRETO 151</v>
      </c>
      <c r="B24" s="307">
        <v>39589</v>
      </c>
      <c r="C24" s="80" t="s">
        <v>61</v>
      </c>
      <c r="D24" s="308" t="s">
        <v>1013</v>
      </c>
      <c r="E24" s="79" t="s">
        <v>41</v>
      </c>
      <c r="F24" s="79" t="s">
        <v>42</v>
      </c>
      <c r="G24" s="81" t="s">
        <v>43</v>
      </c>
      <c r="H24" s="81" t="s">
        <v>976</v>
      </c>
      <c r="I24" s="35"/>
      <c r="J24" s="36"/>
      <c r="K24" s="36"/>
      <c r="L24" s="36"/>
      <c r="M24" s="36"/>
      <c r="N24" s="36"/>
      <c r="O24" s="36"/>
      <c r="P24" s="36"/>
      <c r="Q24" s="36"/>
      <c r="R24" s="36"/>
      <c r="S24" s="36"/>
      <c r="T24" s="36"/>
      <c r="U24" s="36"/>
      <c r="V24" s="36"/>
      <c r="W24" s="36"/>
      <c r="X24" s="36"/>
      <c r="Y24" s="36"/>
      <c r="Z24" s="36"/>
      <c r="AA24" s="36"/>
      <c r="AB24" s="36"/>
    </row>
    <row r="25" spans="1:28" ht="36" customHeight="1">
      <c r="A25" s="120" t="str">
        <f>HYPERLINK("https://www.alcaldiabogota.gov.co/sisjur/normas/Norma1.jsp?i=33987&amp;dt=S","DECRETO 403")</f>
        <v>DECRETO 403</v>
      </c>
      <c r="B25" s="311">
        <v>39773</v>
      </c>
      <c r="C25" s="80" t="s">
        <v>61</v>
      </c>
      <c r="D25" s="308" t="s">
        <v>1014</v>
      </c>
      <c r="E25" s="79" t="s">
        <v>41</v>
      </c>
      <c r="F25" s="79" t="s">
        <v>42</v>
      </c>
      <c r="G25" s="81" t="s">
        <v>43</v>
      </c>
      <c r="H25" s="81" t="s">
        <v>976</v>
      </c>
      <c r="I25" s="35"/>
      <c r="J25" s="36"/>
      <c r="K25" s="36"/>
      <c r="L25" s="36"/>
      <c r="M25" s="36"/>
      <c r="N25" s="36"/>
      <c r="O25" s="36"/>
      <c r="P25" s="36"/>
      <c r="Q25" s="36"/>
      <c r="R25" s="36"/>
      <c r="S25" s="36"/>
      <c r="T25" s="36"/>
      <c r="U25" s="36"/>
      <c r="V25" s="36"/>
      <c r="W25" s="36"/>
      <c r="X25" s="36"/>
      <c r="Y25" s="36"/>
      <c r="Z25" s="36"/>
      <c r="AA25" s="36"/>
      <c r="AB25" s="36"/>
    </row>
    <row r="26" spans="1:28" ht="24" customHeight="1">
      <c r="A26" s="120" t="str">
        <f>HYPERLINK("https://www.alcaldiabogota.gov.co/sisjur/normas/Norma1.jsp?i=39454&amp;dt=S","DECRETO 166")</f>
        <v>DECRETO 166</v>
      </c>
      <c r="B26" s="307">
        <v>40302</v>
      </c>
      <c r="C26" s="80" t="s">
        <v>61</v>
      </c>
      <c r="D26" s="308" t="s">
        <v>1016</v>
      </c>
      <c r="E26" s="79" t="s">
        <v>41</v>
      </c>
      <c r="F26" s="79" t="s">
        <v>42</v>
      </c>
      <c r="G26" s="81" t="s">
        <v>43</v>
      </c>
      <c r="H26" s="81" t="s">
        <v>976</v>
      </c>
      <c r="I26" s="35"/>
      <c r="J26" s="36"/>
      <c r="K26" s="36"/>
      <c r="L26" s="36"/>
      <c r="M26" s="36"/>
      <c r="N26" s="36"/>
      <c r="O26" s="36"/>
      <c r="P26" s="36"/>
      <c r="Q26" s="36"/>
      <c r="R26" s="36"/>
      <c r="S26" s="36"/>
      <c r="T26" s="36"/>
      <c r="U26" s="36"/>
      <c r="V26" s="36"/>
      <c r="W26" s="36"/>
      <c r="X26" s="36"/>
      <c r="Y26" s="36"/>
      <c r="Z26" s="36"/>
      <c r="AA26" s="36"/>
      <c r="AB26" s="36"/>
    </row>
    <row r="27" spans="1:28" ht="24" customHeight="1">
      <c r="A27" s="120" t="str">
        <f>HYPERLINK("https://www.alcaldiabogota.gov.co/sisjur/normas/Norma1.jsp?i=40243&amp;dt=S","DECRETO 345")</f>
        <v>DECRETO 345</v>
      </c>
      <c r="B27" s="307">
        <v>40408</v>
      </c>
      <c r="C27" s="80" t="s">
        <v>61</v>
      </c>
      <c r="D27" s="308" t="s">
        <v>1018</v>
      </c>
      <c r="E27" s="79" t="s">
        <v>41</v>
      </c>
      <c r="F27" s="79" t="s">
        <v>42</v>
      </c>
      <c r="G27" s="81" t="s">
        <v>43</v>
      </c>
      <c r="H27" s="81" t="s">
        <v>976</v>
      </c>
      <c r="I27" s="35"/>
      <c r="J27" s="36"/>
      <c r="K27" s="36"/>
      <c r="L27" s="36"/>
      <c r="M27" s="36"/>
      <c r="N27" s="36"/>
      <c r="O27" s="36"/>
      <c r="P27" s="36"/>
      <c r="Q27" s="36"/>
      <c r="R27" s="36"/>
      <c r="S27" s="36"/>
      <c r="T27" s="36"/>
      <c r="U27" s="36"/>
      <c r="V27" s="36"/>
      <c r="W27" s="36"/>
      <c r="X27" s="36"/>
      <c r="Y27" s="36"/>
      <c r="Z27" s="36"/>
      <c r="AA27" s="36"/>
      <c r="AB27" s="36"/>
    </row>
    <row r="28" spans="1:28" ht="24" customHeight="1">
      <c r="A28" s="120" t="str">
        <f>HYPERLINK("https://www.alcaldiabogota.gov.co/sisjur/normas/Norma1.jsp?i=42848","DECRETO 203")</f>
        <v>DECRETO 203</v>
      </c>
      <c r="B28" s="307">
        <v>40680</v>
      </c>
      <c r="C28" s="80" t="s">
        <v>61</v>
      </c>
      <c r="D28" s="308" t="s">
        <v>1020</v>
      </c>
      <c r="E28" s="79" t="s">
        <v>41</v>
      </c>
      <c r="F28" s="79" t="s">
        <v>42</v>
      </c>
      <c r="G28" s="81" t="s">
        <v>43</v>
      </c>
      <c r="H28" s="81" t="s">
        <v>976</v>
      </c>
      <c r="I28" s="35"/>
      <c r="J28" s="36"/>
      <c r="K28" s="36"/>
      <c r="L28" s="36"/>
      <c r="M28" s="36"/>
      <c r="N28" s="36"/>
      <c r="O28" s="36"/>
      <c r="P28" s="36"/>
      <c r="Q28" s="36"/>
      <c r="R28" s="36"/>
      <c r="S28" s="36"/>
      <c r="T28" s="36"/>
      <c r="U28" s="36"/>
      <c r="V28" s="36"/>
      <c r="W28" s="36"/>
      <c r="X28" s="36"/>
      <c r="Y28" s="36"/>
      <c r="Z28" s="36"/>
      <c r="AA28" s="36"/>
      <c r="AB28" s="36"/>
    </row>
    <row r="29" spans="1:28" ht="24" customHeight="1">
      <c r="A29" s="120" t="str">
        <f>HYPERLINK("https://www.alcaldiabogota.gov.co/sisjur/normas/Norma1.jsp?i=44762&amp;dt=S","DECRETO 520")</f>
        <v>DECRETO 520</v>
      </c>
      <c r="B29" s="311">
        <v>40871</v>
      </c>
      <c r="C29" s="80" t="s">
        <v>61</v>
      </c>
      <c r="D29" s="308" t="s">
        <v>1022</v>
      </c>
      <c r="E29" s="79" t="s">
        <v>41</v>
      </c>
      <c r="F29" s="79" t="s">
        <v>42</v>
      </c>
      <c r="G29" s="81" t="s">
        <v>43</v>
      </c>
      <c r="H29" s="81" t="s">
        <v>976</v>
      </c>
      <c r="I29" s="35"/>
      <c r="J29" s="36"/>
      <c r="K29" s="36"/>
      <c r="L29" s="36"/>
      <c r="M29" s="36"/>
      <c r="N29" s="36"/>
      <c r="O29" s="36"/>
      <c r="P29" s="36"/>
      <c r="Q29" s="36"/>
      <c r="R29" s="36"/>
      <c r="S29" s="36"/>
      <c r="T29" s="36"/>
      <c r="U29" s="36"/>
      <c r="V29" s="36"/>
      <c r="W29" s="36"/>
      <c r="X29" s="36"/>
      <c r="Y29" s="36"/>
      <c r="Z29" s="36"/>
      <c r="AA29" s="36"/>
      <c r="AB29" s="36"/>
    </row>
    <row r="30" spans="1:28" ht="24" customHeight="1">
      <c r="A30" s="120" t="str">
        <f>HYPERLINK("https://www.alcaldiabogota.gov.co/sisjur/normas/Norma1.jsp?i=44832","DECRETO 543")</f>
        <v>DECRETO 543</v>
      </c>
      <c r="B30" s="307">
        <v>40879</v>
      </c>
      <c r="C30" s="80" t="s">
        <v>61</v>
      </c>
      <c r="D30" s="308" t="s">
        <v>1024</v>
      </c>
      <c r="E30" s="79" t="s">
        <v>41</v>
      </c>
      <c r="F30" s="79" t="s">
        <v>42</v>
      </c>
      <c r="G30" s="81" t="s">
        <v>43</v>
      </c>
      <c r="H30" s="81" t="s">
        <v>976</v>
      </c>
      <c r="I30" s="35"/>
      <c r="J30" s="36"/>
      <c r="K30" s="36"/>
      <c r="L30" s="36"/>
      <c r="M30" s="36"/>
      <c r="N30" s="36"/>
      <c r="O30" s="36"/>
      <c r="P30" s="36"/>
      <c r="Q30" s="36"/>
      <c r="R30" s="36"/>
      <c r="S30" s="36"/>
      <c r="T30" s="36"/>
      <c r="U30" s="36"/>
      <c r="V30" s="36"/>
      <c r="W30" s="36"/>
      <c r="X30" s="36"/>
      <c r="Y30" s="36"/>
      <c r="Z30" s="36"/>
      <c r="AA30" s="36"/>
      <c r="AB30" s="36"/>
    </row>
    <row r="31" spans="1:28" ht="24" customHeight="1">
      <c r="A31" s="120" t="str">
        <f>HYPERLINK("https://www.alcaldiabogota.gov.co/sisjur/normas/Norma1.jsp?i=44836","DECRETO 544")</f>
        <v>DECRETO 544</v>
      </c>
      <c r="B31" s="307">
        <v>40879</v>
      </c>
      <c r="C31" s="80" t="s">
        <v>61</v>
      </c>
      <c r="D31" s="308" t="s">
        <v>1026</v>
      </c>
      <c r="E31" s="79" t="s">
        <v>41</v>
      </c>
      <c r="F31" s="79" t="s">
        <v>42</v>
      </c>
      <c r="G31" s="81" t="s">
        <v>43</v>
      </c>
      <c r="H31" s="81" t="s">
        <v>976</v>
      </c>
      <c r="I31" s="35"/>
      <c r="J31" s="36"/>
      <c r="K31" s="36"/>
      <c r="L31" s="36"/>
      <c r="M31" s="36"/>
      <c r="N31" s="36"/>
      <c r="O31" s="36"/>
      <c r="P31" s="36"/>
      <c r="Q31" s="36"/>
      <c r="R31" s="36"/>
      <c r="S31" s="36"/>
      <c r="T31" s="36"/>
      <c r="U31" s="36"/>
      <c r="V31" s="36"/>
      <c r="W31" s="36"/>
      <c r="X31" s="36"/>
      <c r="Y31" s="36"/>
      <c r="Z31" s="36"/>
      <c r="AA31" s="36"/>
      <c r="AB31" s="36"/>
    </row>
    <row r="32" spans="1:28" ht="24" customHeight="1">
      <c r="A32" s="120" t="str">
        <f>HYPERLINK("https://www.alcaldiabogota.gov.co/sisjur/normas/Norma1.jsp?i=44834","DECRETO 545")</f>
        <v>DECRETO 545</v>
      </c>
      <c r="B32" s="307">
        <v>40879</v>
      </c>
      <c r="C32" s="80" t="s">
        <v>61</v>
      </c>
      <c r="D32" s="308" t="s">
        <v>1028</v>
      </c>
      <c r="E32" s="79" t="s">
        <v>41</v>
      </c>
      <c r="F32" s="79" t="s">
        <v>42</v>
      </c>
      <c r="G32" s="81" t="s">
        <v>43</v>
      </c>
      <c r="H32" s="81" t="s">
        <v>976</v>
      </c>
      <c r="I32" s="35"/>
      <c r="J32" s="36"/>
      <c r="K32" s="36"/>
      <c r="L32" s="36"/>
      <c r="M32" s="36"/>
      <c r="N32" s="36"/>
      <c r="O32" s="36"/>
      <c r="P32" s="36"/>
      <c r="Q32" s="36"/>
      <c r="R32" s="36"/>
      <c r="S32" s="36"/>
      <c r="T32" s="36"/>
      <c r="U32" s="36"/>
      <c r="V32" s="36"/>
      <c r="W32" s="36"/>
      <c r="X32" s="36"/>
      <c r="Y32" s="36"/>
      <c r="Z32" s="36"/>
      <c r="AA32" s="36"/>
      <c r="AB32" s="36"/>
    </row>
    <row r="33" spans="1:28" ht="48" customHeight="1">
      <c r="A33" s="120" t="str">
        <f>HYPERLINK("https://www.alcaldiabogota.gov.co/sisjur/normas/Norma1.jsp?i=44954","DECRETO 554")</f>
        <v>DECRETO 554</v>
      </c>
      <c r="B33" s="307">
        <v>40884</v>
      </c>
      <c r="C33" s="80" t="s">
        <v>61</v>
      </c>
      <c r="D33" s="308" t="s">
        <v>1030</v>
      </c>
      <c r="E33" s="79" t="s">
        <v>41</v>
      </c>
      <c r="F33" s="79" t="s">
        <v>42</v>
      </c>
      <c r="G33" s="81" t="s">
        <v>43</v>
      </c>
      <c r="H33" s="81" t="s">
        <v>976</v>
      </c>
      <c r="I33" s="35"/>
      <c r="J33" s="36"/>
      <c r="K33" s="36"/>
      <c r="L33" s="36"/>
      <c r="M33" s="36"/>
      <c r="N33" s="36"/>
      <c r="O33" s="36"/>
      <c r="P33" s="36"/>
      <c r="Q33" s="36"/>
      <c r="R33" s="36"/>
      <c r="S33" s="36"/>
      <c r="T33" s="36"/>
      <c r="U33" s="36"/>
      <c r="V33" s="36"/>
      <c r="W33" s="36"/>
      <c r="X33" s="36"/>
      <c r="Y33" s="36"/>
      <c r="Z33" s="36"/>
      <c r="AA33" s="36"/>
      <c r="AB33" s="36"/>
    </row>
    <row r="34" spans="1:28" ht="41.25" customHeight="1">
      <c r="A34" s="120" t="str">
        <f>HYPERLINK("https://www.alcaldiabogota.gov.co/sisjur/normas/Norma1.jsp?i=45021&amp;dt=S","DECRETO 582")</f>
        <v>DECRETO 582</v>
      </c>
      <c r="B34" s="311">
        <v>40892</v>
      </c>
      <c r="C34" s="80" t="s">
        <v>61</v>
      </c>
      <c r="D34" s="308" t="s">
        <v>2956</v>
      </c>
      <c r="E34" s="79" t="s">
        <v>41</v>
      </c>
      <c r="F34" s="79" t="s">
        <v>42</v>
      </c>
      <c r="G34" s="81" t="s">
        <v>43</v>
      </c>
      <c r="H34" s="81" t="s">
        <v>976</v>
      </c>
      <c r="I34" s="35"/>
      <c r="J34" s="36"/>
      <c r="K34" s="36"/>
      <c r="L34" s="36"/>
      <c r="M34" s="36"/>
      <c r="N34" s="36"/>
      <c r="O34" s="36"/>
      <c r="P34" s="36"/>
      <c r="Q34" s="36"/>
      <c r="R34" s="36"/>
      <c r="S34" s="36"/>
      <c r="T34" s="36"/>
      <c r="U34" s="36"/>
      <c r="V34" s="36"/>
      <c r="W34" s="36"/>
      <c r="X34" s="36"/>
      <c r="Y34" s="36"/>
      <c r="Z34" s="36"/>
      <c r="AA34" s="36"/>
      <c r="AB34" s="36"/>
    </row>
    <row r="35" spans="1:28" ht="120" customHeight="1">
      <c r="A35" s="120" t="str">
        <f>HYPERLINK("https://www.alcaldiabogota.gov.co/sisjur/normas/Norma1.jsp?i=45322","DECRETO LEY 19")</f>
        <v>DECRETO LEY 19</v>
      </c>
      <c r="B35" s="307">
        <v>40918</v>
      </c>
      <c r="C35" s="80" t="s">
        <v>57</v>
      </c>
      <c r="D35" s="308" t="s">
        <v>1036</v>
      </c>
      <c r="E35" s="80" t="s">
        <v>3704</v>
      </c>
      <c r="F35" s="79" t="s">
        <v>42</v>
      </c>
      <c r="G35" s="81" t="s">
        <v>43</v>
      </c>
      <c r="H35" s="81" t="s">
        <v>976</v>
      </c>
      <c r="I35" s="35"/>
      <c r="J35" s="36"/>
      <c r="K35" s="36"/>
      <c r="L35" s="36"/>
      <c r="M35" s="36"/>
      <c r="N35" s="36"/>
      <c r="O35" s="36"/>
      <c r="P35" s="36"/>
      <c r="Q35" s="36"/>
      <c r="R35" s="36"/>
      <c r="S35" s="36"/>
      <c r="T35" s="36"/>
      <c r="U35" s="36"/>
      <c r="V35" s="36"/>
      <c r="W35" s="36"/>
      <c r="X35" s="36"/>
      <c r="Y35" s="36"/>
      <c r="Z35" s="36"/>
      <c r="AA35" s="36"/>
      <c r="AB35" s="36"/>
    </row>
    <row r="36" spans="1:28" ht="125.25" customHeight="1">
      <c r="A36" s="543" t="s">
        <v>1039</v>
      </c>
      <c r="B36" s="311">
        <v>41260</v>
      </c>
      <c r="C36" s="80" t="s">
        <v>57</v>
      </c>
      <c r="D36" s="308" t="s">
        <v>1040</v>
      </c>
      <c r="E36" s="79" t="s">
        <v>3705</v>
      </c>
      <c r="F36" s="79" t="s">
        <v>3706</v>
      </c>
      <c r="G36" s="81" t="s">
        <v>43</v>
      </c>
      <c r="H36" s="81" t="s">
        <v>976</v>
      </c>
      <c r="I36" s="35"/>
      <c r="J36" s="36"/>
      <c r="K36" s="36"/>
      <c r="L36" s="36"/>
      <c r="M36" s="36"/>
      <c r="N36" s="36"/>
      <c r="O36" s="36"/>
      <c r="P36" s="36"/>
      <c r="Q36" s="36"/>
      <c r="R36" s="36"/>
      <c r="S36" s="36"/>
      <c r="T36" s="36"/>
      <c r="U36" s="36"/>
      <c r="V36" s="36"/>
      <c r="W36" s="36"/>
      <c r="X36" s="36"/>
      <c r="Y36" s="36"/>
      <c r="Z36" s="36"/>
      <c r="AA36" s="36"/>
      <c r="AB36" s="36"/>
    </row>
    <row r="37" spans="1:28" ht="45.75" customHeight="1">
      <c r="A37" s="120" t="str">
        <f>HYPERLINK("https://www.alcaldiabogota.gov.co/sisjur/normas/Norma1.jsp?i=51140","DECRETO 2767")</f>
        <v>DECRETO 2767</v>
      </c>
      <c r="B37" s="311">
        <v>41271</v>
      </c>
      <c r="C37" s="80" t="s">
        <v>57</v>
      </c>
      <c r="D37" s="308" t="s">
        <v>825</v>
      </c>
      <c r="E37" s="79" t="s">
        <v>41</v>
      </c>
      <c r="F37" s="79" t="s">
        <v>42</v>
      </c>
      <c r="G37" s="81" t="s">
        <v>43</v>
      </c>
      <c r="H37" s="81" t="s">
        <v>976</v>
      </c>
      <c r="I37" s="35"/>
      <c r="J37" s="36"/>
      <c r="K37" s="36"/>
      <c r="L37" s="36"/>
      <c r="M37" s="36"/>
      <c r="N37" s="36"/>
      <c r="O37" s="36"/>
      <c r="P37" s="36"/>
      <c r="Q37" s="36"/>
      <c r="R37" s="36"/>
      <c r="S37" s="36"/>
      <c r="T37" s="36"/>
      <c r="U37" s="36"/>
      <c r="V37" s="36"/>
      <c r="W37" s="36"/>
      <c r="X37" s="36"/>
      <c r="Y37" s="36"/>
      <c r="Z37" s="36"/>
      <c r="AA37" s="36"/>
      <c r="AB37" s="36"/>
    </row>
    <row r="38" spans="1:28" ht="55.5" customHeight="1">
      <c r="A38" s="120" t="str">
        <f>HYPERLINK("https://www.alcaldiabogota.gov.co/sisjur/normas/Norma1.jsp?i=52015","DECRETO 076")</f>
        <v>DECRETO 076</v>
      </c>
      <c r="B38" s="307">
        <v>41327</v>
      </c>
      <c r="C38" s="80" t="s">
        <v>61</v>
      </c>
      <c r="D38" s="308" t="s">
        <v>1044</v>
      </c>
      <c r="E38" s="79" t="s">
        <v>41</v>
      </c>
      <c r="F38" s="79" t="s">
        <v>42</v>
      </c>
      <c r="G38" s="81" t="s">
        <v>43</v>
      </c>
      <c r="H38" s="81" t="s">
        <v>976</v>
      </c>
      <c r="I38" s="35"/>
      <c r="J38" s="36"/>
      <c r="K38" s="36"/>
      <c r="L38" s="36"/>
      <c r="M38" s="36"/>
      <c r="N38" s="36"/>
      <c r="O38" s="36"/>
      <c r="P38" s="36"/>
      <c r="Q38" s="36"/>
      <c r="R38" s="36"/>
      <c r="S38" s="36"/>
      <c r="T38" s="36"/>
      <c r="U38" s="36"/>
      <c r="V38" s="36"/>
      <c r="W38" s="36"/>
      <c r="X38" s="36"/>
      <c r="Y38" s="36"/>
      <c r="Z38" s="36"/>
      <c r="AA38" s="36"/>
      <c r="AB38" s="36"/>
    </row>
    <row r="39" spans="1:28" ht="63.75" customHeight="1">
      <c r="A39" s="120" t="str">
        <f>HYPERLINK("https://www.alcaldiabogota.gov.co/sisjur//normas/Norma1.jsp?dt=S&amp;i=56702","DECRETO 062")</f>
        <v>DECRETO 062</v>
      </c>
      <c r="B39" s="307">
        <v>41677</v>
      </c>
      <c r="C39" s="80" t="s">
        <v>61</v>
      </c>
      <c r="D39" s="308" t="s">
        <v>1046</v>
      </c>
      <c r="E39" s="79" t="s">
        <v>41</v>
      </c>
      <c r="F39" s="79" t="s">
        <v>42</v>
      </c>
      <c r="G39" s="81" t="s">
        <v>43</v>
      </c>
      <c r="H39" s="81" t="s">
        <v>976</v>
      </c>
      <c r="I39" s="35"/>
      <c r="J39" s="36"/>
      <c r="K39" s="36"/>
      <c r="L39" s="36"/>
      <c r="M39" s="36"/>
      <c r="N39" s="36"/>
      <c r="O39" s="36"/>
      <c r="P39" s="36"/>
      <c r="Q39" s="36"/>
      <c r="R39" s="36"/>
      <c r="S39" s="36"/>
      <c r="T39" s="36"/>
      <c r="U39" s="36"/>
      <c r="V39" s="36"/>
      <c r="W39" s="36"/>
      <c r="X39" s="36"/>
      <c r="Y39" s="36"/>
      <c r="Z39" s="36"/>
      <c r="AA39" s="36"/>
      <c r="AB39" s="36"/>
    </row>
    <row r="40" spans="1:28" ht="77.25" customHeight="1">
      <c r="A40" s="120" t="str">
        <f>HYPERLINK("https://www.alcaldiabogota.gov.co/sisjur/normas/Norma1.jsp?i=64210&amp;dt=S","DECRETO 560")</f>
        <v>DECRETO 560</v>
      </c>
      <c r="B40" s="311">
        <v>42359</v>
      </c>
      <c r="C40" s="80" t="s">
        <v>61</v>
      </c>
      <c r="D40" s="308" t="s">
        <v>1048</v>
      </c>
      <c r="E40" s="79" t="s">
        <v>41</v>
      </c>
      <c r="F40" s="79" t="s">
        <v>42</v>
      </c>
      <c r="G40" s="81" t="s">
        <v>43</v>
      </c>
      <c r="H40" s="81" t="s">
        <v>976</v>
      </c>
      <c r="I40" s="35"/>
      <c r="J40" s="36"/>
      <c r="K40" s="36"/>
      <c r="L40" s="36"/>
      <c r="M40" s="36"/>
      <c r="N40" s="36"/>
      <c r="O40" s="36"/>
      <c r="P40" s="36"/>
      <c r="Q40" s="36"/>
      <c r="R40" s="36"/>
      <c r="S40" s="36"/>
      <c r="T40" s="36"/>
      <c r="U40" s="36"/>
      <c r="V40" s="36"/>
      <c r="W40" s="36"/>
      <c r="X40" s="36"/>
      <c r="Y40" s="36"/>
      <c r="Z40" s="36"/>
      <c r="AA40" s="36"/>
      <c r="AB40" s="36"/>
    </row>
    <row r="41" spans="1:28" ht="59.25" customHeight="1">
      <c r="A41" s="543" t="s">
        <v>1726</v>
      </c>
      <c r="B41" s="307">
        <v>42150</v>
      </c>
      <c r="C41" s="80" t="s">
        <v>3707</v>
      </c>
      <c r="D41" s="308" t="s">
        <v>643</v>
      </c>
      <c r="E41" s="79" t="s">
        <v>3708</v>
      </c>
      <c r="F41" s="79" t="s">
        <v>3709</v>
      </c>
      <c r="G41" s="81"/>
      <c r="H41" s="81"/>
      <c r="I41" s="35"/>
      <c r="J41" s="36"/>
      <c r="K41" s="36"/>
      <c r="L41" s="36"/>
      <c r="M41" s="36"/>
      <c r="N41" s="36"/>
      <c r="O41" s="36"/>
      <c r="P41" s="36"/>
      <c r="Q41" s="36"/>
      <c r="R41" s="36"/>
      <c r="S41" s="36"/>
      <c r="T41" s="36"/>
      <c r="U41" s="36"/>
      <c r="V41" s="36"/>
      <c r="W41" s="36"/>
      <c r="X41" s="36"/>
      <c r="Y41" s="36"/>
      <c r="Z41" s="36"/>
      <c r="AA41" s="36"/>
      <c r="AB41" s="36"/>
    </row>
    <row r="42" spans="1:28" ht="59.25" customHeight="1">
      <c r="A42" s="120" t="str">
        <f>HYPERLINK("https://www.alcaldiabogota.gov.co/sisjur/normas/Norma1.jsp?i=73121","DECRETO 668")</f>
        <v>DECRETO 668</v>
      </c>
      <c r="B42" s="307">
        <v>43074</v>
      </c>
      <c r="C42" s="80" t="s">
        <v>61</v>
      </c>
      <c r="D42" s="308" t="s">
        <v>1050</v>
      </c>
      <c r="E42" s="79" t="s">
        <v>41</v>
      </c>
      <c r="F42" s="79" t="s">
        <v>42</v>
      </c>
      <c r="G42" s="81" t="s">
        <v>43</v>
      </c>
      <c r="H42" s="81" t="s">
        <v>976</v>
      </c>
      <c r="I42" s="35"/>
      <c r="J42" s="36"/>
      <c r="K42" s="36"/>
      <c r="L42" s="36"/>
      <c r="M42" s="36"/>
      <c r="N42" s="36"/>
      <c r="O42" s="36"/>
      <c r="P42" s="36"/>
      <c r="Q42" s="36"/>
      <c r="R42" s="36"/>
      <c r="S42" s="36"/>
      <c r="T42" s="36"/>
      <c r="U42" s="36"/>
      <c r="V42" s="36"/>
      <c r="W42" s="36"/>
      <c r="X42" s="36"/>
      <c r="Y42" s="36"/>
      <c r="Z42" s="36"/>
      <c r="AA42" s="36"/>
      <c r="AB42" s="36"/>
    </row>
    <row r="43" spans="1:28" ht="82.5" customHeight="1">
      <c r="A43" s="543" t="s">
        <v>1726</v>
      </c>
      <c r="B43" s="307">
        <v>42150</v>
      </c>
      <c r="C43" s="80" t="s">
        <v>57</v>
      </c>
      <c r="D43" s="308" t="s">
        <v>3710</v>
      </c>
      <c r="E43" s="308" t="s">
        <v>3711</v>
      </c>
      <c r="F43" s="308" t="s">
        <v>3712</v>
      </c>
      <c r="G43" s="81" t="s">
        <v>43</v>
      </c>
      <c r="H43" s="81" t="s">
        <v>976</v>
      </c>
      <c r="I43" s="35"/>
      <c r="J43" s="36"/>
      <c r="K43" s="36"/>
      <c r="L43" s="36"/>
      <c r="M43" s="36"/>
      <c r="N43" s="36"/>
      <c r="O43" s="36"/>
      <c r="P43" s="36"/>
      <c r="Q43" s="36"/>
      <c r="R43" s="36"/>
      <c r="S43" s="36"/>
      <c r="T43" s="36"/>
      <c r="U43" s="36"/>
      <c r="V43" s="36"/>
      <c r="W43" s="36"/>
      <c r="X43" s="36"/>
      <c r="Y43" s="36"/>
      <c r="Z43" s="36"/>
      <c r="AA43" s="36"/>
      <c r="AB43" s="36"/>
    </row>
    <row r="44" spans="1:28" ht="96" customHeight="1">
      <c r="A44" s="120" t="str">
        <f>HYPERLINK("https://www.alcaldiabogota.gov.co/sisjur/normas/Norma1.jsp?i=71632&amp;dt=S","DECRETO 507")</f>
        <v>DECRETO 507</v>
      </c>
      <c r="B44" s="307">
        <v>43000</v>
      </c>
      <c r="C44" s="80" t="s">
        <v>61</v>
      </c>
      <c r="D44" s="308" t="s">
        <v>1056</v>
      </c>
      <c r="E44" s="79" t="s">
        <v>41</v>
      </c>
      <c r="F44" s="79" t="s">
        <v>42</v>
      </c>
      <c r="G44" s="81" t="s">
        <v>43</v>
      </c>
      <c r="H44" s="81" t="s">
        <v>976</v>
      </c>
      <c r="I44" s="35"/>
      <c r="J44" s="36"/>
      <c r="K44" s="36"/>
      <c r="L44" s="36"/>
      <c r="M44" s="36"/>
      <c r="N44" s="36"/>
      <c r="O44" s="36"/>
      <c r="P44" s="36"/>
      <c r="Q44" s="36"/>
      <c r="R44" s="36"/>
      <c r="S44" s="36"/>
      <c r="T44" s="36"/>
      <c r="U44" s="36"/>
      <c r="V44" s="36"/>
      <c r="W44" s="36"/>
      <c r="X44" s="36"/>
      <c r="Y44" s="36"/>
      <c r="Z44" s="36"/>
      <c r="AA44" s="36"/>
      <c r="AB44" s="36"/>
    </row>
    <row r="45" spans="1:28" ht="81.75" customHeight="1">
      <c r="A45" s="120" t="str">
        <f>HYPERLINK("https://www.alcaldiabogota.gov.co/sisjur/normas/Norma1.jsp?i=71261","DECRETO 1499")</f>
        <v>DECRETO 1499</v>
      </c>
      <c r="B45" s="307">
        <v>42989</v>
      </c>
      <c r="C45" s="80" t="s">
        <v>647</v>
      </c>
      <c r="D45" s="308" t="s">
        <v>1058</v>
      </c>
      <c r="E45" s="80" t="s">
        <v>3713</v>
      </c>
      <c r="F45" s="308" t="s">
        <v>3714</v>
      </c>
      <c r="G45" s="81" t="s">
        <v>43</v>
      </c>
      <c r="H45" s="81" t="s">
        <v>976</v>
      </c>
      <c r="I45" s="35"/>
      <c r="J45" s="36"/>
      <c r="K45" s="36"/>
      <c r="L45" s="36"/>
      <c r="M45" s="36"/>
      <c r="N45" s="36"/>
      <c r="O45" s="36"/>
      <c r="P45" s="36"/>
      <c r="Q45" s="36"/>
      <c r="R45" s="36"/>
      <c r="S45" s="36"/>
      <c r="T45" s="36"/>
      <c r="U45" s="36"/>
      <c r="V45" s="36"/>
      <c r="W45" s="36"/>
      <c r="X45" s="36"/>
      <c r="Y45" s="36"/>
      <c r="Z45" s="36"/>
      <c r="AA45" s="36"/>
      <c r="AB45" s="36"/>
    </row>
    <row r="46" spans="1:28" ht="72" customHeight="1">
      <c r="A46" s="120" t="str">
        <f>HYPERLINK("https://www.alcaldiabogota.gov.co/sisjur/normas/Norma1.jsp?i=80554&amp;dt=S","DECRETO 483")</f>
        <v>DECRETO 483</v>
      </c>
      <c r="B46" s="307">
        <v>43329</v>
      </c>
      <c r="C46" s="80" t="s">
        <v>665</v>
      </c>
      <c r="D46" s="308" t="s">
        <v>3715</v>
      </c>
      <c r="E46" s="79" t="s">
        <v>41</v>
      </c>
      <c r="F46" s="79" t="s">
        <v>42</v>
      </c>
      <c r="G46" s="81" t="s">
        <v>43</v>
      </c>
      <c r="H46" s="81" t="s">
        <v>976</v>
      </c>
      <c r="I46" s="35"/>
      <c r="J46" s="36"/>
      <c r="K46" s="36"/>
      <c r="L46" s="36"/>
      <c r="M46" s="36"/>
      <c r="N46" s="36"/>
      <c r="O46" s="36"/>
      <c r="P46" s="36"/>
      <c r="Q46" s="36"/>
      <c r="R46" s="36"/>
      <c r="S46" s="36"/>
      <c r="T46" s="36"/>
      <c r="U46" s="36"/>
      <c r="V46" s="36"/>
      <c r="W46" s="36"/>
      <c r="X46" s="36"/>
      <c r="Y46" s="36"/>
      <c r="Z46" s="36"/>
      <c r="AA46" s="36"/>
      <c r="AB46" s="36"/>
    </row>
    <row r="47" spans="1:28" ht="45.75" customHeight="1">
      <c r="A47" s="543" t="s">
        <v>3716</v>
      </c>
      <c r="B47" s="307">
        <v>43823</v>
      </c>
      <c r="C47" s="80" t="s">
        <v>665</v>
      </c>
      <c r="D47" s="308" t="s">
        <v>3717</v>
      </c>
      <c r="E47" s="79" t="s">
        <v>41</v>
      </c>
      <c r="F47" s="79" t="s">
        <v>42</v>
      </c>
      <c r="G47" s="81"/>
      <c r="H47" s="81"/>
      <c r="I47" s="35"/>
      <c r="J47" s="36"/>
      <c r="K47" s="36"/>
      <c r="L47" s="36"/>
      <c r="M47" s="36"/>
      <c r="N47" s="36"/>
      <c r="O47" s="36"/>
      <c r="P47" s="36"/>
      <c r="Q47" s="36"/>
      <c r="R47" s="36"/>
      <c r="S47" s="36"/>
      <c r="T47" s="36"/>
      <c r="U47" s="36"/>
      <c r="V47" s="36"/>
      <c r="W47" s="36"/>
      <c r="X47" s="36"/>
      <c r="Y47" s="36"/>
      <c r="Z47" s="36"/>
      <c r="AA47" s="36"/>
      <c r="AB47" s="36"/>
    </row>
    <row r="48" spans="1:28" ht="45.75" customHeight="1">
      <c r="A48" s="120" t="str">
        <f>HYPERLINK("https://www.funcionpublica.gov.co/eva/gestornormativo/norma.php?i=85742","DECRETO 612")</f>
        <v>DECRETO 612</v>
      </c>
      <c r="B48" s="307">
        <v>43194</v>
      </c>
      <c r="C48" s="80" t="s">
        <v>57</v>
      </c>
      <c r="D48" s="308" t="s">
        <v>1066</v>
      </c>
      <c r="E48" s="79" t="s">
        <v>41</v>
      </c>
      <c r="F48" s="79" t="s">
        <v>42</v>
      </c>
      <c r="G48" s="81" t="s">
        <v>43</v>
      </c>
      <c r="H48" s="81" t="s">
        <v>976</v>
      </c>
      <c r="I48" s="35"/>
      <c r="J48" s="36"/>
      <c r="K48" s="36"/>
      <c r="L48" s="36"/>
      <c r="M48" s="36"/>
      <c r="N48" s="36"/>
      <c r="O48" s="36"/>
      <c r="P48" s="36"/>
      <c r="Q48" s="36"/>
      <c r="R48" s="36"/>
      <c r="S48" s="36"/>
      <c r="T48" s="36"/>
      <c r="U48" s="36"/>
      <c r="V48" s="36"/>
      <c r="W48" s="36"/>
      <c r="X48" s="36"/>
      <c r="Y48" s="36"/>
      <c r="Z48" s="36"/>
      <c r="AA48" s="36"/>
      <c r="AB48" s="36"/>
    </row>
    <row r="49" spans="1:28" ht="46.5" customHeight="1">
      <c r="A49" s="120" t="str">
        <f>HYPERLINK("https://dapre.presidencia.gov.co/normativa/normativa/DECRETO%202106%20DEL%2022%20DE%20NOVIEMBRE%20DE%202019.pdf","DECRETO 2106")</f>
        <v>DECRETO 2106</v>
      </c>
      <c r="B49" s="307">
        <v>43791</v>
      </c>
      <c r="C49" s="80" t="s">
        <v>647</v>
      </c>
      <c r="D49" s="308" t="s">
        <v>3718</v>
      </c>
      <c r="E49" s="79" t="s">
        <v>3719</v>
      </c>
      <c r="F49" s="79" t="s">
        <v>42</v>
      </c>
      <c r="G49" s="81"/>
      <c r="H49" s="81"/>
      <c r="I49" s="35"/>
      <c r="J49" s="36"/>
      <c r="K49" s="36"/>
      <c r="L49" s="36"/>
      <c r="M49" s="36"/>
      <c r="N49" s="36"/>
      <c r="O49" s="36"/>
      <c r="P49" s="36"/>
      <c r="Q49" s="36"/>
      <c r="R49" s="36"/>
      <c r="S49" s="36"/>
      <c r="T49" s="36"/>
      <c r="U49" s="36"/>
      <c r="V49" s="36"/>
      <c r="W49" s="36"/>
      <c r="X49" s="36"/>
      <c r="Y49" s="36"/>
      <c r="Z49" s="36"/>
      <c r="AA49" s="36"/>
      <c r="AB49" s="36"/>
    </row>
    <row r="50" spans="1:28" ht="46.5" customHeight="1">
      <c r="A50" s="120" t="str">
        <f>HYPERLINK("http://sisjur.bogotajuridica.gov.co/sisjur/normas/Norma1.jsp?i=88588","DECRETO 847")</f>
        <v>DECRETO 847</v>
      </c>
      <c r="B50" s="307">
        <v>43829</v>
      </c>
      <c r="C50" s="80" t="s">
        <v>61</v>
      </c>
      <c r="D50" s="308" t="s">
        <v>117</v>
      </c>
      <c r="E50" s="79" t="s">
        <v>3720</v>
      </c>
      <c r="F50" s="80" t="s">
        <v>3721</v>
      </c>
      <c r="G50" s="81"/>
      <c r="H50" s="81"/>
      <c r="I50" s="35"/>
      <c r="J50" s="36"/>
      <c r="K50" s="36"/>
      <c r="L50" s="36"/>
      <c r="M50" s="36"/>
      <c r="N50" s="36"/>
      <c r="O50" s="36"/>
      <c r="P50" s="36"/>
      <c r="Q50" s="36"/>
      <c r="R50" s="36"/>
      <c r="S50" s="36"/>
      <c r="T50" s="36"/>
      <c r="U50" s="36"/>
      <c r="V50" s="36"/>
      <c r="W50" s="36"/>
      <c r="X50" s="36"/>
      <c r="Y50" s="36"/>
      <c r="Z50" s="36"/>
      <c r="AA50" s="36"/>
      <c r="AB50" s="36"/>
    </row>
    <row r="51" spans="1:28" ht="46.5" customHeight="1">
      <c r="A51" s="120" t="str">
        <f>HYPERLINK("https://www.alcaldiabogota.gov.co/sisjur/normas/Norma1.jsp?i=524","ACUERDO 12")</f>
        <v>ACUERDO 12</v>
      </c>
      <c r="B51" s="307">
        <v>34586</v>
      </c>
      <c r="C51" s="80" t="s">
        <v>195</v>
      </c>
      <c r="D51" s="308" t="s">
        <v>859</v>
      </c>
      <c r="E51" s="79" t="s">
        <v>41</v>
      </c>
      <c r="F51" s="79" t="s">
        <v>42</v>
      </c>
      <c r="G51" s="81" t="s">
        <v>43</v>
      </c>
      <c r="H51" s="81" t="s">
        <v>976</v>
      </c>
      <c r="I51" s="35"/>
      <c r="J51" s="36"/>
      <c r="K51" s="36"/>
      <c r="L51" s="36"/>
      <c r="M51" s="36"/>
      <c r="N51" s="36"/>
      <c r="O51" s="36"/>
      <c r="P51" s="36"/>
      <c r="Q51" s="36"/>
      <c r="R51" s="36"/>
      <c r="S51" s="36"/>
      <c r="T51" s="36"/>
      <c r="U51" s="36"/>
      <c r="V51" s="36"/>
      <c r="W51" s="36"/>
      <c r="X51" s="36"/>
      <c r="Y51" s="36"/>
      <c r="Z51" s="36"/>
      <c r="AA51" s="36"/>
      <c r="AB51" s="36"/>
    </row>
    <row r="52" spans="1:28" ht="42.75" customHeight="1">
      <c r="A52" s="120" t="str">
        <f>HYPERLINK("https://www.bogotajuridica.gov.co/sisjur/normas/Norma1.jsp?i=5124","ACUERDO 63")</f>
        <v>ACUERDO 63</v>
      </c>
      <c r="B52" s="307">
        <v>37403</v>
      </c>
      <c r="C52" s="80" t="s">
        <v>195</v>
      </c>
      <c r="D52" s="308" t="s">
        <v>869</v>
      </c>
      <c r="E52" s="79" t="s">
        <v>41</v>
      </c>
      <c r="F52" s="79" t="s">
        <v>42</v>
      </c>
      <c r="G52" s="81" t="s">
        <v>43</v>
      </c>
      <c r="H52" s="81" t="s">
        <v>976</v>
      </c>
      <c r="I52" s="35"/>
      <c r="J52" s="36"/>
      <c r="K52" s="36"/>
      <c r="L52" s="36"/>
      <c r="M52" s="36"/>
      <c r="N52" s="36"/>
      <c r="O52" s="36"/>
      <c r="P52" s="36"/>
      <c r="Q52" s="36"/>
      <c r="R52" s="36"/>
      <c r="S52" s="36"/>
      <c r="T52" s="36"/>
      <c r="U52" s="36"/>
      <c r="V52" s="36"/>
      <c r="W52" s="36"/>
      <c r="X52" s="36"/>
      <c r="Y52" s="36"/>
      <c r="Z52" s="36"/>
      <c r="AA52" s="36"/>
      <c r="AB52" s="36"/>
    </row>
    <row r="53" spans="1:28" ht="31.5" customHeight="1">
      <c r="A53" s="120" t="str">
        <f>HYPERLINK("https://www.alcaldiabogota.gov.co/sisjur/normas/Norma1.jsp?i=11025","ACUERDO 118")</f>
        <v>ACUERDO 118</v>
      </c>
      <c r="B53" s="311">
        <v>37985</v>
      </c>
      <c r="C53" s="80" t="s">
        <v>195</v>
      </c>
      <c r="D53" s="308" t="s">
        <v>871</v>
      </c>
      <c r="E53" s="79" t="s">
        <v>3722</v>
      </c>
      <c r="F53" s="79" t="s">
        <v>42</v>
      </c>
      <c r="G53" s="81" t="s">
        <v>43</v>
      </c>
      <c r="H53" s="81" t="s">
        <v>976</v>
      </c>
      <c r="I53" s="35"/>
      <c r="J53" s="36"/>
      <c r="K53" s="36"/>
      <c r="L53" s="36"/>
      <c r="M53" s="36"/>
      <c r="N53" s="36"/>
      <c r="O53" s="36"/>
      <c r="P53" s="36"/>
      <c r="Q53" s="36"/>
      <c r="R53" s="36"/>
      <c r="S53" s="36"/>
      <c r="T53" s="36"/>
      <c r="U53" s="36"/>
      <c r="V53" s="36"/>
      <c r="W53" s="36"/>
      <c r="X53" s="36"/>
      <c r="Y53" s="36"/>
      <c r="Z53" s="36"/>
      <c r="AA53" s="36"/>
      <c r="AB53" s="36"/>
    </row>
    <row r="54" spans="1:28" ht="41.25" customHeight="1">
      <c r="A54" s="120" t="str">
        <f>HYPERLINK("https://www.alcaldiabogota.gov.co/sisjur/normas/Norma1.jsp?i=18560&amp;dt=S","ACUERDO 190")</f>
        <v>ACUERDO 190</v>
      </c>
      <c r="B54" s="311">
        <v>38706</v>
      </c>
      <c r="C54" s="80" t="s">
        <v>195</v>
      </c>
      <c r="D54" s="308" t="s">
        <v>1070</v>
      </c>
      <c r="E54" s="79" t="s">
        <v>41</v>
      </c>
      <c r="F54" s="79" t="s">
        <v>42</v>
      </c>
      <c r="G54" s="81" t="s">
        <v>43</v>
      </c>
      <c r="H54" s="81" t="s">
        <v>976</v>
      </c>
      <c r="I54" s="35"/>
      <c r="J54" s="36"/>
      <c r="K54" s="36"/>
      <c r="L54" s="36"/>
      <c r="M54" s="36"/>
      <c r="N54" s="36"/>
      <c r="O54" s="36"/>
      <c r="P54" s="36"/>
      <c r="Q54" s="36"/>
      <c r="R54" s="36"/>
      <c r="S54" s="36"/>
      <c r="T54" s="36"/>
      <c r="U54" s="36"/>
      <c r="V54" s="36"/>
      <c r="W54" s="36"/>
      <c r="X54" s="36"/>
      <c r="Y54" s="36"/>
      <c r="Z54" s="36"/>
      <c r="AA54" s="36"/>
      <c r="AB54" s="36"/>
    </row>
    <row r="55" spans="1:28" ht="37.5" customHeight="1">
      <c r="A55" s="120" t="str">
        <f>HYPERLINK("http://concejodebogota.gov.co/cbogota/site/artic/20160803/asocfile/20160803143545/acuerdo_584_15.pdf","ACUERDO 584")</f>
        <v>ACUERDO 584</v>
      </c>
      <c r="B55" s="307">
        <v>42093</v>
      </c>
      <c r="C55" s="80" t="s">
        <v>195</v>
      </c>
      <c r="D55" s="308" t="s">
        <v>3723</v>
      </c>
      <c r="E55" s="79" t="s">
        <v>41</v>
      </c>
      <c r="F55" s="79" t="s">
        <v>42</v>
      </c>
      <c r="G55" s="81" t="s">
        <v>43</v>
      </c>
      <c r="H55" s="81" t="s">
        <v>976</v>
      </c>
      <c r="I55" s="35"/>
      <c r="J55" s="36"/>
      <c r="K55" s="36"/>
      <c r="L55" s="36"/>
      <c r="M55" s="36"/>
      <c r="N55" s="36"/>
      <c r="O55" s="36"/>
      <c r="P55" s="36"/>
      <c r="Q55" s="36"/>
      <c r="R55" s="36"/>
      <c r="S55" s="36"/>
      <c r="T55" s="36"/>
      <c r="U55" s="36"/>
      <c r="V55" s="36"/>
      <c r="W55" s="36"/>
      <c r="X55" s="36"/>
      <c r="Y55" s="36"/>
      <c r="Z55" s="36"/>
      <c r="AA55" s="36"/>
      <c r="AB55" s="36"/>
    </row>
    <row r="56" spans="1:28" ht="39" customHeight="1">
      <c r="A56" s="543" t="s">
        <v>3724</v>
      </c>
      <c r="B56" s="311">
        <v>43993</v>
      </c>
      <c r="C56" s="80" t="s">
        <v>195</v>
      </c>
      <c r="D56" s="308" t="s">
        <v>675</v>
      </c>
      <c r="E56" s="79" t="s">
        <v>41</v>
      </c>
      <c r="F56" s="79" t="s">
        <v>42</v>
      </c>
      <c r="G56" s="81"/>
      <c r="H56" s="81"/>
      <c r="I56" s="35"/>
      <c r="J56" s="36"/>
      <c r="K56" s="36"/>
      <c r="L56" s="36"/>
      <c r="M56" s="36"/>
      <c r="N56" s="36"/>
      <c r="O56" s="36"/>
      <c r="P56" s="36"/>
      <c r="Q56" s="36"/>
      <c r="R56" s="36"/>
      <c r="S56" s="36"/>
      <c r="T56" s="36"/>
      <c r="U56" s="36"/>
      <c r="V56" s="36"/>
      <c r="W56" s="36"/>
      <c r="X56" s="36"/>
      <c r="Y56" s="36"/>
      <c r="Z56" s="36"/>
      <c r="AA56" s="36"/>
      <c r="AB56" s="36"/>
    </row>
    <row r="57" spans="1:28" ht="39" customHeight="1">
      <c r="A57" s="120" t="str">
        <f>HYPERLINK("https://www.bogotajuridica.gov.co/sisjur/normas/Norma1.jsp?i=55429","CIRCULAR 131")</f>
        <v>CIRCULAR 131</v>
      </c>
      <c r="B57" s="311">
        <v>41590</v>
      </c>
      <c r="C57" s="80" t="s">
        <v>61</v>
      </c>
      <c r="D57" s="308" t="s">
        <v>1079</v>
      </c>
      <c r="E57" s="79" t="s">
        <v>41</v>
      </c>
      <c r="F57" s="79" t="s">
        <v>42</v>
      </c>
      <c r="G57" s="81" t="s">
        <v>43</v>
      </c>
      <c r="H57" s="81" t="s">
        <v>976</v>
      </c>
      <c r="I57" s="35"/>
      <c r="J57" s="36"/>
      <c r="K57" s="36"/>
      <c r="L57" s="36"/>
      <c r="M57" s="36"/>
      <c r="N57" s="36"/>
      <c r="O57" s="36"/>
      <c r="P57" s="36"/>
      <c r="Q57" s="36"/>
      <c r="R57" s="36"/>
      <c r="S57" s="36"/>
      <c r="T57" s="36"/>
      <c r="U57" s="36"/>
      <c r="V57" s="36"/>
      <c r="W57" s="36"/>
      <c r="X57" s="36"/>
      <c r="Y57" s="36"/>
      <c r="Z57" s="36"/>
      <c r="AA57" s="36"/>
      <c r="AB57" s="36"/>
    </row>
    <row r="58" spans="1:28" ht="36.75" customHeight="1">
      <c r="A58" s="120" t="str">
        <f>HYPERLINK("http://www.sdp.gov.co/sites/default/files/circular_1-_2017_modificaciones_ppto_inversion__0.pdf","CIRCULAR 001")</f>
        <v>CIRCULAR 001</v>
      </c>
      <c r="B58" s="307">
        <v>42751</v>
      </c>
      <c r="C58" s="80" t="s">
        <v>3725</v>
      </c>
      <c r="D58" s="308" t="s">
        <v>3726</v>
      </c>
      <c r="E58" s="79" t="s">
        <v>41</v>
      </c>
      <c r="F58" s="79" t="s">
        <v>42</v>
      </c>
      <c r="G58" s="81" t="s">
        <v>43</v>
      </c>
      <c r="H58" s="81" t="s">
        <v>976</v>
      </c>
      <c r="I58" s="35"/>
      <c r="J58" s="36"/>
      <c r="K58" s="36"/>
      <c r="L58" s="36"/>
      <c r="M58" s="36"/>
      <c r="N58" s="36"/>
      <c r="O58" s="36"/>
      <c r="P58" s="36"/>
      <c r="Q58" s="36"/>
      <c r="R58" s="36"/>
      <c r="S58" s="36"/>
      <c r="T58" s="36"/>
      <c r="U58" s="36"/>
      <c r="V58" s="36"/>
      <c r="W58" s="36"/>
      <c r="X58" s="36"/>
      <c r="Y58" s="36"/>
      <c r="Z58" s="36"/>
      <c r="AA58" s="36"/>
      <c r="AB58" s="36"/>
    </row>
    <row r="59" spans="1:28" ht="44.25" customHeight="1">
      <c r="A59" s="543" t="s">
        <v>3727</v>
      </c>
      <c r="B59" s="311">
        <v>43032</v>
      </c>
      <c r="C59" s="80" t="s">
        <v>1082</v>
      </c>
      <c r="D59" s="308" t="s">
        <v>3728</v>
      </c>
      <c r="E59" s="79" t="s">
        <v>41</v>
      </c>
      <c r="F59" s="79" t="s">
        <v>42</v>
      </c>
      <c r="G59" s="81" t="s">
        <v>43</v>
      </c>
      <c r="H59" s="81" t="s">
        <v>976</v>
      </c>
      <c r="I59" s="35"/>
      <c r="J59" s="36"/>
      <c r="K59" s="36"/>
      <c r="L59" s="36"/>
      <c r="M59" s="36"/>
      <c r="N59" s="36"/>
      <c r="O59" s="36"/>
      <c r="P59" s="36"/>
      <c r="Q59" s="36"/>
      <c r="R59" s="36"/>
      <c r="S59" s="36"/>
      <c r="T59" s="36"/>
      <c r="U59" s="36"/>
      <c r="V59" s="36"/>
      <c r="W59" s="36"/>
      <c r="X59" s="36"/>
      <c r="Y59" s="36"/>
      <c r="Z59" s="36"/>
      <c r="AA59" s="36"/>
      <c r="AB59" s="36"/>
    </row>
    <row r="60" spans="1:28" ht="37.5" customHeight="1">
      <c r="A60" s="543" t="s">
        <v>730</v>
      </c>
      <c r="B60" s="311">
        <v>43182</v>
      </c>
      <c r="C60" s="80" t="s">
        <v>3729</v>
      </c>
      <c r="D60" s="308" t="s">
        <v>3730</v>
      </c>
      <c r="E60" s="79" t="s">
        <v>41</v>
      </c>
      <c r="F60" s="79" t="s">
        <v>42</v>
      </c>
      <c r="G60" s="81"/>
      <c r="H60" s="81"/>
      <c r="I60" s="35"/>
      <c r="J60" s="36"/>
      <c r="K60" s="36"/>
      <c r="L60" s="36"/>
      <c r="M60" s="36"/>
      <c r="N60" s="36"/>
      <c r="O60" s="36"/>
      <c r="P60" s="36"/>
      <c r="Q60" s="36"/>
      <c r="R60" s="36"/>
      <c r="S60" s="36"/>
      <c r="T60" s="36"/>
      <c r="U60" s="36"/>
      <c r="V60" s="36"/>
      <c r="W60" s="36"/>
      <c r="X60" s="36"/>
      <c r="Y60" s="36"/>
      <c r="Z60" s="36"/>
      <c r="AA60" s="36"/>
      <c r="AB60" s="36"/>
    </row>
    <row r="61" spans="1:28" ht="53.25" customHeight="1">
      <c r="A61" s="543" t="s">
        <v>350</v>
      </c>
      <c r="B61" s="307">
        <v>43550</v>
      </c>
      <c r="C61" s="80" t="s">
        <v>3731</v>
      </c>
      <c r="D61" s="80" t="s">
        <v>3732</v>
      </c>
      <c r="E61" s="79" t="s">
        <v>41</v>
      </c>
      <c r="F61" s="79" t="s">
        <v>42</v>
      </c>
      <c r="G61" s="81"/>
      <c r="H61" s="81"/>
      <c r="I61" s="35"/>
      <c r="J61" s="36"/>
      <c r="K61" s="36"/>
      <c r="L61" s="36"/>
      <c r="M61" s="36"/>
      <c r="N61" s="36"/>
      <c r="O61" s="36"/>
      <c r="P61" s="36"/>
      <c r="Q61" s="36"/>
      <c r="R61" s="36"/>
      <c r="S61" s="36"/>
      <c r="T61" s="36"/>
      <c r="U61" s="36"/>
      <c r="V61" s="36"/>
      <c r="W61" s="36"/>
      <c r="X61" s="36"/>
      <c r="Y61" s="36"/>
      <c r="Z61" s="36"/>
      <c r="AA61" s="36"/>
      <c r="AB61" s="36"/>
    </row>
    <row r="62" spans="1:28" ht="53.25" customHeight="1">
      <c r="A62" s="120" t="str">
        <f>HYPERLINK("https://www.alcaldiabogota.gov.co/sisjur/normas/Norma1.jsp?i=84665","CIRCULAR 002")</f>
        <v>CIRCULAR 002</v>
      </c>
      <c r="B62" s="307">
        <v>43622</v>
      </c>
      <c r="C62" s="80" t="s">
        <v>61</v>
      </c>
      <c r="D62" s="80" t="s">
        <v>3733</v>
      </c>
      <c r="E62" s="79" t="s">
        <v>41</v>
      </c>
      <c r="F62" s="79" t="s">
        <v>42</v>
      </c>
      <c r="G62" s="81" t="s">
        <v>43</v>
      </c>
      <c r="H62" s="81" t="s">
        <v>976</v>
      </c>
      <c r="I62" s="35"/>
      <c r="J62" s="36"/>
      <c r="K62" s="36"/>
      <c r="L62" s="36"/>
      <c r="M62" s="36"/>
      <c r="N62" s="36"/>
      <c r="O62" s="36"/>
      <c r="P62" s="36"/>
      <c r="Q62" s="36"/>
      <c r="R62" s="36"/>
      <c r="S62" s="36"/>
      <c r="T62" s="36"/>
      <c r="U62" s="36"/>
      <c r="V62" s="36"/>
      <c r="W62" s="36"/>
      <c r="X62" s="36"/>
      <c r="Y62" s="36"/>
      <c r="Z62" s="36"/>
      <c r="AA62" s="36"/>
      <c r="AB62" s="36"/>
    </row>
    <row r="63" spans="1:28" ht="30.75" customHeight="1">
      <c r="A63" s="543" t="s">
        <v>3734</v>
      </c>
      <c r="B63" s="311">
        <v>44320</v>
      </c>
      <c r="C63" s="80" t="s">
        <v>3508</v>
      </c>
      <c r="D63" s="308" t="s">
        <v>3735</v>
      </c>
      <c r="E63" s="79" t="s">
        <v>41</v>
      </c>
      <c r="F63" s="79" t="s">
        <v>42</v>
      </c>
      <c r="G63" s="81"/>
      <c r="H63" s="81"/>
      <c r="I63" s="35"/>
      <c r="J63" s="36"/>
      <c r="K63" s="36"/>
      <c r="L63" s="36"/>
      <c r="M63" s="36"/>
      <c r="N63" s="36"/>
      <c r="O63" s="36"/>
      <c r="P63" s="36"/>
      <c r="Q63" s="36"/>
      <c r="R63" s="36"/>
      <c r="S63" s="36"/>
      <c r="T63" s="36"/>
      <c r="U63" s="36"/>
      <c r="V63" s="36"/>
      <c r="W63" s="36"/>
      <c r="X63" s="36"/>
      <c r="Y63" s="36"/>
      <c r="Z63" s="36"/>
      <c r="AA63" s="36"/>
      <c r="AB63" s="36"/>
    </row>
    <row r="64" spans="1:28" ht="30.75" customHeight="1">
      <c r="A64" s="543" t="s">
        <v>3736</v>
      </c>
      <c r="B64" s="311">
        <v>44309</v>
      </c>
      <c r="C64" s="80" t="s">
        <v>167</v>
      </c>
      <c r="D64" s="308" t="s">
        <v>3737</v>
      </c>
      <c r="E64" s="79" t="s">
        <v>41</v>
      </c>
      <c r="F64" s="79" t="s">
        <v>42</v>
      </c>
      <c r="G64" s="81"/>
      <c r="H64" s="81"/>
      <c r="I64" s="35"/>
      <c r="J64" s="36"/>
      <c r="K64" s="36"/>
      <c r="L64" s="36"/>
      <c r="M64" s="36"/>
      <c r="N64" s="36"/>
      <c r="O64" s="36"/>
      <c r="P64" s="36"/>
      <c r="Q64" s="36"/>
      <c r="R64" s="36"/>
      <c r="S64" s="36"/>
      <c r="T64" s="36"/>
      <c r="U64" s="36"/>
      <c r="V64" s="36"/>
      <c r="W64" s="36"/>
      <c r="X64" s="36"/>
      <c r="Y64" s="36"/>
      <c r="Z64" s="36"/>
      <c r="AA64" s="36"/>
      <c r="AB64" s="36"/>
    </row>
    <row r="65" spans="1:28" ht="30.75" customHeight="1">
      <c r="A65" s="543" t="s">
        <v>3738</v>
      </c>
      <c r="B65" s="311">
        <v>44398</v>
      </c>
      <c r="C65" s="80" t="s">
        <v>3508</v>
      </c>
      <c r="D65" s="308" t="s">
        <v>3739</v>
      </c>
      <c r="E65" s="79" t="s">
        <v>41</v>
      </c>
      <c r="F65" s="79" t="s">
        <v>42</v>
      </c>
      <c r="G65" s="81"/>
      <c r="H65" s="81"/>
      <c r="I65" s="35"/>
      <c r="J65" s="36"/>
      <c r="K65" s="36"/>
      <c r="L65" s="36"/>
      <c r="M65" s="36"/>
      <c r="N65" s="36"/>
      <c r="O65" s="36"/>
      <c r="P65" s="36"/>
      <c r="Q65" s="36"/>
      <c r="R65" s="36"/>
      <c r="S65" s="36"/>
      <c r="T65" s="36"/>
      <c r="U65" s="36"/>
      <c r="V65" s="36"/>
      <c r="W65" s="36"/>
      <c r="X65" s="36"/>
      <c r="Y65" s="36"/>
      <c r="Z65" s="36"/>
      <c r="AA65" s="36"/>
      <c r="AB65" s="36"/>
    </row>
    <row r="66" spans="1:28" ht="28.5" customHeight="1">
      <c r="A66" s="543" t="s">
        <v>3740</v>
      </c>
      <c r="B66" s="311">
        <v>43360</v>
      </c>
      <c r="C66" s="80" t="s">
        <v>167</v>
      </c>
      <c r="D66" s="308" t="s">
        <v>1096</v>
      </c>
      <c r="E66" s="79" t="s">
        <v>41</v>
      </c>
      <c r="F66" s="79" t="s">
        <v>42</v>
      </c>
      <c r="G66" s="81" t="s">
        <v>43</v>
      </c>
      <c r="H66" s="81" t="s">
        <v>976</v>
      </c>
      <c r="I66" s="35"/>
      <c r="J66" s="36"/>
      <c r="K66" s="36"/>
      <c r="L66" s="36"/>
      <c r="M66" s="36"/>
      <c r="N66" s="36"/>
      <c r="O66" s="36"/>
      <c r="P66" s="36"/>
      <c r="Q66" s="36"/>
      <c r="R66" s="36"/>
      <c r="S66" s="36"/>
      <c r="T66" s="36"/>
      <c r="U66" s="36"/>
      <c r="V66" s="36"/>
      <c r="W66" s="36"/>
      <c r="X66" s="36"/>
      <c r="Y66" s="36"/>
      <c r="Z66" s="36"/>
      <c r="AA66" s="36"/>
      <c r="AB66" s="36"/>
    </row>
    <row r="67" spans="1:28" ht="36" customHeight="1">
      <c r="A67" s="120" t="str">
        <f>HYPERLINK("http://www.shd.gov.co/shd/sites/default/files/normatividad/RESOLUCION%20SDH%20-%20000037%20DE%202019%20MODFICA%20EL%20MANUAL%20PRESUPUESTAL%20PDF.pdf","RESOLUCIÓN SDH N° 000037")</f>
        <v>RESOLUCIÓN SDH N° 000037</v>
      </c>
      <c r="B67" s="307">
        <v>43530</v>
      </c>
      <c r="C67" s="80" t="s">
        <v>3741</v>
      </c>
      <c r="D67" s="308" t="s">
        <v>3742</v>
      </c>
      <c r="E67" s="79" t="s">
        <v>41</v>
      </c>
      <c r="F67" s="79" t="s">
        <v>42</v>
      </c>
      <c r="G67" s="81" t="s">
        <v>43</v>
      </c>
      <c r="H67" s="81" t="s">
        <v>976</v>
      </c>
      <c r="I67" s="35"/>
      <c r="J67" s="36"/>
      <c r="K67" s="36"/>
      <c r="L67" s="36"/>
      <c r="M67" s="36"/>
      <c r="N67" s="36"/>
      <c r="O67" s="36"/>
      <c r="P67" s="36"/>
      <c r="Q67" s="36"/>
      <c r="R67" s="36"/>
      <c r="S67" s="36"/>
      <c r="T67" s="36"/>
      <c r="U67" s="36"/>
      <c r="V67" s="36"/>
      <c r="W67" s="36"/>
      <c r="X67" s="36"/>
      <c r="Y67" s="36"/>
      <c r="Z67" s="36"/>
      <c r="AA67" s="36"/>
      <c r="AB67" s="36"/>
    </row>
    <row r="68" spans="1:28" ht="36" customHeight="1">
      <c r="A68" s="543" t="s">
        <v>3743</v>
      </c>
      <c r="B68" s="307">
        <v>44286</v>
      </c>
      <c r="C68" s="80" t="s">
        <v>61</v>
      </c>
      <c r="D68" s="308" t="s">
        <v>3744</v>
      </c>
      <c r="E68" s="79" t="s">
        <v>41</v>
      </c>
      <c r="F68" s="79" t="s">
        <v>42</v>
      </c>
      <c r="G68" s="81"/>
      <c r="H68" s="81"/>
      <c r="I68" s="35"/>
      <c r="J68" s="36"/>
      <c r="K68" s="36"/>
      <c r="L68" s="36"/>
      <c r="M68" s="36"/>
      <c r="N68" s="36"/>
      <c r="O68" s="36"/>
      <c r="P68" s="36"/>
      <c r="Q68" s="36"/>
      <c r="R68" s="36"/>
      <c r="S68" s="36"/>
      <c r="T68" s="36"/>
      <c r="U68" s="36"/>
      <c r="V68" s="36"/>
      <c r="W68" s="36"/>
      <c r="X68" s="36"/>
      <c r="Y68" s="36"/>
      <c r="Z68" s="36"/>
      <c r="AA68" s="36"/>
      <c r="AB68" s="36"/>
    </row>
    <row r="69" spans="1:28" ht="36" customHeight="1">
      <c r="A69" s="543" t="s">
        <v>3745</v>
      </c>
      <c r="B69" s="307">
        <v>44113</v>
      </c>
      <c r="C69" s="80" t="s">
        <v>61</v>
      </c>
      <c r="D69" s="308" t="s">
        <v>3746</v>
      </c>
      <c r="E69" s="79" t="s">
        <v>41</v>
      </c>
      <c r="F69" s="79" t="s">
        <v>42</v>
      </c>
      <c r="G69" s="81"/>
      <c r="H69" s="81"/>
      <c r="I69" s="35"/>
      <c r="J69" s="36"/>
      <c r="K69" s="36"/>
      <c r="L69" s="36"/>
      <c r="M69" s="36"/>
      <c r="N69" s="36"/>
      <c r="O69" s="36"/>
      <c r="P69" s="36"/>
      <c r="Q69" s="36"/>
      <c r="R69" s="36"/>
      <c r="S69" s="36"/>
      <c r="T69" s="36"/>
      <c r="U69" s="36"/>
      <c r="V69" s="36"/>
      <c r="W69" s="36"/>
      <c r="X69" s="36"/>
      <c r="Y69" s="36"/>
      <c r="Z69" s="36"/>
      <c r="AA69" s="36"/>
      <c r="AB69" s="36"/>
    </row>
    <row r="70" spans="1:28" ht="36" customHeight="1">
      <c r="A70" s="543" t="s">
        <v>3747</v>
      </c>
      <c r="B70" s="307">
        <v>44404</v>
      </c>
      <c r="C70" s="80" t="s">
        <v>159</v>
      </c>
      <c r="D70" s="308" t="s">
        <v>3748</v>
      </c>
      <c r="E70" s="79" t="s">
        <v>41</v>
      </c>
      <c r="F70" s="79" t="s">
        <v>42</v>
      </c>
      <c r="G70" s="81"/>
      <c r="H70" s="81"/>
      <c r="I70" s="35"/>
      <c r="J70" s="36"/>
      <c r="K70" s="36"/>
      <c r="L70" s="36"/>
      <c r="M70" s="36"/>
      <c r="N70" s="36"/>
      <c r="O70" s="36"/>
      <c r="P70" s="36"/>
      <c r="Q70" s="36"/>
      <c r="R70" s="36"/>
      <c r="S70" s="36"/>
      <c r="T70" s="36"/>
      <c r="U70" s="36"/>
      <c r="V70" s="36"/>
      <c r="W70" s="36"/>
      <c r="X70" s="36"/>
      <c r="Y70" s="36"/>
      <c r="Z70" s="36"/>
      <c r="AA70" s="36"/>
      <c r="AB70" s="36"/>
    </row>
    <row r="71" spans="1:28" ht="36" customHeight="1">
      <c r="A71" s="543" t="s">
        <v>3749</v>
      </c>
      <c r="B71" s="79" t="s">
        <v>3750</v>
      </c>
      <c r="C71" s="80" t="s">
        <v>3725</v>
      </c>
      <c r="D71" s="308" t="s">
        <v>3751</v>
      </c>
      <c r="E71" s="79" t="s">
        <v>41</v>
      </c>
      <c r="F71" s="79" t="s">
        <v>42</v>
      </c>
      <c r="G71" s="101"/>
      <c r="H71" s="101"/>
      <c r="I71" s="35"/>
      <c r="J71" s="36"/>
      <c r="K71" s="36"/>
      <c r="L71" s="36"/>
      <c r="M71" s="36"/>
      <c r="N71" s="36"/>
      <c r="O71" s="36"/>
      <c r="P71" s="36"/>
      <c r="Q71" s="36"/>
      <c r="R71" s="36"/>
      <c r="S71" s="36"/>
      <c r="T71" s="36"/>
      <c r="U71" s="36"/>
      <c r="V71" s="36"/>
      <c r="W71" s="36"/>
      <c r="X71" s="36"/>
      <c r="Y71" s="36"/>
      <c r="Z71" s="36"/>
      <c r="AA71" s="36"/>
      <c r="AB71" s="36"/>
    </row>
    <row r="72" spans="1:28" ht="12" customHeight="1">
      <c r="A72" s="543" t="s">
        <v>3752</v>
      </c>
      <c r="B72" s="307">
        <v>42150</v>
      </c>
      <c r="C72" s="80" t="s">
        <v>302</v>
      </c>
      <c r="D72" s="308" t="s">
        <v>3753</v>
      </c>
      <c r="E72" s="79" t="s">
        <v>3754</v>
      </c>
      <c r="F72" s="79" t="s">
        <v>3755</v>
      </c>
      <c r="G72" s="35"/>
      <c r="H72" s="104"/>
      <c r="I72" s="35"/>
      <c r="J72" s="36"/>
      <c r="K72" s="36"/>
      <c r="L72" s="36"/>
      <c r="M72" s="36"/>
      <c r="N72" s="36"/>
      <c r="O72" s="36"/>
      <c r="P72" s="36"/>
      <c r="Q72" s="36"/>
      <c r="R72" s="36"/>
      <c r="S72" s="36"/>
      <c r="T72" s="36"/>
      <c r="U72" s="36"/>
      <c r="V72" s="36"/>
      <c r="W72" s="36"/>
      <c r="X72" s="36"/>
      <c r="Y72" s="36"/>
      <c r="Z72" s="36"/>
      <c r="AA72" s="36"/>
      <c r="AB72" s="36"/>
    </row>
    <row r="73" spans="1:28" ht="12" customHeight="1">
      <c r="A73" s="567" t="s">
        <v>3756</v>
      </c>
      <c r="B73" s="311">
        <v>39805</v>
      </c>
      <c r="C73" s="80" t="s">
        <v>61</v>
      </c>
      <c r="D73" s="308" t="s">
        <v>3757</v>
      </c>
      <c r="E73" s="79" t="s">
        <v>41</v>
      </c>
      <c r="F73" s="79" t="s">
        <v>42</v>
      </c>
      <c r="G73" s="35"/>
      <c r="H73" s="104"/>
      <c r="I73" s="35"/>
      <c r="J73" s="36"/>
      <c r="K73" s="36"/>
      <c r="L73" s="36"/>
      <c r="M73" s="36"/>
      <c r="N73" s="36"/>
      <c r="O73" s="36"/>
      <c r="P73" s="36"/>
      <c r="Q73" s="36"/>
      <c r="R73" s="36"/>
      <c r="S73" s="36"/>
      <c r="T73" s="36"/>
      <c r="U73" s="36"/>
      <c r="V73" s="36"/>
      <c r="W73" s="36"/>
      <c r="X73" s="36"/>
      <c r="Y73" s="36"/>
      <c r="Z73" s="36"/>
      <c r="AA73" s="36"/>
      <c r="AB73" s="36"/>
    </row>
    <row r="74" spans="1:28" ht="12" customHeight="1">
      <c r="A74" s="568" t="s">
        <v>3758</v>
      </c>
      <c r="B74" s="307">
        <v>40906</v>
      </c>
      <c r="C74" s="80" t="s">
        <v>540</v>
      </c>
      <c r="D74" s="308" t="s">
        <v>3759</v>
      </c>
      <c r="E74" s="79" t="s">
        <v>41</v>
      </c>
      <c r="F74" s="79" t="s">
        <v>42</v>
      </c>
      <c r="G74" s="35"/>
      <c r="H74" s="104"/>
      <c r="I74" s="35"/>
      <c r="J74" s="36"/>
      <c r="K74" s="36"/>
      <c r="L74" s="36"/>
      <c r="M74" s="36"/>
      <c r="N74" s="36"/>
      <c r="O74" s="36"/>
      <c r="P74" s="36"/>
      <c r="Q74" s="36"/>
      <c r="R74" s="36"/>
      <c r="S74" s="36"/>
      <c r="T74" s="36"/>
      <c r="U74" s="36"/>
      <c r="V74" s="36"/>
      <c r="W74" s="36"/>
      <c r="X74" s="36"/>
      <c r="Y74" s="36"/>
      <c r="Z74" s="36"/>
      <c r="AA74" s="36"/>
      <c r="AB74" s="36"/>
    </row>
    <row r="75" spans="1:28" ht="12" customHeight="1">
      <c r="A75" s="569" t="s">
        <v>3760</v>
      </c>
      <c r="B75" s="307">
        <v>39288</v>
      </c>
      <c r="C75" s="80" t="s">
        <v>61</v>
      </c>
      <c r="D75" s="308" t="s">
        <v>3761</v>
      </c>
      <c r="E75" s="79" t="s">
        <v>41</v>
      </c>
      <c r="F75" s="79" t="s">
        <v>42</v>
      </c>
      <c r="G75" s="35"/>
      <c r="H75" s="104"/>
      <c r="I75" s="35"/>
      <c r="J75" s="36"/>
      <c r="K75" s="36"/>
      <c r="L75" s="36"/>
      <c r="M75" s="36"/>
      <c r="N75" s="36"/>
      <c r="O75" s="36"/>
      <c r="P75" s="36"/>
      <c r="Q75" s="36"/>
      <c r="R75" s="36"/>
      <c r="S75" s="36"/>
      <c r="T75" s="36"/>
      <c r="U75" s="36"/>
      <c r="V75" s="36"/>
      <c r="W75" s="36"/>
      <c r="X75" s="36"/>
      <c r="Y75" s="36"/>
      <c r="Z75" s="36"/>
      <c r="AA75" s="36"/>
      <c r="AB75" s="36"/>
    </row>
    <row r="76" spans="1:28" ht="12" customHeight="1">
      <c r="A76" s="567" t="s">
        <v>3762</v>
      </c>
      <c r="B76" s="307">
        <v>42057</v>
      </c>
      <c r="C76" s="80" t="s">
        <v>61</v>
      </c>
      <c r="D76" s="308" t="s">
        <v>3763</v>
      </c>
      <c r="E76" s="79" t="s">
        <v>41</v>
      </c>
      <c r="F76" s="79" t="s">
        <v>42</v>
      </c>
      <c r="G76" s="35"/>
      <c r="H76" s="104"/>
      <c r="I76" s="35"/>
      <c r="J76" s="74"/>
      <c r="K76" s="74"/>
      <c r="L76" s="74"/>
      <c r="M76" s="74"/>
      <c r="N76" s="74"/>
      <c r="O76" s="74"/>
      <c r="P76" s="74"/>
      <c r="Q76" s="74"/>
      <c r="R76" s="74"/>
      <c r="S76" s="74"/>
      <c r="T76" s="74"/>
      <c r="U76" s="74"/>
      <c r="V76" s="74"/>
      <c r="W76" s="74"/>
      <c r="X76" s="74"/>
      <c r="Y76" s="74"/>
      <c r="Z76" s="74"/>
      <c r="AA76" s="74"/>
      <c r="AB76" s="74"/>
    </row>
    <row r="77" spans="1:28" ht="12" customHeight="1">
      <c r="A77" s="567" t="s">
        <v>1557</v>
      </c>
      <c r="B77" s="307">
        <v>42171</v>
      </c>
      <c r="C77" s="80" t="s">
        <v>61</v>
      </c>
      <c r="D77" s="308" t="s">
        <v>3764</v>
      </c>
      <c r="E77" s="79" t="s">
        <v>41</v>
      </c>
      <c r="F77" s="79" t="s">
        <v>42</v>
      </c>
      <c r="G77" s="35"/>
      <c r="H77" s="104"/>
      <c r="I77" s="35"/>
      <c r="J77" s="74"/>
      <c r="K77" s="74"/>
      <c r="L77" s="74"/>
      <c r="M77" s="74"/>
      <c r="N77" s="74"/>
      <c r="O77" s="74"/>
      <c r="P77" s="74"/>
      <c r="Q77" s="74"/>
      <c r="R77" s="74"/>
      <c r="S77" s="74"/>
      <c r="T77" s="74"/>
      <c r="U77" s="74"/>
      <c r="V77" s="74"/>
      <c r="W77" s="74"/>
      <c r="X77" s="74"/>
      <c r="Y77" s="74"/>
      <c r="Z77" s="74"/>
      <c r="AA77" s="74"/>
      <c r="AB77" s="74"/>
    </row>
    <row r="78" spans="1:28" ht="12" customHeight="1">
      <c r="A78" s="567" t="s">
        <v>3765</v>
      </c>
      <c r="B78" s="307">
        <v>43329</v>
      </c>
      <c r="C78" s="80" t="s">
        <v>61</v>
      </c>
      <c r="D78" s="308" t="s">
        <v>3766</v>
      </c>
      <c r="E78" s="79" t="s">
        <v>41</v>
      </c>
      <c r="F78" s="79" t="s">
        <v>42</v>
      </c>
      <c r="G78" s="35"/>
      <c r="H78" s="104"/>
      <c r="I78" s="35"/>
      <c r="J78" s="74"/>
      <c r="K78" s="74"/>
      <c r="L78" s="74"/>
      <c r="M78" s="74"/>
      <c r="N78" s="74"/>
      <c r="O78" s="74"/>
      <c r="P78" s="74"/>
      <c r="Q78" s="74"/>
      <c r="R78" s="74"/>
      <c r="S78" s="74"/>
      <c r="T78" s="74"/>
      <c r="U78" s="74"/>
      <c r="V78" s="74"/>
      <c r="W78" s="74"/>
      <c r="X78" s="74"/>
      <c r="Y78" s="74"/>
      <c r="Z78" s="74"/>
      <c r="AA78" s="74"/>
      <c r="AB78" s="74"/>
    </row>
    <row r="79" spans="1:28" ht="12" customHeight="1">
      <c r="A79" s="567" t="s">
        <v>3767</v>
      </c>
      <c r="B79" s="307">
        <v>42285</v>
      </c>
      <c r="C79" s="80" t="s">
        <v>3768</v>
      </c>
      <c r="D79" s="308" t="s">
        <v>3769</v>
      </c>
      <c r="E79" s="79" t="s">
        <v>41</v>
      </c>
      <c r="F79" s="79" t="s">
        <v>42</v>
      </c>
      <c r="G79" s="35"/>
      <c r="H79" s="104"/>
      <c r="I79" s="35"/>
      <c r="J79" s="74"/>
      <c r="K79" s="74"/>
      <c r="L79" s="74"/>
      <c r="M79" s="74"/>
      <c r="N79" s="74"/>
      <c r="O79" s="74"/>
      <c r="P79" s="74"/>
      <c r="Q79" s="74"/>
      <c r="R79" s="74"/>
      <c r="S79" s="74"/>
      <c r="T79" s="74"/>
      <c r="U79" s="74"/>
      <c r="V79" s="74"/>
      <c r="W79" s="74"/>
      <c r="X79" s="74"/>
      <c r="Y79" s="74"/>
      <c r="Z79" s="74"/>
      <c r="AA79" s="74"/>
      <c r="AB79" s="74"/>
    </row>
    <row r="80" spans="1:28" ht="12" customHeight="1">
      <c r="A80" s="567" t="s">
        <v>3770</v>
      </c>
      <c r="B80" s="307">
        <v>38688</v>
      </c>
      <c r="C80" s="80" t="s">
        <v>195</v>
      </c>
      <c r="D80" s="308" t="s">
        <v>3771</v>
      </c>
      <c r="E80" s="79" t="s">
        <v>41</v>
      </c>
      <c r="F80" s="79" t="s">
        <v>42</v>
      </c>
      <c r="G80" s="35"/>
      <c r="H80" s="104"/>
      <c r="I80" s="35"/>
      <c r="J80" s="74"/>
      <c r="K80" s="74"/>
      <c r="L80" s="74"/>
      <c r="M80" s="74"/>
      <c r="N80" s="74"/>
      <c r="O80" s="74"/>
      <c r="P80" s="74"/>
      <c r="Q80" s="74"/>
      <c r="R80" s="74"/>
      <c r="S80" s="74"/>
      <c r="T80" s="74"/>
      <c r="U80" s="74"/>
      <c r="V80" s="74"/>
      <c r="W80" s="74"/>
      <c r="X80" s="74"/>
      <c r="Y80" s="74"/>
      <c r="Z80" s="74"/>
      <c r="AA80" s="74"/>
      <c r="AB80" s="74"/>
    </row>
    <row r="81" spans="1:28" ht="12" customHeight="1">
      <c r="A81" s="567" t="s">
        <v>3772</v>
      </c>
      <c r="B81" s="307">
        <v>43819</v>
      </c>
      <c r="C81" s="80" t="s">
        <v>3773</v>
      </c>
      <c r="D81" s="308" t="s">
        <v>3774</v>
      </c>
      <c r="E81" s="79" t="s">
        <v>41</v>
      </c>
      <c r="F81" s="79" t="s">
        <v>42</v>
      </c>
      <c r="G81" s="35"/>
      <c r="H81" s="104"/>
      <c r="I81" s="35"/>
      <c r="J81" s="74"/>
      <c r="K81" s="74"/>
      <c r="L81" s="74"/>
      <c r="M81" s="74"/>
      <c r="N81" s="74"/>
      <c r="O81" s="74"/>
      <c r="P81" s="74"/>
      <c r="Q81" s="74"/>
      <c r="R81" s="74"/>
      <c r="S81" s="74"/>
      <c r="T81" s="74"/>
      <c r="U81" s="74"/>
      <c r="V81" s="74"/>
      <c r="W81" s="74"/>
      <c r="X81" s="74"/>
      <c r="Y81" s="74"/>
      <c r="Z81" s="74"/>
      <c r="AA81" s="74"/>
      <c r="AB81" s="74"/>
    </row>
    <row r="82" spans="1:28" ht="12" customHeight="1">
      <c r="A82" s="567" t="s">
        <v>3775</v>
      </c>
      <c r="B82" s="307">
        <v>43266</v>
      </c>
      <c r="C82" s="80" t="s">
        <v>195</v>
      </c>
      <c r="D82" s="308" t="s">
        <v>3776</v>
      </c>
      <c r="E82" s="79" t="s">
        <v>41</v>
      </c>
      <c r="F82" s="79" t="s">
        <v>42</v>
      </c>
      <c r="G82" s="35"/>
      <c r="H82" s="104"/>
      <c r="I82" s="35"/>
      <c r="J82" s="74"/>
      <c r="K82" s="74"/>
      <c r="L82" s="74"/>
      <c r="M82" s="74"/>
      <c r="N82" s="74"/>
      <c r="O82" s="74"/>
      <c r="P82" s="74"/>
      <c r="Q82" s="74"/>
      <c r="R82" s="74"/>
      <c r="S82" s="74"/>
      <c r="T82" s="74"/>
      <c r="U82" s="74"/>
      <c r="V82" s="74"/>
      <c r="W82" s="74"/>
      <c r="X82" s="74"/>
      <c r="Y82" s="74"/>
      <c r="Z82" s="74"/>
      <c r="AA82" s="74"/>
      <c r="AB82" s="74"/>
    </row>
    <row r="83" spans="1:28" ht="12" customHeight="1">
      <c r="A83" s="567" t="s">
        <v>3777</v>
      </c>
      <c r="B83" s="307">
        <v>42362</v>
      </c>
      <c r="C83" s="80" t="s">
        <v>3778</v>
      </c>
      <c r="D83" s="308" t="s">
        <v>3779</v>
      </c>
      <c r="E83" s="79" t="s">
        <v>41</v>
      </c>
      <c r="F83" s="79" t="s">
        <v>42</v>
      </c>
      <c r="G83" s="35"/>
      <c r="H83" s="104"/>
      <c r="I83" s="35"/>
      <c r="J83" s="74"/>
      <c r="K83" s="74"/>
      <c r="L83" s="74"/>
      <c r="M83" s="74"/>
      <c r="N83" s="74"/>
      <c r="O83" s="74"/>
      <c r="P83" s="74"/>
      <c r="Q83" s="74"/>
      <c r="R83" s="74"/>
      <c r="S83" s="74"/>
      <c r="T83" s="74"/>
      <c r="U83" s="74"/>
      <c r="V83" s="74"/>
      <c r="W83" s="74"/>
      <c r="X83" s="74"/>
      <c r="Y83" s="74"/>
      <c r="Z83" s="74"/>
      <c r="AA83" s="74"/>
      <c r="AB83" s="74"/>
    </row>
    <row r="84" spans="1:28" ht="12" customHeight="1">
      <c r="A84" s="567" t="s">
        <v>3780</v>
      </c>
      <c r="B84" s="307">
        <v>41677</v>
      </c>
      <c r="C84" s="80" t="s">
        <v>61</v>
      </c>
      <c r="D84" s="308" t="s">
        <v>3781</v>
      </c>
      <c r="E84" s="79" t="s">
        <v>41</v>
      </c>
      <c r="F84" s="79" t="s">
        <v>42</v>
      </c>
      <c r="G84" s="35"/>
      <c r="H84" s="104"/>
      <c r="I84" s="35"/>
      <c r="J84" s="74"/>
      <c r="K84" s="74"/>
      <c r="L84" s="74"/>
      <c r="M84" s="74"/>
      <c r="N84" s="74"/>
      <c r="O84" s="74"/>
      <c r="P84" s="74"/>
      <c r="Q84" s="74"/>
      <c r="R84" s="74"/>
      <c r="S84" s="74"/>
      <c r="T84" s="74"/>
      <c r="U84" s="74"/>
      <c r="V84" s="74"/>
      <c r="W84" s="74"/>
      <c r="X84" s="74"/>
      <c r="Y84" s="74"/>
      <c r="Z84" s="74"/>
      <c r="AA84" s="74"/>
      <c r="AB84" s="74"/>
    </row>
    <row r="85" spans="1:28" ht="12" customHeight="1">
      <c r="A85" s="567" t="s">
        <v>3782</v>
      </c>
      <c r="B85" s="307">
        <v>39904</v>
      </c>
      <c r="C85" s="80" t="s">
        <v>195</v>
      </c>
      <c r="D85" s="308" t="s">
        <v>1769</v>
      </c>
      <c r="E85" s="79" t="s">
        <v>41</v>
      </c>
      <c r="F85" s="79" t="s">
        <v>42</v>
      </c>
      <c r="G85" s="35"/>
      <c r="H85" s="104"/>
      <c r="I85" s="35"/>
      <c r="J85" s="74"/>
      <c r="K85" s="74"/>
      <c r="L85" s="74"/>
      <c r="M85" s="74"/>
      <c r="N85" s="74"/>
      <c r="O85" s="74"/>
      <c r="P85" s="74"/>
      <c r="Q85" s="74"/>
      <c r="R85" s="74"/>
      <c r="S85" s="74"/>
      <c r="T85" s="74"/>
      <c r="U85" s="74"/>
      <c r="V85" s="74"/>
      <c r="W85" s="74"/>
      <c r="X85" s="74"/>
      <c r="Y85" s="74"/>
      <c r="Z85" s="74"/>
      <c r="AA85" s="74"/>
      <c r="AB85" s="74"/>
    </row>
    <row r="86" spans="1:28" ht="12" customHeight="1">
      <c r="A86" s="567" t="s">
        <v>3783</v>
      </c>
      <c r="B86" s="307">
        <v>40896</v>
      </c>
      <c r="C86" s="80" t="s">
        <v>61</v>
      </c>
      <c r="D86" s="308" t="s">
        <v>3784</v>
      </c>
      <c r="E86" s="79" t="s">
        <v>41</v>
      </c>
      <c r="F86" s="79" t="s">
        <v>42</v>
      </c>
      <c r="G86" s="35"/>
      <c r="H86" s="104"/>
      <c r="I86" s="35"/>
      <c r="J86" s="74"/>
      <c r="K86" s="74"/>
      <c r="L86" s="74"/>
      <c r="M86" s="74"/>
      <c r="N86" s="74"/>
      <c r="O86" s="74"/>
      <c r="P86" s="74"/>
      <c r="Q86" s="74"/>
      <c r="R86" s="74"/>
      <c r="S86" s="74"/>
      <c r="T86" s="74"/>
      <c r="U86" s="74"/>
      <c r="V86" s="74"/>
      <c r="W86" s="74"/>
      <c r="X86" s="74"/>
      <c r="Y86" s="74"/>
      <c r="Z86" s="74"/>
      <c r="AA86" s="74"/>
      <c r="AB86" s="74"/>
    </row>
    <row r="87" spans="1:28" ht="12" customHeight="1">
      <c r="A87" s="567" t="s">
        <v>3785</v>
      </c>
      <c r="B87" s="307">
        <v>38623</v>
      </c>
      <c r="C87" s="80" t="s">
        <v>195</v>
      </c>
      <c r="D87" s="308" t="s">
        <v>3786</v>
      </c>
      <c r="E87" s="79" t="s">
        <v>41</v>
      </c>
      <c r="F87" s="79" t="s">
        <v>42</v>
      </c>
      <c r="G87" s="35"/>
      <c r="H87" s="104"/>
      <c r="I87" s="35"/>
      <c r="J87" s="74"/>
      <c r="K87" s="74"/>
      <c r="L87" s="74"/>
      <c r="M87" s="74"/>
      <c r="N87" s="74"/>
      <c r="O87" s="74"/>
      <c r="P87" s="74"/>
      <c r="Q87" s="74"/>
      <c r="R87" s="74"/>
      <c r="S87" s="74"/>
      <c r="T87" s="74"/>
      <c r="U87" s="74"/>
      <c r="V87" s="74"/>
      <c r="W87" s="74"/>
      <c r="X87" s="74"/>
      <c r="Y87" s="74"/>
      <c r="Z87" s="74"/>
      <c r="AA87" s="74"/>
      <c r="AB87" s="74"/>
    </row>
    <row r="88" spans="1:28" ht="12" customHeight="1">
      <c r="A88" s="567" t="s">
        <v>3787</v>
      </c>
      <c r="B88" s="307">
        <v>39589</v>
      </c>
      <c r="C88" s="80" t="s">
        <v>61</v>
      </c>
      <c r="D88" s="308" t="s">
        <v>3788</v>
      </c>
      <c r="E88" s="79" t="s">
        <v>41</v>
      </c>
      <c r="F88" s="79" t="s">
        <v>42</v>
      </c>
      <c r="G88" s="35"/>
      <c r="H88" s="104"/>
      <c r="I88" s="35"/>
      <c r="J88" s="74"/>
      <c r="K88" s="74"/>
      <c r="L88" s="74"/>
      <c r="M88" s="74"/>
      <c r="N88" s="74"/>
      <c r="O88" s="74"/>
      <c r="P88" s="74"/>
      <c r="Q88" s="74"/>
      <c r="R88" s="74"/>
      <c r="S88" s="74"/>
      <c r="T88" s="74"/>
      <c r="U88" s="74"/>
      <c r="V88" s="74"/>
      <c r="W88" s="74"/>
      <c r="X88" s="74"/>
      <c r="Y88" s="74"/>
      <c r="Z88" s="74"/>
      <c r="AA88" s="74"/>
      <c r="AB88" s="74"/>
    </row>
    <row r="89" spans="1:28" ht="12" customHeight="1">
      <c r="A89" s="567" t="s">
        <v>3789</v>
      </c>
      <c r="B89" s="307">
        <v>40503</v>
      </c>
      <c r="C89" s="80" t="s">
        <v>61</v>
      </c>
      <c r="D89" s="308" t="s">
        <v>3790</v>
      </c>
      <c r="E89" s="79" t="s">
        <v>41</v>
      </c>
      <c r="F89" s="79" t="s">
        <v>42</v>
      </c>
      <c r="G89" s="35"/>
      <c r="H89" s="104"/>
      <c r="I89" s="35"/>
      <c r="J89" s="74"/>
      <c r="K89" s="74"/>
      <c r="L89" s="74"/>
      <c r="M89" s="74"/>
      <c r="N89" s="74"/>
      <c r="O89" s="74"/>
      <c r="P89" s="74"/>
      <c r="Q89" s="74"/>
      <c r="R89" s="74"/>
      <c r="S89" s="74"/>
      <c r="T89" s="74"/>
      <c r="U89" s="74"/>
      <c r="V89" s="74"/>
      <c r="W89" s="74"/>
      <c r="X89" s="74"/>
      <c r="Y89" s="74"/>
      <c r="Z89" s="74"/>
      <c r="AA89" s="74"/>
      <c r="AB89" s="74"/>
    </row>
    <row r="90" spans="1:28" ht="12" customHeight="1">
      <c r="A90" s="567" t="s">
        <v>3791</v>
      </c>
      <c r="B90" s="307">
        <v>43819</v>
      </c>
      <c r="C90" s="80" t="s">
        <v>3792</v>
      </c>
      <c r="D90" s="308" t="s">
        <v>3793</v>
      </c>
      <c r="E90" s="79" t="s">
        <v>41</v>
      </c>
      <c r="F90" s="79" t="s">
        <v>42</v>
      </c>
      <c r="G90" s="35"/>
      <c r="H90" s="104"/>
      <c r="I90" s="35"/>
      <c r="J90" s="74"/>
      <c r="K90" s="74"/>
      <c r="L90" s="74"/>
      <c r="M90" s="74"/>
      <c r="N90" s="74"/>
      <c r="O90" s="74"/>
      <c r="P90" s="74"/>
      <c r="Q90" s="74"/>
      <c r="R90" s="74"/>
      <c r="S90" s="74"/>
      <c r="T90" s="74"/>
      <c r="U90" s="74"/>
      <c r="V90" s="74"/>
      <c r="W90" s="74"/>
      <c r="X90" s="74"/>
      <c r="Y90" s="74"/>
      <c r="Z90" s="74"/>
      <c r="AA90" s="74"/>
      <c r="AB90" s="74"/>
    </row>
    <row r="91" spans="1:28" ht="12" customHeight="1">
      <c r="A91" s="567" t="s">
        <v>3794</v>
      </c>
      <c r="B91" s="307">
        <v>39043</v>
      </c>
      <c r="C91" s="80" t="s">
        <v>195</v>
      </c>
      <c r="D91" s="308" t="s">
        <v>3795</v>
      </c>
      <c r="E91" s="79" t="s">
        <v>41</v>
      </c>
      <c r="F91" s="79" t="s">
        <v>42</v>
      </c>
      <c r="G91" s="35"/>
      <c r="H91" s="104"/>
      <c r="I91" s="35"/>
      <c r="J91" s="74"/>
      <c r="K91" s="74"/>
      <c r="L91" s="74"/>
      <c r="M91" s="74"/>
      <c r="N91" s="74"/>
      <c r="O91" s="74"/>
      <c r="P91" s="74"/>
      <c r="Q91" s="74"/>
      <c r="R91" s="74"/>
      <c r="S91" s="74"/>
      <c r="T91" s="74"/>
      <c r="U91" s="74"/>
      <c r="V91" s="74"/>
      <c r="W91" s="74"/>
      <c r="X91" s="74"/>
      <c r="Y91" s="74"/>
      <c r="Z91" s="74"/>
      <c r="AA91" s="74"/>
      <c r="AB91" s="74"/>
    </row>
    <row r="92" spans="1:28" ht="12" customHeight="1">
      <c r="A92" s="567" t="s">
        <v>3796</v>
      </c>
      <c r="B92" s="307">
        <v>40408</v>
      </c>
      <c r="C92" s="80" t="s">
        <v>61</v>
      </c>
      <c r="D92" s="308" t="s">
        <v>3797</v>
      </c>
      <c r="E92" s="79" t="s">
        <v>41</v>
      </c>
      <c r="F92" s="79" t="s">
        <v>42</v>
      </c>
      <c r="G92" s="35"/>
      <c r="H92" s="104"/>
      <c r="I92" s="35"/>
      <c r="J92" s="74"/>
      <c r="K92" s="74"/>
      <c r="L92" s="74"/>
      <c r="M92" s="74"/>
      <c r="N92" s="74"/>
      <c r="O92" s="74"/>
      <c r="P92" s="74"/>
      <c r="Q92" s="74"/>
      <c r="R92" s="74"/>
      <c r="S92" s="74"/>
      <c r="T92" s="74"/>
      <c r="U92" s="74"/>
      <c r="V92" s="74"/>
      <c r="W92" s="74"/>
      <c r="X92" s="74"/>
      <c r="Y92" s="74"/>
      <c r="Z92" s="74"/>
      <c r="AA92" s="74"/>
      <c r="AB92" s="74"/>
    </row>
    <row r="93" spans="1:28" ht="12" customHeight="1">
      <c r="A93" s="567" t="s">
        <v>3798</v>
      </c>
      <c r="B93" s="307">
        <v>39367</v>
      </c>
      <c r="C93" s="80" t="s">
        <v>61</v>
      </c>
      <c r="D93" s="308" t="s">
        <v>3799</v>
      </c>
      <c r="E93" s="79" t="s">
        <v>41</v>
      </c>
      <c r="F93" s="79" t="s">
        <v>42</v>
      </c>
      <c r="G93" s="35"/>
      <c r="H93" s="104"/>
      <c r="I93" s="35"/>
      <c r="J93" s="74"/>
      <c r="K93" s="74"/>
      <c r="L93" s="74"/>
      <c r="M93" s="74"/>
      <c r="N93" s="74"/>
      <c r="O93" s="74"/>
      <c r="P93" s="74"/>
      <c r="Q93" s="74"/>
      <c r="R93" s="74"/>
      <c r="S93" s="74"/>
      <c r="T93" s="74"/>
      <c r="U93" s="74"/>
      <c r="V93" s="74"/>
      <c r="W93" s="74"/>
      <c r="X93" s="74"/>
      <c r="Y93" s="74"/>
      <c r="Z93" s="74"/>
      <c r="AA93" s="74"/>
      <c r="AB93" s="74"/>
    </row>
    <row r="94" spans="1:28" ht="12" customHeight="1">
      <c r="A94" s="567" t="s">
        <v>3016</v>
      </c>
      <c r="B94" s="307">
        <v>44566</v>
      </c>
      <c r="C94" s="80" t="s">
        <v>3800</v>
      </c>
      <c r="D94" s="308" t="s">
        <v>3801</v>
      </c>
      <c r="E94" s="79" t="s">
        <v>41</v>
      </c>
      <c r="F94" s="79" t="s">
        <v>42</v>
      </c>
      <c r="G94" s="35"/>
      <c r="H94" s="104"/>
      <c r="I94" s="35"/>
      <c r="J94" s="74"/>
      <c r="K94" s="74"/>
      <c r="L94" s="74"/>
      <c r="M94" s="74"/>
      <c r="N94" s="74"/>
      <c r="O94" s="74"/>
      <c r="P94" s="74"/>
      <c r="Q94" s="74"/>
      <c r="R94" s="74"/>
      <c r="S94" s="74"/>
      <c r="T94" s="74"/>
      <c r="U94" s="74"/>
      <c r="V94" s="74"/>
      <c r="W94" s="74"/>
      <c r="X94" s="74"/>
      <c r="Y94" s="74"/>
      <c r="Z94" s="74"/>
      <c r="AA94" s="74"/>
      <c r="AB94" s="74"/>
    </row>
    <row r="95" spans="1:28" ht="12" customHeight="1">
      <c r="A95" s="567" t="s">
        <v>3802</v>
      </c>
      <c r="B95" s="307">
        <v>44582</v>
      </c>
      <c r="C95" s="80" t="s">
        <v>3800</v>
      </c>
      <c r="D95" s="308" t="s">
        <v>3803</v>
      </c>
      <c r="E95" s="79" t="s">
        <v>41</v>
      </c>
      <c r="F95" s="79" t="s">
        <v>42</v>
      </c>
      <c r="G95" s="35"/>
      <c r="H95" s="104"/>
      <c r="I95" s="35"/>
      <c r="J95" s="74"/>
      <c r="K95" s="74"/>
      <c r="L95" s="74"/>
      <c r="M95" s="74"/>
      <c r="N95" s="74"/>
      <c r="O95" s="74"/>
      <c r="P95" s="74"/>
      <c r="Q95" s="74"/>
      <c r="R95" s="74"/>
      <c r="S95" s="74"/>
      <c r="T95" s="74"/>
      <c r="U95" s="74"/>
      <c r="V95" s="74"/>
      <c r="W95" s="74"/>
      <c r="X95" s="74"/>
      <c r="Y95" s="74"/>
      <c r="Z95" s="74"/>
      <c r="AA95" s="74"/>
      <c r="AB95" s="74"/>
    </row>
    <row r="96" spans="1:28" ht="12" customHeight="1">
      <c r="A96" s="567" t="s">
        <v>3804</v>
      </c>
      <c r="B96" s="307">
        <v>44375</v>
      </c>
      <c r="C96" s="80" t="s">
        <v>3805</v>
      </c>
      <c r="D96" s="308" t="s">
        <v>3806</v>
      </c>
      <c r="E96" s="79" t="s">
        <v>41</v>
      </c>
      <c r="F96" s="79" t="s">
        <v>42</v>
      </c>
      <c r="G96" s="35"/>
      <c r="H96" s="104"/>
      <c r="I96" s="35"/>
      <c r="J96" s="74"/>
      <c r="K96" s="74"/>
      <c r="L96" s="74"/>
      <c r="M96" s="74"/>
      <c r="N96" s="74"/>
      <c r="O96" s="74"/>
      <c r="P96" s="74"/>
      <c r="Q96" s="74"/>
      <c r="R96" s="74"/>
      <c r="S96" s="74"/>
      <c r="T96" s="74"/>
      <c r="U96" s="74"/>
      <c r="V96" s="74"/>
      <c r="W96" s="74"/>
      <c r="X96" s="74"/>
      <c r="Y96" s="74"/>
      <c r="Z96" s="74"/>
      <c r="AA96" s="74"/>
      <c r="AB96" s="74"/>
    </row>
    <row r="97" spans="1:28" ht="12" customHeight="1">
      <c r="A97" s="567" t="s">
        <v>3807</v>
      </c>
      <c r="B97" s="307">
        <v>44432</v>
      </c>
      <c r="C97" s="80" t="s">
        <v>3808</v>
      </c>
      <c r="D97" s="308" t="s">
        <v>3809</v>
      </c>
      <c r="E97" s="79" t="s">
        <v>41</v>
      </c>
      <c r="F97" s="79" t="s">
        <v>42</v>
      </c>
      <c r="G97" s="35"/>
      <c r="H97" s="104"/>
      <c r="I97" s="35"/>
      <c r="J97" s="74"/>
      <c r="K97" s="74"/>
      <c r="L97" s="74"/>
      <c r="M97" s="74"/>
      <c r="N97" s="74"/>
      <c r="O97" s="74"/>
      <c r="P97" s="74"/>
      <c r="Q97" s="74"/>
      <c r="R97" s="74"/>
      <c r="S97" s="74"/>
      <c r="T97" s="74"/>
      <c r="U97" s="74"/>
      <c r="V97" s="74"/>
      <c r="W97" s="74"/>
      <c r="X97" s="74"/>
      <c r="Y97" s="74"/>
      <c r="Z97" s="74"/>
      <c r="AA97" s="74"/>
      <c r="AB97" s="74"/>
    </row>
    <row r="98" spans="1:28" ht="12" customHeight="1">
      <c r="A98" s="570" t="s">
        <v>3810</v>
      </c>
      <c r="B98" s="307">
        <v>44579</v>
      </c>
      <c r="C98" s="80" t="s">
        <v>39</v>
      </c>
      <c r="D98" s="308" t="s">
        <v>3811</v>
      </c>
      <c r="E98" s="79" t="s">
        <v>3812</v>
      </c>
      <c r="F98" s="79" t="s">
        <v>3813</v>
      </c>
      <c r="G98" s="35"/>
      <c r="H98" s="104"/>
      <c r="I98" s="35"/>
      <c r="J98" s="74"/>
      <c r="K98" s="74"/>
      <c r="L98" s="74"/>
      <c r="M98" s="74"/>
      <c r="N98" s="74"/>
      <c r="O98" s="74"/>
      <c r="P98" s="74"/>
      <c r="Q98" s="74"/>
      <c r="R98" s="74"/>
      <c r="S98" s="74"/>
      <c r="T98" s="74"/>
      <c r="U98" s="74"/>
      <c r="V98" s="74"/>
      <c r="W98" s="74"/>
      <c r="X98" s="74"/>
      <c r="Y98" s="74"/>
      <c r="Z98" s="74"/>
      <c r="AA98" s="74"/>
      <c r="AB98" s="74"/>
    </row>
    <row r="99" spans="1:28" ht="12" customHeight="1">
      <c r="A99" s="567" t="s">
        <v>3814</v>
      </c>
      <c r="B99" s="78">
        <v>37943</v>
      </c>
      <c r="C99" s="80" t="s">
        <v>39</v>
      </c>
      <c r="D99" s="571" t="s">
        <v>3815</v>
      </c>
      <c r="E99" s="79" t="s">
        <v>41</v>
      </c>
      <c r="F99" s="79" t="s">
        <v>42</v>
      </c>
      <c r="G99" s="35"/>
      <c r="H99" s="104"/>
      <c r="I99" s="35"/>
      <c r="J99" s="74"/>
      <c r="K99" s="74"/>
      <c r="L99" s="74"/>
      <c r="M99" s="74"/>
      <c r="N99" s="74"/>
      <c r="O99" s="74"/>
      <c r="P99" s="74"/>
      <c r="Q99" s="74"/>
      <c r="R99" s="74"/>
      <c r="S99" s="74"/>
      <c r="T99" s="74"/>
      <c r="U99" s="74"/>
      <c r="V99" s="74"/>
      <c r="W99" s="74"/>
      <c r="X99" s="74"/>
      <c r="Y99" s="74"/>
      <c r="Z99" s="74"/>
      <c r="AA99" s="74"/>
      <c r="AB99" s="74"/>
    </row>
    <row r="100" spans="1:28" ht="24" customHeight="1">
      <c r="A100" s="567" t="s">
        <v>78</v>
      </c>
      <c r="B100" s="78">
        <v>40863</v>
      </c>
      <c r="C100" s="115" t="s">
        <v>61</v>
      </c>
      <c r="D100" s="572" t="s">
        <v>3816</v>
      </c>
      <c r="E100" s="79" t="s">
        <v>41</v>
      </c>
      <c r="F100" s="79" t="s">
        <v>42</v>
      </c>
      <c r="G100" s="35"/>
      <c r="H100" s="104"/>
      <c r="I100" s="35"/>
      <c r="J100" s="74"/>
      <c r="K100" s="74"/>
      <c r="L100" s="74"/>
      <c r="M100" s="74"/>
      <c r="N100" s="74"/>
      <c r="O100" s="74"/>
      <c r="P100" s="74"/>
      <c r="Q100" s="74"/>
      <c r="R100" s="74"/>
      <c r="S100" s="74"/>
      <c r="T100" s="74"/>
      <c r="U100" s="74"/>
      <c r="V100" s="74"/>
      <c r="W100" s="74"/>
      <c r="X100" s="74"/>
      <c r="Y100" s="74"/>
      <c r="Z100" s="74"/>
      <c r="AA100" s="74"/>
      <c r="AB100" s="74"/>
    </row>
    <row r="101" spans="1:28" ht="12" customHeight="1">
      <c r="A101" s="567" t="s">
        <v>1873</v>
      </c>
      <c r="B101" s="78">
        <v>42185</v>
      </c>
      <c r="C101" s="80" t="s">
        <v>39</v>
      </c>
      <c r="D101" s="308" t="s">
        <v>1874</v>
      </c>
      <c r="E101" s="79" t="s">
        <v>41</v>
      </c>
      <c r="F101" s="79" t="s">
        <v>42</v>
      </c>
      <c r="G101" s="35"/>
      <c r="H101" s="104"/>
      <c r="I101" s="35"/>
      <c r="J101" s="74"/>
      <c r="K101" s="74"/>
      <c r="L101" s="74"/>
      <c r="M101" s="74"/>
      <c r="N101" s="74"/>
      <c r="O101" s="74"/>
      <c r="P101" s="74"/>
      <c r="Q101" s="74"/>
      <c r="R101" s="74"/>
      <c r="S101" s="74"/>
      <c r="T101" s="74"/>
      <c r="U101" s="74"/>
      <c r="V101" s="74"/>
      <c r="W101" s="74"/>
      <c r="X101" s="74"/>
      <c r="Y101" s="74"/>
      <c r="Z101" s="74"/>
      <c r="AA101" s="74"/>
      <c r="AB101" s="74"/>
    </row>
    <row r="102" spans="1:28" ht="12" customHeight="1">
      <c r="A102" s="569" t="s">
        <v>3817</v>
      </c>
      <c r="B102" s="78">
        <v>41781</v>
      </c>
      <c r="C102" s="115" t="s">
        <v>61</v>
      </c>
      <c r="D102" s="308" t="s">
        <v>2708</v>
      </c>
      <c r="E102" s="79" t="s">
        <v>41</v>
      </c>
      <c r="F102" s="79" t="s">
        <v>42</v>
      </c>
      <c r="G102" s="35"/>
      <c r="H102" s="104"/>
      <c r="I102" s="35"/>
      <c r="J102" s="74"/>
      <c r="K102" s="74"/>
      <c r="L102" s="74"/>
      <c r="M102" s="74"/>
      <c r="N102" s="74"/>
      <c r="O102" s="74"/>
      <c r="P102" s="74"/>
      <c r="Q102" s="74"/>
      <c r="R102" s="74"/>
      <c r="S102" s="74"/>
      <c r="T102" s="74"/>
      <c r="U102" s="74"/>
      <c r="V102" s="74"/>
      <c r="W102" s="74"/>
      <c r="X102" s="74"/>
      <c r="Y102" s="74"/>
      <c r="Z102" s="74"/>
      <c r="AA102" s="74"/>
      <c r="AB102" s="74"/>
    </row>
    <row r="103" spans="1:28" ht="12" customHeight="1">
      <c r="A103" s="573" t="s">
        <v>3818</v>
      </c>
      <c r="B103" s="574">
        <v>44166</v>
      </c>
      <c r="C103" s="308" t="s">
        <v>3819</v>
      </c>
      <c r="D103" s="308" t="s">
        <v>3820</v>
      </c>
      <c r="E103" s="79" t="s">
        <v>41</v>
      </c>
      <c r="F103" s="79" t="s">
        <v>42</v>
      </c>
      <c r="G103" s="35"/>
      <c r="H103" s="104"/>
      <c r="I103" s="35"/>
      <c r="J103" s="74"/>
      <c r="K103" s="74"/>
      <c r="L103" s="74"/>
      <c r="M103" s="74"/>
      <c r="N103" s="74"/>
      <c r="O103" s="74"/>
      <c r="P103" s="74"/>
      <c r="Q103" s="74"/>
      <c r="R103" s="74"/>
      <c r="S103" s="74"/>
      <c r="T103" s="74"/>
      <c r="U103" s="74"/>
      <c r="V103" s="74"/>
      <c r="W103" s="74"/>
      <c r="X103" s="74"/>
      <c r="Y103" s="74"/>
      <c r="Z103" s="74"/>
      <c r="AA103" s="74"/>
      <c r="AB103" s="74"/>
    </row>
    <row r="104" spans="1:28" ht="12" customHeight="1">
      <c r="A104" s="569"/>
      <c r="B104" s="574"/>
      <c r="C104" s="575"/>
      <c r="D104" s="576"/>
      <c r="E104" s="101"/>
      <c r="F104" s="101"/>
      <c r="G104" s="35"/>
      <c r="H104" s="104"/>
      <c r="I104" s="35"/>
      <c r="J104" s="74"/>
      <c r="K104" s="74"/>
      <c r="L104" s="74"/>
      <c r="M104" s="74"/>
      <c r="N104" s="74"/>
      <c r="O104" s="74"/>
      <c r="P104" s="74"/>
      <c r="Q104" s="74"/>
      <c r="R104" s="74"/>
      <c r="S104" s="74"/>
      <c r="T104" s="74"/>
      <c r="U104" s="74"/>
      <c r="V104" s="74"/>
      <c r="W104" s="74"/>
      <c r="X104" s="74"/>
      <c r="Y104" s="74"/>
      <c r="Z104" s="74"/>
      <c r="AA104" s="74"/>
      <c r="AB104" s="74"/>
    </row>
    <row r="105" spans="1:28" ht="12" customHeight="1">
      <c r="A105" s="569"/>
      <c r="B105" s="574"/>
      <c r="C105" s="575"/>
      <c r="D105" s="576"/>
      <c r="E105" s="101"/>
      <c r="F105" s="101"/>
      <c r="G105" s="35"/>
      <c r="H105" s="104"/>
      <c r="I105" s="35"/>
      <c r="J105" s="74"/>
      <c r="K105" s="74"/>
      <c r="L105" s="74"/>
      <c r="M105" s="74"/>
      <c r="N105" s="74"/>
      <c r="O105" s="74"/>
      <c r="P105" s="74"/>
      <c r="Q105" s="74"/>
      <c r="R105" s="74"/>
      <c r="S105" s="74"/>
      <c r="T105" s="74"/>
      <c r="U105" s="74"/>
      <c r="V105" s="74"/>
      <c r="W105" s="74"/>
      <c r="X105" s="74"/>
      <c r="Y105" s="74"/>
      <c r="Z105" s="74"/>
      <c r="AA105" s="74"/>
      <c r="AB105" s="74"/>
    </row>
    <row r="106" spans="1:28" ht="12" customHeight="1">
      <c r="A106" s="569"/>
      <c r="B106" s="574"/>
      <c r="C106" s="575"/>
      <c r="D106" s="576"/>
      <c r="E106" s="101"/>
      <c r="F106" s="101"/>
      <c r="G106" s="35"/>
      <c r="H106" s="104"/>
      <c r="I106" s="35"/>
      <c r="J106" s="74"/>
      <c r="K106" s="74"/>
      <c r="L106" s="74"/>
      <c r="M106" s="74"/>
      <c r="N106" s="74"/>
      <c r="O106" s="74"/>
      <c r="P106" s="74"/>
      <c r="Q106" s="74"/>
      <c r="R106" s="74"/>
      <c r="S106" s="74"/>
      <c r="T106" s="74"/>
      <c r="U106" s="74"/>
      <c r="V106" s="74"/>
      <c r="W106" s="74"/>
      <c r="X106" s="74"/>
      <c r="Y106" s="74"/>
      <c r="Z106" s="74"/>
      <c r="AA106" s="74"/>
      <c r="AB106" s="74"/>
    </row>
    <row r="107" spans="1:28" ht="12" customHeight="1">
      <c r="A107" s="569"/>
      <c r="B107" s="574"/>
      <c r="C107" s="575"/>
      <c r="D107" s="576"/>
      <c r="E107" s="101"/>
      <c r="F107" s="101"/>
      <c r="G107" s="35"/>
      <c r="H107" s="104"/>
      <c r="I107" s="35"/>
      <c r="J107" s="74"/>
      <c r="K107" s="74"/>
      <c r="L107" s="74"/>
      <c r="M107" s="74"/>
      <c r="N107" s="74"/>
      <c r="O107" s="74"/>
      <c r="P107" s="74"/>
      <c r="Q107" s="74"/>
      <c r="R107" s="74"/>
      <c r="S107" s="74"/>
      <c r="T107" s="74"/>
      <c r="U107" s="74"/>
      <c r="V107" s="74"/>
      <c r="W107" s="74"/>
      <c r="X107" s="74"/>
      <c r="Y107" s="74"/>
      <c r="Z107" s="74"/>
      <c r="AA107" s="74"/>
      <c r="AB107" s="74"/>
    </row>
    <row r="108" spans="1:28" ht="12" customHeight="1">
      <c r="A108" s="569"/>
      <c r="B108" s="574"/>
      <c r="C108" s="575"/>
      <c r="D108" s="576"/>
      <c r="E108" s="101"/>
      <c r="F108" s="101"/>
      <c r="G108" s="35"/>
      <c r="H108" s="104"/>
      <c r="I108" s="35"/>
      <c r="J108" s="74"/>
      <c r="K108" s="74"/>
      <c r="L108" s="74"/>
      <c r="M108" s="74"/>
      <c r="N108" s="74"/>
      <c r="O108" s="74"/>
      <c r="P108" s="74"/>
      <c r="Q108" s="74"/>
      <c r="R108" s="74"/>
      <c r="S108" s="74"/>
      <c r="T108" s="74"/>
      <c r="U108" s="74"/>
      <c r="V108" s="74"/>
      <c r="W108" s="74"/>
      <c r="X108" s="74"/>
      <c r="Y108" s="74"/>
      <c r="Z108" s="74"/>
      <c r="AA108" s="74"/>
      <c r="AB108" s="74"/>
    </row>
    <row r="109" spans="1:28" ht="12" customHeight="1">
      <c r="A109" s="569"/>
      <c r="B109" s="574"/>
      <c r="C109" s="575"/>
      <c r="D109" s="576"/>
      <c r="E109" s="101"/>
      <c r="F109" s="101"/>
      <c r="G109" s="35"/>
      <c r="H109" s="104"/>
      <c r="I109" s="35"/>
      <c r="J109" s="74"/>
      <c r="K109" s="74"/>
      <c r="L109" s="74"/>
      <c r="M109" s="74"/>
      <c r="N109" s="74"/>
      <c r="O109" s="74"/>
      <c r="P109" s="74"/>
      <c r="Q109" s="74"/>
      <c r="R109" s="74"/>
      <c r="S109" s="74"/>
      <c r="T109" s="74"/>
      <c r="U109" s="74"/>
      <c r="V109" s="74"/>
      <c r="W109" s="74"/>
      <c r="X109" s="74"/>
      <c r="Y109" s="74"/>
      <c r="Z109" s="74"/>
      <c r="AA109" s="74"/>
      <c r="AB109" s="74"/>
    </row>
    <row r="110" spans="1:28" ht="12" customHeight="1">
      <c r="A110" s="569"/>
      <c r="B110" s="574"/>
      <c r="C110" s="575"/>
      <c r="D110" s="576"/>
      <c r="E110" s="101"/>
      <c r="F110" s="101"/>
      <c r="G110" s="35"/>
      <c r="H110" s="104"/>
      <c r="I110" s="35"/>
      <c r="J110" s="74"/>
      <c r="K110" s="74"/>
      <c r="L110" s="74"/>
      <c r="M110" s="74"/>
      <c r="N110" s="74"/>
      <c r="O110" s="74"/>
      <c r="P110" s="74"/>
      <c r="Q110" s="74"/>
      <c r="R110" s="74"/>
      <c r="S110" s="74"/>
      <c r="T110" s="74"/>
      <c r="U110" s="74"/>
      <c r="V110" s="74"/>
      <c r="W110" s="74"/>
      <c r="X110" s="74"/>
      <c r="Y110" s="74"/>
      <c r="Z110" s="74"/>
      <c r="AA110" s="74"/>
      <c r="AB110" s="74"/>
    </row>
    <row r="111" spans="1:28" ht="12" customHeight="1">
      <c r="A111" s="569"/>
      <c r="B111" s="574"/>
      <c r="C111" s="575"/>
      <c r="D111" s="576"/>
      <c r="E111" s="101"/>
      <c r="F111" s="101"/>
      <c r="G111" s="35"/>
      <c r="H111" s="104"/>
      <c r="I111" s="35"/>
      <c r="J111" s="74"/>
      <c r="K111" s="74"/>
      <c r="L111" s="74"/>
      <c r="M111" s="74"/>
      <c r="N111" s="74"/>
      <c r="O111" s="74"/>
      <c r="P111" s="74"/>
      <c r="Q111" s="74"/>
      <c r="R111" s="74"/>
      <c r="S111" s="74"/>
      <c r="T111" s="74"/>
      <c r="U111" s="74"/>
      <c r="V111" s="74"/>
      <c r="W111" s="74"/>
      <c r="X111" s="74"/>
      <c r="Y111" s="74"/>
      <c r="Z111" s="74"/>
      <c r="AA111" s="74"/>
      <c r="AB111" s="74"/>
    </row>
    <row r="112" spans="1:28" ht="12" customHeight="1">
      <c r="A112" s="569"/>
      <c r="B112" s="574"/>
      <c r="C112" s="575"/>
      <c r="D112" s="576"/>
      <c r="E112" s="101"/>
      <c r="F112" s="101"/>
      <c r="G112" s="35"/>
      <c r="H112" s="104"/>
      <c r="I112" s="35"/>
      <c r="J112" s="74"/>
      <c r="K112" s="74"/>
      <c r="L112" s="74"/>
      <c r="M112" s="74"/>
      <c r="N112" s="74"/>
      <c r="O112" s="74"/>
      <c r="P112" s="74"/>
      <c r="Q112" s="74"/>
      <c r="R112" s="74"/>
      <c r="S112" s="74"/>
      <c r="T112" s="74"/>
      <c r="U112" s="74"/>
      <c r="V112" s="74"/>
      <c r="W112" s="74"/>
      <c r="X112" s="74"/>
      <c r="Y112" s="74"/>
      <c r="Z112" s="74"/>
      <c r="AA112" s="74"/>
      <c r="AB112" s="74"/>
    </row>
    <row r="113" spans="1:28" ht="12" customHeight="1">
      <c r="A113" s="569"/>
      <c r="B113" s="574"/>
      <c r="C113" s="575"/>
      <c r="D113" s="576"/>
      <c r="E113" s="101"/>
      <c r="F113" s="101"/>
      <c r="G113" s="35"/>
      <c r="H113" s="104"/>
      <c r="I113" s="35"/>
      <c r="J113" s="74"/>
      <c r="K113" s="74"/>
      <c r="L113" s="74"/>
      <c r="M113" s="74"/>
      <c r="N113" s="74"/>
      <c r="O113" s="74"/>
      <c r="P113" s="74"/>
      <c r="Q113" s="74"/>
      <c r="R113" s="74"/>
      <c r="S113" s="74"/>
      <c r="T113" s="74"/>
      <c r="U113" s="74"/>
      <c r="V113" s="74"/>
      <c r="W113" s="74"/>
      <c r="X113" s="74"/>
      <c r="Y113" s="74"/>
      <c r="Z113" s="74"/>
      <c r="AA113" s="74"/>
      <c r="AB113" s="74"/>
    </row>
    <row r="114" spans="1:28" ht="12" customHeight="1">
      <c r="A114" s="569"/>
      <c r="B114" s="574"/>
      <c r="C114" s="575"/>
      <c r="D114" s="576"/>
      <c r="E114" s="101"/>
      <c r="F114" s="101"/>
      <c r="G114" s="35"/>
      <c r="H114" s="104"/>
      <c r="I114" s="35"/>
      <c r="J114" s="74"/>
      <c r="K114" s="74"/>
      <c r="L114" s="74"/>
      <c r="M114" s="74"/>
      <c r="N114" s="74"/>
      <c r="O114" s="74"/>
      <c r="P114" s="74"/>
      <c r="Q114" s="74"/>
      <c r="R114" s="74"/>
      <c r="S114" s="74"/>
      <c r="T114" s="74"/>
      <c r="U114" s="74"/>
      <c r="V114" s="74"/>
      <c r="W114" s="74"/>
      <c r="X114" s="74"/>
      <c r="Y114" s="74"/>
      <c r="Z114" s="74"/>
      <c r="AA114" s="74"/>
      <c r="AB114" s="74"/>
    </row>
    <row r="115" spans="1:28" ht="12" customHeight="1">
      <c r="A115" s="569"/>
      <c r="B115" s="574"/>
      <c r="C115" s="575"/>
      <c r="D115" s="576"/>
      <c r="E115" s="101"/>
      <c r="F115" s="101"/>
      <c r="G115" s="35"/>
      <c r="H115" s="104"/>
      <c r="I115" s="35"/>
      <c r="J115" s="74"/>
      <c r="K115" s="74"/>
      <c r="L115" s="74"/>
      <c r="M115" s="74"/>
      <c r="N115" s="74"/>
      <c r="O115" s="74"/>
      <c r="P115" s="74"/>
      <c r="Q115" s="74"/>
      <c r="R115" s="74"/>
      <c r="S115" s="74"/>
      <c r="T115" s="74"/>
      <c r="U115" s="74"/>
      <c r="V115" s="74"/>
      <c r="W115" s="74"/>
      <c r="X115" s="74"/>
      <c r="Y115" s="74"/>
      <c r="Z115" s="74"/>
      <c r="AA115" s="74"/>
      <c r="AB115" s="74"/>
    </row>
    <row r="116" spans="1:28" ht="12" customHeight="1">
      <c r="A116" s="569"/>
      <c r="B116" s="574"/>
      <c r="C116" s="575"/>
      <c r="D116" s="576"/>
      <c r="E116" s="101"/>
      <c r="F116" s="101"/>
      <c r="G116" s="35"/>
      <c r="H116" s="104"/>
      <c r="I116" s="35"/>
      <c r="J116" s="74"/>
      <c r="K116" s="74"/>
      <c r="L116" s="74"/>
      <c r="M116" s="74"/>
      <c r="N116" s="74"/>
      <c r="O116" s="74"/>
      <c r="P116" s="74"/>
      <c r="Q116" s="74"/>
      <c r="R116" s="74"/>
      <c r="S116" s="74"/>
      <c r="T116" s="74"/>
      <c r="U116" s="74"/>
      <c r="V116" s="74"/>
      <c r="W116" s="74"/>
      <c r="X116" s="74"/>
      <c r="Y116" s="74"/>
      <c r="Z116" s="74"/>
      <c r="AA116" s="74"/>
      <c r="AB116" s="74"/>
    </row>
    <row r="117" spans="1:28" ht="12" customHeight="1">
      <c r="A117" s="569"/>
      <c r="B117" s="574"/>
      <c r="C117" s="575"/>
      <c r="D117" s="576"/>
      <c r="E117" s="101"/>
      <c r="F117" s="101"/>
      <c r="G117" s="35"/>
      <c r="H117" s="104"/>
      <c r="I117" s="35"/>
      <c r="J117" s="74"/>
      <c r="K117" s="74"/>
      <c r="L117" s="74"/>
      <c r="M117" s="74"/>
      <c r="N117" s="74"/>
      <c r="O117" s="74"/>
      <c r="P117" s="74"/>
      <c r="Q117" s="74"/>
      <c r="R117" s="74"/>
      <c r="S117" s="74"/>
      <c r="T117" s="74"/>
      <c r="U117" s="74"/>
      <c r="V117" s="74"/>
      <c r="W117" s="74"/>
      <c r="X117" s="74"/>
      <c r="Y117" s="74"/>
      <c r="Z117" s="74"/>
      <c r="AA117" s="74"/>
      <c r="AB117" s="74"/>
    </row>
    <row r="118" spans="1:28" ht="12" customHeight="1">
      <c r="A118" s="569"/>
      <c r="B118" s="574"/>
      <c r="C118" s="575"/>
      <c r="D118" s="576"/>
      <c r="E118" s="101"/>
      <c r="F118" s="101"/>
      <c r="G118" s="35"/>
      <c r="H118" s="104"/>
      <c r="I118" s="35"/>
      <c r="J118" s="74"/>
      <c r="K118" s="74"/>
      <c r="L118" s="74"/>
      <c r="M118" s="74"/>
      <c r="N118" s="74"/>
      <c r="O118" s="74"/>
      <c r="P118" s="74"/>
      <c r="Q118" s="74"/>
      <c r="R118" s="74"/>
      <c r="S118" s="74"/>
      <c r="T118" s="74"/>
      <c r="U118" s="74"/>
      <c r="V118" s="74"/>
      <c r="W118" s="74"/>
      <c r="X118" s="74"/>
      <c r="Y118" s="74"/>
      <c r="Z118" s="74"/>
      <c r="AA118" s="74"/>
      <c r="AB118" s="74"/>
    </row>
    <row r="119" spans="1:28" ht="12" customHeight="1">
      <c r="A119" s="569"/>
      <c r="B119" s="574"/>
      <c r="C119" s="575"/>
      <c r="D119" s="576"/>
      <c r="E119" s="101"/>
      <c r="F119" s="101"/>
      <c r="G119" s="35"/>
      <c r="H119" s="104"/>
      <c r="I119" s="35"/>
      <c r="J119" s="74"/>
      <c r="K119" s="74"/>
      <c r="L119" s="74"/>
      <c r="M119" s="74"/>
      <c r="N119" s="74"/>
      <c r="O119" s="74"/>
      <c r="P119" s="74"/>
      <c r="Q119" s="74"/>
      <c r="R119" s="74"/>
      <c r="S119" s="74"/>
      <c r="T119" s="74"/>
      <c r="U119" s="74"/>
      <c r="V119" s="74"/>
      <c r="W119" s="74"/>
      <c r="X119" s="74"/>
      <c r="Y119" s="74"/>
      <c r="Z119" s="74"/>
      <c r="AA119" s="74"/>
      <c r="AB119" s="74"/>
    </row>
    <row r="120" spans="1:28" ht="12" customHeight="1">
      <c r="A120" s="569"/>
      <c r="B120" s="574"/>
      <c r="C120" s="575"/>
      <c r="D120" s="576"/>
      <c r="E120" s="101"/>
      <c r="F120" s="101"/>
      <c r="G120" s="35"/>
      <c r="H120" s="104"/>
      <c r="I120" s="35"/>
      <c r="J120" s="74"/>
      <c r="K120" s="74"/>
      <c r="L120" s="74"/>
      <c r="M120" s="74"/>
      <c r="N120" s="74"/>
      <c r="O120" s="74"/>
      <c r="P120" s="74"/>
      <c r="Q120" s="74"/>
      <c r="R120" s="74"/>
      <c r="S120" s="74"/>
      <c r="T120" s="74"/>
      <c r="U120" s="74"/>
      <c r="V120" s="74"/>
      <c r="W120" s="74"/>
      <c r="X120" s="74"/>
      <c r="Y120" s="74"/>
      <c r="Z120" s="74"/>
      <c r="AA120" s="74"/>
      <c r="AB120" s="74"/>
    </row>
    <row r="121" spans="1:28" ht="12" customHeight="1">
      <c r="A121" s="569"/>
      <c r="B121" s="574"/>
      <c r="C121" s="575"/>
      <c r="D121" s="576"/>
      <c r="E121" s="101"/>
      <c r="F121" s="101"/>
      <c r="G121" s="35"/>
      <c r="H121" s="104"/>
      <c r="I121" s="35"/>
      <c r="J121" s="74"/>
      <c r="K121" s="74"/>
      <c r="L121" s="74"/>
      <c r="M121" s="74"/>
      <c r="N121" s="74"/>
      <c r="O121" s="74"/>
      <c r="P121" s="74"/>
      <c r="Q121" s="74"/>
      <c r="R121" s="74"/>
      <c r="S121" s="74"/>
      <c r="T121" s="74"/>
      <c r="U121" s="74"/>
      <c r="V121" s="74"/>
      <c r="W121" s="74"/>
      <c r="X121" s="74"/>
      <c r="Y121" s="74"/>
      <c r="Z121" s="74"/>
      <c r="AA121" s="74"/>
      <c r="AB121" s="74"/>
    </row>
    <row r="122" spans="1:28" ht="12" customHeight="1">
      <c r="A122" s="569"/>
      <c r="B122" s="574"/>
      <c r="C122" s="575"/>
      <c r="D122" s="576"/>
      <c r="E122" s="101"/>
      <c r="F122" s="101"/>
      <c r="G122" s="35"/>
      <c r="H122" s="104"/>
      <c r="I122" s="35"/>
      <c r="J122" s="74"/>
      <c r="K122" s="74"/>
      <c r="L122" s="74"/>
      <c r="M122" s="74"/>
      <c r="N122" s="74"/>
      <c r="O122" s="74"/>
      <c r="P122" s="74"/>
      <c r="Q122" s="74"/>
      <c r="R122" s="74"/>
      <c r="S122" s="74"/>
      <c r="T122" s="74"/>
      <c r="U122" s="74"/>
      <c r="V122" s="74"/>
      <c r="W122" s="74"/>
      <c r="X122" s="74"/>
      <c r="Y122" s="74"/>
      <c r="Z122" s="74"/>
      <c r="AA122" s="74"/>
      <c r="AB122" s="74"/>
    </row>
    <row r="123" spans="1:28" ht="12" customHeight="1">
      <c r="A123" s="569"/>
      <c r="B123" s="574"/>
      <c r="C123" s="575"/>
      <c r="D123" s="576"/>
      <c r="E123" s="101"/>
      <c r="F123" s="101"/>
      <c r="G123" s="35"/>
      <c r="H123" s="104"/>
      <c r="I123" s="35"/>
      <c r="J123" s="74"/>
      <c r="K123" s="74"/>
      <c r="L123" s="74"/>
      <c r="M123" s="74"/>
      <c r="N123" s="74"/>
      <c r="O123" s="74"/>
      <c r="P123" s="74"/>
      <c r="Q123" s="74"/>
      <c r="R123" s="74"/>
      <c r="S123" s="74"/>
      <c r="T123" s="74"/>
      <c r="U123" s="74"/>
      <c r="V123" s="74"/>
      <c r="W123" s="74"/>
      <c r="X123" s="74"/>
      <c r="Y123" s="74"/>
      <c r="Z123" s="74"/>
      <c r="AA123" s="74"/>
      <c r="AB123" s="74"/>
    </row>
    <row r="124" spans="1:28" ht="12" customHeight="1">
      <c r="A124" s="569"/>
      <c r="B124" s="574"/>
      <c r="C124" s="575"/>
      <c r="D124" s="576"/>
      <c r="E124" s="101"/>
      <c r="F124" s="101"/>
      <c r="G124" s="35"/>
      <c r="H124" s="104"/>
      <c r="I124" s="35"/>
      <c r="J124" s="74"/>
      <c r="K124" s="74"/>
      <c r="L124" s="74"/>
      <c r="M124" s="74"/>
      <c r="N124" s="74"/>
      <c r="O124" s="74"/>
      <c r="P124" s="74"/>
      <c r="Q124" s="74"/>
      <c r="R124" s="74"/>
      <c r="S124" s="74"/>
      <c r="T124" s="74"/>
      <c r="U124" s="74"/>
      <c r="V124" s="74"/>
      <c r="W124" s="74"/>
      <c r="X124" s="74"/>
      <c r="Y124" s="74"/>
      <c r="Z124" s="74"/>
      <c r="AA124" s="74"/>
      <c r="AB124" s="74"/>
    </row>
    <row r="125" spans="1:28" ht="12" customHeight="1">
      <c r="A125" s="569"/>
      <c r="B125" s="574"/>
      <c r="C125" s="575"/>
      <c r="D125" s="576"/>
      <c r="E125" s="101"/>
      <c r="F125" s="101"/>
      <c r="G125" s="35"/>
      <c r="H125" s="104"/>
      <c r="I125" s="35"/>
      <c r="J125" s="74"/>
      <c r="K125" s="74"/>
      <c r="L125" s="74"/>
      <c r="M125" s="74"/>
      <c r="N125" s="74"/>
      <c r="O125" s="74"/>
      <c r="P125" s="74"/>
      <c r="Q125" s="74"/>
      <c r="R125" s="74"/>
      <c r="S125" s="74"/>
      <c r="T125" s="74"/>
      <c r="U125" s="74"/>
      <c r="V125" s="74"/>
      <c r="W125" s="74"/>
      <c r="X125" s="74"/>
      <c r="Y125" s="74"/>
      <c r="Z125" s="74"/>
      <c r="AA125" s="74"/>
      <c r="AB125" s="74"/>
    </row>
    <row r="126" spans="1:28" ht="12" customHeight="1">
      <c r="A126" s="569"/>
      <c r="B126" s="574"/>
      <c r="C126" s="575"/>
      <c r="D126" s="576"/>
      <c r="E126" s="101"/>
      <c r="F126" s="101"/>
      <c r="G126" s="35"/>
      <c r="H126" s="104"/>
      <c r="I126" s="35"/>
      <c r="J126" s="74"/>
      <c r="K126" s="74"/>
      <c r="L126" s="74"/>
      <c r="M126" s="74"/>
      <c r="N126" s="74"/>
      <c r="O126" s="74"/>
      <c r="P126" s="74"/>
      <c r="Q126" s="74"/>
      <c r="R126" s="74"/>
      <c r="S126" s="74"/>
      <c r="T126" s="74"/>
      <c r="U126" s="74"/>
      <c r="V126" s="74"/>
      <c r="W126" s="74"/>
      <c r="X126" s="74"/>
      <c r="Y126" s="74"/>
      <c r="Z126" s="74"/>
      <c r="AA126" s="74"/>
      <c r="AB126" s="74"/>
    </row>
    <row r="127" spans="1:28" ht="12" customHeight="1">
      <c r="A127" s="569"/>
      <c r="B127" s="574"/>
      <c r="C127" s="575"/>
      <c r="D127" s="576"/>
      <c r="E127" s="101"/>
      <c r="F127" s="101"/>
      <c r="G127" s="35"/>
      <c r="H127" s="104"/>
      <c r="I127" s="35"/>
      <c r="J127" s="74"/>
      <c r="K127" s="74"/>
      <c r="L127" s="74"/>
      <c r="M127" s="74"/>
      <c r="N127" s="74"/>
      <c r="O127" s="74"/>
      <c r="P127" s="74"/>
      <c r="Q127" s="74"/>
      <c r="R127" s="74"/>
      <c r="S127" s="74"/>
      <c r="T127" s="74"/>
      <c r="U127" s="74"/>
      <c r="V127" s="74"/>
      <c r="W127" s="74"/>
      <c r="X127" s="74"/>
      <c r="Y127" s="74"/>
      <c r="Z127" s="74"/>
      <c r="AA127" s="74"/>
      <c r="AB127" s="74"/>
    </row>
    <row r="128" spans="1:28" ht="12" customHeight="1">
      <c r="A128" s="569"/>
      <c r="B128" s="574"/>
      <c r="C128" s="575"/>
      <c r="D128" s="576"/>
      <c r="E128" s="101"/>
      <c r="F128" s="101"/>
      <c r="G128" s="35"/>
      <c r="H128" s="104"/>
      <c r="I128" s="35"/>
      <c r="J128" s="74"/>
      <c r="K128" s="74"/>
      <c r="L128" s="74"/>
      <c r="M128" s="74"/>
      <c r="N128" s="74"/>
      <c r="O128" s="74"/>
      <c r="P128" s="74"/>
      <c r="Q128" s="74"/>
      <c r="R128" s="74"/>
      <c r="S128" s="74"/>
      <c r="T128" s="74"/>
      <c r="U128" s="74"/>
      <c r="V128" s="74"/>
      <c r="W128" s="74"/>
      <c r="X128" s="74"/>
      <c r="Y128" s="74"/>
      <c r="Z128" s="74"/>
      <c r="AA128" s="74"/>
      <c r="AB128" s="74"/>
    </row>
    <row r="129" spans="1:28" ht="12" customHeight="1">
      <c r="A129" s="569"/>
      <c r="B129" s="574"/>
      <c r="C129" s="575"/>
      <c r="D129" s="576"/>
      <c r="E129" s="101"/>
      <c r="F129" s="101"/>
      <c r="G129" s="35"/>
      <c r="H129" s="104"/>
      <c r="I129" s="35"/>
      <c r="J129" s="74"/>
      <c r="K129" s="74"/>
      <c r="L129" s="74"/>
      <c r="M129" s="74"/>
      <c r="N129" s="74"/>
      <c r="O129" s="74"/>
      <c r="P129" s="74"/>
      <c r="Q129" s="74"/>
      <c r="R129" s="74"/>
      <c r="S129" s="74"/>
      <c r="T129" s="74"/>
      <c r="U129" s="74"/>
      <c r="V129" s="74"/>
      <c r="W129" s="74"/>
      <c r="X129" s="74"/>
      <c r="Y129" s="74"/>
      <c r="Z129" s="74"/>
      <c r="AA129" s="74"/>
      <c r="AB129" s="74"/>
    </row>
    <row r="130" spans="1:28" ht="12" customHeight="1">
      <c r="A130" s="569"/>
      <c r="B130" s="574"/>
      <c r="C130" s="575"/>
      <c r="D130" s="576"/>
      <c r="E130" s="101"/>
      <c r="F130" s="101"/>
      <c r="G130" s="35"/>
      <c r="H130" s="104"/>
      <c r="I130" s="35"/>
      <c r="J130" s="74"/>
      <c r="K130" s="74"/>
      <c r="L130" s="74"/>
      <c r="M130" s="74"/>
      <c r="N130" s="74"/>
      <c r="O130" s="74"/>
      <c r="P130" s="74"/>
      <c r="Q130" s="74"/>
      <c r="R130" s="74"/>
      <c r="S130" s="74"/>
      <c r="T130" s="74"/>
      <c r="U130" s="74"/>
      <c r="V130" s="74"/>
      <c r="W130" s="74"/>
      <c r="X130" s="74"/>
      <c r="Y130" s="74"/>
      <c r="Z130" s="74"/>
      <c r="AA130" s="74"/>
      <c r="AB130" s="74"/>
    </row>
    <row r="131" spans="1:28" ht="12" customHeight="1">
      <c r="A131" s="569"/>
      <c r="B131" s="574"/>
      <c r="C131" s="575"/>
      <c r="D131" s="576"/>
      <c r="E131" s="101"/>
      <c r="F131" s="101"/>
      <c r="G131" s="35"/>
      <c r="H131" s="104"/>
      <c r="I131" s="35"/>
      <c r="J131" s="74"/>
      <c r="K131" s="74"/>
      <c r="L131" s="74"/>
      <c r="M131" s="74"/>
      <c r="N131" s="74"/>
      <c r="O131" s="74"/>
      <c r="P131" s="74"/>
      <c r="Q131" s="74"/>
      <c r="R131" s="74"/>
      <c r="S131" s="74"/>
      <c r="T131" s="74"/>
      <c r="U131" s="74"/>
      <c r="V131" s="74"/>
      <c r="W131" s="74"/>
      <c r="X131" s="74"/>
      <c r="Y131" s="74"/>
      <c r="Z131" s="74"/>
      <c r="AA131" s="74"/>
      <c r="AB131" s="74"/>
    </row>
    <row r="132" spans="1:28" ht="12" customHeight="1">
      <c r="A132" s="569"/>
      <c r="B132" s="574"/>
      <c r="C132" s="575"/>
      <c r="D132" s="576"/>
      <c r="E132" s="101"/>
      <c r="F132" s="101"/>
      <c r="G132" s="35"/>
      <c r="H132" s="104"/>
      <c r="I132" s="35"/>
      <c r="J132" s="74"/>
      <c r="K132" s="74"/>
      <c r="L132" s="74"/>
      <c r="M132" s="74"/>
      <c r="N132" s="74"/>
      <c r="O132" s="74"/>
      <c r="P132" s="74"/>
      <c r="Q132" s="74"/>
      <c r="R132" s="74"/>
      <c r="S132" s="74"/>
      <c r="T132" s="74"/>
      <c r="U132" s="74"/>
      <c r="V132" s="74"/>
      <c r="W132" s="74"/>
      <c r="X132" s="74"/>
      <c r="Y132" s="74"/>
      <c r="Z132" s="74"/>
      <c r="AA132" s="74"/>
      <c r="AB132" s="74"/>
    </row>
    <row r="133" spans="1:28" ht="12" customHeight="1">
      <c r="A133" s="569"/>
      <c r="B133" s="574"/>
      <c r="C133" s="575"/>
      <c r="D133" s="576"/>
      <c r="E133" s="101"/>
      <c r="F133" s="101"/>
      <c r="G133" s="35"/>
      <c r="H133" s="104"/>
      <c r="I133" s="35"/>
      <c r="J133" s="74"/>
      <c r="K133" s="74"/>
      <c r="L133" s="74"/>
      <c r="M133" s="74"/>
      <c r="N133" s="74"/>
      <c r="O133" s="74"/>
      <c r="P133" s="74"/>
      <c r="Q133" s="74"/>
      <c r="R133" s="74"/>
      <c r="S133" s="74"/>
      <c r="T133" s="74"/>
      <c r="U133" s="74"/>
      <c r="V133" s="74"/>
      <c r="W133" s="74"/>
      <c r="X133" s="74"/>
      <c r="Y133" s="74"/>
      <c r="Z133" s="74"/>
      <c r="AA133" s="74"/>
      <c r="AB133" s="74"/>
    </row>
    <row r="134" spans="1:28" ht="12" customHeight="1">
      <c r="A134" s="569"/>
      <c r="B134" s="574"/>
      <c r="C134" s="575"/>
      <c r="D134" s="576"/>
      <c r="E134" s="101"/>
      <c r="F134" s="101"/>
      <c r="G134" s="35"/>
      <c r="H134" s="104"/>
      <c r="I134" s="35"/>
      <c r="J134" s="74"/>
      <c r="K134" s="74"/>
      <c r="L134" s="74"/>
      <c r="M134" s="74"/>
      <c r="N134" s="74"/>
      <c r="O134" s="74"/>
      <c r="P134" s="74"/>
      <c r="Q134" s="74"/>
      <c r="R134" s="74"/>
      <c r="S134" s="74"/>
      <c r="T134" s="74"/>
      <c r="U134" s="74"/>
      <c r="V134" s="74"/>
      <c r="W134" s="74"/>
      <c r="X134" s="74"/>
      <c r="Y134" s="74"/>
      <c r="Z134" s="74"/>
      <c r="AA134" s="74"/>
      <c r="AB134" s="74"/>
    </row>
    <row r="135" spans="1:28" ht="12" customHeight="1">
      <c r="A135" s="569"/>
      <c r="B135" s="574"/>
      <c r="C135" s="575"/>
      <c r="D135" s="576"/>
      <c r="E135" s="101"/>
      <c r="F135" s="101"/>
      <c r="G135" s="35"/>
      <c r="H135" s="104"/>
      <c r="I135" s="35"/>
      <c r="J135" s="74"/>
      <c r="K135" s="74"/>
      <c r="L135" s="74"/>
      <c r="M135" s="74"/>
      <c r="N135" s="74"/>
      <c r="O135" s="74"/>
      <c r="P135" s="74"/>
      <c r="Q135" s="74"/>
      <c r="R135" s="74"/>
      <c r="S135" s="74"/>
      <c r="T135" s="74"/>
      <c r="U135" s="74"/>
      <c r="V135" s="74"/>
      <c r="W135" s="74"/>
      <c r="X135" s="74"/>
      <c r="Y135" s="74"/>
      <c r="Z135" s="74"/>
      <c r="AA135" s="74"/>
      <c r="AB135" s="74"/>
    </row>
    <row r="136" spans="1:28" ht="12" customHeight="1">
      <c r="A136" s="569"/>
      <c r="B136" s="574"/>
      <c r="C136" s="575"/>
      <c r="D136" s="576"/>
      <c r="E136" s="101"/>
      <c r="F136" s="101"/>
      <c r="G136" s="35"/>
      <c r="H136" s="104"/>
      <c r="I136" s="35"/>
      <c r="J136" s="74"/>
      <c r="K136" s="74"/>
      <c r="L136" s="74"/>
      <c r="M136" s="74"/>
      <c r="N136" s="74"/>
      <c r="O136" s="74"/>
      <c r="P136" s="74"/>
      <c r="Q136" s="74"/>
      <c r="R136" s="74"/>
      <c r="S136" s="74"/>
      <c r="T136" s="74"/>
      <c r="U136" s="74"/>
      <c r="V136" s="74"/>
      <c r="W136" s="74"/>
      <c r="X136" s="74"/>
      <c r="Y136" s="74"/>
      <c r="Z136" s="74"/>
      <c r="AA136" s="74"/>
      <c r="AB136" s="74"/>
    </row>
    <row r="137" spans="1:28" ht="12" customHeight="1">
      <c r="A137" s="569"/>
      <c r="B137" s="574"/>
      <c r="C137" s="575"/>
      <c r="D137" s="576"/>
      <c r="E137" s="101"/>
      <c r="F137" s="101"/>
      <c r="G137" s="35"/>
      <c r="H137" s="104"/>
      <c r="I137" s="35"/>
      <c r="J137" s="74"/>
      <c r="K137" s="74"/>
      <c r="L137" s="74"/>
      <c r="M137" s="74"/>
      <c r="N137" s="74"/>
      <c r="O137" s="74"/>
      <c r="P137" s="74"/>
      <c r="Q137" s="74"/>
      <c r="R137" s="74"/>
      <c r="S137" s="74"/>
      <c r="T137" s="74"/>
      <c r="U137" s="74"/>
      <c r="V137" s="74"/>
      <c r="W137" s="74"/>
      <c r="X137" s="74"/>
      <c r="Y137" s="74"/>
      <c r="Z137" s="74"/>
      <c r="AA137" s="74"/>
      <c r="AB137" s="74"/>
    </row>
    <row r="138" spans="1:28" ht="12" customHeight="1">
      <c r="A138" s="569"/>
      <c r="B138" s="574"/>
      <c r="C138" s="575"/>
      <c r="D138" s="576"/>
      <c r="E138" s="101"/>
      <c r="F138" s="101"/>
      <c r="G138" s="35"/>
      <c r="H138" s="104"/>
      <c r="I138" s="35"/>
      <c r="J138" s="74"/>
      <c r="K138" s="74"/>
      <c r="L138" s="74"/>
      <c r="M138" s="74"/>
      <c r="N138" s="74"/>
      <c r="O138" s="74"/>
      <c r="P138" s="74"/>
      <c r="Q138" s="74"/>
      <c r="R138" s="74"/>
      <c r="S138" s="74"/>
      <c r="T138" s="74"/>
      <c r="U138" s="74"/>
      <c r="V138" s="74"/>
      <c r="W138" s="74"/>
      <c r="X138" s="74"/>
      <c r="Y138" s="74"/>
      <c r="Z138" s="74"/>
      <c r="AA138" s="74"/>
      <c r="AB138" s="74"/>
    </row>
    <row r="139" spans="1:28" ht="12" customHeight="1">
      <c r="A139" s="569"/>
      <c r="B139" s="574"/>
      <c r="C139" s="575"/>
      <c r="D139" s="576"/>
      <c r="E139" s="101"/>
      <c r="F139" s="101"/>
      <c r="G139" s="35"/>
      <c r="H139" s="104"/>
      <c r="I139" s="35"/>
      <c r="J139" s="74"/>
      <c r="K139" s="74"/>
      <c r="L139" s="74"/>
      <c r="M139" s="74"/>
      <c r="N139" s="74"/>
      <c r="O139" s="74"/>
      <c r="P139" s="74"/>
      <c r="Q139" s="74"/>
      <c r="R139" s="74"/>
      <c r="S139" s="74"/>
      <c r="T139" s="74"/>
      <c r="U139" s="74"/>
      <c r="V139" s="74"/>
      <c r="W139" s="74"/>
      <c r="X139" s="74"/>
      <c r="Y139" s="74"/>
      <c r="Z139" s="74"/>
      <c r="AA139" s="74"/>
      <c r="AB139" s="74"/>
    </row>
    <row r="140" spans="1:28" ht="12" customHeight="1">
      <c r="A140" s="569"/>
      <c r="B140" s="574"/>
      <c r="C140" s="575"/>
      <c r="D140" s="576"/>
      <c r="E140" s="101"/>
      <c r="F140" s="101"/>
      <c r="G140" s="35"/>
      <c r="H140" s="104"/>
      <c r="I140" s="35"/>
      <c r="J140" s="74"/>
      <c r="K140" s="74"/>
      <c r="L140" s="74"/>
      <c r="M140" s="74"/>
      <c r="N140" s="74"/>
      <c r="O140" s="74"/>
      <c r="P140" s="74"/>
      <c r="Q140" s="74"/>
      <c r="R140" s="74"/>
      <c r="S140" s="74"/>
      <c r="T140" s="74"/>
      <c r="U140" s="74"/>
      <c r="V140" s="74"/>
      <c r="W140" s="74"/>
      <c r="X140" s="74"/>
      <c r="Y140" s="74"/>
      <c r="Z140" s="74"/>
      <c r="AA140" s="74"/>
      <c r="AB140" s="74"/>
    </row>
    <row r="141" spans="1:28" ht="12" customHeight="1">
      <c r="A141" s="569"/>
      <c r="B141" s="574"/>
      <c r="C141" s="575"/>
      <c r="D141" s="576"/>
      <c r="E141" s="101"/>
      <c r="F141" s="101"/>
      <c r="G141" s="35"/>
      <c r="H141" s="104"/>
      <c r="I141" s="35"/>
      <c r="J141" s="74"/>
      <c r="K141" s="74"/>
      <c r="L141" s="74"/>
      <c r="M141" s="74"/>
      <c r="N141" s="74"/>
      <c r="O141" s="74"/>
      <c r="P141" s="74"/>
      <c r="Q141" s="74"/>
      <c r="R141" s="74"/>
      <c r="S141" s="74"/>
      <c r="T141" s="74"/>
      <c r="U141" s="74"/>
      <c r="V141" s="74"/>
      <c r="W141" s="74"/>
      <c r="X141" s="74"/>
      <c r="Y141" s="74"/>
      <c r="Z141" s="74"/>
      <c r="AA141" s="74"/>
      <c r="AB141" s="74"/>
    </row>
    <row r="142" spans="1:28" ht="12" customHeight="1">
      <c r="A142" s="569"/>
      <c r="B142" s="574"/>
      <c r="C142" s="575"/>
      <c r="D142" s="576"/>
      <c r="E142" s="101"/>
      <c r="F142" s="101"/>
      <c r="G142" s="35"/>
      <c r="H142" s="104"/>
      <c r="I142" s="35"/>
      <c r="J142" s="74"/>
      <c r="K142" s="74"/>
      <c r="L142" s="74"/>
      <c r="M142" s="74"/>
      <c r="N142" s="74"/>
      <c r="O142" s="74"/>
      <c r="P142" s="74"/>
      <c r="Q142" s="74"/>
      <c r="R142" s="74"/>
      <c r="S142" s="74"/>
      <c r="T142" s="74"/>
      <c r="U142" s="74"/>
      <c r="V142" s="74"/>
      <c r="W142" s="74"/>
      <c r="X142" s="74"/>
      <c r="Y142" s="74"/>
      <c r="Z142" s="74"/>
      <c r="AA142" s="74"/>
      <c r="AB142" s="74"/>
    </row>
    <row r="143" spans="1:28" ht="12" customHeight="1">
      <c r="A143" s="569"/>
      <c r="B143" s="574"/>
      <c r="C143" s="575"/>
      <c r="D143" s="576"/>
      <c r="E143" s="101"/>
      <c r="F143" s="101"/>
      <c r="G143" s="35"/>
      <c r="H143" s="104"/>
      <c r="I143" s="35"/>
      <c r="J143" s="74"/>
      <c r="K143" s="74"/>
      <c r="L143" s="74"/>
      <c r="M143" s="74"/>
      <c r="N143" s="74"/>
      <c r="O143" s="74"/>
      <c r="P143" s="74"/>
      <c r="Q143" s="74"/>
      <c r="R143" s="74"/>
      <c r="S143" s="74"/>
      <c r="T143" s="74"/>
      <c r="U143" s="74"/>
      <c r="V143" s="74"/>
      <c r="W143" s="74"/>
      <c r="X143" s="74"/>
      <c r="Y143" s="74"/>
      <c r="Z143" s="74"/>
      <c r="AA143" s="74"/>
      <c r="AB143" s="74"/>
    </row>
    <row r="144" spans="1:28" ht="12" customHeight="1">
      <c r="A144" s="569"/>
      <c r="B144" s="574"/>
      <c r="C144" s="575"/>
      <c r="D144" s="576"/>
      <c r="E144" s="101"/>
      <c r="F144" s="101"/>
      <c r="G144" s="35"/>
      <c r="H144" s="104"/>
      <c r="I144" s="35"/>
      <c r="J144" s="74"/>
      <c r="K144" s="74"/>
      <c r="L144" s="74"/>
      <c r="M144" s="74"/>
      <c r="N144" s="74"/>
      <c r="O144" s="74"/>
      <c r="P144" s="74"/>
      <c r="Q144" s="74"/>
      <c r="R144" s="74"/>
      <c r="S144" s="74"/>
      <c r="T144" s="74"/>
      <c r="U144" s="74"/>
      <c r="V144" s="74"/>
      <c r="W144" s="74"/>
      <c r="X144" s="74"/>
      <c r="Y144" s="74"/>
      <c r="Z144" s="74"/>
      <c r="AA144" s="74"/>
      <c r="AB144" s="74"/>
    </row>
    <row r="145" spans="1:28" ht="12" customHeight="1">
      <c r="A145" s="569"/>
      <c r="B145" s="574"/>
      <c r="C145" s="575"/>
      <c r="D145" s="576"/>
      <c r="E145" s="101"/>
      <c r="F145" s="101"/>
      <c r="G145" s="35"/>
      <c r="H145" s="104"/>
      <c r="I145" s="35"/>
      <c r="J145" s="74"/>
      <c r="K145" s="74"/>
      <c r="L145" s="74"/>
      <c r="M145" s="74"/>
      <c r="N145" s="74"/>
      <c r="O145" s="74"/>
      <c r="P145" s="74"/>
      <c r="Q145" s="74"/>
      <c r="R145" s="74"/>
      <c r="S145" s="74"/>
      <c r="T145" s="74"/>
      <c r="U145" s="74"/>
      <c r="V145" s="74"/>
      <c r="W145" s="74"/>
      <c r="X145" s="74"/>
      <c r="Y145" s="74"/>
      <c r="Z145" s="74"/>
      <c r="AA145" s="74"/>
      <c r="AB145" s="74"/>
    </row>
    <row r="146" spans="1:28" ht="12" customHeight="1">
      <c r="A146" s="569"/>
      <c r="B146" s="574"/>
      <c r="C146" s="575"/>
      <c r="D146" s="576"/>
      <c r="E146" s="101"/>
      <c r="F146" s="101"/>
      <c r="G146" s="35"/>
      <c r="H146" s="104"/>
      <c r="I146" s="35"/>
      <c r="J146" s="74"/>
      <c r="K146" s="74"/>
      <c r="L146" s="74"/>
      <c r="M146" s="74"/>
      <c r="N146" s="74"/>
      <c r="O146" s="74"/>
      <c r="P146" s="74"/>
      <c r="Q146" s="74"/>
      <c r="R146" s="74"/>
      <c r="S146" s="74"/>
      <c r="T146" s="74"/>
      <c r="U146" s="74"/>
      <c r="V146" s="74"/>
      <c r="W146" s="74"/>
      <c r="X146" s="74"/>
      <c r="Y146" s="74"/>
      <c r="Z146" s="74"/>
      <c r="AA146" s="74"/>
      <c r="AB146" s="74"/>
    </row>
    <row r="147" spans="1:28" ht="12" customHeight="1">
      <c r="A147" s="569"/>
      <c r="B147" s="574"/>
      <c r="C147" s="575"/>
      <c r="D147" s="576"/>
      <c r="E147" s="101"/>
      <c r="F147" s="101"/>
      <c r="G147" s="35"/>
      <c r="H147" s="104"/>
      <c r="I147" s="35"/>
      <c r="J147" s="74"/>
      <c r="K147" s="74"/>
      <c r="L147" s="74"/>
      <c r="M147" s="74"/>
      <c r="N147" s="74"/>
      <c r="O147" s="74"/>
      <c r="P147" s="74"/>
      <c r="Q147" s="74"/>
      <c r="R147" s="74"/>
      <c r="S147" s="74"/>
      <c r="T147" s="74"/>
      <c r="U147" s="74"/>
      <c r="V147" s="74"/>
      <c r="W147" s="74"/>
      <c r="X147" s="74"/>
      <c r="Y147" s="74"/>
      <c r="Z147" s="74"/>
      <c r="AA147" s="74"/>
      <c r="AB147" s="74"/>
    </row>
    <row r="148" spans="1:28" ht="12" customHeight="1">
      <c r="A148" s="569"/>
      <c r="B148" s="574"/>
      <c r="C148" s="575"/>
      <c r="D148" s="576"/>
      <c r="E148" s="101"/>
      <c r="F148" s="101"/>
      <c r="G148" s="35"/>
      <c r="H148" s="104"/>
      <c r="I148" s="35"/>
      <c r="J148" s="74"/>
      <c r="K148" s="74"/>
      <c r="L148" s="74"/>
      <c r="M148" s="74"/>
      <c r="N148" s="74"/>
      <c r="O148" s="74"/>
      <c r="P148" s="74"/>
      <c r="Q148" s="74"/>
      <c r="R148" s="74"/>
      <c r="S148" s="74"/>
      <c r="T148" s="74"/>
      <c r="U148" s="74"/>
      <c r="V148" s="74"/>
      <c r="W148" s="74"/>
      <c r="X148" s="74"/>
      <c r="Y148" s="74"/>
      <c r="Z148" s="74"/>
      <c r="AA148" s="74"/>
      <c r="AB148" s="74"/>
    </row>
    <row r="149" spans="1:28" ht="12" customHeight="1">
      <c r="A149" s="569"/>
      <c r="B149" s="574"/>
      <c r="C149" s="575"/>
      <c r="D149" s="576"/>
      <c r="E149" s="101"/>
      <c r="F149" s="101"/>
      <c r="G149" s="35"/>
      <c r="H149" s="104"/>
      <c r="I149" s="35"/>
      <c r="J149" s="74"/>
      <c r="K149" s="74"/>
      <c r="L149" s="74"/>
      <c r="M149" s="74"/>
      <c r="N149" s="74"/>
      <c r="O149" s="74"/>
      <c r="P149" s="74"/>
      <c r="Q149" s="74"/>
      <c r="R149" s="74"/>
      <c r="S149" s="74"/>
      <c r="T149" s="74"/>
      <c r="U149" s="74"/>
      <c r="V149" s="74"/>
      <c r="W149" s="74"/>
      <c r="X149" s="74"/>
      <c r="Y149" s="74"/>
      <c r="Z149" s="74"/>
      <c r="AA149" s="74"/>
      <c r="AB149" s="74"/>
    </row>
    <row r="150" spans="1:28" ht="12" customHeight="1">
      <c r="A150" s="569"/>
      <c r="B150" s="574"/>
      <c r="C150" s="575"/>
      <c r="D150" s="576"/>
      <c r="E150" s="101"/>
      <c r="F150" s="101"/>
      <c r="G150" s="35"/>
      <c r="H150" s="104"/>
      <c r="I150" s="35"/>
      <c r="J150" s="74"/>
      <c r="K150" s="74"/>
      <c r="L150" s="74"/>
      <c r="M150" s="74"/>
      <c r="N150" s="74"/>
      <c r="O150" s="74"/>
      <c r="P150" s="74"/>
      <c r="Q150" s="74"/>
      <c r="R150" s="74"/>
      <c r="S150" s="74"/>
      <c r="T150" s="74"/>
      <c r="U150" s="74"/>
      <c r="V150" s="74"/>
      <c r="W150" s="74"/>
      <c r="X150" s="74"/>
      <c r="Y150" s="74"/>
      <c r="Z150" s="74"/>
      <c r="AA150" s="74"/>
      <c r="AB150" s="74"/>
    </row>
    <row r="151" spans="1:28" ht="12" customHeight="1">
      <c r="A151" s="569"/>
      <c r="B151" s="574"/>
      <c r="C151" s="575"/>
      <c r="D151" s="576"/>
      <c r="E151" s="101"/>
      <c r="F151" s="101"/>
      <c r="G151" s="35"/>
      <c r="H151" s="104"/>
      <c r="I151" s="35"/>
      <c r="J151" s="74"/>
      <c r="K151" s="74"/>
      <c r="L151" s="74"/>
      <c r="M151" s="74"/>
      <c r="N151" s="74"/>
      <c r="O151" s="74"/>
      <c r="P151" s="74"/>
      <c r="Q151" s="74"/>
      <c r="R151" s="74"/>
      <c r="S151" s="74"/>
      <c r="T151" s="74"/>
      <c r="U151" s="74"/>
      <c r="V151" s="74"/>
      <c r="W151" s="74"/>
      <c r="X151" s="74"/>
      <c r="Y151" s="74"/>
      <c r="Z151" s="74"/>
      <c r="AA151" s="74"/>
      <c r="AB151" s="74"/>
    </row>
    <row r="152" spans="1:28" ht="12" customHeight="1">
      <c r="A152" s="569"/>
      <c r="B152" s="574"/>
      <c r="C152" s="575"/>
      <c r="D152" s="576"/>
      <c r="E152" s="101"/>
      <c r="F152" s="101"/>
      <c r="G152" s="35"/>
      <c r="H152" s="104"/>
      <c r="I152" s="35"/>
      <c r="J152" s="74"/>
      <c r="K152" s="74"/>
      <c r="L152" s="74"/>
      <c r="M152" s="74"/>
      <c r="N152" s="74"/>
      <c r="O152" s="74"/>
      <c r="P152" s="74"/>
      <c r="Q152" s="74"/>
      <c r="R152" s="74"/>
      <c r="S152" s="74"/>
      <c r="T152" s="74"/>
      <c r="U152" s="74"/>
      <c r="V152" s="74"/>
      <c r="W152" s="74"/>
      <c r="X152" s="74"/>
      <c r="Y152" s="74"/>
      <c r="Z152" s="74"/>
      <c r="AA152" s="74"/>
      <c r="AB152" s="74"/>
    </row>
    <row r="153" spans="1:28" ht="12" customHeight="1">
      <c r="A153" s="569"/>
      <c r="B153" s="574"/>
      <c r="C153" s="575"/>
      <c r="D153" s="576"/>
      <c r="E153" s="101"/>
      <c r="F153" s="101"/>
      <c r="G153" s="35"/>
      <c r="H153" s="104"/>
      <c r="I153" s="35"/>
      <c r="J153" s="74"/>
      <c r="K153" s="74"/>
      <c r="L153" s="74"/>
      <c r="M153" s="74"/>
      <c r="N153" s="74"/>
      <c r="O153" s="74"/>
      <c r="P153" s="74"/>
      <c r="Q153" s="74"/>
      <c r="R153" s="74"/>
      <c r="S153" s="74"/>
      <c r="T153" s="74"/>
      <c r="U153" s="74"/>
      <c r="V153" s="74"/>
      <c r="W153" s="74"/>
      <c r="X153" s="74"/>
      <c r="Y153" s="74"/>
      <c r="Z153" s="74"/>
      <c r="AA153" s="74"/>
      <c r="AB153" s="74"/>
    </row>
    <row r="154" spans="1:28" ht="12" customHeight="1">
      <c r="A154" s="569"/>
      <c r="B154" s="574"/>
      <c r="C154" s="575"/>
      <c r="D154" s="576"/>
      <c r="E154" s="101"/>
      <c r="F154" s="101"/>
      <c r="G154" s="35"/>
      <c r="H154" s="104"/>
      <c r="I154" s="35"/>
      <c r="J154" s="74"/>
      <c r="K154" s="74"/>
      <c r="L154" s="74"/>
      <c r="M154" s="74"/>
      <c r="N154" s="74"/>
      <c r="O154" s="74"/>
      <c r="P154" s="74"/>
      <c r="Q154" s="74"/>
      <c r="R154" s="74"/>
      <c r="S154" s="74"/>
      <c r="T154" s="74"/>
      <c r="U154" s="74"/>
      <c r="V154" s="74"/>
      <c r="W154" s="74"/>
      <c r="X154" s="74"/>
      <c r="Y154" s="74"/>
      <c r="Z154" s="74"/>
      <c r="AA154" s="74"/>
      <c r="AB154" s="74"/>
    </row>
    <row r="155" spans="1:28" ht="12" customHeight="1">
      <c r="A155" s="569"/>
      <c r="B155" s="574"/>
      <c r="C155" s="575"/>
      <c r="D155" s="576"/>
      <c r="E155" s="101"/>
      <c r="F155" s="101"/>
      <c r="G155" s="35"/>
      <c r="H155" s="104"/>
      <c r="I155" s="35"/>
      <c r="J155" s="74"/>
      <c r="K155" s="74"/>
      <c r="L155" s="74"/>
      <c r="M155" s="74"/>
      <c r="N155" s="74"/>
      <c r="O155" s="74"/>
      <c r="P155" s="74"/>
      <c r="Q155" s="74"/>
      <c r="R155" s="74"/>
      <c r="S155" s="74"/>
      <c r="T155" s="74"/>
      <c r="U155" s="74"/>
      <c r="V155" s="74"/>
      <c r="W155" s="74"/>
      <c r="X155" s="74"/>
      <c r="Y155" s="74"/>
      <c r="Z155" s="74"/>
      <c r="AA155" s="74"/>
      <c r="AB155" s="74"/>
    </row>
    <row r="156" spans="1:28" ht="12" customHeight="1">
      <c r="A156" s="569"/>
      <c r="B156" s="574"/>
      <c r="C156" s="575"/>
      <c r="D156" s="576"/>
      <c r="E156" s="101"/>
      <c r="F156" s="101"/>
      <c r="G156" s="35"/>
      <c r="H156" s="104"/>
      <c r="I156" s="35"/>
      <c r="J156" s="74"/>
      <c r="K156" s="74"/>
      <c r="L156" s="74"/>
      <c r="M156" s="74"/>
      <c r="N156" s="74"/>
      <c r="O156" s="74"/>
      <c r="P156" s="74"/>
      <c r="Q156" s="74"/>
      <c r="R156" s="74"/>
      <c r="S156" s="74"/>
      <c r="T156" s="74"/>
      <c r="U156" s="74"/>
      <c r="V156" s="74"/>
      <c r="W156" s="74"/>
      <c r="X156" s="74"/>
      <c r="Y156" s="74"/>
      <c r="Z156" s="74"/>
      <c r="AA156" s="74"/>
      <c r="AB156" s="74"/>
    </row>
    <row r="157" spans="1:28" ht="12" customHeight="1">
      <c r="A157" s="569"/>
      <c r="B157" s="574"/>
      <c r="C157" s="575"/>
      <c r="D157" s="576"/>
      <c r="E157" s="101"/>
      <c r="F157" s="101"/>
      <c r="G157" s="35"/>
      <c r="H157" s="104"/>
      <c r="I157" s="35"/>
      <c r="J157" s="74"/>
      <c r="K157" s="74"/>
      <c r="L157" s="74"/>
      <c r="M157" s="74"/>
      <c r="N157" s="74"/>
      <c r="O157" s="74"/>
      <c r="P157" s="74"/>
      <c r="Q157" s="74"/>
      <c r="R157" s="74"/>
      <c r="S157" s="74"/>
      <c r="T157" s="74"/>
      <c r="U157" s="74"/>
      <c r="V157" s="74"/>
      <c r="W157" s="74"/>
      <c r="X157" s="74"/>
      <c r="Y157" s="74"/>
      <c r="Z157" s="74"/>
      <c r="AA157" s="74"/>
      <c r="AB157" s="74"/>
    </row>
    <row r="158" spans="1:28" ht="12" customHeight="1">
      <c r="A158" s="569"/>
      <c r="B158" s="574"/>
      <c r="C158" s="575"/>
      <c r="D158" s="576"/>
      <c r="E158" s="101"/>
      <c r="F158" s="101"/>
      <c r="G158" s="35"/>
      <c r="H158" s="104"/>
      <c r="I158" s="35"/>
      <c r="J158" s="74"/>
      <c r="K158" s="74"/>
      <c r="L158" s="74"/>
      <c r="M158" s="74"/>
      <c r="N158" s="74"/>
      <c r="O158" s="74"/>
      <c r="P158" s="74"/>
      <c r="Q158" s="74"/>
      <c r="R158" s="74"/>
      <c r="S158" s="74"/>
      <c r="T158" s="74"/>
      <c r="U158" s="74"/>
      <c r="V158" s="74"/>
      <c r="W158" s="74"/>
      <c r="X158" s="74"/>
      <c r="Y158" s="74"/>
      <c r="Z158" s="74"/>
      <c r="AA158" s="74"/>
      <c r="AB158" s="74"/>
    </row>
    <row r="159" spans="1:28" ht="12" customHeight="1">
      <c r="A159" s="569"/>
      <c r="B159" s="574"/>
      <c r="C159" s="575"/>
      <c r="D159" s="576"/>
      <c r="E159" s="101"/>
      <c r="F159" s="101"/>
      <c r="G159" s="35"/>
      <c r="H159" s="104"/>
      <c r="I159" s="35"/>
      <c r="J159" s="74"/>
      <c r="K159" s="74"/>
      <c r="L159" s="74"/>
      <c r="M159" s="74"/>
      <c r="N159" s="74"/>
      <c r="O159" s="74"/>
      <c r="P159" s="74"/>
      <c r="Q159" s="74"/>
      <c r="R159" s="74"/>
      <c r="S159" s="74"/>
      <c r="T159" s="74"/>
      <c r="U159" s="74"/>
      <c r="V159" s="74"/>
      <c r="W159" s="74"/>
      <c r="X159" s="74"/>
      <c r="Y159" s="74"/>
      <c r="Z159" s="74"/>
      <c r="AA159" s="74"/>
      <c r="AB159" s="74"/>
    </row>
    <row r="160" spans="1:28" ht="12" customHeight="1">
      <c r="A160" s="569"/>
      <c r="B160" s="574"/>
      <c r="C160" s="575"/>
      <c r="D160" s="576"/>
      <c r="E160" s="101"/>
      <c r="F160" s="101"/>
      <c r="G160" s="35"/>
      <c r="H160" s="104"/>
      <c r="I160" s="35"/>
      <c r="J160" s="74"/>
      <c r="K160" s="74"/>
      <c r="L160" s="74"/>
      <c r="M160" s="74"/>
      <c r="N160" s="74"/>
      <c r="O160" s="74"/>
      <c r="P160" s="74"/>
      <c r="Q160" s="74"/>
      <c r="R160" s="74"/>
      <c r="S160" s="74"/>
      <c r="T160" s="74"/>
      <c r="U160" s="74"/>
      <c r="V160" s="74"/>
      <c r="W160" s="74"/>
      <c r="X160" s="74"/>
      <c r="Y160" s="74"/>
      <c r="Z160" s="74"/>
      <c r="AA160" s="74"/>
      <c r="AB160" s="74"/>
    </row>
    <row r="161" spans="1:28" ht="12" customHeight="1">
      <c r="A161" s="569"/>
      <c r="B161" s="574"/>
      <c r="C161" s="575"/>
      <c r="D161" s="576"/>
      <c r="E161" s="101"/>
      <c r="F161" s="101"/>
      <c r="G161" s="35"/>
      <c r="H161" s="104"/>
      <c r="I161" s="35"/>
      <c r="J161" s="74"/>
      <c r="K161" s="74"/>
      <c r="L161" s="74"/>
      <c r="M161" s="74"/>
      <c r="N161" s="74"/>
      <c r="O161" s="74"/>
      <c r="P161" s="74"/>
      <c r="Q161" s="74"/>
      <c r="R161" s="74"/>
      <c r="S161" s="74"/>
      <c r="T161" s="74"/>
      <c r="U161" s="74"/>
      <c r="V161" s="74"/>
      <c r="W161" s="74"/>
      <c r="X161" s="74"/>
      <c r="Y161" s="74"/>
      <c r="Z161" s="74"/>
      <c r="AA161" s="74"/>
      <c r="AB161" s="74"/>
    </row>
    <row r="162" spans="1:28" ht="12" customHeight="1">
      <c r="A162" s="569"/>
      <c r="B162" s="574"/>
      <c r="C162" s="575"/>
      <c r="D162" s="576"/>
      <c r="E162" s="101"/>
      <c r="F162" s="101"/>
      <c r="G162" s="35"/>
      <c r="H162" s="104"/>
      <c r="I162" s="35"/>
      <c r="J162" s="74"/>
      <c r="K162" s="74"/>
      <c r="L162" s="74"/>
      <c r="M162" s="74"/>
      <c r="N162" s="74"/>
      <c r="O162" s="74"/>
      <c r="P162" s="74"/>
      <c r="Q162" s="74"/>
      <c r="R162" s="74"/>
      <c r="S162" s="74"/>
      <c r="T162" s="74"/>
      <c r="U162" s="74"/>
      <c r="V162" s="74"/>
      <c r="W162" s="74"/>
      <c r="X162" s="74"/>
      <c r="Y162" s="74"/>
      <c r="Z162" s="74"/>
      <c r="AA162" s="74"/>
      <c r="AB162" s="74"/>
    </row>
    <row r="163" spans="1:28" ht="12" customHeight="1">
      <c r="A163" s="569"/>
      <c r="B163" s="574"/>
      <c r="C163" s="575"/>
      <c r="D163" s="576"/>
      <c r="E163" s="101"/>
      <c r="F163" s="101"/>
      <c r="G163" s="35"/>
      <c r="H163" s="104"/>
      <c r="I163" s="35"/>
      <c r="J163" s="74"/>
      <c r="K163" s="74"/>
      <c r="L163" s="74"/>
      <c r="M163" s="74"/>
      <c r="N163" s="74"/>
      <c r="O163" s="74"/>
      <c r="P163" s="74"/>
      <c r="Q163" s="74"/>
      <c r="R163" s="74"/>
      <c r="S163" s="74"/>
      <c r="T163" s="74"/>
      <c r="U163" s="74"/>
      <c r="V163" s="74"/>
      <c r="W163" s="74"/>
      <c r="X163" s="74"/>
      <c r="Y163" s="74"/>
      <c r="Z163" s="74"/>
      <c r="AA163" s="74"/>
      <c r="AB163" s="74"/>
    </row>
    <row r="164" spans="1:28" ht="12" customHeight="1">
      <c r="A164" s="569"/>
      <c r="B164" s="574"/>
      <c r="C164" s="575"/>
      <c r="D164" s="576"/>
      <c r="E164" s="101"/>
      <c r="F164" s="101"/>
      <c r="G164" s="35"/>
      <c r="H164" s="104"/>
      <c r="I164" s="35"/>
      <c r="J164" s="74"/>
      <c r="K164" s="74"/>
      <c r="L164" s="74"/>
      <c r="M164" s="74"/>
      <c r="N164" s="74"/>
      <c r="O164" s="74"/>
      <c r="P164" s="74"/>
      <c r="Q164" s="74"/>
      <c r="R164" s="74"/>
      <c r="S164" s="74"/>
      <c r="T164" s="74"/>
      <c r="U164" s="74"/>
      <c r="V164" s="74"/>
      <c r="W164" s="74"/>
      <c r="X164" s="74"/>
      <c r="Y164" s="74"/>
      <c r="Z164" s="74"/>
      <c r="AA164" s="74"/>
      <c r="AB164" s="74"/>
    </row>
    <row r="165" spans="1:28" ht="12" customHeight="1">
      <c r="A165" s="569"/>
      <c r="B165" s="574"/>
      <c r="C165" s="575"/>
      <c r="D165" s="576"/>
      <c r="E165" s="101"/>
      <c r="F165" s="101"/>
      <c r="G165" s="35"/>
      <c r="H165" s="104"/>
      <c r="I165" s="35"/>
      <c r="J165" s="74"/>
      <c r="K165" s="74"/>
      <c r="L165" s="74"/>
      <c r="M165" s="74"/>
      <c r="N165" s="74"/>
      <c r="O165" s="74"/>
      <c r="P165" s="74"/>
      <c r="Q165" s="74"/>
      <c r="R165" s="74"/>
      <c r="S165" s="74"/>
      <c r="T165" s="74"/>
      <c r="U165" s="74"/>
      <c r="V165" s="74"/>
      <c r="W165" s="74"/>
      <c r="X165" s="74"/>
      <c r="Y165" s="74"/>
      <c r="Z165" s="74"/>
      <c r="AA165" s="74"/>
      <c r="AB165" s="74"/>
    </row>
    <row r="166" spans="1:28" ht="12" customHeight="1">
      <c r="A166" s="569"/>
      <c r="B166" s="574"/>
      <c r="C166" s="575"/>
      <c r="D166" s="576"/>
      <c r="E166" s="101"/>
      <c r="F166" s="101"/>
      <c r="G166" s="35"/>
      <c r="H166" s="104"/>
      <c r="I166" s="35"/>
      <c r="J166" s="74"/>
      <c r="K166" s="74"/>
      <c r="L166" s="74"/>
      <c r="M166" s="74"/>
      <c r="N166" s="74"/>
      <c r="O166" s="74"/>
      <c r="P166" s="74"/>
      <c r="Q166" s="74"/>
      <c r="R166" s="74"/>
      <c r="S166" s="74"/>
      <c r="T166" s="74"/>
      <c r="U166" s="74"/>
      <c r="V166" s="74"/>
      <c r="W166" s="74"/>
      <c r="X166" s="74"/>
      <c r="Y166" s="74"/>
      <c r="Z166" s="74"/>
      <c r="AA166" s="74"/>
      <c r="AB166" s="74"/>
    </row>
    <row r="167" spans="1:28" ht="12" customHeight="1">
      <c r="A167" s="569"/>
      <c r="B167" s="574"/>
      <c r="C167" s="575"/>
      <c r="D167" s="576"/>
      <c r="E167" s="101"/>
      <c r="F167" s="101"/>
      <c r="G167" s="35"/>
      <c r="H167" s="104"/>
      <c r="I167" s="35"/>
      <c r="J167" s="74"/>
      <c r="K167" s="74"/>
      <c r="L167" s="74"/>
      <c r="M167" s="74"/>
      <c r="N167" s="74"/>
      <c r="O167" s="74"/>
      <c r="P167" s="74"/>
      <c r="Q167" s="74"/>
      <c r="R167" s="74"/>
      <c r="S167" s="74"/>
      <c r="T167" s="74"/>
      <c r="U167" s="74"/>
      <c r="V167" s="74"/>
      <c r="W167" s="74"/>
      <c r="X167" s="74"/>
      <c r="Y167" s="74"/>
      <c r="Z167" s="74"/>
      <c r="AA167" s="74"/>
      <c r="AB167" s="74"/>
    </row>
    <row r="168" spans="1:28" ht="12" customHeight="1">
      <c r="A168" s="569"/>
      <c r="B168" s="574"/>
      <c r="C168" s="575"/>
      <c r="D168" s="576"/>
      <c r="E168" s="101"/>
      <c r="F168" s="101"/>
      <c r="G168" s="35"/>
      <c r="H168" s="104"/>
      <c r="I168" s="35"/>
      <c r="J168" s="74"/>
      <c r="K168" s="74"/>
      <c r="L168" s="74"/>
      <c r="M168" s="74"/>
      <c r="N168" s="74"/>
      <c r="O168" s="74"/>
      <c r="P168" s="74"/>
      <c r="Q168" s="74"/>
      <c r="R168" s="74"/>
      <c r="S168" s="74"/>
      <c r="T168" s="74"/>
      <c r="U168" s="74"/>
      <c r="V168" s="74"/>
      <c r="W168" s="74"/>
      <c r="X168" s="74"/>
      <c r="Y168" s="74"/>
      <c r="Z168" s="74"/>
      <c r="AA168" s="74"/>
      <c r="AB168" s="74"/>
    </row>
    <row r="169" spans="1:28" ht="12" customHeight="1">
      <c r="A169" s="569"/>
      <c r="B169" s="574"/>
      <c r="C169" s="575"/>
      <c r="D169" s="576"/>
      <c r="E169" s="101"/>
      <c r="F169" s="101"/>
      <c r="G169" s="35"/>
      <c r="H169" s="104"/>
      <c r="I169" s="35"/>
      <c r="J169" s="74"/>
      <c r="K169" s="74"/>
      <c r="L169" s="74"/>
      <c r="M169" s="74"/>
      <c r="N169" s="74"/>
      <c r="O169" s="74"/>
      <c r="P169" s="74"/>
      <c r="Q169" s="74"/>
      <c r="R169" s="74"/>
      <c r="S169" s="74"/>
      <c r="T169" s="74"/>
      <c r="U169" s="74"/>
      <c r="V169" s="74"/>
      <c r="W169" s="74"/>
      <c r="X169" s="74"/>
      <c r="Y169" s="74"/>
      <c r="Z169" s="74"/>
      <c r="AA169" s="74"/>
      <c r="AB169" s="74"/>
    </row>
    <row r="170" spans="1:28" ht="12" customHeight="1">
      <c r="A170" s="569"/>
      <c r="B170" s="574"/>
      <c r="C170" s="575"/>
      <c r="D170" s="576"/>
      <c r="E170" s="101"/>
      <c r="F170" s="101"/>
      <c r="G170" s="35"/>
      <c r="H170" s="104"/>
      <c r="I170" s="35"/>
      <c r="J170" s="74"/>
      <c r="K170" s="74"/>
      <c r="L170" s="74"/>
      <c r="M170" s="74"/>
      <c r="N170" s="74"/>
      <c r="O170" s="74"/>
      <c r="P170" s="74"/>
      <c r="Q170" s="74"/>
      <c r="R170" s="74"/>
      <c r="S170" s="74"/>
      <c r="T170" s="74"/>
      <c r="U170" s="74"/>
      <c r="V170" s="74"/>
      <c r="W170" s="74"/>
      <c r="X170" s="74"/>
      <c r="Y170" s="74"/>
      <c r="Z170" s="74"/>
      <c r="AA170" s="74"/>
      <c r="AB170" s="74"/>
    </row>
    <row r="171" spans="1:28" ht="12" customHeight="1">
      <c r="A171" s="569"/>
      <c r="B171" s="574"/>
      <c r="C171" s="575"/>
      <c r="D171" s="576"/>
      <c r="E171" s="101"/>
      <c r="F171" s="101"/>
      <c r="G171" s="35"/>
      <c r="H171" s="104"/>
      <c r="I171" s="35"/>
      <c r="J171" s="74"/>
      <c r="K171" s="74"/>
      <c r="L171" s="74"/>
      <c r="M171" s="74"/>
      <c r="N171" s="74"/>
      <c r="O171" s="74"/>
      <c r="P171" s="74"/>
      <c r="Q171" s="74"/>
      <c r="R171" s="74"/>
      <c r="S171" s="74"/>
      <c r="T171" s="74"/>
      <c r="U171" s="74"/>
      <c r="V171" s="74"/>
      <c r="W171" s="74"/>
      <c r="X171" s="74"/>
      <c r="Y171" s="74"/>
      <c r="Z171" s="74"/>
      <c r="AA171" s="74"/>
      <c r="AB171" s="74"/>
    </row>
    <row r="172" spans="1:28" ht="12" customHeight="1">
      <c r="A172" s="569"/>
      <c r="B172" s="574"/>
      <c r="C172" s="575"/>
      <c r="D172" s="576"/>
      <c r="E172" s="101"/>
      <c r="F172" s="101"/>
      <c r="G172" s="35"/>
      <c r="H172" s="104"/>
      <c r="I172" s="35"/>
      <c r="J172" s="74"/>
      <c r="K172" s="74"/>
      <c r="L172" s="74"/>
      <c r="M172" s="74"/>
      <c r="N172" s="74"/>
      <c r="O172" s="74"/>
      <c r="P172" s="74"/>
      <c r="Q172" s="74"/>
      <c r="R172" s="74"/>
      <c r="S172" s="74"/>
      <c r="T172" s="74"/>
      <c r="U172" s="74"/>
      <c r="V172" s="74"/>
      <c r="W172" s="74"/>
      <c r="X172" s="74"/>
      <c r="Y172" s="74"/>
      <c r="Z172" s="74"/>
      <c r="AA172" s="74"/>
      <c r="AB172" s="74"/>
    </row>
    <row r="173" spans="1:28" ht="12" customHeight="1">
      <c r="A173" s="569"/>
      <c r="B173" s="574"/>
      <c r="C173" s="575"/>
      <c r="D173" s="576"/>
      <c r="E173" s="101"/>
      <c r="F173" s="101"/>
      <c r="G173" s="35"/>
      <c r="H173" s="104"/>
      <c r="I173" s="35"/>
      <c r="J173" s="74"/>
      <c r="K173" s="74"/>
      <c r="L173" s="74"/>
      <c r="M173" s="74"/>
      <c r="N173" s="74"/>
      <c r="O173" s="74"/>
      <c r="P173" s="74"/>
      <c r="Q173" s="74"/>
      <c r="R173" s="74"/>
      <c r="S173" s="74"/>
      <c r="T173" s="74"/>
      <c r="U173" s="74"/>
      <c r="V173" s="74"/>
      <c r="W173" s="74"/>
      <c r="X173" s="74"/>
      <c r="Y173" s="74"/>
      <c r="Z173" s="74"/>
      <c r="AA173" s="74"/>
      <c r="AB173" s="74"/>
    </row>
    <row r="174" spans="1:28" ht="12" customHeight="1">
      <c r="A174" s="569"/>
      <c r="B174" s="574"/>
      <c r="C174" s="575"/>
      <c r="D174" s="576"/>
      <c r="E174" s="101"/>
      <c r="F174" s="101"/>
      <c r="G174" s="35"/>
      <c r="H174" s="104"/>
      <c r="I174" s="35"/>
      <c r="J174" s="74"/>
      <c r="K174" s="74"/>
      <c r="L174" s="74"/>
      <c r="M174" s="74"/>
      <c r="N174" s="74"/>
      <c r="O174" s="74"/>
      <c r="P174" s="74"/>
      <c r="Q174" s="74"/>
      <c r="R174" s="74"/>
      <c r="S174" s="74"/>
      <c r="T174" s="74"/>
      <c r="U174" s="74"/>
      <c r="V174" s="74"/>
      <c r="W174" s="74"/>
      <c r="X174" s="74"/>
      <c r="Y174" s="74"/>
      <c r="Z174" s="74"/>
      <c r="AA174" s="74"/>
      <c r="AB174" s="74"/>
    </row>
    <row r="175" spans="1:28" ht="12" customHeight="1">
      <c r="A175" s="569"/>
      <c r="B175" s="574"/>
      <c r="C175" s="575"/>
      <c r="D175" s="576"/>
      <c r="E175" s="101"/>
      <c r="F175" s="101"/>
      <c r="G175" s="35"/>
      <c r="H175" s="104"/>
      <c r="I175" s="35"/>
      <c r="J175" s="74"/>
      <c r="K175" s="74"/>
      <c r="L175" s="74"/>
      <c r="M175" s="74"/>
      <c r="N175" s="74"/>
      <c r="O175" s="74"/>
      <c r="P175" s="74"/>
      <c r="Q175" s="74"/>
      <c r="R175" s="74"/>
      <c r="S175" s="74"/>
      <c r="T175" s="74"/>
      <c r="U175" s="74"/>
      <c r="V175" s="74"/>
      <c r="W175" s="74"/>
      <c r="X175" s="74"/>
      <c r="Y175" s="74"/>
      <c r="Z175" s="74"/>
      <c r="AA175" s="74"/>
      <c r="AB175" s="74"/>
    </row>
    <row r="176" spans="1:28" ht="12" customHeight="1">
      <c r="A176" s="569"/>
      <c r="B176" s="574"/>
      <c r="C176" s="575"/>
      <c r="D176" s="576"/>
      <c r="E176" s="101"/>
      <c r="F176" s="101"/>
      <c r="G176" s="35"/>
      <c r="H176" s="104"/>
      <c r="I176" s="35"/>
      <c r="J176" s="74"/>
      <c r="K176" s="74"/>
      <c r="L176" s="74"/>
      <c r="M176" s="74"/>
      <c r="N176" s="74"/>
      <c r="O176" s="74"/>
      <c r="P176" s="74"/>
      <c r="Q176" s="74"/>
      <c r="R176" s="74"/>
      <c r="S176" s="74"/>
      <c r="T176" s="74"/>
      <c r="U176" s="74"/>
      <c r="V176" s="74"/>
      <c r="W176" s="74"/>
      <c r="X176" s="74"/>
      <c r="Y176" s="74"/>
      <c r="Z176" s="74"/>
      <c r="AA176" s="74"/>
      <c r="AB176" s="74"/>
    </row>
    <row r="177" spans="1:28" ht="12" customHeight="1">
      <c r="A177" s="569"/>
      <c r="B177" s="574"/>
      <c r="C177" s="575"/>
      <c r="D177" s="576"/>
      <c r="E177" s="101"/>
      <c r="F177" s="101"/>
      <c r="G177" s="35"/>
      <c r="H177" s="104"/>
      <c r="I177" s="35"/>
      <c r="J177" s="74"/>
      <c r="K177" s="74"/>
      <c r="L177" s="74"/>
      <c r="M177" s="74"/>
      <c r="N177" s="74"/>
      <c r="O177" s="74"/>
      <c r="P177" s="74"/>
      <c r="Q177" s="74"/>
      <c r="R177" s="74"/>
      <c r="S177" s="74"/>
      <c r="T177" s="74"/>
      <c r="U177" s="74"/>
      <c r="V177" s="74"/>
      <c r="W177" s="74"/>
      <c r="X177" s="74"/>
      <c r="Y177" s="74"/>
      <c r="Z177" s="74"/>
      <c r="AA177" s="74"/>
      <c r="AB177" s="74"/>
    </row>
    <row r="178" spans="1:28" ht="12" customHeight="1">
      <c r="A178" s="569"/>
      <c r="B178" s="574"/>
      <c r="C178" s="575"/>
      <c r="D178" s="576"/>
      <c r="E178" s="101"/>
      <c r="F178" s="101"/>
      <c r="G178" s="35"/>
      <c r="H178" s="104"/>
      <c r="I178" s="35"/>
      <c r="J178" s="74"/>
      <c r="K178" s="74"/>
      <c r="L178" s="74"/>
      <c r="M178" s="74"/>
      <c r="N178" s="74"/>
      <c r="O178" s="74"/>
      <c r="P178" s="74"/>
      <c r="Q178" s="74"/>
      <c r="R178" s="74"/>
      <c r="S178" s="74"/>
      <c r="T178" s="74"/>
      <c r="U178" s="74"/>
      <c r="V178" s="74"/>
      <c r="W178" s="74"/>
      <c r="X178" s="74"/>
      <c r="Y178" s="74"/>
      <c r="Z178" s="74"/>
      <c r="AA178" s="74"/>
      <c r="AB178" s="74"/>
    </row>
    <row r="179" spans="1:28" ht="12" customHeight="1">
      <c r="A179" s="569"/>
      <c r="B179" s="574"/>
      <c r="C179" s="575"/>
      <c r="D179" s="576"/>
      <c r="E179" s="101"/>
      <c r="F179" s="101"/>
      <c r="G179" s="35"/>
      <c r="H179" s="104"/>
      <c r="I179" s="35"/>
      <c r="J179" s="74"/>
      <c r="K179" s="74"/>
      <c r="L179" s="74"/>
      <c r="M179" s="74"/>
      <c r="N179" s="74"/>
      <c r="O179" s="74"/>
      <c r="P179" s="74"/>
      <c r="Q179" s="74"/>
      <c r="R179" s="74"/>
      <c r="S179" s="74"/>
      <c r="T179" s="74"/>
      <c r="U179" s="74"/>
      <c r="V179" s="74"/>
      <c r="W179" s="74"/>
      <c r="X179" s="74"/>
      <c r="Y179" s="74"/>
      <c r="Z179" s="74"/>
      <c r="AA179" s="74"/>
      <c r="AB179" s="74"/>
    </row>
    <row r="180" spans="1:28" ht="12" customHeight="1">
      <c r="A180" s="569"/>
      <c r="B180" s="574"/>
      <c r="C180" s="575"/>
      <c r="D180" s="576"/>
      <c r="E180" s="101"/>
      <c r="F180" s="101"/>
      <c r="G180" s="35"/>
      <c r="H180" s="104"/>
      <c r="I180" s="35"/>
      <c r="J180" s="74"/>
      <c r="K180" s="74"/>
      <c r="L180" s="74"/>
      <c r="M180" s="74"/>
      <c r="N180" s="74"/>
      <c r="O180" s="74"/>
      <c r="P180" s="74"/>
      <c r="Q180" s="74"/>
      <c r="R180" s="74"/>
      <c r="S180" s="74"/>
      <c r="T180" s="74"/>
      <c r="U180" s="74"/>
      <c r="V180" s="74"/>
      <c r="W180" s="74"/>
      <c r="X180" s="74"/>
      <c r="Y180" s="74"/>
      <c r="Z180" s="74"/>
      <c r="AA180" s="74"/>
      <c r="AB180" s="74"/>
    </row>
    <row r="181" spans="1:28" ht="12" customHeight="1">
      <c r="A181" s="569"/>
      <c r="B181" s="574"/>
      <c r="C181" s="575"/>
      <c r="D181" s="576"/>
      <c r="E181" s="101"/>
      <c r="F181" s="101"/>
      <c r="G181" s="35"/>
      <c r="H181" s="104"/>
      <c r="I181" s="35"/>
      <c r="J181" s="74"/>
      <c r="K181" s="74"/>
      <c r="L181" s="74"/>
      <c r="M181" s="74"/>
      <c r="N181" s="74"/>
      <c r="O181" s="74"/>
      <c r="P181" s="74"/>
      <c r="Q181" s="74"/>
      <c r="R181" s="74"/>
      <c r="S181" s="74"/>
      <c r="T181" s="74"/>
      <c r="U181" s="74"/>
      <c r="V181" s="74"/>
      <c r="W181" s="74"/>
      <c r="X181" s="74"/>
      <c r="Y181" s="74"/>
      <c r="Z181" s="74"/>
      <c r="AA181" s="74"/>
      <c r="AB181" s="74"/>
    </row>
    <row r="182" spans="1:28" ht="12" customHeight="1">
      <c r="A182" s="569"/>
      <c r="B182" s="574"/>
      <c r="C182" s="575"/>
      <c r="D182" s="576"/>
      <c r="E182" s="101"/>
      <c r="F182" s="101"/>
      <c r="G182" s="35"/>
      <c r="H182" s="104"/>
      <c r="I182" s="35"/>
      <c r="J182" s="74"/>
      <c r="K182" s="74"/>
      <c r="L182" s="74"/>
      <c r="M182" s="74"/>
      <c r="N182" s="74"/>
      <c r="O182" s="74"/>
      <c r="P182" s="74"/>
      <c r="Q182" s="74"/>
      <c r="R182" s="74"/>
      <c r="S182" s="74"/>
      <c r="T182" s="74"/>
      <c r="U182" s="74"/>
      <c r="V182" s="74"/>
      <c r="W182" s="74"/>
      <c r="X182" s="74"/>
      <c r="Y182" s="74"/>
      <c r="Z182" s="74"/>
      <c r="AA182" s="74"/>
      <c r="AB182" s="74"/>
    </row>
    <row r="183" spans="1:28" ht="12" customHeight="1">
      <c r="A183" s="569"/>
      <c r="B183" s="574"/>
      <c r="C183" s="575"/>
      <c r="D183" s="576"/>
      <c r="E183" s="101"/>
      <c r="F183" s="101"/>
      <c r="G183" s="35"/>
      <c r="H183" s="104"/>
      <c r="I183" s="35"/>
      <c r="J183" s="74"/>
      <c r="K183" s="74"/>
      <c r="L183" s="74"/>
      <c r="M183" s="74"/>
      <c r="N183" s="74"/>
      <c r="O183" s="74"/>
      <c r="P183" s="74"/>
      <c r="Q183" s="74"/>
      <c r="R183" s="74"/>
      <c r="S183" s="74"/>
      <c r="T183" s="74"/>
      <c r="U183" s="74"/>
      <c r="V183" s="74"/>
      <c r="W183" s="74"/>
      <c r="X183" s="74"/>
      <c r="Y183" s="74"/>
      <c r="Z183" s="74"/>
      <c r="AA183" s="74"/>
      <c r="AB183" s="74"/>
    </row>
    <row r="184" spans="1:28" ht="12" customHeight="1">
      <c r="A184" s="569"/>
      <c r="B184" s="574"/>
      <c r="C184" s="575"/>
      <c r="D184" s="576"/>
      <c r="E184" s="101"/>
      <c r="F184" s="101"/>
      <c r="G184" s="35"/>
      <c r="H184" s="104"/>
      <c r="I184" s="35"/>
      <c r="J184" s="74"/>
      <c r="K184" s="74"/>
      <c r="L184" s="74"/>
      <c r="M184" s="74"/>
      <c r="N184" s="74"/>
      <c r="O184" s="74"/>
      <c r="P184" s="74"/>
      <c r="Q184" s="74"/>
      <c r="R184" s="74"/>
      <c r="S184" s="74"/>
      <c r="T184" s="74"/>
      <c r="U184" s="74"/>
      <c r="V184" s="74"/>
      <c r="W184" s="74"/>
      <c r="X184" s="74"/>
      <c r="Y184" s="74"/>
      <c r="Z184" s="74"/>
      <c r="AA184" s="74"/>
      <c r="AB184" s="74"/>
    </row>
    <row r="185" spans="1:28" ht="12" customHeight="1">
      <c r="A185" s="569"/>
      <c r="B185" s="574"/>
      <c r="C185" s="575"/>
      <c r="D185" s="576"/>
      <c r="E185" s="101"/>
      <c r="F185" s="101"/>
      <c r="G185" s="35"/>
      <c r="H185" s="104"/>
      <c r="I185" s="35"/>
      <c r="J185" s="74"/>
      <c r="K185" s="74"/>
      <c r="L185" s="74"/>
      <c r="M185" s="74"/>
      <c r="N185" s="74"/>
      <c r="O185" s="74"/>
      <c r="P185" s="74"/>
      <c r="Q185" s="74"/>
      <c r="R185" s="74"/>
      <c r="S185" s="74"/>
      <c r="T185" s="74"/>
      <c r="U185" s="74"/>
      <c r="V185" s="74"/>
      <c r="W185" s="74"/>
      <c r="X185" s="74"/>
      <c r="Y185" s="74"/>
      <c r="Z185" s="74"/>
      <c r="AA185" s="74"/>
      <c r="AB185" s="74"/>
    </row>
    <row r="186" spans="1:28" ht="12" customHeight="1">
      <c r="A186" s="569"/>
      <c r="B186" s="574"/>
      <c r="C186" s="575"/>
      <c r="D186" s="576"/>
      <c r="E186" s="101"/>
      <c r="F186" s="101"/>
      <c r="G186" s="35"/>
      <c r="H186" s="104"/>
      <c r="I186" s="35"/>
      <c r="J186" s="74"/>
      <c r="K186" s="74"/>
      <c r="L186" s="74"/>
      <c r="M186" s="74"/>
      <c r="N186" s="74"/>
      <c r="O186" s="74"/>
      <c r="P186" s="74"/>
      <c r="Q186" s="74"/>
      <c r="R186" s="74"/>
      <c r="S186" s="74"/>
      <c r="T186" s="74"/>
      <c r="U186" s="74"/>
      <c r="V186" s="74"/>
      <c r="W186" s="74"/>
      <c r="X186" s="74"/>
      <c r="Y186" s="74"/>
      <c r="Z186" s="74"/>
      <c r="AA186" s="74"/>
      <c r="AB186" s="74"/>
    </row>
    <row r="187" spans="1:28" ht="12" customHeight="1">
      <c r="A187" s="569"/>
      <c r="B187" s="574"/>
      <c r="C187" s="575"/>
      <c r="D187" s="576"/>
      <c r="E187" s="101"/>
      <c r="F187" s="101"/>
      <c r="G187" s="35"/>
      <c r="H187" s="104"/>
      <c r="I187" s="35"/>
      <c r="J187" s="74"/>
      <c r="K187" s="74"/>
      <c r="L187" s="74"/>
      <c r="M187" s="74"/>
      <c r="N187" s="74"/>
      <c r="O187" s="74"/>
      <c r="P187" s="74"/>
      <c r="Q187" s="74"/>
      <c r="R187" s="74"/>
      <c r="S187" s="74"/>
      <c r="T187" s="74"/>
      <c r="U187" s="74"/>
      <c r="V187" s="74"/>
      <c r="W187" s="74"/>
      <c r="X187" s="74"/>
      <c r="Y187" s="74"/>
      <c r="Z187" s="74"/>
      <c r="AA187" s="74"/>
      <c r="AB187" s="74"/>
    </row>
    <row r="188" spans="1:28" ht="12" customHeight="1">
      <c r="A188" s="569"/>
      <c r="B188" s="574"/>
      <c r="C188" s="575"/>
      <c r="D188" s="576"/>
      <c r="E188" s="101"/>
      <c r="F188" s="101"/>
      <c r="G188" s="35"/>
      <c r="H188" s="104"/>
      <c r="I188" s="35"/>
      <c r="J188" s="74"/>
      <c r="K188" s="74"/>
      <c r="L188" s="74"/>
      <c r="M188" s="74"/>
      <c r="N188" s="74"/>
      <c r="O188" s="74"/>
      <c r="P188" s="74"/>
      <c r="Q188" s="74"/>
      <c r="R188" s="74"/>
      <c r="S188" s="74"/>
      <c r="T188" s="74"/>
      <c r="U188" s="74"/>
      <c r="V188" s="74"/>
      <c r="W188" s="74"/>
      <c r="X188" s="74"/>
      <c r="Y188" s="74"/>
      <c r="Z188" s="74"/>
      <c r="AA188" s="74"/>
      <c r="AB188" s="74"/>
    </row>
    <row r="189" spans="1:28" ht="12" customHeight="1">
      <c r="A189" s="569"/>
      <c r="B189" s="574"/>
      <c r="C189" s="575"/>
      <c r="D189" s="576"/>
      <c r="E189" s="101"/>
      <c r="F189" s="101"/>
      <c r="G189" s="35"/>
      <c r="H189" s="104"/>
      <c r="I189" s="35"/>
      <c r="J189" s="74"/>
      <c r="K189" s="74"/>
      <c r="L189" s="74"/>
      <c r="M189" s="74"/>
      <c r="N189" s="74"/>
      <c r="O189" s="74"/>
      <c r="P189" s="74"/>
      <c r="Q189" s="74"/>
      <c r="R189" s="74"/>
      <c r="S189" s="74"/>
      <c r="T189" s="74"/>
      <c r="U189" s="74"/>
      <c r="V189" s="74"/>
      <c r="W189" s="74"/>
      <c r="X189" s="74"/>
      <c r="Y189" s="74"/>
      <c r="Z189" s="74"/>
      <c r="AA189" s="74"/>
      <c r="AB189" s="74"/>
    </row>
    <row r="190" spans="1:28" ht="12" customHeight="1">
      <c r="A190" s="569"/>
      <c r="B190" s="574"/>
      <c r="C190" s="575"/>
      <c r="D190" s="576"/>
      <c r="E190" s="101"/>
      <c r="F190" s="101"/>
      <c r="G190" s="35"/>
      <c r="H190" s="104"/>
      <c r="I190" s="35"/>
      <c r="J190" s="74"/>
      <c r="K190" s="74"/>
      <c r="L190" s="74"/>
      <c r="M190" s="74"/>
      <c r="N190" s="74"/>
      <c r="O190" s="74"/>
      <c r="P190" s="74"/>
      <c r="Q190" s="74"/>
      <c r="R190" s="74"/>
      <c r="S190" s="74"/>
      <c r="T190" s="74"/>
      <c r="U190" s="74"/>
      <c r="V190" s="74"/>
      <c r="W190" s="74"/>
      <c r="X190" s="74"/>
      <c r="Y190" s="74"/>
      <c r="Z190" s="74"/>
      <c r="AA190" s="74"/>
      <c r="AB190" s="74"/>
    </row>
    <row r="191" spans="1:28" ht="12" customHeight="1">
      <c r="A191" s="569"/>
      <c r="B191" s="574"/>
      <c r="C191" s="575"/>
      <c r="D191" s="576"/>
      <c r="E191" s="101"/>
      <c r="F191" s="101"/>
      <c r="G191" s="35"/>
      <c r="H191" s="104"/>
      <c r="I191" s="35"/>
      <c r="J191" s="74"/>
      <c r="K191" s="74"/>
      <c r="L191" s="74"/>
      <c r="M191" s="74"/>
      <c r="N191" s="74"/>
      <c r="O191" s="74"/>
      <c r="P191" s="74"/>
      <c r="Q191" s="74"/>
      <c r="R191" s="74"/>
      <c r="S191" s="74"/>
      <c r="T191" s="74"/>
      <c r="U191" s="74"/>
      <c r="V191" s="74"/>
      <c r="W191" s="74"/>
      <c r="X191" s="74"/>
      <c r="Y191" s="74"/>
      <c r="Z191" s="74"/>
      <c r="AA191" s="74"/>
      <c r="AB191" s="74"/>
    </row>
    <row r="192" spans="1:28" ht="12" customHeight="1">
      <c r="A192" s="569"/>
      <c r="B192" s="574"/>
      <c r="C192" s="575"/>
      <c r="D192" s="576"/>
      <c r="E192" s="101"/>
      <c r="F192" s="101"/>
      <c r="G192" s="35"/>
      <c r="H192" s="104"/>
      <c r="I192" s="35"/>
      <c r="J192" s="74"/>
      <c r="K192" s="74"/>
      <c r="L192" s="74"/>
      <c r="M192" s="74"/>
      <c r="N192" s="74"/>
      <c r="O192" s="74"/>
      <c r="P192" s="74"/>
      <c r="Q192" s="74"/>
      <c r="R192" s="74"/>
      <c r="S192" s="74"/>
      <c r="T192" s="74"/>
      <c r="U192" s="74"/>
      <c r="V192" s="74"/>
      <c r="W192" s="74"/>
      <c r="X192" s="74"/>
      <c r="Y192" s="74"/>
      <c r="Z192" s="74"/>
      <c r="AA192" s="74"/>
      <c r="AB192" s="74"/>
    </row>
    <row r="193" spans="1:28" ht="12" customHeight="1">
      <c r="A193" s="569"/>
      <c r="B193" s="574"/>
      <c r="C193" s="575"/>
      <c r="D193" s="576"/>
      <c r="E193" s="101"/>
      <c r="F193" s="101"/>
      <c r="G193" s="35"/>
      <c r="H193" s="104"/>
      <c r="I193" s="35"/>
      <c r="J193" s="74"/>
      <c r="K193" s="74"/>
      <c r="L193" s="74"/>
      <c r="M193" s="74"/>
      <c r="N193" s="74"/>
      <c r="O193" s="74"/>
      <c r="P193" s="74"/>
      <c r="Q193" s="74"/>
      <c r="R193" s="74"/>
      <c r="S193" s="74"/>
      <c r="T193" s="74"/>
      <c r="U193" s="74"/>
      <c r="V193" s="74"/>
      <c r="W193" s="74"/>
      <c r="X193" s="74"/>
      <c r="Y193" s="74"/>
      <c r="Z193" s="74"/>
      <c r="AA193" s="74"/>
      <c r="AB193" s="74"/>
    </row>
    <row r="194" spans="1:28" ht="12" customHeight="1">
      <c r="A194" s="569"/>
      <c r="B194" s="574"/>
      <c r="C194" s="575"/>
      <c r="D194" s="576"/>
      <c r="E194" s="101"/>
      <c r="F194" s="101"/>
      <c r="G194" s="35"/>
      <c r="H194" s="104"/>
      <c r="I194" s="35"/>
      <c r="J194" s="74"/>
      <c r="K194" s="74"/>
      <c r="L194" s="74"/>
      <c r="M194" s="74"/>
      <c r="N194" s="74"/>
      <c r="O194" s="74"/>
      <c r="P194" s="74"/>
      <c r="Q194" s="74"/>
      <c r="R194" s="74"/>
      <c r="S194" s="74"/>
      <c r="T194" s="74"/>
      <c r="U194" s="74"/>
      <c r="V194" s="74"/>
      <c r="W194" s="74"/>
      <c r="X194" s="74"/>
      <c r="Y194" s="74"/>
      <c r="Z194" s="74"/>
      <c r="AA194" s="74"/>
      <c r="AB194" s="74"/>
    </row>
    <row r="195" spans="1:28" ht="12" customHeight="1">
      <c r="A195" s="569"/>
      <c r="B195" s="574"/>
      <c r="C195" s="575"/>
      <c r="D195" s="576"/>
      <c r="E195" s="101"/>
      <c r="F195" s="101"/>
      <c r="G195" s="35"/>
      <c r="H195" s="104"/>
      <c r="I195" s="35"/>
      <c r="J195" s="74"/>
      <c r="K195" s="74"/>
      <c r="L195" s="74"/>
      <c r="M195" s="74"/>
      <c r="N195" s="74"/>
      <c r="O195" s="74"/>
      <c r="P195" s="74"/>
      <c r="Q195" s="74"/>
      <c r="R195" s="74"/>
      <c r="S195" s="74"/>
      <c r="T195" s="74"/>
      <c r="U195" s="74"/>
      <c r="V195" s="74"/>
      <c r="W195" s="74"/>
      <c r="X195" s="74"/>
      <c r="Y195" s="74"/>
      <c r="Z195" s="74"/>
      <c r="AA195" s="74"/>
      <c r="AB195" s="74"/>
    </row>
    <row r="196" spans="1:28" ht="12" customHeight="1">
      <c r="A196" s="569"/>
      <c r="B196" s="574"/>
      <c r="C196" s="575"/>
      <c r="D196" s="576"/>
      <c r="E196" s="101"/>
      <c r="F196" s="101"/>
      <c r="G196" s="35"/>
      <c r="H196" s="104"/>
      <c r="I196" s="35"/>
      <c r="J196" s="74"/>
      <c r="K196" s="74"/>
      <c r="L196" s="74"/>
      <c r="M196" s="74"/>
      <c r="N196" s="74"/>
      <c r="O196" s="74"/>
      <c r="P196" s="74"/>
      <c r="Q196" s="74"/>
      <c r="R196" s="74"/>
      <c r="S196" s="74"/>
      <c r="T196" s="74"/>
      <c r="U196" s="74"/>
      <c r="V196" s="74"/>
      <c r="W196" s="74"/>
      <c r="X196" s="74"/>
      <c r="Y196" s="74"/>
      <c r="Z196" s="74"/>
      <c r="AA196" s="74"/>
      <c r="AB196" s="74"/>
    </row>
    <row r="197" spans="1:28" ht="12" customHeight="1">
      <c r="A197" s="569"/>
      <c r="B197" s="574"/>
      <c r="C197" s="575"/>
      <c r="D197" s="576"/>
      <c r="E197" s="101"/>
      <c r="F197" s="101"/>
      <c r="G197" s="35"/>
      <c r="H197" s="104"/>
      <c r="I197" s="35"/>
      <c r="J197" s="74"/>
      <c r="K197" s="74"/>
      <c r="L197" s="74"/>
      <c r="M197" s="74"/>
      <c r="N197" s="74"/>
      <c r="O197" s="74"/>
      <c r="P197" s="74"/>
      <c r="Q197" s="74"/>
      <c r="R197" s="74"/>
      <c r="S197" s="74"/>
      <c r="T197" s="74"/>
      <c r="U197" s="74"/>
      <c r="V197" s="74"/>
      <c r="W197" s="74"/>
      <c r="X197" s="74"/>
      <c r="Y197" s="74"/>
      <c r="Z197" s="74"/>
      <c r="AA197" s="74"/>
      <c r="AB197" s="74"/>
    </row>
    <row r="198" spans="1:28" ht="12" customHeight="1">
      <c r="A198" s="569"/>
      <c r="B198" s="574"/>
      <c r="C198" s="575"/>
      <c r="D198" s="576"/>
      <c r="E198" s="101"/>
      <c r="F198" s="101"/>
      <c r="G198" s="35"/>
      <c r="H198" s="104"/>
      <c r="I198" s="35"/>
      <c r="J198" s="74"/>
      <c r="K198" s="74"/>
      <c r="L198" s="74"/>
      <c r="M198" s="74"/>
      <c r="N198" s="74"/>
      <c r="O198" s="74"/>
      <c r="P198" s="74"/>
      <c r="Q198" s="74"/>
      <c r="R198" s="74"/>
      <c r="S198" s="74"/>
      <c r="T198" s="74"/>
      <c r="U198" s="74"/>
      <c r="V198" s="74"/>
      <c r="W198" s="74"/>
      <c r="X198" s="74"/>
      <c r="Y198" s="74"/>
      <c r="Z198" s="74"/>
      <c r="AA198" s="74"/>
      <c r="AB198" s="74"/>
    </row>
    <row r="199" spans="1:28" ht="12" customHeight="1">
      <c r="A199" s="569"/>
      <c r="B199" s="574"/>
      <c r="C199" s="575"/>
      <c r="D199" s="576"/>
      <c r="E199" s="101"/>
      <c r="F199" s="101"/>
      <c r="G199" s="35"/>
      <c r="H199" s="104"/>
      <c r="I199" s="35"/>
      <c r="J199" s="74"/>
      <c r="K199" s="74"/>
      <c r="L199" s="74"/>
      <c r="M199" s="74"/>
      <c r="N199" s="74"/>
      <c r="O199" s="74"/>
      <c r="P199" s="74"/>
      <c r="Q199" s="74"/>
      <c r="R199" s="74"/>
      <c r="S199" s="74"/>
      <c r="T199" s="74"/>
      <c r="U199" s="74"/>
      <c r="V199" s="74"/>
      <c r="W199" s="74"/>
      <c r="X199" s="74"/>
      <c r="Y199" s="74"/>
      <c r="Z199" s="74"/>
      <c r="AA199" s="74"/>
      <c r="AB199" s="74"/>
    </row>
    <row r="200" spans="1:28" ht="12" customHeight="1">
      <c r="A200" s="569"/>
      <c r="B200" s="574"/>
      <c r="C200" s="575"/>
      <c r="D200" s="576"/>
      <c r="E200" s="101"/>
      <c r="F200" s="101"/>
      <c r="G200" s="35"/>
      <c r="H200" s="104"/>
      <c r="I200" s="35"/>
      <c r="J200" s="74"/>
      <c r="K200" s="74"/>
      <c r="L200" s="74"/>
      <c r="M200" s="74"/>
      <c r="N200" s="74"/>
      <c r="O200" s="74"/>
      <c r="P200" s="74"/>
      <c r="Q200" s="74"/>
      <c r="R200" s="74"/>
      <c r="S200" s="74"/>
      <c r="T200" s="74"/>
      <c r="U200" s="74"/>
      <c r="V200" s="74"/>
      <c r="W200" s="74"/>
      <c r="X200" s="74"/>
      <c r="Y200" s="74"/>
      <c r="Z200" s="74"/>
      <c r="AA200" s="74"/>
      <c r="AB200" s="74"/>
    </row>
    <row r="201" spans="1:28" ht="12" customHeight="1">
      <c r="A201" s="569"/>
      <c r="B201" s="574"/>
      <c r="C201" s="575"/>
      <c r="D201" s="576"/>
      <c r="E201" s="101"/>
      <c r="F201" s="101"/>
      <c r="G201" s="35"/>
      <c r="H201" s="104"/>
      <c r="I201" s="35"/>
      <c r="J201" s="74"/>
      <c r="K201" s="74"/>
      <c r="L201" s="74"/>
      <c r="M201" s="74"/>
      <c r="N201" s="74"/>
      <c r="O201" s="74"/>
      <c r="P201" s="74"/>
      <c r="Q201" s="74"/>
      <c r="R201" s="74"/>
      <c r="S201" s="74"/>
      <c r="T201" s="74"/>
      <c r="U201" s="74"/>
      <c r="V201" s="74"/>
      <c r="W201" s="74"/>
      <c r="X201" s="74"/>
      <c r="Y201" s="74"/>
      <c r="Z201" s="74"/>
      <c r="AA201" s="74"/>
      <c r="AB201" s="74"/>
    </row>
    <row r="202" spans="1:28" ht="12" customHeight="1">
      <c r="A202" s="569"/>
      <c r="B202" s="574"/>
      <c r="C202" s="575"/>
      <c r="D202" s="576"/>
      <c r="E202" s="101"/>
      <c r="F202" s="101"/>
      <c r="G202" s="35"/>
      <c r="H202" s="104"/>
      <c r="I202" s="35"/>
      <c r="J202" s="74"/>
      <c r="K202" s="74"/>
      <c r="L202" s="74"/>
      <c r="M202" s="74"/>
      <c r="N202" s="74"/>
      <c r="O202" s="74"/>
      <c r="P202" s="74"/>
      <c r="Q202" s="74"/>
      <c r="R202" s="74"/>
      <c r="S202" s="74"/>
      <c r="T202" s="74"/>
      <c r="U202" s="74"/>
      <c r="V202" s="74"/>
      <c r="W202" s="74"/>
      <c r="X202" s="74"/>
      <c r="Y202" s="74"/>
      <c r="Z202" s="74"/>
      <c r="AA202" s="74"/>
      <c r="AB202" s="74"/>
    </row>
    <row r="203" spans="1:28" ht="12" customHeight="1">
      <c r="A203" s="569"/>
      <c r="B203" s="574"/>
      <c r="C203" s="575"/>
      <c r="D203" s="576"/>
      <c r="E203" s="101"/>
      <c r="F203" s="101"/>
      <c r="G203" s="35"/>
      <c r="H203" s="104"/>
      <c r="I203" s="35"/>
      <c r="J203" s="74"/>
      <c r="K203" s="74"/>
      <c r="L203" s="74"/>
      <c r="M203" s="74"/>
      <c r="N203" s="74"/>
      <c r="O203" s="74"/>
      <c r="P203" s="74"/>
      <c r="Q203" s="74"/>
      <c r="R203" s="74"/>
      <c r="S203" s="74"/>
      <c r="T203" s="74"/>
      <c r="U203" s="74"/>
      <c r="V203" s="74"/>
      <c r="W203" s="74"/>
      <c r="X203" s="74"/>
      <c r="Y203" s="74"/>
      <c r="Z203" s="74"/>
      <c r="AA203" s="74"/>
      <c r="AB203" s="74"/>
    </row>
    <row r="204" spans="1:28" ht="12" customHeight="1">
      <c r="A204" s="569"/>
      <c r="B204" s="574"/>
      <c r="C204" s="575"/>
      <c r="D204" s="576"/>
      <c r="E204" s="101"/>
      <c r="F204" s="101"/>
      <c r="G204" s="35"/>
      <c r="H204" s="104"/>
      <c r="I204" s="35"/>
      <c r="J204" s="74"/>
      <c r="K204" s="74"/>
      <c r="L204" s="74"/>
      <c r="M204" s="74"/>
      <c r="N204" s="74"/>
      <c r="O204" s="74"/>
      <c r="P204" s="74"/>
      <c r="Q204" s="74"/>
      <c r="R204" s="74"/>
      <c r="S204" s="74"/>
      <c r="T204" s="74"/>
      <c r="U204" s="74"/>
      <c r="V204" s="74"/>
      <c r="W204" s="74"/>
      <c r="X204" s="74"/>
      <c r="Y204" s="74"/>
      <c r="Z204" s="74"/>
      <c r="AA204" s="74"/>
      <c r="AB204" s="74"/>
    </row>
    <row r="205" spans="1:28" ht="12" customHeight="1">
      <c r="A205" s="569"/>
      <c r="B205" s="574"/>
      <c r="C205" s="575"/>
      <c r="D205" s="576"/>
      <c r="E205" s="101"/>
      <c r="F205" s="101"/>
      <c r="G205" s="35"/>
      <c r="H205" s="104"/>
      <c r="I205" s="35"/>
      <c r="J205" s="74"/>
      <c r="K205" s="74"/>
      <c r="L205" s="74"/>
      <c r="M205" s="74"/>
      <c r="N205" s="74"/>
      <c r="O205" s="74"/>
      <c r="P205" s="74"/>
      <c r="Q205" s="74"/>
      <c r="R205" s="74"/>
      <c r="S205" s="74"/>
      <c r="T205" s="74"/>
      <c r="U205" s="74"/>
      <c r="V205" s="74"/>
      <c r="W205" s="74"/>
      <c r="X205" s="74"/>
      <c r="Y205" s="74"/>
      <c r="Z205" s="74"/>
      <c r="AA205" s="74"/>
      <c r="AB205" s="74"/>
    </row>
    <row r="206" spans="1:28" ht="12" customHeight="1">
      <c r="A206" s="569"/>
      <c r="B206" s="574"/>
      <c r="C206" s="575"/>
      <c r="D206" s="576"/>
      <c r="E206" s="101"/>
      <c r="F206" s="101"/>
      <c r="G206" s="35"/>
      <c r="H206" s="104"/>
      <c r="I206" s="35"/>
      <c r="J206" s="74"/>
      <c r="K206" s="74"/>
      <c r="L206" s="74"/>
      <c r="M206" s="74"/>
      <c r="N206" s="74"/>
      <c r="O206" s="74"/>
      <c r="P206" s="74"/>
      <c r="Q206" s="74"/>
      <c r="R206" s="74"/>
      <c r="S206" s="74"/>
      <c r="T206" s="74"/>
      <c r="U206" s="74"/>
      <c r="V206" s="74"/>
      <c r="W206" s="74"/>
      <c r="X206" s="74"/>
      <c r="Y206" s="74"/>
      <c r="Z206" s="74"/>
      <c r="AA206" s="74"/>
      <c r="AB206" s="74"/>
    </row>
    <row r="207" spans="1:28" ht="12" customHeight="1">
      <c r="A207" s="569"/>
      <c r="B207" s="574"/>
      <c r="C207" s="575"/>
      <c r="D207" s="576"/>
      <c r="E207" s="101"/>
      <c r="F207" s="101"/>
      <c r="G207" s="35"/>
      <c r="H207" s="104"/>
      <c r="I207" s="35"/>
      <c r="J207" s="74"/>
      <c r="K207" s="74"/>
      <c r="L207" s="74"/>
      <c r="M207" s="74"/>
      <c r="N207" s="74"/>
      <c r="O207" s="74"/>
      <c r="P207" s="74"/>
      <c r="Q207" s="74"/>
      <c r="R207" s="74"/>
      <c r="S207" s="74"/>
      <c r="T207" s="74"/>
      <c r="U207" s="74"/>
      <c r="V207" s="74"/>
      <c r="W207" s="74"/>
      <c r="X207" s="74"/>
      <c r="Y207" s="74"/>
      <c r="Z207" s="74"/>
      <c r="AA207" s="74"/>
      <c r="AB207" s="74"/>
    </row>
    <row r="208" spans="1:28" ht="12" customHeight="1">
      <c r="A208" s="569"/>
      <c r="B208" s="574"/>
      <c r="C208" s="575"/>
      <c r="D208" s="576"/>
      <c r="E208" s="101"/>
      <c r="F208" s="101"/>
      <c r="G208" s="35"/>
      <c r="H208" s="104"/>
      <c r="I208" s="35"/>
      <c r="J208" s="74"/>
      <c r="K208" s="74"/>
      <c r="L208" s="74"/>
      <c r="M208" s="74"/>
      <c r="N208" s="74"/>
      <c r="O208" s="74"/>
      <c r="P208" s="74"/>
      <c r="Q208" s="74"/>
      <c r="R208" s="74"/>
      <c r="S208" s="74"/>
      <c r="T208" s="74"/>
      <c r="U208" s="74"/>
      <c r="V208" s="74"/>
      <c r="W208" s="74"/>
      <c r="X208" s="74"/>
      <c r="Y208" s="74"/>
      <c r="Z208" s="74"/>
      <c r="AA208" s="74"/>
      <c r="AB208" s="74"/>
    </row>
    <row r="209" spans="1:28" ht="12" customHeight="1">
      <c r="A209" s="569"/>
      <c r="B209" s="574"/>
      <c r="C209" s="575"/>
      <c r="D209" s="576"/>
      <c r="E209" s="101"/>
      <c r="F209" s="101"/>
      <c r="G209" s="35"/>
      <c r="H209" s="104"/>
      <c r="I209" s="35"/>
      <c r="J209" s="74"/>
      <c r="K209" s="74"/>
      <c r="L209" s="74"/>
      <c r="M209" s="74"/>
      <c r="N209" s="74"/>
      <c r="O209" s="74"/>
      <c r="P209" s="74"/>
      <c r="Q209" s="74"/>
      <c r="R209" s="74"/>
      <c r="S209" s="74"/>
      <c r="T209" s="74"/>
      <c r="U209" s="74"/>
      <c r="V209" s="74"/>
      <c r="W209" s="74"/>
      <c r="X209" s="74"/>
      <c r="Y209" s="74"/>
      <c r="Z209" s="74"/>
      <c r="AA209" s="74"/>
      <c r="AB209" s="74"/>
    </row>
    <row r="210" spans="1:28" ht="12" customHeight="1">
      <c r="A210" s="569"/>
      <c r="B210" s="574"/>
      <c r="C210" s="575"/>
      <c r="D210" s="576"/>
      <c r="E210" s="101"/>
      <c r="F210" s="101"/>
      <c r="G210" s="35"/>
      <c r="H210" s="104"/>
      <c r="I210" s="35"/>
      <c r="J210" s="74"/>
      <c r="K210" s="74"/>
      <c r="L210" s="74"/>
      <c r="M210" s="74"/>
      <c r="N210" s="74"/>
      <c r="O210" s="74"/>
      <c r="P210" s="74"/>
      <c r="Q210" s="74"/>
      <c r="R210" s="74"/>
      <c r="S210" s="74"/>
      <c r="T210" s="74"/>
      <c r="U210" s="74"/>
      <c r="V210" s="74"/>
      <c r="W210" s="74"/>
      <c r="X210" s="74"/>
      <c r="Y210" s="74"/>
      <c r="Z210" s="74"/>
      <c r="AA210" s="74"/>
      <c r="AB210" s="74"/>
    </row>
    <row r="211" spans="1:28" ht="12" customHeight="1">
      <c r="A211" s="569"/>
      <c r="B211" s="574"/>
      <c r="C211" s="575"/>
      <c r="D211" s="576"/>
      <c r="E211" s="101"/>
      <c r="F211" s="101"/>
      <c r="G211" s="35"/>
      <c r="H211" s="104"/>
      <c r="I211" s="35"/>
      <c r="J211" s="74"/>
      <c r="K211" s="74"/>
      <c r="L211" s="74"/>
      <c r="M211" s="74"/>
      <c r="N211" s="74"/>
      <c r="O211" s="74"/>
      <c r="P211" s="74"/>
      <c r="Q211" s="74"/>
      <c r="R211" s="74"/>
      <c r="S211" s="74"/>
      <c r="T211" s="74"/>
      <c r="U211" s="74"/>
      <c r="V211" s="74"/>
      <c r="W211" s="74"/>
      <c r="X211" s="74"/>
      <c r="Y211" s="74"/>
      <c r="Z211" s="74"/>
      <c r="AA211" s="74"/>
      <c r="AB211" s="74"/>
    </row>
    <row r="212" spans="1:28" ht="12" customHeight="1">
      <c r="A212" s="569"/>
      <c r="B212" s="574"/>
      <c r="C212" s="575"/>
      <c r="D212" s="576"/>
      <c r="E212" s="101"/>
      <c r="F212" s="101"/>
      <c r="G212" s="35"/>
      <c r="H212" s="104"/>
      <c r="I212" s="35"/>
      <c r="J212" s="74"/>
      <c r="K212" s="74"/>
      <c r="L212" s="74"/>
      <c r="M212" s="74"/>
      <c r="N212" s="74"/>
      <c r="O212" s="74"/>
      <c r="P212" s="74"/>
      <c r="Q212" s="74"/>
      <c r="R212" s="74"/>
      <c r="S212" s="74"/>
      <c r="T212" s="74"/>
      <c r="U212" s="74"/>
      <c r="V212" s="74"/>
      <c r="W212" s="74"/>
      <c r="X212" s="74"/>
      <c r="Y212" s="74"/>
      <c r="Z212" s="74"/>
      <c r="AA212" s="74"/>
      <c r="AB212" s="74"/>
    </row>
    <row r="213" spans="1:28" ht="12" customHeight="1">
      <c r="A213" s="569"/>
      <c r="B213" s="574"/>
      <c r="C213" s="575"/>
      <c r="D213" s="576"/>
      <c r="E213" s="101"/>
      <c r="F213" s="101"/>
      <c r="G213" s="35"/>
      <c r="H213" s="104"/>
      <c r="I213" s="35"/>
      <c r="J213" s="74"/>
      <c r="K213" s="74"/>
      <c r="L213" s="74"/>
      <c r="M213" s="74"/>
      <c r="N213" s="74"/>
      <c r="O213" s="74"/>
      <c r="P213" s="74"/>
      <c r="Q213" s="74"/>
      <c r="R213" s="74"/>
      <c r="S213" s="74"/>
      <c r="T213" s="74"/>
      <c r="U213" s="74"/>
      <c r="V213" s="74"/>
      <c r="W213" s="74"/>
      <c r="X213" s="74"/>
      <c r="Y213" s="74"/>
      <c r="Z213" s="74"/>
      <c r="AA213" s="74"/>
      <c r="AB213" s="74"/>
    </row>
    <row r="214" spans="1:28" ht="12" customHeight="1">
      <c r="A214" s="569"/>
      <c r="B214" s="574"/>
      <c r="C214" s="575"/>
      <c r="D214" s="576"/>
      <c r="E214" s="101"/>
      <c r="F214" s="101"/>
      <c r="G214" s="35"/>
      <c r="H214" s="104"/>
      <c r="I214" s="35"/>
      <c r="J214" s="74"/>
      <c r="K214" s="74"/>
      <c r="L214" s="74"/>
      <c r="M214" s="74"/>
      <c r="N214" s="74"/>
      <c r="O214" s="74"/>
      <c r="P214" s="74"/>
      <c r="Q214" s="74"/>
      <c r="R214" s="74"/>
      <c r="S214" s="74"/>
      <c r="T214" s="74"/>
      <c r="U214" s="74"/>
      <c r="V214" s="74"/>
      <c r="W214" s="74"/>
      <c r="X214" s="74"/>
      <c r="Y214" s="74"/>
      <c r="Z214" s="74"/>
      <c r="AA214" s="74"/>
      <c r="AB214" s="74"/>
    </row>
    <row r="215" spans="1:28" ht="12" customHeight="1">
      <c r="A215" s="569"/>
      <c r="B215" s="574"/>
      <c r="C215" s="575"/>
      <c r="D215" s="576"/>
      <c r="E215" s="101"/>
      <c r="F215" s="101"/>
      <c r="G215" s="35"/>
      <c r="H215" s="104"/>
      <c r="I215" s="35"/>
      <c r="J215" s="74"/>
      <c r="K215" s="74"/>
      <c r="L215" s="74"/>
      <c r="M215" s="74"/>
      <c r="N215" s="74"/>
      <c r="O215" s="74"/>
      <c r="P215" s="74"/>
      <c r="Q215" s="74"/>
      <c r="R215" s="74"/>
      <c r="S215" s="74"/>
      <c r="T215" s="74"/>
      <c r="U215" s="74"/>
      <c r="V215" s="74"/>
      <c r="W215" s="74"/>
      <c r="X215" s="74"/>
      <c r="Y215" s="74"/>
      <c r="Z215" s="74"/>
      <c r="AA215" s="74"/>
      <c r="AB215" s="74"/>
    </row>
    <row r="216" spans="1:28" ht="12" customHeight="1">
      <c r="A216" s="569"/>
      <c r="B216" s="574"/>
      <c r="C216" s="575"/>
      <c r="D216" s="576"/>
      <c r="E216" s="101"/>
      <c r="F216" s="101"/>
      <c r="G216" s="35"/>
      <c r="H216" s="104"/>
      <c r="I216" s="35"/>
      <c r="J216" s="74"/>
      <c r="K216" s="74"/>
      <c r="L216" s="74"/>
      <c r="M216" s="74"/>
      <c r="N216" s="74"/>
      <c r="O216" s="74"/>
      <c r="P216" s="74"/>
      <c r="Q216" s="74"/>
      <c r="R216" s="74"/>
      <c r="S216" s="74"/>
      <c r="T216" s="74"/>
      <c r="U216" s="74"/>
      <c r="V216" s="74"/>
      <c r="W216" s="74"/>
      <c r="X216" s="74"/>
      <c r="Y216" s="74"/>
      <c r="Z216" s="74"/>
      <c r="AA216" s="74"/>
      <c r="AB216" s="74"/>
    </row>
    <row r="217" spans="1:28" ht="12" customHeight="1">
      <c r="A217" s="569"/>
      <c r="B217" s="574"/>
      <c r="C217" s="575"/>
      <c r="D217" s="576"/>
      <c r="E217" s="101"/>
      <c r="F217" s="101"/>
      <c r="G217" s="35"/>
      <c r="H217" s="104"/>
      <c r="I217" s="35"/>
      <c r="J217" s="74"/>
      <c r="K217" s="74"/>
      <c r="L217" s="74"/>
      <c r="M217" s="74"/>
      <c r="N217" s="74"/>
      <c r="O217" s="74"/>
      <c r="P217" s="74"/>
      <c r="Q217" s="74"/>
      <c r="R217" s="74"/>
      <c r="S217" s="74"/>
      <c r="T217" s="74"/>
      <c r="U217" s="74"/>
      <c r="V217" s="74"/>
      <c r="W217" s="74"/>
      <c r="X217" s="74"/>
      <c r="Y217" s="74"/>
      <c r="Z217" s="74"/>
      <c r="AA217" s="74"/>
      <c r="AB217" s="74"/>
    </row>
    <row r="218" spans="1:28" ht="12" customHeight="1">
      <c r="A218" s="569"/>
      <c r="B218" s="574"/>
      <c r="C218" s="575"/>
      <c r="D218" s="576"/>
      <c r="E218" s="101"/>
      <c r="F218" s="101"/>
      <c r="G218" s="35"/>
      <c r="H218" s="104"/>
      <c r="I218" s="35"/>
      <c r="J218" s="74"/>
      <c r="K218" s="74"/>
      <c r="L218" s="74"/>
      <c r="M218" s="74"/>
      <c r="N218" s="74"/>
      <c r="O218" s="74"/>
      <c r="P218" s="74"/>
      <c r="Q218" s="74"/>
      <c r="R218" s="74"/>
      <c r="S218" s="74"/>
      <c r="T218" s="74"/>
      <c r="U218" s="74"/>
      <c r="V218" s="74"/>
      <c r="W218" s="74"/>
      <c r="X218" s="74"/>
      <c r="Y218" s="74"/>
      <c r="Z218" s="74"/>
      <c r="AA218" s="74"/>
      <c r="AB218" s="74"/>
    </row>
    <row r="219" spans="1:28" ht="12" customHeight="1">
      <c r="A219" s="569"/>
      <c r="B219" s="574"/>
      <c r="C219" s="575"/>
      <c r="D219" s="576"/>
      <c r="E219" s="101"/>
      <c r="F219" s="101"/>
      <c r="G219" s="35"/>
      <c r="H219" s="104"/>
      <c r="I219" s="35"/>
      <c r="J219" s="74"/>
      <c r="K219" s="74"/>
      <c r="L219" s="74"/>
      <c r="M219" s="74"/>
      <c r="N219" s="74"/>
      <c r="O219" s="74"/>
      <c r="P219" s="74"/>
      <c r="Q219" s="74"/>
      <c r="R219" s="74"/>
      <c r="S219" s="74"/>
      <c r="T219" s="74"/>
      <c r="U219" s="74"/>
      <c r="V219" s="74"/>
      <c r="W219" s="74"/>
      <c r="X219" s="74"/>
      <c r="Y219" s="74"/>
      <c r="Z219" s="74"/>
      <c r="AA219" s="74"/>
      <c r="AB219" s="74"/>
    </row>
    <row r="220" spans="1:28" ht="12" customHeight="1">
      <c r="A220" s="569"/>
      <c r="B220" s="574"/>
      <c r="C220" s="575"/>
      <c r="D220" s="576"/>
      <c r="E220" s="101"/>
      <c r="F220" s="101"/>
      <c r="G220" s="35"/>
      <c r="H220" s="104"/>
      <c r="I220" s="35"/>
      <c r="J220" s="74"/>
      <c r="K220" s="74"/>
      <c r="L220" s="74"/>
      <c r="M220" s="74"/>
      <c r="N220" s="74"/>
      <c r="O220" s="74"/>
      <c r="P220" s="74"/>
      <c r="Q220" s="74"/>
      <c r="R220" s="74"/>
      <c r="S220" s="74"/>
      <c r="T220" s="74"/>
      <c r="U220" s="74"/>
      <c r="V220" s="74"/>
      <c r="W220" s="74"/>
      <c r="X220" s="74"/>
      <c r="Y220" s="74"/>
      <c r="Z220" s="74"/>
      <c r="AA220" s="74"/>
      <c r="AB220" s="74"/>
    </row>
    <row r="221" spans="1:28" ht="12" customHeight="1">
      <c r="A221" s="569"/>
      <c r="B221" s="574"/>
      <c r="C221" s="575"/>
      <c r="D221" s="576"/>
      <c r="E221" s="101"/>
      <c r="F221" s="101"/>
      <c r="G221" s="35"/>
      <c r="H221" s="104"/>
      <c r="I221" s="35"/>
      <c r="J221" s="74"/>
      <c r="K221" s="74"/>
      <c r="L221" s="74"/>
      <c r="M221" s="74"/>
      <c r="N221" s="74"/>
      <c r="O221" s="74"/>
      <c r="P221" s="74"/>
      <c r="Q221" s="74"/>
      <c r="R221" s="74"/>
      <c r="S221" s="74"/>
      <c r="T221" s="74"/>
      <c r="U221" s="74"/>
      <c r="V221" s="74"/>
      <c r="W221" s="74"/>
      <c r="X221" s="74"/>
      <c r="Y221" s="74"/>
      <c r="Z221" s="74"/>
      <c r="AA221" s="74"/>
      <c r="AB221" s="74"/>
    </row>
    <row r="222" spans="1:28" ht="12" customHeight="1">
      <c r="A222" s="569"/>
      <c r="B222" s="574"/>
      <c r="C222" s="575"/>
      <c r="D222" s="576"/>
      <c r="E222" s="101"/>
      <c r="F222" s="101"/>
      <c r="G222" s="35"/>
      <c r="H222" s="104"/>
      <c r="I222" s="35"/>
      <c r="J222" s="74"/>
      <c r="K222" s="74"/>
      <c r="L222" s="74"/>
      <c r="M222" s="74"/>
      <c r="N222" s="74"/>
      <c r="O222" s="74"/>
      <c r="P222" s="74"/>
      <c r="Q222" s="74"/>
      <c r="R222" s="74"/>
      <c r="S222" s="74"/>
      <c r="T222" s="74"/>
      <c r="U222" s="74"/>
      <c r="V222" s="74"/>
      <c r="W222" s="74"/>
      <c r="X222" s="74"/>
      <c r="Y222" s="74"/>
      <c r="Z222" s="74"/>
      <c r="AA222" s="74"/>
      <c r="AB222" s="74"/>
    </row>
    <row r="223" spans="1:28" ht="12" customHeight="1">
      <c r="A223" s="569"/>
      <c r="B223" s="574"/>
      <c r="C223" s="575"/>
      <c r="D223" s="576"/>
      <c r="E223" s="101"/>
      <c r="F223" s="101"/>
      <c r="G223" s="35"/>
      <c r="H223" s="104"/>
      <c r="I223" s="35"/>
      <c r="J223" s="74"/>
      <c r="K223" s="74"/>
      <c r="L223" s="74"/>
      <c r="M223" s="74"/>
      <c r="N223" s="74"/>
      <c r="O223" s="74"/>
      <c r="P223" s="74"/>
      <c r="Q223" s="74"/>
      <c r="R223" s="74"/>
      <c r="S223" s="74"/>
      <c r="T223" s="74"/>
      <c r="U223" s="74"/>
      <c r="V223" s="74"/>
      <c r="W223" s="74"/>
      <c r="X223" s="74"/>
      <c r="Y223" s="74"/>
      <c r="Z223" s="74"/>
      <c r="AA223" s="74"/>
      <c r="AB223" s="74"/>
    </row>
    <row r="224" spans="1:28" ht="12" customHeight="1">
      <c r="A224" s="569"/>
      <c r="B224" s="574"/>
      <c r="C224" s="575"/>
      <c r="D224" s="576"/>
      <c r="E224" s="101"/>
      <c r="F224" s="101"/>
      <c r="G224" s="35"/>
      <c r="H224" s="104"/>
      <c r="I224" s="35"/>
      <c r="J224" s="74"/>
      <c r="K224" s="74"/>
      <c r="L224" s="74"/>
      <c r="M224" s="74"/>
      <c r="N224" s="74"/>
      <c r="O224" s="74"/>
      <c r="P224" s="74"/>
      <c r="Q224" s="74"/>
      <c r="R224" s="74"/>
      <c r="S224" s="74"/>
      <c r="T224" s="74"/>
      <c r="U224" s="74"/>
      <c r="V224" s="74"/>
      <c r="W224" s="74"/>
      <c r="X224" s="74"/>
      <c r="Y224" s="74"/>
      <c r="Z224" s="74"/>
      <c r="AA224" s="74"/>
      <c r="AB224" s="74"/>
    </row>
    <row r="225" spans="1:28" ht="12" customHeight="1">
      <c r="A225" s="569"/>
      <c r="B225" s="574"/>
      <c r="C225" s="575"/>
      <c r="D225" s="576"/>
      <c r="E225" s="101"/>
      <c r="F225" s="101"/>
      <c r="G225" s="35"/>
      <c r="H225" s="104"/>
      <c r="I225" s="35"/>
      <c r="J225" s="74"/>
      <c r="K225" s="74"/>
      <c r="L225" s="74"/>
      <c r="M225" s="74"/>
      <c r="N225" s="74"/>
      <c r="O225" s="74"/>
      <c r="P225" s="74"/>
      <c r="Q225" s="74"/>
      <c r="R225" s="74"/>
      <c r="S225" s="74"/>
      <c r="T225" s="74"/>
      <c r="U225" s="74"/>
      <c r="V225" s="74"/>
      <c r="W225" s="74"/>
      <c r="X225" s="74"/>
      <c r="Y225" s="74"/>
      <c r="Z225" s="74"/>
      <c r="AA225" s="74"/>
      <c r="AB225" s="74"/>
    </row>
    <row r="226" spans="1:28" ht="12" customHeight="1">
      <c r="A226" s="569"/>
      <c r="B226" s="574"/>
      <c r="C226" s="575"/>
      <c r="D226" s="576"/>
      <c r="E226" s="101"/>
      <c r="F226" s="101"/>
      <c r="G226" s="35"/>
      <c r="H226" s="104"/>
      <c r="I226" s="35"/>
      <c r="J226" s="74"/>
      <c r="K226" s="74"/>
      <c r="L226" s="74"/>
      <c r="M226" s="74"/>
      <c r="N226" s="74"/>
      <c r="O226" s="74"/>
      <c r="P226" s="74"/>
      <c r="Q226" s="74"/>
      <c r="R226" s="74"/>
      <c r="S226" s="74"/>
      <c r="T226" s="74"/>
      <c r="U226" s="74"/>
      <c r="V226" s="74"/>
      <c r="W226" s="74"/>
      <c r="X226" s="74"/>
      <c r="Y226" s="74"/>
      <c r="Z226" s="74"/>
      <c r="AA226" s="74"/>
      <c r="AB226" s="74"/>
    </row>
    <row r="227" spans="1:28" ht="12" customHeight="1">
      <c r="A227" s="569"/>
      <c r="B227" s="574"/>
      <c r="C227" s="575"/>
      <c r="D227" s="576"/>
      <c r="E227" s="101"/>
      <c r="F227" s="101"/>
      <c r="G227" s="35"/>
      <c r="H227" s="104"/>
      <c r="I227" s="35"/>
      <c r="J227" s="74"/>
      <c r="K227" s="74"/>
      <c r="L227" s="74"/>
      <c r="M227" s="74"/>
      <c r="N227" s="74"/>
      <c r="O227" s="74"/>
      <c r="P227" s="74"/>
      <c r="Q227" s="74"/>
      <c r="R227" s="74"/>
      <c r="S227" s="74"/>
      <c r="T227" s="74"/>
      <c r="U227" s="74"/>
      <c r="V227" s="74"/>
      <c r="W227" s="74"/>
      <c r="X227" s="74"/>
      <c r="Y227" s="74"/>
      <c r="Z227" s="74"/>
      <c r="AA227" s="74"/>
      <c r="AB227" s="74"/>
    </row>
    <row r="228" spans="1:28" ht="12" customHeight="1">
      <c r="A228" s="569"/>
      <c r="B228" s="574"/>
      <c r="C228" s="575"/>
      <c r="D228" s="576"/>
      <c r="E228" s="101"/>
      <c r="F228" s="101"/>
      <c r="G228" s="35"/>
      <c r="H228" s="104"/>
      <c r="I228" s="35"/>
      <c r="J228" s="74"/>
      <c r="K228" s="74"/>
      <c r="L228" s="74"/>
      <c r="M228" s="74"/>
      <c r="N228" s="74"/>
      <c r="O228" s="74"/>
      <c r="P228" s="74"/>
      <c r="Q228" s="74"/>
      <c r="R228" s="74"/>
      <c r="S228" s="74"/>
      <c r="T228" s="74"/>
      <c r="U228" s="74"/>
      <c r="V228" s="74"/>
      <c r="W228" s="74"/>
      <c r="X228" s="74"/>
      <c r="Y228" s="74"/>
      <c r="Z228" s="74"/>
      <c r="AA228" s="74"/>
      <c r="AB228" s="74"/>
    </row>
    <row r="229" spans="1:28" ht="12" customHeight="1">
      <c r="A229" s="569"/>
      <c r="B229" s="574"/>
      <c r="C229" s="575"/>
      <c r="D229" s="576"/>
      <c r="E229" s="101"/>
      <c r="F229" s="101"/>
      <c r="G229" s="35"/>
      <c r="H229" s="104"/>
      <c r="I229" s="35"/>
      <c r="J229" s="74"/>
      <c r="K229" s="74"/>
      <c r="L229" s="74"/>
      <c r="M229" s="74"/>
      <c r="N229" s="74"/>
      <c r="O229" s="74"/>
      <c r="P229" s="74"/>
      <c r="Q229" s="74"/>
      <c r="R229" s="74"/>
      <c r="S229" s="74"/>
      <c r="T229" s="74"/>
      <c r="U229" s="74"/>
      <c r="V229" s="74"/>
      <c r="W229" s="74"/>
      <c r="X229" s="74"/>
      <c r="Y229" s="74"/>
      <c r="Z229" s="74"/>
      <c r="AA229" s="74"/>
      <c r="AB229" s="74"/>
    </row>
    <row r="230" spans="1:28" ht="12" customHeight="1">
      <c r="A230" s="569"/>
      <c r="B230" s="574"/>
      <c r="C230" s="575"/>
      <c r="D230" s="576"/>
      <c r="E230" s="101"/>
      <c r="F230" s="101"/>
      <c r="G230" s="35"/>
      <c r="H230" s="104"/>
      <c r="I230" s="35"/>
      <c r="J230" s="74"/>
      <c r="K230" s="74"/>
      <c r="L230" s="74"/>
      <c r="M230" s="74"/>
      <c r="N230" s="74"/>
      <c r="O230" s="74"/>
      <c r="P230" s="74"/>
      <c r="Q230" s="74"/>
      <c r="R230" s="74"/>
      <c r="S230" s="74"/>
      <c r="T230" s="74"/>
      <c r="U230" s="74"/>
      <c r="V230" s="74"/>
      <c r="W230" s="74"/>
      <c r="X230" s="74"/>
      <c r="Y230" s="74"/>
      <c r="Z230" s="74"/>
      <c r="AA230" s="74"/>
      <c r="AB230" s="74"/>
    </row>
    <row r="231" spans="1:28" ht="12" customHeight="1">
      <c r="A231" s="569"/>
      <c r="B231" s="574"/>
      <c r="C231" s="575"/>
      <c r="D231" s="576"/>
      <c r="E231" s="101"/>
      <c r="F231" s="101"/>
      <c r="G231" s="35"/>
      <c r="H231" s="104"/>
      <c r="I231" s="35"/>
      <c r="J231" s="74"/>
      <c r="K231" s="74"/>
      <c r="L231" s="74"/>
      <c r="M231" s="74"/>
      <c r="N231" s="74"/>
      <c r="O231" s="74"/>
      <c r="P231" s="74"/>
      <c r="Q231" s="74"/>
      <c r="R231" s="74"/>
      <c r="S231" s="74"/>
      <c r="T231" s="74"/>
      <c r="U231" s="74"/>
      <c r="V231" s="74"/>
      <c r="W231" s="74"/>
      <c r="X231" s="74"/>
      <c r="Y231" s="74"/>
      <c r="Z231" s="74"/>
      <c r="AA231" s="74"/>
      <c r="AB231" s="74"/>
    </row>
    <row r="232" spans="1:28" ht="12" customHeight="1">
      <c r="A232" s="569"/>
      <c r="B232" s="574"/>
      <c r="C232" s="575"/>
      <c r="D232" s="576"/>
      <c r="E232" s="101"/>
      <c r="F232" s="101"/>
      <c r="G232" s="35"/>
      <c r="H232" s="104"/>
      <c r="I232" s="35"/>
      <c r="J232" s="74"/>
      <c r="K232" s="74"/>
      <c r="L232" s="74"/>
      <c r="M232" s="74"/>
      <c r="N232" s="74"/>
      <c r="O232" s="74"/>
      <c r="P232" s="74"/>
      <c r="Q232" s="74"/>
      <c r="R232" s="74"/>
      <c r="S232" s="74"/>
      <c r="T232" s="74"/>
      <c r="U232" s="74"/>
      <c r="V232" s="74"/>
      <c r="W232" s="74"/>
      <c r="X232" s="74"/>
      <c r="Y232" s="74"/>
      <c r="Z232" s="74"/>
      <c r="AA232" s="74"/>
      <c r="AB232" s="74"/>
    </row>
    <row r="233" spans="1:28" ht="12" customHeight="1">
      <c r="A233" s="569"/>
      <c r="B233" s="574"/>
      <c r="C233" s="575"/>
      <c r="D233" s="576"/>
      <c r="E233" s="101"/>
      <c r="F233" s="101"/>
      <c r="G233" s="35"/>
      <c r="H233" s="104"/>
      <c r="I233" s="35"/>
      <c r="J233" s="74"/>
      <c r="K233" s="74"/>
      <c r="L233" s="74"/>
      <c r="M233" s="74"/>
      <c r="N233" s="74"/>
      <c r="O233" s="74"/>
      <c r="P233" s="74"/>
      <c r="Q233" s="74"/>
      <c r="R233" s="74"/>
      <c r="S233" s="74"/>
      <c r="T233" s="74"/>
      <c r="U233" s="74"/>
      <c r="V233" s="74"/>
      <c r="W233" s="74"/>
      <c r="X233" s="74"/>
      <c r="Y233" s="74"/>
      <c r="Z233" s="74"/>
      <c r="AA233" s="74"/>
      <c r="AB233" s="74"/>
    </row>
    <row r="234" spans="1:28" ht="12" customHeight="1">
      <c r="A234" s="569"/>
      <c r="B234" s="574"/>
      <c r="C234" s="575"/>
      <c r="D234" s="576"/>
      <c r="E234" s="101"/>
      <c r="F234" s="101"/>
      <c r="G234" s="35"/>
      <c r="H234" s="104"/>
      <c r="I234" s="35"/>
      <c r="J234" s="74"/>
      <c r="K234" s="74"/>
      <c r="L234" s="74"/>
      <c r="M234" s="74"/>
      <c r="N234" s="74"/>
      <c r="O234" s="74"/>
      <c r="P234" s="74"/>
      <c r="Q234" s="74"/>
      <c r="R234" s="74"/>
      <c r="S234" s="74"/>
      <c r="T234" s="74"/>
      <c r="U234" s="74"/>
      <c r="V234" s="74"/>
      <c r="W234" s="74"/>
      <c r="X234" s="74"/>
      <c r="Y234" s="74"/>
      <c r="Z234" s="74"/>
      <c r="AA234" s="74"/>
      <c r="AB234" s="74"/>
    </row>
    <row r="235" spans="1:28" ht="12" customHeight="1">
      <c r="A235" s="569"/>
      <c r="B235" s="574"/>
      <c r="C235" s="575"/>
      <c r="D235" s="576"/>
      <c r="E235" s="101"/>
      <c r="F235" s="101"/>
      <c r="G235" s="35"/>
      <c r="H235" s="104"/>
      <c r="I235" s="35"/>
      <c r="J235" s="74"/>
      <c r="K235" s="74"/>
      <c r="L235" s="74"/>
      <c r="M235" s="74"/>
      <c r="N235" s="74"/>
      <c r="O235" s="74"/>
      <c r="P235" s="74"/>
      <c r="Q235" s="74"/>
      <c r="R235" s="74"/>
      <c r="S235" s="74"/>
      <c r="T235" s="74"/>
      <c r="U235" s="74"/>
      <c r="V235" s="74"/>
      <c r="W235" s="74"/>
      <c r="X235" s="74"/>
      <c r="Y235" s="74"/>
      <c r="Z235" s="74"/>
      <c r="AA235" s="74"/>
      <c r="AB235" s="74"/>
    </row>
    <row r="236" spans="1:28" ht="12" customHeight="1">
      <c r="A236" s="569"/>
      <c r="B236" s="574"/>
      <c r="C236" s="575"/>
      <c r="D236" s="576"/>
      <c r="E236" s="101"/>
      <c r="F236" s="101"/>
      <c r="G236" s="35"/>
      <c r="H236" s="104"/>
      <c r="I236" s="35"/>
      <c r="J236" s="74"/>
      <c r="K236" s="74"/>
      <c r="L236" s="74"/>
      <c r="M236" s="74"/>
      <c r="N236" s="74"/>
      <c r="O236" s="74"/>
      <c r="P236" s="74"/>
      <c r="Q236" s="74"/>
      <c r="R236" s="74"/>
      <c r="S236" s="74"/>
      <c r="T236" s="74"/>
      <c r="U236" s="74"/>
      <c r="V236" s="74"/>
      <c r="W236" s="74"/>
      <c r="X236" s="74"/>
      <c r="Y236" s="74"/>
      <c r="Z236" s="74"/>
      <c r="AA236" s="74"/>
      <c r="AB236" s="74"/>
    </row>
    <row r="237" spans="1:28" ht="12" customHeight="1">
      <c r="A237" s="569"/>
      <c r="B237" s="574"/>
      <c r="C237" s="575"/>
      <c r="D237" s="576"/>
      <c r="E237" s="101"/>
      <c r="F237" s="101"/>
      <c r="G237" s="35"/>
      <c r="H237" s="104"/>
      <c r="I237" s="35"/>
      <c r="J237" s="74"/>
      <c r="K237" s="74"/>
      <c r="L237" s="74"/>
      <c r="M237" s="74"/>
      <c r="N237" s="74"/>
      <c r="O237" s="74"/>
      <c r="P237" s="74"/>
      <c r="Q237" s="74"/>
      <c r="R237" s="74"/>
      <c r="S237" s="74"/>
      <c r="T237" s="74"/>
      <c r="U237" s="74"/>
      <c r="V237" s="74"/>
      <c r="W237" s="74"/>
      <c r="X237" s="74"/>
      <c r="Y237" s="74"/>
      <c r="Z237" s="74"/>
      <c r="AA237" s="74"/>
      <c r="AB237" s="74"/>
    </row>
    <row r="238" spans="1:28" ht="12" customHeight="1">
      <c r="A238" s="569"/>
      <c r="B238" s="574"/>
      <c r="C238" s="575"/>
      <c r="D238" s="576"/>
      <c r="E238" s="101"/>
      <c r="F238" s="101"/>
      <c r="G238" s="35"/>
      <c r="H238" s="104"/>
      <c r="I238" s="35"/>
      <c r="J238" s="74"/>
      <c r="K238" s="74"/>
      <c r="L238" s="74"/>
      <c r="M238" s="74"/>
      <c r="N238" s="74"/>
      <c r="O238" s="74"/>
      <c r="P238" s="74"/>
      <c r="Q238" s="74"/>
      <c r="R238" s="74"/>
      <c r="S238" s="74"/>
      <c r="T238" s="74"/>
      <c r="U238" s="74"/>
      <c r="V238" s="74"/>
      <c r="W238" s="74"/>
      <c r="X238" s="74"/>
      <c r="Y238" s="74"/>
      <c r="Z238" s="74"/>
      <c r="AA238" s="74"/>
      <c r="AB238" s="74"/>
    </row>
    <row r="239" spans="1:28" ht="12" customHeight="1">
      <c r="A239" s="569"/>
      <c r="B239" s="574"/>
      <c r="C239" s="575"/>
      <c r="D239" s="576"/>
      <c r="E239" s="101"/>
      <c r="F239" s="101"/>
      <c r="G239" s="35"/>
      <c r="H239" s="104"/>
      <c r="I239" s="35"/>
      <c r="J239" s="74"/>
      <c r="K239" s="74"/>
      <c r="L239" s="74"/>
      <c r="M239" s="74"/>
      <c r="N239" s="74"/>
      <c r="O239" s="74"/>
      <c r="P239" s="74"/>
      <c r="Q239" s="74"/>
      <c r="R239" s="74"/>
      <c r="S239" s="74"/>
      <c r="T239" s="74"/>
      <c r="U239" s="74"/>
      <c r="V239" s="74"/>
      <c r="W239" s="74"/>
      <c r="X239" s="74"/>
      <c r="Y239" s="74"/>
      <c r="Z239" s="74"/>
      <c r="AA239" s="74"/>
      <c r="AB239" s="74"/>
    </row>
    <row r="240" spans="1:28" ht="12" customHeight="1">
      <c r="A240" s="569"/>
      <c r="B240" s="574"/>
      <c r="C240" s="575"/>
      <c r="D240" s="576"/>
      <c r="E240" s="101"/>
      <c r="F240" s="101"/>
      <c r="G240" s="35"/>
      <c r="H240" s="104"/>
      <c r="I240" s="35"/>
      <c r="J240" s="74"/>
      <c r="K240" s="74"/>
      <c r="L240" s="74"/>
      <c r="M240" s="74"/>
      <c r="N240" s="74"/>
      <c r="O240" s="74"/>
      <c r="P240" s="74"/>
      <c r="Q240" s="74"/>
      <c r="R240" s="74"/>
      <c r="S240" s="74"/>
      <c r="T240" s="74"/>
      <c r="U240" s="74"/>
      <c r="V240" s="74"/>
      <c r="W240" s="74"/>
      <c r="X240" s="74"/>
      <c r="Y240" s="74"/>
      <c r="Z240" s="74"/>
      <c r="AA240" s="74"/>
      <c r="AB240" s="74"/>
    </row>
    <row r="241" spans="1:28" ht="12" customHeight="1">
      <c r="A241" s="569"/>
      <c r="B241" s="574"/>
      <c r="C241" s="575"/>
      <c r="D241" s="576"/>
      <c r="E241" s="101"/>
      <c r="F241" s="101"/>
      <c r="G241" s="35"/>
      <c r="H241" s="104"/>
      <c r="I241" s="35"/>
      <c r="J241" s="74"/>
      <c r="K241" s="74"/>
      <c r="L241" s="74"/>
      <c r="M241" s="74"/>
      <c r="N241" s="74"/>
      <c r="O241" s="74"/>
      <c r="P241" s="74"/>
      <c r="Q241" s="74"/>
      <c r="R241" s="74"/>
      <c r="S241" s="74"/>
      <c r="T241" s="74"/>
      <c r="U241" s="74"/>
      <c r="V241" s="74"/>
      <c r="W241" s="74"/>
      <c r="X241" s="74"/>
      <c r="Y241" s="74"/>
      <c r="Z241" s="74"/>
      <c r="AA241" s="74"/>
      <c r="AB241" s="74"/>
    </row>
    <row r="242" spans="1:28" ht="12" customHeight="1">
      <c r="A242" s="569"/>
      <c r="B242" s="574"/>
      <c r="C242" s="575"/>
      <c r="D242" s="576"/>
      <c r="E242" s="101"/>
      <c r="F242" s="101"/>
      <c r="G242" s="35"/>
      <c r="H242" s="104"/>
      <c r="I242" s="35"/>
      <c r="J242" s="74"/>
      <c r="K242" s="74"/>
      <c r="L242" s="74"/>
      <c r="M242" s="74"/>
      <c r="N242" s="74"/>
      <c r="O242" s="74"/>
      <c r="P242" s="74"/>
      <c r="Q242" s="74"/>
      <c r="R242" s="74"/>
      <c r="S242" s="74"/>
      <c r="T242" s="74"/>
      <c r="U242" s="74"/>
      <c r="V242" s="74"/>
      <c r="W242" s="74"/>
      <c r="X242" s="74"/>
      <c r="Y242" s="74"/>
      <c r="Z242" s="74"/>
      <c r="AA242" s="74"/>
      <c r="AB242" s="74"/>
    </row>
    <row r="243" spans="1:28" ht="12" customHeight="1">
      <c r="A243" s="569"/>
      <c r="B243" s="574"/>
      <c r="C243" s="575"/>
      <c r="D243" s="576"/>
      <c r="E243" s="101"/>
      <c r="F243" s="101"/>
      <c r="G243" s="35"/>
      <c r="H243" s="104"/>
      <c r="I243" s="35"/>
      <c r="J243" s="74"/>
      <c r="K243" s="74"/>
      <c r="L243" s="74"/>
      <c r="M243" s="74"/>
      <c r="N243" s="74"/>
      <c r="O243" s="74"/>
      <c r="P243" s="74"/>
      <c r="Q243" s="74"/>
      <c r="R243" s="74"/>
      <c r="S243" s="74"/>
      <c r="T243" s="74"/>
      <c r="U243" s="74"/>
      <c r="V243" s="74"/>
      <c r="W243" s="74"/>
      <c r="X243" s="74"/>
      <c r="Y243" s="74"/>
      <c r="Z243" s="74"/>
      <c r="AA243" s="74"/>
      <c r="AB243" s="74"/>
    </row>
    <row r="244" spans="1:28" ht="12" customHeight="1">
      <c r="A244" s="569"/>
      <c r="B244" s="574"/>
      <c r="C244" s="575"/>
      <c r="D244" s="576"/>
      <c r="E244" s="101"/>
      <c r="F244" s="101"/>
      <c r="G244" s="35"/>
      <c r="H244" s="104"/>
      <c r="I244" s="35"/>
      <c r="J244" s="74"/>
      <c r="K244" s="74"/>
      <c r="L244" s="74"/>
      <c r="M244" s="74"/>
      <c r="N244" s="74"/>
      <c r="O244" s="74"/>
      <c r="P244" s="74"/>
      <c r="Q244" s="74"/>
      <c r="R244" s="74"/>
      <c r="S244" s="74"/>
      <c r="T244" s="74"/>
      <c r="U244" s="74"/>
      <c r="V244" s="74"/>
      <c r="W244" s="74"/>
      <c r="X244" s="74"/>
      <c r="Y244" s="74"/>
      <c r="Z244" s="74"/>
      <c r="AA244" s="74"/>
      <c r="AB244" s="74"/>
    </row>
    <row r="245" spans="1:28" ht="12" customHeight="1">
      <c r="A245" s="569"/>
      <c r="B245" s="574"/>
      <c r="C245" s="575"/>
      <c r="D245" s="576"/>
      <c r="E245" s="101"/>
      <c r="F245" s="101"/>
      <c r="G245" s="35"/>
      <c r="H245" s="104"/>
      <c r="I245" s="35"/>
      <c r="J245" s="74"/>
      <c r="K245" s="74"/>
      <c r="L245" s="74"/>
      <c r="M245" s="74"/>
      <c r="N245" s="74"/>
      <c r="O245" s="74"/>
      <c r="P245" s="74"/>
      <c r="Q245" s="74"/>
      <c r="R245" s="74"/>
      <c r="S245" s="74"/>
      <c r="T245" s="74"/>
      <c r="U245" s="74"/>
      <c r="V245" s="74"/>
      <c r="W245" s="74"/>
      <c r="X245" s="74"/>
      <c r="Y245" s="74"/>
      <c r="Z245" s="74"/>
      <c r="AA245" s="74"/>
      <c r="AB245" s="74"/>
    </row>
    <row r="246" spans="1:28" ht="12" customHeight="1">
      <c r="A246" s="569"/>
      <c r="B246" s="574"/>
      <c r="C246" s="575"/>
      <c r="D246" s="576"/>
      <c r="E246" s="101"/>
      <c r="F246" s="101"/>
      <c r="G246" s="35"/>
      <c r="H246" s="104"/>
      <c r="I246" s="35"/>
      <c r="J246" s="74"/>
      <c r="K246" s="74"/>
      <c r="L246" s="74"/>
      <c r="M246" s="74"/>
      <c r="N246" s="74"/>
      <c r="O246" s="74"/>
      <c r="P246" s="74"/>
      <c r="Q246" s="74"/>
      <c r="R246" s="74"/>
      <c r="S246" s="74"/>
      <c r="T246" s="74"/>
      <c r="U246" s="74"/>
      <c r="V246" s="74"/>
      <c r="W246" s="74"/>
      <c r="X246" s="74"/>
      <c r="Y246" s="74"/>
      <c r="Z246" s="74"/>
      <c r="AA246" s="74"/>
      <c r="AB246" s="74"/>
    </row>
    <row r="247" spans="1:28" ht="12" customHeight="1">
      <c r="A247" s="569"/>
      <c r="B247" s="574"/>
      <c r="C247" s="575"/>
      <c r="D247" s="576"/>
      <c r="E247" s="101"/>
      <c r="F247" s="101"/>
      <c r="G247" s="35"/>
      <c r="H247" s="104"/>
      <c r="I247" s="35"/>
      <c r="J247" s="74"/>
      <c r="K247" s="74"/>
      <c r="L247" s="74"/>
      <c r="M247" s="74"/>
      <c r="N247" s="74"/>
      <c r="O247" s="74"/>
      <c r="P247" s="74"/>
      <c r="Q247" s="74"/>
      <c r="R247" s="74"/>
      <c r="S247" s="74"/>
      <c r="T247" s="74"/>
      <c r="U247" s="74"/>
      <c r="V247" s="74"/>
      <c r="W247" s="74"/>
      <c r="X247" s="74"/>
      <c r="Y247" s="74"/>
      <c r="Z247" s="74"/>
      <c r="AA247" s="74"/>
      <c r="AB247" s="74"/>
    </row>
    <row r="248" spans="1:28" ht="12" customHeight="1">
      <c r="A248" s="569"/>
      <c r="B248" s="574"/>
      <c r="C248" s="575"/>
      <c r="D248" s="576"/>
      <c r="E248" s="101"/>
      <c r="F248" s="101"/>
      <c r="G248" s="35"/>
      <c r="H248" s="104"/>
      <c r="I248" s="35"/>
      <c r="J248" s="74"/>
      <c r="K248" s="74"/>
      <c r="L248" s="74"/>
      <c r="M248" s="74"/>
      <c r="N248" s="74"/>
      <c r="O248" s="74"/>
      <c r="P248" s="74"/>
      <c r="Q248" s="74"/>
      <c r="R248" s="74"/>
      <c r="S248" s="74"/>
      <c r="T248" s="74"/>
      <c r="U248" s="74"/>
      <c r="V248" s="74"/>
      <c r="W248" s="74"/>
      <c r="X248" s="74"/>
      <c r="Y248" s="74"/>
      <c r="Z248" s="74"/>
      <c r="AA248" s="74"/>
      <c r="AB248" s="74"/>
    </row>
    <row r="249" spans="1:28" ht="12" customHeight="1">
      <c r="A249" s="569"/>
      <c r="B249" s="574"/>
      <c r="C249" s="575"/>
      <c r="D249" s="576"/>
      <c r="E249" s="101"/>
      <c r="F249" s="101"/>
      <c r="G249" s="35"/>
      <c r="H249" s="104"/>
      <c r="I249" s="35"/>
      <c r="J249" s="74"/>
      <c r="K249" s="74"/>
      <c r="L249" s="74"/>
      <c r="M249" s="74"/>
      <c r="N249" s="74"/>
      <c r="O249" s="74"/>
      <c r="P249" s="74"/>
      <c r="Q249" s="74"/>
      <c r="R249" s="74"/>
      <c r="S249" s="74"/>
      <c r="T249" s="74"/>
      <c r="U249" s="74"/>
      <c r="V249" s="74"/>
      <c r="W249" s="74"/>
      <c r="X249" s="74"/>
      <c r="Y249" s="74"/>
      <c r="Z249" s="74"/>
      <c r="AA249" s="74"/>
      <c r="AB249" s="74"/>
    </row>
    <row r="250" spans="1:28" ht="12" customHeight="1">
      <c r="A250" s="569"/>
      <c r="B250" s="574"/>
      <c r="C250" s="575"/>
      <c r="D250" s="576"/>
      <c r="E250" s="101"/>
      <c r="F250" s="101"/>
      <c r="G250" s="35"/>
      <c r="H250" s="104"/>
      <c r="I250" s="35"/>
      <c r="J250" s="74"/>
      <c r="K250" s="74"/>
      <c r="L250" s="74"/>
      <c r="M250" s="74"/>
      <c r="N250" s="74"/>
      <c r="O250" s="74"/>
      <c r="P250" s="74"/>
      <c r="Q250" s="74"/>
      <c r="R250" s="74"/>
      <c r="S250" s="74"/>
      <c r="T250" s="74"/>
      <c r="U250" s="74"/>
      <c r="V250" s="74"/>
      <c r="W250" s="74"/>
      <c r="X250" s="74"/>
      <c r="Y250" s="74"/>
      <c r="Z250" s="74"/>
      <c r="AA250" s="74"/>
      <c r="AB250" s="74"/>
    </row>
    <row r="251" spans="1:28" ht="12" customHeight="1">
      <c r="A251" s="569"/>
      <c r="B251" s="574"/>
      <c r="C251" s="575"/>
      <c r="D251" s="576"/>
      <c r="E251" s="101"/>
      <c r="F251" s="101"/>
      <c r="G251" s="35"/>
      <c r="H251" s="104"/>
      <c r="I251" s="35"/>
      <c r="J251" s="74"/>
      <c r="K251" s="74"/>
      <c r="L251" s="74"/>
      <c r="M251" s="74"/>
      <c r="N251" s="74"/>
      <c r="O251" s="74"/>
      <c r="P251" s="74"/>
      <c r="Q251" s="74"/>
      <c r="R251" s="74"/>
      <c r="S251" s="74"/>
      <c r="T251" s="74"/>
      <c r="U251" s="74"/>
      <c r="V251" s="74"/>
      <c r="W251" s="74"/>
      <c r="X251" s="74"/>
      <c r="Y251" s="74"/>
      <c r="Z251" s="74"/>
      <c r="AA251" s="74"/>
      <c r="AB251" s="74"/>
    </row>
    <row r="252" spans="1:28" ht="12" customHeight="1">
      <c r="A252" s="569"/>
      <c r="B252" s="574"/>
      <c r="C252" s="575"/>
      <c r="D252" s="576"/>
      <c r="E252" s="101"/>
      <c r="F252" s="101"/>
      <c r="G252" s="35"/>
      <c r="H252" s="104"/>
      <c r="I252" s="35"/>
      <c r="J252" s="74"/>
      <c r="K252" s="74"/>
      <c r="L252" s="74"/>
      <c r="M252" s="74"/>
      <c r="N252" s="74"/>
      <c r="O252" s="74"/>
      <c r="P252" s="74"/>
      <c r="Q252" s="74"/>
      <c r="R252" s="74"/>
      <c r="S252" s="74"/>
      <c r="T252" s="74"/>
      <c r="U252" s="74"/>
      <c r="V252" s="74"/>
      <c r="W252" s="74"/>
      <c r="X252" s="74"/>
      <c r="Y252" s="74"/>
      <c r="Z252" s="74"/>
      <c r="AA252" s="74"/>
      <c r="AB252" s="74"/>
    </row>
    <row r="253" spans="1:28" ht="12" customHeight="1">
      <c r="A253" s="569"/>
      <c r="B253" s="574"/>
      <c r="C253" s="575"/>
      <c r="D253" s="576"/>
      <c r="E253" s="101"/>
      <c r="F253" s="101"/>
      <c r="G253" s="35"/>
      <c r="H253" s="104"/>
      <c r="I253" s="35"/>
      <c r="J253" s="74"/>
      <c r="K253" s="74"/>
      <c r="L253" s="74"/>
      <c r="M253" s="74"/>
      <c r="N253" s="74"/>
      <c r="O253" s="74"/>
      <c r="P253" s="74"/>
      <c r="Q253" s="74"/>
      <c r="R253" s="74"/>
      <c r="S253" s="74"/>
      <c r="T253" s="74"/>
      <c r="U253" s="74"/>
      <c r="V253" s="74"/>
      <c r="W253" s="74"/>
      <c r="X253" s="74"/>
      <c r="Y253" s="74"/>
      <c r="Z253" s="74"/>
      <c r="AA253" s="74"/>
      <c r="AB253" s="74"/>
    </row>
    <row r="254" spans="1:28" ht="12" customHeight="1">
      <c r="A254" s="569"/>
      <c r="B254" s="574"/>
      <c r="C254" s="575"/>
      <c r="D254" s="576"/>
      <c r="E254" s="101"/>
      <c r="F254" s="101"/>
      <c r="G254" s="35"/>
      <c r="H254" s="104"/>
      <c r="I254" s="35"/>
      <c r="J254" s="74"/>
      <c r="K254" s="74"/>
      <c r="L254" s="74"/>
      <c r="M254" s="74"/>
      <c r="N254" s="74"/>
      <c r="O254" s="74"/>
      <c r="P254" s="74"/>
      <c r="Q254" s="74"/>
      <c r="R254" s="74"/>
      <c r="S254" s="74"/>
      <c r="T254" s="74"/>
      <c r="U254" s="74"/>
      <c r="V254" s="74"/>
      <c r="W254" s="74"/>
      <c r="X254" s="74"/>
      <c r="Y254" s="74"/>
      <c r="Z254" s="74"/>
      <c r="AA254" s="74"/>
      <c r="AB254" s="74"/>
    </row>
    <row r="255" spans="1:28" ht="12" customHeight="1">
      <c r="A255" s="569"/>
      <c r="B255" s="574"/>
      <c r="C255" s="575"/>
      <c r="D255" s="576"/>
      <c r="E255" s="101"/>
      <c r="F255" s="101"/>
      <c r="G255" s="35"/>
      <c r="H255" s="104"/>
      <c r="I255" s="35"/>
      <c r="J255" s="74"/>
      <c r="K255" s="74"/>
      <c r="L255" s="74"/>
      <c r="M255" s="74"/>
      <c r="N255" s="74"/>
      <c r="O255" s="74"/>
      <c r="P255" s="74"/>
      <c r="Q255" s="74"/>
      <c r="R255" s="74"/>
      <c r="S255" s="74"/>
      <c r="T255" s="74"/>
      <c r="U255" s="74"/>
      <c r="V255" s="74"/>
      <c r="W255" s="74"/>
      <c r="X255" s="74"/>
      <c r="Y255" s="74"/>
      <c r="Z255" s="74"/>
      <c r="AA255" s="74"/>
      <c r="AB255" s="74"/>
    </row>
    <row r="256" spans="1:28" ht="12" customHeight="1">
      <c r="A256" s="569"/>
      <c r="B256" s="574"/>
      <c r="C256" s="575"/>
      <c r="D256" s="576"/>
      <c r="E256" s="101"/>
      <c r="F256" s="101"/>
      <c r="G256" s="35"/>
      <c r="H256" s="104"/>
      <c r="I256" s="35"/>
      <c r="J256" s="74"/>
      <c r="K256" s="74"/>
      <c r="L256" s="74"/>
      <c r="M256" s="74"/>
      <c r="N256" s="74"/>
      <c r="O256" s="74"/>
      <c r="P256" s="74"/>
      <c r="Q256" s="74"/>
      <c r="R256" s="74"/>
      <c r="S256" s="74"/>
      <c r="T256" s="74"/>
      <c r="U256" s="74"/>
      <c r="V256" s="74"/>
      <c r="W256" s="74"/>
      <c r="X256" s="74"/>
      <c r="Y256" s="74"/>
      <c r="Z256" s="74"/>
      <c r="AA256" s="74"/>
      <c r="AB256" s="74"/>
    </row>
    <row r="257" spans="1:28" ht="12" customHeight="1">
      <c r="A257" s="569"/>
      <c r="B257" s="574"/>
      <c r="C257" s="575"/>
      <c r="D257" s="576"/>
      <c r="E257" s="101"/>
      <c r="F257" s="101"/>
      <c r="G257" s="35"/>
      <c r="H257" s="104"/>
      <c r="I257" s="35"/>
      <c r="J257" s="74"/>
      <c r="K257" s="74"/>
      <c r="L257" s="74"/>
      <c r="M257" s="74"/>
      <c r="N257" s="74"/>
      <c r="O257" s="74"/>
      <c r="P257" s="74"/>
      <c r="Q257" s="74"/>
      <c r="R257" s="74"/>
      <c r="S257" s="74"/>
      <c r="T257" s="74"/>
      <c r="U257" s="74"/>
      <c r="V257" s="74"/>
      <c r="W257" s="74"/>
      <c r="X257" s="74"/>
      <c r="Y257" s="74"/>
      <c r="Z257" s="74"/>
      <c r="AA257" s="74"/>
      <c r="AB257" s="74"/>
    </row>
    <row r="258" spans="1:28" ht="12" customHeight="1">
      <c r="A258" s="569"/>
      <c r="B258" s="574"/>
      <c r="C258" s="575"/>
      <c r="D258" s="576"/>
      <c r="E258" s="101"/>
      <c r="F258" s="101"/>
      <c r="G258" s="35"/>
      <c r="H258" s="104"/>
      <c r="I258" s="35"/>
      <c r="J258" s="74"/>
      <c r="K258" s="74"/>
      <c r="L258" s="74"/>
      <c r="M258" s="74"/>
      <c r="N258" s="74"/>
      <c r="O258" s="74"/>
      <c r="P258" s="74"/>
      <c r="Q258" s="74"/>
      <c r="R258" s="74"/>
      <c r="S258" s="74"/>
      <c r="T258" s="74"/>
      <c r="U258" s="74"/>
      <c r="V258" s="74"/>
      <c r="W258" s="74"/>
      <c r="X258" s="74"/>
      <c r="Y258" s="74"/>
      <c r="Z258" s="74"/>
      <c r="AA258" s="74"/>
      <c r="AB258" s="74"/>
    </row>
    <row r="259" spans="1:28" ht="12" customHeight="1">
      <c r="A259" s="569"/>
      <c r="B259" s="574"/>
      <c r="C259" s="575"/>
      <c r="D259" s="576"/>
      <c r="E259" s="101"/>
      <c r="F259" s="101"/>
      <c r="G259" s="35"/>
      <c r="H259" s="104"/>
      <c r="I259" s="35"/>
      <c r="J259" s="74"/>
      <c r="K259" s="74"/>
      <c r="L259" s="74"/>
      <c r="M259" s="74"/>
      <c r="N259" s="74"/>
      <c r="O259" s="74"/>
      <c r="P259" s="74"/>
      <c r="Q259" s="74"/>
      <c r="R259" s="74"/>
      <c r="S259" s="74"/>
      <c r="T259" s="74"/>
      <c r="U259" s="74"/>
      <c r="V259" s="74"/>
      <c r="W259" s="74"/>
      <c r="X259" s="74"/>
      <c r="Y259" s="74"/>
      <c r="Z259" s="74"/>
      <c r="AA259" s="74"/>
      <c r="AB259" s="74"/>
    </row>
    <row r="260" spans="1:28" ht="12" customHeight="1">
      <c r="A260" s="569"/>
      <c r="B260" s="574"/>
      <c r="C260" s="575"/>
      <c r="D260" s="576"/>
      <c r="E260" s="101"/>
      <c r="F260" s="101"/>
      <c r="G260" s="35"/>
      <c r="H260" s="104"/>
      <c r="I260" s="35"/>
      <c r="J260" s="74"/>
      <c r="K260" s="74"/>
      <c r="L260" s="74"/>
      <c r="M260" s="74"/>
      <c r="N260" s="74"/>
      <c r="O260" s="74"/>
      <c r="P260" s="74"/>
      <c r="Q260" s="74"/>
      <c r="R260" s="74"/>
      <c r="S260" s="74"/>
      <c r="T260" s="74"/>
      <c r="U260" s="74"/>
      <c r="V260" s="74"/>
      <c r="W260" s="74"/>
      <c r="X260" s="74"/>
      <c r="Y260" s="74"/>
      <c r="Z260" s="74"/>
      <c r="AA260" s="74"/>
      <c r="AB260" s="74"/>
    </row>
    <row r="261" spans="1:28" ht="12" customHeight="1">
      <c r="A261" s="569"/>
      <c r="B261" s="574"/>
      <c r="C261" s="575"/>
      <c r="D261" s="576"/>
      <c r="E261" s="101"/>
      <c r="F261" s="101"/>
      <c r="G261" s="35"/>
      <c r="H261" s="104"/>
      <c r="I261" s="35"/>
      <c r="J261" s="74"/>
      <c r="K261" s="74"/>
      <c r="L261" s="74"/>
      <c r="M261" s="74"/>
      <c r="N261" s="74"/>
      <c r="O261" s="74"/>
      <c r="P261" s="74"/>
      <c r="Q261" s="74"/>
      <c r="R261" s="74"/>
      <c r="S261" s="74"/>
      <c r="T261" s="74"/>
      <c r="U261" s="74"/>
      <c r="V261" s="74"/>
      <c r="W261" s="74"/>
      <c r="X261" s="74"/>
      <c r="Y261" s="74"/>
      <c r="Z261" s="74"/>
      <c r="AA261" s="74"/>
      <c r="AB261" s="74"/>
    </row>
    <row r="262" spans="1:28" ht="12" customHeight="1">
      <c r="A262" s="569"/>
      <c r="B262" s="574"/>
      <c r="C262" s="575"/>
      <c r="D262" s="576"/>
      <c r="E262" s="101"/>
      <c r="F262" s="101"/>
      <c r="G262" s="35"/>
      <c r="H262" s="104"/>
      <c r="I262" s="35"/>
      <c r="J262" s="74"/>
      <c r="K262" s="74"/>
      <c r="L262" s="74"/>
      <c r="M262" s="74"/>
      <c r="N262" s="74"/>
      <c r="O262" s="74"/>
      <c r="P262" s="74"/>
      <c r="Q262" s="74"/>
      <c r="R262" s="74"/>
      <c r="S262" s="74"/>
      <c r="T262" s="74"/>
      <c r="U262" s="74"/>
      <c r="V262" s="74"/>
      <c r="W262" s="74"/>
      <c r="X262" s="74"/>
      <c r="Y262" s="74"/>
      <c r="Z262" s="74"/>
      <c r="AA262" s="74"/>
      <c r="AB262" s="74"/>
    </row>
    <row r="263" spans="1:28" ht="12" customHeight="1">
      <c r="A263" s="569"/>
      <c r="B263" s="574"/>
      <c r="C263" s="575"/>
      <c r="D263" s="576"/>
      <c r="E263" s="101"/>
      <c r="F263" s="101"/>
      <c r="G263" s="35"/>
      <c r="H263" s="104"/>
      <c r="I263" s="35"/>
      <c r="J263" s="74"/>
      <c r="K263" s="74"/>
      <c r="L263" s="74"/>
      <c r="M263" s="74"/>
      <c r="N263" s="74"/>
      <c r="O263" s="74"/>
      <c r="P263" s="74"/>
      <c r="Q263" s="74"/>
      <c r="R263" s="74"/>
      <c r="S263" s="74"/>
      <c r="T263" s="74"/>
      <c r="U263" s="74"/>
      <c r="V263" s="74"/>
      <c r="W263" s="74"/>
      <c r="X263" s="74"/>
      <c r="Y263" s="74"/>
      <c r="Z263" s="74"/>
      <c r="AA263" s="74"/>
      <c r="AB263" s="74"/>
    </row>
    <row r="264" spans="1:28" ht="12" customHeight="1">
      <c r="A264" s="569"/>
      <c r="B264" s="574"/>
      <c r="C264" s="575"/>
      <c r="D264" s="576"/>
      <c r="E264" s="101"/>
      <c r="F264" s="101"/>
      <c r="G264" s="35"/>
      <c r="H264" s="104"/>
      <c r="I264" s="35"/>
      <c r="J264" s="74"/>
      <c r="K264" s="74"/>
      <c r="L264" s="74"/>
      <c r="M264" s="74"/>
      <c r="N264" s="74"/>
      <c r="O264" s="74"/>
      <c r="P264" s="74"/>
      <c r="Q264" s="74"/>
      <c r="R264" s="74"/>
      <c r="S264" s="74"/>
      <c r="T264" s="74"/>
      <c r="U264" s="74"/>
      <c r="V264" s="74"/>
      <c r="W264" s="74"/>
      <c r="X264" s="74"/>
      <c r="Y264" s="74"/>
      <c r="Z264" s="74"/>
      <c r="AA264" s="74"/>
      <c r="AB264" s="74"/>
    </row>
    <row r="265" spans="1:28" ht="12" customHeight="1">
      <c r="A265" s="569"/>
      <c r="B265" s="574"/>
      <c r="C265" s="575"/>
      <c r="D265" s="576"/>
      <c r="E265" s="101"/>
      <c r="F265" s="101"/>
      <c r="G265" s="35"/>
      <c r="H265" s="104"/>
      <c r="I265" s="35"/>
      <c r="J265" s="74"/>
      <c r="K265" s="74"/>
      <c r="L265" s="74"/>
      <c r="M265" s="74"/>
      <c r="N265" s="74"/>
      <c r="O265" s="74"/>
      <c r="P265" s="74"/>
      <c r="Q265" s="74"/>
      <c r="R265" s="74"/>
      <c r="S265" s="74"/>
      <c r="T265" s="74"/>
      <c r="U265" s="74"/>
      <c r="V265" s="74"/>
      <c r="W265" s="74"/>
      <c r="X265" s="74"/>
      <c r="Y265" s="74"/>
      <c r="Z265" s="74"/>
      <c r="AA265" s="74"/>
      <c r="AB265" s="74"/>
    </row>
    <row r="266" spans="1:28" ht="12" customHeight="1">
      <c r="A266" s="569"/>
      <c r="B266" s="574"/>
      <c r="C266" s="575"/>
      <c r="D266" s="576"/>
      <c r="E266" s="101"/>
      <c r="F266" s="101"/>
      <c r="G266" s="35"/>
      <c r="H266" s="104"/>
      <c r="I266" s="35"/>
      <c r="J266" s="74"/>
      <c r="K266" s="74"/>
      <c r="L266" s="74"/>
      <c r="M266" s="74"/>
      <c r="N266" s="74"/>
      <c r="O266" s="74"/>
      <c r="P266" s="74"/>
      <c r="Q266" s="74"/>
      <c r="R266" s="74"/>
      <c r="S266" s="74"/>
      <c r="T266" s="74"/>
      <c r="U266" s="74"/>
      <c r="V266" s="74"/>
      <c r="W266" s="74"/>
      <c r="X266" s="74"/>
      <c r="Y266" s="74"/>
      <c r="Z266" s="74"/>
      <c r="AA266" s="74"/>
      <c r="AB266" s="74"/>
    </row>
    <row r="267" spans="1:28" ht="12" customHeight="1">
      <c r="A267" s="569"/>
      <c r="B267" s="574"/>
      <c r="C267" s="575"/>
      <c r="D267" s="576"/>
      <c r="E267" s="101"/>
      <c r="F267" s="101"/>
      <c r="G267" s="35"/>
      <c r="H267" s="104"/>
      <c r="I267" s="35"/>
      <c r="J267" s="74"/>
      <c r="K267" s="74"/>
      <c r="L267" s="74"/>
      <c r="M267" s="74"/>
      <c r="N267" s="74"/>
      <c r="O267" s="74"/>
      <c r="P267" s="74"/>
      <c r="Q267" s="74"/>
      <c r="R267" s="74"/>
      <c r="S267" s="74"/>
      <c r="T267" s="74"/>
      <c r="U267" s="74"/>
      <c r="V267" s="74"/>
      <c r="W267" s="74"/>
      <c r="X267" s="74"/>
      <c r="Y267" s="74"/>
      <c r="Z267" s="74"/>
      <c r="AA267" s="74"/>
      <c r="AB267" s="74"/>
    </row>
    <row r="268" spans="1:28" ht="12" customHeight="1">
      <c r="A268" s="569"/>
      <c r="B268" s="574"/>
      <c r="C268" s="575"/>
      <c r="D268" s="576"/>
      <c r="E268" s="101"/>
      <c r="F268" s="101"/>
      <c r="G268" s="35"/>
      <c r="H268" s="104"/>
      <c r="I268" s="35"/>
      <c r="J268" s="74"/>
      <c r="K268" s="74"/>
      <c r="L268" s="74"/>
      <c r="M268" s="74"/>
      <c r="N268" s="74"/>
      <c r="O268" s="74"/>
      <c r="P268" s="74"/>
      <c r="Q268" s="74"/>
      <c r="R268" s="74"/>
      <c r="S268" s="74"/>
      <c r="T268" s="74"/>
      <c r="U268" s="74"/>
      <c r="V268" s="74"/>
      <c r="W268" s="74"/>
      <c r="X268" s="74"/>
      <c r="Y268" s="74"/>
      <c r="Z268" s="74"/>
      <c r="AA268" s="74"/>
      <c r="AB268" s="74"/>
    </row>
    <row r="269" spans="1:28" ht="12" customHeight="1">
      <c r="A269" s="569"/>
      <c r="B269" s="574"/>
      <c r="C269" s="575"/>
      <c r="D269" s="576"/>
      <c r="E269" s="101"/>
      <c r="F269" s="101"/>
      <c r="G269" s="35"/>
      <c r="H269" s="104"/>
      <c r="I269" s="35"/>
      <c r="J269" s="74"/>
      <c r="K269" s="74"/>
      <c r="L269" s="74"/>
      <c r="M269" s="74"/>
      <c r="N269" s="74"/>
      <c r="O269" s="74"/>
      <c r="P269" s="74"/>
      <c r="Q269" s="74"/>
      <c r="R269" s="74"/>
      <c r="S269" s="74"/>
      <c r="T269" s="74"/>
      <c r="U269" s="74"/>
      <c r="V269" s="74"/>
      <c r="W269" s="74"/>
      <c r="X269" s="74"/>
      <c r="Y269" s="74"/>
      <c r="Z269" s="74"/>
      <c r="AA269" s="74"/>
      <c r="AB269" s="74"/>
    </row>
    <row r="270" spans="1:28" ht="12" customHeight="1">
      <c r="A270" s="569"/>
      <c r="B270" s="574"/>
      <c r="C270" s="575"/>
      <c r="D270" s="576"/>
      <c r="E270" s="101"/>
      <c r="F270" s="101"/>
      <c r="G270" s="35"/>
      <c r="H270" s="104"/>
      <c r="I270" s="35"/>
      <c r="J270" s="74"/>
      <c r="K270" s="74"/>
      <c r="L270" s="74"/>
      <c r="M270" s="74"/>
      <c r="N270" s="74"/>
      <c r="O270" s="74"/>
      <c r="P270" s="74"/>
      <c r="Q270" s="74"/>
      <c r="R270" s="74"/>
      <c r="S270" s="74"/>
      <c r="T270" s="74"/>
      <c r="U270" s="74"/>
      <c r="V270" s="74"/>
      <c r="W270" s="74"/>
      <c r="X270" s="74"/>
      <c r="Y270" s="74"/>
      <c r="Z270" s="74"/>
      <c r="AA270" s="74"/>
      <c r="AB270" s="74"/>
    </row>
    <row r="271" spans="1:28" ht="12" customHeight="1">
      <c r="A271" s="569"/>
      <c r="B271" s="574"/>
      <c r="C271" s="575"/>
      <c r="D271" s="576"/>
      <c r="E271" s="101"/>
      <c r="F271" s="101"/>
      <c r="G271" s="35"/>
      <c r="H271" s="104"/>
      <c r="I271" s="35"/>
      <c r="J271" s="74"/>
      <c r="K271" s="74"/>
      <c r="L271" s="74"/>
      <c r="M271" s="74"/>
      <c r="N271" s="74"/>
      <c r="O271" s="74"/>
      <c r="P271" s="74"/>
      <c r="Q271" s="74"/>
      <c r="R271" s="74"/>
      <c r="S271" s="74"/>
      <c r="T271" s="74"/>
      <c r="U271" s="74"/>
      <c r="V271" s="74"/>
      <c r="W271" s="74"/>
      <c r="X271" s="74"/>
      <c r="Y271" s="74"/>
      <c r="Z271" s="74"/>
      <c r="AA271" s="74"/>
      <c r="AB271" s="74"/>
    </row>
    <row r="272" spans="1:28" ht="12" customHeight="1">
      <c r="A272" s="569"/>
      <c r="B272" s="574"/>
      <c r="C272" s="575"/>
      <c r="D272" s="576"/>
      <c r="E272" s="101"/>
      <c r="F272" s="101"/>
      <c r="G272" s="35"/>
      <c r="H272" s="104"/>
      <c r="I272" s="35"/>
      <c r="J272" s="74"/>
      <c r="K272" s="74"/>
      <c r="L272" s="74"/>
      <c r="M272" s="74"/>
      <c r="N272" s="74"/>
      <c r="O272" s="74"/>
      <c r="P272" s="74"/>
      <c r="Q272" s="74"/>
      <c r="R272" s="74"/>
      <c r="S272" s="74"/>
      <c r="T272" s="74"/>
      <c r="U272" s="74"/>
      <c r="V272" s="74"/>
      <c r="W272" s="74"/>
      <c r="X272" s="74"/>
      <c r="Y272" s="74"/>
      <c r="Z272" s="74"/>
      <c r="AA272" s="74"/>
      <c r="AB272" s="74"/>
    </row>
    <row r="273" spans="1:28" ht="12" customHeight="1">
      <c r="A273" s="569"/>
      <c r="B273" s="574"/>
      <c r="C273" s="575"/>
      <c r="D273" s="576"/>
      <c r="E273" s="101"/>
      <c r="F273" s="101"/>
      <c r="G273" s="35"/>
      <c r="H273" s="104"/>
      <c r="I273" s="35"/>
      <c r="J273" s="74"/>
      <c r="K273" s="74"/>
      <c r="L273" s="74"/>
      <c r="M273" s="74"/>
      <c r="N273" s="74"/>
      <c r="O273" s="74"/>
      <c r="P273" s="74"/>
      <c r="Q273" s="74"/>
      <c r="R273" s="74"/>
      <c r="S273" s="74"/>
      <c r="T273" s="74"/>
      <c r="U273" s="74"/>
      <c r="V273" s="74"/>
      <c r="W273" s="74"/>
      <c r="X273" s="74"/>
      <c r="Y273" s="74"/>
      <c r="Z273" s="74"/>
      <c r="AA273" s="74"/>
      <c r="AB273" s="74"/>
    </row>
    <row r="274" spans="1:28" ht="12" customHeight="1">
      <c r="A274" s="569"/>
      <c r="B274" s="574"/>
      <c r="C274" s="575"/>
      <c r="D274" s="576"/>
      <c r="E274" s="101"/>
      <c r="F274" s="101"/>
      <c r="G274" s="35"/>
      <c r="H274" s="104"/>
      <c r="I274" s="35"/>
      <c r="J274" s="74"/>
      <c r="K274" s="74"/>
      <c r="L274" s="74"/>
      <c r="M274" s="74"/>
      <c r="N274" s="74"/>
      <c r="O274" s="74"/>
      <c r="P274" s="74"/>
      <c r="Q274" s="74"/>
      <c r="R274" s="74"/>
      <c r="S274" s="74"/>
      <c r="T274" s="74"/>
      <c r="U274" s="74"/>
      <c r="V274" s="74"/>
      <c r="W274" s="74"/>
      <c r="X274" s="74"/>
      <c r="Y274" s="74"/>
      <c r="Z274" s="74"/>
      <c r="AA274" s="74"/>
      <c r="AB274" s="74"/>
    </row>
    <row r="275" spans="1:28" ht="12" customHeight="1">
      <c r="A275" s="569"/>
      <c r="B275" s="574"/>
      <c r="C275" s="575"/>
      <c r="D275" s="576"/>
      <c r="E275" s="101"/>
      <c r="F275" s="101"/>
      <c r="G275" s="35"/>
      <c r="H275" s="104"/>
      <c r="I275" s="35"/>
      <c r="J275" s="74"/>
      <c r="K275" s="74"/>
      <c r="L275" s="74"/>
      <c r="M275" s="74"/>
      <c r="N275" s="74"/>
      <c r="O275" s="74"/>
      <c r="P275" s="74"/>
      <c r="Q275" s="74"/>
      <c r="R275" s="74"/>
      <c r="S275" s="74"/>
      <c r="T275" s="74"/>
      <c r="U275" s="74"/>
      <c r="V275" s="74"/>
      <c r="W275" s="74"/>
      <c r="X275" s="74"/>
      <c r="Y275" s="74"/>
      <c r="Z275" s="74"/>
      <c r="AA275" s="74"/>
      <c r="AB275" s="74"/>
    </row>
    <row r="276" spans="1:28" ht="12" customHeight="1">
      <c r="A276" s="569"/>
      <c r="B276" s="574"/>
      <c r="C276" s="575"/>
      <c r="D276" s="576"/>
      <c r="E276" s="101"/>
      <c r="F276" s="101"/>
      <c r="G276" s="35"/>
      <c r="H276" s="104"/>
      <c r="I276" s="35"/>
      <c r="J276" s="74"/>
      <c r="K276" s="74"/>
      <c r="L276" s="74"/>
      <c r="M276" s="74"/>
      <c r="N276" s="74"/>
      <c r="O276" s="74"/>
      <c r="P276" s="74"/>
      <c r="Q276" s="74"/>
      <c r="R276" s="74"/>
      <c r="S276" s="74"/>
      <c r="T276" s="74"/>
      <c r="U276" s="74"/>
      <c r="V276" s="74"/>
      <c r="W276" s="74"/>
      <c r="X276" s="74"/>
      <c r="Y276" s="74"/>
      <c r="Z276" s="74"/>
      <c r="AA276" s="74"/>
      <c r="AB276" s="74"/>
    </row>
    <row r="277" spans="1:28" ht="12" customHeight="1">
      <c r="A277" s="569"/>
      <c r="B277" s="574"/>
      <c r="C277" s="575"/>
      <c r="D277" s="576"/>
      <c r="E277" s="101"/>
      <c r="F277" s="101"/>
      <c r="G277" s="35"/>
      <c r="H277" s="104"/>
      <c r="I277" s="35"/>
      <c r="J277" s="74"/>
      <c r="K277" s="74"/>
      <c r="L277" s="74"/>
      <c r="M277" s="74"/>
      <c r="N277" s="74"/>
      <c r="O277" s="74"/>
      <c r="P277" s="74"/>
      <c r="Q277" s="74"/>
      <c r="R277" s="74"/>
      <c r="S277" s="74"/>
      <c r="T277" s="74"/>
      <c r="U277" s="74"/>
      <c r="V277" s="74"/>
      <c r="W277" s="74"/>
      <c r="X277" s="74"/>
      <c r="Y277" s="74"/>
      <c r="Z277" s="74"/>
      <c r="AA277" s="74"/>
      <c r="AB277" s="74"/>
    </row>
    <row r="278" spans="1:28" ht="12" customHeight="1">
      <c r="A278" s="569"/>
      <c r="B278" s="574"/>
      <c r="C278" s="575"/>
      <c r="D278" s="576"/>
      <c r="E278" s="101"/>
      <c r="F278" s="101"/>
      <c r="G278" s="35"/>
      <c r="H278" s="104"/>
      <c r="I278" s="35"/>
      <c r="J278" s="74"/>
      <c r="K278" s="74"/>
      <c r="L278" s="74"/>
      <c r="M278" s="74"/>
      <c r="N278" s="74"/>
      <c r="O278" s="74"/>
      <c r="P278" s="74"/>
      <c r="Q278" s="74"/>
      <c r="R278" s="74"/>
      <c r="S278" s="74"/>
      <c r="T278" s="74"/>
      <c r="U278" s="74"/>
      <c r="V278" s="74"/>
      <c r="W278" s="74"/>
      <c r="X278" s="74"/>
      <c r="Y278" s="74"/>
      <c r="Z278" s="74"/>
      <c r="AA278" s="74"/>
      <c r="AB278" s="74"/>
    </row>
    <row r="279" spans="1:28" ht="12" customHeight="1">
      <c r="A279" s="569"/>
      <c r="B279" s="574"/>
      <c r="C279" s="575"/>
      <c r="D279" s="576"/>
      <c r="E279" s="101"/>
      <c r="F279" s="101"/>
      <c r="G279" s="35"/>
      <c r="H279" s="104"/>
      <c r="I279" s="35"/>
      <c r="J279" s="74"/>
      <c r="K279" s="74"/>
      <c r="L279" s="74"/>
      <c r="M279" s="74"/>
      <c r="N279" s="74"/>
      <c r="O279" s="74"/>
      <c r="P279" s="74"/>
      <c r="Q279" s="74"/>
      <c r="R279" s="74"/>
      <c r="S279" s="74"/>
      <c r="T279" s="74"/>
      <c r="U279" s="74"/>
      <c r="V279" s="74"/>
      <c r="W279" s="74"/>
      <c r="X279" s="74"/>
      <c r="Y279" s="74"/>
      <c r="Z279" s="74"/>
      <c r="AA279" s="74"/>
      <c r="AB279" s="74"/>
    </row>
    <row r="280" spans="1:28" ht="12" customHeight="1">
      <c r="A280" s="569"/>
      <c r="B280" s="574"/>
      <c r="C280" s="575"/>
      <c r="D280" s="576"/>
      <c r="E280" s="101"/>
      <c r="F280" s="101"/>
      <c r="G280" s="35"/>
      <c r="H280" s="104"/>
      <c r="I280" s="35"/>
      <c r="J280" s="74"/>
      <c r="K280" s="74"/>
      <c r="L280" s="74"/>
      <c r="M280" s="74"/>
      <c r="N280" s="74"/>
      <c r="O280" s="74"/>
      <c r="P280" s="74"/>
      <c r="Q280" s="74"/>
      <c r="R280" s="74"/>
      <c r="S280" s="74"/>
      <c r="T280" s="74"/>
      <c r="U280" s="74"/>
      <c r="V280" s="74"/>
      <c r="W280" s="74"/>
      <c r="X280" s="74"/>
      <c r="Y280" s="74"/>
      <c r="Z280" s="74"/>
      <c r="AA280" s="74"/>
      <c r="AB280" s="74"/>
    </row>
    <row r="281" spans="1:28" ht="12" customHeight="1">
      <c r="A281" s="569"/>
      <c r="B281" s="574"/>
      <c r="C281" s="575"/>
      <c r="D281" s="576"/>
      <c r="E281" s="101"/>
      <c r="F281" s="101"/>
      <c r="G281" s="35"/>
      <c r="H281" s="104"/>
      <c r="I281" s="35"/>
      <c r="J281" s="74"/>
      <c r="K281" s="74"/>
      <c r="L281" s="74"/>
      <c r="M281" s="74"/>
      <c r="N281" s="74"/>
      <c r="O281" s="74"/>
      <c r="P281" s="74"/>
      <c r="Q281" s="74"/>
      <c r="R281" s="74"/>
      <c r="S281" s="74"/>
      <c r="T281" s="74"/>
      <c r="U281" s="74"/>
      <c r="V281" s="74"/>
      <c r="W281" s="74"/>
      <c r="X281" s="74"/>
      <c r="Y281" s="74"/>
      <c r="Z281" s="74"/>
      <c r="AA281" s="74"/>
      <c r="AB281" s="74"/>
    </row>
    <row r="282" spans="1:28" ht="12" customHeight="1">
      <c r="A282" s="569"/>
      <c r="B282" s="574"/>
      <c r="C282" s="575"/>
      <c r="D282" s="576"/>
      <c r="E282" s="101"/>
      <c r="F282" s="101"/>
      <c r="G282" s="35"/>
      <c r="H282" s="104"/>
      <c r="I282" s="35"/>
      <c r="J282" s="74"/>
      <c r="K282" s="74"/>
      <c r="L282" s="74"/>
      <c r="M282" s="74"/>
      <c r="N282" s="74"/>
      <c r="O282" s="74"/>
      <c r="P282" s="74"/>
      <c r="Q282" s="74"/>
      <c r="R282" s="74"/>
      <c r="S282" s="74"/>
      <c r="T282" s="74"/>
      <c r="U282" s="74"/>
      <c r="V282" s="74"/>
      <c r="W282" s="74"/>
      <c r="X282" s="74"/>
      <c r="Y282" s="74"/>
      <c r="Z282" s="74"/>
      <c r="AA282" s="74"/>
      <c r="AB282" s="74"/>
    </row>
    <row r="283" spans="1:28" ht="12" customHeight="1">
      <c r="A283" s="569"/>
      <c r="B283" s="574"/>
      <c r="C283" s="575"/>
      <c r="D283" s="576"/>
      <c r="E283" s="101"/>
      <c r="F283" s="101"/>
      <c r="G283" s="35"/>
      <c r="H283" s="104"/>
      <c r="I283" s="35"/>
      <c r="J283" s="74"/>
      <c r="K283" s="74"/>
      <c r="L283" s="74"/>
      <c r="M283" s="74"/>
      <c r="N283" s="74"/>
      <c r="O283" s="74"/>
      <c r="P283" s="74"/>
      <c r="Q283" s="74"/>
      <c r="R283" s="74"/>
      <c r="S283" s="74"/>
      <c r="T283" s="74"/>
      <c r="U283" s="74"/>
      <c r="V283" s="74"/>
      <c r="W283" s="74"/>
      <c r="X283" s="74"/>
      <c r="Y283" s="74"/>
      <c r="Z283" s="74"/>
      <c r="AA283" s="74"/>
      <c r="AB283" s="74"/>
    </row>
    <row r="284" spans="1:28" ht="12" customHeight="1">
      <c r="A284" s="569"/>
      <c r="B284" s="574"/>
      <c r="C284" s="575"/>
      <c r="D284" s="576"/>
      <c r="E284" s="101"/>
      <c r="F284" s="101"/>
      <c r="G284" s="35"/>
      <c r="H284" s="104"/>
      <c r="I284" s="35"/>
      <c r="J284" s="74"/>
      <c r="K284" s="74"/>
      <c r="L284" s="74"/>
      <c r="M284" s="74"/>
      <c r="N284" s="74"/>
      <c r="O284" s="74"/>
      <c r="P284" s="74"/>
      <c r="Q284" s="74"/>
      <c r="R284" s="74"/>
      <c r="S284" s="74"/>
      <c r="T284" s="74"/>
      <c r="U284" s="74"/>
      <c r="V284" s="74"/>
      <c r="W284" s="74"/>
      <c r="X284" s="74"/>
      <c r="Y284" s="74"/>
      <c r="Z284" s="74"/>
      <c r="AA284" s="74"/>
      <c r="AB284" s="74"/>
    </row>
    <row r="285" spans="1:28" ht="12" customHeight="1">
      <c r="A285" s="569"/>
      <c r="B285" s="574"/>
      <c r="C285" s="575"/>
      <c r="D285" s="576"/>
      <c r="E285" s="101"/>
      <c r="F285" s="101"/>
      <c r="G285" s="35"/>
      <c r="H285" s="104"/>
      <c r="I285" s="35"/>
      <c r="J285" s="74"/>
      <c r="K285" s="74"/>
      <c r="L285" s="74"/>
      <c r="M285" s="74"/>
      <c r="N285" s="74"/>
      <c r="O285" s="74"/>
      <c r="P285" s="74"/>
      <c r="Q285" s="74"/>
      <c r="R285" s="74"/>
      <c r="S285" s="74"/>
      <c r="T285" s="74"/>
      <c r="U285" s="74"/>
      <c r="V285" s="74"/>
      <c r="W285" s="74"/>
      <c r="X285" s="74"/>
      <c r="Y285" s="74"/>
      <c r="Z285" s="74"/>
      <c r="AA285" s="74"/>
      <c r="AB285" s="74"/>
    </row>
    <row r="286" spans="1:28" ht="12" customHeight="1">
      <c r="A286" s="569"/>
      <c r="B286" s="574"/>
      <c r="C286" s="575"/>
      <c r="D286" s="576"/>
      <c r="E286" s="101"/>
      <c r="F286" s="101"/>
      <c r="G286" s="35"/>
      <c r="H286" s="104"/>
      <c r="I286" s="35"/>
      <c r="J286" s="74"/>
      <c r="K286" s="74"/>
      <c r="L286" s="74"/>
      <c r="M286" s="74"/>
      <c r="N286" s="74"/>
      <c r="O286" s="74"/>
      <c r="P286" s="74"/>
      <c r="Q286" s="74"/>
      <c r="R286" s="74"/>
      <c r="S286" s="74"/>
      <c r="T286" s="74"/>
      <c r="U286" s="74"/>
      <c r="V286" s="74"/>
      <c r="W286" s="74"/>
      <c r="X286" s="74"/>
      <c r="Y286" s="74"/>
      <c r="Z286" s="74"/>
      <c r="AA286" s="74"/>
      <c r="AB286" s="74"/>
    </row>
    <row r="287" spans="1:28" ht="12" customHeight="1">
      <c r="A287" s="569"/>
      <c r="B287" s="574"/>
      <c r="C287" s="575"/>
      <c r="D287" s="576"/>
      <c r="E287" s="101"/>
      <c r="F287" s="101"/>
      <c r="G287" s="35"/>
      <c r="H287" s="104"/>
      <c r="I287" s="35"/>
      <c r="J287" s="74"/>
      <c r="K287" s="74"/>
      <c r="L287" s="74"/>
      <c r="M287" s="74"/>
      <c r="N287" s="74"/>
      <c r="O287" s="74"/>
      <c r="P287" s="74"/>
      <c r="Q287" s="74"/>
      <c r="R287" s="74"/>
      <c r="S287" s="74"/>
      <c r="T287" s="74"/>
      <c r="U287" s="74"/>
      <c r="V287" s="74"/>
      <c r="W287" s="74"/>
      <c r="X287" s="74"/>
      <c r="Y287" s="74"/>
      <c r="Z287" s="74"/>
      <c r="AA287" s="74"/>
      <c r="AB287" s="74"/>
    </row>
    <row r="288" spans="1:28" ht="12" customHeight="1">
      <c r="A288" s="569"/>
      <c r="B288" s="574"/>
      <c r="C288" s="575"/>
      <c r="D288" s="576"/>
      <c r="E288" s="101"/>
      <c r="F288" s="101"/>
      <c r="G288" s="35"/>
      <c r="H288" s="104"/>
      <c r="I288" s="35"/>
      <c r="J288" s="74"/>
      <c r="K288" s="74"/>
      <c r="L288" s="74"/>
      <c r="M288" s="74"/>
      <c r="N288" s="74"/>
      <c r="O288" s="74"/>
      <c r="P288" s="74"/>
      <c r="Q288" s="74"/>
      <c r="R288" s="74"/>
      <c r="S288" s="74"/>
      <c r="T288" s="74"/>
      <c r="U288" s="74"/>
      <c r="V288" s="74"/>
      <c r="W288" s="74"/>
      <c r="X288" s="74"/>
      <c r="Y288" s="74"/>
      <c r="Z288" s="74"/>
      <c r="AA288" s="74"/>
      <c r="AB288" s="74"/>
    </row>
    <row r="289" spans="1:28" ht="12" customHeight="1">
      <c r="A289" s="569"/>
      <c r="B289" s="574"/>
      <c r="C289" s="575"/>
      <c r="D289" s="576"/>
      <c r="E289" s="101"/>
      <c r="F289" s="101"/>
      <c r="G289" s="35"/>
      <c r="H289" s="104"/>
      <c r="I289" s="35"/>
      <c r="J289" s="74"/>
      <c r="K289" s="74"/>
      <c r="L289" s="74"/>
      <c r="M289" s="74"/>
      <c r="N289" s="74"/>
      <c r="O289" s="74"/>
      <c r="P289" s="74"/>
      <c r="Q289" s="74"/>
      <c r="R289" s="74"/>
      <c r="S289" s="74"/>
      <c r="T289" s="74"/>
      <c r="U289" s="74"/>
      <c r="V289" s="74"/>
      <c r="W289" s="74"/>
      <c r="X289" s="74"/>
      <c r="Y289" s="74"/>
      <c r="Z289" s="74"/>
      <c r="AA289" s="74"/>
      <c r="AB289" s="74"/>
    </row>
    <row r="290" spans="1:28" ht="12" customHeight="1">
      <c r="A290" s="569"/>
      <c r="B290" s="574"/>
      <c r="C290" s="575"/>
      <c r="D290" s="576"/>
      <c r="E290" s="101"/>
      <c r="F290" s="101"/>
      <c r="G290" s="35"/>
      <c r="H290" s="104"/>
      <c r="I290" s="35"/>
      <c r="J290" s="74"/>
      <c r="K290" s="74"/>
      <c r="L290" s="74"/>
      <c r="M290" s="74"/>
      <c r="N290" s="74"/>
      <c r="O290" s="74"/>
      <c r="P290" s="74"/>
      <c r="Q290" s="74"/>
      <c r="R290" s="74"/>
      <c r="S290" s="74"/>
      <c r="T290" s="74"/>
      <c r="U290" s="74"/>
      <c r="V290" s="74"/>
      <c r="W290" s="74"/>
      <c r="X290" s="74"/>
      <c r="Y290" s="74"/>
      <c r="Z290" s="74"/>
      <c r="AA290" s="74"/>
      <c r="AB290" s="74"/>
    </row>
    <row r="291" spans="1:28" ht="12" customHeight="1">
      <c r="A291" s="569"/>
      <c r="B291" s="574"/>
      <c r="C291" s="575"/>
      <c r="D291" s="576"/>
      <c r="E291" s="101"/>
      <c r="F291" s="101"/>
      <c r="G291" s="35"/>
      <c r="H291" s="104"/>
      <c r="I291" s="35"/>
      <c r="J291" s="74"/>
      <c r="K291" s="74"/>
      <c r="L291" s="74"/>
      <c r="M291" s="74"/>
      <c r="N291" s="74"/>
      <c r="O291" s="74"/>
      <c r="P291" s="74"/>
      <c r="Q291" s="74"/>
      <c r="R291" s="74"/>
      <c r="S291" s="74"/>
      <c r="T291" s="74"/>
      <c r="U291" s="74"/>
      <c r="V291" s="74"/>
      <c r="W291" s="74"/>
      <c r="X291" s="74"/>
      <c r="Y291" s="74"/>
      <c r="Z291" s="74"/>
      <c r="AA291" s="74"/>
      <c r="AB291" s="74"/>
    </row>
    <row r="292" spans="1:28" ht="12" customHeight="1">
      <c r="A292" s="569"/>
      <c r="B292" s="574"/>
      <c r="C292" s="575"/>
      <c r="D292" s="576"/>
      <c r="E292" s="101"/>
      <c r="F292" s="101"/>
      <c r="G292" s="35"/>
      <c r="H292" s="104"/>
      <c r="I292" s="35"/>
      <c r="J292" s="74"/>
      <c r="K292" s="74"/>
      <c r="L292" s="74"/>
      <c r="M292" s="74"/>
      <c r="N292" s="74"/>
      <c r="O292" s="74"/>
      <c r="P292" s="74"/>
      <c r="Q292" s="74"/>
      <c r="R292" s="74"/>
      <c r="S292" s="74"/>
      <c r="T292" s="74"/>
      <c r="U292" s="74"/>
      <c r="V292" s="74"/>
      <c r="W292" s="74"/>
      <c r="X292" s="74"/>
      <c r="Y292" s="74"/>
      <c r="Z292" s="74"/>
      <c r="AA292" s="74"/>
      <c r="AB292" s="74"/>
    </row>
    <row r="293" spans="1:28" ht="12" customHeight="1">
      <c r="A293" s="569"/>
      <c r="B293" s="574"/>
      <c r="C293" s="575"/>
      <c r="D293" s="576"/>
      <c r="E293" s="101"/>
      <c r="F293" s="101"/>
      <c r="G293" s="35"/>
      <c r="H293" s="104"/>
      <c r="I293" s="35"/>
      <c r="J293" s="74"/>
      <c r="K293" s="74"/>
      <c r="L293" s="74"/>
      <c r="M293" s="74"/>
      <c r="N293" s="74"/>
      <c r="O293" s="74"/>
      <c r="P293" s="74"/>
      <c r="Q293" s="74"/>
      <c r="R293" s="74"/>
      <c r="S293" s="74"/>
      <c r="T293" s="74"/>
      <c r="U293" s="74"/>
      <c r="V293" s="74"/>
      <c r="W293" s="74"/>
      <c r="X293" s="74"/>
      <c r="Y293" s="74"/>
      <c r="Z293" s="74"/>
      <c r="AA293" s="74"/>
      <c r="AB293" s="74"/>
    </row>
    <row r="294" spans="1:28" ht="12" customHeight="1">
      <c r="A294" s="569"/>
      <c r="B294" s="574"/>
      <c r="C294" s="575"/>
      <c r="D294" s="576"/>
      <c r="E294" s="101"/>
      <c r="F294" s="101"/>
      <c r="G294" s="35"/>
      <c r="H294" s="104"/>
      <c r="I294" s="35"/>
      <c r="J294" s="74"/>
      <c r="K294" s="74"/>
      <c r="L294" s="74"/>
      <c r="M294" s="74"/>
      <c r="N294" s="74"/>
      <c r="O294" s="74"/>
      <c r="P294" s="74"/>
      <c r="Q294" s="74"/>
      <c r="R294" s="74"/>
      <c r="S294" s="74"/>
      <c r="T294" s="74"/>
      <c r="U294" s="74"/>
      <c r="V294" s="74"/>
      <c r="W294" s="74"/>
      <c r="X294" s="74"/>
      <c r="Y294" s="74"/>
      <c r="Z294" s="74"/>
      <c r="AA294" s="74"/>
      <c r="AB294" s="74"/>
    </row>
    <row r="295" spans="1:28" ht="12" customHeight="1">
      <c r="A295" s="569"/>
      <c r="B295" s="574"/>
      <c r="C295" s="575"/>
      <c r="D295" s="576"/>
      <c r="E295" s="101"/>
      <c r="F295" s="101"/>
      <c r="G295" s="35"/>
      <c r="H295" s="104"/>
      <c r="I295" s="35"/>
      <c r="J295" s="74"/>
      <c r="K295" s="74"/>
      <c r="L295" s="74"/>
      <c r="M295" s="74"/>
      <c r="N295" s="74"/>
      <c r="O295" s="74"/>
      <c r="P295" s="74"/>
      <c r="Q295" s="74"/>
      <c r="R295" s="74"/>
      <c r="S295" s="74"/>
      <c r="T295" s="74"/>
      <c r="U295" s="74"/>
      <c r="V295" s="74"/>
      <c r="W295" s="74"/>
      <c r="X295" s="74"/>
      <c r="Y295" s="74"/>
      <c r="Z295" s="74"/>
      <c r="AA295" s="74"/>
      <c r="AB295" s="74"/>
    </row>
    <row r="296" spans="1:28" ht="12" customHeight="1">
      <c r="A296" s="569"/>
      <c r="B296" s="574"/>
      <c r="C296" s="575"/>
      <c r="D296" s="576"/>
      <c r="E296" s="101"/>
      <c r="F296" s="101"/>
      <c r="G296" s="35"/>
      <c r="H296" s="104"/>
      <c r="I296" s="35"/>
      <c r="J296" s="74"/>
      <c r="K296" s="74"/>
      <c r="L296" s="74"/>
      <c r="M296" s="74"/>
      <c r="N296" s="74"/>
      <c r="O296" s="74"/>
      <c r="P296" s="74"/>
      <c r="Q296" s="74"/>
      <c r="R296" s="74"/>
      <c r="S296" s="74"/>
      <c r="T296" s="74"/>
      <c r="U296" s="74"/>
      <c r="V296" s="74"/>
      <c r="W296" s="74"/>
      <c r="X296" s="74"/>
      <c r="Y296" s="74"/>
      <c r="Z296" s="74"/>
      <c r="AA296" s="74"/>
      <c r="AB296" s="74"/>
    </row>
    <row r="297" spans="1:28" ht="12" customHeight="1">
      <c r="A297" s="569"/>
      <c r="B297" s="574"/>
      <c r="C297" s="575"/>
      <c r="D297" s="576"/>
      <c r="E297" s="101"/>
      <c r="F297" s="101"/>
      <c r="G297" s="35"/>
      <c r="H297" s="104"/>
      <c r="I297" s="35"/>
      <c r="J297" s="74"/>
      <c r="K297" s="74"/>
      <c r="L297" s="74"/>
      <c r="M297" s="74"/>
      <c r="N297" s="74"/>
      <c r="O297" s="74"/>
      <c r="P297" s="74"/>
      <c r="Q297" s="74"/>
      <c r="R297" s="74"/>
      <c r="S297" s="74"/>
      <c r="T297" s="74"/>
      <c r="U297" s="74"/>
      <c r="V297" s="74"/>
      <c r="W297" s="74"/>
      <c r="X297" s="74"/>
      <c r="Y297" s="74"/>
      <c r="Z297" s="74"/>
      <c r="AA297" s="74"/>
      <c r="AB297" s="74"/>
    </row>
    <row r="298" spans="1:28" ht="12" customHeight="1">
      <c r="A298" s="569"/>
      <c r="B298" s="574"/>
      <c r="C298" s="575"/>
      <c r="D298" s="576"/>
      <c r="E298" s="101"/>
      <c r="F298" s="101"/>
      <c r="G298" s="35"/>
      <c r="H298" s="104"/>
      <c r="I298" s="35"/>
      <c r="J298" s="74"/>
      <c r="K298" s="74"/>
      <c r="L298" s="74"/>
      <c r="M298" s="74"/>
      <c r="N298" s="74"/>
      <c r="O298" s="74"/>
      <c r="P298" s="74"/>
      <c r="Q298" s="74"/>
      <c r="R298" s="74"/>
      <c r="S298" s="74"/>
      <c r="T298" s="74"/>
      <c r="U298" s="74"/>
      <c r="V298" s="74"/>
      <c r="W298" s="74"/>
      <c r="X298" s="74"/>
      <c r="Y298" s="74"/>
      <c r="Z298" s="74"/>
      <c r="AA298" s="74"/>
      <c r="AB298" s="74"/>
    </row>
    <row r="299" spans="1:28" ht="12" customHeight="1">
      <c r="A299" s="569"/>
      <c r="B299" s="574"/>
      <c r="C299" s="575"/>
      <c r="D299" s="576"/>
      <c r="E299" s="101"/>
      <c r="F299" s="101"/>
      <c r="G299" s="35"/>
      <c r="H299" s="104"/>
      <c r="I299" s="35"/>
      <c r="J299" s="74"/>
      <c r="K299" s="74"/>
      <c r="L299" s="74"/>
      <c r="M299" s="74"/>
      <c r="N299" s="74"/>
      <c r="O299" s="74"/>
      <c r="P299" s="74"/>
      <c r="Q299" s="74"/>
      <c r="R299" s="74"/>
      <c r="S299" s="74"/>
      <c r="T299" s="74"/>
      <c r="U299" s="74"/>
      <c r="V299" s="74"/>
      <c r="W299" s="74"/>
      <c r="X299" s="74"/>
      <c r="Y299" s="74"/>
      <c r="Z299" s="74"/>
      <c r="AA299" s="74"/>
      <c r="AB299" s="74"/>
    </row>
    <row r="300" spans="1:28" ht="12" customHeight="1">
      <c r="A300" s="569"/>
      <c r="B300" s="574"/>
      <c r="C300" s="575"/>
      <c r="D300" s="576"/>
      <c r="E300" s="101"/>
      <c r="F300" s="101"/>
      <c r="G300" s="35"/>
      <c r="H300" s="104"/>
      <c r="I300" s="35"/>
      <c r="J300" s="74"/>
      <c r="K300" s="74"/>
      <c r="L300" s="74"/>
      <c r="M300" s="74"/>
      <c r="N300" s="74"/>
      <c r="O300" s="74"/>
      <c r="P300" s="74"/>
      <c r="Q300" s="74"/>
      <c r="R300" s="74"/>
      <c r="S300" s="74"/>
      <c r="T300" s="74"/>
      <c r="U300" s="74"/>
      <c r="V300" s="74"/>
      <c r="W300" s="74"/>
      <c r="X300" s="74"/>
      <c r="Y300" s="74"/>
      <c r="Z300" s="74"/>
      <c r="AA300" s="74"/>
      <c r="AB300" s="74"/>
    </row>
    <row r="301" spans="1:28" ht="12" customHeight="1">
      <c r="A301" s="569"/>
      <c r="B301" s="574"/>
      <c r="C301" s="575"/>
      <c r="D301" s="576"/>
      <c r="E301" s="101"/>
      <c r="F301" s="101"/>
      <c r="G301" s="35"/>
      <c r="H301" s="104"/>
      <c r="I301" s="35"/>
      <c r="J301" s="74"/>
      <c r="K301" s="74"/>
      <c r="L301" s="74"/>
      <c r="M301" s="74"/>
      <c r="N301" s="74"/>
      <c r="O301" s="74"/>
      <c r="P301" s="74"/>
      <c r="Q301" s="74"/>
      <c r="R301" s="74"/>
      <c r="S301" s="74"/>
      <c r="T301" s="74"/>
      <c r="U301" s="74"/>
      <c r="V301" s="74"/>
      <c r="W301" s="74"/>
      <c r="X301" s="74"/>
      <c r="Y301" s="74"/>
      <c r="Z301" s="74"/>
      <c r="AA301" s="74"/>
      <c r="AB301" s="74"/>
    </row>
    <row r="302" spans="1:28" ht="12" customHeight="1">
      <c r="A302" s="569"/>
      <c r="B302" s="574"/>
      <c r="C302" s="575"/>
      <c r="D302" s="576"/>
      <c r="E302" s="101"/>
      <c r="F302" s="101"/>
      <c r="G302" s="35"/>
      <c r="H302" s="104"/>
      <c r="I302" s="35"/>
      <c r="J302" s="74"/>
      <c r="K302" s="74"/>
      <c r="L302" s="74"/>
      <c r="M302" s="74"/>
      <c r="N302" s="74"/>
      <c r="O302" s="74"/>
      <c r="P302" s="74"/>
      <c r="Q302" s="74"/>
      <c r="R302" s="74"/>
      <c r="S302" s="74"/>
      <c r="T302" s="74"/>
      <c r="U302" s="74"/>
      <c r="V302" s="74"/>
      <c r="W302" s="74"/>
      <c r="X302" s="74"/>
      <c r="Y302" s="74"/>
      <c r="Z302" s="74"/>
      <c r="AA302" s="74"/>
      <c r="AB302" s="74"/>
    </row>
    <row r="303" spans="1:28" ht="12" customHeight="1">
      <c r="A303" s="569"/>
      <c r="B303" s="574"/>
      <c r="C303" s="575"/>
      <c r="D303" s="576"/>
      <c r="E303" s="101"/>
      <c r="F303" s="101"/>
      <c r="G303" s="35"/>
      <c r="H303" s="104"/>
      <c r="I303" s="35"/>
      <c r="J303" s="74"/>
      <c r="K303" s="74"/>
      <c r="L303" s="74"/>
      <c r="M303" s="74"/>
      <c r="N303" s="74"/>
      <c r="O303" s="74"/>
      <c r="P303" s="74"/>
      <c r="Q303" s="74"/>
      <c r="R303" s="74"/>
      <c r="S303" s="74"/>
      <c r="T303" s="74"/>
      <c r="U303" s="74"/>
      <c r="V303" s="74"/>
      <c r="W303" s="74"/>
      <c r="X303" s="74"/>
      <c r="Y303" s="74"/>
      <c r="Z303" s="74"/>
      <c r="AA303" s="74"/>
      <c r="AB303" s="74"/>
    </row>
    <row r="304" spans="1:28" ht="12" customHeight="1">
      <c r="A304" s="569"/>
      <c r="B304" s="574"/>
      <c r="C304" s="575"/>
      <c r="D304" s="576"/>
      <c r="E304" s="101"/>
      <c r="F304" s="101"/>
      <c r="G304" s="35"/>
      <c r="H304" s="104"/>
      <c r="I304" s="35"/>
      <c r="J304" s="74"/>
      <c r="K304" s="74"/>
      <c r="L304" s="74"/>
      <c r="M304" s="74"/>
      <c r="N304" s="74"/>
      <c r="O304" s="74"/>
      <c r="P304" s="74"/>
      <c r="Q304" s="74"/>
      <c r="R304" s="74"/>
      <c r="S304" s="74"/>
      <c r="T304" s="74"/>
      <c r="U304" s="74"/>
      <c r="V304" s="74"/>
      <c r="W304" s="74"/>
      <c r="X304" s="74"/>
      <c r="Y304" s="74"/>
      <c r="Z304" s="74"/>
      <c r="AA304" s="74"/>
      <c r="AB304" s="74"/>
    </row>
    <row r="305" spans="1:28" ht="12" customHeight="1">
      <c r="A305" s="569"/>
      <c r="B305" s="574"/>
      <c r="C305" s="575"/>
      <c r="D305" s="576"/>
      <c r="E305" s="101"/>
      <c r="F305" s="101"/>
      <c r="G305" s="35"/>
      <c r="H305" s="104"/>
      <c r="I305" s="35"/>
      <c r="J305" s="74"/>
      <c r="K305" s="74"/>
      <c r="L305" s="74"/>
      <c r="M305" s="74"/>
      <c r="N305" s="74"/>
      <c r="O305" s="74"/>
      <c r="P305" s="74"/>
      <c r="Q305" s="74"/>
      <c r="R305" s="74"/>
      <c r="S305" s="74"/>
      <c r="T305" s="74"/>
      <c r="U305" s="74"/>
      <c r="V305" s="74"/>
      <c r="W305" s="74"/>
      <c r="X305" s="74"/>
      <c r="Y305" s="74"/>
      <c r="Z305" s="74"/>
      <c r="AA305" s="74"/>
      <c r="AB305" s="74"/>
    </row>
    <row r="306" spans="1:28" ht="12" customHeight="1">
      <c r="A306" s="569"/>
      <c r="B306" s="574"/>
      <c r="C306" s="575"/>
      <c r="D306" s="576"/>
      <c r="E306" s="101"/>
      <c r="F306" s="101"/>
      <c r="G306" s="35"/>
      <c r="H306" s="104"/>
      <c r="I306" s="35"/>
      <c r="J306" s="74"/>
      <c r="K306" s="74"/>
      <c r="L306" s="74"/>
      <c r="M306" s="74"/>
      <c r="N306" s="74"/>
      <c r="O306" s="74"/>
      <c r="P306" s="74"/>
      <c r="Q306" s="74"/>
      <c r="R306" s="74"/>
      <c r="S306" s="74"/>
      <c r="T306" s="74"/>
      <c r="U306" s="74"/>
      <c r="V306" s="74"/>
      <c r="W306" s="74"/>
      <c r="X306" s="74"/>
      <c r="Y306" s="74"/>
      <c r="Z306" s="74"/>
      <c r="AA306" s="74"/>
      <c r="AB306" s="74"/>
    </row>
    <row r="307" spans="1:28" ht="12" customHeight="1">
      <c r="A307" s="569"/>
      <c r="B307" s="574"/>
      <c r="C307" s="575"/>
      <c r="D307" s="576"/>
      <c r="E307" s="101"/>
      <c r="F307" s="101"/>
      <c r="G307" s="35"/>
      <c r="H307" s="104"/>
      <c r="I307" s="35"/>
      <c r="J307" s="74"/>
      <c r="K307" s="74"/>
      <c r="L307" s="74"/>
      <c r="M307" s="74"/>
      <c r="N307" s="74"/>
      <c r="O307" s="74"/>
      <c r="P307" s="74"/>
      <c r="Q307" s="74"/>
      <c r="R307" s="74"/>
      <c r="S307" s="74"/>
      <c r="T307" s="74"/>
      <c r="U307" s="74"/>
      <c r="V307" s="74"/>
      <c r="W307" s="74"/>
      <c r="X307" s="74"/>
      <c r="Y307" s="74"/>
      <c r="Z307" s="74"/>
      <c r="AA307" s="74"/>
      <c r="AB307" s="74"/>
    </row>
    <row r="308" spans="1:28" ht="12" customHeight="1">
      <c r="A308" s="569"/>
      <c r="B308" s="574"/>
      <c r="C308" s="575"/>
      <c r="D308" s="576"/>
      <c r="E308" s="101"/>
      <c r="F308" s="101"/>
      <c r="G308" s="35"/>
      <c r="H308" s="104"/>
      <c r="I308" s="35"/>
      <c r="J308" s="74"/>
      <c r="K308" s="74"/>
      <c r="L308" s="74"/>
      <c r="M308" s="74"/>
      <c r="N308" s="74"/>
      <c r="O308" s="74"/>
      <c r="P308" s="74"/>
      <c r="Q308" s="74"/>
      <c r="R308" s="74"/>
      <c r="S308" s="74"/>
      <c r="T308" s="74"/>
      <c r="U308" s="74"/>
      <c r="V308" s="74"/>
      <c r="W308" s="74"/>
      <c r="X308" s="74"/>
      <c r="Y308" s="74"/>
      <c r="Z308" s="74"/>
      <c r="AA308" s="74"/>
      <c r="AB308" s="74"/>
    </row>
    <row r="309" spans="1:28" ht="12" customHeight="1">
      <c r="A309" s="569"/>
      <c r="B309" s="574"/>
      <c r="C309" s="575"/>
      <c r="D309" s="576"/>
      <c r="E309" s="101"/>
      <c r="F309" s="101"/>
      <c r="G309" s="35"/>
      <c r="H309" s="104"/>
      <c r="I309" s="35"/>
      <c r="J309" s="74"/>
      <c r="K309" s="74"/>
      <c r="L309" s="74"/>
      <c r="M309" s="74"/>
      <c r="N309" s="74"/>
      <c r="O309" s="74"/>
      <c r="P309" s="74"/>
      <c r="Q309" s="74"/>
      <c r="R309" s="74"/>
      <c r="S309" s="74"/>
      <c r="T309" s="74"/>
      <c r="U309" s="74"/>
      <c r="V309" s="74"/>
      <c r="W309" s="74"/>
      <c r="X309" s="74"/>
      <c r="Y309" s="74"/>
      <c r="Z309" s="74"/>
      <c r="AA309" s="74"/>
      <c r="AB309" s="74"/>
    </row>
    <row r="310" spans="1:28" ht="12" customHeight="1">
      <c r="A310" s="569"/>
      <c r="B310" s="574"/>
      <c r="C310" s="575"/>
      <c r="D310" s="576"/>
      <c r="E310" s="101"/>
      <c r="F310" s="101"/>
      <c r="G310" s="35"/>
      <c r="H310" s="104"/>
      <c r="I310" s="35"/>
      <c r="J310" s="74"/>
      <c r="K310" s="74"/>
      <c r="L310" s="74"/>
      <c r="M310" s="74"/>
      <c r="N310" s="74"/>
      <c r="O310" s="74"/>
      <c r="P310" s="74"/>
      <c r="Q310" s="74"/>
      <c r="R310" s="74"/>
      <c r="S310" s="74"/>
      <c r="T310" s="74"/>
      <c r="U310" s="74"/>
      <c r="V310" s="74"/>
      <c r="W310" s="74"/>
      <c r="X310" s="74"/>
      <c r="Y310" s="74"/>
      <c r="Z310" s="74"/>
      <c r="AA310" s="74"/>
      <c r="AB310" s="74"/>
    </row>
    <row r="311" spans="1:28" ht="12" customHeight="1">
      <c r="A311" s="569"/>
      <c r="B311" s="574"/>
      <c r="C311" s="575"/>
      <c r="D311" s="576"/>
      <c r="E311" s="101"/>
      <c r="F311" s="101"/>
      <c r="G311" s="35"/>
      <c r="H311" s="104"/>
      <c r="I311" s="35"/>
      <c r="J311" s="74"/>
      <c r="K311" s="74"/>
      <c r="L311" s="74"/>
      <c r="M311" s="74"/>
      <c r="N311" s="74"/>
      <c r="O311" s="74"/>
      <c r="P311" s="74"/>
      <c r="Q311" s="74"/>
      <c r="R311" s="74"/>
      <c r="S311" s="74"/>
      <c r="T311" s="74"/>
      <c r="U311" s="74"/>
      <c r="V311" s="74"/>
      <c r="W311" s="74"/>
      <c r="X311" s="74"/>
      <c r="Y311" s="74"/>
      <c r="Z311" s="74"/>
      <c r="AA311" s="74"/>
      <c r="AB311" s="74"/>
    </row>
    <row r="312" spans="1:28" ht="12" customHeight="1">
      <c r="A312" s="569"/>
      <c r="B312" s="574"/>
      <c r="C312" s="575"/>
      <c r="D312" s="576"/>
      <c r="E312" s="101"/>
      <c r="F312" s="101"/>
      <c r="G312" s="35"/>
      <c r="H312" s="104"/>
      <c r="I312" s="35"/>
      <c r="J312" s="74"/>
      <c r="K312" s="74"/>
      <c r="L312" s="74"/>
      <c r="M312" s="74"/>
      <c r="N312" s="74"/>
      <c r="O312" s="74"/>
      <c r="P312" s="74"/>
      <c r="Q312" s="74"/>
      <c r="R312" s="74"/>
      <c r="S312" s="74"/>
      <c r="T312" s="74"/>
      <c r="U312" s="74"/>
      <c r="V312" s="74"/>
      <c r="W312" s="74"/>
      <c r="X312" s="74"/>
      <c r="Y312" s="74"/>
      <c r="Z312" s="74"/>
      <c r="AA312" s="74"/>
      <c r="AB312" s="74"/>
    </row>
    <row r="313" spans="1:28" ht="12" customHeight="1">
      <c r="A313" s="569"/>
      <c r="B313" s="574"/>
      <c r="C313" s="575"/>
      <c r="D313" s="576"/>
      <c r="E313" s="101"/>
      <c r="F313" s="101"/>
      <c r="G313" s="35"/>
      <c r="H313" s="104"/>
      <c r="I313" s="35"/>
      <c r="J313" s="74"/>
      <c r="K313" s="74"/>
      <c r="L313" s="74"/>
      <c r="M313" s="74"/>
      <c r="N313" s="74"/>
      <c r="O313" s="74"/>
      <c r="P313" s="74"/>
      <c r="Q313" s="74"/>
      <c r="R313" s="74"/>
      <c r="S313" s="74"/>
      <c r="T313" s="74"/>
      <c r="U313" s="74"/>
      <c r="V313" s="74"/>
      <c r="W313" s="74"/>
      <c r="X313" s="74"/>
      <c r="Y313" s="74"/>
      <c r="Z313" s="74"/>
      <c r="AA313" s="74"/>
      <c r="AB313" s="74"/>
    </row>
    <row r="314" spans="1:28" ht="12" customHeight="1">
      <c r="A314" s="569"/>
      <c r="B314" s="574"/>
      <c r="C314" s="575"/>
      <c r="D314" s="576"/>
      <c r="E314" s="101"/>
      <c r="F314" s="101"/>
      <c r="G314" s="35"/>
      <c r="H314" s="104"/>
      <c r="I314" s="35"/>
      <c r="J314" s="74"/>
      <c r="K314" s="74"/>
      <c r="L314" s="74"/>
      <c r="M314" s="74"/>
      <c r="N314" s="74"/>
      <c r="O314" s="74"/>
      <c r="P314" s="74"/>
      <c r="Q314" s="74"/>
      <c r="R314" s="74"/>
      <c r="S314" s="74"/>
      <c r="T314" s="74"/>
      <c r="U314" s="74"/>
      <c r="V314" s="74"/>
      <c r="W314" s="74"/>
      <c r="X314" s="74"/>
      <c r="Y314" s="74"/>
      <c r="Z314" s="74"/>
      <c r="AA314" s="74"/>
      <c r="AB314" s="74"/>
    </row>
    <row r="315" spans="1:28" ht="12" customHeight="1">
      <c r="A315" s="569"/>
      <c r="B315" s="574"/>
      <c r="C315" s="575"/>
      <c r="D315" s="576"/>
      <c r="E315" s="101"/>
      <c r="F315" s="101"/>
      <c r="G315" s="35"/>
      <c r="H315" s="104"/>
      <c r="I315" s="35"/>
      <c r="J315" s="74"/>
      <c r="K315" s="74"/>
      <c r="L315" s="74"/>
      <c r="M315" s="74"/>
      <c r="N315" s="74"/>
      <c r="O315" s="74"/>
      <c r="P315" s="74"/>
      <c r="Q315" s="74"/>
      <c r="R315" s="74"/>
      <c r="S315" s="74"/>
      <c r="T315" s="74"/>
      <c r="U315" s="74"/>
      <c r="V315" s="74"/>
      <c r="W315" s="74"/>
      <c r="X315" s="74"/>
      <c r="Y315" s="74"/>
      <c r="Z315" s="74"/>
      <c r="AA315" s="74"/>
      <c r="AB315" s="74"/>
    </row>
    <row r="316" spans="1:28" ht="12" customHeight="1">
      <c r="A316" s="569"/>
      <c r="B316" s="574"/>
      <c r="C316" s="575"/>
      <c r="D316" s="576"/>
      <c r="E316" s="101"/>
      <c r="F316" s="101"/>
      <c r="G316" s="35"/>
      <c r="H316" s="104"/>
      <c r="I316" s="35"/>
      <c r="J316" s="74"/>
      <c r="K316" s="74"/>
      <c r="L316" s="74"/>
      <c r="M316" s="74"/>
      <c r="N316" s="74"/>
      <c r="O316" s="74"/>
      <c r="P316" s="74"/>
      <c r="Q316" s="74"/>
      <c r="R316" s="74"/>
      <c r="S316" s="74"/>
      <c r="T316" s="74"/>
      <c r="U316" s="74"/>
      <c r="V316" s="74"/>
      <c r="W316" s="74"/>
      <c r="X316" s="74"/>
      <c r="Y316" s="74"/>
      <c r="Z316" s="74"/>
      <c r="AA316" s="74"/>
      <c r="AB316" s="74"/>
    </row>
    <row r="317" spans="1:28" ht="12" customHeight="1">
      <c r="A317" s="569"/>
      <c r="B317" s="574"/>
      <c r="C317" s="575"/>
      <c r="D317" s="576"/>
      <c r="E317" s="101"/>
      <c r="F317" s="101"/>
      <c r="G317" s="35"/>
      <c r="H317" s="104"/>
      <c r="I317" s="35"/>
      <c r="J317" s="74"/>
      <c r="K317" s="74"/>
      <c r="L317" s="74"/>
      <c r="M317" s="74"/>
      <c r="N317" s="74"/>
      <c r="O317" s="74"/>
      <c r="P317" s="74"/>
      <c r="Q317" s="74"/>
      <c r="R317" s="74"/>
      <c r="S317" s="74"/>
      <c r="T317" s="74"/>
      <c r="U317" s="74"/>
      <c r="V317" s="74"/>
      <c r="W317" s="74"/>
      <c r="X317" s="74"/>
      <c r="Y317" s="74"/>
      <c r="Z317" s="74"/>
      <c r="AA317" s="74"/>
      <c r="AB317" s="74"/>
    </row>
    <row r="318" spans="1:28" ht="12" customHeight="1">
      <c r="A318" s="569"/>
      <c r="B318" s="574"/>
      <c r="C318" s="575"/>
      <c r="D318" s="576"/>
      <c r="E318" s="101"/>
      <c r="F318" s="101"/>
      <c r="G318" s="35"/>
      <c r="H318" s="104"/>
      <c r="I318" s="35"/>
      <c r="J318" s="74"/>
      <c r="K318" s="74"/>
      <c r="L318" s="74"/>
      <c r="M318" s="74"/>
      <c r="N318" s="74"/>
      <c r="O318" s="74"/>
      <c r="P318" s="74"/>
      <c r="Q318" s="74"/>
      <c r="R318" s="74"/>
      <c r="S318" s="74"/>
      <c r="T318" s="74"/>
      <c r="U318" s="74"/>
      <c r="V318" s="74"/>
      <c r="W318" s="74"/>
      <c r="X318" s="74"/>
      <c r="Y318" s="74"/>
      <c r="Z318" s="74"/>
      <c r="AA318" s="74"/>
      <c r="AB318" s="74"/>
    </row>
    <row r="319" spans="1:28" ht="12" customHeight="1">
      <c r="A319" s="569"/>
      <c r="B319" s="574"/>
      <c r="C319" s="575"/>
      <c r="D319" s="576"/>
      <c r="E319" s="101"/>
      <c r="F319" s="101"/>
      <c r="G319" s="35"/>
      <c r="H319" s="104"/>
      <c r="I319" s="35"/>
      <c r="J319" s="74"/>
      <c r="K319" s="74"/>
      <c r="L319" s="74"/>
      <c r="M319" s="74"/>
      <c r="N319" s="74"/>
      <c r="O319" s="74"/>
      <c r="P319" s="74"/>
      <c r="Q319" s="74"/>
      <c r="R319" s="74"/>
      <c r="S319" s="74"/>
      <c r="T319" s="74"/>
      <c r="U319" s="74"/>
      <c r="V319" s="74"/>
      <c r="W319" s="74"/>
      <c r="X319" s="74"/>
      <c r="Y319" s="74"/>
      <c r="Z319" s="74"/>
      <c r="AA319" s="74"/>
      <c r="AB319" s="74"/>
    </row>
    <row r="320" spans="1:28" ht="12" customHeight="1">
      <c r="A320" s="569"/>
      <c r="B320" s="574"/>
      <c r="C320" s="575"/>
      <c r="D320" s="576"/>
      <c r="E320" s="101"/>
      <c r="F320" s="101"/>
      <c r="G320" s="35"/>
      <c r="H320" s="104"/>
      <c r="I320" s="35"/>
      <c r="J320" s="74"/>
      <c r="K320" s="74"/>
      <c r="L320" s="74"/>
      <c r="M320" s="74"/>
      <c r="N320" s="74"/>
      <c r="O320" s="74"/>
      <c r="P320" s="74"/>
      <c r="Q320" s="74"/>
      <c r="R320" s="74"/>
      <c r="S320" s="74"/>
      <c r="T320" s="74"/>
      <c r="U320" s="74"/>
      <c r="V320" s="74"/>
      <c r="W320" s="74"/>
      <c r="X320" s="74"/>
      <c r="Y320" s="74"/>
      <c r="Z320" s="74"/>
      <c r="AA320" s="74"/>
      <c r="AB320" s="74"/>
    </row>
    <row r="321" spans="1:28" ht="12" customHeight="1">
      <c r="A321" s="569"/>
      <c r="B321" s="574"/>
      <c r="C321" s="575"/>
      <c r="D321" s="576"/>
      <c r="E321" s="101"/>
      <c r="F321" s="101"/>
      <c r="G321" s="35"/>
      <c r="H321" s="104"/>
      <c r="I321" s="35"/>
      <c r="J321" s="74"/>
      <c r="K321" s="74"/>
      <c r="L321" s="74"/>
      <c r="M321" s="74"/>
      <c r="N321" s="74"/>
      <c r="O321" s="74"/>
      <c r="P321" s="74"/>
      <c r="Q321" s="74"/>
      <c r="R321" s="74"/>
      <c r="S321" s="74"/>
      <c r="T321" s="74"/>
      <c r="U321" s="74"/>
      <c r="V321" s="74"/>
      <c r="W321" s="74"/>
      <c r="X321" s="74"/>
      <c r="Y321" s="74"/>
      <c r="Z321" s="74"/>
      <c r="AA321" s="74"/>
      <c r="AB321" s="74"/>
    </row>
    <row r="322" spans="1:28" ht="12" customHeight="1">
      <c r="A322" s="569"/>
      <c r="B322" s="574"/>
      <c r="C322" s="575"/>
      <c r="D322" s="576"/>
      <c r="E322" s="101"/>
      <c r="F322" s="101"/>
      <c r="G322" s="35"/>
      <c r="H322" s="104"/>
      <c r="I322" s="35"/>
      <c r="J322" s="74"/>
      <c r="K322" s="74"/>
      <c r="L322" s="74"/>
      <c r="M322" s="74"/>
      <c r="N322" s="74"/>
      <c r="O322" s="74"/>
      <c r="P322" s="74"/>
      <c r="Q322" s="74"/>
      <c r="R322" s="74"/>
      <c r="S322" s="74"/>
      <c r="T322" s="74"/>
      <c r="U322" s="74"/>
      <c r="V322" s="74"/>
      <c r="W322" s="74"/>
      <c r="X322" s="74"/>
      <c r="Y322" s="74"/>
      <c r="Z322" s="74"/>
      <c r="AA322" s="74"/>
      <c r="AB322" s="74"/>
    </row>
    <row r="323" spans="1:28" ht="12" customHeight="1">
      <c r="A323" s="569"/>
      <c r="B323" s="574"/>
      <c r="C323" s="575"/>
      <c r="D323" s="576"/>
      <c r="E323" s="101"/>
      <c r="F323" s="101"/>
      <c r="G323" s="35"/>
      <c r="H323" s="104"/>
      <c r="I323" s="35"/>
      <c r="J323" s="74"/>
      <c r="K323" s="74"/>
      <c r="L323" s="74"/>
      <c r="M323" s="74"/>
      <c r="N323" s="74"/>
      <c r="O323" s="74"/>
      <c r="P323" s="74"/>
      <c r="Q323" s="74"/>
      <c r="R323" s="74"/>
      <c r="S323" s="74"/>
      <c r="T323" s="74"/>
      <c r="U323" s="74"/>
      <c r="V323" s="74"/>
      <c r="W323" s="74"/>
      <c r="X323" s="74"/>
      <c r="Y323" s="74"/>
      <c r="Z323" s="74"/>
      <c r="AA323" s="74"/>
      <c r="AB323" s="74"/>
    </row>
    <row r="324" spans="1:28" ht="12" customHeight="1">
      <c r="A324" s="569"/>
      <c r="B324" s="574"/>
      <c r="C324" s="575"/>
      <c r="D324" s="576"/>
      <c r="E324" s="101"/>
      <c r="F324" s="101"/>
      <c r="G324" s="35"/>
      <c r="H324" s="104"/>
      <c r="I324" s="35"/>
      <c r="J324" s="74"/>
      <c r="K324" s="74"/>
      <c r="L324" s="74"/>
      <c r="M324" s="74"/>
      <c r="N324" s="74"/>
      <c r="O324" s="74"/>
      <c r="P324" s="74"/>
      <c r="Q324" s="74"/>
      <c r="R324" s="74"/>
      <c r="S324" s="74"/>
      <c r="T324" s="74"/>
      <c r="U324" s="74"/>
      <c r="V324" s="74"/>
      <c r="W324" s="74"/>
      <c r="X324" s="74"/>
      <c r="Y324" s="74"/>
      <c r="Z324" s="74"/>
      <c r="AA324" s="74"/>
      <c r="AB324" s="74"/>
    </row>
    <row r="325" spans="1:28" ht="12" customHeight="1">
      <c r="A325" s="569"/>
      <c r="B325" s="574"/>
      <c r="C325" s="575"/>
      <c r="D325" s="576"/>
      <c r="E325" s="101"/>
      <c r="F325" s="101"/>
      <c r="G325" s="35"/>
      <c r="H325" s="104"/>
      <c r="I325" s="35"/>
      <c r="J325" s="74"/>
      <c r="K325" s="74"/>
      <c r="L325" s="74"/>
      <c r="M325" s="74"/>
      <c r="N325" s="74"/>
      <c r="O325" s="74"/>
      <c r="P325" s="74"/>
      <c r="Q325" s="74"/>
      <c r="R325" s="74"/>
      <c r="S325" s="74"/>
      <c r="T325" s="74"/>
      <c r="U325" s="74"/>
      <c r="V325" s="74"/>
      <c r="W325" s="74"/>
      <c r="X325" s="74"/>
      <c r="Y325" s="74"/>
      <c r="Z325" s="74"/>
      <c r="AA325" s="74"/>
      <c r="AB325" s="74"/>
    </row>
    <row r="326" spans="1:28" ht="12" customHeight="1">
      <c r="A326" s="569"/>
      <c r="B326" s="574"/>
      <c r="C326" s="575"/>
      <c r="D326" s="576"/>
      <c r="E326" s="101"/>
      <c r="F326" s="101"/>
      <c r="G326" s="35"/>
      <c r="H326" s="104"/>
      <c r="I326" s="35"/>
      <c r="J326" s="74"/>
      <c r="K326" s="74"/>
      <c r="L326" s="74"/>
      <c r="M326" s="74"/>
      <c r="N326" s="74"/>
      <c r="O326" s="74"/>
      <c r="P326" s="74"/>
      <c r="Q326" s="74"/>
      <c r="R326" s="74"/>
      <c r="S326" s="74"/>
      <c r="T326" s="74"/>
      <c r="U326" s="74"/>
      <c r="V326" s="74"/>
      <c r="W326" s="74"/>
      <c r="X326" s="74"/>
      <c r="Y326" s="74"/>
      <c r="Z326" s="74"/>
      <c r="AA326" s="74"/>
      <c r="AB326" s="74"/>
    </row>
    <row r="327" spans="1:28" ht="12" customHeight="1">
      <c r="A327" s="569"/>
      <c r="B327" s="574"/>
      <c r="C327" s="575"/>
      <c r="D327" s="576"/>
      <c r="E327" s="101"/>
      <c r="F327" s="101"/>
      <c r="G327" s="35"/>
      <c r="H327" s="104"/>
      <c r="I327" s="35"/>
      <c r="J327" s="74"/>
      <c r="K327" s="74"/>
      <c r="L327" s="74"/>
      <c r="M327" s="74"/>
      <c r="N327" s="74"/>
      <c r="O327" s="74"/>
      <c r="P327" s="74"/>
      <c r="Q327" s="74"/>
      <c r="R327" s="74"/>
      <c r="S327" s="74"/>
      <c r="T327" s="74"/>
      <c r="U327" s="74"/>
      <c r="V327" s="74"/>
      <c r="W327" s="74"/>
      <c r="X327" s="74"/>
      <c r="Y327" s="74"/>
      <c r="Z327" s="74"/>
      <c r="AA327" s="74"/>
      <c r="AB327" s="74"/>
    </row>
    <row r="328" spans="1:28" ht="12" customHeight="1">
      <c r="A328" s="569"/>
      <c r="B328" s="574"/>
      <c r="C328" s="575"/>
      <c r="D328" s="576"/>
      <c r="E328" s="101"/>
      <c r="F328" s="101"/>
      <c r="G328" s="35"/>
      <c r="H328" s="104"/>
      <c r="I328" s="35"/>
      <c r="J328" s="74"/>
      <c r="K328" s="74"/>
      <c r="L328" s="74"/>
      <c r="M328" s="74"/>
      <c r="N328" s="74"/>
      <c r="O328" s="74"/>
      <c r="P328" s="74"/>
      <c r="Q328" s="74"/>
      <c r="R328" s="74"/>
      <c r="S328" s="74"/>
      <c r="T328" s="74"/>
      <c r="U328" s="74"/>
      <c r="V328" s="74"/>
      <c r="W328" s="74"/>
      <c r="X328" s="74"/>
      <c r="Y328" s="74"/>
      <c r="Z328" s="74"/>
      <c r="AA328" s="74"/>
      <c r="AB328" s="74"/>
    </row>
    <row r="329" spans="1:28" ht="12" customHeight="1">
      <c r="A329" s="569"/>
      <c r="B329" s="574"/>
      <c r="C329" s="575"/>
      <c r="D329" s="576"/>
      <c r="E329" s="101"/>
      <c r="F329" s="101"/>
      <c r="G329" s="35"/>
      <c r="H329" s="104"/>
      <c r="I329" s="35"/>
      <c r="J329" s="74"/>
      <c r="K329" s="74"/>
      <c r="L329" s="74"/>
      <c r="M329" s="74"/>
      <c r="N329" s="74"/>
      <c r="O329" s="74"/>
      <c r="P329" s="74"/>
      <c r="Q329" s="74"/>
      <c r="R329" s="74"/>
      <c r="S329" s="74"/>
      <c r="T329" s="74"/>
      <c r="U329" s="74"/>
      <c r="V329" s="74"/>
      <c r="W329" s="74"/>
      <c r="X329" s="74"/>
      <c r="Y329" s="74"/>
      <c r="Z329" s="74"/>
      <c r="AA329" s="74"/>
      <c r="AB329" s="74"/>
    </row>
    <row r="330" spans="1:28" ht="12" customHeight="1">
      <c r="A330" s="569"/>
      <c r="B330" s="574"/>
      <c r="C330" s="575"/>
      <c r="D330" s="576"/>
      <c r="E330" s="101"/>
      <c r="F330" s="101"/>
      <c r="G330" s="35"/>
      <c r="H330" s="104"/>
      <c r="I330" s="35"/>
      <c r="J330" s="74"/>
      <c r="K330" s="74"/>
      <c r="L330" s="74"/>
      <c r="M330" s="74"/>
      <c r="N330" s="74"/>
      <c r="O330" s="74"/>
      <c r="P330" s="74"/>
      <c r="Q330" s="74"/>
      <c r="R330" s="74"/>
      <c r="S330" s="74"/>
      <c r="T330" s="74"/>
      <c r="U330" s="74"/>
      <c r="V330" s="74"/>
      <c r="W330" s="74"/>
      <c r="X330" s="74"/>
      <c r="Y330" s="74"/>
      <c r="Z330" s="74"/>
      <c r="AA330" s="74"/>
      <c r="AB330" s="74"/>
    </row>
    <row r="331" spans="1:28" ht="12" customHeight="1">
      <c r="A331" s="569"/>
      <c r="B331" s="574"/>
      <c r="C331" s="575"/>
      <c r="D331" s="576"/>
      <c r="E331" s="101"/>
      <c r="F331" s="101"/>
      <c r="G331" s="35"/>
      <c r="H331" s="104"/>
      <c r="I331" s="35"/>
      <c r="J331" s="74"/>
      <c r="K331" s="74"/>
      <c r="L331" s="74"/>
      <c r="M331" s="74"/>
      <c r="N331" s="74"/>
      <c r="O331" s="74"/>
      <c r="P331" s="74"/>
      <c r="Q331" s="74"/>
      <c r="R331" s="74"/>
      <c r="S331" s="74"/>
      <c r="T331" s="74"/>
      <c r="U331" s="74"/>
      <c r="V331" s="74"/>
      <c r="W331" s="74"/>
      <c r="X331" s="74"/>
      <c r="Y331" s="74"/>
      <c r="Z331" s="74"/>
      <c r="AA331" s="74"/>
      <c r="AB331" s="74"/>
    </row>
    <row r="332" spans="1:28" ht="12" customHeight="1">
      <c r="A332" s="569"/>
      <c r="B332" s="574"/>
      <c r="C332" s="575"/>
      <c r="D332" s="576"/>
      <c r="E332" s="101"/>
      <c r="F332" s="101"/>
      <c r="G332" s="35"/>
      <c r="H332" s="104"/>
      <c r="I332" s="35"/>
      <c r="J332" s="74"/>
      <c r="K332" s="74"/>
      <c r="L332" s="74"/>
      <c r="M332" s="74"/>
      <c r="N332" s="74"/>
      <c r="O332" s="74"/>
      <c r="P332" s="74"/>
      <c r="Q332" s="74"/>
      <c r="R332" s="74"/>
      <c r="S332" s="74"/>
      <c r="T332" s="74"/>
      <c r="U332" s="74"/>
      <c r="V332" s="74"/>
      <c r="W332" s="74"/>
      <c r="X332" s="74"/>
      <c r="Y332" s="74"/>
      <c r="Z332" s="74"/>
      <c r="AA332" s="74"/>
      <c r="AB332" s="74"/>
    </row>
    <row r="333" spans="1:28" ht="12" customHeight="1">
      <c r="A333" s="569"/>
      <c r="B333" s="574"/>
      <c r="C333" s="575"/>
      <c r="D333" s="576"/>
      <c r="E333" s="101"/>
      <c r="F333" s="101"/>
      <c r="G333" s="35"/>
      <c r="H333" s="104"/>
      <c r="I333" s="35"/>
      <c r="J333" s="74"/>
      <c r="K333" s="74"/>
      <c r="L333" s="74"/>
      <c r="M333" s="74"/>
      <c r="N333" s="74"/>
      <c r="O333" s="74"/>
      <c r="P333" s="74"/>
      <c r="Q333" s="74"/>
      <c r="R333" s="74"/>
      <c r="S333" s="74"/>
      <c r="T333" s="74"/>
      <c r="U333" s="74"/>
      <c r="V333" s="74"/>
      <c r="W333" s="74"/>
      <c r="X333" s="74"/>
      <c r="Y333" s="74"/>
      <c r="Z333" s="74"/>
      <c r="AA333" s="74"/>
      <c r="AB333" s="74"/>
    </row>
    <row r="334" spans="1:28" ht="12" customHeight="1">
      <c r="A334" s="569"/>
      <c r="B334" s="574"/>
      <c r="C334" s="575"/>
      <c r="D334" s="576"/>
      <c r="E334" s="101"/>
      <c r="F334" s="101"/>
      <c r="G334" s="35"/>
      <c r="H334" s="104"/>
      <c r="I334" s="35"/>
      <c r="J334" s="74"/>
      <c r="K334" s="74"/>
      <c r="L334" s="74"/>
      <c r="M334" s="74"/>
      <c r="N334" s="74"/>
      <c r="O334" s="74"/>
      <c r="P334" s="74"/>
      <c r="Q334" s="74"/>
      <c r="R334" s="74"/>
      <c r="S334" s="74"/>
      <c r="T334" s="74"/>
      <c r="U334" s="74"/>
      <c r="V334" s="74"/>
      <c r="W334" s="74"/>
      <c r="X334" s="74"/>
      <c r="Y334" s="74"/>
      <c r="Z334" s="74"/>
      <c r="AA334" s="74"/>
      <c r="AB334" s="74"/>
    </row>
    <row r="335" spans="1:28" ht="12" customHeight="1">
      <c r="A335" s="569"/>
      <c r="B335" s="574"/>
      <c r="C335" s="575"/>
      <c r="D335" s="576"/>
      <c r="E335" s="101"/>
      <c r="F335" s="101"/>
      <c r="G335" s="35"/>
      <c r="H335" s="104"/>
      <c r="I335" s="35"/>
      <c r="J335" s="74"/>
      <c r="K335" s="74"/>
      <c r="L335" s="74"/>
      <c r="M335" s="74"/>
      <c r="N335" s="74"/>
      <c r="O335" s="74"/>
      <c r="P335" s="74"/>
      <c r="Q335" s="74"/>
      <c r="R335" s="74"/>
      <c r="S335" s="74"/>
      <c r="T335" s="74"/>
      <c r="U335" s="74"/>
      <c r="V335" s="74"/>
      <c r="W335" s="74"/>
      <c r="X335" s="74"/>
      <c r="Y335" s="74"/>
      <c r="Z335" s="74"/>
      <c r="AA335" s="74"/>
      <c r="AB335" s="74"/>
    </row>
    <row r="336" spans="1:28" ht="12" customHeight="1">
      <c r="A336" s="569"/>
      <c r="B336" s="574"/>
      <c r="C336" s="575"/>
      <c r="D336" s="576"/>
      <c r="E336" s="101"/>
      <c r="F336" s="101"/>
      <c r="G336" s="35"/>
      <c r="H336" s="104"/>
      <c r="I336" s="35"/>
      <c r="J336" s="74"/>
      <c r="K336" s="74"/>
      <c r="L336" s="74"/>
      <c r="M336" s="74"/>
      <c r="N336" s="74"/>
      <c r="O336" s="74"/>
      <c r="P336" s="74"/>
      <c r="Q336" s="74"/>
      <c r="R336" s="74"/>
      <c r="S336" s="74"/>
      <c r="T336" s="74"/>
      <c r="U336" s="74"/>
      <c r="V336" s="74"/>
      <c r="W336" s="74"/>
      <c r="X336" s="74"/>
      <c r="Y336" s="74"/>
      <c r="Z336" s="74"/>
      <c r="AA336" s="74"/>
      <c r="AB336" s="74"/>
    </row>
    <row r="337" spans="1:28" ht="12" customHeight="1">
      <c r="A337" s="569"/>
      <c r="B337" s="574"/>
      <c r="C337" s="575"/>
      <c r="D337" s="576"/>
      <c r="E337" s="101"/>
      <c r="F337" s="101"/>
      <c r="G337" s="35"/>
      <c r="H337" s="104"/>
      <c r="I337" s="35"/>
      <c r="J337" s="74"/>
      <c r="K337" s="74"/>
      <c r="L337" s="74"/>
      <c r="M337" s="74"/>
      <c r="N337" s="74"/>
      <c r="O337" s="74"/>
      <c r="P337" s="74"/>
      <c r="Q337" s="74"/>
      <c r="R337" s="74"/>
      <c r="S337" s="74"/>
      <c r="T337" s="74"/>
      <c r="U337" s="74"/>
      <c r="V337" s="74"/>
      <c r="W337" s="74"/>
      <c r="X337" s="74"/>
      <c r="Y337" s="74"/>
      <c r="Z337" s="74"/>
      <c r="AA337" s="74"/>
      <c r="AB337" s="74"/>
    </row>
    <row r="338" spans="1:28" ht="12" customHeight="1">
      <c r="A338" s="569"/>
      <c r="B338" s="574"/>
      <c r="C338" s="575"/>
      <c r="D338" s="576"/>
      <c r="E338" s="101"/>
      <c r="F338" s="101"/>
      <c r="G338" s="35"/>
      <c r="H338" s="104"/>
      <c r="I338" s="35"/>
      <c r="J338" s="74"/>
      <c r="K338" s="74"/>
      <c r="L338" s="74"/>
      <c r="M338" s="74"/>
      <c r="N338" s="74"/>
      <c r="O338" s="74"/>
      <c r="P338" s="74"/>
      <c r="Q338" s="74"/>
      <c r="R338" s="74"/>
      <c r="S338" s="74"/>
      <c r="T338" s="74"/>
      <c r="U338" s="74"/>
      <c r="V338" s="74"/>
      <c r="W338" s="74"/>
      <c r="X338" s="74"/>
      <c r="Y338" s="74"/>
      <c r="Z338" s="74"/>
      <c r="AA338" s="74"/>
      <c r="AB338" s="74"/>
    </row>
    <row r="339" spans="1:28" ht="12" customHeight="1">
      <c r="A339" s="569"/>
      <c r="B339" s="574"/>
      <c r="C339" s="575"/>
      <c r="D339" s="576"/>
      <c r="E339" s="101"/>
      <c r="F339" s="101"/>
      <c r="G339" s="35"/>
      <c r="H339" s="104"/>
      <c r="I339" s="35"/>
      <c r="J339" s="74"/>
      <c r="K339" s="74"/>
      <c r="L339" s="74"/>
      <c r="M339" s="74"/>
      <c r="N339" s="74"/>
      <c r="O339" s="74"/>
      <c r="P339" s="74"/>
      <c r="Q339" s="74"/>
      <c r="R339" s="74"/>
      <c r="S339" s="74"/>
      <c r="T339" s="74"/>
      <c r="U339" s="74"/>
      <c r="V339" s="74"/>
      <c r="W339" s="74"/>
      <c r="X339" s="74"/>
      <c r="Y339" s="74"/>
      <c r="Z339" s="74"/>
      <c r="AA339" s="74"/>
      <c r="AB339" s="74"/>
    </row>
    <row r="340" spans="1:28" ht="12" customHeight="1">
      <c r="A340" s="569"/>
      <c r="B340" s="574"/>
      <c r="C340" s="575"/>
      <c r="D340" s="576"/>
      <c r="E340" s="101"/>
      <c r="F340" s="101"/>
      <c r="G340" s="35"/>
      <c r="H340" s="104"/>
      <c r="I340" s="35"/>
      <c r="J340" s="74"/>
      <c r="K340" s="74"/>
      <c r="L340" s="74"/>
      <c r="M340" s="74"/>
      <c r="N340" s="74"/>
      <c r="O340" s="74"/>
      <c r="P340" s="74"/>
      <c r="Q340" s="74"/>
      <c r="R340" s="74"/>
      <c r="S340" s="74"/>
      <c r="T340" s="74"/>
      <c r="U340" s="74"/>
      <c r="V340" s="74"/>
      <c r="W340" s="74"/>
      <c r="X340" s="74"/>
      <c r="Y340" s="74"/>
      <c r="Z340" s="74"/>
      <c r="AA340" s="74"/>
      <c r="AB340" s="74"/>
    </row>
    <row r="341" spans="1:28" ht="12" customHeight="1">
      <c r="A341" s="569"/>
      <c r="B341" s="574"/>
      <c r="C341" s="575"/>
      <c r="D341" s="576"/>
      <c r="E341" s="101"/>
      <c r="F341" s="101"/>
      <c r="G341" s="35"/>
      <c r="H341" s="104"/>
      <c r="I341" s="35"/>
      <c r="J341" s="74"/>
      <c r="K341" s="74"/>
      <c r="L341" s="74"/>
      <c r="M341" s="74"/>
      <c r="N341" s="74"/>
      <c r="O341" s="74"/>
      <c r="P341" s="74"/>
      <c r="Q341" s="74"/>
      <c r="R341" s="74"/>
      <c r="S341" s="74"/>
      <c r="T341" s="74"/>
      <c r="U341" s="74"/>
      <c r="V341" s="74"/>
      <c r="W341" s="74"/>
      <c r="X341" s="74"/>
      <c r="Y341" s="74"/>
      <c r="Z341" s="74"/>
      <c r="AA341" s="74"/>
      <c r="AB341" s="74"/>
    </row>
    <row r="342" spans="1:28" ht="12" customHeight="1">
      <c r="A342" s="569"/>
      <c r="B342" s="574"/>
      <c r="C342" s="575"/>
      <c r="D342" s="576"/>
      <c r="E342" s="101"/>
      <c r="F342" s="101"/>
      <c r="G342" s="35"/>
      <c r="H342" s="104"/>
      <c r="I342" s="35"/>
      <c r="J342" s="74"/>
      <c r="K342" s="74"/>
      <c r="L342" s="74"/>
      <c r="M342" s="74"/>
      <c r="N342" s="74"/>
      <c r="O342" s="74"/>
      <c r="P342" s="74"/>
      <c r="Q342" s="74"/>
      <c r="R342" s="74"/>
      <c r="S342" s="74"/>
      <c r="T342" s="74"/>
      <c r="U342" s="74"/>
      <c r="V342" s="74"/>
      <c r="W342" s="74"/>
      <c r="X342" s="74"/>
      <c r="Y342" s="74"/>
      <c r="Z342" s="74"/>
      <c r="AA342" s="74"/>
      <c r="AB342" s="74"/>
    </row>
    <row r="343" spans="1:28" ht="12" customHeight="1">
      <c r="A343" s="569"/>
      <c r="B343" s="574"/>
      <c r="C343" s="575"/>
      <c r="D343" s="576"/>
      <c r="E343" s="101"/>
      <c r="F343" s="101"/>
      <c r="G343" s="35"/>
      <c r="H343" s="104"/>
      <c r="I343" s="35"/>
      <c r="J343" s="74"/>
      <c r="K343" s="74"/>
      <c r="L343" s="74"/>
      <c r="M343" s="74"/>
      <c r="N343" s="74"/>
      <c r="O343" s="74"/>
      <c r="P343" s="74"/>
      <c r="Q343" s="74"/>
      <c r="R343" s="74"/>
      <c r="S343" s="74"/>
      <c r="T343" s="74"/>
      <c r="U343" s="74"/>
      <c r="V343" s="74"/>
      <c r="W343" s="74"/>
      <c r="X343" s="74"/>
      <c r="Y343" s="74"/>
      <c r="Z343" s="74"/>
      <c r="AA343" s="74"/>
      <c r="AB343" s="74"/>
    </row>
    <row r="344" spans="1:28" ht="12" customHeight="1">
      <c r="A344" s="569"/>
      <c r="B344" s="574"/>
      <c r="C344" s="575"/>
      <c r="D344" s="576"/>
      <c r="E344" s="101"/>
      <c r="F344" s="101"/>
      <c r="G344" s="35"/>
      <c r="H344" s="104"/>
      <c r="I344" s="35"/>
      <c r="J344" s="74"/>
      <c r="K344" s="74"/>
      <c r="L344" s="74"/>
      <c r="M344" s="74"/>
      <c r="N344" s="74"/>
      <c r="O344" s="74"/>
      <c r="P344" s="74"/>
      <c r="Q344" s="74"/>
      <c r="R344" s="74"/>
      <c r="S344" s="74"/>
      <c r="T344" s="74"/>
      <c r="U344" s="74"/>
      <c r="V344" s="74"/>
      <c r="W344" s="74"/>
      <c r="X344" s="74"/>
      <c r="Y344" s="74"/>
      <c r="Z344" s="74"/>
      <c r="AA344" s="74"/>
      <c r="AB344" s="74"/>
    </row>
    <row r="345" spans="1:28" ht="12" customHeight="1">
      <c r="A345" s="569"/>
      <c r="B345" s="574"/>
      <c r="C345" s="575"/>
      <c r="D345" s="576"/>
      <c r="E345" s="101"/>
      <c r="F345" s="101"/>
      <c r="G345" s="35"/>
      <c r="H345" s="104"/>
      <c r="I345" s="35"/>
      <c r="J345" s="74"/>
      <c r="K345" s="74"/>
      <c r="L345" s="74"/>
      <c r="M345" s="74"/>
      <c r="N345" s="74"/>
      <c r="O345" s="74"/>
      <c r="P345" s="74"/>
      <c r="Q345" s="74"/>
      <c r="R345" s="74"/>
      <c r="S345" s="74"/>
      <c r="T345" s="74"/>
      <c r="U345" s="74"/>
      <c r="V345" s="74"/>
      <c r="W345" s="74"/>
      <c r="X345" s="74"/>
      <c r="Y345" s="74"/>
      <c r="Z345" s="74"/>
      <c r="AA345" s="74"/>
      <c r="AB345" s="74"/>
    </row>
    <row r="346" spans="1:28" ht="12" customHeight="1">
      <c r="A346" s="569"/>
      <c r="B346" s="574"/>
      <c r="C346" s="575"/>
      <c r="D346" s="576"/>
      <c r="E346" s="101"/>
      <c r="F346" s="101"/>
      <c r="G346" s="35"/>
      <c r="H346" s="104"/>
      <c r="I346" s="35"/>
      <c r="J346" s="74"/>
      <c r="K346" s="74"/>
      <c r="L346" s="74"/>
      <c r="M346" s="74"/>
      <c r="N346" s="74"/>
      <c r="O346" s="74"/>
      <c r="P346" s="74"/>
      <c r="Q346" s="74"/>
      <c r="R346" s="74"/>
      <c r="S346" s="74"/>
      <c r="T346" s="74"/>
      <c r="U346" s="74"/>
      <c r="V346" s="74"/>
      <c r="W346" s="74"/>
      <c r="X346" s="74"/>
      <c r="Y346" s="74"/>
      <c r="Z346" s="74"/>
      <c r="AA346" s="74"/>
      <c r="AB346" s="74"/>
    </row>
    <row r="347" spans="1:28" ht="12" customHeight="1">
      <c r="A347" s="569"/>
      <c r="B347" s="574"/>
      <c r="C347" s="575"/>
      <c r="D347" s="576"/>
      <c r="E347" s="101"/>
      <c r="F347" s="101"/>
      <c r="G347" s="35"/>
      <c r="H347" s="104"/>
      <c r="I347" s="35"/>
      <c r="J347" s="74"/>
      <c r="K347" s="74"/>
      <c r="L347" s="74"/>
      <c r="M347" s="74"/>
      <c r="N347" s="74"/>
      <c r="O347" s="74"/>
      <c r="P347" s="74"/>
      <c r="Q347" s="74"/>
      <c r="R347" s="74"/>
      <c r="S347" s="74"/>
      <c r="T347" s="74"/>
      <c r="U347" s="74"/>
      <c r="V347" s="74"/>
      <c r="W347" s="74"/>
      <c r="X347" s="74"/>
      <c r="Y347" s="74"/>
      <c r="Z347" s="74"/>
      <c r="AA347" s="74"/>
      <c r="AB347" s="74"/>
    </row>
    <row r="348" spans="1:28" ht="12" customHeight="1">
      <c r="A348" s="569"/>
      <c r="B348" s="574"/>
      <c r="C348" s="575"/>
      <c r="D348" s="576"/>
      <c r="E348" s="101"/>
      <c r="F348" s="101"/>
      <c r="G348" s="35"/>
      <c r="H348" s="104"/>
      <c r="I348" s="35"/>
      <c r="J348" s="74"/>
      <c r="K348" s="74"/>
      <c r="L348" s="74"/>
      <c r="M348" s="74"/>
      <c r="N348" s="74"/>
      <c r="O348" s="74"/>
      <c r="P348" s="74"/>
      <c r="Q348" s="74"/>
      <c r="R348" s="74"/>
      <c r="S348" s="74"/>
      <c r="T348" s="74"/>
      <c r="U348" s="74"/>
      <c r="V348" s="74"/>
      <c r="W348" s="74"/>
      <c r="X348" s="74"/>
      <c r="Y348" s="74"/>
      <c r="Z348" s="74"/>
      <c r="AA348" s="74"/>
      <c r="AB348" s="74"/>
    </row>
    <row r="349" spans="1:28" ht="12" customHeight="1">
      <c r="A349" s="569"/>
      <c r="B349" s="574"/>
      <c r="C349" s="575"/>
      <c r="D349" s="576"/>
      <c r="E349" s="101"/>
      <c r="F349" s="101"/>
      <c r="G349" s="35"/>
      <c r="H349" s="104"/>
      <c r="I349" s="35"/>
      <c r="J349" s="74"/>
      <c r="K349" s="74"/>
      <c r="L349" s="74"/>
      <c r="M349" s="74"/>
      <c r="N349" s="74"/>
      <c r="O349" s="74"/>
      <c r="P349" s="74"/>
      <c r="Q349" s="74"/>
      <c r="R349" s="74"/>
      <c r="S349" s="74"/>
      <c r="T349" s="74"/>
      <c r="U349" s="74"/>
      <c r="V349" s="74"/>
      <c r="W349" s="74"/>
      <c r="X349" s="74"/>
      <c r="Y349" s="74"/>
      <c r="Z349" s="74"/>
      <c r="AA349" s="74"/>
      <c r="AB349" s="74"/>
    </row>
    <row r="350" spans="1:28" ht="12" customHeight="1">
      <c r="A350" s="569"/>
      <c r="B350" s="574"/>
      <c r="C350" s="575"/>
      <c r="D350" s="576"/>
      <c r="E350" s="101"/>
      <c r="F350" s="101"/>
      <c r="G350" s="35"/>
      <c r="H350" s="104"/>
      <c r="I350" s="35"/>
      <c r="J350" s="74"/>
      <c r="K350" s="74"/>
      <c r="L350" s="74"/>
      <c r="M350" s="74"/>
      <c r="N350" s="74"/>
      <c r="O350" s="74"/>
      <c r="P350" s="74"/>
      <c r="Q350" s="74"/>
      <c r="R350" s="74"/>
      <c r="S350" s="74"/>
      <c r="T350" s="74"/>
      <c r="U350" s="74"/>
      <c r="V350" s="74"/>
      <c r="W350" s="74"/>
      <c r="X350" s="74"/>
      <c r="Y350" s="74"/>
      <c r="Z350" s="74"/>
      <c r="AA350" s="74"/>
      <c r="AB350" s="74"/>
    </row>
    <row r="351" spans="1:28" ht="12" customHeight="1">
      <c r="A351" s="569"/>
      <c r="B351" s="574"/>
      <c r="C351" s="575"/>
      <c r="D351" s="576"/>
      <c r="E351" s="101"/>
      <c r="F351" s="101"/>
      <c r="G351" s="35"/>
      <c r="H351" s="104"/>
      <c r="I351" s="35"/>
      <c r="J351" s="74"/>
      <c r="K351" s="74"/>
      <c r="L351" s="74"/>
      <c r="M351" s="74"/>
      <c r="N351" s="74"/>
      <c r="O351" s="74"/>
      <c r="P351" s="74"/>
      <c r="Q351" s="74"/>
      <c r="R351" s="74"/>
      <c r="S351" s="74"/>
      <c r="T351" s="74"/>
      <c r="U351" s="74"/>
      <c r="V351" s="74"/>
      <c r="W351" s="74"/>
      <c r="X351" s="74"/>
      <c r="Y351" s="74"/>
      <c r="Z351" s="74"/>
      <c r="AA351" s="74"/>
      <c r="AB351" s="74"/>
    </row>
    <row r="352" spans="1:28" ht="12" customHeight="1">
      <c r="A352" s="569"/>
      <c r="B352" s="574"/>
      <c r="C352" s="575"/>
      <c r="D352" s="576"/>
      <c r="E352" s="101"/>
      <c r="F352" s="101"/>
      <c r="G352" s="35"/>
      <c r="H352" s="104"/>
      <c r="I352" s="35"/>
      <c r="J352" s="74"/>
      <c r="K352" s="74"/>
      <c r="L352" s="74"/>
      <c r="M352" s="74"/>
      <c r="N352" s="74"/>
      <c r="O352" s="74"/>
      <c r="P352" s="74"/>
      <c r="Q352" s="74"/>
      <c r="R352" s="74"/>
      <c r="S352" s="74"/>
      <c r="T352" s="74"/>
      <c r="U352" s="74"/>
      <c r="V352" s="74"/>
      <c r="W352" s="74"/>
      <c r="X352" s="74"/>
      <c r="Y352" s="74"/>
      <c r="Z352" s="74"/>
      <c r="AA352" s="74"/>
      <c r="AB352" s="74"/>
    </row>
    <row r="353" spans="1:28" ht="12" customHeight="1">
      <c r="A353" s="569"/>
      <c r="B353" s="574"/>
      <c r="C353" s="575"/>
      <c r="D353" s="576"/>
      <c r="E353" s="101"/>
      <c r="F353" s="101"/>
      <c r="G353" s="35"/>
      <c r="H353" s="104"/>
      <c r="I353" s="35"/>
      <c r="J353" s="74"/>
      <c r="K353" s="74"/>
      <c r="L353" s="74"/>
      <c r="M353" s="74"/>
      <c r="N353" s="74"/>
      <c r="O353" s="74"/>
      <c r="P353" s="74"/>
      <c r="Q353" s="74"/>
      <c r="R353" s="74"/>
      <c r="S353" s="74"/>
      <c r="T353" s="74"/>
      <c r="U353" s="74"/>
      <c r="V353" s="74"/>
      <c r="W353" s="74"/>
      <c r="X353" s="74"/>
      <c r="Y353" s="74"/>
      <c r="Z353" s="74"/>
      <c r="AA353" s="74"/>
      <c r="AB353" s="74"/>
    </row>
    <row r="354" spans="1:28" ht="12" customHeight="1">
      <c r="A354" s="569"/>
      <c r="B354" s="574"/>
      <c r="C354" s="575"/>
      <c r="D354" s="576"/>
      <c r="E354" s="101"/>
      <c r="F354" s="101"/>
      <c r="G354" s="35"/>
      <c r="H354" s="104"/>
      <c r="I354" s="35"/>
      <c r="J354" s="74"/>
      <c r="K354" s="74"/>
      <c r="L354" s="74"/>
      <c r="M354" s="74"/>
      <c r="N354" s="74"/>
      <c r="O354" s="74"/>
      <c r="P354" s="74"/>
      <c r="Q354" s="74"/>
      <c r="R354" s="74"/>
      <c r="S354" s="74"/>
      <c r="T354" s="74"/>
      <c r="U354" s="74"/>
      <c r="V354" s="74"/>
      <c r="W354" s="74"/>
      <c r="X354" s="74"/>
      <c r="Y354" s="74"/>
      <c r="Z354" s="74"/>
      <c r="AA354" s="74"/>
      <c r="AB354" s="74"/>
    </row>
    <row r="355" spans="1:28" ht="12" customHeight="1">
      <c r="A355" s="569"/>
      <c r="B355" s="574"/>
      <c r="C355" s="575"/>
      <c r="D355" s="576"/>
      <c r="E355" s="101"/>
      <c r="F355" s="101"/>
      <c r="G355" s="35"/>
      <c r="H355" s="104"/>
      <c r="I355" s="35"/>
      <c r="J355" s="74"/>
      <c r="K355" s="74"/>
      <c r="L355" s="74"/>
      <c r="M355" s="74"/>
      <c r="N355" s="74"/>
      <c r="O355" s="74"/>
      <c r="P355" s="74"/>
      <c r="Q355" s="74"/>
      <c r="R355" s="74"/>
      <c r="S355" s="74"/>
      <c r="T355" s="74"/>
      <c r="U355" s="74"/>
      <c r="V355" s="74"/>
      <c r="W355" s="74"/>
      <c r="X355" s="74"/>
      <c r="Y355" s="74"/>
      <c r="Z355" s="74"/>
      <c r="AA355" s="74"/>
      <c r="AB355" s="74"/>
    </row>
    <row r="356" spans="1:28" ht="12" customHeight="1">
      <c r="A356" s="569"/>
      <c r="B356" s="574"/>
      <c r="C356" s="575"/>
      <c r="D356" s="576"/>
      <c r="E356" s="101"/>
      <c r="F356" s="101"/>
      <c r="G356" s="35"/>
      <c r="H356" s="104"/>
      <c r="I356" s="35"/>
      <c r="J356" s="74"/>
      <c r="K356" s="74"/>
      <c r="L356" s="74"/>
      <c r="M356" s="74"/>
      <c r="N356" s="74"/>
      <c r="O356" s="74"/>
      <c r="P356" s="74"/>
      <c r="Q356" s="74"/>
      <c r="R356" s="74"/>
      <c r="S356" s="74"/>
      <c r="T356" s="74"/>
      <c r="U356" s="74"/>
      <c r="V356" s="74"/>
      <c r="W356" s="74"/>
      <c r="X356" s="74"/>
      <c r="Y356" s="74"/>
      <c r="Z356" s="74"/>
      <c r="AA356" s="74"/>
      <c r="AB356" s="74"/>
    </row>
    <row r="357" spans="1:28" ht="12" customHeight="1">
      <c r="A357" s="569"/>
      <c r="B357" s="574"/>
      <c r="C357" s="575"/>
      <c r="D357" s="576"/>
      <c r="E357" s="101"/>
      <c r="F357" s="101"/>
      <c r="G357" s="35"/>
      <c r="H357" s="104"/>
      <c r="I357" s="35"/>
      <c r="J357" s="74"/>
      <c r="K357" s="74"/>
      <c r="L357" s="74"/>
      <c r="M357" s="74"/>
      <c r="N357" s="74"/>
      <c r="O357" s="74"/>
      <c r="P357" s="74"/>
      <c r="Q357" s="74"/>
      <c r="R357" s="74"/>
      <c r="S357" s="74"/>
      <c r="T357" s="74"/>
      <c r="U357" s="74"/>
      <c r="V357" s="74"/>
      <c r="W357" s="74"/>
      <c r="X357" s="74"/>
      <c r="Y357" s="74"/>
      <c r="Z357" s="74"/>
      <c r="AA357" s="74"/>
      <c r="AB357" s="74"/>
    </row>
    <row r="358" spans="1:28" ht="12" customHeight="1">
      <c r="A358" s="569"/>
      <c r="B358" s="574"/>
      <c r="C358" s="575"/>
      <c r="D358" s="576"/>
      <c r="E358" s="101"/>
      <c r="F358" s="101"/>
      <c r="G358" s="35"/>
      <c r="H358" s="104"/>
      <c r="I358" s="35"/>
      <c r="J358" s="74"/>
      <c r="K358" s="74"/>
      <c r="L358" s="74"/>
      <c r="M358" s="74"/>
      <c r="N358" s="74"/>
      <c r="O358" s="74"/>
      <c r="P358" s="74"/>
      <c r="Q358" s="74"/>
      <c r="R358" s="74"/>
      <c r="S358" s="74"/>
      <c r="T358" s="74"/>
      <c r="U358" s="74"/>
      <c r="V358" s="74"/>
      <c r="W358" s="74"/>
      <c r="X358" s="74"/>
      <c r="Y358" s="74"/>
      <c r="Z358" s="74"/>
      <c r="AA358" s="74"/>
      <c r="AB358" s="74"/>
    </row>
    <row r="359" spans="1:28" ht="12" customHeight="1">
      <c r="A359" s="569"/>
      <c r="B359" s="574"/>
      <c r="C359" s="575"/>
      <c r="D359" s="576"/>
      <c r="E359" s="101"/>
      <c r="F359" s="101"/>
      <c r="G359" s="35"/>
      <c r="H359" s="104"/>
      <c r="I359" s="35"/>
      <c r="J359" s="74"/>
      <c r="K359" s="74"/>
      <c r="L359" s="74"/>
      <c r="M359" s="74"/>
      <c r="N359" s="74"/>
      <c r="O359" s="74"/>
      <c r="P359" s="74"/>
      <c r="Q359" s="74"/>
      <c r="R359" s="74"/>
      <c r="S359" s="74"/>
      <c r="T359" s="74"/>
      <c r="U359" s="74"/>
      <c r="V359" s="74"/>
      <c r="W359" s="74"/>
      <c r="X359" s="74"/>
      <c r="Y359" s="74"/>
      <c r="Z359" s="74"/>
      <c r="AA359" s="74"/>
      <c r="AB359" s="74"/>
    </row>
    <row r="360" spans="1:28" ht="12" customHeight="1">
      <c r="A360" s="569"/>
      <c r="B360" s="574"/>
      <c r="C360" s="575"/>
      <c r="D360" s="576"/>
      <c r="E360" s="101"/>
      <c r="F360" s="101"/>
      <c r="G360" s="35"/>
      <c r="H360" s="104"/>
      <c r="I360" s="35"/>
      <c r="J360" s="74"/>
      <c r="K360" s="74"/>
      <c r="L360" s="74"/>
      <c r="M360" s="74"/>
      <c r="N360" s="74"/>
      <c r="O360" s="74"/>
      <c r="P360" s="74"/>
      <c r="Q360" s="74"/>
      <c r="R360" s="74"/>
      <c r="S360" s="74"/>
      <c r="T360" s="74"/>
      <c r="U360" s="74"/>
      <c r="V360" s="74"/>
      <c r="W360" s="74"/>
      <c r="X360" s="74"/>
      <c r="Y360" s="74"/>
      <c r="Z360" s="74"/>
      <c r="AA360" s="74"/>
      <c r="AB360" s="74"/>
    </row>
    <row r="361" spans="1:28" ht="12" customHeight="1">
      <c r="A361" s="569"/>
      <c r="B361" s="574"/>
      <c r="C361" s="575"/>
      <c r="D361" s="576"/>
      <c r="E361" s="101"/>
      <c r="F361" s="101"/>
      <c r="G361" s="35"/>
      <c r="H361" s="104"/>
      <c r="I361" s="35"/>
      <c r="J361" s="74"/>
      <c r="K361" s="74"/>
      <c r="L361" s="74"/>
      <c r="M361" s="74"/>
      <c r="N361" s="74"/>
      <c r="O361" s="74"/>
      <c r="P361" s="74"/>
      <c r="Q361" s="74"/>
      <c r="R361" s="74"/>
      <c r="S361" s="74"/>
      <c r="T361" s="74"/>
      <c r="U361" s="74"/>
      <c r="V361" s="74"/>
      <c r="W361" s="74"/>
      <c r="X361" s="74"/>
      <c r="Y361" s="74"/>
      <c r="Z361" s="74"/>
      <c r="AA361" s="74"/>
      <c r="AB361" s="74"/>
    </row>
    <row r="362" spans="1:28" ht="12" customHeight="1">
      <c r="A362" s="569"/>
      <c r="B362" s="574"/>
      <c r="C362" s="575"/>
      <c r="D362" s="576"/>
      <c r="E362" s="101"/>
      <c r="F362" s="101"/>
      <c r="G362" s="35"/>
      <c r="H362" s="104"/>
      <c r="I362" s="35"/>
      <c r="J362" s="74"/>
      <c r="K362" s="74"/>
      <c r="L362" s="74"/>
      <c r="M362" s="74"/>
      <c r="N362" s="74"/>
      <c r="O362" s="74"/>
      <c r="P362" s="74"/>
      <c r="Q362" s="74"/>
      <c r="R362" s="74"/>
      <c r="S362" s="74"/>
      <c r="T362" s="74"/>
      <c r="U362" s="74"/>
      <c r="V362" s="74"/>
      <c r="W362" s="74"/>
      <c r="X362" s="74"/>
      <c r="Y362" s="74"/>
      <c r="Z362" s="74"/>
      <c r="AA362" s="74"/>
      <c r="AB362" s="74"/>
    </row>
    <row r="363" spans="1:28" ht="12" customHeight="1">
      <c r="A363" s="569"/>
      <c r="B363" s="574"/>
      <c r="C363" s="575"/>
      <c r="D363" s="576"/>
      <c r="E363" s="101"/>
      <c r="F363" s="101"/>
      <c r="G363" s="35"/>
      <c r="H363" s="104"/>
      <c r="I363" s="35"/>
      <c r="J363" s="74"/>
      <c r="K363" s="74"/>
      <c r="L363" s="74"/>
      <c r="M363" s="74"/>
      <c r="N363" s="74"/>
      <c r="O363" s="74"/>
      <c r="P363" s="74"/>
      <c r="Q363" s="74"/>
      <c r="R363" s="74"/>
      <c r="S363" s="74"/>
      <c r="T363" s="74"/>
      <c r="U363" s="74"/>
      <c r="V363" s="74"/>
      <c r="W363" s="74"/>
      <c r="X363" s="74"/>
      <c r="Y363" s="74"/>
      <c r="Z363" s="74"/>
      <c r="AA363" s="74"/>
      <c r="AB363" s="74"/>
    </row>
    <row r="364" spans="1:28" ht="12" customHeight="1">
      <c r="A364" s="569"/>
      <c r="B364" s="574"/>
      <c r="C364" s="575"/>
      <c r="D364" s="576"/>
      <c r="E364" s="101"/>
      <c r="F364" s="101"/>
      <c r="G364" s="35"/>
      <c r="H364" s="104"/>
      <c r="I364" s="35"/>
      <c r="J364" s="74"/>
      <c r="K364" s="74"/>
      <c r="L364" s="74"/>
      <c r="M364" s="74"/>
      <c r="N364" s="74"/>
      <c r="O364" s="74"/>
      <c r="P364" s="74"/>
      <c r="Q364" s="74"/>
      <c r="R364" s="74"/>
      <c r="S364" s="74"/>
      <c r="T364" s="74"/>
      <c r="U364" s="74"/>
      <c r="V364" s="74"/>
      <c r="W364" s="74"/>
      <c r="X364" s="74"/>
      <c r="Y364" s="74"/>
      <c r="Z364" s="74"/>
      <c r="AA364" s="74"/>
      <c r="AB364" s="74"/>
    </row>
    <row r="365" spans="1:28" ht="12" customHeight="1">
      <c r="A365" s="569"/>
      <c r="B365" s="574"/>
      <c r="C365" s="575"/>
      <c r="D365" s="576"/>
      <c r="E365" s="101"/>
      <c r="F365" s="101"/>
      <c r="G365" s="35"/>
      <c r="H365" s="104"/>
      <c r="I365" s="35"/>
      <c r="J365" s="74"/>
      <c r="K365" s="74"/>
      <c r="L365" s="74"/>
      <c r="M365" s="74"/>
      <c r="N365" s="74"/>
      <c r="O365" s="74"/>
      <c r="P365" s="74"/>
      <c r="Q365" s="74"/>
      <c r="R365" s="74"/>
      <c r="S365" s="74"/>
      <c r="T365" s="74"/>
      <c r="U365" s="74"/>
      <c r="V365" s="74"/>
      <c r="W365" s="74"/>
      <c r="X365" s="74"/>
      <c r="Y365" s="74"/>
      <c r="Z365" s="74"/>
      <c r="AA365" s="74"/>
      <c r="AB365" s="74"/>
    </row>
    <row r="366" spans="1:28" ht="12" customHeight="1">
      <c r="A366" s="569"/>
      <c r="B366" s="574"/>
      <c r="C366" s="575"/>
      <c r="D366" s="576"/>
      <c r="E366" s="101"/>
      <c r="F366" s="101"/>
      <c r="G366" s="35"/>
      <c r="H366" s="104"/>
      <c r="I366" s="35"/>
      <c r="J366" s="74"/>
      <c r="K366" s="74"/>
      <c r="L366" s="74"/>
      <c r="M366" s="74"/>
      <c r="N366" s="74"/>
      <c r="O366" s="74"/>
      <c r="P366" s="74"/>
      <c r="Q366" s="74"/>
      <c r="R366" s="74"/>
      <c r="S366" s="74"/>
      <c r="T366" s="74"/>
      <c r="U366" s="74"/>
      <c r="V366" s="74"/>
      <c r="W366" s="74"/>
      <c r="X366" s="74"/>
      <c r="Y366" s="74"/>
      <c r="Z366" s="74"/>
      <c r="AA366" s="74"/>
      <c r="AB366" s="74"/>
    </row>
    <row r="367" spans="1:28" ht="12" customHeight="1">
      <c r="A367" s="569"/>
      <c r="B367" s="574"/>
      <c r="C367" s="575"/>
      <c r="D367" s="576"/>
      <c r="E367" s="101"/>
      <c r="F367" s="101"/>
      <c r="G367" s="35"/>
      <c r="H367" s="104"/>
      <c r="I367" s="35"/>
      <c r="J367" s="74"/>
      <c r="K367" s="74"/>
      <c r="L367" s="74"/>
      <c r="M367" s="74"/>
      <c r="N367" s="74"/>
      <c r="O367" s="74"/>
      <c r="P367" s="74"/>
      <c r="Q367" s="74"/>
      <c r="R367" s="74"/>
      <c r="S367" s="74"/>
      <c r="T367" s="74"/>
      <c r="U367" s="74"/>
      <c r="V367" s="74"/>
      <c r="W367" s="74"/>
      <c r="X367" s="74"/>
      <c r="Y367" s="74"/>
      <c r="Z367" s="74"/>
      <c r="AA367" s="74"/>
      <c r="AB367" s="74"/>
    </row>
    <row r="368" spans="1:28" ht="12" customHeight="1">
      <c r="A368" s="569"/>
      <c r="B368" s="574"/>
      <c r="C368" s="575"/>
      <c r="D368" s="576"/>
      <c r="E368" s="101"/>
      <c r="F368" s="101"/>
      <c r="G368" s="35"/>
      <c r="H368" s="104"/>
      <c r="I368" s="35"/>
      <c r="J368" s="74"/>
      <c r="K368" s="74"/>
      <c r="L368" s="74"/>
      <c r="M368" s="74"/>
      <c r="N368" s="74"/>
      <c r="O368" s="74"/>
      <c r="P368" s="74"/>
      <c r="Q368" s="74"/>
      <c r="R368" s="74"/>
      <c r="S368" s="74"/>
      <c r="T368" s="74"/>
      <c r="U368" s="74"/>
      <c r="V368" s="74"/>
      <c r="W368" s="74"/>
      <c r="X368" s="74"/>
      <c r="Y368" s="74"/>
      <c r="Z368" s="74"/>
      <c r="AA368" s="74"/>
      <c r="AB368" s="74"/>
    </row>
    <row r="369" spans="1:28" ht="12" customHeight="1">
      <c r="A369" s="569"/>
      <c r="B369" s="574"/>
      <c r="C369" s="575"/>
      <c r="D369" s="576"/>
      <c r="E369" s="101"/>
      <c r="F369" s="101"/>
      <c r="G369" s="35"/>
      <c r="H369" s="104"/>
      <c r="I369" s="35"/>
      <c r="J369" s="74"/>
      <c r="K369" s="74"/>
      <c r="L369" s="74"/>
      <c r="M369" s="74"/>
      <c r="N369" s="74"/>
      <c r="O369" s="74"/>
      <c r="P369" s="74"/>
      <c r="Q369" s="74"/>
      <c r="R369" s="74"/>
      <c r="S369" s="74"/>
      <c r="T369" s="74"/>
      <c r="U369" s="74"/>
      <c r="V369" s="74"/>
      <c r="W369" s="74"/>
      <c r="X369" s="74"/>
      <c r="Y369" s="74"/>
      <c r="Z369" s="74"/>
      <c r="AA369" s="74"/>
      <c r="AB369" s="74"/>
    </row>
    <row r="370" spans="1:28" ht="12" customHeight="1">
      <c r="A370" s="569"/>
      <c r="B370" s="574"/>
      <c r="C370" s="575"/>
      <c r="D370" s="576"/>
      <c r="E370" s="101"/>
      <c r="F370" s="101"/>
      <c r="G370" s="35"/>
      <c r="H370" s="104"/>
      <c r="I370" s="35"/>
      <c r="J370" s="74"/>
      <c r="K370" s="74"/>
      <c r="L370" s="74"/>
      <c r="M370" s="74"/>
      <c r="N370" s="74"/>
      <c r="O370" s="74"/>
      <c r="P370" s="74"/>
      <c r="Q370" s="74"/>
      <c r="R370" s="74"/>
      <c r="S370" s="74"/>
      <c r="T370" s="74"/>
      <c r="U370" s="74"/>
      <c r="V370" s="74"/>
      <c r="W370" s="74"/>
      <c r="X370" s="74"/>
      <c r="Y370" s="74"/>
      <c r="Z370" s="74"/>
      <c r="AA370" s="74"/>
      <c r="AB370" s="74"/>
    </row>
    <row r="371" spans="1:28" ht="12" customHeight="1">
      <c r="A371" s="569"/>
      <c r="B371" s="574"/>
      <c r="C371" s="575"/>
      <c r="D371" s="576"/>
      <c r="E371" s="101"/>
      <c r="F371" s="101"/>
      <c r="G371" s="35"/>
      <c r="H371" s="104"/>
      <c r="I371" s="35"/>
      <c r="J371" s="74"/>
      <c r="K371" s="74"/>
      <c r="L371" s="74"/>
      <c r="M371" s="74"/>
      <c r="N371" s="74"/>
      <c r="O371" s="74"/>
      <c r="P371" s="74"/>
      <c r="Q371" s="74"/>
      <c r="R371" s="74"/>
      <c r="S371" s="74"/>
      <c r="T371" s="74"/>
      <c r="U371" s="74"/>
      <c r="V371" s="74"/>
      <c r="W371" s="74"/>
      <c r="X371" s="74"/>
      <c r="Y371" s="74"/>
      <c r="Z371" s="74"/>
      <c r="AA371" s="74"/>
      <c r="AB371" s="74"/>
    </row>
    <row r="372" spans="1:28" ht="12" customHeight="1">
      <c r="A372" s="569"/>
      <c r="B372" s="574"/>
      <c r="C372" s="575"/>
      <c r="D372" s="576"/>
      <c r="E372" s="101"/>
      <c r="F372" s="101"/>
      <c r="G372" s="35"/>
      <c r="H372" s="104"/>
      <c r="I372" s="35"/>
      <c r="J372" s="74"/>
      <c r="K372" s="74"/>
      <c r="L372" s="74"/>
      <c r="M372" s="74"/>
      <c r="N372" s="74"/>
      <c r="O372" s="74"/>
      <c r="P372" s="74"/>
      <c r="Q372" s="74"/>
      <c r="R372" s="74"/>
      <c r="S372" s="74"/>
      <c r="T372" s="74"/>
      <c r="U372" s="74"/>
      <c r="V372" s="74"/>
      <c r="W372" s="74"/>
      <c r="X372" s="74"/>
      <c r="Y372" s="74"/>
      <c r="Z372" s="74"/>
      <c r="AA372" s="74"/>
      <c r="AB372" s="74"/>
    </row>
    <row r="373" spans="1:28" ht="12" customHeight="1">
      <c r="A373" s="569"/>
      <c r="B373" s="574"/>
      <c r="C373" s="575"/>
      <c r="D373" s="576"/>
      <c r="E373" s="101"/>
      <c r="F373" s="101"/>
      <c r="G373" s="35"/>
      <c r="H373" s="104"/>
      <c r="I373" s="35"/>
      <c r="J373" s="74"/>
      <c r="K373" s="74"/>
      <c r="L373" s="74"/>
      <c r="M373" s="74"/>
      <c r="N373" s="74"/>
      <c r="O373" s="74"/>
      <c r="P373" s="74"/>
      <c r="Q373" s="74"/>
      <c r="R373" s="74"/>
      <c r="S373" s="74"/>
      <c r="T373" s="74"/>
      <c r="U373" s="74"/>
      <c r="V373" s="74"/>
      <c r="W373" s="74"/>
      <c r="X373" s="74"/>
      <c r="Y373" s="74"/>
      <c r="Z373" s="74"/>
      <c r="AA373" s="74"/>
      <c r="AB373" s="74"/>
    </row>
    <row r="374" spans="1:28" ht="12" customHeight="1">
      <c r="A374" s="569"/>
      <c r="B374" s="574"/>
      <c r="C374" s="575"/>
      <c r="D374" s="576"/>
      <c r="E374" s="101"/>
      <c r="F374" s="101"/>
      <c r="G374" s="35"/>
      <c r="H374" s="104"/>
      <c r="I374" s="35"/>
      <c r="J374" s="74"/>
      <c r="K374" s="74"/>
      <c r="L374" s="74"/>
      <c r="M374" s="74"/>
      <c r="N374" s="74"/>
      <c r="O374" s="74"/>
      <c r="P374" s="74"/>
      <c r="Q374" s="74"/>
      <c r="R374" s="74"/>
      <c r="S374" s="74"/>
      <c r="T374" s="74"/>
      <c r="U374" s="74"/>
      <c r="V374" s="74"/>
      <c r="W374" s="74"/>
      <c r="X374" s="74"/>
      <c r="Y374" s="74"/>
      <c r="Z374" s="74"/>
      <c r="AA374" s="74"/>
      <c r="AB374" s="74"/>
    </row>
    <row r="375" spans="1:28" ht="12" customHeight="1">
      <c r="A375" s="569"/>
      <c r="B375" s="574"/>
      <c r="C375" s="575"/>
      <c r="D375" s="576"/>
      <c r="E375" s="101"/>
      <c r="F375" s="101"/>
      <c r="G375" s="35"/>
      <c r="H375" s="104"/>
      <c r="I375" s="35"/>
      <c r="J375" s="74"/>
      <c r="K375" s="74"/>
      <c r="L375" s="74"/>
      <c r="M375" s="74"/>
      <c r="N375" s="74"/>
      <c r="O375" s="74"/>
      <c r="P375" s="74"/>
      <c r="Q375" s="74"/>
      <c r="R375" s="74"/>
      <c r="S375" s="74"/>
      <c r="T375" s="74"/>
      <c r="U375" s="74"/>
      <c r="V375" s="74"/>
      <c r="W375" s="74"/>
      <c r="X375" s="74"/>
      <c r="Y375" s="74"/>
      <c r="Z375" s="74"/>
      <c r="AA375" s="74"/>
      <c r="AB375" s="74"/>
    </row>
    <row r="376" spans="1:28" ht="12" customHeight="1">
      <c r="A376" s="569"/>
      <c r="B376" s="574"/>
      <c r="C376" s="575"/>
      <c r="D376" s="576"/>
      <c r="E376" s="101"/>
      <c r="F376" s="101"/>
      <c r="G376" s="35"/>
      <c r="H376" s="104"/>
      <c r="I376" s="35"/>
      <c r="J376" s="74"/>
      <c r="K376" s="74"/>
      <c r="L376" s="74"/>
      <c r="M376" s="74"/>
      <c r="N376" s="74"/>
      <c r="O376" s="74"/>
      <c r="P376" s="74"/>
      <c r="Q376" s="74"/>
      <c r="R376" s="74"/>
      <c r="S376" s="74"/>
      <c r="T376" s="74"/>
      <c r="U376" s="74"/>
      <c r="V376" s="74"/>
      <c r="W376" s="74"/>
      <c r="X376" s="74"/>
      <c r="Y376" s="74"/>
      <c r="Z376" s="74"/>
      <c r="AA376" s="74"/>
      <c r="AB376" s="74"/>
    </row>
    <row r="377" spans="1:28" ht="12" customHeight="1">
      <c r="A377" s="569"/>
      <c r="B377" s="574"/>
      <c r="C377" s="575"/>
      <c r="D377" s="576"/>
      <c r="E377" s="101"/>
      <c r="F377" s="101"/>
      <c r="G377" s="35"/>
      <c r="H377" s="104"/>
      <c r="I377" s="35"/>
      <c r="J377" s="74"/>
      <c r="K377" s="74"/>
      <c r="L377" s="74"/>
      <c r="M377" s="74"/>
      <c r="N377" s="74"/>
      <c r="O377" s="74"/>
      <c r="P377" s="74"/>
      <c r="Q377" s="74"/>
      <c r="R377" s="74"/>
      <c r="S377" s="74"/>
      <c r="T377" s="74"/>
      <c r="U377" s="74"/>
      <c r="V377" s="74"/>
      <c r="W377" s="74"/>
      <c r="X377" s="74"/>
      <c r="Y377" s="74"/>
      <c r="Z377" s="74"/>
      <c r="AA377" s="74"/>
      <c r="AB377" s="74"/>
    </row>
    <row r="378" spans="1:28" ht="12" customHeight="1">
      <c r="A378" s="569"/>
      <c r="B378" s="574"/>
      <c r="C378" s="575"/>
      <c r="D378" s="576"/>
      <c r="E378" s="101"/>
      <c r="F378" s="101"/>
      <c r="G378" s="35"/>
      <c r="H378" s="104"/>
      <c r="I378" s="35"/>
      <c r="J378" s="74"/>
      <c r="K378" s="74"/>
      <c r="L378" s="74"/>
      <c r="M378" s="74"/>
      <c r="N378" s="74"/>
      <c r="O378" s="74"/>
      <c r="P378" s="74"/>
      <c r="Q378" s="74"/>
      <c r="R378" s="74"/>
      <c r="S378" s="74"/>
      <c r="T378" s="74"/>
      <c r="U378" s="74"/>
      <c r="V378" s="74"/>
      <c r="W378" s="74"/>
      <c r="X378" s="74"/>
      <c r="Y378" s="74"/>
      <c r="Z378" s="74"/>
      <c r="AA378" s="74"/>
      <c r="AB378" s="74"/>
    </row>
    <row r="379" spans="1:28" ht="12" customHeight="1">
      <c r="A379" s="569"/>
      <c r="B379" s="574"/>
      <c r="C379" s="575"/>
      <c r="D379" s="576"/>
      <c r="E379" s="101"/>
      <c r="F379" s="101"/>
      <c r="G379" s="35"/>
      <c r="H379" s="104"/>
      <c r="I379" s="35"/>
      <c r="J379" s="74"/>
      <c r="K379" s="74"/>
      <c r="L379" s="74"/>
      <c r="M379" s="74"/>
      <c r="N379" s="74"/>
      <c r="O379" s="74"/>
      <c r="P379" s="74"/>
      <c r="Q379" s="74"/>
      <c r="R379" s="74"/>
      <c r="S379" s="74"/>
      <c r="T379" s="74"/>
      <c r="U379" s="74"/>
      <c r="V379" s="74"/>
      <c r="W379" s="74"/>
      <c r="X379" s="74"/>
      <c r="Y379" s="74"/>
      <c r="Z379" s="74"/>
      <c r="AA379" s="74"/>
      <c r="AB379" s="74"/>
    </row>
    <row r="380" spans="1:28" ht="12" customHeight="1">
      <c r="A380" s="569"/>
      <c r="B380" s="574"/>
      <c r="C380" s="575"/>
      <c r="D380" s="576"/>
      <c r="E380" s="101"/>
      <c r="F380" s="101"/>
      <c r="G380" s="35"/>
      <c r="H380" s="104"/>
      <c r="I380" s="35"/>
      <c r="J380" s="74"/>
      <c r="K380" s="74"/>
      <c r="L380" s="74"/>
      <c r="M380" s="74"/>
      <c r="N380" s="74"/>
      <c r="O380" s="74"/>
      <c r="P380" s="74"/>
      <c r="Q380" s="74"/>
      <c r="R380" s="74"/>
      <c r="S380" s="74"/>
      <c r="T380" s="74"/>
      <c r="U380" s="74"/>
      <c r="V380" s="74"/>
      <c r="W380" s="74"/>
      <c r="X380" s="74"/>
      <c r="Y380" s="74"/>
      <c r="Z380" s="74"/>
      <c r="AA380" s="74"/>
      <c r="AB380" s="74"/>
    </row>
    <row r="381" spans="1:28" ht="12" customHeight="1">
      <c r="A381" s="569"/>
      <c r="B381" s="574"/>
      <c r="C381" s="575"/>
      <c r="D381" s="576"/>
      <c r="E381" s="101"/>
      <c r="F381" s="101"/>
      <c r="G381" s="35"/>
      <c r="H381" s="104"/>
      <c r="I381" s="35"/>
      <c r="J381" s="74"/>
      <c r="K381" s="74"/>
      <c r="L381" s="74"/>
      <c r="M381" s="74"/>
      <c r="N381" s="74"/>
      <c r="O381" s="74"/>
      <c r="P381" s="74"/>
      <c r="Q381" s="74"/>
      <c r="R381" s="74"/>
      <c r="S381" s="74"/>
      <c r="T381" s="74"/>
      <c r="U381" s="74"/>
      <c r="V381" s="74"/>
      <c r="W381" s="74"/>
      <c r="X381" s="74"/>
      <c r="Y381" s="74"/>
      <c r="Z381" s="74"/>
      <c r="AA381" s="74"/>
      <c r="AB381" s="74"/>
    </row>
    <row r="382" spans="1:28" ht="12" customHeight="1">
      <c r="A382" s="569"/>
      <c r="B382" s="574"/>
      <c r="C382" s="575"/>
      <c r="D382" s="576"/>
      <c r="E382" s="101"/>
      <c r="F382" s="101"/>
      <c r="G382" s="35"/>
      <c r="H382" s="104"/>
      <c r="I382" s="35"/>
      <c r="J382" s="74"/>
      <c r="K382" s="74"/>
      <c r="L382" s="74"/>
      <c r="M382" s="74"/>
      <c r="N382" s="74"/>
      <c r="O382" s="74"/>
      <c r="P382" s="74"/>
      <c r="Q382" s="74"/>
      <c r="R382" s="74"/>
      <c r="S382" s="74"/>
      <c r="T382" s="74"/>
      <c r="U382" s="74"/>
      <c r="V382" s="74"/>
      <c r="W382" s="74"/>
      <c r="X382" s="74"/>
      <c r="Y382" s="74"/>
      <c r="Z382" s="74"/>
      <c r="AA382" s="74"/>
      <c r="AB382" s="74"/>
    </row>
    <row r="383" spans="1:28" ht="12" customHeight="1">
      <c r="A383" s="569"/>
      <c r="B383" s="574"/>
      <c r="C383" s="575"/>
      <c r="D383" s="576"/>
      <c r="E383" s="101"/>
      <c r="F383" s="101"/>
      <c r="G383" s="35"/>
      <c r="H383" s="104"/>
      <c r="I383" s="35"/>
      <c r="J383" s="74"/>
      <c r="K383" s="74"/>
      <c r="L383" s="74"/>
      <c r="M383" s="74"/>
      <c r="N383" s="74"/>
      <c r="O383" s="74"/>
      <c r="P383" s="74"/>
      <c r="Q383" s="74"/>
      <c r="R383" s="74"/>
      <c r="S383" s="74"/>
      <c r="T383" s="74"/>
      <c r="U383" s="74"/>
      <c r="V383" s="74"/>
      <c r="W383" s="74"/>
      <c r="X383" s="74"/>
      <c r="Y383" s="74"/>
      <c r="Z383" s="74"/>
      <c r="AA383" s="74"/>
      <c r="AB383" s="74"/>
    </row>
    <row r="384" spans="1:28" ht="12" customHeight="1">
      <c r="A384" s="569"/>
      <c r="B384" s="574"/>
      <c r="C384" s="575"/>
      <c r="D384" s="576"/>
      <c r="E384" s="101"/>
      <c r="F384" s="101"/>
      <c r="G384" s="35"/>
      <c r="H384" s="104"/>
      <c r="I384" s="35"/>
      <c r="J384" s="74"/>
      <c r="K384" s="74"/>
      <c r="L384" s="74"/>
      <c r="M384" s="74"/>
      <c r="N384" s="74"/>
      <c r="O384" s="74"/>
      <c r="P384" s="74"/>
      <c r="Q384" s="74"/>
      <c r="R384" s="74"/>
      <c r="S384" s="74"/>
      <c r="T384" s="74"/>
      <c r="U384" s="74"/>
      <c r="V384" s="74"/>
      <c r="W384" s="74"/>
      <c r="X384" s="74"/>
      <c r="Y384" s="74"/>
      <c r="Z384" s="74"/>
      <c r="AA384" s="74"/>
      <c r="AB384" s="74"/>
    </row>
    <row r="385" spans="1:28" ht="12" customHeight="1">
      <c r="A385" s="569"/>
      <c r="B385" s="574"/>
      <c r="C385" s="575"/>
      <c r="D385" s="576"/>
      <c r="E385" s="101"/>
      <c r="F385" s="101"/>
      <c r="G385" s="35"/>
      <c r="H385" s="104"/>
      <c r="I385" s="35"/>
      <c r="J385" s="74"/>
      <c r="K385" s="74"/>
      <c r="L385" s="74"/>
      <c r="M385" s="74"/>
      <c r="N385" s="74"/>
      <c r="O385" s="74"/>
      <c r="P385" s="74"/>
      <c r="Q385" s="74"/>
      <c r="R385" s="74"/>
      <c r="S385" s="74"/>
      <c r="T385" s="74"/>
      <c r="U385" s="74"/>
      <c r="V385" s="74"/>
      <c r="W385" s="74"/>
      <c r="X385" s="74"/>
      <c r="Y385" s="74"/>
      <c r="Z385" s="74"/>
      <c r="AA385" s="74"/>
      <c r="AB385" s="74"/>
    </row>
    <row r="386" spans="1:28" ht="12" customHeight="1">
      <c r="A386" s="569"/>
      <c r="B386" s="574"/>
      <c r="C386" s="575"/>
      <c r="D386" s="576"/>
      <c r="E386" s="101"/>
      <c r="F386" s="101"/>
      <c r="G386" s="35"/>
      <c r="H386" s="104"/>
      <c r="I386" s="35"/>
      <c r="J386" s="74"/>
      <c r="K386" s="74"/>
      <c r="L386" s="74"/>
      <c r="M386" s="74"/>
      <c r="N386" s="74"/>
      <c r="O386" s="74"/>
      <c r="P386" s="74"/>
      <c r="Q386" s="74"/>
      <c r="R386" s="74"/>
      <c r="S386" s="74"/>
      <c r="T386" s="74"/>
      <c r="U386" s="74"/>
      <c r="V386" s="74"/>
      <c r="W386" s="74"/>
      <c r="X386" s="74"/>
      <c r="Y386" s="74"/>
      <c r="Z386" s="74"/>
      <c r="AA386" s="74"/>
      <c r="AB386" s="74"/>
    </row>
    <row r="387" spans="1:28" ht="12" customHeight="1">
      <c r="A387" s="569"/>
      <c r="B387" s="574"/>
      <c r="C387" s="575"/>
      <c r="D387" s="576"/>
      <c r="E387" s="101"/>
      <c r="F387" s="101"/>
      <c r="G387" s="35"/>
      <c r="H387" s="104"/>
      <c r="I387" s="35"/>
      <c r="J387" s="74"/>
      <c r="K387" s="74"/>
      <c r="L387" s="74"/>
      <c r="M387" s="74"/>
      <c r="N387" s="74"/>
      <c r="O387" s="74"/>
      <c r="P387" s="74"/>
      <c r="Q387" s="74"/>
      <c r="R387" s="74"/>
      <c r="S387" s="74"/>
      <c r="T387" s="74"/>
      <c r="U387" s="74"/>
      <c r="V387" s="74"/>
      <c r="W387" s="74"/>
      <c r="X387" s="74"/>
      <c r="Y387" s="74"/>
      <c r="Z387" s="74"/>
      <c r="AA387" s="74"/>
      <c r="AB387" s="74"/>
    </row>
    <row r="388" spans="1:28" ht="12" customHeight="1">
      <c r="A388" s="569"/>
      <c r="B388" s="574"/>
      <c r="C388" s="575"/>
      <c r="D388" s="576"/>
      <c r="E388" s="101"/>
      <c r="F388" s="101"/>
      <c r="G388" s="35"/>
      <c r="H388" s="104"/>
      <c r="I388" s="35"/>
      <c r="J388" s="74"/>
      <c r="K388" s="74"/>
      <c r="L388" s="74"/>
      <c r="M388" s="74"/>
      <c r="N388" s="74"/>
      <c r="O388" s="74"/>
      <c r="P388" s="74"/>
      <c r="Q388" s="74"/>
      <c r="R388" s="74"/>
      <c r="S388" s="74"/>
      <c r="T388" s="74"/>
      <c r="U388" s="74"/>
      <c r="V388" s="74"/>
      <c r="W388" s="74"/>
      <c r="X388" s="74"/>
      <c r="Y388" s="74"/>
      <c r="Z388" s="74"/>
      <c r="AA388" s="74"/>
      <c r="AB388" s="74"/>
    </row>
    <row r="389" spans="1:28" ht="12" customHeight="1">
      <c r="A389" s="569"/>
      <c r="B389" s="574"/>
      <c r="C389" s="575"/>
      <c r="D389" s="576"/>
      <c r="E389" s="101"/>
      <c r="F389" s="101"/>
      <c r="G389" s="35"/>
      <c r="H389" s="104"/>
      <c r="I389" s="35"/>
      <c r="J389" s="74"/>
      <c r="K389" s="74"/>
      <c r="L389" s="74"/>
      <c r="M389" s="74"/>
      <c r="N389" s="74"/>
      <c r="O389" s="74"/>
      <c r="P389" s="74"/>
      <c r="Q389" s="74"/>
      <c r="R389" s="74"/>
      <c r="S389" s="74"/>
      <c r="T389" s="74"/>
      <c r="U389" s="74"/>
      <c r="V389" s="74"/>
      <c r="W389" s="74"/>
      <c r="X389" s="74"/>
      <c r="Y389" s="74"/>
      <c r="Z389" s="74"/>
      <c r="AA389" s="74"/>
      <c r="AB389" s="74"/>
    </row>
    <row r="390" spans="1:28" ht="12" customHeight="1">
      <c r="A390" s="569"/>
      <c r="B390" s="574"/>
      <c r="C390" s="575"/>
      <c r="D390" s="576"/>
      <c r="E390" s="101"/>
      <c r="F390" s="101"/>
      <c r="G390" s="35"/>
      <c r="H390" s="104"/>
      <c r="I390" s="35"/>
      <c r="J390" s="74"/>
      <c r="K390" s="74"/>
      <c r="L390" s="74"/>
      <c r="M390" s="74"/>
      <c r="N390" s="74"/>
      <c r="O390" s="74"/>
      <c r="P390" s="74"/>
      <c r="Q390" s="74"/>
      <c r="R390" s="74"/>
      <c r="S390" s="74"/>
      <c r="T390" s="74"/>
      <c r="U390" s="74"/>
      <c r="V390" s="74"/>
      <c r="W390" s="74"/>
      <c r="X390" s="74"/>
      <c r="Y390" s="74"/>
      <c r="Z390" s="74"/>
      <c r="AA390" s="74"/>
      <c r="AB390" s="74"/>
    </row>
    <row r="391" spans="1:28" ht="12" customHeight="1">
      <c r="A391" s="569"/>
      <c r="B391" s="574"/>
      <c r="C391" s="575"/>
      <c r="D391" s="576"/>
      <c r="E391" s="101"/>
      <c r="F391" s="101"/>
      <c r="G391" s="35"/>
      <c r="H391" s="104"/>
      <c r="I391" s="35"/>
      <c r="J391" s="74"/>
      <c r="K391" s="74"/>
      <c r="L391" s="74"/>
      <c r="M391" s="74"/>
      <c r="N391" s="74"/>
      <c r="O391" s="74"/>
      <c r="P391" s="74"/>
      <c r="Q391" s="74"/>
      <c r="R391" s="74"/>
      <c r="S391" s="74"/>
      <c r="T391" s="74"/>
      <c r="U391" s="74"/>
      <c r="V391" s="74"/>
      <c r="W391" s="74"/>
      <c r="X391" s="74"/>
      <c r="Y391" s="74"/>
      <c r="Z391" s="74"/>
      <c r="AA391" s="74"/>
      <c r="AB391" s="74"/>
    </row>
    <row r="392" spans="1:28" ht="12" customHeight="1">
      <c r="A392" s="569"/>
      <c r="B392" s="574"/>
      <c r="C392" s="575"/>
      <c r="D392" s="576"/>
      <c r="E392" s="101"/>
      <c r="F392" s="101"/>
      <c r="G392" s="35"/>
      <c r="H392" s="104"/>
      <c r="I392" s="35"/>
      <c r="J392" s="74"/>
      <c r="K392" s="74"/>
      <c r="L392" s="74"/>
      <c r="M392" s="74"/>
      <c r="N392" s="74"/>
      <c r="O392" s="74"/>
      <c r="P392" s="74"/>
      <c r="Q392" s="74"/>
      <c r="R392" s="74"/>
      <c r="S392" s="74"/>
      <c r="T392" s="74"/>
      <c r="U392" s="74"/>
      <c r="V392" s="74"/>
      <c r="W392" s="74"/>
      <c r="X392" s="74"/>
      <c r="Y392" s="74"/>
      <c r="Z392" s="74"/>
      <c r="AA392" s="74"/>
      <c r="AB392" s="74"/>
    </row>
    <row r="393" spans="1:28" ht="12" customHeight="1">
      <c r="A393" s="569"/>
      <c r="B393" s="574"/>
      <c r="C393" s="575"/>
      <c r="D393" s="576"/>
      <c r="E393" s="101"/>
      <c r="F393" s="101"/>
      <c r="G393" s="35"/>
      <c r="H393" s="104"/>
      <c r="I393" s="35"/>
      <c r="J393" s="74"/>
      <c r="K393" s="74"/>
      <c r="L393" s="74"/>
      <c r="M393" s="74"/>
      <c r="N393" s="74"/>
      <c r="O393" s="74"/>
      <c r="P393" s="74"/>
      <c r="Q393" s="74"/>
      <c r="R393" s="74"/>
      <c r="S393" s="74"/>
      <c r="T393" s="74"/>
      <c r="U393" s="74"/>
      <c r="V393" s="74"/>
      <c r="W393" s="74"/>
      <c r="X393" s="74"/>
      <c r="Y393" s="74"/>
      <c r="Z393" s="74"/>
      <c r="AA393" s="74"/>
      <c r="AB393" s="74"/>
    </row>
    <row r="394" spans="1:28" ht="12" customHeight="1">
      <c r="A394" s="569"/>
      <c r="B394" s="574"/>
      <c r="C394" s="575"/>
      <c r="D394" s="576"/>
      <c r="E394" s="101"/>
      <c r="F394" s="101"/>
      <c r="G394" s="35"/>
      <c r="H394" s="104"/>
      <c r="I394" s="35"/>
      <c r="J394" s="74"/>
      <c r="K394" s="74"/>
      <c r="L394" s="74"/>
      <c r="M394" s="74"/>
      <c r="N394" s="74"/>
      <c r="O394" s="74"/>
      <c r="P394" s="74"/>
      <c r="Q394" s="74"/>
      <c r="R394" s="74"/>
      <c r="S394" s="74"/>
      <c r="T394" s="74"/>
      <c r="U394" s="74"/>
      <c r="V394" s="74"/>
      <c r="W394" s="74"/>
      <c r="X394" s="74"/>
      <c r="Y394" s="74"/>
      <c r="Z394" s="74"/>
      <c r="AA394" s="74"/>
      <c r="AB394" s="74"/>
    </row>
    <row r="395" spans="1:28" ht="12" customHeight="1">
      <c r="A395" s="569"/>
      <c r="B395" s="574"/>
      <c r="C395" s="575"/>
      <c r="D395" s="576"/>
      <c r="E395" s="101"/>
      <c r="F395" s="101"/>
      <c r="G395" s="35"/>
      <c r="H395" s="104"/>
      <c r="I395" s="35"/>
      <c r="J395" s="74"/>
      <c r="K395" s="74"/>
      <c r="L395" s="74"/>
      <c r="M395" s="74"/>
      <c r="N395" s="74"/>
      <c r="O395" s="74"/>
      <c r="P395" s="74"/>
      <c r="Q395" s="74"/>
      <c r="R395" s="74"/>
      <c r="S395" s="74"/>
      <c r="T395" s="74"/>
      <c r="U395" s="74"/>
      <c r="V395" s="74"/>
      <c r="W395" s="74"/>
      <c r="X395" s="74"/>
      <c r="Y395" s="74"/>
      <c r="Z395" s="74"/>
      <c r="AA395" s="74"/>
      <c r="AB395" s="74"/>
    </row>
    <row r="396" spans="1:28" ht="12" customHeight="1">
      <c r="A396" s="569"/>
      <c r="B396" s="574"/>
      <c r="C396" s="575"/>
      <c r="D396" s="576"/>
      <c r="E396" s="101"/>
      <c r="F396" s="101"/>
      <c r="G396" s="35"/>
      <c r="H396" s="104"/>
      <c r="I396" s="35"/>
      <c r="J396" s="74"/>
      <c r="K396" s="74"/>
      <c r="L396" s="74"/>
      <c r="M396" s="74"/>
      <c r="N396" s="74"/>
      <c r="O396" s="74"/>
      <c r="P396" s="74"/>
      <c r="Q396" s="74"/>
      <c r="R396" s="74"/>
      <c r="S396" s="74"/>
      <c r="T396" s="74"/>
      <c r="U396" s="74"/>
      <c r="V396" s="74"/>
      <c r="W396" s="74"/>
      <c r="X396" s="74"/>
      <c r="Y396" s="74"/>
      <c r="Z396" s="74"/>
      <c r="AA396" s="74"/>
      <c r="AB396" s="74"/>
    </row>
    <row r="397" spans="1:28" ht="12" customHeight="1">
      <c r="A397" s="569"/>
      <c r="B397" s="574"/>
      <c r="C397" s="575"/>
      <c r="D397" s="576"/>
      <c r="E397" s="101"/>
      <c r="F397" s="101"/>
      <c r="G397" s="35"/>
      <c r="H397" s="104"/>
      <c r="I397" s="35"/>
      <c r="J397" s="74"/>
      <c r="K397" s="74"/>
      <c r="L397" s="74"/>
      <c r="M397" s="74"/>
      <c r="N397" s="74"/>
      <c r="O397" s="74"/>
      <c r="P397" s="74"/>
      <c r="Q397" s="74"/>
      <c r="R397" s="74"/>
      <c r="S397" s="74"/>
      <c r="T397" s="74"/>
      <c r="U397" s="74"/>
      <c r="V397" s="74"/>
      <c r="W397" s="74"/>
      <c r="X397" s="74"/>
      <c r="Y397" s="74"/>
      <c r="Z397" s="74"/>
      <c r="AA397" s="74"/>
      <c r="AB397" s="74"/>
    </row>
    <row r="398" spans="1:28" ht="12" customHeight="1">
      <c r="A398" s="569"/>
      <c r="B398" s="574"/>
      <c r="C398" s="575"/>
      <c r="D398" s="576"/>
      <c r="E398" s="101"/>
      <c r="F398" s="101"/>
      <c r="G398" s="35"/>
      <c r="H398" s="104"/>
      <c r="I398" s="35"/>
      <c r="J398" s="74"/>
      <c r="K398" s="74"/>
      <c r="L398" s="74"/>
      <c r="M398" s="74"/>
      <c r="N398" s="74"/>
      <c r="O398" s="74"/>
      <c r="P398" s="74"/>
      <c r="Q398" s="74"/>
      <c r="R398" s="74"/>
      <c r="S398" s="74"/>
      <c r="T398" s="74"/>
      <c r="U398" s="74"/>
      <c r="V398" s="74"/>
      <c r="W398" s="74"/>
      <c r="X398" s="74"/>
      <c r="Y398" s="74"/>
      <c r="Z398" s="74"/>
      <c r="AA398" s="74"/>
      <c r="AB398" s="74"/>
    </row>
    <row r="399" spans="1:28" ht="12" customHeight="1">
      <c r="A399" s="569"/>
      <c r="B399" s="574"/>
      <c r="C399" s="575"/>
      <c r="D399" s="576"/>
      <c r="E399" s="101"/>
      <c r="F399" s="101"/>
      <c r="G399" s="35"/>
      <c r="H399" s="104"/>
      <c r="I399" s="35"/>
      <c r="J399" s="74"/>
      <c r="K399" s="74"/>
      <c r="L399" s="74"/>
      <c r="M399" s="74"/>
      <c r="N399" s="74"/>
      <c r="O399" s="74"/>
      <c r="P399" s="74"/>
      <c r="Q399" s="74"/>
      <c r="R399" s="74"/>
      <c r="S399" s="74"/>
      <c r="T399" s="74"/>
      <c r="U399" s="74"/>
      <c r="V399" s="74"/>
      <c r="W399" s="74"/>
      <c r="X399" s="74"/>
      <c r="Y399" s="74"/>
      <c r="Z399" s="74"/>
      <c r="AA399" s="74"/>
      <c r="AB399" s="74"/>
    </row>
    <row r="400" spans="1:28" ht="12" customHeight="1">
      <c r="A400" s="569"/>
      <c r="B400" s="574"/>
      <c r="C400" s="575"/>
      <c r="D400" s="576"/>
      <c r="E400" s="101"/>
      <c r="F400" s="101"/>
      <c r="G400" s="35"/>
      <c r="H400" s="104"/>
      <c r="I400" s="35"/>
      <c r="J400" s="74"/>
      <c r="K400" s="74"/>
      <c r="L400" s="74"/>
      <c r="M400" s="74"/>
      <c r="N400" s="74"/>
      <c r="O400" s="74"/>
      <c r="P400" s="74"/>
      <c r="Q400" s="74"/>
      <c r="R400" s="74"/>
      <c r="S400" s="74"/>
      <c r="T400" s="74"/>
      <c r="U400" s="74"/>
      <c r="V400" s="74"/>
      <c r="W400" s="74"/>
      <c r="X400" s="74"/>
      <c r="Y400" s="74"/>
      <c r="Z400" s="74"/>
      <c r="AA400" s="74"/>
      <c r="AB400" s="74"/>
    </row>
    <row r="401" spans="1:28" ht="12" customHeight="1">
      <c r="A401" s="569"/>
      <c r="B401" s="574"/>
      <c r="C401" s="575"/>
      <c r="D401" s="576"/>
      <c r="E401" s="101"/>
      <c r="F401" s="101"/>
      <c r="G401" s="35"/>
      <c r="H401" s="104"/>
      <c r="I401" s="35"/>
      <c r="J401" s="74"/>
      <c r="K401" s="74"/>
      <c r="L401" s="74"/>
      <c r="M401" s="74"/>
      <c r="N401" s="74"/>
      <c r="O401" s="74"/>
      <c r="P401" s="74"/>
      <c r="Q401" s="74"/>
      <c r="R401" s="74"/>
      <c r="S401" s="74"/>
      <c r="T401" s="74"/>
      <c r="U401" s="74"/>
      <c r="V401" s="74"/>
      <c r="W401" s="74"/>
      <c r="X401" s="74"/>
      <c r="Y401" s="74"/>
      <c r="Z401" s="74"/>
      <c r="AA401" s="74"/>
      <c r="AB401" s="74"/>
    </row>
    <row r="402" spans="1:28" ht="12" customHeight="1">
      <c r="A402" s="569"/>
      <c r="B402" s="574"/>
      <c r="C402" s="575"/>
      <c r="D402" s="576"/>
      <c r="E402" s="101"/>
      <c r="F402" s="101"/>
      <c r="G402" s="35"/>
      <c r="H402" s="104"/>
      <c r="I402" s="35"/>
      <c r="J402" s="74"/>
      <c r="K402" s="74"/>
      <c r="L402" s="74"/>
      <c r="M402" s="74"/>
      <c r="N402" s="74"/>
      <c r="O402" s="74"/>
      <c r="P402" s="74"/>
      <c r="Q402" s="74"/>
      <c r="R402" s="74"/>
      <c r="S402" s="74"/>
      <c r="T402" s="74"/>
      <c r="U402" s="74"/>
      <c r="V402" s="74"/>
      <c r="W402" s="74"/>
      <c r="X402" s="74"/>
      <c r="Y402" s="74"/>
      <c r="Z402" s="74"/>
      <c r="AA402" s="74"/>
      <c r="AB402" s="74"/>
    </row>
    <row r="403" spans="1:28" ht="12" customHeight="1">
      <c r="A403" s="569"/>
      <c r="B403" s="574"/>
      <c r="C403" s="575"/>
      <c r="D403" s="576"/>
      <c r="E403" s="101"/>
      <c r="F403" s="101"/>
      <c r="G403" s="35"/>
      <c r="H403" s="104"/>
      <c r="I403" s="35"/>
      <c r="J403" s="74"/>
      <c r="K403" s="74"/>
      <c r="L403" s="74"/>
      <c r="M403" s="74"/>
      <c r="N403" s="74"/>
      <c r="O403" s="74"/>
      <c r="P403" s="74"/>
      <c r="Q403" s="74"/>
      <c r="R403" s="74"/>
      <c r="S403" s="74"/>
      <c r="T403" s="74"/>
      <c r="U403" s="74"/>
      <c r="V403" s="74"/>
      <c r="W403" s="74"/>
      <c r="X403" s="74"/>
      <c r="Y403" s="74"/>
      <c r="Z403" s="74"/>
      <c r="AA403" s="74"/>
      <c r="AB403" s="74"/>
    </row>
    <row r="404" spans="1:28" ht="12" customHeight="1">
      <c r="A404" s="569"/>
      <c r="B404" s="574"/>
      <c r="C404" s="575"/>
      <c r="D404" s="576"/>
      <c r="E404" s="101"/>
      <c r="F404" s="101"/>
      <c r="G404" s="35"/>
      <c r="H404" s="104"/>
      <c r="I404" s="35"/>
      <c r="J404" s="74"/>
      <c r="K404" s="74"/>
      <c r="L404" s="74"/>
      <c r="M404" s="74"/>
      <c r="N404" s="74"/>
      <c r="O404" s="74"/>
      <c r="P404" s="74"/>
      <c r="Q404" s="74"/>
      <c r="R404" s="74"/>
      <c r="S404" s="74"/>
      <c r="T404" s="74"/>
      <c r="U404" s="74"/>
      <c r="V404" s="74"/>
      <c r="W404" s="74"/>
      <c r="X404" s="74"/>
      <c r="Y404" s="74"/>
      <c r="Z404" s="74"/>
      <c r="AA404" s="74"/>
      <c r="AB404" s="74"/>
    </row>
    <row r="405" spans="1:28" ht="12" customHeight="1">
      <c r="A405" s="569"/>
      <c r="B405" s="574"/>
      <c r="C405" s="575"/>
      <c r="D405" s="576"/>
      <c r="E405" s="101"/>
      <c r="F405" s="101"/>
      <c r="G405" s="35"/>
      <c r="H405" s="104"/>
      <c r="I405" s="35"/>
      <c r="J405" s="74"/>
      <c r="K405" s="74"/>
      <c r="L405" s="74"/>
      <c r="M405" s="74"/>
      <c r="N405" s="74"/>
      <c r="O405" s="74"/>
      <c r="P405" s="74"/>
      <c r="Q405" s="74"/>
      <c r="R405" s="74"/>
      <c r="S405" s="74"/>
      <c r="T405" s="74"/>
      <c r="U405" s="74"/>
      <c r="V405" s="74"/>
      <c r="W405" s="74"/>
      <c r="X405" s="74"/>
      <c r="Y405" s="74"/>
      <c r="Z405" s="74"/>
      <c r="AA405" s="74"/>
      <c r="AB405" s="74"/>
    </row>
    <row r="406" spans="1:28" ht="12" customHeight="1">
      <c r="A406" s="569"/>
      <c r="B406" s="574"/>
      <c r="C406" s="575"/>
      <c r="D406" s="576"/>
      <c r="E406" s="101"/>
      <c r="F406" s="101"/>
      <c r="G406" s="35"/>
      <c r="H406" s="104"/>
      <c r="I406" s="35"/>
      <c r="J406" s="74"/>
      <c r="K406" s="74"/>
      <c r="L406" s="74"/>
      <c r="M406" s="74"/>
      <c r="N406" s="74"/>
      <c r="O406" s="74"/>
      <c r="P406" s="74"/>
      <c r="Q406" s="74"/>
      <c r="R406" s="74"/>
      <c r="S406" s="74"/>
      <c r="T406" s="74"/>
      <c r="U406" s="74"/>
      <c r="V406" s="74"/>
      <c r="W406" s="74"/>
      <c r="X406" s="74"/>
      <c r="Y406" s="74"/>
      <c r="Z406" s="74"/>
      <c r="AA406" s="74"/>
      <c r="AB406" s="74"/>
    </row>
    <row r="407" spans="1:28" ht="12" customHeight="1">
      <c r="A407" s="569"/>
      <c r="B407" s="574"/>
      <c r="C407" s="575"/>
      <c r="D407" s="576"/>
      <c r="E407" s="101"/>
      <c r="F407" s="101"/>
      <c r="G407" s="35"/>
      <c r="H407" s="104"/>
      <c r="I407" s="35"/>
      <c r="J407" s="74"/>
      <c r="K407" s="74"/>
      <c r="L407" s="74"/>
      <c r="M407" s="74"/>
      <c r="N407" s="74"/>
      <c r="O407" s="74"/>
      <c r="P407" s="74"/>
      <c r="Q407" s="74"/>
      <c r="R407" s="74"/>
      <c r="S407" s="74"/>
      <c r="T407" s="74"/>
      <c r="U407" s="74"/>
      <c r="V407" s="74"/>
      <c r="W407" s="74"/>
      <c r="X407" s="74"/>
      <c r="Y407" s="74"/>
      <c r="Z407" s="74"/>
      <c r="AA407" s="74"/>
      <c r="AB407" s="74"/>
    </row>
    <row r="408" spans="1:28" ht="12" customHeight="1">
      <c r="A408" s="569"/>
      <c r="B408" s="574"/>
      <c r="C408" s="575"/>
      <c r="D408" s="576"/>
      <c r="E408" s="101"/>
      <c r="F408" s="101"/>
      <c r="G408" s="35"/>
      <c r="H408" s="104"/>
      <c r="I408" s="35"/>
      <c r="J408" s="74"/>
      <c r="K408" s="74"/>
      <c r="L408" s="74"/>
      <c r="M408" s="74"/>
      <c r="N408" s="74"/>
      <c r="O408" s="74"/>
      <c r="P408" s="74"/>
      <c r="Q408" s="74"/>
      <c r="R408" s="74"/>
      <c r="S408" s="74"/>
      <c r="T408" s="74"/>
      <c r="U408" s="74"/>
      <c r="V408" s="74"/>
      <c r="W408" s="74"/>
      <c r="X408" s="74"/>
      <c r="Y408" s="74"/>
      <c r="Z408" s="74"/>
      <c r="AA408" s="74"/>
      <c r="AB408" s="74"/>
    </row>
    <row r="409" spans="1:28" ht="12" customHeight="1">
      <c r="A409" s="569"/>
      <c r="B409" s="574"/>
      <c r="C409" s="575"/>
      <c r="D409" s="576"/>
      <c r="E409" s="101"/>
      <c r="F409" s="101"/>
      <c r="G409" s="35"/>
      <c r="H409" s="104"/>
      <c r="I409" s="35"/>
      <c r="J409" s="74"/>
      <c r="K409" s="74"/>
      <c r="L409" s="74"/>
      <c r="M409" s="74"/>
      <c r="N409" s="74"/>
      <c r="O409" s="74"/>
      <c r="P409" s="74"/>
      <c r="Q409" s="74"/>
      <c r="R409" s="74"/>
      <c r="S409" s="74"/>
      <c r="T409" s="74"/>
      <c r="U409" s="74"/>
      <c r="V409" s="74"/>
      <c r="W409" s="74"/>
      <c r="X409" s="74"/>
      <c r="Y409" s="74"/>
      <c r="Z409" s="74"/>
      <c r="AA409" s="74"/>
      <c r="AB409" s="74"/>
    </row>
    <row r="410" spans="1:28" ht="12" customHeight="1">
      <c r="A410" s="569"/>
      <c r="B410" s="574"/>
      <c r="C410" s="575"/>
      <c r="D410" s="576"/>
      <c r="E410" s="101"/>
      <c r="F410" s="101"/>
      <c r="G410" s="35"/>
      <c r="H410" s="104"/>
      <c r="I410" s="35"/>
      <c r="J410" s="74"/>
      <c r="K410" s="74"/>
      <c r="L410" s="74"/>
      <c r="M410" s="74"/>
      <c r="N410" s="74"/>
      <c r="O410" s="74"/>
      <c r="P410" s="74"/>
      <c r="Q410" s="74"/>
      <c r="R410" s="74"/>
      <c r="S410" s="74"/>
      <c r="T410" s="74"/>
      <c r="U410" s="74"/>
      <c r="V410" s="74"/>
      <c r="W410" s="74"/>
      <c r="X410" s="74"/>
      <c r="Y410" s="74"/>
      <c r="Z410" s="74"/>
      <c r="AA410" s="74"/>
      <c r="AB410" s="74"/>
    </row>
    <row r="411" spans="1:28" ht="12" customHeight="1">
      <c r="A411" s="569"/>
      <c r="B411" s="574"/>
      <c r="C411" s="575"/>
      <c r="D411" s="576"/>
      <c r="E411" s="101"/>
      <c r="F411" s="101"/>
      <c r="G411" s="35"/>
      <c r="H411" s="104"/>
      <c r="I411" s="35"/>
      <c r="J411" s="74"/>
      <c r="K411" s="74"/>
      <c r="L411" s="74"/>
      <c r="M411" s="74"/>
      <c r="N411" s="74"/>
      <c r="O411" s="74"/>
      <c r="P411" s="74"/>
      <c r="Q411" s="74"/>
      <c r="R411" s="74"/>
      <c r="S411" s="74"/>
      <c r="T411" s="74"/>
      <c r="U411" s="74"/>
      <c r="V411" s="74"/>
      <c r="W411" s="74"/>
      <c r="X411" s="74"/>
      <c r="Y411" s="74"/>
      <c r="Z411" s="74"/>
      <c r="AA411" s="74"/>
      <c r="AB411" s="74"/>
    </row>
    <row r="412" spans="1:28" ht="12" customHeight="1">
      <c r="A412" s="569"/>
      <c r="B412" s="574"/>
      <c r="C412" s="575"/>
      <c r="D412" s="576"/>
      <c r="E412" s="101"/>
      <c r="F412" s="101"/>
      <c r="G412" s="35"/>
      <c r="H412" s="104"/>
      <c r="I412" s="35"/>
      <c r="J412" s="74"/>
      <c r="K412" s="74"/>
      <c r="L412" s="74"/>
      <c r="M412" s="74"/>
      <c r="N412" s="74"/>
      <c r="O412" s="74"/>
      <c r="P412" s="74"/>
      <c r="Q412" s="74"/>
      <c r="R412" s="74"/>
      <c r="S412" s="74"/>
      <c r="T412" s="74"/>
      <c r="U412" s="74"/>
      <c r="V412" s="74"/>
      <c r="W412" s="74"/>
      <c r="X412" s="74"/>
      <c r="Y412" s="74"/>
      <c r="Z412" s="74"/>
      <c r="AA412" s="74"/>
      <c r="AB412" s="74"/>
    </row>
    <row r="413" spans="1:28" ht="12" customHeight="1">
      <c r="A413" s="569"/>
      <c r="B413" s="574"/>
      <c r="C413" s="575"/>
      <c r="D413" s="576"/>
      <c r="E413" s="101"/>
      <c r="F413" s="101"/>
      <c r="G413" s="35"/>
      <c r="H413" s="104"/>
      <c r="I413" s="35"/>
      <c r="J413" s="74"/>
      <c r="K413" s="74"/>
      <c r="L413" s="74"/>
      <c r="M413" s="74"/>
      <c r="N413" s="74"/>
      <c r="O413" s="74"/>
      <c r="P413" s="74"/>
      <c r="Q413" s="74"/>
      <c r="R413" s="74"/>
      <c r="S413" s="74"/>
      <c r="T413" s="74"/>
      <c r="U413" s="74"/>
      <c r="V413" s="74"/>
      <c r="W413" s="74"/>
      <c r="X413" s="74"/>
      <c r="Y413" s="74"/>
      <c r="Z413" s="74"/>
      <c r="AA413" s="74"/>
      <c r="AB413" s="74"/>
    </row>
    <row r="414" spans="1:28" ht="12" customHeight="1">
      <c r="A414" s="569"/>
      <c r="B414" s="574"/>
      <c r="C414" s="575"/>
      <c r="D414" s="576"/>
      <c r="E414" s="101"/>
      <c r="F414" s="101"/>
      <c r="G414" s="35"/>
      <c r="H414" s="104"/>
      <c r="I414" s="35"/>
      <c r="J414" s="74"/>
      <c r="K414" s="74"/>
      <c r="L414" s="74"/>
      <c r="M414" s="74"/>
      <c r="N414" s="74"/>
      <c r="O414" s="74"/>
      <c r="P414" s="74"/>
      <c r="Q414" s="74"/>
      <c r="R414" s="74"/>
      <c r="S414" s="74"/>
      <c r="T414" s="74"/>
      <c r="U414" s="74"/>
      <c r="V414" s="74"/>
      <c r="W414" s="74"/>
      <c r="X414" s="74"/>
      <c r="Y414" s="74"/>
      <c r="Z414" s="74"/>
      <c r="AA414" s="74"/>
      <c r="AB414" s="74"/>
    </row>
    <row r="415" spans="1:28" ht="12" customHeight="1">
      <c r="A415" s="569"/>
      <c r="B415" s="574"/>
      <c r="C415" s="575"/>
      <c r="D415" s="576"/>
      <c r="E415" s="101"/>
      <c r="F415" s="101"/>
      <c r="G415" s="35"/>
      <c r="H415" s="104"/>
      <c r="I415" s="35"/>
      <c r="J415" s="74"/>
      <c r="K415" s="74"/>
      <c r="L415" s="74"/>
      <c r="M415" s="74"/>
      <c r="N415" s="74"/>
      <c r="O415" s="74"/>
      <c r="P415" s="74"/>
      <c r="Q415" s="74"/>
      <c r="R415" s="74"/>
      <c r="S415" s="74"/>
      <c r="T415" s="74"/>
      <c r="U415" s="74"/>
      <c r="V415" s="74"/>
      <c r="W415" s="74"/>
      <c r="X415" s="74"/>
      <c r="Y415" s="74"/>
      <c r="Z415" s="74"/>
      <c r="AA415" s="74"/>
      <c r="AB415" s="74"/>
    </row>
    <row r="416" spans="1:28" ht="12" customHeight="1">
      <c r="A416" s="569"/>
      <c r="B416" s="574"/>
      <c r="C416" s="575"/>
      <c r="D416" s="576"/>
      <c r="E416" s="101"/>
      <c r="F416" s="101"/>
      <c r="G416" s="35"/>
      <c r="H416" s="104"/>
      <c r="I416" s="35"/>
      <c r="J416" s="74"/>
      <c r="K416" s="74"/>
      <c r="L416" s="74"/>
      <c r="M416" s="74"/>
      <c r="N416" s="74"/>
      <c r="O416" s="74"/>
      <c r="P416" s="74"/>
      <c r="Q416" s="74"/>
      <c r="R416" s="74"/>
      <c r="S416" s="74"/>
      <c r="T416" s="74"/>
      <c r="U416" s="74"/>
      <c r="V416" s="74"/>
      <c r="W416" s="74"/>
      <c r="X416" s="74"/>
      <c r="Y416" s="74"/>
      <c r="Z416" s="74"/>
      <c r="AA416" s="74"/>
      <c r="AB416" s="74"/>
    </row>
    <row r="417" spans="1:28" ht="12" customHeight="1">
      <c r="A417" s="569"/>
      <c r="B417" s="574"/>
      <c r="C417" s="575"/>
      <c r="D417" s="576"/>
      <c r="E417" s="101"/>
      <c r="F417" s="101"/>
      <c r="G417" s="35"/>
      <c r="H417" s="104"/>
      <c r="I417" s="35"/>
      <c r="J417" s="74"/>
      <c r="K417" s="74"/>
      <c r="L417" s="74"/>
      <c r="M417" s="74"/>
      <c r="N417" s="74"/>
      <c r="O417" s="74"/>
      <c r="P417" s="74"/>
      <c r="Q417" s="74"/>
      <c r="R417" s="74"/>
      <c r="S417" s="74"/>
      <c r="T417" s="74"/>
      <c r="U417" s="74"/>
      <c r="V417" s="74"/>
      <c r="W417" s="74"/>
      <c r="X417" s="74"/>
      <c r="Y417" s="74"/>
      <c r="Z417" s="74"/>
      <c r="AA417" s="74"/>
      <c r="AB417" s="74"/>
    </row>
    <row r="418" spans="1:28" ht="12" customHeight="1">
      <c r="A418" s="569"/>
      <c r="B418" s="574"/>
      <c r="C418" s="575"/>
      <c r="D418" s="576"/>
      <c r="E418" s="101"/>
      <c r="F418" s="101"/>
      <c r="G418" s="35"/>
      <c r="H418" s="104"/>
      <c r="I418" s="35"/>
      <c r="J418" s="74"/>
      <c r="K418" s="74"/>
      <c r="L418" s="74"/>
      <c r="M418" s="74"/>
      <c r="N418" s="74"/>
      <c r="O418" s="74"/>
      <c r="P418" s="74"/>
      <c r="Q418" s="74"/>
      <c r="R418" s="74"/>
      <c r="S418" s="74"/>
      <c r="T418" s="74"/>
      <c r="U418" s="74"/>
      <c r="V418" s="74"/>
      <c r="W418" s="74"/>
      <c r="X418" s="74"/>
      <c r="Y418" s="74"/>
      <c r="Z418" s="74"/>
      <c r="AA418" s="74"/>
      <c r="AB418" s="74"/>
    </row>
    <row r="419" spans="1:28" ht="12" customHeight="1">
      <c r="A419" s="569"/>
      <c r="B419" s="574"/>
      <c r="C419" s="575"/>
      <c r="D419" s="576"/>
      <c r="E419" s="101"/>
      <c r="F419" s="101"/>
      <c r="G419" s="35"/>
      <c r="H419" s="104"/>
      <c r="I419" s="35"/>
      <c r="J419" s="74"/>
      <c r="K419" s="74"/>
      <c r="L419" s="74"/>
      <c r="M419" s="74"/>
      <c r="N419" s="74"/>
      <c r="O419" s="74"/>
      <c r="P419" s="74"/>
      <c r="Q419" s="74"/>
      <c r="R419" s="74"/>
      <c r="S419" s="74"/>
      <c r="T419" s="74"/>
      <c r="U419" s="74"/>
      <c r="V419" s="74"/>
      <c r="W419" s="74"/>
      <c r="X419" s="74"/>
      <c r="Y419" s="74"/>
      <c r="Z419" s="74"/>
      <c r="AA419" s="74"/>
      <c r="AB419" s="74"/>
    </row>
    <row r="420" spans="1:28" ht="12" customHeight="1">
      <c r="A420" s="569"/>
      <c r="B420" s="574"/>
      <c r="C420" s="575"/>
      <c r="D420" s="576"/>
      <c r="E420" s="101"/>
      <c r="F420" s="101"/>
      <c r="G420" s="35"/>
      <c r="H420" s="104"/>
      <c r="I420" s="35"/>
      <c r="J420" s="74"/>
      <c r="K420" s="74"/>
      <c r="L420" s="74"/>
      <c r="M420" s="74"/>
      <c r="N420" s="74"/>
      <c r="O420" s="74"/>
      <c r="P420" s="74"/>
      <c r="Q420" s="74"/>
      <c r="R420" s="74"/>
      <c r="S420" s="74"/>
      <c r="T420" s="74"/>
      <c r="U420" s="74"/>
      <c r="V420" s="74"/>
      <c r="W420" s="74"/>
      <c r="X420" s="74"/>
      <c r="Y420" s="74"/>
      <c r="Z420" s="74"/>
      <c r="AA420" s="74"/>
      <c r="AB420" s="74"/>
    </row>
    <row r="421" spans="1:28" ht="12" customHeight="1">
      <c r="A421" s="569"/>
      <c r="B421" s="574"/>
      <c r="C421" s="575"/>
      <c r="D421" s="576"/>
      <c r="E421" s="101"/>
      <c r="F421" s="101"/>
      <c r="G421" s="35"/>
      <c r="H421" s="104"/>
      <c r="I421" s="35"/>
      <c r="J421" s="74"/>
      <c r="K421" s="74"/>
      <c r="L421" s="74"/>
      <c r="M421" s="74"/>
      <c r="N421" s="74"/>
      <c r="O421" s="74"/>
      <c r="P421" s="74"/>
      <c r="Q421" s="74"/>
      <c r="R421" s="74"/>
      <c r="S421" s="74"/>
      <c r="T421" s="74"/>
      <c r="U421" s="74"/>
      <c r="V421" s="74"/>
      <c r="W421" s="74"/>
      <c r="X421" s="74"/>
      <c r="Y421" s="74"/>
      <c r="Z421" s="74"/>
      <c r="AA421" s="74"/>
      <c r="AB421" s="74"/>
    </row>
    <row r="422" spans="1:28" ht="12" customHeight="1">
      <c r="A422" s="569"/>
      <c r="B422" s="574"/>
      <c r="C422" s="575"/>
      <c r="D422" s="576"/>
      <c r="E422" s="101"/>
      <c r="F422" s="101"/>
      <c r="G422" s="35"/>
      <c r="H422" s="104"/>
      <c r="I422" s="35"/>
      <c r="J422" s="74"/>
      <c r="K422" s="74"/>
      <c r="L422" s="74"/>
      <c r="M422" s="74"/>
      <c r="N422" s="74"/>
      <c r="O422" s="74"/>
      <c r="P422" s="74"/>
      <c r="Q422" s="74"/>
      <c r="R422" s="74"/>
      <c r="S422" s="74"/>
      <c r="T422" s="74"/>
      <c r="U422" s="74"/>
      <c r="V422" s="74"/>
      <c r="W422" s="74"/>
      <c r="X422" s="74"/>
      <c r="Y422" s="74"/>
      <c r="Z422" s="74"/>
      <c r="AA422" s="74"/>
      <c r="AB422" s="74"/>
    </row>
    <row r="423" spans="1:28" ht="12" customHeight="1">
      <c r="A423" s="569"/>
      <c r="B423" s="574"/>
      <c r="C423" s="575"/>
      <c r="D423" s="576"/>
      <c r="E423" s="101"/>
      <c r="F423" s="101"/>
      <c r="G423" s="35"/>
      <c r="H423" s="104"/>
      <c r="I423" s="35"/>
      <c r="J423" s="74"/>
      <c r="K423" s="74"/>
      <c r="L423" s="74"/>
      <c r="M423" s="74"/>
      <c r="N423" s="74"/>
      <c r="O423" s="74"/>
      <c r="P423" s="74"/>
      <c r="Q423" s="74"/>
      <c r="R423" s="74"/>
      <c r="S423" s="74"/>
      <c r="T423" s="74"/>
      <c r="U423" s="74"/>
      <c r="V423" s="74"/>
      <c r="W423" s="74"/>
      <c r="X423" s="74"/>
      <c r="Y423" s="74"/>
      <c r="Z423" s="74"/>
      <c r="AA423" s="74"/>
      <c r="AB423" s="74"/>
    </row>
    <row r="424" spans="1:28" ht="12" customHeight="1">
      <c r="A424" s="569"/>
      <c r="B424" s="574"/>
      <c r="C424" s="575"/>
      <c r="D424" s="576"/>
      <c r="E424" s="101"/>
      <c r="F424" s="101"/>
      <c r="G424" s="35"/>
      <c r="H424" s="104"/>
      <c r="I424" s="35"/>
      <c r="J424" s="74"/>
      <c r="K424" s="74"/>
      <c r="L424" s="74"/>
      <c r="M424" s="74"/>
      <c r="N424" s="74"/>
      <c r="O424" s="74"/>
      <c r="P424" s="74"/>
      <c r="Q424" s="74"/>
      <c r="R424" s="74"/>
      <c r="S424" s="74"/>
      <c r="T424" s="74"/>
      <c r="U424" s="74"/>
      <c r="V424" s="74"/>
      <c r="W424" s="74"/>
      <c r="X424" s="74"/>
      <c r="Y424" s="74"/>
      <c r="Z424" s="74"/>
      <c r="AA424" s="74"/>
      <c r="AB424" s="74"/>
    </row>
    <row r="425" spans="1:28" ht="12" customHeight="1">
      <c r="A425" s="569"/>
      <c r="B425" s="574"/>
      <c r="C425" s="575"/>
      <c r="D425" s="576"/>
      <c r="E425" s="101"/>
      <c r="F425" s="101"/>
      <c r="G425" s="35"/>
      <c r="H425" s="104"/>
      <c r="I425" s="35"/>
      <c r="J425" s="74"/>
      <c r="K425" s="74"/>
      <c r="L425" s="74"/>
      <c r="M425" s="74"/>
      <c r="N425" s="74"/>
      <c r="O425" s="74"/>
      <c r="P425" s="74"/>
      <c r="Q425" s="74"/>
      <c r="R425" s="74"/>
      <c r="S425" s="74"/>
      <c r="T425" s="74"/>
      <c r="U425" s="74"/>
      <c r="V425" s="74"/>
      <c r="W425" s="74"/>
      <c r="X425" s="74"/>
      <c r="Y425" s="74"/>
      <c r="Z425" s="74"/>
      <c r="AA425" s="74"/>
      <c r="AB425" s="74"/>
    </row>
    <row r="426" spans="1:28" ht="12" customHeight="1">
      <c r="A426" s="569"/>
      <c r="B426" s="574"/>
      <c r="C426" s="575"/>
      <c r="D426" s="576"/>
      <c r="E426" s="101"/>
      <c r="F426" s="101"/>
      <c r="G426" s="35"/>
      <c r="H426" s="104"/>
      <c r="I426" s="35"/>
      <c r="J426" s="74"/>
      <c r="K426" s="74"/>
      <c r="L426" s="74"/>
      <c r="M426" s="74"/>
      <c r="N426" s="74"/>
      <c r="O426" s="74"/>
      <c r="P426" s="74"/>
      <c r="Q426" s="74"/>
      <c r="R426" s="74"/>
      <c r="S426" s="74"/>
      <c r="T426" s="74"/>
      <c r="U426" s="74"/>
      <c r="V426" s="74"/>
      <c r="W426" s="74"/>
      <c r="X426" s="74"/>
      <c r="Y426" s="74"/>
      <c r="Z426" s="74"/>
      <c r="AA426" s="74"/>
      <c r="AB426" s="74"/>
    </row>
    <row r="427" spans="1:28" ht="12" customHeight="1">
      <c r="A427" s="569"/>
      <c r="B427" s="574"/>
      <c r="C427" s="575"/>
      <c r="D427" s="576"/>
      <c r="E427" s="101"/>
      <c r="F427" s="101"/>
      <c r="G427" s="35"/>
      <c r="H427" s="104"/>
      <c r="I427" s="35"/>
      <c r="J427" s="74"/>
      <c r="K427" s="74"/>
      <c r="L427" s="74"/>
      <c r="M427" s="74"/>
      <c r="N427" s="74"/>
      <c r="O427" s="74"/>
      <c r="P427" s="74"/>
      <c r="Q427" s="74"/>
      <c r="R427" s="74"/>
      <c r="S427" s="74"/>
      <c r="T427" s="74"/>
      <c r="U427" s="74"/>
      <c r="V427" s="74"/>
      <c r="W427" s="74"/>
      <c r="X427" s="74"/>
      <c r="Y427" s="74"/>
      <c r="Z427" s="74"/>
      <c r="AA427" s="74"/>
      <c r="AB427" s="74"/>
    </row>
    <row r="428" spans="1:28" ht="12" customHeight="1">
      <c r="A428" s="569"/>
      <c r="B428" s="574"/>
      <c r="C428" s="575"/>
      <c r="D428" s="576"/>
      <c r="E428" s="101"/>
      <c r="F428" s="101"/>
      <c r="G428" s="35"/>
      <c r="H428" s="104"/>
      <c r="I428" s="35"/>
      <c r="J428" s="74"/>
      <c r="K428" s="74"/>
      <c r="L428" s="74"/>
      <c r="M428" s="74"/>
      <c r="N428" s="74"/>
      <c r="O428" s="74"/>
      <c r="P428" s="74"/>
      <c r="Q428" s="74"/>
      <c r="R428" s="74"/>
      <c r="S428" s="74"/>
      <c r="T428" s="74"/>
      <c r="U428" s="74"/>
      <c r="V428" s="74"/>
      <c r="W428" s="74"/>
      <c r="X428" s="74"/>
      <c r="Y428" s="74"/>
      <c r="Z428" s="74"/>
      <c r="AA428" s="74"/>
      <c r="AB428" s="74"/>
    </row>
    <row r="429" spans="1:28" ht="12" customHeight="1">
      <c r="A429" s="569"/>
      <c r="B429" s="574"/>
      <c r="C429" s="575"/>
      <c r="D429" s="576"/>
      <c r="E429" s="101"/>
      <c r="F429" s="101"/>
      <c r="G429" s="35"/>
      <c r="H429" s="104"/>
      <c r="I429" s="35"/>
      <c r="J429" s="74"/>
      <c r="K429" s="74"/>
      <c r="L429" s="74"/>
      <c r="M429" s="74"/>
      <c r="N429" s="74"/>
      <c r="O429" s="74"/>
      <c r="P429" s="74"/>
      <c r="Q429" s="74"/>
      <c r="R429" s="74"/>
      <c r="S429" s="74"/>
      <c r="T429" s="74"/>
      <c r="U429" s="74"/>
      <c r="V429" s="74"/>
      <c r="W429" s="74"/>
      <c r="X429" s="74"/>
      <c r="Y429" s="74"/>
      <c r="Z429" s="74"/>
      <c r="AA429" s="74"/>
      <c r="AB429" s="74"/>
    </row>
    <row r="430" spans="1:28" ht="12" customHeight="1">
      <c r="A430" s="569"/>
      <c r="B430" s="574"/>
      <c r="C430" s="575"/>
      <c r="D430" s="576"/>
      <c r="E430" s="101"/>
      <c r="F430" s="101"/>
      <c r="G430" s="35"/>
      <c r="H430" s="104"/>
      <c r="I430" s="35"/>
      <c r="J430" s="74"/>
      <c r="K430" s="74"/>
      <c r="L430" s="74"/>
      <c r="M430" s="74"/>
      <c r="N430" s="74"/>
      <c r="O430" s="74"/>
      <c r="P430" s="74"/>
      <c r="Q430" s="74"/>
      <c r="R430" s="74"/>
      <c r="S430" s="74"/>
      <c r="T430" s="74"/>
      <c r="U430" s="74"/>
      <c r="V430" s="74"/>
      <c r="W430" s="74"/>
      <c r="X430" s="74"/>
      <c r="Y430" s="74"/>
      <c r="Z430" s="74"/>
      <c r="AA430" s="74"/>
      <c r="AB430" s="74"/>
    </row>
    <row r="431" spans="1:28" ht="12" customHeight="1">
      <c r="A431" s="569"/>
      <c r="B431" s="574"/>
      <c r="C431" s="575"/>
      <c r="D431" s="576"/>
      <c r="E431" s="101"/>
      <c r="F431" s="101"/>
      <c r="G431" s="35"/>
      <c r="H431" s="104"/>
      <c r="I431" s="35"/>
      <c r="J431" s="74"/>
      <c r="K431" s="74"/>
      <c r="L431" s="74"/>
      <c r="M431" s="74"/>
      <c r="N431" s="74"/>
      <c r="O431" s="74"/>
      <c r="P431" s="74"/>
      <c r="Q431" s="74"/>
      <c r="R431" s="74"/>
      <c r="S431" s="74"/>
      <c r="T431" s="74"/>
      <c r="U431" s="74"/>
      <c r="V431" s="74"/>
      <c r="W431" s="74"/>
      <c r="X431" s="74"/>
      <c r="Y431" s="74"/>
      <c r="Z431" s="74"/>
      <c r="AA431" s="74"/>
      <c r="AB431" s="74"/>
    </row>
    <row r="432" spans="1:28" ht="12" customHeight="1">
      <c r="A432" s="569"/>
      <c r="B432" s="574"/>
      <c r="C432" s="575"/>
      <c r="D432" s="576"/>
      <c r="E432" s="101"/>
      <c r="F432" s="101"/>
      <c r="G432" s="35"/>
      <c r="H432" s="104"/>
      <c r="I432" s="35"/>
      <c r="J432" s="74"/>
      <c r="K432" s="74"/>
      <c r="L432" s="74"/>
      <c r="M432" s="74"/>
      <c r="N432" s="74"/>
      <c r="O432" s="74"/>
      <c r="P432" s="74"/>
      <c r="Q432" s="74"/>
      <c r="R432" s="74"/>
      <c r="S432" s="74"/>
      <c r="T432" s="74"/>
      <c r="U432" s="74"/>
      <c r="V432" s="74"/>
      <c r="W432" s="74"/>
      <c r="X432" s="74"/>
      <c r="Y432" s="74"/>
      <c r="Z432" s="74"/>
      <c r="AA432" s="74"/>
      <c r="AB432" s="74"/>
    </row>
    <row r="433" spans="1:28" ht="12" customHeight="1">
      <c r="A433" s="569"/>
      <c r="B433" s="574"/>
      <c r="C433" s="575"/>
      <c r="D433" s="576"/>
      <c r="E433" s="101"/>
      <c r="F433" s="101"/>
      <c r="G433" s="35"/>
      <c r="H433" s="104"/>
      <c r="I433" s="35"/>
      <c r="J433" s="74"/>
      <c r="K433" s="74"/>
      <c r="L433" s="74"/>
      <c r="M433" s="74"/>
      <c r="N433" s="74"/>
      <c r="O433" s="74"/>
      <c r="P433" s="74"/>
      <c r="Q433" s="74"/>
      <c r="R433" s="74"/>
      <c r="S433" s="74"/>
      <c r="T433" s="74"/>
      <c r="U433" s="74"/>
      <c r="V433" s="74"/>
      <c r="W433" s="74"/>
      <c r="X433" s="74"/>
      <c r="Y433" s="74"/>
      <c r="Z433" s="74"/>
      <c r="AA433" s="74"/>
      <c r="AB433" s="74"/>
    </row>
    <row r="434" spans="1:28" ht="12" customHeight="1">
      <c r="A434" s="569"/>
      <c r="B434" s="574"/>
      <c r="C434" s="575"/>
      <c r="D434" s="576"/>
      <c r="E434" s="101"/>
      <c r="F434" s="101"/>
      <c r="G434" s="35"/>
      <c r="H434" s="104"/>
      <c r="I434" s="35"/>
      <c r="J434" s="74"/>
      <c r="K434" s="74"/>
      <c r="L434" s="74"/>
      <c r="M434" s="74"/>
      <c r="N434" s="74"/>
      <c r="O434" s="74"/>
      <c r="P434" s="74"/>
      <c r="Q434" s="74"/>
      <c r="R434" s="74"/>
      <c r="S434" s="74"/>
      <c r="T434" s="74"/>
      <c r="U434" s="74"/>
      <c r="V434" s="74"/>
      <c r="W434" s="74"/>
      <c r="X434" s="74"/>
      <c r="Y434" s="74"/>
      <c r="Z434" s="74"/>
      <c r="AA434" s="74"/>
      <c r="AB434" s="74"/>
    </row>
    <row r="435" spans="1:28" ht="12" customHeight="1">
      <c r="A435" s="569"/>
      <c r="B435" s="574"/>
      <c r="C435" s="575"/>
      <c r="D435" s="576"/>
      <c r="E435" s="101"/>
      <c r="F435" s="101"/>
      <c r="G435" s="35"/>
      <c r="H435" s="104"/>
      <c r="I435" s="35"/>
      <c r="J435" s="74"/>
      <c r="K435" s="74"/>
      <c r="L435" s="74"/>
      <c r="M435" s="74"/>
      <c r="N435" s="74"/>
      <c r="O435" s="74"/>
      <c r="P435" s="74"/>
      <c r="Q435" s="74"/>
      <c r="R435" s="74"/>
      <c r="S435" s="74"/>
      <c r="T435" s="74"/>
      <c r="U435" s="74"/>
      <c r="V435" s="74"/>
      <c r="W435" s="74"/>
      <c r="X435" s="74"/>
      <c r="Y435" s="74"/>
      <c r="Z435" s="74"/>
      <c r="AA435" s="74"/>
      <c r="AB435" s="74"/>
    </row>
    <row r="436" spans="1:28" ht="12" customHeight="1">
      <c r="A436" s="569"/>
      <c r="B436" s="574"/>
      <c r="C436" s="575"/>
      <c r="D436" s="576"/>
      <c r="E436" s="101"/>
      <c r="F436" s="101"/>
      <c r="G436" s="35"/>
      <c r="H436" s="104"/>
      <c r="I436" s="35"/>
      <c r="J436" s="74"/>
      <c r="K436" s="74"/>
      <c r="L436" s="74"/>
      <c r="M436" s="74"/>
      <c r="N436" s="74"/>
      <c r="O436" s="74"/>
      <c r="P436" s="74"/>
      <c r="Q436" s="74"/>
      <c r="R436" s="74"/>
      <c r="S436" s="74"/>
      <c r="T436" s="74"/>
      <c r="U436" s="74"/>
      <c r="V436" s="74"/>
      <c r="W436" s="74"/>
      <c r="X436" s="74"/>
      <c r="Y436" s="74"/>
      <c r="Z436" s="74"/>
      <c r="AA436" s="74"/>
      <c r="AB436" s="74"/>
    </row>
    <row r="437" spans="1:28" ht="12" customHeight="1">
      <c r="A437" s="569"/>
      <c r="B437" s="574"/>
      <c r="C437" s="575"/>
      <c r="D437" s="576"/>
      <c r="E437" s="101"/>
      <c r="F437" s="101"/>
      <c r="G437" s="35"/>
      <c r="H437" s="104"/>
      <c r="I437" s="35"/>
      <c r="J437" s="74"/>
      <c r="K437" s="74"/>
      <c r="L437" s="74"/>
      <c r="M437" s="74"/>
      <c r="N437" s="74"/>
      <c r="O437" s="74"/>
      <c r="P437" s="74"/>
      <c r="Q437" s="74"/>
      <c r="R437" s="74"/>
      <c r="S437" s="74"/>
      <c r="T437" s="74"/>
      <c r="U437" s="74"/>
      <c r="V437" s="74"/>
      <c r="W437" s="74"/>
      <c r="X437" s="74"/>
      <c r="Y437" s="74"/>
      <c r="Z437" s="74"/>
      <c r="AA437" s="74"/>
      <c r="AB437" s="74"/>
    </row>
    <row r="438" spans="1:28" ht="12" customHeight="1">
      <c r="A438" s="569"/>
      <c r="B438" s="574"/>
      <c r="C438" s="575"/>
      <c r="D438" s="576"/>
      <c r="E438" s="101"/>
      <c r="F438" s="101"/>
      <c r="G438" s="35"/>
      <c r="H438" s="104"/>
      <c r="I438" s="35"/>
      <c r="J438" s="74"/>
      <c r="K438" s="74"/>
      <c r="L438" s="74"/>
      <c r="M438" s="74"/>
      <c r="N438" s="74"/>
      <c r="O438" s="74"/>
      <c r="P438" s="74"/>
      <c r="Q438" s="74"/>
      <c r="R438" s="74"/>
      <c r="S438" s="74"/>
      <c r="T438" s="74"/>
      <c r="U438" s="74"/>
      <c r="V438" s="74"/>
      <c r="W438" s="74"/>
      <c r="X438" s="74"/>
      <c r="Y438" s="74"/>
      <c r="Z438" s="74"/>
      <c r="AA438" s="74"/>
      <c r="AB438" s="74"/>
    </row>
    <row r="439" spans="1:28" ht="12" customHeight="1">
      <c r="A439" s="569"/>
      <c r="B439" s="574"/>
      <c r="C439" s="575"/>
      <c r="D439" s="576"/>
      <c r="E439" s="101"/>
      <c r="F439" s="101"/>
      <c r="G439" s="35"/>
      <c r="H439" s="104"/>
      <c r="I439" s="35"/>
      <c r="J439" s="74"/>
      <c r="K439" s="74"/>
      <c r="L439" s="74"/>
      <c r="M439" s="74"/>
      <c r="N439" s="74"/>
      <c r="O439" s="74"/>
      <c r="P439" s="74"/>
      <c r="Q439" s="74"/>
      <c r="R439" s="74"/>
      <c r="S439" s="74"/>
      <c r="T439" s="74"/>
      <c r="U439" s="74"/>
      <c r="V439" s="74"/>
      <c r="W439" s="74"/>
      <c r="X439" s="74"/>
      <c r="Y439" s="74"/>
      <c r="Z439" s="74"/>
      <c r="AA439" s="74"/>
      <c r="AB439" s="74"/>
    </row>
    <row r="440" spans="1:28" ht="12" customHeight="1">
      <c r="A440" s="569"/>
      <c r="B440" s="574"/>
      <c r="C440" s="575"/>
      <c r="D440" s="576"/>
      <c r="E440" s="101"/>
      <c r="F440" s="101"/>
      <c r="G440" s="35"/>
      <c r="H440" s="104"/>
      <c r="I440" s="35"/>
      <c r="J440" s="74"/>
      <c r="K440" s="74"/>
      <c r="L440" s="74"/>
      <c r="M440" s="74"/>
      <c r="N440" s="74"/>
      <c r="O440" s="74"/>
      <c r="P440" s="74"/>
      <c r="Q440" s="74"/>
      <c r="R440" s="74"/>
      <c r="S440" s="74"/>
      <c r="T440" s="74"/>
      <c r="U440" s="74"/>
      <c r="V440" s="74"/>
      <c r="W440" s="74"/>
      <c r="X440" s="74"/>
      <c r="Y440" s="74"/>
      <c r="Z440" s="74"/>
      <c r="AA440" s="74"/>
      <c r="AB440" s="74"/>
    </row>
    <row r="441" spans="1:28" ht="12" customHeight="1">
      <c r="A441" s="569"/>
      <c r="B441" s="574"/>
      <c r="C441" s="575"/>
      <c r="D441" s="576"/>
      <c r="E441" s="101"/>
      <c r="F441" s="101"/>
      <c r="G441" s="35"/>
      <c r="H441" s="104"/>
      <c r="I441" s="35"/>
      <c r="J441" s="74"/>
      <c r="K441" s="74"/>
      <c r="L441" s="74"/>
      <c r="M441" s="74"/>
      <c r="N441" s="74"/>
      <c r="O441" s="74"/>
      <c r="P441" s="74"/>
      <c r="Q441" s="74"/>
      <c r="R441" s="74"/>
      <c r="S441" s="74"/>
      <c r="T441" s="74"/>
      <c r="U441" s="74"/>
      <c r="V441" s="74"/>
      <c r="W441" s="74"/>
      <c r="X441" s="74"/>
      <c r="Y441" s="74"/>
      <c r="Z441" s="74"/>
      <c r="AA441" s="74"/>
      <c r="AB441" s="74"/>
    </row>
    <row r="442" spans="1:28" ht="12" customHeight="1">
      <c r="A442" s="569"/>
      <c r="B442" s="574"/>
      <c r="C442" s="575"/>
      <c r="D442" s="576"/>
      <c r="E442" s="101"/>
      <c r="F442" s="101"/>
      <c r="G442" s="35"/>
      <c r="H442" s="104"/>
      <c r="I442" s="35"/>
      <c r="J442" s="74"/>
      <c r="K442" s="74"/>
      <c r="L442" s="74"/>
      <c r="M442" s="74"/>
      <c r="N442" s="74"/>
      <c r="O442" s="74"/>
      <c r="P442" s="74"/>
      <c r="Q442" s="74"/>
      <c r="R442" s="74"/>
      <c r="S442" s="74"/>
      <c r="T442" s="74"/>
      <c r="U442" s="74"/>
      <c r="V442" s="74"/>
      <c r="W442" s="74"/>
      <c r="X442" s="74"/>
      <c r="Y442" s="74"/>
      <c r="Z442" s="74"/>
      <c r="AA442" s="74"/>
      <c r="AB442" s="74"/>
    </row>
    <row r="443" spans="1:28" ht="12" customHeight="1">
      <c r="A443" s="569"/>
      <c r="B443" s="574"/>
      <c r="C443" s="575"/>
      <c r="D443" s="576"/>
      <c r="E443" s="101"/>
      <c r="F443" s="101"/>
      <c r="G443" s="35"/>
      <c r="H443" s="104"/>
      <c r="I443" s="35"/>
      <c r="J443" s="74"/>
      <c r="K443" s="74"/>
      <c r="L443" s="74"/>
      <c r="M443" s="74"/>
      <c r="N443" s="74"/>
      <c r="O443" s="74"/>
      <c r="P443" s="74"/>
      <c r="Q443" s="74"/>
      <c r="R443" s="74"/>
      <c r="S443" s="74"/>
      <c r="T443" s="74"/>
      <c r="U443" s="74"/>
      <c r="V443" s="74"/>
      <c r="W443" s="74"/>
      <c r="X443" s="74"/>
      <c r="Y443" s="74"/>
      <c r="Z443" s="74"/>
      <c r="AA443" s="74"/>
      <c r="AB443" s="74"/>
    </row>
    <row r="444" spans="1:28" ht="12" customHeight="1">
      <c r="A444" s="569"/>
      <c r="B444" s="574"/>
      <c r="C444" s="575"/>
      <c r="D444" s="576"/>
      <c r="E444" s="101"/>
      <c r="F444" s="101"/>
      <c r="G444" s="35"/>
      <c r="H444" s="104"/>
      <c r="I444" s="35"/>
      <c r="J444" s="74"/>
      <c r="K444" s="74"/>
      <c r="L444" s="74"/>
      <c r="M444" s="74"/>
      <c r="N444" s="74"/>
      <c r="O444" s="74"/>
      <c r="P444" s="74"/>
      <c r="Q444" s="74"/>
      <c r="R444" s="74"/>
      <c r="S444" s="74"/>
      <c r="T444" s="74"/>
      <c r="U444" s="74"/>
      <c r="V444" s="74"/>
      <c r="W444" s="74"/>
      <c r="X444" s="74"/>
      <c r="Y444" s="74"/>
      <c r="Z444" s="74"/>
      <c r="AA444" s="74"/>
      <c r="AB444" s="74"/>
    </row>
    <row r="445" spans="1:28" ht="12" customHeight="1">
      <c r="A445" s="569"/>
      <c r="B445" s="574"/>
      <c r="C445" s="575"/>
      <c r="D445" s="576"/>
      <c r="E445" s="101"/>
      <c r="F445" s="101"/>
      <c r="G445" s="35"/>
      <c r="H445" s="104"/>
      <c r="I445" s="35"/>
      <c r="J445" s="74"/>
      <c r="K445" s="74"/>
      <c r="L445" s="74"/>
      <c r="M445" s="74"/>
      <c r="N445" s="74"/>
      <c r="O445" s="74"/>
      <c r="P445" s="74"/>
      <c r="Q445" s="74"/>
      <c r="R445" s="74"/>
      <c r="S445" s="74"/>
      <c r="T445" s="74"/>
      <c r="U445" s="74"/>
      <c r="V445" s="74"/>
      <c r="W445" s="74"/>
      <c r="X445" s="74"/>
      <c r="Y445" s="74"/>
      <c r="Z445" s="74"/>
      <c r="AA445" s="74"/>
      <c r="AB445" s="74"/>
    </row>
    <row r="446" spans="1:28" ht="12" customHeight="1">
      <c r="A446" s="569"/>
      <c r="B446" s="574"/>
      <c r="C446" s="575"/>
      <c r="D446" s="576"/>
      <c r="E446" s="101"/>
      <c r="F446" s="101"/>
      <c r="G446" s="35"/>
      <c r="H446" s="104"/>
      <c r="I446" s="35"/>
      <c r="J446" s="74"/>
      <c r="K446" s="74"/>
      <c r="L446" s="74"/>
      <c r="M446" s="74"/>
      <c r="N446" s="74"/>
      <c r="O446" s="74"/>
      <c r="P446" s="74"/>
      <c r="Q446" s="74"/>
      <c r="R446" s="74"/>
      <c r="S446" s="74"/>
      <c r="T446" s="74"/>
      <c r="U446" s="74"/>
      <c r="V446" s="74"/>
      <c r="W446" s="74"/>
      <c r="X446" s="74"/>
      <c r="Y446" s="74"/>
      <c r="Z446" s="74"/>
      <c r="AA446" s="74"/>
      <c r="AB446" s="74"/>
    </row>
    <row r="447" spans="1:28" ht="12" customHeight="1">
      <c r="A447" s="569"/>
      <c r="B447" s="574"/>
      <c r="C447" s="575"/>
      <c r="D447" s="576"/>
      <c r="E447" s="101"/>
      <c r="F447" s="101"/>
      <c r="G447" s="35"/>
      <c r="H447" s="104"/>
      <c r="I447" s="35"/>
      <c r="J447" s="74"/>
      <c r="K447" s="74"/>
      <c r="L447" s="74"/>
      <c r="M447" s="74"/>
      <c r="N447" s="74"/>
      <c r="O447" s="74"/>
      <c r="P447" s="74"/>
      <c r="Q447" s="74"/>
      <c r="R447" s="74"/>
      <c r="S447" s="74"/>
      <c r="T447" s="74"/>
      <c r="U447" s="74"/>
      <c r="V447" s="74"/>
      <c r="W447" s="74"/>
      <c r="X447" s="74"/>
      <c r="Y447" s="74"/>
      <c r="Z447" s="74"/>
      <c r="AA447" s="74"/>
      <c r="AB447" s="74"/>
    </row>
    <row r="448" spans="1:28" ht="12" customHeight="1">
      <c r="A448" s="569"/>
      <c r="B448" s="574"/>
      <c r="C448" s="575"/>
      <c r="D448" s="576"/>
      <c r="E448" s="101"/>
      <c r="F448" s="101"/>
      <c r="G448" s="35"/>
      <c r="H448" s="104"/>
      <c r="I448" s="35"/>
      <c r="J448" s="74"/>
      <c r="K448" s="74"/>
      <c r="L448" s="74"/>
      <c r="M448" s="74"/>
      <c r="N448" s="74"/>
      <c r="O448" s="74"/>
      <c r="P448" s="74"/>
      <c r="Q448" s="74"/>
      <c r="R448" s="74"/>
      <c r="S448" s="74"/>
      <c r="T448" s="74"/>
      <c r="U448" s="74"/>
      <c r="V448" s="74"/>
      <c r="W448" s="74"/>
      <c r="X448" s="74"/>
      <c r="Y448" s="74"/>
      <c r="Z448" s="74"/>
      <c r="AA448" s="74"/>
      <c r="AB448" s="74"/>
    </row>
    <row r="449" spans="1:28" ht="12" customHeight="1">
      <c r="A449" s="569"/>
      <c r="B449" s="574"/>
      <c r="C449" s="575"/>
      <c r="D449" s="576"/>
      <c r="E449" s="101"/>
      <c r="F449" s="101"/>
      <c r="G449" s="35"/>
      <c r="H449" s="104"/>
      <c r="I449" s="35"/>
      <c r="J449" s="74"/>
      <c r="K449" s="74"/>
      <c r="L449" s="74"/>
      <c r="M449" s="74"/>
      <c r="N449" s="74"/>
      <c r="O449" s="74"/>
      <c r="P449" s="74"/>
      <c r="Q449" s="74"/>
      <c r="R449" s="74"/>
      <c r="S449" s="74"/>
      <c r="T449" s="74"/>
      <c r="U449" s="74"/>
      <c r="V449" s="74"/>
      <c r="W449" s="74"/>
      <c r="X449" s="74"/>
      <c r="Y449" s="74"/>
      <c r="Z449" s="74"/>
      <c r="AA449" s="74"/>
      <c r="AB449" s="74"/>
    </row>
    <row r="450" spans="1:28" ht="12" customHeight="1">
      <c r="A450" s="569"/>
      <c r="B450" s="574"/>
      <c r="C450" s="575"/>
      <c r="D450" s="576"/>
      <c r="E450" s="101"/>
      <c r="F450" s="101"/>
      <c r="G450" s="35"/>
      <c r="H450" s="104"/>
      <c r="I450" s="35"/>
      <c r="J450" s="74"/>
      <c r="K450" s="74"/>
      <c r="L450" s="74"/>
      <c r="M450" s="74"/>
      <c r="N450" s="74"/>
      <c r="O450" s="74"/>
      <c r="P450" s="74"/>
      <c r="Q450" s="74"/>
      <c r="R450" s="74"/>
      <c r="S450" s="74"/>
      <c r="T450" s="74"/>
      <c r="U450" s="74"/>
      <c r="V450" s="74"/>
      <c r="W450" s="74"/>
      <c r="X450" s="74"/>
      <c r="Y450" s="74"/>
      <c r="Z450" s="74"/>
      <c r="AA450" s="74"/>
      <c r="AB450" s="74"/>
    </row>
    <row r="451" spans="1:28" ht="12" customHeight="1">
      <c r="A451" s="569"/>
      <c r="B451" s="574"/>
      <c r="C451" s="575"/>
      <c r="D451" s="576"/>
      <c r="E451" s="101"/>
      <c r="F451" s="101"/>
      <c r="G451" s="35"/>
      <c r="H451" s="104"/>
      <c r="I451" s="35"/>
      <c r="J451" s="74"/>
      <c r="K451" s="74"/>
      <c r="L451" s="74"/>
      <c r="M451" s="74"/>
      <c r="N451" s="74"/>
      <c r="O451" s="74"/>
      <c r="P451" s="74"/>
      <c r="Q451" s="74"/>
      <c r="R451" s="74"/>
      <c r="S451" s="74"/>
      <c r="T451" s="74"/>
      <c r="U451" s="74"/>
      <c r="V451" s="74"/>
      <c r="W451" s="74"/>
      <c r="X451" s="74"/>
      <c r="Y451" s="74"/>
      <c r="Z451" s="74"/>
      <c r="AA451" s="74"/>
      <c r="AB451" s="74"/>
    </row>
    <row r="452" spans="1:28" ht="12" customHeight="1">
      <c r="A452" s="569"/>
      <c r="B452" s="574"/>
      <c r="C452" s="575"/>
      <c r="D452" s="576"/>
      <c r="E452" s="101"/>
      <c r="F452" s="101"/>
      <c r="G452" s="35"/>
      <c r="H452" s="104"/>
      <c r="I452" s="35"/>
      <c r="J452" s="74"/>
      <c r="K452" s="74"/>
      <c r="L452" s="74"/>
      <c r="M452" s="74"/>
      <c r="N452" s="74"/>
      <c r="O452" s="74"/>
      <c r="P452" s="74"/>
      <c r="Q452" s="74"/>
      <c r="R452" s="74"/>
      <c r="S452" s="74"/>
      <c r="T452" s="74"/>
      <c r="U452" s="74"/>
      <c r="V452" s="74"/>
      <c r="W452" s="74"/>
      <c r="X452" s="74"/>
      <c r="Y452" s="74"/>
      <c r="Z452" s="74"/>
      <c r="AA452" s="74"/>
      <c r="AB452" s="74"/>
    </row>
    <row r="453" spans="1:28" ht="12" customHeight="1">
      <c r="A453" s="569"/>
      <c r="B453" s="574"/>
      <c r="C453" s="575"/>
      <c r="D453" s="576"/>
      <c r="E453" s="101"/>
      <c r="F453" s="101"/>
      <c r="G453" s="35"/>
      <c r="H453" s="104"/>
      <c r="I453" s="35"/>
      <c r="J453" s="74"/>
      <c r="K453" s="74"/>
      <c r="L453" s="74"/>
      <c r="M453" s="74"/>
      <c r="N453" s="74"/>
      <c r="O453" s="74"/>
      <c r="P453" s="74"/>
      <c r="Q453" s="74"/>
      <c r="R453" s="74"/>
      <c r="S453" s="74"/>
      <c r="T453" s="74"/>
      <c r="U453" s="74"/>
      <c r="V453" s="74"/>
      <c r="W453" s="74"/>
      <c r="X453" s="74"/>
      <c r="Y453" s="74"/>
      <c r="Z453" s="74"/>
      <c r="AA453" s="74"/>
      <c r="AB453" s="74"/>
    </row>
    <row r="454" spans="1:28" ht="12" customHeight="1">
      <c r="A454" s="569"/>
      <c r="B454" s="574"/>
      <c r="C454" s="575"/>
      <c r="D454" s="576"/>
      <c r="E454" s="101"/>
      <c r="F454" s="101"/>
      <c r="G454" s="35"/>
      <c r="H454" s="104"/>
      <c r="I454" s="35"/>
      <c r="J454" s="74"/>
      <c r="K454" s="74"/>
      <c r="L454" s="74"/>
      <c r="M454" s="74"/>
      <c r="N454" s="74"/>
      <c r="O454" s="74"/>
      <c r="P454" s="74"/>
      <c r="Q454" s="74"/>
      <c r="R454" s="74"/>
      <c r="S454" s="74"/>
      <c r="T454" s="74"/>
      <c r="U454" s="74"/>
      <c r="V454" s="74"/>
      <c r="W454" s="74"/>
      <c r="X454" s="74"/>
      <c r="Y454" s="74"/>
      <c r="Z454" s="74"/>
      <c r="AA454" s="74"/>
      <c r="AB454" s="74"/>
    </row>
    <row r="455" spans="1:28" ht="12" customHeight="1">
      <c r="A455" s="569"/>
      <c r="B455" s="574"/>
      <c r="C455" s="575"/>
      <c r="D455" s="576"/>
      <c r="E455" s="101"/>
      <c r="F455" s="101"/>
      <c r="G455" s="35"/>
      <c r="H455" s="104"/>
      <c r="I455" s="35"/>
      <c r="J455" s="74"/>
      <c r="K455" s="74"/>
      <c r="L455" s="74"/>
      <c r="M455" s="74"/>
      <c r="N455" s="74"/>
      <c r="O455" s="74"/>
      <c r="P455" s="74"/>
      <c r="Q455" s="74"/>
      <c r="R455" s="74"/>
      <c r="S455" s="74"/>
      <c r="T455" s="74"/>
      <c r="U455" s="74"/>
      <c r="V455" s="74"/>
      <c r="W455" s="74"/>
      <c r="X455" s="74"/>
      <c r="Y455" s="74"/>
      <c r="Z455" s="74"/>
      <c r="AA455" s="74"/>
      <c r="AB455" s="74"/>
    </row>
    <row r="456" spans="1:28" ht="12" customHeight="1">
      <c r="A456" s="569"/>
      <c r="B456" s="574"/>
      <c r="C456" s="575"/>
      <c r="D456" s="576"/>
      <c r="E456" s="101"/>
      <c r="F456" s="101"/>
      <c r="G456" s="35"/>
      <c r="H456" s="104"/>
      <c r="I456" s="35"/>
      <c r="J456" s="74"/>
      <c r="K456" s="74"/>
      <c r="L456" s="74"/>
      <c r="M456" s="74"/>
      <c r="N456" s="74"/>
      <c r="O456" s="74"/>
      <c r="P456" s="74"/>
      <c r="Q456" s="74"/>
      <c r="R456" s="74"/>
      <c r="S456" s="74"/>
      <c r="T456" s="74"/>
      <c r="U456" s="74"/>
      <c r="V456" s="74"/>
      <c r="W456" s="74"/>
      <c r="X456" s="74"/>
      <c r="Y456" s="74"/>
      <c r="Z456" s="74"/>
      <c r="AA456" s="74"/>
      <c r="AB456" s="74"/>
    </row>
    <row r="457" spans="1:28" ht="12" customHeight="1">
      <c r="A457" s="569"/>
      <c r="B457" s="574"/>
      <c r="C457" s="575"/>
      <c r="D457" s="576"/>
      <c r="E457" s="101"/>
      <c r="F457" s="101"/>
      <c r="G457" s="35"/>
      <c r="H457" s="104"/>
      <c r="I457" s="35"/>
      <c r="J457" s="74"/>
      <c r="K457" s="74"/>
      <c r="L457" s="74"/>
      <c r="M457" s="74"/>
      <c r="N457" s="74"/>
      <c r="O457" s="74"/>
      <c r="P457" s="74"/>
      <c r="Q457" s="74"/>
      <c r="R457" s="74"/>
      <c r="S457" s="74"/>
      <c r="T457" s="74"/>
      <c r="U457" s="74"/>
      <c r="V457" s="74"/>
      <c r="W457" s="74"/>
      <c r="X457" s="74"/>
      <c r="Y457" s="74"/>
      <c r="Z457" s="74"/>
      <c r="AA457" s="74"/>
      <c r="AB457" s="74"/>
    </row>
    <row r="458" spans="1:28" ht="12" customHeight="1">
      <c r="A458" s="569"/>
      <c r="B458" s="574"/>
      <c r="C458" s="575"/>
      <c r="D458" s="576"/>
      <c r="E458" s="101"/>
      <c r="F458" s="101"/>
      <c r="G458" s="35"/>
      <c r="H458" s="104"/>
      <c r="I458" s="35"/>
      <c r="J458" s="74"/>
      <c r="K458" s="74"/>
      <c r="L458" s="74"/>
      <c r="M458" s="74"/>
      <c r="N458" s="74"/>
      <c r="O458" s="74"/>
      <c r="P458" s="74"/>
      <c r="Q458" s="74"/>
      <c r="R458" s="74"/>
      <c r="S458" s="74"/>
      <c r="T458" s="74"/>
      <c r="U458" s="74"/>
      <c r="V458" s="74"/>
      <c r="W458" s="74"/>
      <c r="X458" s="74"/>
      <c r="Y458" s="74"/>
      <c r="Z458" s="74"/>
      <c r="AA458" s="74"/>
      <c r="AB458" s="74"/>
    </row>
    <row r="459" spans="1:28" ht="12" customHeight="1">
      <c r="A459" s="569"/>
      <c r="B459" s="574"/>
      <c r="C459" s="575"/>
      <c r="D459" s="576"/>
      <c r="E459" s="101"/>
      <c r="F459" s="101"/>
      <c r="G459" s="35"/>
      <c r="H459" s="104"/>
      <c r="I459" s="35"/>
      <c r="J459" s="74"/>
      <c r="K459" s="74"/>
      <c r="L459" s="74"/>
      <c r="M459" s="74"/>
      <c r="N459" s="74"/>
      <c r="O459" s="74"/>
      <c r="P459" s="74"/>
      <c r="Q459" s="74"/>
      <c r="R459" s="74"/>
      <c r="S459" s="74"/>
      <c r="T459" s="74"/>
      <c r="U459" s="74"/>
      <c r="V459" s="74"/>
      <c r="W459" s="74"/>
      <c r="X459" s="74"/>
      <c r="Y459" s="74"/>
      <c r="Z459" s="74"/>
      <c r="AA459" s="74"/>
      <c r="AB459" s="74"/>
    </row>
    <row r="460" spans="1:28" ht="12" customHeight="1">
      <c r="A460" s="569"/>
      <c r="B460" s="574"/>
      <c r="C460" s="575"/>
      <c r="D460" s="576"/>
      <c r="E460" s="101"/>
      <c r="F460" s="101"/>
      <c r="G460" s="35"/>
      <c r="H460" s="104"/>
      <c r="I460" s="35"/>
      <c r="J460" s="74"/>
      <c r="K460" s="74"/>
      <c r="L460" s="74"/>
      <c r="M460" s="74"/>
      <c r="N460" s="74"/>
      <c r="O460" s="74"/>
      <c r="P460" s="74"/>
      <c r="Q460" s="74"/>
      <c r="R460" s="74"/>
      <c r="S460" s="74"/>
      <c r="T460" s="74"/>
      <c r="U460" s="74"/>
      <c r="V460" s="74"/>
      <c r="W460" s="74"/>
      <c r="X460" s="74"/>
      <c r="Y460" s="74"/>
      <c r="Z460" s="74"/>
      <c r="AA460" s="74"/>
      <c r="AB460" s="74"/>
    </row>
    <row r="461" spans="1:28" ht="12" customHeight="1">
      <c r="A461" s="569"/>
      <c r="B461" s="574"/>
      <c r="C461" s="575"/>
      <c r="D461" s="576"/>
      <c r="E461" s="101"/>
      <c r="F461" s="101"/>
      <c r="G461" s="35"/>
      <c r="H461" s="104"/>
      <c r="I461" s="35"/>
      <c r="J461" s="74"/>
      <c r="K461" s="74"/>
      <c r="L461" s="74"/>
      <c r="M461" s="74"/>
      <c r="N461" s="74"/>
      <c r="O461" s="74"/>
      <c r="P461" s="74"/>
      <c r="Q461" s="74"/>
      <c r="R461" s="74"/>
      <c r="S461" s="74"/>
      <c r="T461" s="74"/>
      <c r="U461" s="74"/>
      <c r="V461" s="74"/>
      <c r="W461" s="74"/>
      <c r="X461" s="74"/>
      <c r="Y461" s="74"/>
      <c r="Z461" s="74"/>
      <c r="AA461" s="74"/>
      <c r="AB461" s="74"/>
    </row>
    <row r="462" spans="1:28" ht="12" customHeight="1">
      <c r="A462" s="569"/>
      <c r="B462" s="574"/>
      <c r="C462" s="575"/>
      <c r="D462" s="576"/>
      <c r="E462" s="101"/>
      <c r="F462" s="101"/>
      <c r="G462" s="35"/>
      <c r="H462" s="104"/>
      <c r="I462" s="35"/>
      <c r="J462" s="74"/>
      <c r="K462" s="74"/>
      <c r="L462" s="74"/>
      <c r="M462" s="74"/>
      <c r="N462" s="74"/>
      <c r="O462" s="74"/>
      <c r="P462" s="74"/>
      <c r="Q462" s="74"/>
      <c r="R462" s="74"/>
      <c r="S462" s="74"/>
      <c r="T462" s="74"/>
      <c r="U462" s="74"/>
      <c r="V462" s="74"/>
      <c r="W462" s="74"/>
      <c r="X462" s="74"/>
      <c r="Y462" s="74"/>
      <c r="Z462" s="74"/>
      <c r="AA462" s="74"/>
      <c r="AB462" s="74"/>
    </row>
    <row r="463" spans="1:28" ht="12" customHeight="1">
      <c r="A463" s="569"/>
      <c r="B463" s="574"/>
      <c r="C463" s="575"/>
      <c r="D463" s="576"/>
      <c r="E463" s="101"/>
      <c r="F463" s="101"/>
      <c r="G463" s="35"/>
      <c r="H463" s="104"/>
      <c r="I463" s="35"/>
      <c r="J463" s="74"/>
      <c r="K463" s="74"/>
      <c r="L463" s="74"/>
      <c r="M463" s="74"/>
      <c r="N463" s="74"/>
      <c r="O463" s="74"/>
      <c r="P463" s="74"/>
      <c r="Q463" s="74"/>
      <c r="R463" s="74"/>
      <c r="S463" s="74"/>
      <c r="T463" s="74"/>
      <c r="U463" s="74"/>
      <c r="V463" s="74"/>
      <c r="W463" s="74"/>
      <c r="X463" s="74"/>
      <c r="Y463" s="74"/>
      <c r="Z463" s="74"/>
      <c r="AA463" s="74"/>
      <c r="AB463" s="74"/>
    </row>
    <row r="464" spans="1:28" ht="12" customHeight="1">
      <c r="A464" s="569"/>
      <c r="B464" s="574"/>
      <c r="C464" s="575"/>
      <c r="D464" s="576"/>
      <c r="E464" s="101"/>
      <c r="F464" s="101"/>
      <c r="G464" s="35"/>
      <c r="H464" s="104"/>
      <c r="I464" s="35"/>
      <c r="J464" s="74"/>
      <c r="K464" s="74"/>
      <c r="L464" s="74"/>
      <c r="M464" s="74"/>
      <c r="N464" s="74"/>
      <c r="O464" s="74"/>
      <c r="P464" s="74"/>
      <c r="Q464" s="74"/>
      <c r="R464" s="74"/>
      <c r="S464" s="74"/>
      <c r="T464" s="74"/>
      <c r="U464" s="74"/>
      <c r="V464" s="74"/>
      <c r="W464" s="74"/>
      <c r="X464" s="74"/>
      <c r="Y464" s="74"/>
      <c r="Z464" s="74"/>
      <c r="AA464" s="74"/>
      <c r="AB464" s="74"/>
    </row>
    <row r="465" spans="1:28" ht="12" customHeight="1">
      <c r="A465" s="569"/>
      <c r="B465" s="574"/>
      <c r="C465" s="575"/>
      <c r="D465" s="576"/>
      <c r="E465" s="101"/>
      <c r="F465" s="101"/>
      <c r="G465" s="35"/>
      <c r="H465" s="104"/>
      <c r="I465" s="35"/>
      <c r="J465" s="74"/>
      <c r="K465" s="74"/>
      <c r="L465" s="74"/>
      <c r="M465" s="74"/>
      <c r="N465" s="74"/>
      <c r="O465" s="74"/>
      <c r="P465" s="74"/>
      <c r="Q465" s="74"/>
      <c r="R465" s="74"/>
      <c r="S465" s="74"/>
      <c r="T465" s="74"/>
      <c r="U465" s="74"/>
      <c r="V465" s="74"/>
      <c r="W465" s="74"/>
      <c r="X465" s="74"/>
      <c r="Y465" s="74"/>
      <c r="Z465" s="74"/>
      <c r="AA465" s="74"/>
      <c r="AB465" s="74"/>
    </row>
    <row r="466" spans="1:28" ht="12" customHeight="1">
      <c r="A466" s="569"/>
      <c r="B466" s="574"/>
      <c r="C466" s="575"/>
      <c r="D466" s="576"/>
      <c r="E466" s="101"/>
      <c r="F466" s="101"/>
      <c r="G466" s="35"/>
      <c r="H466" s="104"/>
      <c r="I466" s="35"/>
      <c r="J466" s="74"/>
      <c r="K466" s="74"/>
      <c r="L466" s="74"/>
      <c r="M466" s="74"/>
      <c r="N466" s="74"/>
      <c r="O466" s="74"/>
      <c r="P466" s="74"/>
      <c r="Q466" s="74"/>
      <c r="R466" s="74"/>
      <c r="S466" s="74"/>
      <c r="T466" s="74"/>
      <c r="U466" s="74"/>
      <c r="V466" s="74"/>
      <c r="W466" s="74"/>
      <c r="X466" s="74"/>
      <c r="Y466" s="74"/>
      <c r="Z466" s="74"/>
      <c r="AA466" s="74"/>
      <c r="AB466" s="74"/>
    </row>
    <row r="467" spans="1:28" ht="12" customHeight="1">
      <c r="A467" s="569"/>
      <c r="B467" s="574"/>
      <c r="C467" s="575"/>
      <c r="D467" s="576"/>
      <c r="E467" s="101"/>
      <c r="F467" s="101"/>
      <c r="G467" s="35"/>
      <c r="H467" s="104"/>
      <c r="I467" s="35"/>
      <c r="J467" s="74"/>
      <c r="K467" s="74"/>
      <c r="L467" s="74"/>
      <c r="M467" s="74"/>
      <c r="N467" s="74"/>
      <c r="O467" s="74"/>
      <c r="P467" s="74"/>
      <c r="Q467" s="74"/>
      <c r="R467" s="74"/>
      <c r="S467" s="74"/>
      <c r="T467" s="74"/>
      <c r="U467" s="74"/>
      <c r="V467" s="74"/>
      <c r="W467" s="74"/>
      <c r="X467" s="74"/>
      <c r="Y467" s="74"/>
      <c r="Z467" s="74"/>
      <c r="AA467" s="74"/>
      <c r="AB467" s="74"/>
    </row>
    <row r="468" spans="1:28" ht="12" customHeight="1">
      <c r="A468" s="569"/>
      <c r="B468" s="574"/>
      <c r="C468" s="575"/>
      <c r="D468" s="576"/>
      <c r="E468" s="101"/>
      <c r="F468" s="101"/>
      <c r="G468" s="35"/>
      <c r="H468" s="104"/>
      <c r="I468" s="35"/>
      <c r="J468" s="74"/>
      <c r="K468" s="74"/>
      <c r="L468" s="74"/>
      <c r="M468" s="74"/>
      <c r="N468" s="74"/>
      <c r="O468" s="74"/>
      <c r="P468" s="74"/>
      <c r="Q468" s="74"/>
      <c r="R468" s="74"/>
      <c r="S468" s="74"/>
      <c r="T468" s="74"/>
      <c r="U468" s="74"/>
      <c r="V468" s="74"/>
      <c r="W468" s="74"/>
      <c r="X468" s="74"/>
      <c r="Y468" s="74"/>
      <c r="Z468" s="74"/>
      <c r="AA468" s="74"/>
      <c r="AB468" s="74"/>
    </row>
    <row r="469" spans="1:28" ht="12" customHeight="1">
      <c r="A469" s="569"/>
      <c r="B469" s="574"/>
      <c r="C469" s="575"/>
      <c r="D469" s="576"/>
      <c r="E469" s="101"/>
      <c r="F469" s="101"/>
      <c r="G469" s="35"/>
      <c r="H469" s="104"/>
      <c r="I469" s="35"/>
      <c r="J469" s="74"/>
      <c r="K469" s="74"/>
      <c r="L469" s="74"/>
      <c r="M469" s="74"/>
      <c r="N469" s="74"/>
      <c r="O469" s="74"/>
      <c r="P469" s="74"/>
      <c r="Q469" s="74"/>
      <c r="R469" s="74"/>
      <c r="S469" s="74"/>
      <c r="T469" s="74"/>
      <c r="U469" s="74"/>
      <c r="V469" s="74"/>
      <c r="W469" s="74"/>
      <c r="X469" s="74"/>
      <c r="Y469" s="74"/>
      <c r="Z469" s="74"/>
      <c r="AA469" s="74"/>
      <c r="AB469" s="74"/>
    </row>
    <row r="470" spans="1:28" ht="12" customHeight="1">
      <c r="A470" s="569"/>
      <c r="B470" s="574"/>
      <c r="C470" s="575"/>
      <c r="D470" s="576"/>
      <c r="E470" s="101"/>
      <c r="F470" s="101"/>
      <c r="G470" s="35"/>
      <c r="H470" s="104"/>
      <c r="I470" s="35"/>
      <c r="J470" s="74"/>
      <c r="K470" s="74"/>
      <c r="L470" s="74"/>
      <c r="M470" s="74"/>
      <c r="N470" s="74"/>
      <c r="O470" s="74"/>
      <c r="P470" s="74"/>
      <c r="Q470" s="74"/>
      <c r="R470" s="74"/>
      <c r="S470" s="74"/>
      <c r="T470" s="74"/>
      <c r="U470" s="74"/>
      <c r="V470" s="74"/>
      <c r="W470" s="74"/>
      <c r="X470" s="74"/>
      <c r="Y470" s="74"/>
      <c r="Z470" s="74"/>
      <c r="AA470" s="74"/>
      <c r="AB470" s="74"/>
    </row>
    <row r="471" spans="1:28" ht="12" customHeight="1">
      <c r="A471" s="569"/>
      <c r="B471" s="574"/>
      <c r="C471" s="575"/>
      <c r="D471" s="576"/>
      <c r="E471" s="101"/>
      <c r="F471" s="101"/>
      <c r="G471" s="35"/>
      <c r="H471" s="104"/>
      <c r="I471" s="35"/>
      <c r="J471" s="74"/>
      <c r="K471" s="74"/>
      <c r="L471" s="74"/>
      <c r="M471" s="74"/>
      <c r="N471" s="74"/>
      <c r="O471" s="74"/>
      <c r="P471" s="74"/>
      <c r="Q471" s="74"/>
      <c r="R471" s="74"/>
      <c r="S471" s="74"/>
      <c r="T471" s="74"/>
      <c r="U471" s="74"/>
      <c r="V471" s="74"/>
      <c r="W471" s="74"/>
      <c r="X471" s="74"/>
      <c r="Y471" s="74"/>
      <c r="Z471" s="74"/>
      <c r="AA471" s="74"/>
      <c r="AB471" s="74"/>
    </row>
    <row r="472" spans="1:28" ht="12" customHeight="1">
      <c r="A472" s="569"/>
      <c r="B472" s="574"/>
      <c r="C472" s="575"/>
      <c r="D472" s="576"/>
      <c r="E472" s="101"/>
      <c r="F472" s="101"/>
      <c r="G472" s="35"/>
      <c r="H472" s="104"/>
      <c r="I472" s="35"/>
      <c r="J472" s="74"/>
      <c r="K472" s="74"/>
      <c r="L472" s="74"/>
      <c r="M472" s="74"/>
      <c r="N472" s="74"/>
      <c r="O472" s="74"/>
      <c r="P472" s="74"/>
      <c r="Q472" s="74"/>
      <c r="R472" s="74"/>
      <c r="S472" s="74"/>
      <c r="T472" s="74"/>
      <c r="U472" s="74"/>
      <c r="V472" s="74"/>
      <c r="W472" s="74"/>
      <c r="X472" s="74"/>
      <c r="Y472" s="74"/>
      <c r="Z472" s="74"/>
      <c r="AA472" s="74"/>
      <c r="AB472" s="74"/>
    </row>
    <row r="473" spans="1:28" ht="12" customHeight="1">
      <c r="A473" s="569"/>
      <c r="B473" s="574"/>
      <c r="C473" s="575"/>
      <c r="D473" s="576"/>
      <c r="E473" s="101"/>
      <c r="F473" s="101"/>
      <c r="G473" s="35"/>
      <c r="H473" s="104"/>
      <c r="I473" s="35"/>
      <c r="J473" s="74"/>
      <c r="K473" s="74"/>
      <c r="L473" s="74"/>
      <c r="M473" s="74"/>
      <c r="N473" s="74"/>
      <c r="O473" s="74"/>
      <c r="P473" s="74"/>
      <c r="Q473" s="74"/>
      <c r="R473" s="74"/>
      <c r="S473" s="74"/>
      <c r="T473" s="74"/>
      <c r="U473" s="74"/>
      <c r="V473" s="74"/>
      <c r="W473" s="74"/>
      <c r="X473" s="74"/>
      <c r="Y473" s="74"/>
      <c r="Z473" s="74"/>
      <c r="AA473" s="74"/>
      <c r="AB473" s="74"/>
    </row>
    <row r="474" spans="1:28" ht="12" customHeight="1">
      <c r="A474" s="569"/>
      <c r="B474" s="574"/>
      <c r="C474" s="575"/>
      <c r="D474" s="576"/>
      <c r="E474" s="101"/>
      <c r="F474" s="101"/>
      <c r="G474" s="35"/>
      <c r="H474" s="104"/>
      <c r="I474" s="35"/>
      <c r="J474" s="74"/>
      <c r="K474" s="74"/>
      <c r="L474" s="74"/>
      <c r="M474" s="74"/>
      <c r="N474" s="74"/>
      <c r="O474" s="74"/>
      <c r="P474" s="74"/>
      <c r="Q474" s="74"/>
      <c r="R474" s="74"/>
      <c r="S474" s="74"/>
      <c r="T474" s="74"/>
      <c r="U474" s="74"/>
      <c r="V474" s="74"/>
      <c r="W474" s="74"/>
      <c r="X474" s="74"/>
      <c r="Y474" s="74"/>
      <c r="Z474" s="74"/>
      <c r="AA474" s="74"/>
      <c r="AB474" s="74"/>
    </row>
    <row r="475" spans="1:28" ht="12" customHeight="1">
      <c r="A475" s="569"/>
      <c r="B475" s="574"/>
      <c r="C475" s="575"/>
      <c r="D475" s="576"/>
      <c r="E475" s="101"/>
      <c r="F475" s="101"/>
      <c r="G475" s="35"/>
      <c r="H475" s="104"/>
      <c r="I475" s="35"/>
      <c r="J475" s="74"/>
      <c r="K475" s="74"/>
      <c r="L475" s="74"/>
      <c r="M475" s="74"/>
      <c r="N475" s="74"/>
      <c r="O475" s="74"/>
      <c r="P475" s="74"/>
      <c r="Q475" s="74"/>
      <c r="R475" s="74"/>
      <c r="S475" s="74"/>
      <c r="T475" s="74"/>
      <c r="U475" s="74"/>
      <c r="V475" s="74"/>
      <c r="W475" s="74"/>
      <c r="X475" s="74"/>
      <c r="Y475" s="74"/>
      <c r="Z475" s="74"/>
      <c r="AA475" s="74"/>
      <c r="AB475" s="74"/>
    </row>
    <row r="476" spans="1:28" ht="12" customHeight="1">
      <c r="A476" s="569"/>
      <c r="B476" s="574"/>
      <c r="C476" s="575"/>
      <c r="D476" s="576"/>
      <c r="E476" s="101"/>
      <c r="F476" s="101"/>
      <c r="G476" s="35"/>
      <c r="H476" s="104"/>
      <c r="I476" s="35"/>
      <c r="J476" s="74"/>
      <c r="K476" s="74"/>
      <c r="L476" s="74"/>
      <c r="M476" s="74"/>
      <c r="N476" s="74"/>
      <c r="O476" s="74"/>
      <c r="P476" s="74"/>
      <c r="Q476" s="74"/>
      <c r="R476" s="74"/>
      <c r="S476" s="74"/>
      <c r="T476" s="74"/>
      <c r="U476" s="74"/>
      <c r="V476" s="74"/>
      <c r="W476" s="74"/>
      <c r="X476" s="74"/>
      <c r="Y476" s="74"/>
      <c r="Z476" s="74"/>
      <c r="AA476" s="74"/>
      <c r="AB476" s="74"/>
    </row>
    <row r="477" spans="1:28" ht="12" customHeight="1">
      <c r="A477" s="569"/>
      <c r="B477" s="574"/>
      <c r="C477" s="575"/>
      <c r="D477" s="576"/>
      <c r="E477" s="101"/>
      <c r="F477" s="101"/>
      <c r="G477" s="35"/>
      <c r="H477" s="104"/>
      <c r="I477" s="35"/>
      <c r="J477" s="74"/>
      <c r="K477" s="74"/>
      <c r="L477" s="74"/>
      <c r="M477" s="74"/>
      <c r="N477" s="74"/>
      <c r="O477" s="74"/>
      <c r="P477" s="74"/>
      <c r="Q477" s="74"/>
      <c r="R477" s="74"/>
      <c r="S477" s="74"/>
      <c r="T477" s="74"/>
      <c r="U477" s="74"/>
      <c r="V477" s="74"/>
      <c r="W477" s="74"/>
      <c r="X477" s="74"/>
      <c r="Y477" s="74"/>
      <c r="Z477" s="74"/>
      <c r="AA477" s="74"/>
      <c r="AB477" s="74"/>
    </row>
    <row r="478" spans="1:28" ht="12" customHeight="1">
      <c r="A478" s="569"/>
      <c r="B478" s="574"/>
      <c r="C478" s="575"/>
      <c r="D478" s="576"/>
      <c r="E478" s="101"/>
      <c r="F478" s="101"/>
      <c r="G478" s="35"/>
      <c r="H478" s="104"/>
      <c r="I478" s="35"/>
      <c r="J478" s="74"/>
      <c r="K478" s="74"/>
      <c r="L478" s="74"/>
      <c r="M478" s="74"/>
      <c r="N478" s="74"/>
      <c r="O478" s="74"/>
      <c r="P478" s="74"/>
      <c r="Q478" s="74"/>
      <c r="R478" s="74"/>
      <c r="S478" s="74"/>
      <c r="T478" s="74"/>
      <c r="U478" s="74"/>
      <c r="V478" s="74"/>
      <c r="W478" s="74"/>
      <c r="X478" s="74"/>
      <c r="Y478" s="74"/>
      <c r="Z478" s="74"/>
      <c r="AA478" s="74"/>
      <c r="AB478" s="74"/>
    </row>
    <row r="479" spans="1:28" ht="12" customHeight="1">
      <c r="A479" s="569"/>
      <c r="B479" s="574"/>
      <c r="C479" s="575"/>
      <c r="D479" s="576"/>
      <c r="E479" s="101"/>
      <c r="F479" s="101"/>
      <c r="G479" s="35"/>
      <c r="H479" s="104"/>
      <c r="I479" s="35"/>
      <c r="J479" s="74"/>
      <c r="K479" s="74"/>
      <c r="L479" s="74"/>
      <c r="M479" s="74"/>
      <c r="N479" s="74"/>
      <c r="O479" s="74"/>
      <c r="P479" s="74"/>
      <c r="Q479" s="74"/>
      <c r="R479" s="74"/>
      <c r="S479" s="74"/>
      <c r="T479" s="74"/>
      <c r="U479" s="74"/>
      <c r="V479" s="74"/>
      <c r="W479" s="74"/>
      <c r="X479" s="74"/>
      <c r="Y479" s="74"/>
      <c r="Z479" s="74"/>
      <c r="AA479" s="74"/>
      <c r="AB479" s="74"/>
    </row>
    <row r="480" spans="1:28" ht="12" customHeight="1">
      <c r="A480" s="569"/>
      <c r="B480" s="574"/>
      <c r="C480" s="575"/>
      <c r="D480" s="576"/>
      <c r="E480" s="101"/>
      <c r="F480" s="101"/>
      <c r="G480" s="35"/>
      <c r="H480" s="104"/>
      <c r="I480" s="35"/>
      <c r="J480" s="74"/>
      <c r="K480" s="74"/>
      <c r="L480" s="74"/>
      <c r="M480" s="74"/>
      <c r="N480" s="74"/>
      <c r="O480" s="74"/>
      <c r="P480" s="74"/>
      <c r="Q480" s="74"/>
      <c r="R480" s="74"/>
      <c r="S480" s="74"/>
      <c r="T480" s="74"/>
      <c r="U480" s="74"/>
      <c r="V480" s="74"/>
      <c r="W480" s="74"/>
      <c r="X480" s="74"/>
      <c r="Y480" s="74"/>
      <c r="Z480" s="74"/>
      <c r="AA480" s="74"/>
      <c r="AB480" s="74"/>
    </row>
    <row r="481" spans="1:28" ht="12" customHeight="1">
      <c r="A481" s="569"/>
      <c r="B481" s="574"/>
      <c r="C481" s="575"/>
      <c r="D481" s="576"/>
      <c r="E481" s="101"/>
      <c r="F481" s="101"/>
      <c r="G481" s="35"/>
      <c r="H481" s="104"/>
      <c r="I481" s="35"/>
      <c r="J481" s="74"/>
      <c r="K481" s="74"/>
      <c r="L481" s="74"/>
      <c r="M481" s="74"/>
      <c r="N481" s="74"/>
      <c r="O481" s="74"/>
      <c r="P481" s="74"/>
      <c r="Q481" s="74"/>
      <c r="R481" s="74"/>
      <c r="S481" s="74"/>
      <c r="T481" s="74"/>
      <c r="U481" s="74"/>
      <c r="V481" s="74"/>
      <c r="W481" s="74"/>
      <c r="X481" s="74"/>
      <c r="Y481" s="74"/>
      <c r="Z481" s="74"/>
      <c r="AA481" s="74"/>
      <c r="AB481" s="74"/>
    </row>
    <row r="482" spans="1:28" ht="12" customHeight="1">
      <c r="A482" s="569"/>
      <c r="B482" s="574"/>
      <c r="C482" s="575"/>
      <c r="D482" s="576"/>
      <c r="E482" s="101"/>
      <c r="F482" s="101"/>
      <c r="G482" s="35"/>
      <c r="H482" s="104"/>
      <c r="I482" s="35"/>
      <c r="J482" s="74"/>
      <c r="K482" s="74"/>
      <c r="L482" s="74"/>
      <c r="M482" s="74"/>
      <c r="N482" s="74"/>
      <c r="O482" s="74"/>
      <c r="P482" s="74"/>
      <c r="Q482" s="74"/>
      <c r="R482" s="74"/>
      <c r="S482" s="74"/>
      <c r="T482" s="74"/>
      <c r="U482" s="74"/>
      <c r="V482" s="74"/>
      <c r="W482" s="74"/>
      <c r="X482" s="74"/>
      <c r="Y482" s="74"/>
      <c r="Z482" s="74"/>
      <c r="AA482" s="74"/>
      <c r="AB482" s="74"/>
    </row>
    <row r="483" spans="1:28" ht="12" customHeight="1">
      <c r="A483" s="569"/>
      <c r="B483" s="574"/>
      <c r="C483" s="575"/>
      <c r="D483" s="576"/>
      <c r="E483" s="101"/>
      <c r="F483" s="101"/>
      <c r="G483" s="35"/>
      <c r="H483" s="104"/>
      <c r="I483" s="35"/>
      <c r="J483" s="74"/>
      <c r="K483" s="74"/>
      <c r="L483" s="74"/>
      <c r="M483" s="74"/>
      <c r="N483" s="74"/>
      <c r="O483" s="74"/>
      <c r="P483" s="74"/>
      <c r="Q483" s="74"/>
      <c r="R483" s="74"/>
      <c r="S483" s="74"/>
      <c r="T483" s="74"/>
      <c r="U483" s="74"/>
      <c r="V483" s="74"/>
      <c r="W483" s="74"/>
      <c r="X483" s="74"/>
      <c r="Y483" s="74"/>
      <c r="Z483" s="74"/>
      <c r="AA483" s="74"/>
      <c r="AB483" s="74"/>
    </row>
    <row r="484" spans="1:28" ht="12" customHeight="1">
      <c r="A484" s="569"/>
      <c r="B484" s="574"/>
      <c r="C484" s="575"/>
      <c r="D484" s="576"/>
      <c r="E484" s="101"/>
      <c r="F484" s="101"/>
      <c r="G484" s="35"/>
      <c r="H484" s="104"/>
      <c r="I484" s="35"/>
      <c r="J484" s="74"/>
      <c r="K484" s="74"/>
      <c r="L484" s="74"/>
      <c r="M484" s="74"/>
      <c r="N484" s="74"/>
      <c r="O484" s="74"/>
      <c r="P484" s="74"/>
      <c r="Q484" s="74"/>
      <c r="R484" s="74"/>
      <c r="S484" s="74"/>
      <c r="T484" s="74"/>
      <c r="U484" s="74"/>
      <c r="V484" s="74"/>
      <c r="W484" s="74"/>
      <c r="X484" s="74"/>
      <c r="Y484" s="74"/>
      <c r="Z484" s="74"/>
      <c r="AA484" s="74"/>
      <c r="AB484" s="74"/>
    </row>
    <row r="485" spans="1:28" ht="12" customHeight="1">
      <c r="A485" s="569"/>
      <c r="B485" s="574"/>
      <c r="C485" s="575"/>
      <c r="D485" s="576"/>
      <c r="E485" s="101"/>
      <c r="F485" s="101"/>
      <c r="G485" s="35"/>
      <c r="H485" s="104"/>
      <c r="I485" s="35"/>
      <c r="J485" s="74"/>
      <c r="K485" s="74"/>
      <c r="L485" s="74"/>
      <c r="M485" s="74"/>
      <c r="N485" s="74"/>
      <c r="O485" s="74"/>
      <c r="P485" s="74"/>
      <c r="Q485" s="74"/>
      <c r="R485" s="74"/>
      <c r="S485" s="74"/>
      <c r="T485" s="74"/>
      <c r="U485" s="74"/>
      <c r="V485" s="74"/>
      <c r="W485" s="74"/>
      <c r="X485" s="74"/>
      <c r="Y485" s="74"/>
      <c r="Z485" s="74"/>
      <c r="AA485" s="74"/>
      <c r="AB485" s="74"/>
    </row>
    <row r="486" spans="1:28" ht="12" customHeight="1">
      <c r="A486" s="569"/>
      <c r="B486" s="574"/>
      <c r="C486" s="575"/>
      <c r="D486" s="576"/>
      <c r="E486" s="101"/>
      <c r="F486" s="101"/>
      <c r="G486" s="35"/>
      <c r="H486" s="104"/>
      <c r="I486" s="35"/>
      <c r="J486" s="74"/>
      <c r="K486" s="74"/>
      <c r="L486" s="74"/>
      <c r="M486" s="74"/>
      <c r="N486" s="74"/>
      <c r="O486" s="74"/>
      <c r="P486" s="74"/>
      <c r="Q486" s="74"/>
      <c r="R486" s="74"/>
      <c r="S486" s="74"/>
      <c r="T486" s="74"/>
      <c r="U486" s="74"/>
      <c r="V486" s="74"/>
      <c r="W486" s="74"/>
      <c r="X486" s="74"/>
      <c r="Y486" s="74"/>
      <c r="Z486" s="74"/>
      <c r="AA486" s="74"/>
      <c r="AB486" s="74"/>
    </row>
    <row r="487" spans="1:28" ht="12" customHeight="1">
      <c r="A487" s="569"/>
      <c r="B487" s="574"/>
      <c r="C487" s="575"/>
      <c r="D487" s="576"/>
      <c r="E487" s="101"/>
      <c r="F487" s="101"/>
      <c r="G487" s="35"/>
      <c r="H487" s="104"/>
      <c r="I487" s="35"/>
      <c r="J487" s="74"/>
      <c r="K487" s="74"/>
      <c r="L487" s="74"/>
      <c r="M487" s="74"/>
      <c r="N487" s="74"/>
      <c r="O487" s="74"/>
      <c r="P487" s="74"/>
      <c r="Q487" s="74"/>
      <c r="R487" s="74"/>
      <c r="S487" s="74"/>
      <c r="T487" s="74"/>
      <c r="U487" s="74"/>
      <c r="V487" s="74"/>
      <c r="W487" s="74"/>
      <c r="X487" s="74"/>
      <c r="Y487" s="74"/>
      <c r="Z487" s="74"/>
      <c r="AA487" s="74"/>
      <c r="AB487" s="74"/>
    </row>
    <row r="488" spans="1:28" ht="12" customHeight="1">
      <c r="A488" s="569"/>
      <c r="B488" s="574"/>
      <c r="C488" s="575"/>
      <c r="D488" s="576"/>
      <c r="E488" s="101"/>
      <c r="F488" s="101"/>
      <c r="G488" s="35"/>
      <c r="H488" s="104"/>
      <c r="I488" s="35"/>
      <c r="J488" s="74"/>
      <c r="K488" s="74"/>
      <c r="L488" s="74"/>
      <c r="M488" s="74"/>
      <c r="N488" s="74"/>
      <c r="O488" s="74"/>
      <c r="P488" s="74"/>
      <c r="Q488" s="74"/>
      <c r="R488" s="74"/>
      <c r="S488" s="74"/>
      <c r="T488" s="74"/>
      <c r="U488" s="74"/>
      <c r="V488" s="74"/>
      <c r="W488" s="74"/>
      <c r="X488" s="74"/>
      <c r="Y488" s="74"/>
      <c r="Z488" s="74"/>
      <c r="AA488" s="74"/>
      <c r="AB488" s="74"/>
    </row>
    <row r="489" spans="1:28" ht="12" customHeight="1">
      <c r="A489" s="569"/>
      <c r="B489" s="574"/>
      <c r="C489" s="575"/>
      <c r="D489" s="576"/>
      <c r="E489" s="101"/>
      <c r="F489" s="101"/>
      <c r="G489" s="35"/>
      <c r="H489" s="104"/>
      <c r="I489" s="35"/>
      <c r="J489" s="74"/>
      <c r="K489" s="74"/>
      <c r="L489" s="74"/>
      <c r="M489" s="74"/>
      <c r="N489" s="74"/>
      <c r="O489" s="74"/>
      <c r="P489" s="74"/>
      <c r="Q489" s="74"/>
      <c r="R489" s="74"/>
      <c r="S489" s="74"/>
      <c r="T489" s="74"/>
      <c r="U489" s="74"/>
      <c r="V489" s="74"/>
      <c r="W489" s="74"/>
      <c r="X489" s="74"/>
      <c r="Y489" s="74"/>
      <c r="Z489" s="74"/>
      <c r="AA489" s="74"/>
      <c r="AB489" s="74"/>
    </row>
    <row r="490" spans="1:28" ht="12" customHeight="1">
      <c r="A490" s="569"/>
      <c r="B490" s="574"/>
      <c r="C490" s="575"/>
      <c r="D490" s="576"/>
      <c r="E490" s="101"/>
      <c r="F490" s="101"/>
      <c r="G490" s="35"/>
      <c r="H490" s="104"/>
      <c r="I490" s="35"/>
      <c r="J490" s="74"/>
      <c r="K490" s="74"/>
      <c r="L490" s="74"/>
      <c r="M490" s="74"/>
      <c r="N490" s="74"/>
      <c r="O490" s="74"/>
      <c r="P490" s="74"/>
      <c r="Q490" s="74"/>
      <c r="R490" s="74"/>
      <c r="S490" s="74"/>
      <c r="T490" s="74"/>
      <c r="U490" s="74"/>
      <c r="V490" s="74"/>
      <c r="W490" s="74"/>
      <c r="X490" s="74"/>
      <c r="Y490" s="74"/>
      <c r="Z490" s="74"/>
      <c r="AA490" s="74"/>
      <c r="AB490" s="74"/>
    </row>
    <row r="491" spans="1:28" ht="12" customHeight="1">
      <c r="A491" s="569"/>
      <c r="B491" s="574"/>
      <c r="C491" s="575"/>
      <c r="D491" s="576"/>
      <c r="E491" s="101"/>
      <c r="F491" s="101"/>
      <c r="G491" s="35"/>
      <c r="H491" s="104"/>
      <c r="I491" s="35"/>
      <c r="J491" s="74"/>
      <c r="K491" s="74"/>
      <c r="L491" s="74"/>
      <c r="M491" s="74"/>
      <c r="N491" s="74"/>
      <c r="O491" s="74"/>
      <c r="P491" s="74"/>
      <c r="Q491" s="74"/>
      <c r="R491" s="74"/>
      <c r="S491" s="74"/>
      <c r="T491" s="74"/>
      <c r="U491" s="74"/>
      <c r="V491" s="74"/>
      <c r="W491" s="74"/>
      <c r="X491" s="74"/>
      <c r="Y491" s="74"/>
      <c r="Z491" s="74"/>
      <c r="AA491" s="74"/>
      <c r="AB491" s="74"/>
    </row>
    <row r="492" spans="1:28" ht="12" customHeight="1">
      <c r="A492" s="569"/>
      <c r="B492" s="574"/>
      <c r="C492" s="575"/>
      <c r="D492" s="576"/>
      <c r="E492" s="101"/>
      <c r="F492" s="101"/>
      <c r="G492" s="35"/>
      <c r="H492" s="104"/>
      <c r="I492" s="35"/>
      <c r="J492" s="74"/>
      <c r="K492" s="74"/>
      <c r="L492" s="74"/>
      <c r="M492" s="74"/>
      <c r="N492" s="74"/>
      <c r="O492" s="74"/>
      <c r="P492" s="74"/>
      <c r="Q492" s="74"/>
      <c r="R492" s="74"/>
      <c r="S492" s="74"/>
      <c r="T492" s="74"/>
      <c r="U492" s="74"/>
      <c r="V492" s="74"/>
      <c r="W492" s="74"/>
      <c r="X492" s="74"/>
      <c r="Y492" s="74"/>
      <c r="Z492" s="74"/>
      <c r="AA492" s="74"/>
      <c r="AB492" s="74"/>
    </row>
    <row r="493" spans="1:28" ht="12" customHeight="1">
      <c r="A493" s="569"/>
      <c r="B493" s="574"/>
      <c r="C493" s="575"/>
      <c r="D493" s="576"/>
      <c r="E493" s="101"/>
      <c r="F493" s="101"/>
      <c r="G493" s="35"/>
      <c r="H493" s="104"/>
      <c r="I493" s="35"/>
      <c r="J493" s="74"/>
      <c r="K493" s="74"/>
      <c r="L493" s="74"/>
      <c r="M493" s="74"/>
      <c r="N493" s="74"/>
      <c r="O493" s="74"/>
      <c r="P493" s="74"/>
      <c r="Q493" s="74"/>
      <c r="R493" s="74"/>
      <c r="S493" s="74"/>
      <c r="T493" s="74"/>
      <c r="U493" s="74"/>
      <c r="V493" s="74"/>
      <c r="W493" s="74"/>
      <c r="X493" s="74"/>
      <c r="Y493" s="74"/>
      <c r="Z493" s="74"/>
      <c r="AA493" s="74"/>
      <c r="AB493" s="74"/>
    </row>
    <row r="494" spans="1:28" ht="12" customHeight="1">
      <c r="A494" s="569"/>
      <c r="B494" s="574"/>
      <c r="C494" s="575"/>
      <c r="D494" s="576"/>
      <c r="E494" s="101"/>
      <c r="F494" s="101"/>
      <c r="G494" s="35"/>
      <c r="H494" s="104"/>
      <c r="I494" s="35"/>
      <c r="J494" s="74"/>
      <c r="K494" s="74"/>
      <c r="L494" s="74"/>
      <c r="M494" s="74"/>
      <c r="N494" s="74"/>
      <c r="O494" s="74"/>
      <c r="P494" s="74"/>
      <c r="Q494" s="74"/>
      <c r="R494" s="74"/>
      <c r="S494" s="74"/>
      <c r="T494" s="74"/>
      <c r="U494" s="74"/>
      <c r="V494" s="74"/>
      <c r="W494" s="74"/>
      <c r="X494" s="74"/>
      <c r="Y494" s="74"/>
      <c r="Z494" s="74"/>
      <c r="AA494" s="74"/>
      <c r="AB494" s="74"/>
    </row>
    <row r="495" spans="1:28" ht="12" customHeight="1">
      <c r="A495" s="569"/>
      <c r="B495" s="574"/>
      <c r="C495" s="575"/>
      <c r="D495" s="576"/>
      <c r="E495" s="101"/>
      <c r="F495" s="101"/>
      <c r="G495" s="35"/>
      <c r="H495" s="104"/>
      <c r="I495" s="35"/>
      <c r="J495" s="74"/>
      <c r="K495" s="74"/>
      <c r="L495" s="74"/>
      <c r="M495" s="74"/>
      <c r="N495" s="74"/>
      <c r="O495" s="74"/>
      <c r="P495" s="74"/>
      <c r="Q495" s="74"/>
      <c r="R495" s="74"/>
      <c r="S495" s="74"/>
      <c r="T495" s="74"/>
      <c r="U495" s="74"/>
      <c r="V495" s="74"/>
      <c r="W495" s="74"/>
      <c r="X495" s="74"/>
      <c r="Y495" s="74"/>
      <c r="Z495" s="74"/>
      <c r="AA495" s="74"/>
      <c r="AB495" s="74"/>
    </row>
    <row r="496" spans="1:28" ht="12" customHeight="1">
      <c r="A496" s="569"/>
      <c r="B496" s="574"/>
      <c r="C496" s="575"/>
      <c r="D496" s="576"/>
      <c r="E496" s="101"/>
      <c r="F496" s="101"/>
      <c r="G496" s="35"/>
      <c r="H496" s="104"/>
      <c r="I496" s="35"/>
      <c r="J496" s="74"/>
      <c r="K496" s="74"/>
      <c r="L496" s="74"/>
      <c r="M496" s="74"/>
      <c r="N496" s="74"/>
      <c r="O496" s="74"/>
      <c r="P496" s="74"/>
      <c r="Q496" s="74"/>
      <c r="R496" s="74"/>
      <c r="S496" s="74"/>
      <c r="T496" s="74"/>
      <c r="U496" s="74"/>
      <c r="V496" s="74"/>
      <c r="W496" s="74"/>
      <c r="X496" s="74"/>
      <c r="Y496" s="74"/>
      <c r="Z496" s="74"/>
      <c r="AA496" s="74"/>
      <c r="AB496" s="74"/>
    </row>
    <row r="497" spans="1:28" ht="12" customHeight="1">
      <c r="A497" s="569"/>
      <c r="B497" s="574"/>
      <c r="C497" s="575"/>
      <c r="D497" s="576"/>
      <c r="E497" s="101"/>
      <c r="F497" s="101"/>
      <c r="G497" s="35"/>
      <c r="H497" s="104"/>
      <c r="I497" s="35"/>
      <c r="J497" s="74"/>
      <c r="K497" s="74"/>
      <c r="L497" s="74"/>
      <c r="M497" s="74"/>
      <c r="N497" s="74"/>
      <c r="O497" s="74"/>
      <c r="P497" s="74"/>
      <c r="Q497" s="74"/>
      <c r="R497" s="74"/>
      <c r="S497" s="74"/>
      <c r="T497" s="74"/>
      <c r="U497" s="74"/>
      <c r="V497" s="74"/>
      <c r="W497" s="74"/>
      <c r="X497" s="74"/>
      <c r="Y497" s="74"/>
      <c r="Z497" s="74"/>
      <c r="AA497" s="74"/>
      <c r="AB497" s="74"/>
    </row>
    <row r="498" spans="1:28" ht="12" customHeight="1">
      <c r="A498" s="569"/>
      <c r="B498" s="574"/>
      <c r="C498" s="575"/>
      <c r="D498" s="576"/>
      <c r="E498" s="101"/>
      <c r="F498" s="101"/>
      <c r="G498" s="35"/>
      <c r="H498" s="104"/>
      <c r="I498" s="35"/>
      <c r="J498" s="74"/>
      <c r="K498" s="74"/>
      <c r="L498" s="74"/>
      <c r="M498" s="74"/>
      <c r="N498" s="74"/>
      <c r="O498" s="74"/>
      <c r="P498" s="74"/>
      <c r="Q498" s="74"/>
      <c r="R498" s="74"/>
      <c r="S498" s="74"/>
      <c r="T498" s="74"/>
      <c r="U498" s="74"/>
      <c r="V498" s="74"/>
      <c r="W498" s="74"/>
      <c r="X498" s="74"/>
      <c r="Y498" s="74"/>
      <c r="Z498" s="74"/>
      <c r="AA498" s="74"/>
      <c r="AB498" s="74"/>
    </row>
    <row r="499" spans="1:28" ht="12" customHeight="1">
      <c r="A499" s="569"/>
      <c r="B499" s="574"/>
      <c r="C499" s="575"/>
      <c r="D499" s="576"/>
      <c r="E499" s="101"/>
      <c r="F499" s="101"/>
      <c r="G499" s="35"/>
      <c r="H499" s="104"/>
      <c r="I499" s="35"/>
      <c r="J499" s="74"/>
      <c r="K499" s="74"/>
      <c r="L499" s="74"/>
      <c r="M499" s="74"/>
      <c r="N499" s="74"/>
      <c r="O499" s="74"/>
      <c r="P499" s="74"/>
      <c r="Q499" s="74"/>
      <c r="R499" s="74"/>
      <c r="S499" s="74"/>
      <c r="T499" s="74"/>
      <c r="U499" s="74"/>
      <c r="V499" s="74"/>
      <c r="W499" s="74"/>
      <c r="X499" s="74"/>
      <c r="Y499" s="74"/>
      <c r="Z499" s="74"/>
      <c r="AA499" s="74"/>
      <c r="AB499" s="74"/>
    </row>
    <row r="500" spans="1:28" ht="12" customHeight="1">
      <c r="A500" s="569"/>
      <c r="B500" s="574"/>
      <c r="C500" s="575"/>
      <c r="D500" s="576"/>
      <c r="E500" s="101"/>
      <c r="F500" s="101"/>
      <c r="G500" s="35"/>
      <c r="H500" s="104"/>
      <c r="I500" s="35"/>
      <c r="J500" s="74"/>
      <c r="K500" s="74"/>
      <c r="L500" s="74"/>
      <c r="M500" s="74"/>
      <c r="N500" s="74"/>
      <c r="O500" s="74"/>
      <c r="P500" s="74"/>
      <c r="Q500" s="74"/>
      <c r="R500" s="74"/>
      <c r="S500" s="74"/>
      <c r="T500" s="74"/>
      <c r="U500" s="74"/>
      <c r="V500" s="74"/>
      <c r="W500" s="74"/>
      <c r="X500" s="74"/>
      <c r="Y500" s="74"/>
      <c r="Z500" s="74"/>
      <c r="AA500" s="74"/>
      <c r="AB500" s="74"/>
    </row>
    <row r="501" spans="1:28" ht="12" customHeight="1">
      <c r="A501" s="569"/>
      <c r="B501" s="574"/>
      <c r="C501" s="575"/>
      <c r="D501" s="576"/>
      <c r="E501" s="101"/>
      <c r="F501" s="101"/>
      <c r="G501" s="35"/>
      <c r="H501" s="104"/>
      <c r="I501" s="35"/>
      <c r="J501" s="74"/>
      <c r="K501" s="74"/>
      <c r="L501" s="74"/>
      <c r="M501" s="74"/>
      <c r="N501" s="74"/>
      <c r="O501" s="74"/>
      <c r="P501" s="74"/>
      <c r="Q501" s="74"/>
      <c r="R501" s="74"/>
      <c r="S501" s="74"/>
      <c r="T501" s="74"/>
      <c r="U501" s="74"/>
      <c r="V501" s="74"/>
      <c r="W501" s="74"/>
      <c r="X501" s="74"/>
      <c r="Y501" s="74"/>
      <c r="Z501" s="74"/>
      <c r="AA501" s="74"/>
      <c r="AB501" s="74"/>
    </row>
    <row r="502" spans="1:28" ht="12" customHeight="1">
      <c r="A502" s="569"/>
      <c r="B502" s="574"/>
      <c r="C502" s="575"/>
      <c r="D502" s="576"/>
      <c r="E502" s="101"/>
      <c r="F502" s="101"/>
      <c r="G502" s="35"/>
      <c r="H502" s="104"/>
      <c r="I502" s="35"/>
      <c r="J502" s="74"/>
      <c r="K502" s="74"/>
      <c r="L502" s="74"/>
      <c r="M502" s="74"/>
      <c r="N502" s="74"/>
      <c r="O502" s="74"/>
      <c r="P502" s="74"/>
      <c r="Q502" s="74"/>
      <c r="R502" s="74"/>
      <c r="S502" s="74"/>
      <c r="T502" s="74"/>
      <c r="U502" s="74"/>
      <c r="V502" s="74"/>
      <c r="W502" s="74"/>
      <c r="X502" s="74"/>
      <c r="Y502" s="74"/>
      <c r="Z502" s="74"/>
      <c r="AA502" s="74"/>
      <c r="AB502" s="74"/>
    </row>
    <row r="503" spans="1:28" ht="12" customHeight="1">
      <c r="A503" s="569"/>
      <c r="B503" s="574"/>
      <c r="C503" s="575"/>
      <c r="D503" s="576"/>
      <c r="E503" s="101"/>
      <c r="F503" s="101"/>
      <c r="G503" s="35"/>
      <c r="H503" s="104"/>
      <c r="I503" s="35"/>
      <c r="J503" s="74"/>
      <c r="K503" s="74"/>
      <c r="L503" s="74"/>
      <c r="M503" s="74"/>
      <c r="N503" s="74"/>
      <c r="O503" s="74"/>
      <c r="P503" s="74"/>
      <c r="Q503" s="74"/>
      <c r="R503" s="74"/>
      <c r="S503" s="74"/>
      <c r="T503" s="74"/>
      <c r="U503" s="74"/>
      <c r="V503" s="74"/>
      <c r="W503" s="74"/>
      <c r="X503" s="74"/>
      <c r="Y503" s="74"/>
      <c r="Z503" s="74"/>
      <c r="AA503" s="74"/>
      <c r="AB503" s="74"/>
    </row>
    <row r="504" spans="1:28" ht="12" customHeight="1">
      <c r="A504" s="569"/>
      <c r="B504" s="574"/>
      <c r="C504" s="575"/>
      <c r="D504" s="576"/>
      <c r="E504" s="101"/>
      <c r="F504" s="101"/>
      <c r="G504" s="35"/>
      <c r="H504" s="104"/>
      <c r="I504" s="35"/>
      <c r="J504" s="74"/>
      <c r="K504" s="74"/>
      <c r="L504" s="74"/>
      <c r="M504" s="74"/>
      <c r="N504" s="74"/>
      <c r="O504" s="74"/>
      <c r="P504" s="74"/>
      <c r="Q504" s="74"/>
      <c r="R504" s="74"/>
      <c r="S504" s="74"/>
      <c r="T504" s="74"/>
      <c r="U504" s="74"/>
      <c r="V504" s="74"/>
      <c r="W504" s="74"/>
      <c r="X504" s="74"/>
      <c r="Y504" s="74"/>
      <c r="Z504" s="74"/>
      <c r="AA504" s="74"/>
      <c r="AB504" s="74"/>
    </row>
    <row r="505" spans="1:28" ht="12" customHeight="1">
      <c r="A505" s="569"/>
      <c r="B505" s="574"/>
      <c r="C505" s="575"/>
      <c r="D505" s="576"/>
      <c r="E505" s="101"/>
      <c r="F505" s="101"/>
      <c r="G505" s="35"/>
      <c r="H505" s="104"/>
      <c r="I505" s="35"/>
      <c r="J505" s="74"/>
      <c r="K505" s="74"/>
      <c r="L505" s="74"/>
      <c r="M505" s="74"/>
      <c r="N505" s="74"/>
      <c r="O505" s="74"/>
      <c r="P505" s="74"/>
      <c r="Q505" s="74"/>
      <c r="R505" s="74"/>
      <c r="S505" s="74"/>
      <c r="T505" s="74"/>
      <c r="U505" s="74"/>
      <c r="V505" s="74"/>
      <c r="W505" s="74"/>
      <c r="X505" s="74"/>
      <c r="Y505" s="74"/>
      <c r="Z505" s="74"/>
      <c r="AA505" s="74"/>
      <c r="AB505" s="74"/>
    </row>
    <row r="506" spans="1:28" ht="12" customHeight="1">
      <c r="A506" s="569"/>
      <c r="B506" s="574"/>
      <c r="C506" s="575"/>
      <c r="D506" s="576"/>
      <c r="E506" s="101"/>
      <c r="F506" s="101"/>
      <c r="G506" s="35"/>
      <c r="H506" s="104"/>
      <c r="I506" s="35"/>
      <c r="J506" s="74"/>
      <c r="K506" s="74"/>
      <c r="L506" s="74"/>
      <c r="M506" s="74"/>
      <c r="N506" s="74"/>
      <c r="O506" s="74"/>
      <c r="P506" s="74"/>
      <c r="Q506" s="74"/>
      <c r="R506" s="74"/>
      <c r="S506" s="74"/>
      <c r="T506" s="74"/>
      <c r="U506" s="74"/>
      <c r="V506" s="74"/>
      <c r="W506" s="74"/>
      <c r="X506" s="74"/>
      <c r="Y506" s="74"/>
      <c r="Z506" s="74"/>
      <c r="AA506" s="74"/>
      <c r="AB506" s="74"/>
    </row>
    <row r="507" spans="1:28" ht="12" customHeight="1">
      <c r="A507" s="569"/>
      <c r="B507" s="574"/>
      <c r="C507" s="575"/>
      <c r="D507" s="576"/>
      <c r="E507" s="101"/>
      <c r="F507" s="101"/>
      <c r="G507" s="35"/>
      <c r="H507" s="104"/>
      <c r="I507" s="35"/>
      <c r="J507" s="74"/>
      <c r="K507" s="74"/>
      <c r="L507" s="74"/>
      <c r="M507" s="74"/>
      <c r="N507" s="74"/>
      <c r="O507" s="74"/>
      <c r="P507" s="74"/>
      <c r="Q507" s="74"/>
      <c r="R507" s="74"/>
      <c r="S507" s="74"/>
      <c r="T507" s="74"/>
      <c r="U507" s="74"/>
      <c r="V507" s="74"/>
      <c r="W507" s="74"/>
      <c r="X507" s="74"/>
      <c r="Y507" s="74"/>
      <c r="Z507" s="74"/>
      <c r="AA507" s="74"/>
      <c r="AB507" s="74"/>
    </row>
    <row r="508" spans="1:28" ht="12" customHeight="1">
      <c r="A508" s="569"/>
      <c r="B508" s="574"/>
      <c r="C508" s="575"/>
      <c r="D508" s="576"/>
      <c r="E508" s="101"/>
      <c r="F508" s="101"/>
      <c r="G508" s="35"/>
      <c r="H508" s="104"/>
      <c r="I508" s="35"/>
      <c r="J508" s="74"/>
      <c r="K508" s="74"/>
      <c r="L508" s="74"/>
      <c r="M508" s="74"/>
      <c r="N508" s="74"/>
      <c r="O508" s="74"/>
      <c r="P508" s="74"/>
      <c r="Q508" s="74"/>
      <c r="R508" s="74"/>
      <c r="S508" s="74"/>
      <c r="T508" s="74"/>
      <c r="U508" s="74"/>
      <c r="V508" s="74"/>
      <c r="W508" s="74"/>
      <c r="X508" s="74"/>
      <c r="Y508" s="74"/>
      <c r="Z508" s="74"/>
      <c r="AA508" s="74"/>
      <c r="AB508" s="74"/>
    </row>
    <row r="509" spans="1:28" ht="12" customHeight="1">
      <c r="A509" s="569"/>
      <c r="B509" s="574"/>
      <c r="C509" s="575"/>
      <c r="D509" s="576"/>
      <c r="E509" s="101"/>
      <c r="F509" s="101"/>
      <c r="G509" s="35"/>
      <c r="H509" s="104"/>
      <c r="I509" s="35"/>
      <c r="J509" s="74"/>
      <c r="K509" s="74"/>
      <c r="L509" s="74"/>
      <c r="M509" s="74"/>
      <c r="N509" s="74"/>
      <c r="O509" s="74"/>
      <c r="P509" s="74"/>
      <c r="Q509" s="74"/>
      <c r="R509" s="74"/>
      <c r="S509" s="74"/>
      <c r="T509" s="74"/>
      <c r="U509" s="74"/>
      <c r="V509" s="74"/>
      <c r="W509" s="74"/>
      <c r="X509" s="74"/>
      <c r="Y509" s="74"/>
      <c r="Z509" s="74"/>
      <c r="AA509" s="74"/>
      <c r="AB509" s="74"/>
    </row>
    <row r="510" spans="1:28" ht="12" customHeight="1">
      <c r="A510" s="569"/>
      <c r="B510" s="574"/>
      <c r="C510" s="575"/>
      <c r="D510" s="576"/>
      <c r="E510" s="101"/>
      <c r="F510" s="101"/>
      <c r="G510" s="35"/>
      <c r="H510" s="104"/>
      <c r="I510" s="35"/>
      <c r="J510" s="74"/>
      <c r="K510" s="74"/>
      <c r="L510" s="74"/>
      <c r="M510" s="74"/>
      <c r="N510" s="74"/>
      <c r="O510" s="74"/>
      <c r="P510" s="74"/>
      <c r="Q510" s="74"/>
      <c r="R510" s="74"/>
      <c r="S510" s="74"/>
      <c r="T510" s="74"/>
      <c r="U510" s="74"/>
      <c r="V510" s="74"/>
      <c r="W510" s="74"/>
      <c r="X510" s="74"/>
      <c r="Y510" s="74"/>
      <c r="Z510" s="74"/>
      <c r="AA510" s="74"/>
      <c r="AB510" s="74"/>
    </row>
    <row r="511" spans="1:28" ht="12" customHeight="1">
      <c r="A511" s="569"/>
      <c r="B511" s="574"/>
      <c r="C511" s="575"/>
      <c r="D511" s="576"/>
      <c r="E511" s="101"/>
      <c r="F511" s="101"/>
      <c r="G511" s="35"/>
      <c r="H511" s="104"/>
      <c r="I511" s="35"/>
      <c r="J511" s="74"/>
      <c r="K511" s="74"/>
      <c r="L511" s="74"/>
      <c r="M511" s="74"/>
      <c r="N511" s="74"/>
      <c r="O511" s="74"/>
      <c r="P511" s="74"/>
      <c r="Q511" s="74"/>
      <c r="R511" s="74"/>
      <c r="S511" s="74"/>
      <c r="T511" s="74"/>
      <c r="U511" s="74"/>
      <c r="V511" s="74"/>
      <c r="W511" s="74"/>
      <c r="X511" s="74"/>
      <c r="Y511" s="74"/>
      <c r="Z511" s="74"/>
      <c r="AA511" s="74"/>
      <c r="AB511" s="74"/>
    </row>
    <row r="512" spans="1:28" ht="12" customHeight="1">
      <c r="A512" s="569"/>
      <c r="B512" s="574"/>
      <c r="C512" s="575"/>
      <c r="D512" s="576"/>
      <c r="E512" s="101"/>
      <c r="F512" s="101"/>
      <c r="G512" s="35"/>
      <c r="H512" s="104"/>
      <c r="I512" s="35"/>
      <c r="J512" s="74"/>
      <c r="K512" s="74"/>
      <c r="L512" s="74"/>
      <c r="M512" s="74"/>
      <c r="N512" s="74"/>
      <c r="O512" s="74"/>
      <c r="P512" s="74"/>
      <c r="Q512" s="74"/>
      <c r="R512" s="74"/>
      <c r="S512" s="74"/>
      <c r="T512" s="74"/>
      <c r="U512" s="74"/>
      <c r="V512" s="74"/>
      <c r="W512" s="74"/>
      <c r="X512" s="74"/>
      <c r="Y512" s="74"/>
      <c r="Z512" s="74"/>
      <c r="AA512" s="74"/>
      <c r="AB512" s="74"/>
    </row>
    <row r="513" spans="1:28" ht="12" customHeight="1">
      <c r="A513" s="569"/>
      <c r="B513" s="574"/>
      <c r="C513" s="575"/>
      <c r="D513" s="576"/>
      <c r="E513" s="101"/>
      <c r="F513" s="101"/>
      <c r="G513" s="35"/>
      <c r="H513" s="104"/>
      <c r="I513" s="35"/>
      <c r="J513" s="74"/>
      <c r="K513" s="74"/>
      <c r="L513" s="74"/>
      <c r="M513" s="74"/>
      <c r="N513" s="74"/>
      <c r="O513" s="74"/>
      <c r="P513" s="74"/>
      <c r="Q513" s="74"/>
      <c r="R513" s="74"/>
      <c r="S513" s="74"/>
      <c r="T513" s="74"/>
      <c r="U513" s="74"/>
      <c r="V513" s="74"/>
      <c r="W513" s="74"/>
      <c r="X513" s="74"/>
      <c r="Y513" s="74"/>
      <c r="Z513" s="74"/>
      <c r="AA513" s="74"/>
      <c r="AB513" s="74"/>
    </row>
    <row r="514" spans="1:28" ht="12" customHeight="1">
      <c r="A514" s="569"/>
      <c r="B514" s="574"/>
      <c r="C514" s="575"/>
      <c r="D514" s="576"/>
      <c r="E514" s="101"/>
      <c r="F514" s="101"/>
      <c r="G514" s="35"/>
      <c r="H514" s="104"/>
      <c r="I514" s="35"/>
      <c r="J514" s="74"/>
      <c r="K514" s="74"/>
      <c r="L514" s="74"/>
      <c r="M514" s="74"/>
      <c r="N514" s="74"/>
      <c r="O514" s="74"/>
      <c r="P514" s="74"/>
      <c r="Q514" s="74"/>
      <c r="R514" s="74"/>
      <c r="S514" s="74"/>
      <c r="T514" s="74"/>
      <c r="U514" s="74"/>
      <c r="V514" s="74"/>
      <c r="W514" s="74"/>
      <c r="X514" s="74"/>
      <c r="Y514" s="74"/>
      <c r="Z514" s="74"/>
      <c r="AA514" s="74"/>
      <c r="AB514" s="74"/>
    </row>
    <row r="515" spans="1:28" ht="12" customHeight="1">
      <c r="A515" s="569"/>
      <c r="B515" s="574"/>
      <c r="C515" s="575"/>
      <c r="D515" s="576"/>
      <c r="E515" s="101"/>
      <c r="F515" s="101"/>
      <c r="G515" s="35"/>
      <c r="H515" s="104"/>
      <c r="I515" s="35"/>
      <c r="J515" s="74"/>
      <c r="K515" s="74"/>
      <c r="L515" s="74"/>
      <c r="M515" s="74"/>
      <c r="N515" s="74"/>
      <c r="O515" s="74"/>
      <c r="P515" s="74"/>
      <c r="Q515" s="74"/>
      <c r="R515" s="74"/>
      <c r="S515" s="74"/>
      <c r="T515" s="74"/>
      <c r="U515" s="74"/>
      <c r="V515" s="74"/>
      <c r="W515" s="74"/>
      <c r="X515" s="74"/>
      <c r="Y515" s="74"/>
      <c r="Z515" s="74"/>
      <c r="AA515" s="74"/>
      <c r="AB515" s="74"/>
    </row>
    <row r="516" spans="1:28" ht="12" customHeight="1">
      <c r="A516" s="569"/>
      <c r="B516" s="574"/>
      <c r="C516" s="575"/>
      <c r="D516" s="576"/>
      <c r="E516" s="101"/>
      <c r="F516" s="101"/>
      <c r="G516" s="35"/>
      <c r="H516" s="104"/>
      <c r="I516" s="35"/>
      <c r="J516" s="74"/>
      <c r="K516" s="74"/>
      <c r="L516" s="74"/>
      <c r="M516" s="74"/>
      <c r="N516" s="74"/>
      <c r="O516" s="74"/>
      <c r="P516" s="74"/>
      <c r="Q516" s="74"/>
      <c r="R516" s="74"/>
      <c r="S516" s="74"/>
      <c r="T516" s="74"/>
      <c r="U516" s="74"/>
      <c r="V516" s="74"/>
      <c r="W516" s="74"/>
      <c r="X516" s="74"/>
      <c r="Y516" s="74"/>
      <c r="Z516" s="74"/>
      <c r="AA516" s="74"/>
      <c r="AB516" s="74"/>
    </row>
    <row r="517" spans="1:28" ht="12" customHeight="1">
      <c r="A517" s="569"/>
      <c r="B517" s="574"/>
      <c r="C517" s="575"/>
      <c r="D517" s="576"/>
      <c r="E517" s="101"/>
      <c r="F517" s="101"/>
      <c r="G517" s="35"/>
      <c r="H517" s="104"/>
      <c r="I517" s="35"/>
      <c r="J517" s="74"/>
      <c r="K517" s="74"/>
      <c r="L517" s="74"/>
      <c r="M517" s="74"/>
      <c r="N517" s="74"/>
      <c r="O517" s="74"/>
      <c r="P517" s="74"/>
      <c r="Q517" s="74"/>
      <c r="R517" s="74"/>
      <c r="S517" s="74"/>
      <c r="T517" s="74"/>
      <c r="U517" s="74"/>
      <c r="V517" s="74"/>
      <c r="W517" s="74"/>
      <c r="X517" s="74"/>
      <c r="Y517" s="74"/>
      <c r="Z517" s="74"/>
      <c r="AA517" s="74"/>
      <c r="AB517" s="74"/>
    </row>
    <row r="518" spans="1:28" ht="12" customHeight="1">
      <c r="A518" s="569"/>
      <c r="B518" s="574"/>
      <c r="C518" s="575"/>
      <c r="D518" s="576"/>
      <c r="E518" s="101"/>
      <c r="F518" s="101"/>
      <c r="G518" s="35"/>
      <c r="H518" s="104"/>
      <c r="I518" s="35"/>
      <c r="J518" s="74"/>
      <c r="K518" s="74"/>
      <c r="L518" s="74"/>
      <c r="M518" s="74"/>
      <c r="N518" s="74"/>
      <c r="O518" s="74"/>
      <c r="P518" s="74"/>
      <c r="Q518" s="74"/>
      <c r="R518" s="74"/>
      <c r="S518" s="74"/>
      <c r="T518" s="74"/>
      <c r="U518" s="74"/>
      <c r="V518" s="74"/>
      <c r="W518" s="74"/>
      <c r="X518" s="74"/>
      <c r="Y518" s="74"/>
      <c r="Z518" s="74"/>
      <c r="AA518" s="74"/>
      <c r="AB518" s="74"/>
    </row>
    <row r="519" spans="1:28" ht="12" customHeight="1">
      <c r="A519" s="569"/>
      <c r="B519" s="574"/>
      <c r="C519" s="575"/>
      <c r="D519" s="576"/>
      <c r="E519" s="101"/>
      <c r="F519" s="101"/>
      <c r="G519" s="35"/>
      <c r="H519" s="104"/>
      <c r="I519" s="35"/>
      <c r="J519" s="74"/>
      <c r="K519" s="74"/>
      <c r="L519" s="74"/>
      <c r="M519" s="74"/>
      <c r="N519" s="74"/>
      <c r="O519" s="74"/>
      <c r="P519" s="74"/>
      <c r="Q519" s="74"/>
      <c r="R519" s="74"/>
      <c r="S519" s="74"/>
      <c r="T519" s="74"/>
      <c r="U519" s="74"/>
      <c r="V519" s="74"/>
      <c r="W519" s="74"/>
      <c r="X519" s="74"/>
      <c r="Y519" s="74"/>
      <c r="Z519" s="74"/>
      <c r="AA519" s="74"/>
      <c r="AB519" s="74"/>
    </row>
    <row r="520" spans="1:28" ht="12" customHeight="1">
      <c r="A520" s="569"/>
      <c r="B520" s="574"/>
      <c r="C520" s="575"/>
      <c r="D520" s="576"/>
      <c r="E520" s="101"/>
      <c r="F520" s="101"/>
      <c r="G520" s="35"/>
      <c r="H520" s="104"/>
      <c r="I520" s="35"/>
      <c r="J520" s="74"/>
      <c r="K520" s="74"/>
      <c r="L520" s="74"/>
      <c r="M520" s="74"/>
      <c r="N520" s="74"/>
      <c r="O520" s="74"/>
      <c r="P520" s="74"/>
      <c r="Q520" s="74"/>
      <c r="R520" s="74"/>
      <c r="S520" s="74"/>
      <c r="T520" s="74"/>
      <c r="U520" s="74"/>
      <c r="V520" s="74"/>
      <c r="W520" s="74"/>
      <c r="X520" s="74"/>
      <c r="Y520" s="74"/>
      <c r="Z520" s="74"/>
      <c r="AA520" s="74"/>
      <c r="AB520" s="74"/>
    </row>
    <row r="521" spans="1:28" ht="12" customHeight="1">
      <c r="A521" s="569"/>
      <c r="B521" s="574"/>
      <c r="C521" s="575"/>
      <c r="D521" s="576"/>
      <c r="E521" s="101"/>
      <c r="F521" s="101"/>
      <c r="G521" s="35"/>
      <c r="H521" s="104"/>
      <c r="I521" s="35"/>
      <c r="J521" s="74"/>
      <c r="K521" s="74"/>
      <c r="L521" s="74"/>
      <c r="M521" s="74"/>
      <c r="N521" s="74"/>
      <c r="O521" s="74"/>
      <c r="P521" s="74"/>
      <c r="Q521" s="74"/>
      <c r="R521" s="74"/>
      <c r="S521" s="74"/>
      <c r="T521" s="74"/>
      <c r="U521" s="74"/>
      <c r="V521" s="74"/>
      <c r="W521" s="74"/>
      <c r="X521" s="74"/>
      <c r="Y521" s="74"/>
      <c r="Z521" s="74"/>
      <c r="AA521" s="74"/>
      <c r="AB521" s="74"/>
    </row>
    <row r="522" spans="1:28" ht="12" customHeight="1">
      <c r="A522" s="569"/>
      <c r="B522" s="574"/>
      <c r="C522" s="575"/>
      <c r="D522" s="576"/>
      <c r="E522" s="101"/>
      <c r="F522" s="101"/>
      <c r="G522" s="35"/>
      <c r="H522" s="104"/>
      <c r="I522" s="35"/>
      <c r="J522" s="74"/>
      <c r="K522" s="74"/>
      <c r="L522" s="74"/>
      <c r="M522" s="74"/>
      <c r="N522" s="74"/>
      <c r="O522" s="74"/>
      <c r="P522" s="74"/>
      <c r="Q522" s="74"/>
      <c r="R522" s="74"/>
      <c r="S522" s="74"/>
      <c r="T522" s="74"/>
      <c r="U522" s="74"/>
      <c r="V522" s="74"/>
      <c r="W522" s="74"/>
      <c r="X522" s="74"/>
      <c r="Y522" s="74"/>
      <c r="Z522" s="74"/>
      <c r="AA522" s="74"/>
      <c r="AB522" s="74"/>
    </row>
    <row r="523" spans="1:28" ht="12" customHeight="1">
      <c r="A523" s="569"/>
      <c r="B523" s="574"/>
      <c r="C523" s="575"/>
      <c r="D523" s="576"/>
      <c r="E523" s="101"/>
      <c r="F523" s="101"/>
      <c r="G523" s="35"/>
      <c r="H523" s="104"/>
      <c r="I523" s="35"/>
      <c r="J523" s="74"/>
      <c r="K523" s="74"/>
      <c r="L523" s="74"/>
      <c r="M523" s="74"/>
      <c r="N523" s="74"/>
      <c r="O523" s="74"/>
      <c r="P523" s="74"/>
      <c r="Q523" s="74"/>
      <c r="R523" s="74"/>
      <c r="S523" s="74"/>
      <c r="T523" s="74"/>
      <c r="U523" s="74"/>
      <c r="V523" s="74"/>
      <c r="W523" s="74"/>
      <c r="X523" s="74"/>
      <c r="Y523" s="74"/>
      <c r="Z523" s="74"/>
      <c r="AA523" s="74"/>
      <c r="AB523" s="74"/>
    </row>
    <row r="524" spans="1:28" ht="12" customHeight="1">
      <c r="A524" s="569"/>
      <c r="B524" s="574"/>
      <c r="C524" s="575"/>
      <c r="D524" s="576"/>
      <c r="E524" s="101"/>
      <c r="F524" s="101"/>
      <c r="G524" s="35"/>
      <c r="H524" s="104"/>
      <c r="I524" s="35"/>
      <c r="J524" s="74"/>
      <c r="K524" s="74"/>
      <c r="L524" s="74"/>
      <c r="M524" s="74"/>
      <c r="N524" s="74"/>
      <c r="O524" s="74"/>
      <c r="P524" s="74"/>
      <c r="Q524" s="74"/>
      <c r="R524" s="74"/>
      <c r="S524" s="74"/>
      <c r="T524" s="74"/>
      <c r="U524" s="74"/>
      <c r="V524" s="74"/>
      <c r="W524" s="74"/>
      <c r="X524" s="74"/>
      <c r="Y524" s="74"/>
      <c r="Z524" s="74"/>
      <c r="AA524" s="74"/>
      <c r="AB524" s="74"/>
    </row>
    <row r="525" spans="1:28" ht="12" customHeight="1">
      <c r="A525" s="569"/>
      <c r="B525" s="574"/>
      <c r="C525" s="575"/>
      <c r="D525" s="576"/>
      <c r="E525" s="101"/>
      <c r="F525" s="101"/>
      <c r="G525" s="35"/>
      <c r="H525" s="104"/>
      <c r="I525" s="35"/>
      <c r="J525" s="74"/>
      <c r="K525" s="74"/>
      <c r="L525" s="74"/>
      <c r="M525" s="74"/>
      <c r="N525" s="74"/>
      <c r="O525" s="74"/>
      <c r="P525" s="74"/>
      <c r="Q525" s="74"/>
      <c r="R525" s="74"/>
      <c r="S525" s="74"/>
      <c r="T525" s="74"/>
      <c r="U525" s="74"/>
      <c r="V525" s="74"/>
      <c r="W525" s="74"/>
      <c r="X525" s="74"/>
      <c r="Y525" s="74"/>
      <c r="Z525" s="74"/>
      <c r="AA525" s="74"/>
      <c r="AB525" s="74"/>
    </row>
    <row r="526" spans="1:28" ht="12" customHeight="1">
      <c r="A526" s="569"/>
      <c r="B526" s="574"/>
      <c r="C526" s="575"/>
      <c r="D526" s="576"/>
      <c r="E526" s="101"/>
      <c r="F526" s="101"/>
      <c r="G526" s="35"/>
      <c r="H526" s="104"/>
      <c r="I526" s="35"/>
      <c r="J526" s="74"/>
      <c r="K526" s="74"/>
      <c r="L526" s="74"/>
      <c r="M526" s="74"/>
      <c r="N526" s="74"/>
      <c r="O526" s="74"/>
      <c r="P526" s="74"/>
      <c r="Q526" s="74"/>
      <c r="R526" s="74"/>
      <c r="S526" s="74"/>
      <c r="T526" s="74"/>
      <c r="U526" s="74"/>
      <c r="V526" s="74"/>
      <c r="W526" s="74"/>
      <c r="X526" s="74"/>
      <c r="Y526" s="74"/>
      <c r="Z526" s="74"/>
      <c r="AA526" s="74"/>
      <c r="AB526" s="74"/>
    </row>
    <row r="527" spans="1:28" ht="12" customHeight="1">
      <c r="A527" s="569"/>
      <c r="B527" s="574"/>
      <c r="C527" s="575"/>
      <c r="D527" s="576"/>
      <c r="E527" s="101"/>
      <c r="F527" s="101"/>
      <c r="G527" s="35"/>
      <c r="H527" s="104"/>
      <c r="I527" s="35"/>
      <c r="J527" s="74"/>
      <c r="K527" s="74"/>
      <c r="L527" s="74"/>
      <c r="M527" s="74"/>
      <c r="N527" s="74"/>
      <c r="O527" s="74"/>
      <c r="P527" s="74"/>
      <c r="Q527" s="74"/>
      <c r="R527" s="74"/>
      <c r="S527" s="74"/>
      <c r="T527" s="74"/>
      <c r="U527" s="74"/>
      <c r="V527" s="74"/>
      <c r="W527" s="74"/>
      <c r="X527" s="74"/>
      <c r="Y527" s="74"/>
      <c r="Z527" s="74"/>
      <c r="AA527" s="74"/>
      <c r="AB527" s="74"/>
    </row>
    <row r="528" spans="1:28" ht="12" customHeight="1">
      <c r="A528" s="569"/>
      <c r="B528" s="574"/>
      <c r="C528" s="575"/>
      <c r="D528" s="576"/>
      <c r="E528" s="101"/>
      <c r="F528" s="101"/>
      <c r="G528" s="35"/>
      <c r="H528" s="104"/>
      <c r="I528" s="35"/>
      <c r="J528" s="74"/>
      <c r="K528" s="74"/>
      <c r="L528" s="74"/>
      <c r="M528" s="74"/>
      <c r="N528" s="74"/>
      <c r="O528" s="74"/>
      <c r="P528" s="74"/>
      <c r="Q528" s="74"/>
      <c r="R528" s="74"/>
      <c r="S528" s="74"/>
      <c r="T528" s="74"/>
      <c r="U528" s="74"/>
      <c r="V528" s="74"/>
      <c r="W528" s="74"/>
      <c r="X528" s="74"/>
      <c r="Y528" s="74"/>
      <c r="Z528" s="74"/>
      <c r="AA528" s="74"/>
      <c r="AB528" s="74"/>
    </row>
    <row r="529" spans="1:28" ht="12" customHeight="1">
      <c r="A529" s="569"/>
      <c r="B529" s="574"/>
      <c r="C529" s="575"/>
      <c r="D529" s="576"/>
      <c r="E529" s="101"/>
      <c r="F529" s="101"/>
      <c r="G529" s="35"/>
      <c r="H529" s="104"/>
      <c r="I529" s="35"/>
      <c r="J529" s="74"/>
      <c r="K529" s="74"/>
      <c r="L529" s="74"/>
      <c r="M529" s="74"/>
      <c r="N529" s="74"/>
      <c r="O529" s="74"/>
      <c r="P529" s="74"/>
      <c r="Q529" s="74"/>
      <c r="R529" s="74"/>
      <c r="S529" s="74"/>
      <c r="T529" s="74"/>
      <c r="U529" s="74"/>
      <c r="V529" s="74"/>
      <c r="W529" s="74"/>
      <c r="X529" s="74"/>
      <c r="Y529" s="74"/>
      <c r="Z529" s="74"/>
      <c r="AA529" s="74"/>
      <c r="AB529" s="74"/>
    </row>
    <row r="530" spans="1:28" ht="12" customHeight="1">
      <c r="A530" s="569"/>
      <c r="B530" s="574"/>
      <c r="C530" s="575"/>
      <c r="D530" s="576"/>
      <c r="E530" s="101"/>
      <c r="F530" s="101"/>
      <c r="G530" s="35"/>
      <c r="H530" s="104"/>
      <c r="I530" s="35"/>
      <c r="J530" s="74"/>
      <c r="K530" s="74"/>
      <c r="L530" s="74"/>
      <c r="M530" s="74"/>
      <c r="N530" s="74"/>
      <c r="O530" s="74"/>
      <c r="P530" s="74"/>
      <c r="Q530" s="74"/>
      <c r="R530" s="74"/>
      <c r="S530" s="74"/>
      <c r="T530" s="74"/>
      <c r="U530" s="74"/>
      <c r="V530" s="74"/>
      <c r="W530" s="74"/>
      <c r="X530" s="74"/>
      <c r="Y530" s="74"/>
      <c r="Z530" s="74"/>
      <c r="AA530" s="74"/>
      <c r="AB530" s="74"/>
    </row>
    <row r="531" spans="1:28" ht="12" customHeight="1">
      <c r="A531" s="569"/>
      <c r="B531" s="574"/>
      <c r="C531" s="575"/>
      <c r="D531" s="576"/>
      <c r="E531" s="101"/>
      <c r="F531" s="101"/>
      <c r="G531" s="35"/>
      <c r="H531" s="104"/>
      <c r="I531" s="35"/>
      <c r="J531" s="74"/>
      <c r="K531" s="74"/>
      <c r="L531" s="74"/>
      <c r="M531" s="74"/>
      <c r="N531" s="74"/>
      <c r="O531" s="74"/>
      <c r="P531" s="74"/>
      <c r="Q531" s="74"/>
      <c r="R531" s="74"/>
      <c r="S531" s="74"/>
      <c r="T531" s="74"/>
      <c r="U531" s="74"/>
      <c r="V531" s="74"/>
      <c r="W531" s="74"/>
      <c r="X531" s="74"/>
      <c r="Y531" s="74"/>
      <c r="Z531" s="74"/>
      <c r="AA531" s="74"/>
      <c r="AB531" s="74"/>
    </row>
    <row r="532" spans="1:28" ht="12" customHeight="1">
      <c r="A532" s="569"/>
      <c r="B532" s="574"/>
      <c r="C532" s="575"/>
      <c r="D532" s="576"/>
      <c r="E532" s="101"/>
      <c r="F532" s="101"/>
      <c r="G532" s="35"/>
      <c r="H532" s="104"/>
      <c r="I532" s="35"/>
      <c r="J532" s="74"/>
      <c r="K532" s="74"/>
      <c r="L532" s="74"/>
      <c r="M532" s="74"/>
      <c r="N532" s="74"/>
      <c r="O532" s="74"/>
      <c r="P532" s="74"/>
      <c r="Q532" s="74"/>
      <c r="R532" s="74"/>
      <c r="S532" s="74"/>
      <c r="T532" s="74"/>
      <c r="U532" s="74"/>
      <c r="V532" s="74"/>
      <c r="W532" s="74"/>
      <c r="X532" s="74"/>
      <c r="Y532" s="74"/>
      <c r="Z532" s="74"/>
      <c r="AA532" s="74"/>
      <c r="AB532" s="74"/>
    </row>
    <row r="533" spans="1:28" ht="12" customHeight="1">
      <c r="A533" s="569"/>
      <c r="B533" s="574"/>
      <c r="C533" s="575"/>
      <c r="D533" s="576"/>
      <c r="E533" s="101"/>
      <c r="F533" s="101"/>
      <c r="G533" s="35"/>
      <c r="H533" s="104"/>
      <c r="I533" s="35"/>
      <c r="J533" s="74"/>
      <c r="K533" s="74"/>
      <c r="L533" s="74"/>
      <c r="M533" s="74"/>
      <c r="N533" s="74"/>
      <c r="O533" s="74"/>
      <c r="P533" s="74"/>
      <c r="Q533" s="74"/>
      <c r="R533" s="74"/>
      <c r="S533" s="74"/>
      <c r="T533" s="74"/>
      <c r="U533" s="74"/>
      <c r="V533" s="74"/>
      <c r="W533" s="74"/>
      <c r="X533" s="74"/>
      <c r="Y533" s="74"/>
      <c r="Z533" s="74"/>
      <c r="AA533" s="74"/>
      <c r="AB533" s="74"/>
    </row>
    <row r="534" spans="1:28" ht="12" customHeight="1">
      <c r="A534" s="569"/>
      <c r="B534" s="574"/>
      <c r="C534" s="575"/>
      <c r="D534" s="576"/>
      <c r="E534" s="101"/>
      <c r="F534" s="101"/>
      <c r="G534" s="35"/>
      <c r="H534" s="104"/>
      <c r="I534" s="35"/>
      <c r="J534" s="74"/>
      <c r="K534" s="74"/>
      <c r="L534" s="74"/>
      <c r="M534" s="74"/>
      <c r="N534" s="74"/>
      <c r="O534" s="74"/>
      <c r="P534" s="74"/>
      <c r="Q534" s="74"/>
      <c r="R534" s="74"/>
      <c r="S534" s="74"/>
      <c r="T534" s="74"/>
      <c r="U534" s="74"/>
      <c r="V534" s="74"/>
      <c r="W534" s="74"/>
      <c r="X534" s="74"/>
      <c r="Y534" s="74"/>
      <c r="Z534" s="74"/>
      <c r="AA534" s="74"/>
      <c r="AB534" s="74"/>
    </row>
    <row r="535" spans="1:28" ht="12" customHeight="1">
      <c r="A535" s="569"/>
      <c r="B535" s="574"/>
      <c r="C535" s="575"/>
      <c r="D535" s="576"/>
      <c r="E535" s="101"/>
      <c r="F535" s="101"/>
      <c r="G535" s="35"/>
      <c r="H535" s="104"/>
      <c r="I535" s="35"/>
      <c r="J535" s="74"/>
      <c r="K535" s="74"/>
      <c r="L535" s="74"/>
      <c r="M535" s="74"/>
      <c r="N535" s="74"/>
      <c r="O535" s="74"/>
      <c r="P535" s="74"/>
      <c r="Q535" s="74"/>
      <c r="R535" s="74"/>
      <c r="S535" s="74"/>
      <c r="T535" s="74"/>
      <c r="U535" s="74"/>
      <c r="V535" s="74"/>
      <c r="W535" s="74"/>
      <c r="X535" s="74"/>
      <c r="Y535" s="74"/>
      <c r="Z535" s="74"/>
      <c r="AA535" s="74"/>
      <c r="AB535" s="74"/>
    </row>
    <row r="536" spans="1:28" ht="12" customHeight="1">
      <c r="A536" s="569"/>
      <c r="B536" s="574"/>
      <c r="C536" s="575"/>
      <c r="D536" s="576"/>
      <c r="E536" s="101"/>
      <c r="F536" s="101"/>
      <c r="G536" s="35"/>
      <c r="H536" s="104"/>
      <c r="I536" s="35"/>
      <c r="J536" s="74"/>
      <c r="K536" s="74"/>
      <c r="L536" s="74"/>
      <c r="M536" s="74"/>
      <c r="N536" s="74"/>
      <c r="O536" s="74"/>
      <c r="P536" s="74"/>
      <c r="Q536" s="74"/>
      <c r="R536" s="74"/>
      <c r="S536" s="74"/>
      <c r="T536" s="74"/>
      <c r="U536" s="74"/>
      <c r="V536" s="74"/>
      <c r="W536" s="74"/>
      <c r="X536" s="74"/>
      <c r="Y536" s="74"/>
      <c r="Z536" s="74"/>
      <c r="AA536" s="74"/>
      <c r="AB536" s="74"/>
    </row>
    <row r="537" spans="1:28" ht="12" customHeight="1">
      <c r="A537" s="569"/>
      <c r="B537" s="574"/>
      <c r="C537" s="575"/>
      <c r="D537" s="576"/>
      <c r="E537" s="101"/>
      <c r="F537" s="101"/>
      <c r="G537" s="35"/>
      <c r="H537" s="104"/>
      <c r="I537" s="35"/>
      <c r="J537" s="74"/>
      <c r="K537" s="74"/>
      <c r="L537" s="74"/>
      <c r="M537" s="74"/>
      <c r="N537" s="74"/>
      <c r="O537" s="74"/>
      <c r="P537" s="74"/>
      <c r="Q537" s="74"/>
      <c r="R537" s="74"/>
      <c r="S537" s="74"/>
      <c r="T537" s="74"/>
      <c r="U537" s="74"/>
      <c r="V537" s="74"/>
      <c r="W537" s="74"/>
      <c r="X537" s="74"/>
      <c r="Y537" s="74"/>
      <c r="Z537" s="74"/>
      <c r="AA537" s="74"/>
      <c r="AB537" s="74"/>
    </row>
    <row r="538" spans="1:28" ht="12" customHeight="1">
      <c r="A538" s="569"/>
      <c r="B538" s="574"/>
      <c r="C538" s="575"/>
      <c r="D538" s="576"/>
      <c r="E538" s="101"/>
      <c r="F538" s="101"/>
      <c r="G538" s="35"/>
      <c r="H538" s="104"/>
      <c r="I538" s="35"/>
      <c r="J538" s="74"/>
      <c r="K538" s="74"/>
      <c r="L538" s="74"/>
      <c r="M538" s="74"/>
      <c r="N538" s="74"/>
      <c r="O538" s="74"/>
      <c r="P538" s="74"/>
      <c r="Q538" s="74"/>
      <c r="R538" s="74"/>
      <c r="S538" s="74"/>
      <c r="T538" s="74"/>
      <c r="U538" s="74"/>
      <c r="V538" s="74"/>
      <c r="W538" s="74"/>
      <c r="X538" s="74"/>
      <c r="Y538" s="74"/>
      <c r="Z538" s="74"/>
      <c r="AA538" s="74"/>
      <c r="AB538" s="74"/>
    </row>
    <row r="539" spans="1:28" ht="12" customHeight="1">
      <c r="A539" s="569"/>
      <c r="B539" s="574"/>
      <c r="C539" s="575"/>
      <c r="D539" s="576"/>
      <c r="E539" s="101"/>
      <c r="F539" s="101"/>
      <c r="G539" s="35"/>
      <c r="H539" s="104"/>
      <c r="I539" s="35"/>
      <c r="J539" s="74"/>
      <c r="K539" s="74"/>
      <c r="L539" s="74"/>
      <c r="M539" s="74"/>
      <c r="N539" s="74"/>
      <c r="O539" s="74"/>
      <c r="P539" s="74"/>
      <c r="Q539" s="74"/>
      <c r="R539" s="74"/>
      <c r="S539" s="74"/>
      <c r="T539" s="74"/>
      <c r="U539" s="74"/>
      <c r="V539" s="74"/>
      <c r="W539" s="74"/>
      <c r="X539" s="74"/>
      <c r="Y539" s="74"/>
      <c r="Z539" s="74"/>
      <c r="AA539" s="74"/>
      <c r="AB539" s="74"/>
    </row>
    <row r="540" spans="1:28" ht="12" customHeight="1">
      <c r="A540" s="569"/>
      <c r="B540" s="574"/>
      <c r="C540" s="575"/>
      <c r="D540" s="576"/>
      <c r="E540" s="101"/>
      <c r="F540" s="101"/>
      <c r="G540" s="35"/>
      <c r="H540" s="104"/>
      <c r="I540" s="35"/>
      <c r="J540" s="74"/>
      <c r="K540" s="74"/>
      <c r="L540" s="74"/>
      <c r="M540" s="74"/>
      <c r="N540" s="74"/>
      <c r="O540" s="74"/>
      <c r="P540" s="74"/>
      <c r="Q540" s="74"/>
      <c r="R540" s="74"/>
      <c r="S540" s="74"/>
      <c r="T540" s="74"/>
      <c r="U540" s="74"/>
      <c r="V540" s="74"/>
      <c r="W540" s="74"/>
      <c r="X540" s="74"/>
      <c r="Y540" s="74"/>
      <c r="Z540" s="74"/>
      <c r="AA540" s="74"/>
      <c r="AB540" s="74"/>
    </row>
    <row r="541" spans="1:28" ht="12" customHeight="1">
      <c r="A541" s="569"/>
      <c r="B541" s="574"/>
      <c r="C541" s="575"/>
      <c r="D541" s="576"/>
      <c r="E541" s="101"/>
      <c r="F541" s="101"/>
      <c r="G541" s="35"/>
      <c r="H541" s="104"/>
      <c r="I541" s="35"/>
      <c r="J541" s="74"/>
      <c r="K541" s="74"/>
      <c r="L541" s="74"/>
      <c r="M541" s="74"/>
      <c r="N541" s="74"/>
      <c r="O541" s="74"/>
      <c r="P541" s="74"/>
      <c r="Q541" s="74"/>
      <c r="R541" s="74"/>
      <c r="S541" s="74"/>
      <c r="T541" s="74"/>
      <c r="U541" s="74"/>
      <c r="V541" s="74"/>
      <c r="W541" s="74"/>
      <c r="X541" s="74"/>
      <c r="Y541" s="74"/>
      <c r="Z541" s="74"/>
      <c r="AA541" s="74"/>
      <c r="AB541" s="74"/>
    </row>
    <row r="542" spans="1:28" ht="12" customHeight="1">
      <c r="A542" s="569"/>
      <c r="B542" s="574"/>
      <c r="C542" s="575"/>
      <c r="D542" s="576"/>
      <c r="E542" s="101"/>
      <c r="F542" s="101"/>
      <c r="G542" s="35"/>
      <c r="H542" s="104"/>
      <c r="I542" s="35"/>
      <c r="J542" s="74"/>
      <c r="K542" s="74"/>
      <c r="L542" s="74"/>
      <c r="M542" s="74"/>
      <c r="N542" s="74"/>
      <c r="O542" s="74"/>
      <c r="P542" s="74"/>
      <c r="Q542" s="74"/>
      <c r="R542" s="74"/>
      <c r="S542" s="74"/>
      <c r="T542" s="74"/>
      <c r="U542" s="74"/>
      <c r="V542" s="74"/>
      <c r="W542" s="74"/>
      <c r="X542" s="74"/>
      <c r="Y542" s="74"/>
      <c r="Z542" s="74"/>
      <c r="AA542" s="74"/>
      <c r="AB542" s="74"/>
    </row>
    <row r="543" spans="1:28" ht="12" customHeight="1">
      <c r="A543" s="569"/>
      <c r="B543" s="574"/>
      <c r="C543" s="575"/>
      <c r="D543" s="576"/>
      <c r="E543" s="101"/>
      <c r="F543" s="101"/>
      <c r="G543" s="35"/>
      <c r="H543" s="104"/>
      <c r="I543" s="35"/>
      <c r="J543" s="74"/>
      <c r="K543" s="74"/>
      <c r="L543" s="74"/>
      <c r="M543" s="74"/>
      <c r="N543" s="74"/>
      <c r="O543" s="74"/>
      <c r="P543" s="74"/>
      <c r="Q543" s="74"/>
      <c r="R543" s="74"/>
      <c r="S543" s="74"/>
      <c r="T543" s="74"/>
      <c r="U543" s="74"/>
      <c r="V543" s="74"/>
      <c r="W543" s="74"/>
      <c r="X543" s="74"/>
      <c r="Y543" s="74"/>
      <c r="Z543" s="74"/>
      <c r="AA543" s="74"/>
      <c r="AB543" s="74"/>
    </row>
    <row r="544" spans="1:28" ht="12" customHeight="1">
      <c r="A544" s="569"/>
      <c r="B544" s="574"/>
      <c r="C544" s="575"/>
      <c r="D544" s="576"/>
      <c r="E544" s="101"/>
      <c r="F544" s="101"/>
      <c r="G544" s="35"/>
      <c r="H544" s="104"/>
      <c r="I544" s="35"/>
      <c r="J544" s="74"/>
      <c r="K544" s="74"/>
      <c r="L544" s="74"/>
      <c r="M544" s="74"/>
      <c r="N544" s="74"/>
      <c r="O544" s="74"/>
      <c r="P544" s="74"/>
      <c r="Q544" s="74"/>
      <c r="R544" s="74"/>
      <c r="S544" s="74"/>
      <c r="T544" s="74"/>
      <c r="U544" s="74"/>
      <c r="V544" s="74"/>
      <c r="W544" s="74"/>
      <c r="X544" s="74"/>
      <c r="Y544" s="74"/>
      <c r="Z544" s="74"/>
      <c r="AA544" s="74"/>
      <c r="AB544" s="74"/>
    </row>
    <row r="545" spans="1:28" ht="12" customHeight="1">
      <c r="A545" s="569"/>
      <c r="B545" s="574"/>
      <c r="C545" s="575"/>
      <c r="D545" s="576"/>
      <c r="E545" s="101"/>
      <c r="F545" s="101"/>
      <c r="G545" s="35"/>
      <c r="H545" s="104"/>
      <c r="I545" s="35"/>
      <c r="J545" s="74"/>
      <c r="K545" s="74"/>
      <c r="L545" s="74"/>
      <c r="M545" s="74"/>
      <c r="N545" s="74"/>
      <c r="O545" s="74"/>
      <c r="P545" s="74"/>
      <c r="Q545" s="74"/>
      <c r="R545" s="74"/>
      <c r="S545" s="74"/>
      <c r="T545" s="74"/>
      <c r="U545" s="74"/>
      <c r="V545" s="74"/>
      <c r="W545" s="74"/>
      <c r="X545" s="74"/>
      <c r="Y545" s="74"/>
      <c r="Z545" s="74"/>
      <c r="AA545" s="74"/>
      <c r="AB545" s="74"/>
    </row>
    <row r="546" spans="1:28" ht="12" customHeight="1">
      <c r="A546" s="569"/>
      <c r="B546" s="574"/>
      <c r="C546" s="575"/>
      <c r="D546" s="576"/>
      <c r="E546" s="101"/>
      <c r="F546" s="101"/>
      <c r="G546" s="35"/>
      <c r="H546" s="104"/>
      <c r="I546" s="35"/>
      <c r="J546" s="74"/>
      <c r="K546" s="74"/>
      <c r="L546" s="74"/>
      <c r="M546" s="74"/>
      <c r="N546" s="74"/>
      <c r="O546" s="74"/>
      <c r="P546" s="74"/>
      <c r="Q546" s="74"/>
      <c r="R546" s="74"/>
      <c r="S546" s="74"/>
      <c r="T546" s="74"/>
      <c r="U546" s="74"/>
      <c r="V546" s="74"/>
      <c r="W546" s="74"/>
      <c r="X546" s="74"/>
      <c r="Y546" s="74"/>
      <c r="Z546" s="74"/>
      <c r="AA546" s="74"/>
      <c r="AB546" s="74"/>
    </row>
    <row r="547" spans="1:28" ht="12" customHeight="1">
      <c r="A547" s="569"/>
      <c r="B547" s="574"/>
      <c r="C547" s="575"/>
      <c r="D547" s="576"/>
      <c r="E547" s="101"/>
      <c r="F547" s="101"/>
      <c r="G547" s="35"/>
      <c r="H547" s="104"/>
      <c r="I547" s="35"/>
      <c r="J547" s="74"/>
      <c r="K547" s="74"/>
      <c r="L547" s="74"/>
      <c r="M547" s="74"/>
      <c r="N547" s="74"/>
      <c r="O547" s="74"/>
      <c r="P547" s="74"/>
      <c r="Q547" s="74"/>
      <c r="R547" s="74"/>
      <c r="S547" s="74"/>
      <c r="T547" s="74"/>
      <c r="U547" s="74"/>
      <c r="V547" s="74"/>
      <c r="W547" s="74"/>
      <c r="X547" s="74"/>
      <c r="Y547" s="74"/>
      <c r="Z547" s="74"/>
      <c r="AA547" s="74"/>
      <c r="AB547" s="74"/>
    </row>
    <row r="548" spans="1:28" ht="12" customHeight="1">
      <c r="A548" s="569"/>
      <c r="B548" s="574"/>
      <c r="C548" s="575"/>
      <c r="D548" s="576"/>
      <c r="E548" s="101"/>
      <c r="F548" s="101"/>
      <c r="G548" s="35"/>
      <c r="H548" s="104"/>
      <c r="I548" s="35"/>
      <c r="J548" s="74"/>
      <c r="K548" s="74"/>
      <c r="L548" s="74"/>
      <c r="M548" s="74"/>
      <c r="N548" s="74"/>
      <c r="O548" s="74"/>
      <c r="P548" s="74"/>
      <c r="Q548" s="74"/>
      <c r="R548" s="74"/>
      <c r="S548" s="74"/>
      <c r="T548" s="74"/>
      <c r="U548" s="74"/>
      <c r="V548" s="74"/>
      <c r="W548" s="74"/>
      <c r="X548" s="74"/>
      <c r="Y548" s="74"/>
      <c r="Z548" s="74"/>
      <c r="AA548" s="74"/>
      <c r="AB548" s="74"/>
    </row>
    <row r="549" spans="1:28" ht="12" customHeight="1">
      <c r="A549" s="569"/>
      <c r="B549" s="574"/>
      <c r="C549" s="575"/>
      <c r="D549" s="576"/>
      <c r="E549" s="101"/>
      <c r="F549" s="101"/>
      <c r="G549" s="35"/>
      <c r="H549" s="104"/>
      <c r="I549" s="35"/>
      <c r="J549" s="74"/>
      <c r="K549" s="74"/>
      <c r="L549" s="74"/>
      <c r="M549" s="74"/>
      <c r="N549" s="74"/>
      <c r="O549" s="74"/>
      <c r="P549" s="74"/>
      <c r="Q549" s="74"/>
      <c r="R549" s="74"/>
      <c r="S549" s="74"/>
      <c r="T549" s="74"/>
      <c r="U549" s="74"/>
      <c r="V549" s="74"/>
      <c r="W549" s="74"/>
      <c r="X549" s="74"/>
      <c r="Y549" s="74"/>
      <c r="Z549" s="74"/>
      <c r="AA549" s="74"/>
      <c r="AB549" s="74"/>
    </row>
    <row r="550" spans="1:28" ht="12" customHeight="1">
      <c r="A550" s="569"/>
      <c r="B550" s="574"/>
      <c r="C550" s="575"/>
      <c r="D550" s="576"/>
      <c r="E550" s="101"/>
      <c r="F550" s="101"/>
      <c r="G550" s="35"/>
      <c r="H550" s="104"/>
      <c r="I550" s="35"/>
      <c r="J550" s="74"/>
      <c r="K550" s="74"/>
      <c r="L550" s="74"/>
      <c r="M550" s="74"/>
      <c r="N550" s="74"/>
      <c r="O550" s="74"/>
      <c r="P550" s="74"/>
      <c r="Q550" s="74"/>
      <c r="R550" s="74"/>
      <c r="S550" s="74"/>
      <c r="T550" s="74"/>
      <c r="U550" s="74"/>
      <c r="V550" s="74"/>
      <c r="W550" s="74"/>
      <c r="X550" s="74"/>
      <c r="Y550" s="74"/>
      <c r="Z550" s="74"/>
      <c r="AA550" s="74"/>
      <c r="AB550" s="74"/>
    </row>
    <row r="551" spans="1:28" ht="12" customHeight="1">
      <c r="A551" s="569"/>
      <c r="B551" s="574"/>
      <c r="C551" s="575"/>
      <c r="D551" s="576"/>
      <c r="E551" s="101"/>
      <c r="F551" s="101"/>
      <c r="G551" s="35"/>
      <c r="H551" s="104"/>
      <c r="I551" s="35"/>
      <c r="J551" s="74"/>
      <c r="K551" s="74"/>
      <c r="L551" s="74"/>
      <c r="M551" s="74"/>
      <c r="N551" s="74"/>
      <c r="O551" s="74"/>
      <c r="P551" s="74"/>
      <c r="Q551" s="74"/>
      <c r="R551" s="74"/>
      <c r="S551" s="74"/>
      <c r="T551" s="74"/>
      <c r="U551" s="74"/>
      <c r="V551" s="74"/>
      <c r="W551" s="74"/>
      <c r="X551" s="74"/>
      <c r="Y551" s="74"/>
      <c r="Z551" s="74"/>
      <c r="AA551" s="74"/>
      <c r="AB551" s="74"/>
    </row>
    <row r="552" spans="1:28" ht="12" customHeight="1">
      <c r="A552" s="569"/>
      <c r="B552" s="574"/>
      <c r="C552" s="575"/>
      <c r="D552" s="576"/>
      <c r="E552" s="101"/>
      <c r="F552" s="101"/>
      <c r="G552" s="35"/>
      <c r="H552" s="104"/>
      <c r="I552" s="35"/>
      <c r="J552" s="74"/>
      <c r="K552" s="74"/>
      <c r="L552" s="74"/>
      <c r="M552" s="74"/>
      <c r="N552" s="74"/>
      <c r="O552" s="74"/>
      <c r="P552" s="74"/>
      <c r="Q552" s="74"/>
      <c r="R552" s="74"/>
      <c r="S552" s="74"/>
      <c r="T552" s="74"/>
      <c r="U552" s="74"/>
      <c r="V552" s="74"/>
      <c r="W552" s="74"/>
      <c r="X552" s="74"/>
      <c r="Y552" s="74"/>
      <c r="Z552" s="74"/>
      <c r="AA552" s="74"/>
      <c r="AB552" s="74"/>
    </row>
    <row r="553" spans="1:28" ht="12" customHeight="1">
      <c r="A553" s="569"/>
      <c r="B553" s="574"/>
      <c r="C553" s="575"/>
      <c r="D553" s="576"/>
      <c r="E553" s="101"/>
      <c r="F553" s="101"/>
      <c r="G553" s="35"/>
      <c r="H553" s="104"/>
      <c r="I553" s="35"/>
      <c r="J553" s="74"/>
      <c r="K553" s="74"/>
      <c r="L553" s="74"/>
      <c r="M553" s="74"/>
      <c r="N553" s="74"/>
      <c r="O553" s="74"/>
      <c r="P553" s="74"/>
      <c r="Q553" s="74"/>
      <c r="R553" s="74"/>
      <c r="S553" s="74"/>
      <c r="T553" s="74"/>
      <c r="U553" s="74"/>
      <c r="V553" s="74"/>
      <c r="W553" s="74"/>
      <c r="X553" s="74"/>
      <c r="Y553" s="74"/>
      <c r="Z553" s="74"/>
      <c r="AA553" s="74"/>
      <c r="AB553" s="74"/>
    </row>
    <row r="554" spans="1:28" ht="12" customHeight="1">
      <c r="A554" s="569"/>
      <c r="B554" s="574"/>
      <c r="C554" s="575"/>
      <c r="D554" s="576"/>
      <c r="E554" s="101"/>
      <c r="F554" s="101"/>
      <c r="G554" s="35"/>
      <c r="H554" s="104"/>
      <c r="I554" s="35"/>
      <c r="J554" s="74"/>
      <c r="K554" s="74"/>
      <c r="L554" s="74"/>
      <c r="M554" s="74"/>
      <c r="N554" s="74"/>
      <c r="O554" s="74"/>
      <c r="P554" s="74"/>
      <c r="Q554" s="74"/>
      <c r="R554" s="74"/>
      <c r="S554" s="74"/>
      <c r="T554" s="74"/>
      <c r="U554" s="74"/>
      <c r="V554" s="74"/>
      <c r="W554" s="74"/>
      <c r="X554" s="74"/>
      <c r="Y554" s="74"/>
      <c r="Z554" s="74"/>
      <c r="AA554" s="74"/>
      <c r="AB554" s="74"/>
    </row>
    <row r="555" spans="1:28" ht="12" customHeight="1">
      <c r="A555" s="569"/>
      <c r="B555" s="574"/>
      <c r="C555" s="575"/>
      <c r="D555" s="576"/>
      <c r="E555" s="101"/>
      <c r="F555" s="101"/>
      <c r="G555" s="35"/>
      <c r="H555" s="104"/>
      <c r="I555" s="35"/>
      <c r="J555" s="74"/>
      <c r="K555" s="74"/>
      <c r="L555" s="74"/>
      <c r="M555" s="74"/>
      <c r="N555" s="74"/>
      <c r="O555" s="74"/>
      <c r="P555" s="74"/>
      <c r="Q555" s="74"/>
      <c r="R555" s="74"/>
      <c r="S555" s="74"/>
      <c r="T555" s="74"/>
      <c r="U555" s="74"/>
      <c r="V555" s="74"/>
      <c r="W555" s="74"/>
      <c r="X555" s="74"/>
      <c r="Y555" s="74"/>
      <c r="Z555" s="74"/>
      <c r="AA555" s="74"/>
      <c r="AB555" s="74"/>
    </row>
    <row r="556" spans="1:28" ht="12" customHeight="1">
      <c r="A556" s="569"/>
      <c r="B556" s="574"/>
      <c r="C556" s="575"/>
      <c r="D556" s="576"/>
      <c r="E556" s="101"/>
      <c r="F556" s="101"/>
      <c r="G556" s="35"/>
      <c r="H556" s="104"/>
      <c r="I556" s="35"/>
      <c r="J556" s="74"/>
      <c r="K556" s="74"/>
      <c r="L556" s="74"/>
      <c r="M556" s="74"/>
      <c r="N556" s="74"/>
      <c r="O556" s="74"/>
      <c r="P556" s="74"/>
      <c r="Q556" s="74"/>
      <c r="R556" s="74"/>
      <c r="S556" s="74"/>
      <c r="T556" s="74"/>
      <c r="U556" s="74"/>
      <c r="V556" s="74"/>
      <c r="W556" s="74"/>
      <c r="X556" s="74"/>
      <c r="Y556" s="74"/>
      <c r="Z556" s="74"/>
      <c r="AA556" s="74"/>
      <c r="AB556" s="74"/>
    </row>
    <row r="557" spans="1:28" ht="12" customHeight="1">
      <c r="A557" s="569"/>
      <c r="B557" s="574"/>
      <c r="C557" s="575"/>
      <c r="D557" s="576"/>
      <c r="E557" s="101"/>
      <c r="F557" s="101"/>
      <c r="G557" s="35"/>
      <c r="H557" s="104"/>
      <c r="I557" s="35"/>
      <c r="J557" s="74"/>
      <c r="K557" s="74"/>
      <c r="L557" s="74"/>
      <c r="M557" s="74"/>
      <c r="N557" s="74"/>
      <c r="O557" s="74"/>
      <c r="P557" s="74"/>
      <c r="Q557" s="74"/>
      <c r="R557" s="74"/>
      <c r="S557" s="74"/>
      <c r="T557" s="74"/>
      <c r="U557" s="74"/>
      <c r="V557" s="74"/>
      <c r="W557" s="74"/>
      <c r="X557" s="74"/>
      <c r="Y557" s="74"/>
      <c r="Z557" s="74"/>
      <c r="AA557" s="74"/>
      <c r="AB557" s="74"/>
    </row>
    <row r="558" spans="1:28" ht="12" customHeight="1">
      <c r="A558" s="569"/>
      <c r="B558" s="574"/>
      <c r="C558" s="575"/>
      <c r="D558" s="576"/>
      <c r="E558" s="101"/>
      <c r="F558" s="101"/>
      <c r="G558" s="35"/>
      <c r="H558" s="104"/>
      <c r="I558" s="35"/>
      <c r="J558" s="74"/>
      <c r="K558" s="74"/>
      <c r="L558" s="74"/>
      <c r="M558" s="74"/>
      <c r="N558" s="74"/>
      <c r="O558" s="74"/>
      <c r="P558" s="74"/>
      <c r="Q558" s="74"/>
      <c r="R558" s="74"/>
      <c r="S558" s="74"/>
      <c r="T558" s="74"/>
      <c r="U558" s="74"/>
      <c r="V558" s="74"/>
      <c r="W558" s="74"/>
      <c r="X558" s="74"/>
      <c r="Y558" s="74"/>
      <c r="Z558" s="74"/>
      <c r="AA558" s="74"/>
      <c r="AB558" s="74"/>
    </row>
    <row r="559" spans="1:28" ht="12" customHeight="1">
      <c r="A559" s="569"/>
      <c r="B559" s="574"/>
      <c r="C559" s="575"/>
      <c r="D559" s="576"/>
      <c r="E559" s="101"/>
      <c r="F559" s="101"/>
      <c r="G559" s="35"/>
      <c r="H559" s="104"/>
      <c r="I559" s="35"/>
      <c r="J559" s="74"/>
      <c r="K559" s="74"/>
      <c r="L559" s="74"/>
      <c r="M559" s="74"/>
      <c r="N559" s="74"/>
      <c r="O559" s="74"/>
      <c r="P559" s="74"/>
      <c r="Q559" s="74"/>
      <c r="R559" s="74"/>
      <c r="S559" s="74"/>
      <c r="T559" s="74"/>
      <c r="U559" s="74"/>
      <c r="V559" s="74"/>
      <c r="W559" s="74"/>
      <c r="X559" s="74"/>
      <c r="Y559" s="74"/>
      <c r="Z559" s="74"/>
      <c r="AA559" s="74"/>
      <c r="AB559" s="74"/>
    </row>
    <row r="560" spans="1:28" ht="12" customHeight="1">
      <c r="A560" s="569"/>
      <c r="B560" s="574"/>
      <c r="C560" s="575"/>
      <c r="D560" s="576"/>
      <c r="E560" s="101"/>
      <c r="F560" s="101"/>
      <c r="G560" s="35"/>
      <c r="H560" s="104"/>
      <c r="I560" s="35"/>
      <c r="J560" s="74"/>
      <c r="K560" s="74"/>
      <c r="L560" s="74"/>
      <c r="M560" s="74"/>
      <c r="N560" s="74"/>
      <c r="O560" s="74"/>
      <c r="P560" s="74"/>
      <c r="Q560" s="74"/>
      <c r="R560" s="74"/>
      <c r="S560" s="74"/>
      <c r="T560" s="74"/>
      <c r="U560" s="74"/>
      <c r="V560" s="74"/>
      <c r="W560" s="74"/>
      <c r="X560" s="74"/>
      <c r="Y560" s="74"/>
      <c r="Z560" s="74"/>
      <c r="AA560" s="74"/>
      <c r="AB560" s="74"/>
    </row>
    <row r="561" spans="1:28" ht="12" customHeight="1">
      <c r="A561" s="569"/>
      <c r="B561" s="574"/>
      <c r="C561" s="575"/>
      <c r="D561" s="576"/>
      <c r="E561" s="101"/>
      <c r="F561" s="101"/>
      <c r="G561" s="35"/>
      <c r="H561" s="104"/>
      <c r="I561" s="35"/>
      <c r="J561" s="74"/>
      <c r="K561" s="74"/>
      <c r="L561" s="74"/>
      <c r="M561" s="74"/>
      <c r="N561" s="74"/>
      <c r="O561" s="74"/>
      <c r="P561" s="74"/>
      <c r="Q561" s="74"/>
      <c r="R561" s="74"/>
      <c r="S561" s="74"/>
      <c r="T561" s="74"/>
      <c r="U561" s="74"/>
      <c r="V561" s="74"/>
      <c r="W561" s="74"/>
      <c r="X561" s="74"/>
      <c r="Y561" s="74"/>
      <c r="Z561" s="74"/>
      <c r="AA561" s="74"/>
      <c r="AB561" s="74"/>
    </row>
    <row r="562" spans="1:28" ht="12" customHeight="1">
      <c r="A562" s="569"/>
      <c r="B562" s="574"/>
      <c r="C562" s="575"/>
      <c r="D562" s="576"/>
      <c r="E562" s="101"/>
      <c r="F562" s="101"/>
      <c r="G562" s="35"/>
      <c r="H562" s="104"/>
      <c r="I562" s="35"/>
      <c r="J562" s="74"/>
      <c r="K562" s="74"/>
      <c r="L562" s="74"/>
      <c r="M562" s="74"/>
      <c r="N562" s="74"/>
      <c r="O562" s="74"/>
      <c r="P562" s="74"/>
      <c r="Q562" s="74"/>
      <c r="R562" s="74"/>
      <c r="S562" s="74"/>
      <c r="T562" s="74"/>
      <c r="U562" s="74"/>
      <c r="V562" s="74"/>
      <c r="W562" s="74"/>
      <c r="X562" s="74"/>
      <c r="Y562" s="74"/>
      <c r="Z562" s="74"/>
      <c r="AA562" s="74"/>
      <c r="AB562" s="74"/>
    </row>
    <row r="563" spans="1:28" ht="12" customHeight="1">
      <c r="A563" s="569"/>
      <c r="B563" s="574"/>
      <c r="C563" s="575"/>
      <c r="D563" s="576"/>
      <c r="E563" s="101"/>
      <c r="F563" s="101"/>
      <c r="G563" s="35"/>
      <c r="H563" s="104"/>
      <c r="I563" s="35"/>
      <c r="J563" s="74"/>
      <c r="K563" s="74"/>
      <c r="L563" s="74"/>
      <c r="M563" s="74"/>
      <c r="N563" s="74"/>
      <c r="O563" s="74"/>
      <c r="P563" s="74"/>
      <c r="Q563" s="74"/>
      <c r="R563" s="74"/>
      <c r="S563" s="74"/>
      <c r="T563" s="74"/>
      <c r="U563" s="74"/>
      <c r="V563" s="74"/>
      <c r="W563" s="74"/>
      <c r="X563" s="74"/>
      <c r="Y563" s="74"/>
      <c r="Z563" s="74"/>
      <c r="AA563" s="74"/>
      <c r="AB563" s="74"/>
    </row>
    <row r="564" spans="1:28" ht="12" customHeight="1">
      <c r="A564" s="569"/>
      <c r="B564" s="574"/>
      <c r="C564" s="575"/>
      <c r="D564" s="576"/>
      <c r="E564" s="101"/>
      <c r="F564" s="101"/>
      <c r="G564" s="35"/>
      <c r="H564" s="104"/>
      <c r="I564" s="35"/>
      <c r="J564" s="74"/>
      <c r="K564" s="74"/>
      <c r="L564" s="74"/>
      <c r="M564" s="74"/>
      <c r="N564" s="74"/>
      <c r="O564" s="74"/>
      <c r="P564" s="74"/>
      <c r="Q564" s="74"/>
      <c r="R564" s="74"/>
      <c r="S564" s="74"/>
      <c r="T564" s="74"/>
      <c r="U564" s="74"/>
      <c r="V564" s="74"/>
      <c r="W564" s="74"/>
      <c r="X564" s="74"/>
      <c r="Y564" s="74"/>
      <c r="Z564" s="74"/>
      <c r="AA564" s="74"/>
      <c r="AB564" s="74"/>
    </row>
    <row r="565" spans="1:28" ht="12" customHeight="1">
      <c r="A565" s="569"/>
      <c r="B565" s="574"/>
      <c r="C565" s="575"/>
      <c r="D565" s="576"/>
      <c r="E565" s="101"/>
      <c r="F565" s="101"/>
      <c r="G565" s="35"/>
      <c r="H565" s="104"/>
      <c r="I565" s="35"/>
      <c r="J565" s="74"/>
      <c r="K565" s="74"/>
      <c r="L565" s="74"/>
      <c r="M565" s="74"/>
      <c r="N565" s="74"/>
      <c r="O565" s="74"/>
      <c r="P565" s="74"/>
      <c r="Q565" s="74"/>
      <c r="R565" s="74"/>
      <c r="S565" s="74"/>
      <c r="T565" s="74"/>
      <c r="U565" s="74"/>
      <c r="V565" s="74"/>
      <c r="W565" s="74"/>
      <c r="X565" s="74"/>
      <c r="Y565" s="74"/>
      <c r="Z565" s="74"/>
      <c r="AA565" s="74"/>
      <c r="AB565" s="74"/>
    </row>
    <row r="566" spans="1:28" ht="12" customHeight="1">
      <c r="A566" s="569"/>
      <c r="B566" s="574"/>
      <c r="C566" s="575"/>
      <c r="D566" s="576"/>
      <c r="E566" s="101"/>
      <c r="F566" s="101"/>
      <c r="G566" s="35"/>
      <c r="H566" s="104"/>
      <c r="I566" s="35"/>
      <c r="J566" s="74"/>
      <c r="K566" s="74"/>
      <c r="L566" s="74"/>
      <c r="M566" s="74"/>
      <c r="N566" s="74"/>
      <c r="O566" s="74"/>
      <c r="P566" s="74"/>
      <c r="Q566" s="74"/>
      <c r="R566" s="74"/>
      <c r="S566" s="74"/>
      <c r="T566" s="74"/>
      <c r="U566" s="74"/>
      <c r="V566" s="74"/>
      <c r="W566" s="74"/>
      <c r="X566" s="74"/>
      <c r="Y566" s="74"/>
      <c r="Z566" s="74"/>
      <c r="AA566" s="74"/>
      <c r="AB566" s="74"/>
    </row>
    <row r="567" spans="1:28" ht="12" customHeight="1">
      <c r="A567" s="569"/>
      <c r="B567" s="574"/>
      <c r="C567" s="575"/>
      <c r="D567" s="576"/>
      <c r="E567" s="101"/>
      <c r="F567" s="101"/>
      <c r="G567" s="35"/>
      <c r="H567" s="104"/>
      <c r="I567" s="35"/>
      <c r="J567" s="74"/>
      <c r="K567" s="74"/>
      <c r="L567" s="74"/>
      <c r="M567" s="74"/>
      <c r="N567" s="74"/>
      <c r="O567" s="74"/>
      <c r="P567" s="74"/>
      <c r="Q567" s="74"/>
      <c r="R567" s="74"/>
      <c r="S567" s="74"/>
      <c r="T567" s="74"/>
      <c r="U567" s="74"/>
      <c r="V567" s="74"/>
      <c r="W567" s="74"/>
      <c r="X567" s="74"/>
      <c r="Y567" s="74"/>
      <c r="Z567" s="74"/>
      <c r="AA567" s="74"/>
      <c r="AB567" s="74"/>
    </row>
    <row r="568" spans="1:28" ht="12" customHeight="1">
      <c r="A568" s="569"/>
      <c r="B568" s="574"/>
      <c r="C568" s="575"/>
      <c r="D568" s="576"/>
      <c r="E568" s="101"/>
      <c r="F568" s="101"/>
      <c r="G568" s="35"/>
      <c r="H568" s="104"/>
      <c r="I568" s="35"/>
      <c r="J568" s="74"/>
      <c r="K568" s="74"/>
      <c r="L568" s="74"/>
      <c r="M568" s="74"/>
      <c r="N568" s="74"/>
      <c r="O568" s="74"/>
      <c r="P568" s="74"/>
      <c r="Q568" s="74"/>
      <c r="R568" s="74"/>
      <c r="S568" s="74"/>
      <c r="T568" s="74"/>
      <c r="U568" s="74"/>
      <c r="V568" s="74"/>
      <c r="W568" s="74"/>
      <c r="X568" s="74"/>
      <c r="Y568" s="74"/>
      <c r="Z568" s="74"/>
      <c r="AA568" s="74"/>
      <c r="AB568" s="74"/>
    </row>
    <row r="569" spans="1:28" ht="12" customHeight="1">
      <c r="A569" s="569"/>
      <c r="B569" s="574"/>
      <c r="C569" s="575"/>
      <c r="D569" s="576"/>
      <c r="E569" s="101"/>
      <c r="F569" s="101"/>
      <c r="G569" s="35"/>
      <c r="H569" s="104"/>
      <c r="I569" s="35"/>
      <c r="J569" s="74"/>
      <c r="K569" s="74"/>
      <c r="L569" s="74"/>
      <c r="M569" s="74"/>
      <c r="N569" s="74"/>
      <c r="O569" s="74"/>
      <c r="P569" s="74"/>
      <c r="Q569" s="74"/>
      <c r="R569" s="74"/>
      <c r="S569" s="74"/>
      <c r="T569" s="74"/>
      <c r="U569" s="74"/>
      <c r="V569" s="74"/>
      <c r="W569" s="74"/>
      <c r="X569" s="74"/>
      <c r="Y569" s="74"/>
      <c r="Z569" s="74"/>
      <c r="AA569" s="74"/>
      <c r="AB569" s="74"/>
    </row>
    <row r="570" spans="1:28" ht="12" customHeight="1">
      <c r="A570" s="569"/>
      <c r="B570" s="574"/>
      <c r="C570" s="575"/>
      <c r="D570" s="576"/>
      <c r="E570" s="101"/>
      <c r="F570" s="101"/>
      <c r="G570" s="35"/>
      <c r="H570" s="104"/>
      <c r="I570" s="35"/>
      <c r="J570" s="74"/>
      <c r="K570" s="74"/>
      <c r="L570" s="74"/>
      <c r="M570" s="74"/>
      <c r="N570" s="74"/>
      <c r="O570" s="74"/>
      <c r="P570" s="74"/>
      <c r="Q570" s="74"/>
      <c r="R570" s="74"/>
      <c r="S570" s="74"/>
      <c r="T570" s="74"/>
      <c r="U570" s="74"/>
      <c r="V570" s="74"/>
      <c r="W570" s="74"/>
      <c r="X570" s="74"/>
      <c r="Y570" s="74"/>
      <c r="Z570" s="74"/>
      <c r="AA570" s="74"/>
      <c r="AB570" s="74"/>
    </row>
    <row r="571" spans="1:28" ht="12" customHeight="1">
      <c r="A571" s="569"/>
      <c r="B571" s="574"/>
      <c r="C571" s="575"/>
      <c r="D571" s="576"/>
      <c r="E571" s="101"/>
      <c r="F571" s="101"/>
      <c r="G571" s="35"/>
      <c r="H571" s="104"/>
      <c r="I571" s="35"/>
      <c r="J571" s="74"/>
      <c r="K571" s="74"/>
      <c r="L571" s="74"/>
      <c r="M571" s="74"/>
      <c r="N571" s="74"/>
      <c r="O571" s="74"/>
      <c r="P571" s="74"/>
      <c r="Q571" s="74"/>
      <c r="R571" s="74"/>
      <c r="S571" s="74"/>
      <c r="T571" s="74"/>
      <c r="U571" s="74"/>
      <c r="V571" s="74"/>
      <c r="W571" s="74"/>
      <c r="X571" s="74"/>
      <c r="Y571" s="74"/>
      <c r="Z571" s="74"/>
      <c r="AA571" s="74"/>
      <c r="AB571" s="74"/>
    </row>
    <row r="572" spans="1:28" ht="12" customHeight="1">
      <c r="A572" s="569"/>
      <c r="B572" s="574"/>
      <c r="C572" s="575"/>
      <c r="D572" s="576"/>
      <c r="E572" s="101"/>
      <c r="F572" s="101"/>
      <c r="G572" s="35"/>
      <c r="H572" s="104"/>
      <c r="I572" s="35"/>
      <c r="J572" s="74"/>
      <c r="K572" s="74"/>
      <c r="L572" s="74"/>
      <c r="M572" s="74"/>
      <c r="N572" s="74"/>
      <c r="O572" s="74"/>
      <c r="P572" s="74"/>
      <c r="Q572" s="74"/>
      <c r="R572" s="74"/>
      <c r="S572" s="74"/>
      <c r="T572" s="74"/>
      <c r="U572" s="74"/>
      <c r="V572" s="74"/>
      <c r="W572" s="74"/>
      <c r="X572" s="74"/>
      <c r="Y572" s="74"/>
      <c r="Z572" s="74"/>
      <c r="AA572" s="74"/>
      <c r="AB572" s="74"/>
    </row>
    <row r="573" spans="1:28" ht="12" customHeight="1">
      <c r="A573" s="569"/>
      <c r="B573" s="574"/>
      <c r="C573" s="575"/>
      <c r="D573" s="576"/>
      <c r="E573" s="101"/>
      <c r="F573" s="101"/>
      <c r="G573" s="35"/>
      <c r="H573" s="104"/>
      <c r="I573" s="35"/>
      <c r="J573" s="74"/>
      <c r="K573" s="74"/>
      <c r="L573" s="74"/>
      <c r="M573" s="74"/>
      <c r="N573" s="74"/>
      <c r="O573" s="74"/>
      <c r="P573" s="74"/>
      <c r="Q573" s="74"/>
      <c r="R573" s="74"/>
      <c r="S573" s="74"/>
      <c r="T573" s="74"/>
      <c r="U573" s="74"/>
      <c r="V573" s="74"/>
      <c r="W573" s="74"/>
      <c r="X573" s="74"/>
      <c r="Y573" s="74"/>
      <c r="Z573" s="74"/>
      <c r="AA573" s="74"/>
      <c r="AB573" s="74"/>
    </row>
    <row r="574" spans="1:28" ht="12" customHeight="1">
      <c r="A574" s="569"/>
      <c r="B574" s="574"/>
      <c r="C574" s="575"/>
      <c r="D574" s="576"/>
      <c r="E574" s="101"/>
      <c r="F574" s="101"/>
      <c r="G574" s="35"/>
      <c r="H574" s="104"/>
      <c r="I574" s="35"/>
      <c r="J574" s="74"/>
      <c r="K574" s="74"/>
      <c r="L574" s="74"/>
      <c r="M574" s="74"/>
      <c r="N574" s="74"/>
      <c r="O574" s="74"/>
      <c r="P574" s="74"/>
      <c r="Q574" s="74"/>
      <c r="R574" s="74"/>
      <c r="S574" s="74"/>
      <c r="T574" s="74"/>
      <c r="U574" s="74"/>
      <c r="V574" s="74"/>
      <c r="W574" s="74"/>
      <c r="X574" s="74"/>
      <c r="Y574" s="74"/>
      <c r="Z574" s="74"/>
      <c r="AA574" s="74"/>
      <c r="AB574" s="74"/>
    </row>
    <row r="575" spans="1:28" ht="12" customHeight="1">
      <c r="A575" s="569"/>
      <c r="B575" s="574"/>
      <c r="C575" s="575"/>
      <c r="D575" s="576"/>
      <c r="E575" s="101"/>
      <c r="F575" s="101"/>
      <c r="G575" s="35"/>
      <c r="H575" s="104"/>
      <c r="I575" s="35"/>
      <c r="J575" s="74"/>
      <c r="K575" s="74"/>
      <c r="L575" s="74"/>
      <c r="M575" s="74"/>
      <c r="N575" s="74"/>
      <c r="O575" s="74"/>
      <c r="P575" s="74"/>
      <c r="Q575" s="74"/>
      <c r="R575" s="74"/>
      <c r="S575" s="74"/>
      <c r="T575" s="74"/>
      <c r="U575" s="74"/>
      <c r="V575" s="74"/>
      <c r="W575" s="74"/>
      <c r="X575" s="74"/>
      <c r="Y575" s="74"/>
      <c r="Z575" s="74"/>
      <c r="AA575" s="74"/>
      <c r="AB575" s="74"/>
    </row>
    <row r="576" spans="1:28" ht="12" customHeight="1">
      <c r="A576" s="569"/>
      <c r="B576" s="574"/>
      <c r="C576" s="575"/>
      <c r="D576" s="576"/>
      <c r="E576" s="101"/>
      <c r="F576" s="101"/>
      <c r="G576" s="35"/>
      <c r="H576" s="104"/>
      <c r="I576" s="35"/>
      <c r="J576" s="74"/>
      <c r="K576" s="74"/>
      <c r="L576" s="74"/>
      <c r="M576" s="74"/>
      <c r="N576" s="74"/>
      <c r="O576" s="74"/>
      <c r="P576" s="74"/>
      <c r="Q576" s="74"/>
      <c r="R576" s="74"/>
      <c r="S576" s="74"/>
      <c r="T576" s="74"/>
      <c r="U576" s="74"/>
      <c r="V576" s="74"/>
      <c r="W576" s="74"/>
      <c r="X576" s="74"/>
      <c r="Y576" s="74"/>
      <c r="Z576" s="74"/>
      <c r="AA576" s="74"/>
      <c r="AB576" s="74"/>
    </row>
    <row r="577" spans="1:28" ht="12" customHeight="1">
      <c r="A577" s="569"/>
      <c r="B577" s="574"/>
      <c r="C577" s="575"/>
      <c r="D577" s="576"/>
      <c r="E577" s="101"/>
      <c r="F577" s="101"/>
      <c r="G577" s="35"/>
      <c r="H577" s="104"/>
      <c r="I577" s="35"/>
      <c r="J577" s="74"/>
      <c r="K577" s="74"/>
      <c r="L577" s="74"/>
      <c r="M577" s="74"/>
      <c r="N577" s="74"/>
      <c r="O577" s="74"/>
      <c r="P577" s="74"/>
      <c r="Q577" s="74"/>
      <c r="R577" s="74"/>
      <c r="S577" s="74"/>
      <c r="T577" s="74"/>
      <c r="U577" s="74"/>
      <c r="V577" s="74"/>
      <c r="W577" s="74"/>
      <c r="X577" s="74"/>
      <c r="Y577" s="74"/>
      <c r="Z577" s="74"/>
      <c r="AA577" s="74"/>
      <c r="AB577" s="74"/>
    </row>
    <row r="578" spans="1:28" ht="12" customHeight="1">
      <c r="A578" s="569"/>
      <c r="B578" s="574"/>
      <c r="C578" s="575"/>
      <c r="D578" s="576"/>
      <c r="E578" s="101"/>
      <c r="F578" s="101"/>
      <c r="G578" s="35"/>
      <c r="H578" s="104"/>
      <c r="I578" s="35"/>
      <c r="J578" s="74"/>
      <c r="K578" s="74"/>
      <c r="L578" s="74"/>
      <c r="M578" s="74"/>
      <c r="N578" s="74"/>
      <c r="O578" s="74"/>
      <c r="P578" s="74"/>
      <c r="Q578" s="74"/>
      <c r="R578" s="74"/>
      <c r="S578" s="74"/>
      <c r="T578" s="74"/>
      <c r="U578" s="74"/>
      <c r="V578" s="74"/>
      <c r="W578" s="74"/>
      <c r="X578" s="74"/>
      <c r="Y578" s="74"/>
      <c r="Z578" s="74"/>
      <c r="AA578" s="74"/>
      <c r="AB578" s="74"/>
    </row>
    <row r="579" spans="1:28" ht="12" customHeight="1">
      <c r="A579" s="569"/>
      <c r="B579" s="574"/>
      <c r="C579" s="575"/>
      <c r="D579" s="576"/>
      <c r="E579" s="101"/>
      <c r="F579" s="101"/>
      <c r="G579" s="35"/>
      <c r="H579" s="104"/>
      <c r="I579" s="35"/>
      <c r="J579" s="74"/>
      <c r="K579" s="74"/>
      <c r="L579" s="74"/>
      <c r="M579" s="74"/>
      <c r="N579" s="74"/>
      <c r="O579" s="74"/>
      <c r="P579" s="74"/>
      <c r="Q579" s="74"/>
      <c r="R579" s="74"/>
      <c r="S579" s="74"/>
      <c r="T579" s="74"/>
      <c r="U579" s="74"/>
      <c r="V579" s="74"/>
      <c r="W579" s="74"/>
      <c r="X579" s="74"/>
      <c r="Y579" s="74"/>
      <c r="Z579" s="74"/>
      <c r="AA579" s="74"/>
      <c r="AB579" s="74"/>
    </row>
    <row r="580" spans="1:28" ht="12" customHeight="1">
      <c r="A580" s="569"/>
      <c r="B580" s="574"/>
      <c r="C580" s="575"/>
      <c r="D580" s="576"/>
      <c r="E580" s="101"/>
      <c r="F580" s="101"/>
      <c r="G580" s="35"/>
      <c r="H580" s="104"/>
      <c r="I580" s="35"/>
      <c r="J580" s="74"/>
      <c r="K580" s="74"/>
      <c r="L580" s="74"/>
      <c r="M580" s="74"/>
      <c r="N580" s="74"/>
      <c r="O580" s="74"/>
      <c r="P580" s="74"/>
      <c r="Q580" s="74"/>
      <c r="R580" s="74"/>
      <c r="S580" s="74"/>
      <c r="T580" s="74"/>
      <c r="U580" s="74"/>
      <c r="V580" s="74"/>
      <c r="W580" s="74"/>
      <c r="X580" s="74"/>
      <c r="Y580" s="74"/>
      <c r="Z580" s="74"/>
      <c r="AA580" s="74"/>
      <c r="AB580" s="74"/>
    </row>
    <row r="581" spans="1:28" ht="12" customHeight="1">
      <c r="A581" s="569"/>
      <c r="B581" s="574"/>
      <c r="C581" s="575"/>
      <c r="D581" s="576"/>
      <c r="E581" s="101"/>
      <c r="F581" s="101"/>
      <c r="G581" s="35"/>
      <c r="H581" s="104"/>
      <c r="I581" s="35"/>
      <c r="J581" s="74"/>
      <c r="K581" s="74"/>
      <c r="L581" s="74"/>
      <c r="M581" s="74"/>
      <c r="N581" s="74"/>
      <c r="O581" s="74"/>
      <c r="P581" s="74"/>
      <c r="Q581" s="74"/>
      <c r="R581" s="74"/>
      <c r="S581" s="74"/>
      <c r="T581" s="74"/>
      <c r="U581" s="74"/>
      <c r="V581" s="74"/>
      <c r="W581" s="74"/>
      <c r="X581" s="74"/>
      <c r="Y581" s="74"/>
      <c r="Z581" s="74"/>
      <c r="AA581" s="74"/>
      <c r="AB581" s="74"/>
    </row>
    <row r="582" spans="1:28" ht="12" customHeight="1">
      <c r="A582" s="569"/>
      <c r="B582" s="574"/>
      <c r="C582" s="575"/>
      <c r="D582" s="576"/>
      <c r="E582" s="101"/>
      <c r="F582" s="101"/>
      <c r="G582" s="35"/>
      <c r="H582" s="104"/>
      <c r="I582" s="35"/>
      <c r="J582" s="74"/>
      <c r="K582" s="74"/>
      <c r="L582" s="74"/>
      <c r="M582" s="74"/>
      <c r="N582" s="74"/>
      <c r="O582" s="74"/>
      <c r="P582" s="74"/>
      <c r="Q582" s="74"/>
      <c r="R582" s="74"/>
      <c r="S582" s="74"/>
      <c r="T582" s="74"/>
      <c r="U582" s="74"/>
      <c r="V582" s="74"/>
      <c r="W582" s="74"/>
      <c r="X582" s="74"/>
      <c r="Y582" s="74"/>
      <c r="Z582" s="74"/>
      <c r="AA582" s="74"/>
      <c r="AB582" s="74"/>
    </row>
    <row r="583" spans="1:28" ht="12" customHeight="1">
      <c r="A583" s="569"/>
      <c r="B583" s="574"/>
      <c r="C583" s="575"/>
      <c r="D583" s="576"/>
      <c r="E583" s="101"/>
      <c r="F583" s="101"/>
      <c r="G583" s="35"/>
      <c r="H583" s="104"/>
      <c r="I583" s="35"/>
      <c r="J583" s="74"/>
      <c r="K583" s="74"/>
      <c r="L583" s="74"/>
      <c r="M583" s="74"/>
      <c r="N583" s="74"/>
      <c r="O583" s="74"/>
      <c r="P583" s="74"/>
      <c r="Q583" s="74"/>
      <c r="R583" s="74"/>
      <c r="S583" s="74"/>
      <c r="T583" s="74"/>
      <c r="U583" s="74"/>
      <c r="V583" s="74"/>
      <c r="W583" s="74"/>
      <c r="X583" s="74"/>
      <c r="Y583" s="74"/>
      <c r="Z583" s="74"/>
      <c r="AA583" s="74"/>
      <c r="AB583" s="74"/>
    </row>
    <row r="584" spans="1:28" ht="12" customHeight="1">
      <c r="A584" s="569"/>
      <c r="B584" s="574"/>
      <c r="C584" s="575"/>
      <c r="D584" s="576"/>
      <c r="E584" s="101"/>
      <c r="F584" s="101"/>
      <c r="G584" s="35"/>
      <c r="H584" s="104"/>
      <c r="I584" s="35"/>
      <c r="J584" s="74"/>
      <c r="K584" s="74"/>
      <c r="L584" s="74"/>
      <c r="M584" s="74"/>
      <c r="N584" s="74"/>
      <c r="O584" s="74"/>
      <c r="P584" s="74"/>
      <c r="Q584" s="74"/>
      <c r="R584" s="74"/>
      <c r="S584" s="74"/>
      <c r="T584" s="74"/>
      <c r="U584" s="74"/>
      <c r="V584" s="74"/>
      <c r="W584" s="74"/>
      <c r="X584" s="74"/>
      <c r="Y584" s="74"/>
      <c r="Z584" s="74"/>
      <c r="AA584" s="74"/>
      <c r="AB584" s="74"/>
    </row>
    <row r="585" spans="1:28" ht="12" customHeight="1">
      <c r="A585" s="569"/>
      <c r="B585" s="574"/>
      <c r="C585" s="575"/>
      <c r="D585" s="576"/>
      <c r="E585" s="101"/>
      <c r="F585" s="101"/>
      <c r="G585" s="35"/>
      <c r="H585" s="104"/>
      <c r="I585" s="35"/>
      <c r="J585" s="74"/>
      <c r="K585" s="74"/>
      <c r="L585" s="74"/>
      <c r="M585" s="74"/>
      <c r="N585" s="74"/>
      <c r="O585" s="74"/>
      <c r="P585" s="74"/>
      <c r="Q585" s="74"/>
      <c r="R585" s="74"/>
      <c r="S585" s="74"/>
      <c r="T585" s="74"/>
      <c r="U585" s="74"/>
      <c r="V585" s="74"/>
      <c r="W585" s="74"/>
      <c r="X585" s="74"/>
      <c r="Y585" s="74"/>
      <c r="Z585" s="74"/>
      <c r="AA585" s="74"/>
      <c r="AB585" s="74"/>
    </row>
    <row r="586" spans="1:28" ht="12" customHeight="1">
      <c r="A586" s="569"/>
      <c r="B586" s="574"/>
      <c r="C586" s="575"/>
      <c r="D586" s="576"/>
      <c r="E586" s="101"/>
      <c r="F586" s="101"/>
      <c r="G586" s="35"/>
      <c r="H586" s="104"/>
      <c r="I586" s="35"/>
      <c r="J586" s="74"/>
      <c r="K586" s="74"/>
      <c r="L586" s="74"/>
      <c r="M586" s="74"/>
      <c r="N586" s="74"/>
      <c r="O586" s="74"/>
      <c r="P586" s="74"/>
      <c r="Q586" s="74"/>
      <c r="R586" s="74"/>
      <c r="S586" s="74"/>
      <c r="T586" s="74"/>
      <c r="U586" s="74"/>
      <c r="V586" s="74"/>
      <c r="W586" s="74"/>
      <c r="X586" s="74"/>
      <c r="Y586" s="74"/>
      <c r="Z586" s="74"/>
      <c r="AA586" s="74"/>
      <c r="AB586" s="74"/>
    </row>
    <row r="587" spans="1:28" ht="12" customHeight="1">
      <c r="A587" s="569"/>
      <c r="B587" s="574"/>
      <c r="C587" s="575"/>
      <c r="D587" s="576"/>
      <c r="E587" s="101"/>
      <c r="F587" s="101"/>
      <c r="G587" s="35"/>
      <c r="H587" s="104"/>
      <c r="I587" s="35"/>
      <c r="J587" s="74"/>
      <c r="K587" s="74"/>
      <c r="L587" s="74"/>
      <c r="M587" s="74"/>
      <c r="N587" s="74"/>
      <c r="O587" s="74"/>
      <c r="P587" s="74"/>
      <c r="Q587" s="74"/>
      <c r="R587" s="74"/>
      <c r="S587" s="74"/>
      <c r="T587" s="74"/>
      <c r="U587" s="74"/>
      <c r="V587" s="74"/>
      <c r="W587" s="74"/>
      <c r="X587" s="74"/>
      <c r="Y587" s="74"/>
      <c r="Z587" s="74"/>
      <c r="AA587" s="74"/>
      <c r="AB587" s="74"/>
    </row>
    <row r="588" spans="1:28" ht="12" customHeight="1">
      <c r="A588" s="569"/>
      <c r="B588" s="574"/>
      <c r="C588" s="575"/>
      <c r="D588" s="576"/>
      <c r="E588" s="101"/>
      <c r="F588" s="101"/>
      <c r="G588" s="35"/>
      <c r="H588" s="104"/>
      <c r="I588" s="35"/>
      <c r="J588" s="74"/>
      <c r="K588" s="74"/>
      <c r="L588" s="74"/>
      <c r="M588" s="74"/>
      <c r="N588" s="74"/>
      <c r="O588" s="74"/>
      <c r="P588" s="74"/>
      <c r="Q588" s="74"/>
      <c r="R588" s="74"/>
      <c r="S588" s="74"/>
      <c r="T588" s="74"/>
      <c r="U588" s="74"/>
      <c r="V588" s="74"/>
      <c r="W588" s="74"/>
      <c r="X588" s="74"/>
      <c r="Y588" s="74"/>
      <c r="Z588" s="74"/>
      <c r="AA588" s="74"/>
      <c r="AB588" s="74"/>
    </row>
    <row r="589" spans="1:28" ht="12" customHeight="1">
      <c r="A589" s="569"/>
      <c r="B589" s="574"/>
      <c r="C589" s="575"/>
      <c r="D589" s="576"/>
      <c r="E589" s="101"/>
      <c r="F589" s="101"/>
      <c r="G589" s="35"/>
      <c r="H589" s="104"/>
      <c r="I589" s="35"/>
      <c r="J589" s="74"/>
      <c r="K589" s="74"/>
      <c r="L589" s="74"/>
      <c r="M589" s="74"/>
      <c r="N589" s="74"/>
      <c r="O589" s="74"/>
      <c r="P589" s="74"/>
      <c r="Q589" s="74"/>
      <c r="R589" s="74"/>
      <c r="S589" s="74"/>
      <c r="T589" s="74"/>
      <c r="U589" s="74"/>
      <c r="V589" s="74"/>
      <c r="W589" s="74"/>
      <c r="X589" s="74"/>
      <c r="Y589" s="74"/>
      <c r="Z589" s="74"/>
      <c r="AA589" s="74"/>
      <c r="AB589" s="74"/>
    </row>
    <row r="590" spans="1:28" ht="12" customHeight="1">
      <c r="A590" s="569"/>
      <c r="B590" s="574"/>
      <c r="C590" s="575"/>
      <c r="D590" s="576"/>
      <c r="E590" s="101"/>
      <c r="F590" s="101"/>
      <c r="G590" s="35"/>
      <c r="H590" s="104"/>
      <c r="I590" s="35"/>
      <c r="J590" s="74"/>
      <c r="K590" s="74"/>
      <c r="L590" s="74"/>
      <c r="M590" s="74"/>
      <c r="N590" s="74"/>
      <c r="O590" s="74"/>
      <c r="P590" s="74"/>
      <c r="Q590" s="74"/>
      <c r="R590" s="74"/>
      <c r="S590" s="74"/>
      <c r="T590" s="74"/>
      <c r="U590" s="74"/>
      <c r="V590" s="74"/>
      <c r="W590" s="74"/>
      <c r="X590" s="74"/>
      <c r="Y590" s="74"/>
      <c r="Z590" s="74"/>
      <c r="AA590" s="74"/>
      <c r="AB590" s="74"/>
    </row>
    <row r="591" spans="1:28" ht="12" customHeight="1">
      <c r="A591" s="569"/>
      <c r="B591" s="574"/>
      <c r="C591" s="575"/>
      <c r="D591" s="576"/>
      <c r="E591" s="101"/>
      <c r="F591" s="101"/>
      <c r="G591" s="35"/>
      <c r="H591" s="104"/>
      <c r="I591" s="35"/>
      <c r="J591" s="74"/>
      <c r="K591" s="74"/>
      <c r="L591" s="74"/>
      <c r="M591" s="74"/>
      <c r="N591" s="74"/>
      <c r="O591" s="74"/>
      <c r="P591" s="74"/>
      <c r="Q591" s="74"/>
      <c r="R591" s="74"/>
      <c r="S591" s="74"/>
      <c r="T591" s="74"/>
      <c r="U591" s="74"/>
      <c r="V591" s="74"/>
      <c r="W591" s="74"/>
      <c r="X591" s="74"/>
      <c r="Y591" s="74"/>
      <c r="Z591" s="74"/>
      <c r="AA591" s="74"/>
      <c r="AB591" s="74"/>
    </row>
    <row r="592" spans="1:28" ht="12" customHeight="1">
      <c r="A592" s="569"/>
      <c r="B592" s="574"/>
      <c r="C592" s="575"/>
      <c r="D592" s="576"/>
      <c r="E592" s="101"/>
      <c r="F592" s="101"/>
      <c r="G592" s="35"/>
      <c r="H592" s="104"/>
      <c r="I592" s="35"/>
      <c r="J592" s="74"/>
      <c r="K592" s="74"/>
      <c r="L592" s="74"/>
      <c r="M592" s="74"/>
      <c r="N592" s="74"/>
      <c r="O592" s="74"/>
      <c r="P592" s="74"/>
      <c r="Q592" s="74"/>
      <c r="R592" s="74"/>
      <c r="S592" s="74"/>
      <c r="T592" s="74"/>
      <c r="U592" s="74"/>
      <c r="V592" s="74"/>
      <c r="W592" s="74"/>
      <c r="X592" s="74"/>
      <c r="Y592" s="74"/>
      <c r="Z592" s="74"/>
      <c r="AA592" s="74"/>
      <c r="AB592" s="74"/>
    </row>
    <row r="593" spans="1:28" ht="12" customHeight="1">
      <c r="A593" s="569"/>
      <c r="B593" s="574"/>
      <c r="C593" s="575"/>
      <c r="D593" s="576"/>
      <c r="E593" s="101"/>
      <c r="F593" s="101"/>
      <c r="G593" s="35"/>
      <c r="H593" s="104"/>
      <c r="I593" s="35"/>
      <c r="J593" s="74"/>
      <c r="K593" s="74"/>
      <c r="L593" s="74"/>
      <c r="M593" s="74"/>
      <c r="N593" s="74"/>
      <c r="O593" s="74"/>
      <c r="P593" s="74"/>
      <c r="Q593" s="74"/>
      <c r="R593" s="74"/>
      <c r="S593" s="74"/>
      <c r="T593" s="74"/>
      <c r="U593" s="74"/>
      <c r="V593" s="74"/>
      <c r="W593" s="74"/>
      <c r="X593" s="74"/>
      <c r="Y593" s="74"/>
      <c r="Z593" s="74"/>
      <c r="AA593" s="74"/>
      <c r="AB593" s="74"/>
    </row>
    <row r="594" spans="1:28" ht="12" customHeight="1">
      <c r="A594" s="569"/>
      <c r="B594" s="574"/>
      <c r="C594" s="575"/>
      <c r="D594" s="576"/>
      <c r="E594" s="101"/>
      <c r="F594" s="101"/>
      <c r="G594" s="35"/>
      <c r="H594" s="104"/>
      <c r="I594" s="35"/>
      <c r="J594" s="74"/>
      <c r="K594" s="74"/>
      <c r="L594" s="74"/>
      <c r="M594" s="74"/>
      <c r="N594" s="74"/>
      <c r="O594" s="74"/>
      <c r="P594" s="74"/>
      <c r="Q594" s="74"/>
      <c r="R594" s="74"/>
      <c r="S594" s="74"/>
      <c r="T594" s="74"/>
      <c r="U594" s="74"/>
      <c r="V594" s="74"/>
      <c r="W594" s="74"/>
      <c r="X594" s="74"/>
      <c r="Y594" s="74"/>
      <c r="Z594" s="74"/>
      <c r="AA594" s="74"/>
      <c r="AB594" s="74"/>
    </row>
    <row r="595" spans="1:28" ht="12" customHeight="1">
      <c r="A595" s="569"/>
      <c r="B595" s="574"/>
      <c r="C595" s="575"/>
      <c r="D595" s="576"/>
      <c r="E595" s="101"/>
      <c r="F595" s="101"/>
      <c r="G595" s="35"/>
      <c r="H595" s="104"/>
      <c r="I595" s="35"/>
      <c r="J595" s="74"/>
      <c r="K595" s="74"/>
      <c r="L595" s="74"/>
      <c r="M595" s="74"/>
      <c r="N595" s="74"/>
      <c r="O595" s="74"/>
      <c r="P595" s="74"/>
      <c r="Q595" s="74"/>
      <c r="R595" s="74"/>
      <c r="S595" s="74"/>
      <c r="T595" s="74"/>
      <c r="U595" s="74"/>
      <c r="V595" s="74"/>
      <c r="W595" s="74"/>
      <c r="X595" s="74"/>
      <c r="Y595" s="74"/>
      <c r="Z595" s="74"/>
      <c r="AA595" s="74"/>
      <c r="AB595" s="74"/>
    </row>
    <row r="596" spans="1:28" ht="12" customHeight="1">
      <c r="A596" s="569"/>
      <c r="B596" s="574"/>
      <c r="C596" s="575"/>
      <c r="D596" s="576"/>
      <c r="E596" s="101"/>
      <c r="F596" s="101"/>
      <c r="G596" s="35"/>
      <c r="H596" s="104"/>
      <c r="I596" s="35"/>
      <c r="J596" s="74"/>
      <c r="K596" s="74"/>
      <c r="L596" s="74"/>
      <c r="M596" s="74"/>
      <c r="N596" s="74"/>
      <c r="O596" s="74"/>
      <c r="P596" s="74"/>
      <c r="Q596" s="74"/>
      <c r="R596" s="74"/>
      <c r="S596" s="74"/>
      <c r="T596" s="74"/>
      <c r="U596" s="74"/>
      <c r="V596" s="74"/>
      <c r="W596" s="74"/>
      <c r="X596" s="74"/>
      <c r="Y596" s="74"/>
      <c r="Z596" s="74"/>
      <c r="AA596" s="74"/>
      <c r="AB596" s="74"/>
    </row>
    <row r="597" spans="1:28" ht="12" customHeight="1">
      <c r="A597" s="569"/>
      <c r="B597" s="574"/>
      <c r="C597" s="575"/>
      <c r="D597" s="576"/>
      <c r="E597" s="101"/>
      <c r="F597" s="101"/>
      <c r="G597" s="35"/>
      <c r="H597" s="104"/>
      <c r="I597" s="35"/>
      <c r="J597" s="74"/>
      <c r="K597" s="74"/>
      <c r="L597" s="74"/>
      <c r="M597" s="74"/>
      <c r="N597" s="74"/>
      <c r="O597" s="74"/>
      <c r="P597" s="74"/>
      <c r="Q597" s="74"/>
      <c r="R597" s="74"/>
      <c r="S597" s="74"/>
      <c r="T597" s="74"/>
      <c r="U597" s="74"/>
      <c r="V597" s="74"/>
      <c r="W597" s="74"/>
      <c r="X597" s="74"/>
      <c r="Y597" s="74"/>
      <c r="Z597" s="74"/>
      <c r="AA597" s="74"/>
      <c r="AB597" s="74"/>
    </row>
    <row r="598" spans="1:28" ht="12" customHeight="1">
      <c r="A598" s="569"/>
      <c r="B598" s="574"/>
      <c r="C598" s="575"/>
      <c r="D598" s="576"/>
      <c r="E598" s="101"/>
      <c r="F598" s="101"/>
      <c r="G598" s="35"/>
      <c r="H598" s="104"/>
      <c r="I598" s="35"/>
      <c r="J598" s="74"/>
      <c r="K598" s="74"/>
      <c r="L598" s="74"/>
      <c r="M598" s="74"/>
      <c r="N598" s="74"/>
      <c r="O598" s="74"/>
      <c r="P598" s="74"/>
      <c r="Q598" s="74"/>
      <c r="R598" s="74"/>
      <c r="S598" s="74"/>
      <c r="T598" s="74"/>
      <c r="U598" s="74"/>
      <c r="V598" s="74"/>
      <c r="W598" s="74"/>
      <c r="X598" s="74"/>
      <c r="Y598" s="74"/>
      <c r="Z598" s="74"/>
      <c r="AA598" s="74"/>
      <c r="AB598" s="74"/>
    </row>
    <row r="599" spans="1:28" ht="12" customHeight="1">
      <c r="A599" s="569"/>
      <c r="B599" s="574"/>
      <c r="C599" s="575"/>
      <c r="D599" s="576"/>
      <c r="E599" s="101"/>
      <c r="F599" s="101"/>
      <c r="G599" s="35"/>
      <c r="H599" s="104"/>
      <c r="I599" s="35"/>
      <c r="J599" s="74"/>
      <c r="K599" s="74"/>
      <c r="L599" s="74"/>
      <c r="M599" s="74"/>
      <c r="N599" s="74"/>
      <c r="O599" s="74"/>
      <c r="P599" s="74"/>
      <c r="Q599" s="74"/>
      <c r="R599" s="74"/>
      <c r="S599" s="74"/>
      <c r="T599" s="74"/>
      <c r="U599" s="74"/>
      <c r="V599" s="74"/>
      <c r="W599" s="74"/>
      <c r="X599" s="74"/>
      <c r="Y599" s="74"/>
      <c r="Z599" s="74"/>
      <c r="AA599" s="74"/>
      <c r="AB599" s="74"/>
    </row>
    <row r="600" spans="1:28" ht="12" customHeight="1">
      <c r="A600" s="569"/>
      <c r="B600" s="574"/>
      <c r="C600" s="575"/>
      <c r="D600" s="576"/>
      <c r="E600" s="101"/>
      <c r="F600" s="101"/>
      <c r="G600" s="35"/>
      <c r="H600" s="104"/>
      <c r="I600" s="35"/>
      <c r="J600" s="74"/>
      <c r="K600" s="74"/>
      <c r="L600" s="74"/>
      <c r="M600" s="74"/>
      <c r="N600" s="74"/>
      <c r="O600" s="74"/>
      <c r="P600" s="74"/>
      <c r="Q600" s="74"/>
      <c r="R600" s="74"/>
      <c r="S600" s="74"/>
      <c r="T600" s="74"/>
      <c r="U600" s="74"/>
      <c r="V600" s="74"/>
      <c r="W600" s="74"/>
      <c r="X600" s="74"/>
      <c r="Y600" s="74"/>
      <c r="Z600" s="74"/>
      <c r="AA600" s="74"/>
      <c r="AB600" s="74"/>
    </row>
    <row r="601" spans="1:28" ht="12" customHeight="1">
      <c r="A601" s="569"/>
      <c r="B601" s="574"/>
      <c r="C601" s="575"/>
      <c r="D601" s="576"/>
      <c r="E601" s="101"/>
      <c r="F601" s="101"/>
      <c r="G601" s="35"/>
      <c r="H601" s="104"/>
      <c r="I601" s="35"/>
      <c r="J601" s="74"/>
      <c r="K601" s="74"/>
      <c r="L601" s="74"/>
      <c r="M601" s="74"/>
      <c r="N601" s="74"/>
      <c r="O601" s="74"/>
      <c r="P601" s="74"/>
      <c r="Q601" s="74"/>
      <c r="R601" s="74"/>
      <c r="S601" s="74"/>
      <c r="T601" s="74"/>
      <c r="U601" s="74"/>
      <c r="V601" s="74"/>
      <c r="W601" s="74"/>
      <c r="X601" s="74"/>
      <c r="Y601" s="74"/>
      <c r="Z601" s="74"/>
      <c r="AA601" s="74"/>
      <c r="AB601" s="74"/>
    </row>
    <row r="602" spans="1:28" ht="12" customHeight="1">
      <c r="A602" s="569"/>
      <c r="B602" s="574"/>
      <c r="C602" s="575"/>
      <c r="D602" s="576"/>
      <c r="E602" s="101"/>
      <c r="F602" s="101"/>
      <c r="G602" s="35"/>
      <c r="H602" s="104"/>
      <c r="I602" s="35"/>
      <c r="J602" s="74"/>
      <c r="K602" s="74"/>
      <c r="L602" s="74"/>
      <c r="M602" s="74"/>
      <c r="N602" s="74"/>
      <c r="O602" s="74"/>
      <c r="P602" s="74"/>
      <c r="Q602" s="74"/>
      <c r="R602" s="74"/>
      <c r="S602" s="74"/>
      <c r="T602" s="74"/>
      <c r="U602" s="74"/>
      <c r="V602" s="74"/>
      <c r="W602" s="74"/>
      <c r="X602" s="74"/>
      <c r="Y602" s="74"/>
      <c r="Z602" s="74"/>
      <c r="AA602" s="74"/>
      <c r="AB602" s="74"/>
    </row>
    <row r="603" spans="1:28" ht="12" customHeight="1">
      <c r="A603" s="569"/>
      <c r="B603" s="574"/>
      <c r="C603" s="575"/>
      <c r="D603" s="576"/>
      <c r="E603" s="101"/>
      <c r="F603" s="101"/>
      <c r="G603" s="35"/>
      <c r="H603" s="104"/>
      <c r="I603" s="35"/>
      <c r="J603" s="74"/>
      <c r="K603" s="74"/>
      <c r="L603" s="74"/>
      <c r="M603" s="74"/>
      <c r="N603" s="74"/>
      <c r="O603" s="74"/>
      <c r="P603" s="74"/>
      <c r="Q603" s="74"/>
      <c r="R603" s="74"/>
      <c r="S603" s="74"/>
      <c r="T603" s="74"/>
      <c r="U603" s="74"/>
      <c r="V603" s="74"/>
      <c r="W603" s="74"/>
      <c r="X603" s="74"/>
      <c r="Y603" s="74"/>
      <c r="Z603" s="74"/>
      <c r="AA603" s="74"/>
      <c r="AB603" s="74"/>
    </row>
    <row r="604" spans="1:28" ht="12" customHeight="1">
      <c r="A604" s="569"/>
      <c r="B604" s="574"/>
      <c r="C604" s="575"/>
      <c r="D604" s="576"/>
      <c r="E604" s="101"/>
      <c r="F604" s="101"/>
      <c r="G604" s="35"/>
      <c r="H604" s="104"/>
      <c r="I604" s="35"/>
      <c r="J604" s="74"/>
      <c r="K604" s="74"/>
      <c r="L604" s="74"/>
      <c r="M604" s="74"/>
      <c r="N604" s="74"/>
      <c r="O604" s="74"/>
      <c r="P604" s="74"/>
      <c r="Q604" s="74"/>
      <c r="R604" s="74"/>
      <c r="S604" s="74"/>
      <c r="T604" s="74"/>
      <c r="U604" s="74"/>
      <c r="V604" s="74"/>
      <c r="W604" s="74"/>
      <c r="X604" s="74"/>
      <c r="Y604" s="74"/>
      <c r="Z604" s="74"/>
      <c r="AA604" s="74"/>
      <c r="AB604" s="74"/>
    </row>
    <row r="605" spans="1:28" ht="12" customHeight="1">
      <c r="A605" s="569"/>
      <c r="B605" s="574"/>
      <c r="C605" s="575"/>
      <c r="D605" s="576"/>
      <c r="E605" s="101"/>
      <c r="F605" s="101"/>
      <c r="G605" s="35"/>
      <c r="H605" s="104"/>
      <c r="I605" s="35"/>
      <c r="J605" s="74"/>
      <c r="K605" s="74"/>
      <c r="L605" s="74"/>
      <c r="M605" s="74"/>
      <c r="N605" s="74"/>
      <c r="O605" s="74"/>
      <c r="P605" s="74"/>
      <c r="Q605" s="74"/>
      <c r="R605" s="74"/>
      <c r="S605" s="74"/>
      <c r="T605" s="74"/>
      <c r="U605" s="74"/>
      <c r="V605" s="74"/>
      <c r="W605" s="74"/>
      <c r="X605" s="74"/>
      <c r="Y605" s="74"/>
      <c r="Z605" s="74"/>
      <c r="AA605" s="74"/>
      <c r="AB605" s="74"/>
    </row>
    <row r="606" spans="1:28" ht="12" customHeight="1">
      <c r="A606" s="569"/>
      <c r="B606" s="574"/>
      <c r="C606" s="575"/>
      <c r="D606" s="576"/>
      <c r="E606" s="101"/>
      <c r="F606" s="101"/>
      <c r="G606" s="35"/>
      <c r="H606" s="104"/>
      <c r="I606" s="35"/>
      <c r="J606" s="74"/>
      <c r="K606" s="74"/>
      <c r="L606" s="74"/>
      <c r="M606" s="74"/>
      <c r="N606" s="74"/>
      <c r="O606" s="74"/>
      <c r="P606" s="74"/>
      <c r="Q606" s="74"/>
      <c r="R606" s="74"/>
      <c r="S606" s="74"/>
      <c r="T606" s="74"/>
      <c r="U606" s="74"/>
      <c r="V606" s="74"/>
      <c r="W606" s="74"/>
      <c r="X606" s="74"/>
      <c r="Y606" s="74"/>
      <c r="Z606" s="74"/>
      <c r="AA606" s="74"/>
      <c r="AB606" s="74"/>
    </row>
    <row r="607" spans="1:28" ht="12" customHeight="1">
      <c r="A607" s="569"/>
      <c r="B607" s="574"/>
      <c r="C607" s="575"/>
      <c r="D607" s="576"/>
      <c r="E607" s="101"/>
      <c r="F607" s="101"/>
      <c r="G607" s="35"/>
      <c r="H607" s="104"/>
      <c r="I607" s="35"/>
      <c r="J607" s="74"/>
      <c r="K607" s="74"/>
      <c r="L607" s="74"/>
      <c r="M607" s="74"/>
      <c r="N607" s="74"/>
      <c r="O607" s="74"/>
      <c r="P607" s="74"/>
      <c r="Q607" s="74"/>
      <c r="R607" s="74"/>
      <c r="S607" s="74"/>
      <c r="T607" s="74"/>
      <c r="U607" s="74"/>
      <c r="V607" s="74"/>
      <c r="W607" s="74"/>
      <c r="X607" s="74"/>
      <c r="Y607" s="74"/>
      <c r="Z607" s="74"/>
      <c r="AA607" s="74"/>
      <c r="AB607" s="74"/>
    </row>
    <row r="608" spans="1:28" ht="12" customHeight="1">
      <c r="A608" s="569"/>
      <c r="B608" s="574"/>
      <c r="C608" s="575"/>
      <c r="D608" s="576"/>
      <c r="E608" s="101"/>
      <c r="F608" s="101"/>
      <c r="G608" s="35"/>
      <c r="H608" s="104"/>
      <c r="I608" s="35"/>
      <c r="J608" s="74"/>
      <c r="K608" s="74"/>
      <c r="L608" s="74"/>
      <c r="M608" s="74"/>
      <c r="N608" s="74"/>
      <c r="O608" s="74"/>
      <c r="P608" s="74"/>
      <c r="Q608" s="74"/>
      <c r="R608" s="74"/>
      <c r="S608" s="74"/>
      <c r="T608" s="74"/>
      <c r="U608" s="74"/>
      <c r="V608" s="74"/>
      <c r="W608" s="74"/>
      <c r="X608" s="74"/>
      <c r="Y608" s="74"/>
      <c r="Z608" s="74"/>
      <c r="AA608" s="74"/>
      <c r="AB608" s="74"/>
    </row>
    <row r="609" spans="1:28" ht="12" customHeight="1">
      <c r="A609" s="569"/>
      <c r="B609" s="574"/>
      <c r="C609" s="575"/>
      <c r="D609" s="576"/>
      <c r="E609" s="101"/>
      <c r="F609" s="101"/>
      <c r="G609" s="35"/>
      <c r="H609" s="104"/>
      <c r="I609" s="35"/>
      <c r="J609" s="74"/>
      <c r="K609" s="74"/>
      <c r="L609" s="74"/>
      <c r="M609" s="74"/>
      <c r="N609" s="74"/>
      <c r="O609" s="74"/>
      <c r="P609" s="74"/>
      <c r="Q609" s="74"/>
      <c r="R609" s="74"/>
      <c r="S609" s="74"/>
      <c r="T609" s="74"/>
      <c r="U609" s="74"/>
      <c r="V609" s="74"/>
      <c r="W609" s="74"/>
      <c r="X609" s="74"/>
      <c r="Y609" s="74"/>
      <c r="Z609" s="74"/>
      <c r="AA609" s="74"/>
      <c r="AB609" s="74"/>
    </row>
    <row r="610" spans="1:28" ht="12" customHeight="1">
      <c r="A610" s="569"/>
      <c r="B610" s="574"/>
      <c r="C610" s="575"/>
      <c r="D610" s="576"/>
      <c r="E610" s="101"/>
      <c r="F610" s="101"/>
      <c r="G610" s="35"/>
      <c r="H610" s="104"/>
      <c r="I610" s="35"/>
      <c r="J610" s="74"/>
      <c r="K610" s="74"/>
      <c r="L610" s="74"/>
      <c r="M610" s="74"/>
      <c r="N610" s="74"/>
      <c r="O610" s="74"/>
      <c r="P610" s="74"/>
      <c r="Q610" s="74"/>
      <c r="R610" s="74"/>
      <c r="S610" s="74"/>
      <c r="T610" s="74"/>
      <c r="U610" s="74"/>
      <c r="V610" s="74"/>
      <c r="W610" s="74"/>
      <c r="X610" s="74"/>
      <c r="Y610" s="74"/>
      <c r="Z610" s="74"/>
      <c r="AA610" s="74"/>
      <c r="AB610" s="74"/>
    </row>
    <row r="611" spans="1:28" ht="12" customHeight="1">
      <c r="A611" s="569"/>
      <c r="B611" s="574"/>
      <c r="C611" s="575"/>
      <c r="D611" s="576"/>
      <c r="E611" s="101"/>
      <c r="F611" s="101"/>
      <c r="G611" s="35"/>
      <c r="H611" s="104"/>
      <c r="I611" s="35"/>
      <c r="J611" s="74"/>
      <c r="K611" s="74"/>
      <c r="L611" s="74"/>
      <c r="M611" s="74"/>
      <c r="N611" s="74"/>
      <c r="O611" s="74"/>
      <c r="P611" s="74"/>
      <c r="Q611" s="74"/>
      <c r="R611" s="74"/>
      <c r="S611" s="74"/>
      <c r="T611" s="74"/>
      <c r="U611" s="74"/>
      <c r="V611" s="74"/>
      <c r="W611" s="74"/>
      <c r="X611" s="74"/>
      <c r="Y611" s="74"/>
      <c r="Z611" s="74"/>
      <c r="AA611" s="74"/>
      <c r="AB611" s="74"/>
    </row>
    <row r="612" spans="1:28" ht="12" customHeight="1">
      <c r="A612" s="569"/>
      <c r="B612" s="574"/>
      <c r="C612" s="575"/>
      <c r="D612" s="576"/>
      <c r="E612" s="101"/>
      <c r="F612" s="101"/>
      <c r="G612" s="35"/>
      <c r="H612" s="104"/>
      <c r="I612" s="35"/>
      <c r="J612" s="74"/>
      <c r="K612" s="74"/>
      <c r="L612" s="74"/>
      <c r="M612" s="74"/>
      <c r="N612" s="74"/>
      <c r="O612" s="74"/>
      <c r="P612" s="74"/>
      <c r="Q612" s="74"/>
      <c r="R612" s="74"/>
      <c r="S612" s="74"/>
      <c r="T612" s="74"/>
      <c r="U612" s="74"/>
      <c r="V612" s="74"/>
      <c r="W612" s="74"/>
      <c r="X612" s="74"/>
      <c r="Y612" s="74"/>
      <c r="Z612" s="74"/>
      <c r="AA612" s="74"/>
      <c r="AB612" s="74"/>
    </row>
    <row r="613" spans="1:28" ht="12" customHeight="1">
      <c r="A613" s="569"/>
      <c r="B613" s="574"/>
      <c r="C613" s="575"/>
      <c r="D613" s="576"/>
      <c r="E613" s="101"/>
      <c r="F613" s="101"/>
      <c r="G613" s="35"/>
      <c r="H613" s="104"/>
      <c r="I613" s="35"/>
      <c r="J613" s="74"/>
      <c r="K613" s="74"/>
      <c r="L613" s="74"/>
      <c r="M613" s="74"/>
      <c r="N613" s="74"/>
      <c r="O613" s="74"/>
      <c r="P613" s="74"/>
      <c r="Q613" s="74"/>
      <c r="R613" s="74"/>
      <c r="S613" s="74"/>
      <c r="T613" s="74"/>
      <c r="U613" s="74"/>
      <c r="V613" s="74"/>
      <c r="W613" s="74"/>
      <c r="X613" s="74"/>
      <c r="Y613" s="74"/>
      <c r="Z613" s="74"/>
      <c r="AA613" s="74"/>
      <c r="AB613" s="74"/>
    </row>
    <row r="614" spans="1:28" ht="12" customHeight="1">
      <c r="A614" s="569"/>
      <c r="B614" s="574"/>
      <c r="C614" s="575"/>
      <c r="D614" s="576"/>
      <c r="E614" s="101"/>
      <c r="F614" s="101"/>
      <c r="G614" s="35"/>
      <c r="H614" s="104"/>
      <c r="I614" s="35"/>
      <c r="J614" s="74"/>
      <c r="K614" s="74"/>
      <c r="L614" s="74"/>
      <c r="M614" s="74"/>
      <c r="N614" s="74"/>
      <c r="O614" s="74"/>
      <c r="P614" s="74"/>
      <c r="Q614" s="74"/>
      <c r="R614" s="74"/>
      <c r="S614" s="74"/>
      <c r="T614" s="74"/>
      <c r="U614" s="74"/>
      <c r="V614" s="74"/>
      <c r="W614" s="74"/>
      <c r="X614" s="74"/>
      <c r="Y614" s="74"/>
      <c r="Z614" s="74"/>
      <c r="AA614" s="74"/>
      <c r="AB614" s="74"/>
    </row>
    <row r="615" spans="1:28" ht="12" customHeight="1">
      <c r="A615" s="569"/>
      <c r="B615" s="574"/>
      <c r="C615" s="575"/>
      <c r="D615" s="576"/>
      <c r="E615" s="101"/>
      <c r="F615" s="101"/>
      <c r="G615" s="35"/>
      <c r="H615" s="104"/>
      <c r="I615" s="35"/>
      <c r="J615" s="74"/>
      <c r="K615" s="74"/>
      <c r="L615" s="74"/>
      <c r="M615" s="74"/>
      <c r="N615" s="74"/>
      <c r="O615" s="74"/>
      <c r="P615" s="74"/>
      <c r="Q615" s="74"/>
      <c r="R615" s="74"/>
      <c r="S615" s="74"/>
      <c r="T615" s="74"/>
      <c r="U615" s="74"/>
      <c r="V615" s="74"/>
      <c r="W615" s="74"/>
      <c r="X615" s="74"/>
      <c r="Y615" s="74"/>
      <c r="Z615" s="74"/>
      <c r="AA615" s="74"/>
      <c r="AB615" s="74"/>
    </row>
    <row r="616" spans="1:28" ht="12" customHeight="1">
      <c r="A616" s="569"/>
      <c r="B616" s="574"/>
      <c r="C616" s="575"/>
      <c r="D616" s="576"/>
      <c r="E616" s="101"/>
      <c r="F616" s="101"/>
      <c r="G616" s="35"/>
      <c r="H616" s="104"/>
      <c r="I616" s="35"/>
      <c r="J616" s="74"/>
      <c r="K616" s="74"/>
      <c r="L616" s="74"/>
      <c r="M616" s="74"/>
      <c r="N616" s="74"/>
      <c r="O616" s="74"/>
      <c r="P616" s="74"/>
      <c r="Q616" s="74"/>
      <c r="R616" s="74"/>
      <c r="S616" s="74"/>
      <c r="T616" s="74"/>
      <c r="U616" s="74"/>
      <c r="V616" s="74"/>
      <c r="W616" s="74"/>
      <c r="X616" s="74"/>
      <c r="Y616" s="74"/>
      <c r="Z616" s="74"/>
      <c r="AA616" s="74"/>
      <c r="AB616" s="74"/>
    </row>
    <row r="617" spans="1:28" ht="12" customHeight="1">
      <c r="A617" s="569"/>
      <c r="B617" s="574"/>
      <c r="C617" s="575"/>
      <c r="D617" s="576"/>
      <c r="E617" s="101"/>
      <c r="F617" s="101"/>
      <c r="G617" s="35"/>
      <c r="H617" s="104"/>
      <c r="I617" s="35"/>
      <c r="J617" s="74"/>
      <c r="K617" s="74"/>
      <c r="L617" s="74"/>
      <c r="M617" s="74"/>
      <c r="N617" s="74"/>
      <c r="O617" s="74"/>
      <c r="P617" s="74"/>
      <c r="Q617" s="74"/>
      <c r="R617" s="74"/>
      <c r="S617" s="74"/>
      <c r="T617" s="74"/>
      <c r="U617" s="74"/>
      <c r="V617" s="74"/>
      <c r="W617" s="74"/>
      <c r="X617" s="74"/>
      <c r="Y617" s="74"/>
      <c r="Z617" s="74"/>
      <c r="AA617" s="74"/>
      <c r="AB617" s="74"/>
    </row>
    <row r="618" spans="1:28" ht="12" customHeight="1">
      <c r="A618" s="569"/>
      <c r="B618" s="574"/>
      <c r="C618" s="575"/>
      <c r="D618" s="576"/>
      <c r="E618" s="101"/>
      <c r="F618" s="101"/>
      <c r="G618" s="35"/>
      <c r="H618" s="104"/>
      <c r="I618" s="35"/>
      <c r="J618" s="74"/>
      <c r="K618" s="74"/>
      <c r="L618" s="74"/>
      <c r="M618" s="74"/>
      <c r="N618" s="74"/>
      <c r="O618" s="74"/>
      <c r="P618" s="74"/>
      <c r="Q618" s="74"/>
      <c r="R618" s="74"/>
      <c r="S618" s="74"/>
      <c r="T618" s="74"/>
      <c r="U618" s="74"/>
      <c r="V618" s="74"/>
      <c r="W618" s="74"/>
      <c r="X618" s="74"/>
      <c r="Y618" s="74"/>
      <c r="Z618" s="74"/>
      <c r="AA618" s="74"/>
      <c r="AB618" s="74"/>
    </row>
    <row r="619" spans="1:28" ht="12" customHeight="1">
      <c r="A619" s="569"/>
      <c r="B619" s="574"/>
      <c r="C619" s="575"/>
      <c r="D619" s="576"/>
      <c r="E619" s="101"/>
      <c r="F619" s="101"/>
      <c r="G619" s="35"/>
      <c r="H619" s="104"/>
      <c r="I619" s="35"/>
      <c r="J619" s="74"/>
      <c r="K619" s="74"/>
      <c r="L619" s="74"/>
      <c r="M619" s="74"/>
      <c r="N619" s="74"/>
      <c r="O619" s="74"/>
      <c r="P619" s="74"/>
      <c r="Q619" s="74"/>
      <c r="R619" s="74"/>
      <c r="S619" s="74"/>
      <c r="T619" s="74"/>
      <c r="U619" s="74"/>
      <c r="V619" s="74"/>
      <c r="W619" s="74"/>
      <c r="X619" s="74"/>
      <c r="Y619" s="74"/>
      <c r="Z619" s="74"/>
      <c r="AA619" s="74"/>
      <c r="AB619" s="74"/>
    </row>
    <row r="620" spans="1:28" ht="12" customHeight="1">
      <c r="A620" s="569"/>
      <c r="B620" s="574"/>
      <c r="C620" s="575"/>
      <c r="D620" s="576"/>
      <c r="E620" s="101"/>
      <c r="F620" s="101"/>
      <c r="G620" s="35"/>
      <c r="H620" s="104"/>
      <c r="I620" s="35"/>
      <c r="J620" s="74"/>
      <c r="K620" s="74"/>
      <c r="L620" s="74"/>
      <c r="M620" s="74"/>
      <c r="N620" s="74"/>
      <c r="O620" s="74"/>
      <c r="P620" s="74"/>
      <c r="Q620" s="74"/>
      <c r="R620" s="74"/>
      <c r="S620" s="74"/>
      <c r="T620" s="74"/>
      <c r="U620" s="74"/>
      <c r="V620" s="74"/>
      <c r="W620" s="74"/>
      <c r="X620" s="74"/>
      <c r="Y620" s="74"/>
      <c r="Z620" s="74"/>
      <c r="AA620" s="74"/>
      <c r="AB620" s="74"/>
    </row>
    <row r="621" spans="1:28" ht="12" customHeight="1">
      <c r="A621" s="569"/>
      <c r="B621" s="574"/>
      <c r="C621" s="575"/>
      <c r="D621" s="576"/>
      <c r="E621" s="101"/>
      <c r="F621" s="101"/>
      <c r="G621" s="35"/>
      <c r="H621" s="104"/>
      <c r="I621" s="35"/>
      <c r="J621" s="74"/>
      <c r="K621" s="74"/>
      <c r="L621" s="74"/>
      <c r="M621" s="74"/>
      <c r="N621" s="74"/>
      <c r="O621" s="74"/>
      <c r="P621" s="74"/>
      <c r="Q621" s="74"/>
      <c r="R621" s="74"/>
      <c r="S621" s="74"/>
      <c r="T621" s="74"/>
      <c r="U621" s="74"/>
      <c r="V621" s="74"/>
      <c r="W621" s="74"/>
      <c r="X621" s="74"/>
      <c r="Y621" s="74"/>
      <c r="Z621" s="74"/>
      <c r="AA621" s="74"/>
      <c r="AB621" s="74"/>
    </row>
    <row r="622" spans="1:28" ht="12" customHeight="1">
      <c r="A622" s="569"/>
      <c r="B622" s="574"/>
      <c r="C622" s="575"/>
      <c r="D622" s="576"/>
      <c r="E622" s="101"/>
      <c r="F622" s="101"/>
      <c r="G622" s="35"/>
      <c r="H622" s="104"/>
      <c r="I622" s="35"/>
      <c r="J622" s="74"/>
      <c r="K622" s="74"/>
      <c r="L622" s="74"/>
      <c r="M622" s="74"/>
      <c r="N622" s="74"/>
      <c r="O622" s="74"/>
      <c r="P622" s="74"/>
      <c r="Q622" s="74"/>
      <c r="R622" s="74"/>
      <c r="S622" s="74"/>
      <c r="T622" s="74"/>
      <c r="U622" s="74"/>
      <c r="V622" s="74"/>
      <c r="W622" s="74"/>
      <c r="X622" s="74"/>
      <c r="Y622" s="74"/>
      <c r="Z622" s="74"/>
      <c r="AA622" s="74"/>
      <c r="AB622" s="74"/>
    </row>
    <row r="623" spans="1:28" ht="12" customHeight="1">
      <c r="A623" s="569"/>
      <c r="B623" s="574"/>
      <c r="C623" s="575"/>
      <c r="D623" s="576"/>
      <c r="E623" s="101"/>
      <c r="F623" s="101"/>
      <c r="G623" s="35"/>
      <c r="H623" s="104"/>
      <c r="I623" s="35"/>
      <c r="J623" s="74"/>
      <c r="K623" s="74"/>
      <c r="L623" s="74"/>
      <c r="M623" s="74"/>
      <c r="N623" s="74"/>
      <c r="O623" s="74"/>
      <c r="P623" s="74"/>
      <c r="Q623" s="74"/>
      <c r="R623" s="74"/>
      <c r="S623" s="74"/>
      <c r="T623" s="74"/>
      <c r="U623" s="74"/>
      <c r="V623" s="74"/>
      <c r="W623" s="74"/>
      <c r="X623" s="74"/>
      <c r="Y623" s="74"/>
      <c r="Z623" s="74"/>
      <c r="AA623" s="74"/>
      <c r="AB623" s="74"/>
    </row>
    <row r="624" spans="1:28" ht="12" customHeight="1">
      <c r="A624" s="569"/>
      <c r="B624" s="574"/>
      <c r="C624" s="575"/>
      <c r="D624" s="576"/>
      <c r="E624" s="101"/>
      <c r="F624" s="101"/>
      <c r="G624" s="35"/>
      <c r="H624" s="104"/>
      <c r="I624" s="35"/>
      <c r="J624" s="74"/>
      <c r="K624" s="74"/>
      <c r="L624" s="74"/>
      <c r="M624" s="74"/>
      <c r="N624" s="74"/>
      <c r="O624" s="74"/>
      <c r="P624" s="74"/>
      <c r="Q624" s="74"/>
      <c r="R624" s="74"/>
      <c r="S624" s="74"/>
      <c r="T624" s="74"/>
      <c r="U624" s="74"/>
      <c r="V624" s="74"/>
      <c r="W624" s="74"/>
      <c r="X624" s="74"/>
      <c r="Y624" s="74"/>
      <c r="Z624" s="74"/>
      <c r="AA624" s="74"/>
      <c r="AB624" s="74"/>
    </row>
    <row r="625" spans="1:28" ht="12" customHeight="1">
      <c r="A625" s="569"/>
      <c r="B625" s="574"/>
      <c r="C625" s="575"/>
      <c r="D625" s="576"/>
      <c r="E625" s="101"/>
      <c r="F625" s="101"/>
      <c r="G625" s="35"/>
      <c r="H625" s="104"/>
      <c r="I625" s="35"/>
      <c r="J625" s="74"/>
      <c r="K625" s="74"/>
      <c r="L625" s="74"/>
      <c r="M625" s="74"/>
      <c r="N625" s="74"/>
      <c r="O625" s="74"/>
      <c r="P625" s="74"/>
      <c r="Q625" s="74"/>
      <c r="R625" s="74"/>
      <c r="S625" s="74"/>
      <c r="T625" s="74"/>
      <c r="U625" s="74"/>
      <c r="V625" s="74"/>
      <c r="W625" s="74"/>
      <c r="X625" s="74"/>
      <c r="Y625" s="74"/>
      <c r="Z625" s="74"/>
      <c r="AA625" s="74"/>
      <c r="AB625" s="74"/>
    </row>
    <row r="626" spans="1:28" ht="12" customHeight="1">
      <c r="A626" s="569"/>
      <c r="B626" s="574"/>
      <c r="C626" s="575"/>
      <c r="D626" s="576"/>
      <c r="E626" s="101"/>
      <c r="F626" s="101"/>
      <c r="G626" s="35"/>
      <c r="H626" s="104"/>
      <c r="I626" s="35"/>
      <c r="J626" s="74"/>
      <c r="K626" s="74"/>
      <c r="L626" s="74"/>
      <c r="M626" s="74"/>
      <c r="N626" s="74"/>
      <c r="O626" s="74"/>
      <c r="P626" s="74"/>
      <c r="Q626" s="74"/>
      <c r="R626" s="74"/>
      <c r="S626" s="74"/>
      <c r="T626" s="74"/>
      <c r="U626" s="74"/>
      <c r="V626" s="74"/>
      <c r="W626" s="74"/>
      <c r="X626" s="74"/>
      <c r="Y626" s="74"/>
      <c r="Z626" s="74"/>
      <c r="AA626" s="74"/>
      <c r="AB626" s="74"/>
    </row>
    <row r="627" spans="1:28" ht="12" customHeight="1">
      <c r="A627" s="569"/>
      <c r="B627" s="574"/>
      <c r="C627" s="575"/>
      <c r="D627" s="576"/>
      <c r="E627" s="101"/>
      <c r="F627" s="101"/>
      <c r="G627" s="35"/>
      <c r="H627" s="104"/>
      <c r="I627" s="35"/>
      <c r="J627" s="74"/>
      <c r="K627" s="74"/>
      <c r="L627" s="74"/>
      <c r="M627" s="74"/>
      <c r="N627" s="74"/>
      <c r="O627" s="74"/>
      <c r="P627" s="74"/>
      <c r="Q627" s="74"/>
      <c r="R627" s="74"/>
      <c r="S627" s="74"/>
      <c r="T627" s="74"/>
      <c r="U627" s="74"/>
      <c r="V627" s="74"/>
      <c r="W627" s="74"/>
      <c r="X627" s="74"/>
      <c r="Y627" s="74"/>
      <c r="Z627" s="74"/>
      <c r="AA627" s="74"/>
      <c r="AB627" s="74"/>
    </row>
    <row r="628" spans="1:28" ht="12" customHeight="1">
      <c r="A628" s="569"/>
      <c r="B628" s="574"/>
      <c r="C628" s="575"/>
      <c r="D628" s="576"/>
      <c r="E628" s="101"/>
      <c r="F628" s="101"/>
      <c r="G628" s="35"/>
      <c r="H628" s="104"/>
      <c r="I628" s="35"/>
      <c r="J628" s="74"/>
      <c r="K628" s="74"/>
      <c r="L628" s="74"/>
      <c r="M628" s="74"/>
      <c r="N628" s="74"/>
      <c r="O628" s="74"/>
      <c r="P628" s="74"/>
      <c r="Q628" s="74"/>
      <c r="R628" s="74"/>
      <c r="S628" s="74"/>
      <c r="T628" s="74"/>
      <c r="U628" s="74"/>
      <c r="V628" s="74"/>
      <c r="W628" s="74"/>
      <c r="X628" s="74"/>
      <c r="Y628" s="74"/>
      <c r="Z628" s="74"/>
      <c r="AA628" s="74"/>
      <c r="AB628" s="74"/>
    </row>
    <row r="629" spans="1:28" ht="12" customHeight="1">
      <c r="A629" s="569"/>
      <c r="B629" s="574"/>
      <c r="C629" s="575"/>
      <c r="D629" s="576"/>
      <c r="E629" s="101"/>
      <c r="F629" s="101"/>
      <c r="G629" s="35"/>
      <c r="H629" s="104"/>
      <c r="I629" s="35"/>
      <c r="J629" s="74"/>
      <c r="K629" s="74"/>
      <c r="L629" s="74"/>
      <c r="M629" s="74"/>
      <c r="N629" s="74"/>
      <c r="O629" s="74"/>
      <c r="P629" s="74"/>
      <c r="Q629" s="74"/>
      <c r="R629" s="74"/>
      <c r="S629" s="74"/>
      <c r="T629" s="74"/>
      <c r="U629" s="74"/>
      <c r="V629" s="74"/>
      <c r="W629" s="74"/>
      <c r="X629" s="74"/>
      <c r="Y629" s="74"/>
      <c r="Z629" s="74"/>
      <c r="AA629" s="74"/>
      <c r="AB629" s="74"/>
    </row>
    <row r="630" spans="1:28" ht="12" customHeight="1">
      <c r="A630" s="569"/>
      <c r="B630" s="574"/>
      <c r="C630" s="575"/>
      <c r="D630" s="576"/>
      <c r="E630" s="101"/>
      <c r="F630" s="101"/>
      <c r="G630" s="35"/>
      <c r="H630" s="104"/>
      <c r="I630" s="35"/>
      <c r="J630" s="74"/>
      <c r="K630" s="74"/>
      <c r="L630" s="74"/>
      <c r="M630" s="74"/>
      <c r="N630" s="74"/>
      <c r="O630" s="74"/>
      <c r="P630" s="74"/>
      <c r="Q630" s="74"/>
      <c r="R630" s="74"/>
      <c r="S630" s="74"/>
      <c r="T630" s="74"/>
      <c r="U630" s="74"/>
      <c r="V630" s="74"/>
      <c r="W630" s="74"/>
      <c r="X630" s="74"/>
      <c r="Y630" s="74"/>
      <c r="Z630" s="74"/>
      <c r="AA630" s="74"/>
      <c r="AB630" s="74"/>
    </row>
    <row r="631" spans="1:28" ht="12" customHeight="1">
      <c r="A631" s="569"/>
      <c r="B631" s="574"/>
      <c r="C631" s="575"/>
      <c r="D631" s="576"/>
      <c r="E631" s="101"/>
      <c r="F631" s="101"/>
      <c r="G631" s="35"/>
      <c r="H631" s="104"/>
      <c r="I631" s="35"/>
      <c r="J631" s="74"/>
      <c r="K631" s="74"/>
      <c r="L631" s="74"/>
      <c r="M631" s="74"/>
      <c r="N631" s="74"/>
      <c r="O631" s="74"/>
      <c r="P631" s="74"/>
      <c r="Q631" s="74"/>
      <c r="R631" s="74"/>
      <c r="S631" s="74"/>
      <c r="T631" s="74"/>
      <c r="U631" s="74"/>
      <c r="V631" s="74"/>
      <c r="W631" s="74"/>
      <c r="X631" s="74"/>
      <c r="Y631" s="74"/>
      <c r="Z631" s="74"/>
      <c r="AA631" s="74"/>
      <c r="AB631" s="74"/>
    </row>
    <row r="632" spans="1:28" ht="12" customHeight="1">
      <c r="A632" s="569"/>
      <c r="B632" s="574"/>
      <c r="C632" s="575"/>
      <c r="D632" s="576"/>
      <c r="E632" s="101"/>
      <c r="F632" s="101"/>
      <c r="G632" s="35"/>
      <c r="H632" s="104"/>
      <c r="I632" s="35"/>
      <c r="J632" s="74"/>
      <c r="K632" s="74"/>
      <c r="L632" s="74"/>
      <c r="M632" s="74"/>
      <c r="N632" s="74"/>
      <c r="O632" s="74"/>
      <c r="P632" s="74"/>
      <c r="Q632" s="74"/>
      <c r="R632" s="74"/>
      <c r="S632" s="74"/>
      <c r="T632" s="74"/>
      <c r="U632" s="74"/>
      <c r="V632" s="74"/>
      <c r="W632" s="74"/>
      <c r="X632" s="74"/>
      <c r="Y632" s="74"/>
      <c r="Z632" s="74"/>
      <c r="AA632" s="74"/>
      <c r="AB632" s="74"/>
    </row>
    <row r="633" spans="1:28" ht="12" customHeight="1">
      <c r="A633" s="569"/>
      <c r="B633" s="574"/>
      <c r="C633" s="575"/>
      <c r="D633" s="576"/>
      <c r="E633" s="101"/>
      <c r="F633" s="101"/>
      <c r="G633" s="35"/>
      <c r="H633" s="104"/>
      <c r="I633" s="35"/>
      <c r="J633" s="74"/>
      <c r="K633" s="74"/>
      <c r="L633" s="74"/>
      <c r="M633" s="74"/>
      <c r="N633" s="74"/>
      <c r="O633" s="74"/>
      <c r="P633" s="74"/>
      <c r="Q633" s="74"/>
      <c r="R633" s="74"/>
      <c r="S633" s="74"/>
      <c r="T633" s="74"/>
      <c r="U633" s="74"/>
      <c r="V633" s="74"/>
      <c r="W633" s="74"/>
      <c r="X633" s="74"/>
      <c r="Y633" s="74"/>
      <c r="Z633" s="74"/>
      <c r="AA633" s="74"/>
      <c r="AB633" s="74"/>
    </row>
    <row r="634" spans="1:28" ht="12" customHeight="1">
      <c r="A634" s="569"/>
      <c r="B634" s="574"/>
      <c r="C634" s="575"/>
      <c r="D634" s="576"/>
      <c r="E634" s="101"/>
      <c r="F634" s="101"/>
      <c r="G634" s="35"/>
      <c r="H634" s="104"/>
      <c r="I634" s="35"/>
      <c r="J634" s="74"/>
      <c r="K634" s="74"/>
      <c r="L634" s="74"/>
      <c r="M634" s="74"/>
      <c r="N634" s="74"/>
      <c r="O634" s="74"/>
      <c r="P634" s="74"/>
      <c r="Q634" s="74"/>
      <c r="R634" s="74"/>
      <c r="S634" s="74"/>
      <c r="T634" s="74"/>
      <c r="U634" s="74"/>
      <c r="V634" s="74"/>
      <c r="W634" s="74"/>
      <c r="X634" s="74"/>
      <c r="Y634" s="74"/>
      <c r="Z634" s="74"/>
      <c r="AA634" s="74"/>
      <c r="AB634" s="74"/>
    </row>
    <row r="635" spans="1:28" ht="12" customHeight="1">
      <c r="A635" s="569"/>
      <c r="B635" s="574"/>
      <c r="C635" s="575"/>
      <c r="D635" s="576"/>
      <c r="E635" s="101"/>
      <c r="F635" s="101"/>
      <c r="G635" s="35"/>
      <c r="H635" s="104"/>
      <c r="I635" s="35"/>
      <c r="J635" s="74"/>
      <c r="K635" s="74"/>
      <c r="L635" s="74"/>
      <c r="M635" s="74"/>
      <c r="N635" s="74"/>
      <c r="O635" s="74"/>
      <c r="P635" s="74"/>
      <c r="Q635" s="74"/>
      <c r="R635" s="74"/>
      <c r="S635" s="74"/>
      <c r="T635" s="74"/>
      <c r="U635" s="74"/>
      <c r="V635" s="74"/>
      <c r="W635" s="74"/>
      <c r="X635" s="74"/>
      <c r="Y635" s="74"/>
      <c r="Z635" s="74"/>
      <c r="AA635" s="74"/>
      <c r="AB635" s="74"/>
    </row>
    <row r="636" spans="1:28" ht="12" customHeight="1">
      <c r="A636" s="569"/>
      <c r="B636" s="574"/>
      <c r="C636" s="575"/>
      <c r="D636" s="576"/>
      <c r="E636" s="101"/>
      <c r="F636" s="101"/>
      <c r="G636" s="35"/>
      <c r="H636" s="104"/>
      <c r="I636" s="35"/>
      <c r="J636" s="74"/>
      <c r="K636" s="74"/>
      <c r="L636" s="74"/>
      <c r="M636" s="74"/>
      <c r="N636" s="74"/>
      <c r="O636" s="74"/>
      <c r="P636" s="74"/>
      <c r="Q636" s="74"/>
      <c r="R636" s="74"/>
      <c r="S636" s="74"/>
      <c r="T636" s="74"/>
      <c r="U636" s="74"/>
      <c r="V636" s="74"/>
      <c r="W636" s="74"/>
      <c r="X636" s="74"/>
      <c r="Y636" s="74"/>
      <c r="Z636" s="74"/>
      <c r="AA636" s="74"/>
      <c r="AB636" s="74"/>
    </row>
    <row r="637" spans="1:28" ht="12" customHeight="1">
      <c r="A637" s="569"/>
      <c r="B637" s="574"/>
      <c r="C637" s="575"/>
      <c r="D637" s="576"/>
      <c r="E637" s="101"/>
      <c r="F637" s="101"/>
      <c r="G637" s="35"/>
      <c r="H637" s="104"/>
      <c r="I637" s="35"/>
      <c r="J637" s="74"/>
      <c r="K637" s="74"/>
      <c r="L637" s="74"/>
      <c r="M637" s="74"/>
      <c r="N637" s="74"/>
      <c r="O637" s="74"/>
      <c r="P637" s="74"/>
      <c r="Q637" s="74"/>
      <c r="R637" s="74"/>
      <c r="S637" s="74"/>
      <c r="T637" s="74"/>
      <c r="U637" s="74"/>
      <c r="V637" s="74"/>
      <c r="W637" s="74"/>
      <c r="X637" s="74"/>
      <c r="Y637" s="74"/>
      <c r="Z637" s="74"/>
      <c r="AA637" s="74"/>
      <c r="AB637" s="74"/>
    </row>
    <row r="638" spans="1:28" ht="12" customHeight="1">
      <c r="A638" s="569"/>
      <c r="B638" s="574"/>
      <c r="C638" s="575"/>
      <c r="D638" s="576"/>
      <c r="E638" s="101"/>
      <c r="F638" s="101"/>
      <c r="G638" s="35"/>
      <c r="H638" s="104"/>
      <c r="I638" s="35"/>
      <c r="J638" s="74"/>
      <c r="K638" s="74"/>
      <c r="L638" s="74"/>
      <c r="M638" s="74"/>
      <c r="N638" s="74"/>
      <c r="O638" s="74"/>
      <c r="P638" s="74"/>
      <c r="Q638" s="74"/>
      <c r="R638" s="74"/>
      <c r="S638" s="74"/>
      <c r="T638" s="74"/>
      <c r="U638" s="74"/>
      <c r="V638" s="74"/>
      <c r="W638" s="74"/>
      <c r="X638" s="74"/>
      <c r="Y638" s="74"/>
      <c r="Z638" s="74"/>
      <c r="AA638" s="74"/>
      <c r="AB638" s="74"/>
    </row>
    <row r="639" spans="1:28" ht="12" customHeight="1">
      <c r="A639" s="569"/>
      <c r="B639" s="574"/>
      <c r="C639" s="575"/>
      <c r="D639" s="576"/>
      <c r="E639" s="101"/>
      <c r="F639" s="101"/>
      <c r="G639" s="35"/>
      <c r="H639" s="104"/>
      <c r="I639" s="35"/>
      <c r="J639" s="74"/>
      <c r="K639" s="74"/>
      <c r="L639" s="74"/>
      <c r="M639" s="74"/>
      <c r="N639" s="74"/>
      <c r="O639" s="74"/>
      <c r="P639" s="74"/>
      <c r="Q639" s="74"/>
      <c r="R639" s="74"/>
      <c r="S639" s="74"/>
      <c r="T639" s="74"/>
      <c r="U639" s="74"/>
      <c r="V639" s="74"/>
      <c r="W639" s="74"/>
      <c r="X639" s="74"/>
      <c r="Y639" s="74"/>
      <c r="Z639" s="74"/>
      <c r="AA639" s="74"/>
      <c r="AB639" s="74"/>
    </row>
    <row r="640" spans="1:28" ht="12" customHeight="1">
      <c r="A640" s="569"/>
      <c r="B640" s="574"/>
      <c r="C640" s="575"/>
      <c r="D640" s="576"/>
      <c r="E640" s="101"/>
      <c r="F640" s="101"/>
      <c r="G640" s="35"/>
      <c r="H640" s="104"/>
      <c r="I640" s="35"/>
      <c r="J640" s="74"/>
      <c r="K640" s="74"/>
      <c r="L640" s="74"/>
      <c r="M640" s="74"/>
      <c r="N640" s="74"/>
      <c r="O640" s="74"/>
      <c r="P640" s="74"/>
      <c r="Q640" s="74"/>
      <c r="R640" s="74"/>
      <c r="S640" s="74"/>
      <c r="T640" s="74"/>
      <c r="U640" s="74"/>
      <c r="V640" s="74"/>
      <c r="W640" s="74"/>
      <c r="X640" s="74"/>
      <c r="Y640" s="74"/>
      <c r="Z640" s="74"/>
      <c r="AA640" s="74"/>
      <c r="AB640" s="74"/>
    </row>
    <row r="641" spans="1:28" ht="12" customHeight="1">
      <c r="A641" s="569"/>
      <c r="B641" s="574"/>
      <c r="C641" s="575"/>
      <c r="D641" s="576"/>
      <c r="E641" s="101"/>
      <c r="F641" s="101"/>
      <c r="G641" s="35"/>
      <c r="H641" s="104"/>
      <c r="I641" s="35"/>
      <c r="J641" s="74"/>
      <c r="K641" s="74"/>
      <c r="L641" s="74"/>
      <c r="M641" s="74"/>
      <c r="N641" s="74"/>
      <c r="O641" s="74"/>
      <c r="P641" s="74"/>
      <c r="Q641" s="74"/>
      <c r="R641" s="74"/>
      <c r="S641" s="74"/>
      <c r="T641" s="74"/>
      <c r="U641" s="74"/>
      <c r="V641" s="74"/>
      <c r="W641" s="74"/>
      <c r="X641" s="74"/>
      <c r="Y641" s="74"/>
      <c r="Z641" s="74"/>
      <c r="AA641" s="74"/>
      <c r="AB641" s="74"/>
    </row>
    <row r="642" spans="1:28" ht="12" customHeight="1">
      <c r="A642" s="569"/>
      <c r="B642" s="574"/>
      <c r="C642" s="575"/>
      <c r="D642" s="576"/>
      <c r="E642" s="101"/>
      <c r="F642" s="101"/>
      <c r="G642" s="35"/>
      <c r="H642" s="104"/>
      <c r="I642" s="35"/>
      <c r="J642" s="74"/>
      <c r="K642" s="74"/>
      <c r="L642" s="74"/>
      <c r="M642" s="74"/>
      <c r="N642" s="74"/>
      <c r="O642" s="74"/>
      <c r="P642" s="74"/>
      <c r="Q642" s="74"/>
      <c r="R642" s="74"/>
      <c r="S642" s="74"/>
      <c r="T642" s="74"/>
      <c r="U642" s="74"/>
      <c r="V642" s="74"/>
      <c r="W642" s="74"/>
      <c r="X642" s="74"/>
      <c r="Y642" s="74"/>
      <c r="Z642" s="74"/>
      <c r="AA642" s="74"/>
      <c r="AB642" s="74"/>
    </row>
    <row r="643" spans="1:28" ht="12" customHeight="1">
      <c r="A643" s="569"/>
      <c r="B643" s="574"/>
      <c r="C643" s="575"/>
      <c r="D643" s="576"/>
      <c r="E643" s="101"/>
      <c r="F643" s="101"/>
      <c r="G643" s="35"/>
      <c r="H643" s="104"/>
      <c r="I643" s="35"/>
      <c r="J643" s="74"/>
      <c r="K643" s="74"/>
      <c r="L643" s="74"/>
      <c r="M643" s="74"/>
      <c r="N643" s="74"/>
      <c r="O643" s="74"/>
      <c r="P643" s="74"/>
      <c r="Q643" s="74"/>
      <c r="R643" s="74"/>
      <c r="S643" s="74"/>
      <c r="T643" s="74"/>
      <c r="U643" s="74"/>
      <c r="V643" s="74"/>
      <c r="W643" s="74"/>
      <c r="X643" s="74"/>
      <c r="Y643" s="74"/>
      <c r="Z643" s="74"/>
      <c r="AA643" s="74"/>
      <c r="AB643" s="74"/>
    </row>
    <row r="644" spans="1:28" ht="12" customHeight="1">
      <c r="A644" s="569"/>
      <c r="B644" s="574"/>
      <c r="C644" s="575"/>
      <c r="D644" s="576"/>
      <c r="E644" s="101"/>
      <c r="F644" s="101"/>
      <c r="G644" s="35"/>
      <c r="H644" s="104"/>
      <c r="I644" s="35"/>
      <c r="J644" s="74"/>
      <c r="K644" s="74"/>
      <c r="L644" s="74"/>
      <c r="M644" s="74"/>
      <c r="N644" s="74"/>
      <c r="O644" s="74"/>
      <c r="P644" s="74"/>
      <c r="Q644" s="74"/>
      <c r="R644" s="74"/>
      <c r="S644" s="74"/>
      <c r="T644" s="74"/>
      <c r="U644" s="74"/>
      <c r="V644" s="74"/>
      <c r="W644" s="74"/>
      <c r="X644" s="74"/>
      <c r="Y644" s="74"/>
      <c r="Z644" s="74"/>
      <c r="AA644" s="74"/>
      <c r="AB644" s="74"/>
    </row>
    <row r="645" spans="1:28" ht="12" customHeight="1">
      <c r="A645" s="569"/>
      <c r="B645" s="574"/>
      <c r="C645" s="575"/>
      <c r="D645" s="576"/>
      <c r="E645" s="101"/>
      <c r="F645" s="101"/>
      <c r="G645" s="35"/>
      <c r="H645" s="104"/>
      <c r="I645" s="35"/>
      <c r="J645" s="74"/>
      <c r="K645" s="74"/>
      <c r="L645" s="74"/>
      <c r="M645" s="74"/>
      <c r="N645" s="74"/>
      <c r="O645" s="74"/>
      <c r="P645" s="74"/>
      <c r="Q645" s="74"/>
      <c r="R645" s="74"/>
      <c r="S645" s="74"/>
      <c r="T645" s="74"/>
      <c r="U645" s="74"/>
      <c r="V645" s="74"/>
      <c r="W645" s="74"/>
      <c r="X645" s="74"/>
      <c r="Y645" s="74"/>
      <c r="Z645" s="74"/>
      <c r="AA645" s="74"/>
      <c r="AB645" s="74"/>
    </row>
    <row r="646" spans="1:28" ht="12" customHeight="1">
      <c r="A646" s="569"/>
      <c r="B646" s="574"/>
      <c r="C646" s="575"/>
      <c r="D646" s="576"/>
      <c r="E646" s="101"/>
      <c r="F646" s="101"/>
      <c r="G646" s="35"/>
      <c r="H646" s="104"/>
      <c r="I646" s="35"/>
      <c r="J646" s="74"/>
      <c r="K646" s="74"/>
      <c r="L646" s="74"/>
      <c r="M646" s="74"/>
      <c r="N646" s="74"/>
      <c r="O646" s="74"/>
      <c r="P646" s="74"/>
      <c r="Q646" s="74"/>
      <c r="R646" s="74"/>
      <c r="S646" s="74"/>
      <c r="T646" s="74"/>
      <c r="U646" s="74"/>
      <c r="V646" s="74"/>
      <c r="W646" s="74"/>
      <c r="X646" s="74"/>
      <c r="Y646" s="74"/>
      <c r="Z646" s="74"/>
      <c r="AA646" s="74"/>
      <c r="AB646" s="74"/>
    </row>
    <row r="647" spans="1:28" ht="12" customHeight="1">
      <c r="A647" s="569"/>
      <c r="B647" s="574"/>
      <c r="C647" s="575"/>
      <c r="D647" s="576"/>
      <c r="E647" s="101"/>
      <c r="F647" s="101"/>
      <c r="G647" s="35"/>
      <c r="H647" s="104"/>
      <c r="I647" s="35"/>
      <c r="J647" s="74"/>
      <c r="K647" s="74"/>
      <c r="L647" s="74"/>
      <c r="M647" s="74"/>
      <c r="N647" s="74"/>
      <c r="O647" s="74"/>
      <c r="P647" s="74"/>
      <c r="Q647" s="74"/>
      <c r="R647" s="74"/>
      <c r="S647" s="74"/>
      <c r="T647" s="74"/>
      <c r="U647" s="74"/>
      <c r="V647" s="74"/>
      <c r="W647" s="74"/>
      <c r="X647" s="74"/>
      <c r="Y647" s="74"/>
      <c r="Z647" s="74"/>
      <c r="AA647" s="74"/>
      <c r="AB647" s="74"/>
    </row>
    <row r="648" spans="1:28" ht="12" customHeight="1">
      <c r="A648" s="569"/>
      <c r="B648" s="574"/>
      <c r="C648" s="575"/>
      <c r="D648" s="576"/>
      <c r="E648" s="101"/>
      <c r="F648" s="101"/>
      <c r="G648" s="35"/>
      <c r="H648" s="104"/>
      <c r="I648" s="35"/>
      <c r="J648" s="74"/>
      <c r="K648" s="74"/>
      <c r="L648" s="74"/>
      <c r="M648" s="74"/>
      <c r="N648" s="74"/>
      <c r="O648" s="74"/>
      <c r="P648" s="74"/>
      <c r="Q648" s="74"/>
      <c r="R648" s="74"/>
      <c r="S648" s="74"/>
      <c r="T648" s="74"/>
      <c r="U648" s="74"/>
      <c r="V648" s="74"/>
      <c r="W648" s="74"/>
      <c r="X648" s="74"/>
      <c r="Y648" s="74"/>
      <c r="Z648" s="74"/>
      <c r="AA648" s="74"/>
      <c r="AB648" s="74"/>
    </row>
    <row r="649" spans="1:28" ht="12" customHeight="1">
      <c r="A649" s="569"/>
      <c r="B649" s="574"/>
      <c r="C649" s="575"/>
      <c r="D649" s="576"/>
      <c r="E649" s="101"/>
      <c r="F649" s="101"/>
      <c r="G649" s="35"/>
      <c r="H649" s="104"/>
      <c r="I649" s="35"/>
      <c r="J649" s="74"/>
      <c r="K649" s="74"/>
      <c r="L649" s="74"/>
      <c r="M649" s="74"/>
      <c r="N649" s="74"/>
      <c r="O649" s="74"/>
      <c r="P649" s="74"/>
      <c r="Q649" s="74"/>
      <c r="R649" s="74"/>
      <c r="S649" s="74"/>
      <c r="T649" s="74"/>
      <c r="U649" s="74"/>
      <c r="V649" s="74"/>
      <c r="W649" s="74"/>
      <c r="X649" s="74"/>
      <c r="Y649" s="74"/>
      <c r="Z649" s="74"/>
      <c r="AA649" s="74"/>
      <c r="AB649" s="74"/>
    </row>
    <row r="650" spans="1:28" ht="12" customHeight="1">
      <c r="A650" s="569"/>
      <c r="B650" s="574"/>
      <c r="C650" s="575"/>
      <c r="D650" s="576"/>
      <c r="E650" s="101"/>
      <c r="F650" s="101"/>
      <c r="G650" s="35"/>
      <c r="H650" s="104"/>
      <c r="I650" s="35"/>
      <c r="J650" s="74"/>
      <c r="K650" s="74"/>
      <c r="L650" s="74"/>
      <c r="M650" s="74"/>
      <c r="N650" s="74"/>
      <c r="O650" s="74"/>
      <c r="P650" s="74"/>
      <c r="Q650" s="74"/>
      <c r="R650" s="74"/>
      <c r="S650" s="74"/>
      <c r="T650" s="74"/>
      <c r="U650" s="74"/>
      <c r="V650" s="74"/>
      <c r="W650" s="74"/>
      <c r="X650" s="74"/>
      <c r="Y650" s="74"/>
      <c r="Z650" s="74"/>
      <c r="AA650" s="74"/>
      <c r="AB650" s="74"/>
    </row>
    <row r="651" spans="1:28" ht="12" customHeight="1">
      <c r="A651" s="569"/>
      <c r="B651" s="574"/>
      <c r="C651" s="575"/>
      <c r="D651" s="576"/>
      <c r="E651" s="101"/>
      <c r="F651" s="101"/>
      <c r="G651" s="35"/>
      <c r="H651" s="104"/>
      <c r="I651" s="35"/>
      <c r="J651" s="74"/>
      <c r="K651" s="74"/>
      <c r="L651" s="74"/>
      <c r="M651" s="74"/>
      <c r="N651" s="74"/>
      <c r="O651" s="74"/>
      <c r="P651" s="74"/>
      <c r="Q651" s="74"/>
      <c r="R651" s="74"/>
      <c r="S651" s="74"/>
      <c r="T651" s="74"/>
      <c r="U651" s="74"/>
      <c r="V651" s="74"/>
      <c r="W651" s="74"/>
      <c r="X651" s="74"/>
      <c r="Y651" s="74"/>
      <c r="Z651" s="74"/>
      <c r="AA651" s="74"/>
      <c r="AB651" s="74"/>
    </row>
    <row r="652" spans="1:28" ht="12" customHeight="1">
      <c r="A652" s="569"/>
      <c r="B652" s="574"/>
      <c r="C652" s="575"/>
      <c r="D652" s="576"/>
      <c r="E652" s="101"/>
      <c r="F652" s="101"/>
      <c r="G652" s="35"/>
      <c r="H652" s="104"/>
      <c r="I652" s="35"/>
      <c r="J652" s="74"/>
      <c r="K652" s="74"/>
      <c r="L652" s="74"/>
      <c r="M652" s="74"/>
      <c r="N652" s="74"/>
      <c r="O652" s="74"/>
      <c r="P652" s="74"/>
      <c r="Q652" s="74"/>
      <c r="R652" s="74"/>
      <c r="S652" s="74"/>
      <c r="T652" s="74"/>
      <c r="U652" s="74"/>
      <c r="V652" s="74"/>
      <c r="W652" s="74"/>
      <c r="X652" s="74"/>
      <c r="Y652" s="74"/>
      <c r="Z652" s="74"/>
      <c r="AA652" s="74"/>
      <c r="AB652" s="74"/>
    </row>
    <row r="653" spans="1:28" ht="12" customHeight="1">
      <c r="A653" s="569"/>
      <c r="B653" s="574"/>
      <c r="C653" s="575"/>
      <c r="D653" s="576"/>
      <c r="E653" s="101"/>
      <c r="F653" s="101"/>
      <c r="G653" s="35"/>
      <c r="H653" s="104"/>
      <c r="I653" s="35"/>
      <c r="J653" s="74"/>
      <c r="K653" s="74"/>
      <c r="L653" s="74"/>
      <c r="M653" s="74"/>
      <c r="N653" s="74"/>
      <c r="O653" s="74"/>
      <c r="P653" s="74"/>
      <c r="Q653" s="74"/>
      <c r="R653" s="74"/>
      <c r="S653" s="74"/>
      <c r="T653" s="74"/>
      <c r="U653" s="74"/>
      <c r="V653" s="74"/>
      <c r="W653" s="74"/>
      <c r="X653" s="74"/>
      <c r="Y653" s="74"/>
      <c r="Z653" s="74"/>
      <c r="AA653" s="74"/>
      <c r="AB653" s="74"/>
    </row>
    <row r="654" spans="1:28" ht="12" customHeight="1">
      <c r="A654" s="569"/>
      <c r="B654" s="574"/>
      <c r="C654" s="575"/>
      <c r="D654" s="576"/>
      <c r="E654" s="101"/>
      <c r="F654" s="101"/>
      <c r="G654" s="35"/>
      <c r="H654" s="104"/>
      <c r="I654" s="35"/>
      <c r="J654" s="74"/>
      <c r="K654" s="74"/>
      <c r="L654" s="74"/>
      <c r="M654" s="74"/>
      <c r="N654" s="74"/>
      <c r="O654" s="74"/>
      <c r="P654" s="74"/>
      <c r="Q654" s="74"/>
      <c r="R654" s="74"/>
      <c r="S654" s="74"/>
      <c r="T654" s="74"/>
      <c r="U654" s="74"/>
      <c r="V654" s="74"/>
      <c r="W654" s="74"/>
      <c r="X654" s="74"/>
      <c r="Y654" s="74"/>
      <c r="Z654" s="74"/>
      <c r="AA654" s="74"/>
      <c r="AB654" s="74"/>
    </row>
    <row r="655" spans="1:28" ht="12" customHeight="1">
      <c r="A655" s="569"/>
      <c r="B655" s="574"/>
      <c r="C655" s="575"/>
      <c r="D655" s="576"/>
      <c r="E655" s="101"/>
      <c r="F655" s="101"/>
      <c r="G655" s="35"/>
      <c r="H655" s="104"/>
      <c r="I655" s="35"/>
      <c r="J655" s="74"/>
      <c r="K655" s="74"/>
      <c r="L655" s="74"/>
      <c r="M655" s="74"/>
      <c r="N655" s="74"/>
      <c r="O655" s="74"/>
      <c r="P655" s="74"/>
      <c r="Q655" s="74"/>
      <c r="R655" s="74"/>
      <c r="S655" s="74"/>
      <c r="T655" s="74"/>
      <c r="U655" s="74"/>
      <c r="V655" s="74"/>
      <c r="W655" s="74"/>
      <c r="X655" s="74"/>
      <c r="Y655" s="74"/>
      <c r="Z655" s="74"/>
      <c r="AA655" s="74"/>
      <c r="AB655" s="74"/>
    </row>
    <row r="656" spans="1:28" ht="12" customHeight="1">
      <c r="A656" s="569"/>
      <c r="B656" s="574"/>
      <c r="C656" s="575"/>
      <c r="D656" s="576"/>
      <c r="E656" s="101"/>
      <c r="F656" s="101"/>
      <c r="G656" s="35"/>
      <c r="H656" s="104"/>
      <c r="I656" s="35"/>
      <c r="J656" s="74"/>
      <c r="K656" s="74"/>
      <c r="L656" s="74"/>
      <c r="M656" s="74"/>
      <c r="N656" s="74"/>
      <c r="O656" s="74"/>
      <c r="P656" s="74"/>
      <c r="Q656" s="74"/>
      <c r="R656" s="74"/>
      <c r="S656" s="74"/>
      <c r="T656" s="74"/>
      <c r="U656" s="74"/>
      <c r="V656" s="74"/>
      <c r="W656" s="74"/>
      <c r="X656" s="74"/>
      <c r="Y656" s="74"/>
      <c r="Z656" s="74"/>
      <c r="AA656" s="74"/>
      <c r="AB656" s="74"/>
    </row>
    <row r="657" spans="1:28" ht="12" customHeight="1">
      <c r="A657" s="569"/>
      <c r="B657" s="574"/>
      <c r="C657" s="575"/>
      <c r="D657" s="576"/>
      <c r="E657" s="101"/>
      <c r="F657" s="101"/>
      <c r="G657" s="35"/>
      <c r="H657" s="104"/>
      <c r="I657" s="35"/>
      <c r="J657" s="74"/>
      <c r="K657" s="74"/>
      <c r="L657" s="74"/>
      <c r="M657" s="74"/>
      <c r="N657" s="74"/>
      <c r="O657" s="74"/>
      <c r="P657" s="74"/>
      <c r="Q657" s="74"/>
      <c r="R657" s="74"/>
      <c r="S657" s="74"/>
      <c r="T657" s="74"/>
      <c r="U657" s="74"/>
      <c r="V657" s="74"/>
      <c r="W657" s="74"/>
      <c r="X657" s="74"/>
      <c r="Y657" s="74"/>
      <c r="Z657" s="74"/>
      <c r="AA657" s="74"/>
      <c r="AB657" s="74"/>
    </row>
    <row r="658" spans="1:28" ht="12" customHeight="1">
      <c r="A658" s="569"/>
      <c r="B658" s="574"/>
      <c r="C658" s="575"/>
      <c r="D658" s="576"/>
      <c r="E658" s="101"/>
      <c r="F658" s="101"/>
      <c r="G658" s="35"/>
      <c r="H658" s="104"/>
      <c r="I658" s="35"/>
      <c r="J658" s="74"/>
      <c r="K658" s="74"/>
      <c r="L658" s="74"/>
      <c r="M658" s="74"/>
      <c r="N658" s="74"/>
      <c r="O658" s="74"/>
      <c r="P658" s="74"/>
      <c r="Q658" s="74"/>
      <c r="R658" s="74"/>
      <c r="S658" s="74"/>
      <c r="T658" s="74"/>
      <c r="U658" s="74"/>
      <c r="V658" s="74"/>
      <c r="W658" s="74"/>
      <c r="X658" s="74"/>
      <c r="Y658" s="74"/>
      <c r="Z658" s="74"/>
      <c r="AA658" s="74"/>
      <c r="AB658" s="74"/>
    </row>
    <row r="659" spans="1:28" ht="12" customHeight="1">
      <c r="A659" s="569"/>
      <c r="B659" s="574"/>
      <c r="C659" s="575"/>
      <c r="D659" s="576"/>
      <c r="E659" s="101"/>
      <c r="F659" s="101"/>
      <c r="G659" s="35"/>
      <c r="H659" s="104"/>
      <c r="I659" s="35"/>
      <c r="J659" s="74"/>
      <c r="K659" s="74"/>
      <c r="L659" s="74"/>
      <c r="M659" s="74"/>
      <c r="N659" s="74"/>
      <c r="O659" s="74"/>
      <c r="P659" s="74"/>
      <c r="Q659" s="74"/>
      <c r="R659" s="74"/>
      <c r="S659" s="74"/>
      <c r="T659" s="74"/>
      <c r="U659" s="74"/>
      <c r="V659" s="74"/>
      <c r="W659" s="74"/>
      <c r="X659" s="74"/>
      <c r="Y659" s="74"/>
      <c r="Z659" s="74"/>
      <c r="AA659" s="74"/>
      <c r="AB659" s="74"/>
    </row>
    <row r="660" spans="1:28" ht="12" customHeight="1">
      <c r="A660" s="569"/>
      <c r="B660" s="574"/>
      <c r="C660" s="575"/>
      <c r="D660" s="576"/>
      <c r="E660" s="101"/>
      <c r="F660" s="101"/>
      <c r="G660" s="35"/>
      <c r="H660" s="104"/>
      <c r="I660" s="35"/>
      <c r="J660" s="74"/>
      <c r="K660" s="74"/>
      <c r="L660" s="74"/>
      <c r="M660" s="74"/>
      <c r="N660" s="74"/>
      <c r="O660" s="74"/>
      <c r="P660" s="74"/>
      <c r="Q660" s="74"/>
      <c r="R660" s="74"/>
      <c r="S660" s="74"/>
      <c r="T660" s="74"/>
      <c r="U660" s="74"/>
      <c r="V660" s="74"/>
      <c r="W660" s="74"/>
      <c r="X660" s="74"/>
      <c r="Y660" s="74"/>
      <c r="Z660" s="74"/>
      <c r="AA660" s="74"/>
      <c r="AB660" s="74"/>
    </row>
    <row r="661" spans="1:28" ht="12" customHeight="1">
      <c r="A661" s="569"/>
      <c r="B661" s="574"/>
      <c r="C661" s="575"/>
      <c r="D661" s="576"/>
      <c r="E661" s="101"/>
      <c r="F661" s="101"/>
      <c r="G661" s="35"/>
      <c r="H661" s="104"/>
      <c r="I661" s="35"/>
      <c r="J661" s="74"/>
      <c r="K661" s="74"/>
      <c r="L661" s="74"/>
      <c r="M661" s="74"/>
      <c r="N661" s="74"/>
      <c r="O661" s="74"/>
      <c r="P661" s="74"/>
      <c r="Q661" s="74"/>
      <c r="R661" s="74"/>
      <c r="S661" s="74"/>
      <c r="T661" s="74"/>
      <c r="U661" s="74"/>
      <c r="V661" s="74"/>
      <c r="W661" s="74"/>
      <c r="X661" s="74"/>
      <c r="Y661" s="74"/>
      <c r="Z661" s="74"/>
      <c r="AA661" s="74"/>
      <c r="AB661" s="74"/>
    </row>
    <row r="662" spans="1:28" ht="12" customHeight="1">
      <c r="A662" s="569"/>
      <c r="B662" s="574"/>
      <c r="C662" s="575"/>
      <c r="D662" s="576"/>
      <c r="E662" s="101"/>
      <c r="F662" s="101"/>
      <c r="G662" s="35"/>
      <c r="H662" s="104"/>
      <c r="I662" s="35"/>
      <c r="J662" s="74"/>
      <c r="K662" s="74"/>
      <c r="L662" s="74"/>
      <c r="M662" s="74"/>
      <c r="N662" s="74"/>
      <c r="O662" s="74"/>
      <c r="P662" s="74"/>
      <c r="Q662" s="74"/>
      <c r="R662" s="74"/>
      <c r="S662" s="74"/>
      <c r="T662" s="74"/>
      <c r="U662" s="74"/>
      <c r="V662" s="74"/>
      <c r="W662" s="74"/>
      <c r="X662" s="74"/>
      <c r="Y662" s="74"/>
      <c r="Z662" s="74"/>
      <c r="AA662" s="74"/>
      <c r="AB662" s="74"/>
    </row>
    <row r="663" spans="1:28" ht="12" customHeight="1">
      <c r="A663" s="569"/>
      <c r="B663" s="574"/>
      <c r="C663" s="575"/>
      <c r="D663" s="576"/>
      <c r="E663" s="101"/>
      <c r="F663" s="101"/>
      <c r="G663" s="35"/>
      <c r="H663" s="104"/>
      <c r="I663" s="35"/>
      <c r="J663" s="74"/>
      <c r="K663" s="74"/>
      <c r="L663" s="74"/>
      <c r="M663" s="74"/>
      <c r="N663" s="74"/>
      <c r="O663" s="74"/>
      <c r="P663" s="74"/>
      <c r="Q663" s="74"/>
      <c r="R663" s="74"/>
      <c r="S663" s="74"/>
      <c r="T663" s="74"/>
      <c r="U663" s="74"/>
      <c r="V663" s="74"/>
      <c r="W663" s="74"/>
      <c r="X663" s="74"/>
      <c r="Y663" s="74"/>
      <c r="Z663" s="74"/>
      <c r="AA663" s="74"/>
      <c r="AB663" s="74"/>
    </row>
    <row r="664" spans="1:28" ht="12" customHeight="1">
      <c r="A664" s="569"/>
      <c r="B664" s="574"/>
      <c r="C664" s="575"/>
      <c r="D664" s="576"/>
      <c r="E664" s="101"/>
      <c r="F664" s="101"/>
      <c r="G664" s="35"/>
      <c r="H664" s="104"/>
      <c r="I664" s="35"/>
      <c r="J664" s="74"/>
      <c r="K664" s="74"/>
      <c r="L664" s="74"/>
      <c r="M664" s="74"/>
      <c r="N664" s="74"/>
      <c r="O664" s="74"/>
      <c r="P664" s="74"/>
      <c r="Q664" s="74"/>
      <c r="R664" s="74"/>
      <c r="S664" s="74"/>
      <c r="T664" s="74"/>
      <c r="U664" s="74"/>
      <c r="V664" s="74"/>
      <c r="W664" s="74"/>
      <c r="X664" s="74"/>
      <c r="Y664" s="74"/>
      <c r="Z664" s="74"/>
      <c r="AA664" s="74"/>
      <c r="AB664" s="74"/>
    </row>
    <row r="665" spans="1:28" ht="12" customHeight="1">
      <c r="A665" s="569"/>
      <c r="B665" s="574"/>
      <c r="C665" s="575"/>
      <c r="D665" s="576"/>
      <c r="E665" s="101"/>
      <c r="F665" s="101"/>
      <c r="G665" s="35"/>
      <c r="H665" s="104"/>
      <c r="I665" s="35"/>
      <c r="J665" s="74"/>
      <c r="K665" s="74"/>
      <c r="L665" s="74"/>
      <c r="M665" s="74"/>
      <c r="N665" s="74"/>
      <c r="O665" s="74"/>
      <c r="P665" s="74"/>
      <c r="Q665" s="74"/>
      <c r="R665" s="74"/>
      <c r="S665" s="74"/>
      <c r="T665" s="74"/>
      <c r="U665" s="74"/>
      <c r="V665" s="74"/>
      <c r="W665" s="74"/>
      <c r="X665" s="74"/>
      <c r="Y665" s="74"/>
      <c r="Z665" s="74"/>
      <c r="AA665" s="74"/>
      <c r="AB665" s="74"/>
    </row>
    <row r="666" spans="1:28" ht="12" customHeight="1">
      <c r="A666" s="569"/>
      <c r="B666" s="574"/>
      <c r="C666" s="575"/>
      <c r="D666" s="576"/>
      <c r="E666" s="101"/>
      <c r="F666" s="101"/>
      <c r="G666" s="35"/>
      <c r="H666" s="104"/>
      <c r="I666" s="35"/>
      <c r="J666" s="74"/>
      <c r="K666" s="74"/>
      <c r="L666" s="74"/>
      <c r="M666" s="74"/>
      <c r="N666" s="74"/>
      <c r="O666" s="74"/>
      <c r="P666" s="74"/>
      <c r="Q666" s="74"/>
      <c r="R666" s="74"/>
      <c r="S666" s="74"/>
      <c r="T666" s="74"/>
      <c r="U666" s="74"/>
      <c r="V666" s="74"/>
      <c r="W666" s="74"/>
      <c r="X666" s="74"/>
      <c r="Y666" s="74"/>
      <c r="Z666" s="74"/>
      <c r="AA666" s="74"/>
      <c r="AB666" s="74"/>
    </row>
    <row r="667" spans="1:28" ht="12" customHeight="1">
      <c r="A667" s="569"/>
      <c r="B667" s="574"/>
      <c r="C667" s="575"/>
      <c r="D667" s="576"/>
      <c r="E667" s="101"/>
      <c r="F667" s="101"/>
      <c r="G667" s="35"/>
      <c r="H667" s="104"/>
      <c r="I667" s="35"/>
      <c r="J667" s="74"/>
      <c r="K667" s="74"/>
      <c r="L667" s="74"/>
      <c r="M667" s="74"/>
      <c r="N667" s="74"/>
      <c r="O667" s="74"/>
      <c r="P667" s="74"/>
      <c r="Q667" s="74"/>
      <c r="R667" s="74"/>
      <c r="S667" s="74"/>
      <c r="T667" s="74"/>
      <c r="U667" s="74"/>
      <c r="V667" s="74"/>
      <c r="W667" s="74"/>
      <c r="X667" s="74"/>
      <c r="Y667" s="74"/>
      <c r="Z667" s="74"/>
      <c r="AA667" s="74"/>
      <c r="AB667" s="74"/>
    </row>
    <row r="668" spans="1:28" ht="12" customHeight="1">
      <c r="A668" s="569"/>
      <c r="B668" s="574"/>
      <c r="C668" s="575"/>
      <c r="D668" s="576"/>
      <c r="E668" s="101"/>
      <c r="F668" s="101"/>
      <c r="G668" s="35"/>
      <c r="H668" s="104"/>
      <c r="I668" s="35"/>
      <c r="J668" s="74"/>
      <c r="K668" s="74"/>
      <c r="L668" s="74"/>
      <c r="M668" s="74"/>
      <c r="N668" s="74"/>
      <c r="O668" s="74"/>
      <c r="P668" s="74"/>
      <c r="Q668" s="74"/>
      <c r="R668" s="74"/>
      <c r="S668" s="74"/>
      <c r="T668" s="74"/>
      <c r="U668" s="74"/>
      <c r="V668" s="74"/>
      <c r="W668" s="74"/>
      <c r="X668" s="74"/>
      <c r="Y668" s="74"/>
      <c r="Z668" s="74"/>
      <c r="AA668" s="74"/>
      <c r="AB668" s="74"/>
    </row>
    <row r="669" spans="1:28" ht="12" customHeight="1">
      <c r="A669" s="569"/>
      <c r="B669" s="574"/>
      <c r="C669" s="575"/>
      <c r="D669" s="576"/>
      <c r="E669" s="101"/>
      <c r="F669" s="101"/>
      <c r="G669" s="35"/>
      <c r="H669" s="104"/>
      <c r="I669" s="35"/>
      <c r="J669" s="74"/>
      <c r="K669" s="74"/>
      <c r="L669" s="74"/>
      <c r="M669" s="74"/>
      <c r="N669" s="74"/>
      <c r="O669" s="74"/>
      <c r="P669" s="74"/>
      <c r="Q669" s="74"/>
      <c r="R669" s="74"/>
      <c r="S669" s="74"/>
      <c r="T669" s="74"/>
      <c r="U669" s="74"/>
      <c r="V669" s="74"/>
      <c r="W669" s="74"/>
      <c r="X669" s="74"/>
      <c r="Y669" s="74"/>
      <c r="Z669" s="74"/>
      <c r="AA669" s="74"/>
      <c r="AB669" s="74"/>
    </row>
    <row r="670" spans="1:28" ht="12" customHeight="1">
      <c r="A670" s="569"/>
      <c r="B670" s="574"/>
      <c r="C670" s="575"/>
      <c r="D670" s="576"/>
      <c r="E670" s="101"/>
      <c r="F670" s="101"/>
      <c r="G670" s="35"/>
      <c r="H670" s="104"/>
      <c r="I670" s="35"/>
      <c r="J670" s="74"/>
      <c r="K670" s="74"/>
      <c r="L670" s="74"/>
      <c r="M670" s="74"/>
      <c r="N670" s="74"/>
      <c r="O670" s="74"/>
      <c r="P670" s="74"/>
      <c r="Q670" s="74"/>
      <c r="R670" s="74"/>
      <c r="S670" s="74"/>
      <c r="T670" s="74"/>
      <c r="U670" s="74"/>
      <c r="V670" s="74"/>
      <c r="W670" s="74"/>
      <c r="X670" s="74"/>
      <c r="Y670" s="74"/>
      <c r="Z670" s="74"/>
      <c r="AA670" s="74"/>
      <c r="AB670" s="74"/>
    </row>
    <row r="671" spans="1:28" ht="12" customHeight="1">
      <c r="A671" s="569"/>
      <c r="B671" s="574"/>
      <c r="C671" s="575"/>
      <c r="D671" s="576"/>
      <c r="E671" s="101"/>
      <c r="F671" s="101"/>
      <c r="G671" s="35"/>
      <c r="H671" s="104"/>
      <c r="I671" s="35"/>
      <c r="J671" s="74"/>
      <c r="K671" s="74"/>
      <c r="L671" s="74"/>
      <c r="M671" s="74"/>
      <c r="N671" s="74"/>
      <c r="O671" s="74"/>
      <c r="P671" s="74"/>
      <c r="Q671" s="74"/>
      <c r="R671" s="74"/>
      <c r="S671" s="74"/>
      <c r="T671" s="74"/>
      <c r="U671" s="74"/>
      <c r="V671" s="74"/>
      <c r="W671" s="74"/>
      <c r="X671" s="74"/>
      <c r="Y671" s="74"/>
      <c r="Z671" s="74"/>
      <c r="AA671" s="74"/>
      <c r="AB671" s="74"/>
    </row>
    <row r="672" spans="1:28" ht="12" customHeight="1">
      <c r="A672" s="569"/>
      <c r="B672" s="574"/>
      <c r="C672" s="575"/>
      <c r="D672" s="576"/>
      <c r="E672" s="101"/>
      <c r="F672" s="101"/>
      <c r="G672" s="35"/>
      <c r="H672" s="104"/>
      <c r="I672" s="35"/>
      <c r="J672" s="74"/>
      <c r="K672" s="74"/>
      <c r="L672" s="74"/>
      <c r="M672" s="74"/>
      <c r="N672" s="74"/>
      <c r="O672" s="74"/>
      <c r="P672" s="74"/>
      <c r="Q672" s="74"/>
      <c r="R672" s="74"/>
      <c r="S672" s="74"/>
      <c r="T672" s="74"/>
      <c r="U672" s="74"/>
      <c r="V672" s="74"/>
      <c r="W672" s="74"/>
      <c r="X672" s="74"/>
      <c r="Y672" s="74"/>
      <c r="Z672" s="74"/>
      <c r="AA672" s="74"/>
      <c r="AB672" s="74"/>
    </row>
    <row r="673" spans="1:28" ht="12" customHeight="1">
      <c r="A673" s="569"/>
      <c r="B673" s="574"/>
      <c r="C673" s="575"/>
      <c r="D673" s="576"/>
      <c r="E673" s="101"/>
      <c r="F673" s="101"/>
      <c r="G673" s="35"/>
      <c r="H673" s="104"/>
      <c r="I673" s="35"/>
      <c r="J673" s="74"/>
      <c r="K673" s="74"/>
      <c r="L673" s="74"/>
      <c r="M673" s="74"/>
      <c r="N673" s="74"/>
      <c r="O673" s="74"/>
      <c r="P673" s="74"/>
      <c r="Q673" s="74"/>
      <c r="R673" s="74"/>
      <c r="S673" s="74"/>
      <c r="T673" s="74"/>
      <c r="U673" s="74"/>
      <c r="V673" s="74"/>
      <c r="W673" s="74"/>
      <c r="X673" s="74"/>
      <c r="Y673" s="74"/>
      <c r="Z673" s="74"/>
      <c r="AA673" s="74"/>
      <c r="AB673" s="74"/>
    </row>
    <row r="674" spans="1:28" ht="12" customHeight="1">
      <c r="A674" s="569"/>
      <c r="B674" s="574"/>
      <c r="C674" s="575"/>
      <c r="D674" s="576"/>
      <c r="E674" s="101"/>
      <c r="F674" s="101"/>
      <c r="G674" s="35"/>
      <c r="H674" s="104"/>
      <c r="I674" s="35"/>
      <c r="J674" s="74"/>
      <c r="K674" s="74"/>
      <c r="L674" s="74"/>
      <c r="M674" s="74"/>
      <c r="N674" s="74"/>
      <c r="O674" s="74"/>
      <c r="P674" s="74"/>
      <c r="Q674" s="74"/>
      <c r="R674" s="74"/>
      <c r="S674" s="74"/>
      <c r="T674" s="74"/>
      <c r="U674" s="74"/>
      <c r="V674" s="74"/>
      <c r="W674" s="74"/>
      <c r="X674" s="74"/>
      <c r="Y674" s="74"/>
      <c r="Z674" s="74"/>
      <c r="AA674" s="74"/>
      <c r="AB674" s="74"/>
    </row>
    <row r="675" spans="1:28" ht="12" customHeight="1">
      <c r="A675" s="569"/>
      <c r="B675" s="574"/>
      <c r="C675" s="575"/>
      <c r="D675" s="576"/>
      <c r="E675" s="101"/>
      <c r="F675" s="101"/>
      <c r="G675" s="35"/>
      <c r="H675" s="104"/>
      <c r="I675" s="35"/>
      <c r="J675" s="74"/>
      <c r="K675" s="74"/>
      <c r="L675" s="74"/>
      <c r="M675" s="74"/>
      <c r="N675" s="74"/>
      <c r="O675" s="74"/>
      <c r="P675" s="74"/>
      <c r="Q675" s="74"/>
      <c r="R675" s="74"/>
      <c r="S675" s="74"/>
      <c r="T675" s="74"/>
      <c r="U675" s="74"/>
      <c r="V675" s="74"/>
      <c r="W675" s="74"/>
      <c r="X675" s="74"/>
      <c r="Y675" s="74"/>
      <c r="Z675" s="74"/>
      <c r="AA675" s="74"/>
      <c r="AB675" s="74"/>
    </row>
    <row r="676" spans="1:28" ht="12" customHeight="1">
      <c r="A676" s="569"/>
      <c r="B676" s="574"/>
      <c r="C676" s="575"/>
      <c r="D676" s="576"/>
      <c r="E676" s="101"/>
      <c r="F676" s="101"/>
      <c r="G676" s="35"/>
      <c r="H676" s="104"/>
      <c r="I676" s="35"/>
      <c r="J676" s="74"/>
      <c r="K676" s="74"/>
      <c r="L676" s="74"/>
      <c r="M676" s="74"/>
      <c r="N676" s="74"/>
      <c r="O676" s="74"/>
      <c r="P676" s="74"/>
      <c r="Q676" s="74"/>
      <c r="R676" s="74"/>
      <c r="S676" s="74"/>
      <c r="T676" s="74"/>
      <c r="U676" s="74"/>
      <c r="V676" s="74"/>
      <c r="W676" s="74"/>
      <c r="X676" s="74"/>
      <c r="Y676" s="74"/>
      <c r="Z676" s="74"/>
      <c r="AA676" s="74"/>
      <c r="AB676" s="74"/>
    </row>
    <row r="677" spans="1:28" ht="12" customHeight="1">
      <c r="A677" s="569"/>
      <c r="B677" s="574"/>
      <c r="C677" s="575"/>
      <c r="D677" s="576"/>
      <c r="E677" s="101"/>
      <c r="F677" s="101"/>
      <c r="G677" s="35"/>
      <c r="H677" s="104"/>
      <c r="I677" s="35"/>
      <c r="J677" s="74"/>
      <c r="K677" s="74"/>
      <c r="L677" s="74"/>
      <c r="M677" s="74"/>
      <c r="N677" s="74"/>
      <c r="O677" s="74"/>
      <c r="P677" s="74"/>
      <c r="Q677" s="74"/>
      <c r="R677" s="74"/>
      <c r="S677" s="74"/>
      <c r="T677" s="74"/>
      <c r="U677" s="74"/>
      <c r="V677" s="74"/>
      <c r="W677" s="74"/>
      <c r="X677" s="74"/>
      <c r="Y677" s="74"/>
      <c r="Z677" s="74"/>
      <c r="AA677" s="74"/>
      <c r="AB677" s="74"/>
    </row>
    <row r="678" spans="1:28" ht="12" customHeight="1">
      <c r="A678" s="569"/>
      <c r="B678" s="574"/>
      <c r="C678" s="575"/>
      <c r="D678" s="576"/>
      <c r="E678" s="101"/>
      <c r="F678" s="101"/>
      <c r="G678" s="35"/>
      <c r="H678" s="104"/>
      <c r="I678" s="35"/>
      <c r="J678" s="74"/>
      <c r="K678" s="74"/>
      <c r="L678" s="74"/>
      <c r="M678" s="74"/>
      <c r="N678" s="74"/>
      <c r="O678" s="74"/>
      <c r="P678" s="74"/>
      <c r="Q678" s="74"/>
      <c r="R678" s="74"/>
      <c r="S678" s="74"/>
      <c r="T678" s="74"/>
      <c r="U678" s="74"/>
      <c r="V678" s="74"/>
      <c r="W678" s="74"/>
      <c r="X678" s="74"/>
      <c r="Y678" s="74"/>
      <c r="Z678" s="74"/>
      <c r="AA678" s="74"/>
      <c r="AB678" s="74"/>
    </row>
    <row r="679" spans="1:28" ht="12" customHeight="1">
      <c r="A679" s="569"/>
      <c r="B679" s="574"/>
      <c r="C679" s="575"/>
      <c r="D679" s="576"/>
      <c r="E679" s="101"/>
      <c r="F679" s="101"/>
      <c r="G679" s="35"/>
      <c r="H679" s="104"/>
      <c r="I679" s="35"/>
      <c r="J679" s="74"/>
      <c r="K679" s="74"/>
      <c r="L679" s="74"/>
      <c r="M679" s="74"/>
      <c r="N679" s="74"/>
      <c r="O679" s="74"/>
      <c r="P679" s="74"/>
      <c r="Q679" s="74"/>
      <c r="R679" s="74"/>
      <c r="S679" s="74"/>
      <c r="T679" s="74"/>
      <c r="U679" s="74"/>
      <c r="V679" s="74"/>
      <c r="W679" s="74"/>
      <c r="X679" s="74"/>
      <c r="Y679" s="74"/>
      <c r="Z679" s="74"/>
      <c r="AA679" s="74"/>
      <c r="AB679" s="74"/>
    </row>
    <row r="680" spans="1:28" ht="12" customHeight="1">
      <c r="A680" s="569"/>
      <c r="B680" s="574"/>
      <c r="C680" s="575"/>
      <c r="D680" s="576"/>
      <c r="E680" s="101"/>
      <c r="F680" s="101"/>
      <c r="G680" s="35"/>
      <c r="H680" s="104"/>
      <c r="I680" s="35"/>
      <c r="J680" s="74"/>
      <c r="K680" s="74"/>
      <c r="L680" s="74"/>
      <c r="M680" s="74"/>
      <c r="N680" s="74"/>
      <c r="O680" s="74"/>
      <c r="P680" s="74"/>
      <c r="Q680" s="74"/>
      <c r="R680" s="74"/>
      <c r="S680" s="74"/>
      <c r="T680" s="74"/>
      <c r="U680" s="74"/>
      <c r="V680" s="74"/>
      <c r="W680" s="74"/>
      <c r="X680" s="74"/>
      <c r="Y680" s="74"/>
      <c r="Z680" s="74"/>
      <c r="AA680" s="74"/>
      <c r="AB680" s="74"/>
    </row>
    <row r="681" spans="1:28" ht="12" customHeight="1">
      <c r="A681" s="569"/>
      <c r="B681" s="574"/>
      <c r="C681" s="575"/>
      <c r="D681" s="576"/>
      <c r="E681" s="101"/>
      <c r="F681" s="101"/>
      <c r="G681" s="35"/>
      <c r="H681" s="104"/>
      <c r="I681" s="35"/>
      <c r="J681" s="74"/>
      <c r="K681" s="74"/>
      <c r="L681" s="74"/>
      <c r="M681" s="74"/>
      <c r="N681" s="74"/>
      <c r="O681" s="74"/>
      <c r="P681" s="74"/>
      <c r="Q681" s="74"/>
      <c r="R681" s="74"/>
      <c r="S681" s="74"/>
      <c r="T681" s="74"/>
      <c r="U681" s="74"/>
      <c r="V681" s="74"/>
      <c r="W681" s="74"/>
      <c r="X681" s="74"/>
      <c r="Y681" s="74"/>
      <c r="Z681" s="74"/>
      <c r="AA681" s="74"/>
      <c r="AB681" s="74"/>
    </row>
    <row r="682" spans="1:28" ht="12" customHeight="1">
      <c r="A682" s="569"/>
      <c r="B682" s="574"/>
      <c r="C682" s="575"/>
      <c r="D682" s="576"/>
      <c r="E682" s="101"/>
      <c r="F682" s="101"/>
      <c r="G682" s="35"/>
      <c r="H682" s="104"/>
      <c r="I682" s="35"/>
      <c r="J682" s="74"/>
      <c r="K682" s="74"/>
      <c r="L682" s="74"/>
      <c r="M682" s="74"/>
      <c r="N682" s="74"/>
      <c r="O682" s="74"/>
      <c r="P682" s="74"/>
      <c r="Q682" s="74"/>
      <c r="R682" s="74"/>
      <c r="S682" s="74"/>
      <c r="T682" s="74"/>
      <c r="U682" s="74"/>
      <c r="V682" s="74"/>
      <c r="W682" s="74"/>
      <c r="X682" s="74"/>
      <c r="Y682" s="74"/>
      <c r="Z682" s="74"/>
      <c r="AA682" s="74"/>
      <c r="AB682" s="74"/>
    </row>
    <row r="683" spans="1:28" ht="12" customHeight="1">
      <c r="A683" s="569"/>
      <c r="B683" s="574"/>
      <c r="C683" s="575"/>
      <c r="D683" s="576"/>
      <c r="E683" s="101"/>
      <c r="F683" s="101"/>
      <c r="G683" s="35"/>
      <c r="H683" s="104"/>
      <c r="I683" s="35"/>
      <c r="J683" s="74"/>
      <c r="K683" s="74"/>
      <c r="L683" s="74"/>
      <c r="M683" s="74"/>
      <c r="N683" s="74"/>
      <c r="O683" s="74"/>
      <c r="P683" s="74"/>
      <c r="Q683" s="74"/>
      <c r="R683" s="74"/>
      <c r="S683" s="74"/>
      <c r="T683" s="74"/>
      <c r="U683" s="74"/>
      <c r="V683" s="74"/>
      <c r="W683" s="74"/>
      <c r="X683" s="74"/>
      <c r="Y683" s="74"/>
      <c r="Z683" s="74"/>
      <c r="AA683" s="74"/>
      <c r="AB683" s="74"/>
    </row>
    <row r="684" spans="1:28" ht="12" customHeight="1">
      <c r="A684" s="569"/>
      <c r="B684" s="574"/>
      <c r="C684" s="575"/>
      <c r="D684" s="576"/>
      <c r="E684" s="101"/>
      <c r="F684" s="101"/>
      <c r="G684" s="35"/>
      <c r="H684" s="104"/>
      <c r="I684" s="35"/>
      <c r="J684" s="74"/>
      <c r="K684" s="74"/>
      <c r="L684" s="74"/>
      <c r="M684" s="74"/>
      <c r="N684" s="74"/>
      <c r="O684" s="74"/>
      <c r="P684" s="74"/>
      <c r="Q684" s="74"/>
      <c r="R684" s="74"/>
      <c r="S684" s="74"/>
      <c r="T684" s="74"/>
      <c r="U684" s="74"/>
      <c r="V684" s="74"/>
      <c r="W684" s="74"/>
      <c r="X684" s="74"/>
      <c r="Y684" s="74"/>
      <c r="Z684" s="74"/>
      <c r="AA684" s="74"/>
      <c r="AB684" s="74"/>
    </row>
    <row r="685" spans="1:28" ht="12" customHeight="1">
      <c r="A685" s="569"/>
      <c r="B685" s="574"/>
      <c r="C685" s="575"/>
      <c r="D685" s="576"/>
      <c r="E685" s="101"/>
      <c r="F685" s="101"/>
      <c r="G685" s="35"/>
      <c r="H685" s="104"/>
      <c r="I685" s="35"/>
      <c r="J685" s="74"/>
      <c r="K685" s="74"/>
      <c r="L685" s="74"/>
      <c r="M685" s="74"/>
      <c r="N685" s="74"/>
      <c r="O685" s="74"/>
      <c r="P685" s="74"/>
      <c r="Q685" s="74"/>
      <c r="R685" s="74"/>
      <c r="S685" s="74"/>
      <c r="T685" s="74"/>
      <c r="U685" s="74"/>
      <c r="V685" s="74"/>
      <c r="W685" s="74"/>
      <c r="X685" s="74"/>
      <c r="Y685" s="74"/>
      <c r="Z685" s="74"/>
      <c r="AA685" s="74"/>
      <c r="AB685" s="74"/>
    </row>
    <row r="686" spans="1:28" ht="12" customHeight="1">
      <c r="A686" s="569"/>
      <c r="B686" s="574"/>
      <c r="C686" s="575"/>
      <c r="D686" s="576"/>
      <c r="E686" s="101"/>
      <c r="F686" s="101"/>
      <c r="G686" s="35"/>
      <c r="H686" s="104"/>
      <c r="I686" s="35"/>
      <c r="J686" s="74"/>
      <c r="K686" s="74"/>
      <c r="L686" s="74"/>
      <c r="M686" s="74"/>
      <c r="N686" s="74"/>
      <c r="O686" s="74"/>
      <c r="P686" s="74"/>
      <c r="Q686" s="74"/>
      <c r="R686" s="74"/>
      <c r="S686" s="74"/>
      <c r="T686" s="74"/>
      <c r="U686" s="74"/>
      <c r="V686" s="74"/>
      <c r="W686" s="74"/>
      <c r="X686" s="74"/>
      <c r="Y686" s="74"/>
      <c r="Z686" s="74"/>
      <c r="AA686" s="74"/>
      <c r="AB686" s="74"/>
    </row>
    <row r="687" spans="1:28" ht="12" customHeight="1">
      <c r="A687" s="569"/>
      <c r="B687" s="574"/>
      <c r="C687" s="575"/>
      <c r="D687" s="576"/>
      <c r="E687" s="101"/>
      <c r="F687" s="101"/>
      <c r="G687" s="35"/>
      <c r="H687" s="104"/>
      <c r="I687" s="35"/>
      <c r="J687" s="74"/>
      <c r="K687" s="74"/>
      <c r="L687" s="74"/>
      <c r="M687" s="74"/>
      <c r="N687" s="74"/>
      <c r="O687" s="74"/>
      <c r="P687" s="74"/>
      <c r="Q687" s="74"/>
      <c r="R687" s="74"/>
      <c r="S687" s="74"/>
      <c r="T687" s="74"/>
      <c r="U687" s="74"/>
      <c r="V687" s="74"/>
      <c r="W687" s="74"/>
      <c r="X687" s="74"/>
      <c r="Y687" s="74"/>
      <c r="Z687" s="74"/>
      <c r="AA687" s="74"/>
      <c r="AB687" s="74"/>
    </row>
    <row r="688" spans="1:28" ht="12" customHeight="1">
      <c r="A688" s="569"/>
      <c r="B688" s="574"/>
      <c r="C688" s="575"/>
      <c r="D688" s="576"/>
      <c r="E688" s="101"/>
      <c r="F688" s="101"/>
      <c r="G688" s="35"/>
      <c r="H688" s="104"/>
      <c r="I688" s="35"/>
      <c r="J688" s="74"/>
      <c r="K688" s="74"/>
      <c r="L688" s="74"/>
      <c r="M688" s="74"/>
      <c r="N688" s="74"/>
      <c r="O688" s="74"/>
      <c r="P688" s="74"/>
      <c r="Q688" s="74"/>
      <c r="R688" s="74"/>
      <c r="S688" s="74"/>
      <c r="T688" s="74"/>
      <c r="U688" s="74"/>
      <c r="V688" s="74"/>
      <c r="W688" s="74"/>
      <c r="X688" s="74"/>
      <c r="Y688" s="74"/>
      <c r="Z688" s="74"/>
      <c r="AA688" s="74"/>
      <c r="AB688" s="74"/>
    </row>
    <row r="689" spans="1:28" ht="12" customHeight="1">
      <c r="A689" s="569"/>
      <c r="B689" s="574"/>
      <c r="C689" s="575"/>
      <c r="D689" s="576"/>
      <c r="E689" s="101"/>
      <c r="F689" s="101"/>
      <c r="G689" s="35"/>
      <c r="H689" s="104"/>
      <c r="I689" s="35"/>
      <c r="J689" s="74"/>
      <c r="K689" s="74"/>
      <c r="L689" s="74"/>
      <c r="M689" s="74"/>
      <c r="N689" s="74"/>
      <c r="O689" s="74"/>
      <c r="P689" s="74"/>
      <c r="Q689" s="74"/>
      <c r="R689" s="74"/>
      <c r="S689" s="74"/>
      <c r="T689" s="74"/>
      <c r="U689" s="74"/>
      <c r="V689" s="74"/>
      <c r="W689" s="74"/>
      <c r="X689" s="74"/>
      <c r="Y689" s="74"/>
      <c r="Z689" s="74"/>
      <c r="AA689" s="74"/>
      <c r="AB689" s="74"/>
    </row>
    <row r="690" spans="1:28" ht="12" customHeight="1">
      <c r="A690" s="569"/>
      <c r="B690" s="574"/>
      <c r="C690" s="575"/>
      <c r="D690" s="576"/>
      <c r="E690" s="101"/>
      <c r="F690" s="101"/>
      <c r="G690" s="35"/>
      <c r="H690" s="104"/>
      <c r="I690" s="35"/>
      <c r="J690" s="74"/>
      <c r="K690" s="74"/>
      <c r="L690" s="74"/>
      <c r="M690" s="74"/>
      <c r="N690" s="74"/>
      <c r="O690" s="74"/>
      <c r="P690" s="74"/>
      <c r="Q690" s="74"/>
      <c r="R690" s="74"/>
      <c r="S690" s="74"/>
      <c r="T690" s="74"/>
      <c r="U690" s="74"/>
      <c r="V690" s="74"/>
      <c r="W690" s="74"/>
      <c r="X690" s="74"/>
      <c r="Y690" s="74"/>
      <c r="Z690" s="74"/>
      <c r="AA690" s="74"/>
      <c r="AB690" s="74"/>
    </row>
    <row r="691" spans="1:28" ht="12" customHeight="1">
      <c r="A691" s="569"/>
      <c r="B691" s="574"/>
      <c r="C691" s="575"/>
      <c r="D691" s="576"/>
      <c r="E691" s="101"/>
      <c r="F691" s="101"/>
      <c r="G691" s="35"/>
      <c r="H691" s="104"/>
      <c r="I691" s="35"/>
      <c r="J691" s="74"/>
      <c r="K691" s="74"/>
      <c r="L691" s="74"/>
      <c r="M691" s="74"/>
      <c r="N691" s="74"/>
      <c r="O691" s="74"/>
      <c r="P691" s="74"/>
      <c r="Q691" s="74"/>
      <c r="R691" s="74"/>
      <c r="S691" s="74"/>
      <c r="T691" s="74"/>
      <c r="U691" s="74"/>
      <c r="V691" s="74"/>
      <c r="W691" s="74"/>
      <c r="X691" s="74"/>
      <c r="Y691" s="74"/>
      <c r="Z691" s="74"/>
      <c r="AA691" s="74"/>
      <c r="AB691" s="74"/>
    </row>
    <row r="692" spans="1:28" ht="12" customHeight="1">
      <c r="A692" s="569"/>
      <c r="B692" s="574"/>
      <c r="C692" s="575"/>
      <c r="D692" s="576"/>
      <c r="E692" s="101"/>
      <c r="F692" s="101"/>
      <c r="G692" s="35"/>
      <c r="H692" s="104"/>
      <c r="I692" s="35"/>
      <c r="J692" s="74"/>
      <c r="K692" s="74"/>
      <c r="L692" s="74"/>
      <c r="M692" s="74"/>
      <c r="N692" s="74"/>
      <c r="O692" s="74"/>
      <c r="P692" s="74"/>
      <c r="Q692" s="74"/>
      <c r="R692" s="74"/>
      <c r="S692" s="74"/>
      <c r="T692" s="74"/>
      <c r="U692" s="74"/>
      <c r="V692" s="74"/>
      <c r="W692" s="74"/>
      <c r="X692" s="74"/>
      <c r="Y692" s="74"/>
      <c r="Z692" s="74"/>
      <c r="AA692" s="74"/>
      <c r="AB692" s="74"/>
    </row>
    <row r="693" spans="1:28" ht="12" customHeight="1">
      <c r="A693" s="569"/>
      <c r="B693" s="574"/>
      <c r="C693" s="575"/>
      <c r="D693" s="576"/>
      <c r="E693" s="101"/>
      <c r="F693" s="101"/>
      <c r="G693" s="35"/>
      <c r="H693" s="104"/>
      <c r="I693" s="35"/>
      <c r="J693" s="74"/>
      <c r="K693" s="74"/>
      <c r="L693" s="74"/>
      <c r="M693" s="74"/>
      <c r="N693" s="74"/>
      <c r="O693" s="74"/>
      <c r="P693" s="74"/>
      <c r="Q693" s="74"/>
      <c r="R693" s="74"/>
      <c r="S693" s="74"/>
      <c r="T693" s="74"/>
      <c r="U693" s="74"/>
      <c r="V693" s="74"/>
      <c r="W693" s="74"/>
      <c r="X693" s="74"/>
      <c r="Y693" s="74"/>
      <c r="Z693" s="74"/>
      <c r="AA693" s="74"/>
      <c r="AB693" s="74"/>
    </row>
    <row r="694" spans="1:28" ht="12" customHeight="1">
      <c r="A694" s="569"/>
      <c r="B694" s="574"/>
      <c r="C694" s="575"/>
      <c r="D694" s="576"/>
      <c r="E694" s="101"/>
      <c r="F694" s="101"/>
      <c r="G694" s="35"/>
      <c r="H694" s="104"/>
      <c r="I694" s="35"/>
      <c r="J694" s="74"/>
      <c r="K694" s="74"/>
      <c r="L694" s="74"/>
      <c r="M694" s="74"/>
      <c r="N694" s="74"/>
      <c r="O694" s="74"/>
      <c r="P694" s="74"/>
      <c r="Q694" s="74"/>
      <c r="R694" s="74"/>
      <c r="S694" s="74"/>
      <c r="T694" s="74"/>
      <c r="U694" s="74"/>
      <c r="V694" s="74"/>
      <c r="W694" s="74"/>
      <c r="X694" s="74"/>
      <c r="Y694" s="74"/>
      <c r="Z694" s="74"/>
      <c r="AA694" s="74"/>
      <c r="AB694" s="74"/>
    </row>
    <row r="695" spans="1:28" ht="12" customHeight="1">
      <c r="A695" s="569"/>
      <c r="B695" s="574"/>
      <c r="C695" s="575"/>
      <c r="D695" s="576"/>
      <c r="E695" s="101"/>
      <c r="F695" s="101"/>
      <c r="G695" s="35"/>
      <c r="H695" s="104"/>
      <c r="I695" s="35"/>
      <c r="J695" s="74"/>
      <c r="K695" s="74"/>
      <c r="L695" s="74"/>
      <c r="M695" s="74"/>
      <c r="N695" s="74"/>
      <c r="O695" s="74"/>
      <c r="P695" s="74"/>
      <c r="Q695" s="74"/>
      <c r="R695" s="74"/>
      <c r="S695" s="74"/>
      <c r="T695" s="74"/>
      <c r="U695" s="74"/>
      <c r="V695" s="74"/>
      <c r="W695" s="74"/>
      <c r="X695" s="74"/>
      <c r="Y695" s="74"/>
      <c r="Z695" s="74"/>
      <c r="AA695" s="74"/>
      <c r="AB695" s="74"/>
    </row>
    <row r="696" spans="1:28" ht="12" customHeight="1">
      <c r="A696" s="569"/>
      <c r="B696" s="574"/>
      <c r="C696" s="575"/>
      <c r="D696" s="576"/>
      <c r="E696" s="101"/>
      <c r="F696" s="101"/>
      <c r="G696" s="35"/>
      <c r="H696" s="104"/>
      <c r="I696" s="35"/>
      <c r="J696" s="74"/>
      <c r="K696" s="74"/>
      <c r="L696" s="74"/>
      <c r="M696" s="74"/>
      <c r="N696" s="74"/>
      <c r="O696" s="74"/>
      <c r="P696" s="74"/>
      <c r="Q696" s="74"/>
      <c r="R696" s="74"/>
      <c r="S696" s="74"/>
      <c r="T696" s="74"/>
      <c r="U696" s="74"/>
      <c r="V696" s="74"/>
      <c r="W696" s="74"/>
      <c r="X696" s="74"/>
      <c r="Y696" s="74"/>
      <c r="Z696" s="74"/>
      <c r="AA696" s="74"/>
      <c r="AB696" s="74"/>
    </row>
    <row r="697" spans="1:28" ht="12" customHeight="1">
      <c r="A697" s="569"/>
      <c r="B697" s="574"/>
      <c r="C697" s="575"/>
      <c r="D697" s="576"/>
      <c r="E697" s="101"/>
      <c r="F697" s="101"/>
      <c r="G697" s="35"/>
      <c r="H697" s="104"/>
      <c r="I697" s="35"/>
      <c r="J697" s="74"/>
      <c r="K697" s="74"/>
      <c r="L697" s="74"/>
      <c r="M697" s="74"/>
      <c r="N697" s="74"/>
      <c r="O697" s="74"/>
      <c r="P697" s="74"/>
      <c r="Q697" s="74"/>
      <c r="R697" s="74"/>
      <c r="S697" s="74"/>
      <c r="T697" s="74"/>
      <c r="U697" s="74"/>
      <c r="V697" s="74"/>
      <c r="W697" s="74"/>
      <c r="X697" s="74"/>
      <c r="Y697" s="74"/>
      <c r="Z697" s="74"/>
      <c r="AA697" s="74"/>
      <c r="AB697" s="74"/>
    </row>
    <row r="698" spans="1:28" ht="12" customHeight="1">
      <c r="A698" s="569"/>
      <c r="B698" s="574"/>
      <c r="C698" s="575"/>
      <c r="D698" s="576"/>
      <c r="E698" s="101"/>
      <c r="F698" s="101"/>
      <c r="G698" s="35"/>
      <c r="H698" s="104"/>
      <c r="I698" s="35"/>
      <c r="J698" s="74"/>
      <c r="K698" s="74"/>
      <c r="L698" s="74"/>
      <c r="M698" s="74"/>
      <c r="N698" s="74"/>
      <c r="O698" s="74"/>
      <c r="P698" s="74"/>
      <c r="Q698" s="74"/>
      <c r="R698" s="74"/>
      <c r="S698" s="74"/>
      <c r="T698" s="74"/>
      <c r="U698" s="74"/>
      <c r="V698" s="74"/>
      <c r="W698" s="74"/>
      <c r="X698" s="74"/>
      <c r="Y698" s="74"/>
      <c r="Z698" s="74"/>
      <c r="AA698" s="74"/>
      <c r="AB698" s="74"/>
    </row>
    <row r="699" spans="1:28" ht="12" customHeight="1">
      <c r="A699" s="569"/>
      <c r="B699" s="574"/>
      <c r="C699" s="575"/>
      <c r="D699" s="576"/>
      <c r="E699" s="101"/>
      <c r="F699" s="101"/>
      <c r="G699" s="35"/>
      <c r="H699" s="104"/>
      <c r="I699" s="35"/>
      <c r="J699" s="74"/>
      <c r="K699" s="74"/>
      <c r="L699" s="74"/>
      <c r="M699" s="74"/>
      <c r="N699" s="74"/>
      <c r="O699" s="74"/>
      <c r="P699" s="74"/>
      <c r="Q699" s="74"/>
      <c r="R699" s="74"/>
      <c r="S699" s="74"/>
      <c r="T699" s="74"/>
      <c r="U699" s="74"/>
      <c r="V699" s="74"/>
      <c r="W699" s="74"/>
      <c r="X699" s="74"/>
      <c r="Y699" s="74"/>
      <c r="Z699" s="74"/>
      <c r="AA699" s="74"/>
      <c r="AB699" s="74"/>
    </row>
    <row r="700" spans="1:28" ht="12" customHeight="1">
      <c r="A700" s="569"/>
      <c r="B700" s="574"/>
      <c r="C700" s="575"/>
      <c r="D700" s="576"/>
      <c r="E700" s="101"/>
      <c r="F700" s="101"/>
      <c r="G700" s="35"/>
      <c r="H700" s="104"/>
      <c r="I700" s="35"/>
      <c r="J700" s="74"/>
      <c r="K700" s="74"/>
      <c r="L700" s="74"/>
      <c r="M700" s="74"/>
      <c r="N700" s="74"/>
      <c r="O700" s="74"/>
      <c r="P700" s="74"/>
      <c r="Q700" s="74"/>
      <c r="R700" s="74"/>
      <c r="S700" s="74"/>
      <c r="T700" s="74"/>
      <c r="U700" s="74"/>
      <c r="V700" s="74"/>
      <c r="W700" s="74"/>
      <c r="X700" s="74"/>
      <c r="Y700" s="74"/>
      <c r="Z700" s="74"/>
      <c r="AA700" s="74"/>
      <c r="AB700" s="74"/>
    </row>
    <row r="701" spans="1:28" ht="12" customHeight="1">
      <c r="A701" s="569"/>
      <c r="B701" s="574"/>
      <c r="C701" s="575"/>
      <c r="D701" s="576"/>
      <c r="E701" s="101"/>
      <c r="F701" s="101"/>
      <c r="G701" s="35"/>
      <c r="H701" s="104"/>
      <c r="I701" s="35"/>
      <c r="J701" s="74"/>
      <c r="K701" s="74"/>
      <c r="L701" s="74"/>
      <c r="M701" s="74"/>
      <c r="N701" s="74"/>
      <c r="O701" s="74"/>
      <c r="P701" s="74"/>
      <c r="Q701" s="74"/>
      <c r="R701" s="74"/>
      <c r="S701" s="74"/>
      <c r="T701" s="74"/>
      <c r="U701" s="74"/>
      <c r="V701" s="74"/>
      <c r="W701" s="74"/>
      <c r="X701" s="74"/>
      <c r="Y701" s="74"/>
      <c r="Z701" s="74"/>
      <c r="AA701" s="74"/>
      <c r="AB701" s="74"/>
    </row>
    <row r="702" spans="1:28" ht="12" customHeight="1">
      <c r="A702" s="569"/>
      <c r="B702" s="574"/>
      <c r="C702" s="575"/>
      <c r="D702" s="576"/>
      <c r="E702" s="101"/>
      <c r="F702" s="101"/>
      <c r="G702" s="35"/>
      <c r="H702" s="104"/>
      <c r="I702" s="35"/>
      <c r="J702" s="74"/>
      <c r="K702" s="74"/>
      <c r="L702" s="74"/>
      <c r="M702" s="74"/>
      <c r="N702" s="74"/>
      <c r="O702" s="74"/>
      <c r="P702" s="74"/>
      <c r="Q702" s="74"/>
      <c r="R702" s="74"/>
      <c r="S702" s="74"/>
      <c r="T702" s="74"/>
      <c r="U702" s="74"/>
      <c r="V702" s="74"/>
      <c r="W702" s="74"/>
      <c r="X702" s="74"/>
      <c r="Y702" s="74"/>
      <c r="Z702" s="74"/>
      <c r="AA702" s="74"/>
      <c r="AB702" s="74"/>
    </row>
    <row r="703" spans="1:28" ht="12" customHeight="1">
      <c r="A703" s="569"/>
      <c r="B703" s="574"/>
      <c r="C703" s="575"/>
      <c r="D703" s="576"/>
      <c r="E703" s="101"/>
      <c r="F703" s="101"/>
      <c r="G703" s="35"/>
      <c r="H703" s="104"/>
      <c r="I703" s="35"/>
      <c r="J703" s="74"/>
      <c r="K703" s="74"/>
      <c r="L703" s="74"/>
      <c r="M703" s="74"/>
      <c r="N703" s="74"/>
      <c r="O703" s="74"/>
      <c r="P703" s="74"/>
      <c r="Q703" s="74"/>
      <c r="R703" s="74"/>
      <c r="S703" s="74"/>
      <c r="T703" s="74"/>
      <c r="U703" s="74"/>
      <c r="V703" s="74"/>
      <c r="W703" s="74"/>
      <c r="X703" s="74"/>
      <c r="Y703" s="74"/>
      <c r="Z703" s="74"/>
      <c r="AA703" s="74"/>
      <c r="AB703" s="74"/>
    </row>
    <row r="704" spans="1:28" ht="12" customHeight="1">
      <c r="A704" s="569"/>
      <c r="B704" s="574"/>
      <c r="C704" s="575"/>
      <c r="D704" s="576"/>
      <c r="E704" s="101"/>
      <c r="F704" s="101"/>
      <c r="G704" s="35"/>
      <c r="H704" s="104"/>
      <c r="I704" s="35"/>
      <c r="J704" s="74"/>
      <c r="K704" s="74"/>
      <c r="L704" s="74"/>
      <c r="M704" s="74"/>
      <c r="N704" s="74"/>
      <c r="O704" s="74"/>
      <c r="P704" s="74"/>
      <c r="Q704" s="74"/>
      <c r="R704" s="74"/>
      <c r="S704" s="74"/>
      <c r="T704" s="74"/>
      <c r="U704" s="74"/>
      <c r="V704" s="74"/>
      <c r="W704" s="74"/>
      <c r="X704" s="74"/>
      <c r="Y704" s="74"/>
      <c r="Z704" s="74"/>
      <c r="AA704" s="74"/>
      <c r="AB704" s="74"/>
    </row>
    <row r="705" spans="1:28" ht="12" customHeight="1">
      <c r="A705" s="569"/>
      <c r="B705" s="574"/>
      <c r="C705" s="575"/>
      <c r="D705" s="576"/>
      <c r="E705" s="101"/>
      <c r="F705" s="101"/>
      <c r="G705" s="35"/>
      <c r="H705" s="104"/>
      <c r="I705" s="35"/>
      <c r="J705" s="74"/>
      <c r="K705" s="74"/>
      <c r="L705" s="74"/>
      <c r="M705" s="74"/>
      <c r="N705" s="74"/>
      <c r="O705" s="74"/>
      <c r="P705" s="74"/>
      <c r="Q705" s="74"/>
      <c r="R705" s="74"/>
      <c r="S705" s="74"/>
      <c r="T705" s="74"/>
      <c r="U705" s="74"/>
      <c r="V705" s="74"/>
      <c r="W705" s="74"/>
      <c r="X705" s="74"/>
      <c r="Y705" s="74"/>
      <c r="Z705" s="74"/>
      <c r="AA705" s="74"/>
      <c r="AB705" s="74"/>
    </row>
    <row r="706" spans="1:28" ht="12" customHeight="1">
      <c r="A706" s="569"/>
      <c r="B706" s="574"/>
      <c r="C706" s="575"/>
      <c r="D706" s="576"/>
      <c r="E706" s="101"/>
      <c r="F706" s="101"/>
      <c r="G706" s="35"/>
      <c r="H706" s="104"/>
      <c r="I706" s="35"/>
      <c r="J706" s="74"/>
      <c r="K706" s="74"/>
      <c r="L706" s="74"/>
      <c r="M706" s="74"/>
      <c r="N706" s="74"/>
      <c r="O706" s="74"/>
      <c r="P706" s="74"/>
      <c r="Q706" s="74"/>
      <c r="R706" s="74"/>
      <c r="S706" s="74"/>
      <c r="T706" s="74"/>
      <c r="U706" s="74"/>
      <c r="V706" s="74"/>
      <c r="W706" s="74"/>
      <c r="X706" s="74"/>
      <c r="Y706" s="74"/>
      <c r="Z706" s="74"/>
      <c r="AA706" s="74"/>
      <c r="AB706" s="74"/>
    </row>
    <row r="707" spans="1:28" ht="12" customHeight="1">
      <c r="A707" s="569"/>
      <c r="B707" s="574"/>
      <c r="C707" s="575"/>
      <c r="D707" s="576"/>
      <c r="E707" s="101"/>
      <c r="F707" s="101"/>
      <c r="G707" s="35"/>
      <c r="H707" s="104"/>
      <c r="I707" s="35"/>
      <c r="J707" s="74"/>
      <c r="K707" s="74"/>
      <c r="L707" s="74"/>
      <c r="M707" s="74"/>
      <c r="N707" s="74"/>
      <c r="O707" s="74"/>
      <c r="P707" s="74"/>
      <c r="Q707" s="74"/>
      <c r="R707" s="74"/>
      <c r="S707" s="74"/>
      <c r="T707" s="74"/>
      <c r="U707" s="74"/>
      <c r="V707" s="74"/>
      <c r="W707" s="74"/>
      <c r="X707" s="74"/>
      <c r="Y707" s="74"/>
      <c r="Z707" s="74"/>
      <c r="AA707" s="74"/>
      <c r="AB707" s="74"/>
    </row>
    <row r="708" spans="1:28" ht="12" customHeight="1">
      <c r="A708" s="569"/>
      <c r="B708" s="574"/>
      <c r="C708" s="575"/>
      <c r="D708" s="576"/>
      <c r="E708" s="101"/>
      <c r="F708" s="101"/>
      <c r="G708" s="35"/>
      <c r="H708" s="104"/>
      <c r="I708" s="35"/>
      <c r="J708" s="74"/>
      <c r="K708" s="74"/>
      <c r="L708" s="74"/>
      <c r="M708" s="74"/>
      <c r="N708" s="74"/>
      <c r="O708" s="74"/>
      <c r="P708" s="74"/>
      <c r="Q708" s="74"/>
      <c r="R708" s="74"/>
      <c r="S708" s="74"/>
      <c r="T708" s="74"/>
      <c r="U708" s="74"/>
      <c r="V708" s="74"/>
      <c r="W708" s="74"/>
      <c r="X708" s="74"/>
      <c r="Y708" s="74"/>
      <c r="Z708" s="74"/>
      <c r="AA708" s="74"/>
      <c r="AB708" s="74"/>
    </row>
    <row r="709" spans="1:28" ht="12" customHeight="1">
      <c r="A709" s="569"/>
      <c r="B709" s="574"/>
      <c r="C709" s="575"/>
      <c r="D709" s="576"/>
      <c r="E709" s="101"/>
      <c r="F709" s="101"/>
      <c r="G709" s="35"/>
      <c r="H709" s="104"/>
      <c r="I709" s="35"/>
      <c r="J709" s="74"/>
      <c r="K709" s="74"/>
      <c r="L709" s="74"/>
      <c r="M709" s="74"/>
      <c r="N709" s="74"/>
      <c r="O709" s="74"/>
      <c r="P709" s="74"/>
      <c r="Q709" s="74"/>
      <c r="R709" s="74"/>
      <c r="S709" s="74"/>
      <c r="T709" s="74"/>
      <c r="U709" s="74"/>
      <c r="V709" s="74"/>
      <c r="W709" s="74"/>
      <c r="X709" s="74"/>
      <c r="Y709" s="74"/>
      <c r="Z709" s="74"/>
      <c r="AA709" s="74"/>
      <c r="AB709" s="74"/>
    </row>
    <row r="710" spans="1:28" ht="12" customHeight="1">
      <c r="A710" s="569"/>
      <c r="B710" s="574"/>
      <c r="C710" s="575"/>
      <c r="D710" s="576"/>
      <c r="E710" s="101"/>
      <c r="F710" s="101"/>
      <c r="G710" s="35"/>
      <c r="H710" s="104"/>
      <c r="I710" s="35"/>
      <c r="J710" s="74"/>
      <c r="K710" s="74"/>
      <c r="L710" s="74"/>
      <c r="M710" s="74"/>
      <c r="N710" s="74"/>
      <c r="O710" s="74"/>
      <c r="P710" s="74"/>
      <c r="Q710" s="74"/>
      <c r="R710" s="74"/>
      <c r="S710" s="74"/>
      <c r="T710" s="74"/>
      <c r="U710" s="74"/>
      <c r="V710" s="74"/>
      <c r="W710" s="74"/>
      <c r="X710" s="74"/>
      <c r="Y710" s="74"/>
      <c r="Z710" s="74"/>
      <c r="AA710" s="74"/>
      <c r="AB710" s="74"/>
    </row>
    <row r="711" spans="1:28" ht="12" customHeight="1">
      <c r="A711" s="569"/>
      <c r="B711" s="574"/>
      <c r="C711" s="575"/>
      <c r="D711" s="576"/>
      <c r="E711" s="101"/>
      <c r="F711" s="101"/>
      <c r="G711" s="35"/>
      <c r="H711" s="104"/>
      <c r="I711" s="35"/>
      <c r="J711" s="74"/>
      <c r="K711" s="74"/>
      <c r="L711" s="74"/>
      <c r="M711" s="74"/>
      <c r="N711" s="74"/>
      <c r="O711" s="74"/>
      <c r="P711" s="74"/>
      <c r="Q711" s="74"/>
      <c r="R711" s="74"/>
      <c r="S711" s="74"/>
      <c r="T711" s="74"/>
      <c r="U711" s="74"/>
      <c r="V711" s="74"/>
      <c r="W711" s="74"/>
      <c r="X711" s="74"/>
      <c r="Y711" s="74"/>
      <c r="Z711" s="74"/>
      <c r="AA711" s="74"/>
      <c r="AB711" s="74"/>
    </row>
    <row r="712" spans="1:28" ht="12" customHeight="1">
      <c r="A712" s="569"/>
      <c r="B712" s="574"/>
      <c r="C712" s="575"/>
      <c r="D712" s="576"/>
      <c r="E712" s="101"/>
      <c r="F712" s="101"/>
      <c r="G712" s="35"/>
      <c r="H712" s="104"/>
      <c r="I712" s="35"/>
      <c r="J712" s="74"/>
      <c r="K712" s="74"/>
      <c r="L712" s="74"/>
      <c r="M712" s="74"/>
      <c r="N712" s="74"/>
      <c r="O712" s="74"/>
      <c r="P712" s="74"/>
      <c r="Q712" s="74"/>
      <c r="R712" s="74"/>
      <c r="S712" s="74"/>
      <c r="T712" s="74"/>
      <c r="U712" s="74"/>
      <c r="V712" s="74"/>
      <c r="W712" s="74"/>
      <c r="X712" s="74"/>
      <c r="Y712" s="74"/>
      <c r="Z712" s="74"/>
      <c r="AA712" s="74"/>
      <c r="AB712" s="74"/>
    </row>
    <row r="713" spans="1:28" ht="12" customHeight="1">
      <c r="A713" s="569"/>
      <c r="B713" s="574"/>
      <c r="C713" s="575"/>
      <c r="D713" s="576"/>
      <c r="E713" s="101"/>
      <c r="F713" s="101"/>
      <c r="G713" s="35"/>
      <c r="H713" s="104"/>
      <c r="I713" s="35"/>
      <c r="J713" s="74"/>
      <c r="K713" s="74"/>
      <c r="L713" s="74"/>
      <c r="M713" s="74"/>
      <c r="N713" s="74"/>
      <c r="O713" s="74"/>
      <c r="P713" s="74"/>
      <c r="Q713" s="74"/>
      <c r="R713" s="74"/>
      <c r="S713" s="74"/>
      <c r="T713" s="74"/>
      <c r="U713" s="74"/>
      <c r="V713" s="74"/>
      <c r="W713" s="74"/>
      <c r="X713" s="74"/>
      <c r="Y713" s="74"/>
      <c r="Z713" s="74"/>
      <c r="AA713" s="74"/>
      <c r="AB713" s="74"/>
    </row>
    <row r="714" spans="1:28" ht="12" customHeight="1">
      <c r="A714" s="569"/>
      <c r="B714" s="574"/>
      <c r="C714" s="575"/>
      <c r="D714" s="576"/>
      <c r="E714" s="101"/>
      <c r="F714" s="101"/>
      <c r="G714" s="35"/>
      <c r="H714" s="104"/>
      <c r="I714" s="35"/>
      <c r="J714" s="74"/>
      <c r="K714" s="74"/>
      <c r="L714" s="74"/>
      <c r="M714" s="74"/>
      <c r="N714" s="74"/>
      <c r="O714" s="74"/>
      <c r="P714" s="74"/>
      <c r="Q714" s="74"/>
      <c r="R714" s="74"/>
      <c r="S714" s="74"/>
      <c r="T714" s="74"/>
      <c r="U714" s="74"/>
      <c r="V714" s="74"/>
      <c r="W714" s="74"/>
      <c r="X714" s="74"/>
      <c r="Y714" s="74"/>
      <c r="Z714" s="74"/>
      <c r="AA714" s="74"/>
      <c r="AB714" s="74"/>
    </row>
    <row r="715" spans="1:28" ht="12" customHeight="1">
      <c r="A715" s="569"/>
      <c r="B715" s="574"/>
      <c r="C715" s="575"/>
      <c r="D715" s="576"/>
      <c r="E715" s="101"/>
      <c r="F715" s="101"/>
      <c r="G715" s="35"/>
      <c r="H715" s="104"/>
      <c r="I715" s="35"/>
      <c r="J715" s="74"/>
      <c r="K715" s="74"/>
      <c r="L715" s="74"/>
      <c r="M715" s="74"/>
      <c r="N715" s="74"/>
      <c r="O715" s="74"/>
      <c r="P715" s="74"/>
      <c r="Q715" s="74"/>
      <c r="R715" s="74"/>
      <c r="S715" s="74"/>
      <c r="T715" s="74"/>
      <c r="U715" s="74"/>
      <c r="V715" s="74"/>
      <c r="W715" s="74"/>
      <c r="X715" s="74"/>
      <c r="Y715" s="74"/>
      <c r="Z715" s="74"/>
      <c r="AA715" s="74"/>
      <c r="AB715" s="74"/>
    </row>
    <row r="716" spans="1:28" ht="12" customHeight="1">
      <c r="A716" s="569"/>
      <c r="B716" s="574"/>
      <c r="C716" s="575"/>
      <c r="D716" s="576"/>
      <c r="E716" s="101"/>
      <c r="F716" s="101"/>
      <c r="G716" s="35"/>
      <c r="H716" s="104"/>
      <c r="I716" s="35"/>
      <c r="J716" s="74"/>
      <c r="K716" s="74"/>
      <c r="L716" s="74"/>
      <c r="M716" s="74"/>
      <c r="N716" s="74"/>
      <c r="O716" s="74"/>
      <c r="P716" s="74"/>
      <c r="Q716" s="74"/>
      <c r="R716" s="74"/>
      <c r="S716" s="74"/>
      <c r="T716" s="74"/>
      <c r="U716" s="74"/>
      <c r="V716" s="74"/>
      <c r="W716" s="74"/>
      <c r="X716" s="74"/>
      <c r="Y716" s="74"/>
      <c r="Z716" s="74"/>
      <c r="AA716" s="74"/>
      <c r="AB716" s="74"/>
    </row>
    <row r="717" spans="1:28" ht="12" customHeight="1">
      <c r="A717" s="569"/>
      <c r="B717" s="574"/>
      <c r="C717" s="575"/>
      <c r="D717" s="576"/>
      <c r="E717" s="101"/>
      <c r="F717" s="101"/>
      <c r="G717" s="35"/>
      <c r="H717" s="104"/>
      <c r="I717" s="35"/>
      <c r="J717" s="74"/>
      <c r="K717" s="74"/>
      <c r="L717" s="74"/>
      <c r="M717" s="74"/>
      <c r="N717" s="74"/>
      <c r="O717" s="74"/>
      <c r="P717" s="74"/>
      <c r="Q717" s="74"/>
      <c r="R717" s="74"/>
      <c r="S717" s="74"/>
      <c r="T717" s="74"/>
      <c r="U717" s="74"/>
      <c r="V717" s="74"/>
      <c r="W717" s="74"/>
      <c r="X717" s="74"/>
      <c r="Y717" s="74"/>
      <c r="Z717" s="74"/>
      <c r="AA717" s="74"/>
      <c r="AB717" s="74"/>
    </row>
    <row r="718" spans="1:28" ht="12" customHeight="1">
      <c r="A718" s="569"/>
      <c r="B718" s="574"/>
      <c r="C718" s="575"/>
      <c r="D718" s="576"/>
      <c r="E718" s="101"/>
      <c r="F718" s="101"/>
      <c r="G718" s="35"/>
      <c r="H718" s="104"/>
      <c r="I718" s="35"/>
      <c r="J718" s="74"/>
      <c r="K718" s="74"/>
      <c r="L718" s="74"/>
      <c r="M718" s="74"/>
      <c r="N718" s="74"/>
      <c r="O718" s="74"/>
      <c r="P718" s="74"/>
      <c r="Q718" s="74"/>
      <c r="R718" s="74"/>
      <c r="S718" s="74"/>
      <c r="T718" s="74"/>
      <c r="U718" s="74"/>
      <c r="V718" s="74"/>
      <c r="W718" s="74"/>
      <c r="X718" s="74"/>
      <c r="Y718" s="74"/>
      <c r="Z718" s="74"/>
      <c r="AA718" s="74"/>
      <c r="AB718" s="74"/>
    </row>
    <row r="719" spans="1:28" ht="12" customHeight="1">
      <c r="A719" s="569"/>
      <c r="B719" s="574"/>
      <c r="C719" s="575"/>
      <c r="D719" s="576"/>
      <c r="E719" s="101"/>
      <c r="F719" s="101"/>
      <c r="G719" s="35"/>
      <c r="H719" s="104"/>
      <c r="I719" s="35"/>
      <c r="J719" s="74"/>
      <c r="K719" s="74"/>
      <c r="L719" s="74"/>
      <c r="M719" s="74"/>
      <c r="N719" s="74"/>
      <c r="O719" s="74"/>
      <c r="P719" s="74"/>
      <c r="Q719" s="74"/>
      <c r="R719" s="74"/>
      <c r="S719" s="74"/>
      <c r="T719" s="74"/>
      <c r="U719" s="74"/>
      <c r="V719" s="74"/>
      <c r="W719" s="74"/>
      <c r="X719" s="74"/>
      <c r="Y719" s="74"/>
      <c r="Z719" s="74"/>
      <c r="AA719" s="74"/>
      <c r="AB719" s="74"/>
    </row>
    <row r="720" spans="1:28" ht="12" customHeight="1">
      <c r="A720" s="569"/>
      <c r="B720" s="574"/>
      <c r="C720" s="575"/>
      <c r="D720" s="576"/>
      <c r="E720" s="101"/>
      <c r="F720" s="101"/>
      <c r="G720" s="35"/>
      <c r="H720" s="104"/>
      <c r="I720" s="35"/>
      <c r="J720" s="74"/>
      <c r="K720" s="74"/>
      <c r="L720" s="74"/>
      <c r="M720" s="74"/>
      <c r="N720" s="74"/>
      <c r="O720" s="74"/>
      <c r="P720" s="74"/>
      <c r="Q720" s="74"/>
      <c r="R720" s="74"/>
      <c r="S720" s="74"/>
      <c r="T720" s="74"/>
      <c r="U720" s="74"/>
      <c r="V720" s="74"/>
      <c r="W720" s="74"/>
      <c r="X720" s="74"/>
      <c r="Y720" s="74"/>
      <c r="Z720" s="74"/>
      <c r="AA720" s="74"/>
      <c r="AB720" s="74"/>
    </row>
    <row r="721" spans="1:28" ht="12" customHeight="1">
      <c r="A721" s="569"/>
      <c r="B721" s="574"/>
      <c r="C721" s="575"/>
      <c r="D721" s="576"/>
      <c r="E721" s="101"/>
      <c r="F721" s="101"/>
      <c r="G721" s="35"/>
      <c r="H721" s="104"/>
      <c r="I721" s="35"/>
      <c r="J721" s="74"/>
      <c r="K721" s="74"/>
      <c r="L721" s="74"/>
      <c r="M721" s="74"/>
      <c r="N721" s="74"/>
      <c r="O721" s="74"/>
      <c r="P721" s="74"/>
      <c r="Q721" s="74"/>
      <c r="R721" s="74"/>
      <c r="S721" s="74"/>
      <c r="T721" s="74"/>
      <c r="U721" s="74"/>
      <c r="V721" s="74"/>
      <c r="W721" s="74"/>
      <c r="X721" s="74"/>
      <c r="Y721" s="74"/>
      <c r="Z721" s="74"/>
      <c r="AA721" s="74"/>
      <c r="AB721" s="74"/>
    </row>
    <row r="722" spans="1:28" ht="12" customHeight="1">
      <c r="A722" s="569"/>
      <c r="B722" s="574"/>
      <c r="C722" s="575"/>
      <c r="D722" s="576"/>
      <c r="E722" s="101"/>
      <c r="F722" s="101"/>
      <c r="G722" s="35"/>
      <c r="H722" s="104"/>
      <c r="I722" s="35"/>
      <c r="J722" s="74"/>
      <c r="K722" s="74"/>
      <c r="L722" s="74"/>
      <c r="M722" s="74"/>
      <c r="N722" s="74"/>
      <c r="O722" s="74"/>
      <c r="P722" s="74"/>
      <c r="Q722" s="74"/>
      <c r="R722" s="74"/>
      <c r="S722" s="74"/>
      <c r="T722" s="74"/>
      <c r="U722" s="74"/>
      <c r="V722" s="74"/>
      <c r="W722" s="74"/>
      <c r="X722" s="74"/>
      <c r="Y722" s="74"/>
      <c r="Z722" s="74"/>
      <c r="AA722" s="74"/>
      <c r="AB722" s="74"/>
    </row>
    <row r="723" spans="1:28" ht="12" customHeight="1">
      <c r="A723" s="569"/>
      <c r="B723" s="574"/>
      <c r="C723" s="575"/>
      <c r="D723" s="576"/>
      <c r="E723" s="101"/>
      <c r="F723" s="101"/>
      <c r="G723" s="35"/>
      <c r="H723" s="104"/>
      <c r="I723" s="35"/>
      <c r="J723" s="74"/>
      <c r="K723" s="74"/>
      <c r="L723" s="74"/>
      <c r="M723" s="74"/>
      <c r="N723" s="74"/>
      <c r="O723" s="74"/>
      <c r="P723" s="74"/>
      <c r="Q723" s="74"/>
      <c r="R723" s="74"/>
      <c r="S723" s="74"/>
      <c r="T723" s="74"/>
      <c r="U723" s="74"/>
      <c r="V723" s="74"/>
      <c r="W723" s="74"/>
      <c r="X723" s="74"/>
      <c r="Y723" s="74"/>
      <c r="Z723" s="74"/>
      <c r="AA723" s="74"/>
      <c r="AB723" s="74"/>
    </row>
    <row r="724" spans="1:28" ht="12" customHeight="1">
      <c r="A724" s="569"/>
      <c r="B724" s="574"/>
      <c r="C724" s="575"/>
      <c r="D724" s="576"/>
      <c r="E724" s="101"/>
      <c r="F724" s="101"/>
      <c r="G724" s="35"/>
      <c r="H724" s="104"/>
      <c r="I724" s="35"/>
      <c r="J724" s="74"/>
      <c r="K724" s="74"/>
      <c r="L724" s="74"/>
      <c r="M724" s="74"/>
      <c r="N724" s="74"/>
      <c r="O724" s="74"/>
      <c r="P724" s="74"/>
      <c r="Q724" s="74"/>
      <c r="R724" s="74"/>
      <c r="S724" s="74"/>
      <c r="T724" s="74"/>
      <c r="U724" s="74"/>
      <c r="V724" s="74"/>
      <c r="W724" s="74"/>
      <c r="X724" s="74"/>
      <c r="Y724" s="74"/>
      <c r="Z724" s="74"/>
      <c r="AA724" s="74"/>
      <c r="AB724" s="74"/>
    </row>
    <row r="725" spans="1:28" ht="12" customHeight="1">
      <c r="A725" s="569"/>
      <c r="B725" s="574"/>
      <c r="C725" s="575"/>
      <c r="D725" s="576"/>
      <c r="E725" s="101"/>
      <c r="F725" s="101"/>
      <c r="G725" s="35"/>
      <c r="H725" s="104"/>
      <c r="I725" s="35"/>
      <c r="J725" s="74"/>
      <c r="K725" s="74"/>
      <c r="L725" s="74"/>
      <c r="M725" s="74"/>
      <c r="N725" s="74"/>
      <c r="O725" s="74"/>
      <c r="P725" s="74"/>
      <c r="Q725" s="74"/>
      <c r="R725" s="74"/>
      <c r="S725" s="74"/>
      <c r="T725" s="74"/>
      <c r="U725" s="74"/>
      <c r="V725" s="74"/>
      <c r="W725" s="74"/>
      <c r="X725" s="74"/>
      <c r="Y725" s="74"/>
      <c r="Z725" s="74"/>
      <c r="AA725" s="74"/>
      <c r="AB725" s="74"/>
    </row>
    <row r="726" spans="1:28" ht="12" customHeight="1">
      <c r="A726" s="569"/>
      <c r="B726" s="574"/>
      <c r="C726" s="575"/>
      <c r="D726" s="576"/>
      <c r="E726" s="101"/>
      <c r="F726" s="101"/>
      <c r="G726" s="35"/>
      <c r="H726" s="104"/>
      <c r="I726" s="35"/>
      <c r="J726" s="74"/>
      <c r="K726" s="74"/>
      <c r="L726" s="74"/>
      <c r="M726" s="74"/>
      <c r="N726" s="74"/>
      <c r="O726" s="74"/>
      <c r="P726" s="74"/>
      <c r="Q726" s="74"/>
      <c r="R726" s="74"/>
      <c r="S726" s="74"/>
      <c r="T726" s="74"/>
      <c r="U726" s="74"/>
      <c r="V726" s="74"/>
      <c r="W726" s="74"/>
      <c r="X726" s="74"/>
      <c r="Y726" s="74"/>
      <c r="Z726" s="74"/>
      <c r="AA726" s="74"/>
      <c r="AB726" s="74"/>
    </row>
    <row r="727" spans="1:28" ht="12" customHeight="1">
      <c r="A727" s="569"/>
      <c r="B727" s="574"/>
      <c r="C727" s="575"/>
      <c r="D727" s="576"/>
      <c r="E727" s="101"/>
      <c r="F727" s="101"/>
      <c r="G727" s="35"/>
      <c r="H727" s="104"/>
      <c r="I727" s="35"/>
      <c r="J727" s="74"/>
      <c r="K727" s="74"/>
      <c r="L727" s="74"/>
      <c r="M727" s="74"/>
      <c r="N727" s="74"/>
      <c r="O727" s="74"/>
      <c r="P727" s="74"/>
      <c r="Q727" s="74"/>
      <c r="R727" s="74"/>
      <c r="S727" s="74"/>
      <c r="T727" s="74"/>
      <c r="U727" s="74"/>
      <c r="V727" s="74"/>
      <c r="W727" s="74"/>
      <c r="X727" s="74"/>
      <c r="Y727" s="74"/>
      <c r="Z727" s="74"/>
      <c r="AA727" s="74"/>
      <c r="AB727" s="74"/>
    </row>
    <row r="728" spans="1:28" ht="12" customHeight="1">
      <c r="A728" s="569"/>
      <c r="B728" s="574"/>
      <c r="C728" s="575"/>
      <c r="D728" s="576"/>
      <c r="E728" s="101"/>
      <c r="F728" s="101"/>
      <c r="G728" s="35"/>
      <c r="H728" s="104"/>
      <c r="I728" s="35"/>
      <c r="J728" s="74"/>
      <c r="K728" s="74"/>
      <c r="L728" s="74"/>
      <c r="M728" s="74"/>
      <c r="N728" s="74"/>
      <c r="O728" s="74"/>
      <c r="P728" s="74"/>
      <c r="Q728" s="74"/>
      <c r="R728" s="74"/>
      <c r="S728" s="74"/>
      <c r="T728" s="74"/>
      <c r="U728" s="74"/>
      <c r="V728" s="74"/>
      <c r="W728" s="74"/>
      <c r="X728" s="74"/>
      <c r="Y728" s="74"/>
      <c r="Z728" s="74"/>
      <c r="AA728" s="74"/>
      <c r="AB728" s="74"/>
    </row>
    <row r="729" spans="1:28" ht="12" customHeight="1">
      <c r="A729" s="569"/>
      <c r="B729" s="574"/>
      <c r="C729" s="575"/>
      <c r="D729" s="576"/>
      <c r="E729" s="101"/>
      <c r="F729" s="101"/>
      <c r="G729" s="35"/>
      <c r="H729" s="104"/>
      <c r="I729" s="35"/>
      <c r="J729" s="74"/>
      <c r="K729" s="74"/>
      <c r="L729" s="74"/>
      <c r="M729" s="74"/>
      <c r="N729" s="74"/>
      <c r="O729" s="74"/>
      <c r="P729" s="74"/>
      <c r="Q729" s="74"/>
      <c r="R729" s="74"/>
      <c r="S729" s="74"/>
      <c r="T729" s="74"/>
      <c r="U729" s="74"/>
      <c r="V729" s="74"/>
      <c r="W729" s="74"/>
      <c r="X729" s="74"/>
      <c r="Y729" s="74"/>
      <c r="Z729" s="74"/>
      <c r="AA729" s="74"/>
      <c r="AB729" s="74"/>
    </row>
    <row r="730" spans="1:28" ht="12" customHeight="1">
      <c r="A730" s="569"/>
      <c r="B730" s="574"/>
      <c r="C730" s="575"/>
      <c r="D730" s="576"/>
      <c r="E730" s="101"/>
      <c r="F730" s="101"/>
      <c r="G730" s="35"/>
      <c r="H730" s="104"/>
      <c r="I730" s="35"/>
      <c r="J730" s="74"/>
      <c r="K730" s="74"/>
      <c r="L730" s="74"/>
      <c r="M730" s="74"/>
      <c r="N730" s="74"/>
      <c r="O730" s="74"/>
      <c r="P730" s="74"/>
      <c r="Q730" s="74"/>
      <c r="R730" s="74"/>
      <c r="S730" s="74"/>
      <c r="T730" s="74"/>
      <c r="U730" s="74"/>
      <c r="V730" s="74"/>
      <c r="W730" s="74"/>
      <c r="X730" s="74"/>
      <c r="Y730" s="74"/>
      <c r="Z730" s="74"/>
      <c r="AA730" s="74"/>
      <c r="AB730" s="74"/>
    </row>
    <row r="731" spans="1:28" ht="12" customHeight="1">
      <c r="A731" s="569"/>
      <c r="B731" s="574"/>
      <c r="C731" s="575"/>
      <c r="D731" s="576"/>
      <c r="E731" s="101"/>
      <c r="F731" s="101"/>
      <c r="G731" s="35"/>
      <c r="H731" s="104"/>
      <c r="I731" s="35"/>
      <c r="J731" s="74"/>
      <c r="K731" s="74"/>
      <c r="L731" s="74"/>
      <c r="M731" s="74"/>
      <c r="N731" s="74"/>
      <c r="O731" s="74"/>
      <c r="P731" s="74"/>
      <c r="Q731" s="74"/>
      <c r="R731" s="74"/>
      <c r="S731" s="74"/>
      <c r="T731" s="74"/>
      <c r="U731" s="74"/>
      <c r="V731" s="74"/>
      <c r="W731" s="74"/>
      <c r="X731" s="74"/>
      <c r="Y731" s="74"/>
      <c r="Z731" s="74"/>
      <c r="AA731" s="74"/>
      <c r="AB731" s="74"/>
    </row>
    <row r="732" spans="1:28" ht="12" customHeight="1">
      <c r="A732" s="569"/>
      <c r="B732" s="574"/>
      <c r="C732" s="575"/>
      <c r="D732" s="576"/>
      <c r="E732" s="101"/>
      <c r="F732" s="101"/>
      <c r="G732" s="35"/>
      <c r="H732" s="104"/>
      <c r="I732" s="35"/>
      <c r="J732" s="74"/>
      <c r="K732" s="74"/>
      <c r="L732" s="74"/>
      <c r="M732" s="74"/>
      <c r="N732" s="74"/>
      <c r="O732" s="74"/>
      <c r="P732" s="74"/>
      <c r="Q732" s="74"/>
      <c r="R732" s="74"/>
      <c r="S732" s="74"/>
      <c r="T732" s="74"/>
      <c r="U732" s="74"/>
      <c r="V732" s="74"/>
      <c r="W732" s="74"/>
      <c r="X732" s="74"/>
      <c r="Y732" s="74"/>
      <c r="Z732" s="74"/>
      <c r="AA732" s="74"/>
      <c r="AB732" s="74"/>
    </row>
    <row r="733" spans="1:28" ht="12" customHeight="1">
      <c r="A733" s="569"/>
      <c r="B733" s="574"/>
      <c r="C733" s="575"/>
      <c r="D733" s="576"/>
      <c r="E733" s="101"/>
      <c r="F733" s="101"/>
      <c r="G733" s="35"/>
      <c r="H733" s="104"/>
      <c r="I733" s="35"/>
      <c r="J733" s="74"/>
      <c r="K733" s="74"/>
      <c r="L733" s="74"/>
      <c r="M733" s="74"/>
      <c r="N733" s="74"/>
      <c r="O733" s="74"/>
      <c r="P733" s="74"/>
      <c r="Q733" s="74"/>
      <c r="R733" s="74"/>
      <c r="S733" s="74"/>
      <c r="T733" s="74"/>
      <c r="U733" s="74"/>
      <c r="V733" s="74"/>
      <c r="W733" s="74"/>
      <c r="X733" s="74"/>
      <c r="Y733" s="74"/>
      <c r="Z733" s="74"/>
      <c r="AA733" s="74"/>
      <c r="AB733" s="74"/>
    </row>
    <row r="734" spans="1:28" ht="12" customHeight="1">
      <c r="A734" s="569"/>
      <c r="B734" s="574"/>
      <c r="C734" s="575"/>
      <c r="D734" s="576"/>
      <c r="E734" s="101"/>
      <c r="F734" s="101"/>
      <c r="G734" s="35"/>
      <c r="H734" s="104"/>
      <c r="I734" s="35"/>
      <c r="J734" s="74"/>
      <c r="K734" s="74"/>
      <c r="L734" s="74"/>
      <c r="M734" s="74"/>
      <c r="N734" s="74"/>
      <c r="O734" s="74"/>
      <c r="P734" s="74"/>
      <c r="Q734" s="74"/>
      <c r="R734" s="74"/>
      <c r="S734" s="74"/>
      <c r="T734" s="74"/>
      <c r="U734" s="74"/>
      <c r="V734" s="74"/>
      <c r="W734" s="74"/>
      <c r="X734" s="74"/>
      <c r="Y734" s="74"/>
      <c r="Z734" s="74"/>
      <c r="AA734" s="74"/>
      <c r="AB734" s="74"/>
    </row>
    <row r="735" spans="1:28" ht="12" customHeight="1">
      <c r="A735" s="569"/>
      <c r="B735" s="574"/>
      <c r="C735" s="575"/>
      <c r="D735" s="576"/>
      <c r="E735" s="101"/>
      <c r="F735" s="101"/>
      <c r="G735" s="35"/>
      <c r="H735" s="104"/>
      <c r="I735" s="35"/>
      <c r="J735" s="74"/>
      <c r="K735" s="74"/>
      <c r="L735" s="74"/>
      <c r="M735" s="74"/>
      <c r="N735" s="74"/>
      <c r="O735" s="74"/>
      <c r="P735" s="74"/>
      <c r="Q735" s="74"/>
      <c r="R735" s="74"/>
      <c r="S735" s="74"/>
      <c r="T735" s="74"/>
      <c r="U735" s="74"/>
      <c r="V735" s="74"/>
      <c r="W735" s="74"/>
      <c r="X735" s="74"/>
      <c r="Y735" s="74"/>
      <c r="Z735" s="74"/>
      <c r="AA735" s="74"/>
      <c r="AB735" s="74"/>
    </row>
    <row r="736" spans="1:28" ht="12" customHeight="1">
      <c r="A736" s="569"/>
      <c r="B736" s="574"/>
      <c r="C736" s="575"/>
      <c r="D736" s="576"/>
      <c r="E736" s="101"/>
      <c r="F736" s="101"/>
      <c r="G736" s="35"/>
      <c r="H736" s="104"/>
      <c r="I736" s="35"/>
      <c r="J736" s="74"/>
      <c r="K736" s="74"/>
      <c r="L736" s="74"/>
      <c r="M736" s="74"/>
      <c r="N736" s="74"/>
      <c r="O736" s="74"/>
      <c r="P736" s="74"/>
      <c r="Q736" s="74"/>
      <c r="R736" s="74"/>
      <c r="S736" s="74"/>
      <c r="T736" s="74"/>
      <c r="U736" s="74"/>
      <c r="V736" s="74"/>
      <c r="W736" s="74"/>
      <c r="X736" s="74"/>
      <c r="Y736" s="74"/>
      <c r="Z736" s="74"/>
      <c r="AA736" s="74"/>
      <c r="AB736" s="74"/>
    </row>
    <row r="737" spans="1:28" ht="12" customHeight="1">
      <c r="A737" s="569"/>
      <c r="B737" s="574"/>
      <c r="C737" s="575"/>
      <c r="D737" s="576"/>
      <c r="E737" s="101"/>
      <c r="F737" s="101"/>
      <c r="G737" s="35"/>
      <c r="H737" s="104"/>
      <c r="I737" s="35"/>
      <c r="J737" s="74"/>
      <c r="K737" s="74"/>
      <c r="L737" s="74"/>
      <c r="M737" s="74"/>
      <c r="N737" s="74"/>
      <c r="O737" s="74"/>
      <c r="P737" s="74"/>
      <c r="Q737" s="74"/>
      <c r="R737" s="74"/>
      <c r="S737" s="74"/>
      <c r="T737" s="74"/>
      <c r="U737" s="74"/>
      <c r="V737" s="74"/>
      <c r="W737" s="74"/>
      <c r="X737" s="74"/>
      <c r="Y737" s="74"/>
      <c r="Z737" s="74"/>
      <c r="AA737" s="74"/>
      <c r="AB737" s="74"/>
    </row>
    <row r="738" spans="1:28" ht="12" customHeight="1">
      <c r="A738" s="569"/>
      <c r="B738" s="574"/>
      <c r="C738" s="575"/>
      <c r="D738" s="576"/>
      <c r="E738" s="101"/>
      <c r="F738" s="101"/>
      <c r="G738" s="35"/>
      <c r="H738" s="104"/>
      <c r="I738" s="35"/>
      <c r="J738" s="74"/>
      <c r="K738" s="74"/>
      <c r="L738" s="74"/>
      <c r="M738" s="74"/>
      <c r="N738" s="74"/>
      <c r="O738" s="74"/>
      <c r="P738" s="74"/>
      <c r="Q738" s="74"/>
      <c r="R738" s="74"/>
      <c r="S738" s="74"/>
      <c r="T738" s="74"/>
      <c r="U738" s="74"/>
      <c r="V738" s="74"/>
      <c r="W738" s="74"/>
      <c r="X738" s="74"/>
      <c r="Y738" s="74"/>
      <c r="Z738" s="74"/>
      <c r="AA738" s="74"/>
      <c r="AB738" s="74"/>
    </row>
    <row r="739" spans="1:28" ht="12" customHeight="1">
      <c r="A739" s="569"/>
      <c r="B739" s="574"/>
      <c r="C739" s="575"/>
      <c r="D739" s="576"/>
      <c r="E739" s="101"/>
      <c r="F739" s="101"/>
      <c r="G739" s="35"/>
      <c r="H739" s="104"/>
      <c r="I739" s="35"/>
      <c r="J739" s="74"/>
      <c r="K739" s="74"/>
      <c r="L739" s="74"/>
      <c r="M739" s="74"/>
      <c r="N739" s="74"/>
      <c r="O739" s="74"/>
      <c r="P739" s="74"/>
      <c r="Q739" s="74"/>
      <c r="R739" s="74"/>
      <c r="S739" s="74"/>
      <c r="T739" s="74"/>
      <c r="U739" s="74"/>
      <c r="V739" s="74"/>
      <c r="W739" s="74"/>
      <c r="X739" s="74"/>
      <c r="Y739" s="74"/>
      <c r="Z739" s="74"/>
      <c r="AA739" s="74"/>
      <c r="AB739" s="74"/>
    </row>
    <row r="740" spans="1:28" ht="12" customHeight="1">
      <c r="A740" s="569"/>
      <c r="B740" s="574"/>
      <c r="C740" s="575"/>
      <c r="D740" s="576"/>
      <c r="E740" s="101"/>
      <c r="F740" s="101"/>
      <c r="G740" s="35"/>
      <c r="H740" s="104"/>
      <c r="I740" s="35"/>
      <c r="J740" s="74"/>
      <c r="K740" s="74"/>
      <c r="L740" s="74"/>
      <c r="M740" s="74"/>
      <c r="N740" s="74"/>
      <c r="O740" s="74"/>
      <c r="P740" s="74"/>
      <c r="Q740" s="74"/>
      <c r="R740" s="74"/>
      <c r="S740" s="74"/>
      <c r="T740" s="74"/>
      <c r="U740" s="74"/>
      <c r="V740" s="74"/>
      <c r="W740" s="74"/>
      <c r="X740" s="74"/>
      <c r="Y740" s="74"/>
      <c r="Z740" s="74"/>
      <c r="AA740" s="74"/>
      <c r="AB740" s="74"/>
    </row>
    <row r="741" spans="1:28" ht="12" customHeight="1">
      <c r="A741" s="569"/>
      <c r="B741" s="574"/>
      <c r="C741" s="575"/>
      <c r="D741" s="576"/>
      <c r="E741" s="101"/>
      <c r="F741" s="101"/>
      <c r="G741" s="35"/>
      <c r="H741" s="104"/>
      <c r="I741" s="35"/>
      <c r="J741" s="74"/>
      <c r="K741" s="74"/>
      <c r="L741" s="74"/>
      <c r="M741" s="74"/>
      <c r="N741" s="74"/>
      <c r="O741" s="74"/>
      <c r="P741" s="74"/>
      <c r="Q741" s="74"/>
      <c r="R741" s="74"/>
      <c r="S741" s="74"/>
      <c r="T741" s="74"/>
      <c r="U741" s="74"/>
      <c r="V741" s="74"/>
      <c r="W741" s="74"/>
      <c r="X741" s="74"/>
      <c r="Y741" s="74"/>
      <c r="Z741" s="74"/>
      <c r="AA741" s="74"/>
      <c r="AB741" s="74"/>
    </row>
    <row r="742" spans="1:28" ht="12" customHeight="1">
      <c r="A742" s="569"/>
      <c r="B742" s="574"/>
      <c r="C742" s="575"/>
      <c r="D742" s="576"/>
      <c r="E742" s="101"/>
      <c r="F742" s="101"/>
      <c r="G742" s="35"/>
      <c r="H742" s="104"/>
      <c r="I742" s="35"/>
      <c r="J742" s="74"/>
      <c r="K742" s="74"/>
      <c r="L742" s="74"/>
      <c r="M742" s="74"/>
      <c r="N742" s="74"/>
      <c r="O742" s="74"/>
      <c r="P742" s="74"/>
      <c r="Q742" s="74"/>
      <c r="R742" s="74"/>
      <c r="S742" s="74"/>
      <c r="T742" s="74"/>
      <c r="U742" s="74"/>
      <c r="V742" s="74"/>
      <c r="W742" s="74"/>
      <c r="X742" s="74"/>
      <c r="Y742" s="74"/>
      <c r="Z742" s="74"/>
      <c r="AA742" s="74"/>
      <c r="AB742" s="74"/>
    </row>
    <row r="743" spans="1:28" ht="12" customHeight="1">
      <c r="A743" s="569"/>
      <c r="B743" s="574"/>
      <c r="C743" s="575"/>
      <c r="D743" s="576"/>
      <c r="E743" s="101"/>
      <c r="F743" s="101"/>
      <c r="G743" s="35"/>
      <c r="H743" s="104"/>
      <c r="I743" s="35"/>
      <c r="J743" s="74"/>
      <c r="K743" s="74"/>
      <c r="L743" s="74"/>
      <c r="M743" s="74"/>
      <c r="N743" s="74"/>
      <c r="O743" s="74"/>
      <c r="P743" s="74"/>
      <c r="Q743" s="74"/>
      <c r="R743" s="74"/>
      <c r="S743" s="74"/>
      <c r="T743" s="74"/>
      <c r="U743" s="74"/>
      <c r="V743" s="74"/>
      <c r="W743" s="74"/>
      <c r="X743" s="74"/>
      <c r="Y743" s="74"/>
      <c r="Z743" s="74"/>
      <c r="AA743" s="74"/>
      <c r="AB743" s="74"/>
    </row>
    <row r="744" spans="1:28" ht="12" customHeight="1">
      <c r="A744" s="569"/>
      <c r="B744" s="574"/>
      <c r="C744" s="575"/>
      <c r="D744" s="576"/>
      <c r="E744" s="101"/>
      <c r="F744" s="101"/>
      <c r="G744" s="35"/>
      <c r="H744" s="104"/>
      <c r="I744" s="35"/>
      <c r="J744" s="74"/>
      <c r="K744" s="74"/>
      <c r="L744" s="74"/>
      <c r="M744" s="74"/>
      <c r="N744" s="74"/>
      <c r="O744" s="74"/>
      <c r="P744" s="74"/>
      <c r="Q744" s="74"/>
      <c r="R744" s="74"/>
      <c r="S744" s="74"/>
      <c r="T744" s="74"/>
      <c r="U744" s="74"/>
      <c r="V744" s="74"/>
      <c r="W744" s="74"/>
      <c r="X744" s="74"/>
      <c r="Y744" s="74"/>
      <c r="Z744" s="74"/>
      <c r="AA744" s="74"/>
      <c r="AB744" s="74"/>
    </row>
    <row r="745" spans="1:28" ht="12" customHeight="1">
      <c r="A745" s="569"/>
      <c r="B745" s="574"/>
      <c r="C745" s="575"/>
      <c r="D745" s="576"/>
      <c r="E745" s="101"/>
      <c r="F745" s="101"/>
      <c r="G745" s="35"/>
      <c r="H745" s="104"/>
      <c r="I745" s="35"/>
      <c r="J745" s="74"/>
      <c r="K745" s="74"/>
      <c r="L745" s="74"/>
      <c r="M745" s="74"/>
      <c r="N745" s="74"/>
      <c r="O745" s="74"/>
      <c r="P745" s="74"/>
      <c r="Q745" s="74"/>
      <c r="R745" s="74"/>
      <c r="S745" s="74"/>
      <c r="T745" s="74"/>
      <c r="U745" s="74"/>
      <c r="V745" s="74"/>
      <c r="W745" s="74"/>
      <c r="X745" s="74"/>
      <c r="Y745" s="74"/>
      <c r="Z745" s="74"/>
      <c r="AA745" s="74"/>
      <c r="AB745" s="74"/>
    </row>
    <row r="746" spans="1:28" ht="12" customHeight="1">
      <c r="A746" s="569"/>
      <c r="B746" s="574"/>
      <c r="C746" s="575"/>
      <c r="D746" s="576"/>
      <c r="E746" s="101"/>
      <c r="F746" s="101"/>
      <c r="G746" s="35"/>
      <c r="H746" s="104"/>
      <c r="I746" s="35"/>
      <c r="J746" s="74"/>
      <c r="K746" s="74"/>
      <c r="L746" s="74"/>
      <c r="M746" s="74"/>
      <c r="N746" s="74"/>
      <c r="O746" s="74"/>
      <c r="P746" s="74"/>
      <c r="Q746" s="74"/>
      <c r="R746" s="74"/>
      <c r="S746" s="74"/>
      <c r="T746" s="74"/>
      <c r="U746" s="74"/>
      <c r="V746" s="74"/>
      <c r="W746" s="74"/>
      <c r="X746" s="74"/>
      <c r="Y746" s="74"/>
      <c r="Z746" s="74"/>
      <c r="AA746" s="74"/>
      <c r="AB746" s="74"/>
    </row>
    <row r="747" spans="1:28" ht="12" customHeight="1">
      <c r="A747" s="569"/>
      <c r="B747" s="574"/>
      <c r="C747" s="575"/>
      <c r="D747" s="576"/>
      <c r="E747" s="101"/>
      <c r="F747" s="101"/>
      <c r="G747" s="35"/>
      <c r="H747" s="104"/>
      <c r="I747" s="35"/>
      <c r="J747" s="74"/>
      <c r="K747" s="74"/>
      <c r="L747" s="74"/>
      <c r="M747" s="74"/>
      <c r="N747" s="74"/>
      <c r="O747" s="74"/>
      <c r="P747" s="74"/>
      <c r="Q747" s="74"/>
      <c r="R747" s="74"/>
      <c r="S747" s="74"/>
      <c r="T747" s="74"/>
      <c r="U747" s="74"/>
      <c r="V747" s="74"/>
      <c r="W747" s="74"/>
      <c r="X747" s="74"/>
      <c r="Y747" s="74"/>
      <c r="Z747" s="74"/>
      <c r="AA747" s="74"/>
      <c r="AB747" s="74"/>
    </row>
    <row r="748" spans="1:28" ht="12" customHeight="1">
      <c r="A748" s="569"/>
      <c r="B748" s="574"/>
      <c r="C748" s="575"/>
      <c r="D748" s="576"/>
      <c r="E748" s="101"/>
      <c r="F748" s="101"/>
      <c r="G748" s="35"/>
      <c r="H748" s="104"/>
      <c r="I748" s="35"/>
      <c r="J748" s="74"/>
      <c r="K748" s="74"/>
      <c r="L748" s="74"/>
      <c r="M748" s="74"/>
      <c r="N748" s="74"/>
      <c r="O748" s="74"/>
      <c r="P748" s="74"/>
      <c r="Q748" s="74"/>
      <c r="R748" s="74"/>
      <c r="S748" s="74"/>
      <c r="T748" s="74"/>
      <c r="U748" s="74"/>
      <c r="V748" s="74"/>
      <c r="W748" s="74"/>
      <c r="X748" s="74"/>
      <c r="Y748" s="74"/>
      <c r="Z748" s="74"/>
      <c r="AA748" s="74"/>
      <c r="AB748" s="74"/>
    </row>
    <row r="749" spans="1:28" ht="12" customHeight="1">
      <c r="A749" s="569"/>
      <c r="B749" s="574"/>
      <c r="C749" s="575"/>
      <c r="D749" s="576"/>
      <c r="E749" s="101"/>
      <c r="F749" s="101"/>
      <c r="G749" s="35"/>
      <c r="H749" s="104"/>
      <c r="I749" s="35"/>
      <c r="J749" s="74"/>
      <c r="K749" s="74"/>
      <c r="L749" s="74"/>
      <c r="M749" s="74"/>
      <c r="N749" s="74"/>
      <c r="O749" s="74"/>
      <c r="P749" s="74"/>
      <c r="Q749" s="74"/>
      <c r="R749" s="74"/>
      <c r="S749" s="74"/>
      <c r="T749" s="74"/>
      <c r="U749" s="74"/>
      <c r="V749" s="74"/>
      <c r="W749" s="74"/>
      <c r="X749" s="74"/>
      <c r="Y749" s="74"/>
      <c r="Z749" s="74"/>
      <c r="AA749" s="74"/>
      <c r="AB749" s="74"/>
    </row>
    <row r="750" spans="1:28" ht="12" customHeight="1">
      <c r="A750" s="569"/>
      <c r="B750" s="574"/>
      <c r="C750" s="575"/>
      <c r="D750" s="576"/>
      <c r="E750" s="101"/>
      <c r="F750" s="101"/>
      <c r="G750" s="35"/>
      <c r="H750" s="104"/>
      <c r="I750" s="35"/>
      <c r="J750" s="74"/>
      <c r="K750" s="74"/>
      <c r="L750" s="74"/>
      <c r="M750" s="74"/>
      <c r="N750" s="74"/>
      <c r="O750" s="74"/>
      <c r="P750" s="74"/>
      <c r="Q750" s="74"/>
      <c r="R750" s="74"/>
      <c r="S750" s="74"/>
      <c r="T750" s="74"/>
      <c r="U750" s="74"/>
      <c r="V750" s="74"/>
      <c r="W750" s="74"/>
      <c r="X750" s="74"/>
      <c r="Y750" s="74"/>
      <c r="Z750" s="74"/>
      <c r="AA750" s="74"/>
      <c r="AB750" s="74"/>
    </row>
    <row r="751" spans="1:28" ht="12" customHeight="1">
      <c r="A751" s="569"/>
      <c r="B751" s="574"/>
      <c r="C751" s="575"/>
      <c r="D751" s="576"/>
      <c r="E751" s="101"/>
      <c r="F751" s="101"/>
      <c r="G751" s="35"/>
      <c r="H751" s="104"/>
      <c r="I751" s="35"/>
      <c r="J751" s="74"/>
      <c r="K751" s="74"/>
      <c r="L751" s="74"/>
      <c r="M751" s="74"/>
      <c r="N751" s="74"/>
      <c r="O751" s="74"/>
      <c r="P751" s="74"/>
      <c r="Q751" s="74"/>
      <c r="R751" s="74"/>
      <c r="S751" s="74"/>
      <c r="T751" s="74"/>
      <c r="U751" s="74"/>
      <c r="V751" s="74"/>
      <c r="W751" s="74"/>
      <c r="X751" s="74"/>
      <c r="Y751" s="74"/>
      <c r="Z751" s="74"/>
      <c r="AA751" s="74"/>
      <c r="AB751" s="74"/>
    </row>
    <row r="752" spans="1:28" ht="12" customHeight="1">
      <c r="A752" s="569"/>
      <c r="B752" s="574"/>
      <c r="C752" s="575"/>
      <c r="D752" s="576"/>
      <c r="E752" s="101"/>
      <c r="F752" s="101"/>
      <c r="G752" s="35"/>
      <c r="H752" s="104"/>
      <c r="I752" s="35"/>
      <c r="J752" s="74"/>
      <c r="K752" s="74"/>
      <c r="L752" s="74"/>
      <c r="M752" s="74"/>
      <c r="N752" s="74"/>
      <c r="O752" s="74"/>
      <c r="P752" s="74"/>
      <c r="Q752" s="74"/>
      <c r="R752" s="74"/>
      <c r="S752" s="74"/>
      <c r="T752" s="74"/>
      <c r="U752" s="74"/>
      <c r="V752" s="74"/>
      <c r="W752" s="74"/>
      <c r="X752" s="74"/>
      <c r="Y752" s="74"/>
      <c r="Z752" s="74"/>
      <c r="AA752" s="74"/>
      <c r="AB752" s="74"/>
    </row>
    <row r="753" spans="1:28" ht="12" customHeight="1">
      <c r="A753" s="569"/>
      <c r="B753" s="574"/>
      <c r="C753" s="575"/>
      <c r="D753" s="576"/>
      <c r="E753" s="101"/>
      <c r="F753" s="101"/>
      <c r="G753" s="35"/>
      <c r="H753" s="104"/>
      <c r="I753" s="35"/>
      <c r="J753" s="74"/>
      <c r="K753" s="74"/>
      <c r="L753" s="74"/>
      <c r="M753" s="74"/>
      <c r="N753" s="74"/>
      <c r="O753" s="74"/>
      <c r="P753" s="74"/>
      <c r="Q753" s="74"/>
      <c r="R753" s="74"/>
      <c r="S753" s="74"/>
      <c r="T753" s="74"/>
      <c r="U753" s="74"/>
      <c r="V753" s="74"/>
      <c r="W753" s="74"/>
      <c r="X753" s="74"/>
      <c r="Y753" s="74"/>
      <c r="Z753" s="74"/>
      <c r="AA753" s="74"/>
      <c r="AB753" s="74"/>
    </row>
    <row r="754" spans="1:28" ht="12" customHeight="1">
      <c r="A754" s="569"/>
      <c r="B754" s="574"/>
      <c r="C754" s="575"/>
      <c r="D754" s="576"/>
      <c r="E754" s="101"/>
      <c r="F754" s="101"/>
      <c r="G754" s="35"/>
      <c r="H754" s="104"/>
      <c r="I754" s="35"/>
      <c r="J754" s="74"/>
      <c r="K754" s="74"/>
      <c r="L754" s="74"/>
      <c r="M754" s="74"/>
      <c r="N754" s="74"/>
      <c r="O754" s="74"/>
      <c r="P754" s="74"/>
      <c r="Q754" s="74"/>
      <c r="R754" s="74"/>
      <c r="S754" s="74"/>
      <c r="T754" s="74"/>
      <c r="U754" s="74"/>
      <c r="V754" s="74"/>
      <c r="W754" s="74"/>
      <c r="X754" s="74"/>
      <c r="Y754" s="74"/>
      <c r="Z754" s="74"/>
      <c r="AA754" s="74"/>
      <c r="AB754" s="74"/>
    </row>
    <row r="755" spans="1:28" ht="12" customHeight="1">
      <c r="A755" s="569"/>
      <c r="B755" s="574"/>
      <c r="C755" s="575"/>
      <c r="D755" s="576"/>
      <c r="E755" s="101"/>
      <c r="F755" s="101"/>
      <c r="G755" s="35"/>
      <c r="H755" s="104"/>
      <c r="I755" s="35"/>
      <c r="J755" s="74"/>
      <c r="K755" s="74"/>
      <c r="L755" s="74"/>
      <c r="M755" s="74"/>
      <c r="N755" s="74"/>
      <c r="O755" s="74"/>
      <c r="P755" s="74"/>
      <c r="Q755" s="74"/>
      <c r="R755" s="74"/>
      <c r="S755" s="74"/>
      <c r="T755" s="74"/>
      <c r="U755" s="74"/>
      <c r="V755" s="74"/>
      <c r="W755" s="74"/>
      <c r="X755" s="74"/>
      <c r="Y755" s="74"/>
      <c r="Z755" s="74"/>
      <c r="AA755" s="74"/>
      <c r="AB755" s="74"/>
    </row>
    <row r="756" spans="1:28" ht="12" customHeight="1">
      <c r="A756" s="569"/>
      <c r="B756" s="574"/>
      <c r="C756" s="575"/>
      <c r="D756" s="576"/>
      <c r="E756" s="101"/>
      <c r="F756" s="101"/>
      <c r="G756" s="35"/>
      <c r="H756" s="104"/>
      <c r="I756" s="35"/>
      <c r="J756" s="74"/>
      <c r="K756" s="74"/>
      <c r="L756" s="74"/>
      <c r="M756" s="74"/>
      <c r="N756" s="74"/>
      <c r="O756" s="74"/>
      <c r="P756" s="74"/>
      <c r="Q756" s="74"/>
      <c r="R756" s="74"/>
      <c r="S756" s="74"/>
      <c r="T756" s="74"/>
      <c r="U756" s="74"/>
      <c r="V756" s="74"/>
      <c r="W756" s="74"/>
      <c r="X756" s="74"/>
      <c r="Y756" s="74"/>
      <c r="Z756" s="74"/>
      <c r="AA756" s="74"/>
      <c r="AB756" s="74"/>
    </row>
    <row r="757" spans="1:28" ht="12" customHeight="1">
      <c r="A757" s="569"/>
      <c r="B757" s="574"/>
      <c r="C757" s="575"/>
      <c r="D757" s="576"/>
      <c r="E757" s="101"/>
      <c r="F757" s="101"/>
      <c r="G757" s="35"/>
      <c r="H757" s="104"/>
      <c r="I757" s="35"/>
      <c r="J757" s="74"/>
      <c r="K757" s="74"/>
      <c r="L757" s="74"/>
      <c r="M757" s="74"/>
      <c r="N757" s="74"/>
      <c r="O757" s="74"/>
      <c r="P757" s="74"/>
      <c r="Q757" s="74"/>
      <c r="R757" s="74"/>
      <c r="S757" s="74"/>
      <c r="T757" s="74"/>
      <c r="U757" s="74"/>
      <c r="V757" s="74"/>
      <c r="W757" s="74"/>
      <c r="X757" s="74"/>
      <c r="Y757" s="74"/>
      <c r="Z757" s="74"/>
      <c r="AA757" s="74"/>
      <c r="AB757" s="74"/>
    </row>
    <row r="758" spans="1:28" ht="12" customHeight="1">
      <c r="A758" s="569"/>
      <c r="B758" s="574"/>
      <c r="C758" s="575"/>
      <c r="D758" s="576"/>
      <c r="E758" s="101"/>
      <c r="F758" s="101"/>
      <c r="G758" s="35"/>
      <c r="H758" s="104"/>
      <c r="I758" s="35"/>
      <c r="J758" s="74"/>
      <c r="K758" s="74"/>
      <c r="L758" s="74"/>
      <c r="M758" s="74"/>
      <c r="N758" s="74"/>
      <c r="O758" s="74"/>
      <c r="P758" s="74"/>
      <c r="Q758" s="74"/>
      <c r="R758" s="74"/>
      <c r="S758" s="74"/>
      <c r="T758" s="74"/>
      <c r="U758" s="74"/>
      <c r="V758" s="74"/>
      <c r="W758" s="74"/>
      <c r="X758" s="74"/>
      <c r="Y758" s="74"/>
      <c r="Z758" s="74"/>
      <c r="AA758" s="74"/>
      <c r="AB758" s="74"/>
    </row>
    <row r="759" spans="1:28" ht="12" customHeight="1">
      <c r="A759" s="569"/>
      <c r="B759" s="574"/>
      <c r="C759" s="575"/>
      <c r="D759" s="576"/>
      <c r="E759" s="101"/>
      <c r="F759" s="101"/>
      <c r="G759" s="35"/>
      <c r="H759" s="104"/>
      <c r="I759" s="35"/>
      <c r="J759" s="74"/>
      <c r="K759" s="74"/>
      <c r="L759" s="74"/>
      <c r="M759" s="74"/>
      <c r="N759" s="74"/>
      <c r="O759" s="74"/>
      <c r="P759" s="74"/>
      <c r="Q759" s="74"/>
      <c r="R759" s="74"/>
      <c r="S759" s="74"/>
      <c r="T759" s="74"/>
      <c r="U759" s="74"/>
      <c r="V759" s="74"/>
      <c r="W759" s="74"/>
      <c r="X759" s="74"/>
      <c r="Y759" s="74"/>
      <c r="Z759" s="74"/>
      <c r="AA759" s="74"/>
      <c r="AB759" s="74"/>
    </row>
    <row r="760" spans="1:28" ht="12" customHeight="1">
      <c r="A760" s="569"/>
      <c r="B760" s="574"/>
      <c r="C760" s="575"/>
      <c r="D760" s="576"/>
      <c r="E760" s="101"/>
      <c r="F760" s="101"/>
      <c r="G760" s="35"/>
      <c r="H760" s="104"/>
      <c r="I760" s="35"/>
      <c r="J760" s="74"/>
      <c r="K760" s="74"/>
      <c r="L760" s="74"/>
      <c r="M760" s="74"/>
      <c r="N760" s="74"/>
      <c r="O760" s="74"/>
      <c r="P760" s="74"/>
      <c r="Q760" s="74"/>
      <c r="R760" s="74"/>
      <c r="S760" s="74"/>
      <c r="T760" s="74"/>
      <c r="U760" s="74"/>
      <c r="V760" s="74"/>
      <c r="W760" s="74"/>
      <c r="X760" s="74"/>
      <c r="Y760" s="74"/>
      <c r="Z760" s="74"/>
      <c r="AA760" s="74"/>
      <c r="AB760" s="74"/>
    </row>
    <row r="761" spans="1:28" ht="12" customHeight="1">
      <c r="A761" s="569"/>
      <c r="B761" s="574"/>
      <c r="C761" s="575"/>
      <c r="D761" s="576"/>
      <c r="E761" s="101"/>
      <c r="F761" s="101"/>
      <c r="G761" s="35"/>
      <c r="H761" s="104"/>
      <c r="I761" s="35"/>
      <c r="J761" s="74"/>
      <c r="K761" s="74"/>
      <c r="L761" s="74"/>
      <c r="M761" s="74"/>
      <c r="N761" s="74"/>
      <c r="O761" s="74"/>
      <c r="P761" s="74"/>
      <c r="Q761" s="74"/>
      <c r="R761" s="74"/>
      <c r="S761" s="74"/>
      <c r="T761" s="74"/>
      <c r="U761" s="74"/>
      <c r="V761" s="74"/>
      <c r="W761" s="74"/>
      <c r="X761" s="74"/>
      <c r="Y761" s="74"/>
      <c r="Z761" s="74"/>
      <c r="AA761" s="74"/>
      <c r="AB761" s="74"/>
    </row>
    <row r="762" spans="1:28" ht="12" customHeight="1">
      <c r="A762" s="569"/>
      <c r="B762" s="574"/>
      <c r="C762" s="575"/>
      <c r="D762" s="576"/>
      <c r="E762" s="101"/>
      <c r="F762" s="101"/>
      <c r="G762" s="35"/>
      <c r="H762" s="104"/>
      <c r="I762" s="35"/>
      <c r="J762" s="74"/>
      <c r="K762" s="74"/>
      <c r="L762" s="74"/>
      <c r="M762" s="74"/>
      <c r="N762" s="74"/>
      <c r="O762" s="74"/>
      <c r="P762" s="74"/>
      <c r="Q762" s="74"/>
      <c r="R762" s="74"/>
      <c r="S762" s="74"/>
      <c r="T762" s="74"/>
      <c r="U762" s="74"/>
      <c r="V762" s="74"/>
      <c r="W762" s="74"/>
      <c r="X762" s="74"/>
      <c r="Y762" s="74"/>
      <c r="Z762" s="74"/>
      <c r="AA762" s="74"/>
      <c r="AB762" s="74"/>
    </row>
    <row r="763" spans="1:28" ht="12" customHeight="1">
      <c r="A763" s="569"/>
      <c r="B763" s="574"/>
      <c r="C763" s="575"/>
      <c r="D763" s="576"/>
      <c r="E763" s="101"/>
      <c r="F763" s="101"/>
      <c r="G763" s="35"/>
      <c r="H763" s="104"/>
      <c r="I763" s="35"/>
      <c r="J763" s="74"/>
      <c r="K763" s="74"/>
      <c r="L763" s="74"/>
      <c r="M763" s="74"/>
      <c r="N763" s="74"/>
      <c r="O763" s="74"/>
      <c r="P763" s="74"/>
      <c r="Q763" s="74"/>
      <c r="R763" s="74"/>
      <c r="S763" s="74"/>
      <c r="T763" s="74"/>
      <c r="U763" s="74"/>
      <c r="V763" s="74"/>
      <c r="W763" s="74"/>
      <c r="X763" s="74"/>
      <c r="Y763" s="74"/>
      <c r="Z763" s="74"/>
      <c r="AA763" s="74"/>
      <c r="AB763" s="74"/>
    </row>
    <row r="764" spans="1:28" ht="12" customHeight="1">
      <c r="A764" s="569"/>
      <c r="B764" s="574"/>
      <c r="C764" s="575"/>
      <c r="D764" s="576"/>
      <c r="E764" s="101"/>
      <c r="F764" s="101"/>
      <c r="G764" s="35"/>
      <c r="H764" s="104"/>
      <c r="I764" s="35"/>
      <c r="J764" s="74"/>
      <c r="K764" s="74"/>
      <c r="L764" s="74"/>
      <c r="M764" s="74"/>
      <c r="N764" s="74"/>
      <c r="O764" s="74"/>
      <c r="P764" s="74"/>
      <c r="Q764" s="74"/>
      <c r="R764" s="74"/>
      <c r="S764" s="74"/>
      <c r="T764" s="74"/>
      <c r="U764" s="74"/>
      <c r="V764" s="74"/>
      <c r="W764" s="74"/>
      <c r="X764" s="74"/>
      <c r="Y764" s="74"/>
      <c r="Z764" s="74"/>
      <c r="AA764" s="74"/>
      <c r="AB764" s="74"/>
    </row>
    <row r="765" spans="1:28" ht="12" customHeight="1">
      <c r="A765" s="569"/>
      <c r="B765" s="574"/>
      <c r="C765" s="575"/>
      <c r="D765" s="576"/>
      <c r="E765" s="101"/>
      <c r="F765" s="101"/>
      <c r="G765" s="35"/>
      <c r="H765" s="104"/>
      <c r="I765" s="35"/>
      <c r="J765" s="74"/>
      <c r="K765" s="74"/>
      <c r="L765" s="74"/>
      <c r="M765" s="74"/>
      <c r="N765" s="74"/>
      <c r="O765" s="74"/>
      <c r="P765" s="74"/>
      <c r="Q765" s="74"/>
      <c r="R765" s="74"/>
      <c r="S765" s="74"/>
      <c r="T765" s="74"/>
      <c r="U765" s="74"/>
      <c r="V765" s="74"/>
      <c r="W765" s="74"/>
      <c r="X765" s="74"/>
      <c r="Y765" s="74"/>
      <c r="Z765" s="74"/>
      <c r="AA765" s="74"/>
      <c r="AB765" s="74"/>
    </row>
    <row r="766" spans="1:28" ht="12" customHeight="1">
      <c r="A766" s="569"/>
      <c r="B766" s="574"/>
      <c r="C766" s="575"/>
      <c r="D766" s="576"/>
      <c r="E766" s="101"/>
      <c r="F766" s="101"/>
      <c r="G766" s="35"/>
      <c r="H766" s="104"/>
      <c r="I766" s="35"/>
      <c r="J766" s="74"/>
      <c r="K766" s="74"/>
      <c r="L766" s="74"/>
      <c r="M766" s="74"/>
      <c r="N766" s="74"/>
      <c r="O766" s="74"/>
      <c r="P766" s="74"/>
      <c r="Q766" s="74"/>
      <c r="R766" s="74"/>
      <c r="S766" s="74"/>
      <c r="T766" s="74"/>
      <c r="U766" s="74"/>
      <c r="V766" s="74"/>
      <c r="W766" s="74"/>
      <c r="X766" s="74"/>
      <c r="Y766" s="74"/>
      <c r="Z766" s="74"/>
      <c r="AA766" s="74"/>
      <c r="AB766" s="74"/>
    </row>
    <row r="767" spans="1:28" ht="12" customHeight="1">
      <c r="A767" s="569"/>
      <c r="B767" s="574"/>
      <c r="C767" s="575"/>
      <c r="D767" s="576"/>
      <c r="E767" s="101"/>
      <c r="F767" s="101"/>
      <c r="G767" s="35"/>
      <c r="H767" s="104"/>
      <c r="I767" s="35"/>
      <c r="J767" s="74"/>
      <c r="K767" s="74"/>
      <c r="L767" s="74"/>
      <c r="M767" s="74"/>
      <c r="N767" s="74"/>
      <c r="O767" s="74"/>
      <c r="P767" s="74"/>
      <c r="Q767" s="74"/>
      <c r="R767" s="74"/>
      <c r="S767" s="74"/>
      <c r="T767" s="74"/>
      <c r="U767" s="74"/>
      <c r="V767" s="74"/>
      <c r="W767" s="74"/>
      <c r="X767" s="74"/>
      <c r="Y767" s="74"/>
      <c r="Z767" s="74"/>
      <c r="AA767" s="74"/>
      <c r="AB767" s="74"/>
    </row>
    <row r="768" spans="1:28" ht="12" customHeight="1">
      <c r="A768" s="569"/>
      <c r="B768" s="574"/>
      <c r="C768" s="575"/>
      <c r="D768" s="576"/>
      <c r="E768" s="101"/>
      <c r="F768" s="101"/>
      <c r="G768" s="35"/>
      <c r="H768" s="104"/>
      <c r="I768" s="35"/>
      <c r="J768" s="74"/>
      <c r="K768" s="74"/>
      <c r="L768" s="74"/>
      <c r="M768" s="74"/>
      <c r="N768" s="74"/>
      <c r="O768" s="74"/>
      <c r="P768" s="74"/>
      <c r="Q768" s="74"/>
      <c r="R768" s="74"/>
      <c r="S768" s="74"/>
      <c r="T768" s="74"/>
      <c r="U768" s="74"/>
      <c r="V768" s="74"/>
      <c r="W768" s="74"/>
      <c r="X768" s="74"/>
      <c r="Y768" s="74"/>
      <c r="Z768" s="74"/>
      <c r="AA768" s="74"/>
      <c r="AB768" s="74"/>
    </row>
    <row r="769" spans="1:28" ht="12" customHeight="1">
      <c r="A769" s="569"/>
      <c r="B769" s="574"/>
      <c r="C769" s="575"/>
      <c r="D769" s="576"/>
      <c r="E769" s="101"/>
      <c r="F769" s="101"/>
      <c r="G769" s="35"/>
      <c r="H769" s="104"/>
      <c r="I769" s="35"/>
      <c r="J769" s="74"/>
      <c r="K769" s="74"/>
      <c r="L769" s="74"/>
      <c r="M769" s="74"/>
      <c r="N769" s="74"/>
      <c r="O769" s="74"/>
      <c r="P769" s="74"/>
      <c r="Q769" s="74"/>
      <c r="R769" s="74"/>
      <c r="S769" s="74"/>
      <c r="T769" s="74"/>
      <c r="U769" s="74"/>
      <c r="V769" s="74"/>
      <c r="W769" s="74"/>
      <c r="X769" s="74"/>
      <c r="Y769" s="74"/>
      <c r="Z769" s="74"/>
      <c r="AA769" s="74"/>
      <c r="AB769" s="74"/>
    </row>
    <row r="770" spans="1:28" ht="12" customHeight="1">
      <c r="A770" s="569"/>
      <c r="B770" s="574"/>
      <c r="C770" s="575"/>
      <c r="D770" s="576"/>
      <c r="E770" s="101"/>
      <c r="F770" s="101"/>
      <c r="G770" s="35"/>
      <c r="H770" s="104"/>
      <c r="I770" s="35"/>
      <c r="J770" s="74"/>
      <c r="K770" s="74"/>
      <c r="L770" s="74"/>
      <c r="M770" s="74"/>
      <c r="N770" s="74"/>
      <c r="O770" s="74"/>
      <c r="P770" s="74"/>
      <c r="Q770" s="74"/>
      <c r="R770" s="74"/>
      <c r="S770" s="74"/>
      <c r="T770" s="74"/>
      <c r="U770" s="74"/>
      <c r="V770" s="74"/>
      <c r="W770" s="74"/>
      <c r="X770" s="74"/>
      <c r="Y770" s="74"/>
      <c r="Z770" s="74"/>
      <c r="AA770" s="74"/>
      <c r="AB770" s="74"/>
    </row>
    <row r="771" spans="1:28" ht="12" customHeight="1">
      <c r="A771" s="569"/>
      <c r="B771" s="574"/>
      <c r="C771" s="575"/>
      <c r="D771" s="576"/>
      <c r="E771" s="101"/>
      <c r="F771" s="101"/>
      <c r="G771" s="35"/>
      <c r="H771" s="104"/>
      <c r="I771" s="35"/>
      <c r="J771" s="74"/>
      <c r="K771" s="74"/>
      <c r="L771" s="74"/>
      <c r="M771" s="74"/>
      <c r="N771" s="74"/>
      <c r="O771" s="74"/>
      <c r="P771" s="74"/>
      <c r="Q771" s="74"/>
      <c r="R771" s="74"/>
      <c r="S771" s="74"/>
      <c r="T771" s="74"/>
      <c r="U771" s="74"/>
      <c r="V771" s="74"/>
      <c r="W771" s="74"/>
      <c r="X771" s="74"/>
      <c r="Y771" s="74"/>
      <c r="Z771" s="74"/>
      <c r="AA771" s="74"/>
      <c r="AB771" s="74"/>
    </row>
    <row r="772" spans="1:28" ht="12" customHeight="1">
      <c r="A772" s="569"/>
      <c r="B772" s="574"/>
      <c r="C772" s="575"/>
      <c r="D772" s="576"/>
      <c r="E772" s="101"/>
      <c r="F772" s="101"/>
      <c r="G772" s="35"/>
      <c r="H772" s="104"/>
      <c r="I772" s="35"/>
      <c r="J772" s="74"/>
      <c r="K772" s="74"/>
      <c r="L772" s="74"/>
      <c r="M772" s="74"/>
      <c r="N772" s="74"/>
      <c r="O772" s="74"/>
      <c r="P772" s="74"/>
      <c r="Q772" s="74"/>
      <c r="R772" s="74"/>
      <c r="S772" s="74"/>
      <c r="T772" s="74"/>
      <c r="U772" s="74"/>
      <c r="V772" s="74"/>
      <c r="W772" s="74"/>
      <c r="X772" s="74"/>
      <c r="Y772" s="74"/>
      <c r="Z772" s="74"/>
      <c r="AA772" s="74"/>
      <c r="AB772" s="74"/>
    </row>
    <row r="773" spans="1:28" ht="12" customHeight="1">
      <c r="A773" s="569"/>
      <c r="B773" s="574"/>
      <c r="C773" s="575"/>
      <c r="D773" s="576"/>
      <c r="E773" s="101"/>
      <c r="F773" s="101"/>
      <c r="G773" s="35"/>
      <c r="H773" s="104"/>
      <c r="I773" s="35"/>
      <c r="J773" s="74"/>
      <c r="K773" s="74"/>
      <c r="L773" s="74"/>
      <c r="M773" s="74"/>
      <c r="N773" s="74"/>
      <c r="O773" s="74"/>
      <c r="P773" s="74"/>
      <c r="Q773" s="74"/>
      <c r="R773" s="74"/>
      <c r="S773" s="74"/>
      <c r="T773" s="74"/>
      <c r="U773" s="74"/>
      <c r="V773" s="74"/>
      <c r="W773" s="74"/>
      <c r="X773" s="74"/>
      <c r="Y773" s="74"/>
      <c r="Z773" s="74"/>
      <c r="AA773" s="74"/>
      <c r="AB773" s="74"/>
    </row>
    <row r="774" spans="1:28" ht="12" customHeight="1">
      <c r="A774" s="569"/>
      <c r="B774" s="574"/>
      <c r="C774" s="575"/>
      <c r="D774" s="576"/>
      <c r="E774" s="101"/>
      <c r="F774" s="101"/>
      <c r="G774" s="35"/>
      <c r="H774" s="104"/>
      <c r="I774" s="35"/>
      <c r="J774" s="74"/>
      <c r="K774" s="74"/>
      <c r="L774" s="74"/>
      <c r="M774" s="74"/>
      <c r="N774" s="74"/>
      <c r="O774" s="74"/>
      <c r="P774" s="74"/>
      <c r="Q774" s="74"/>
      <c r="R774" s="74"/>
      <c r="S774" s="74"/>
      <c r="T774" s="74"/>
      <c r="U774" s="74"/>
      <c r="V774" s="74"/>
      <c r="W774" s="74"/>
      <c r="X774" s="74"/>
      <c r="Y774" s="74"/>
      <c r="Z774" s="74"/>
      <c r="AA774" s="74"/>
      <c r="AB774" s="74"/>
    </row>
    <row r="775" spans="1:28" ht="12" customHeight="1">
      <c r="A775" s="569"/>
      <c r="B775" s="574"/>
      <c r="C775" s="575"/>
      <c r="D775" s="576"/>
      <c r="E775" s="101"/>
      <c r="F775" s="101"/>
      <c r="G775" s="35"/>
      <c r="H775" s="104"/>
      <c r="I775" s="35"/>
      <c r="J775" s="74"/>
      <c r="K775" s="74"/>
      <c r="L775" s="74"/>
      <c r="M775" s="74"/>
      <c r="N775" s="74"/>
      <c r="O775" s="74"/>
      <c r="P775" s="74"/>
      <c r="Q775" s="74"/>
      <c r="R775" s="74"/>
      <c r="S775" s="74"/>
      <c r="T775" s="74"/>
      <c r="U775" s="74"/>
      <c r="V775" s="74"/>
      <c r="W775" s="74"/>
      <c r="X775" s="74"/>
      <c r="Y775" s="74"/>
      <c r="Z775" s="74"/>
      <c r="AA775" s="74"/>
      <c r="AB775" s="74"/>
    </row>
    <row r="776" spans="1:28" ht="12" customHeight="1">
      <c r="A776" s="569"/>
      <c r="B776" s="574"/>
      <c r="C776" s="575"/>
      <c r="D776" s="576"/>
      <c r="E776" s="101"/>
      <c r="F776" s="101"/>
      <c r="G776" s="35"/>
      <c r="H776" s="104"/>
      <c r="I776" s="35"/>
      <c r="J776" s="74"/>
      <c r="K776" s="74"/>
      <c r="L776" s="74"/>
      <c r="M776" s="74"/>
      <c r="N776" s="74"/>
      <c r="O776" s="74"/>
      <c r="P776" s="74"/>
      <c r="Q776" s="74"/>
      <c r="R776" s="74"/>
      <c r="S776" s="74"/>
      <c r="T776" s="74"/>
      <c r="U776" s="74"/>
      <c r="V776" s="74"/>
      <c r="W776" s="74"/>
      <c r="X776" s="74"/>
      <c r="Y776" s="74"/>
      <c r="Z776" s="74"/>
      <c r="AA776" s="74"/>
      <c r="AB776" s="74"/>
    </row>
    <row r="777" spans="1:28" ht="12" customHeight="1">
      <c r="A777" s="569"/>
      <c r="B777" s="574"/>
      <c r="C777" s="575"/>
      <c r="D777" s="576"/>
      <c r="E777" s="101"/>
      <c r="F777" s="101"/>
      <c r="G777" s="35"/>
      <c r="H777" s="104"/>
      <c r="I777" s="35"/>
      <c r="J777" s="74"/>
      <c r="K777" s="74"/>
      <c r="L777" s="74"/>
      <c r="M777" s="74"/>
      <c r="N777" s="74"/>
      <c r="O777" s="74"/>
      <c r="P777" s="74"/>
      <c r="Q777" s="74"/>
      <c r="R777" s="74"/>
      <c r="S777" s="74"/>
      <c r="T777" s="74"/>
      <c r="U777" s="74"/>
      <c r="V777" s="74"/>
      <c r="W777" s="74"/>
      <c r="X777" s="74"/>
      <c r="Y777" s="74"/>
      <c r="Z777" s="74"/>
      <c r="AA777" s="74"/>
      <c r="AB777" s="74"/>
    </row>
    <row r="778" spans="1:28" ht="12" customHeight="1">
      <c r="A778" s="569"/>
      <c r="B778" s="574"/>
      <c r="C778" s="575"/>
      <c r="D778" s="576"/>
      <c r="E778" s="101"/>
      <c r="F778" s="101"/>
      <c r="G778" s="35"/>
      <c r="H778" s="104"/>
      <c r="I778" s="35"/>
      <c r="J778" s="74"/>
      <c r="K778" s="74"/>
      <c r="L778" s="74"/>
      <c r="M778" s="74"/>
      <c r="N778" s="74"/>
      <c r="O778" s="74"/>
      <c r="P778" s="74"/>
      <c r="Q778" s="74"/>
      <c r="R778" s="74"/>
      <c r="S778" s="74"/>
      <c r="T778" s="74"/>
      <c r="U778" s="74"/>
      <c r="V778" s="74"/>
      <c r="W778" s="74"/>
      <c r="X778" s="74"/>
      <c r="Y778" s="74"/>
      <c r="Z778" s="74"/>
      <c r="AA778" s="74"/>
      <c r="AB778" s="74"/>
    </row>
    <row r="779" spans="1:28" ht="12" customHeight="1">
      <c r="A779" s="569"/>
      <c r="B779" s="574"/>
      <c r="C779" s="575"/>
      <c r="D779" s="576"/>
      <c r="E779" s="101"/>
      <c r="F779" s="101"/>
      <c r="G779" s="35"/>
      <c r="H779" s="104"/>
      <c r="I779" s="35"/>
      <c r="J779" s="74"/>
      <c r="K779" s="74"/>
      <c r="L779" s="74"/>
      <c r="M779" s="74"/>
      <c r="N779" s="74"/>
      <c r="O779" s="74"/>
      <c r="P779" s="74"/>
      <c r="Q779" s="74"/>
      <c r="R779" s="74"/>
      <c r="S779" s="74"/>
      <c r="T779" s="74"/>
      <c r="U779" s="74"/>
      <c r="V779" s="74"/>
      <c r="W779" s="74"/>
      <c r="X779" s="74"/>
      <c r="Y779" s="74"/>
      <c r="Z779" s="74"/>
      <c r="AA779" s="74"/>
      <c r="AB779" s="74"/>
    </row>
    <row r="780" spans="1:28" ht="12" customHeight="1">
      <c r="A780" s="569"/>
      <c r="B780" s="574"/>
      <c r="C780" s="575"/>
      <c r="D780" s="576"/>
      <c r="E780" s="101"/>
      <c r="F780" s="101"/>
      <c r="G780" s="35"/>
      <c r="H780" s="104"/>
      <c r="I780" s="35"/>
      <c r="J780" s="74"/>
      <c r="K780" s="74"/>
      <c r="L780" s="74"/>
      <c r="M780" s="74"/>
      <c r="N780" s="74"/>
      <c r="O780" s="74"/>
      <c r="P780" s="74"/>
      <c r="Q780" s="74"/>
      <c r="R780" s="74"/>
      <c r="S780" s="74"/>
      <c r="T780" s="74"/>
      <c r="U780" s="74"/>
      <c r="V780" s="74"/>
      <c r="W780" s="74"/>
      <c r="X780" s="74"/>
      <c r="Y780" s="74"/>
      <c r="Z780" s="74"/>
      <c r="AA780" s="74"/>
      <c r="AB780" s="74"/>
    </row>
    <row r="781" spans="1:28" ht="12" customHeight="1">
      <c r="A781" s="569"/>
      <c r="B781" s="574"/>
      <c r="C781" s="575"/>
      <c r="D781" s="576"/>
      <c r="E781" s="101"/>
      <c r="F781" s="101"/>
      <c r="G781" s="35"/>
      <c r="H781" s="104"/>
      <c r="I781" s="35"/>
      <c r="J781" s="74"/>
      <c r="K781" s="74"/>
      <c r="L781" s="74"/>
      <c r="M781" s="74"/>
      <c r="N781" s="74"/>
      <c r="O781" s="74"/>
      <c r="P781" s="74"/>
      <c r="Q781" s="74"/>
      <c r="R781" s="74"/>
      <c r="S781" s="74"/>
      <c r="T781" s="74"/>
      <c r="U781" s="74"/>
      <c r="V781" s="74"/>
      <c r="W781" s="74"/>
      <c r="X781" s="74"/>
      <c r="Y781" s="74"/>
      <c r="Z781" s="74"/>
      <c r="AA781" s="74"/>
      <c r="AB781" s="74"/>
    </row>
    <row r="782" spans="1:28" ht="12" customHeight="1">
      <c r="A782" s="569"/>
      <c r="B782" s="574"/>
      <c r="C782" s="575"/>
      <c r="D782" s="576"/>
      <c r="E782" s="101"/>
      <c r="F782" s="101"/>
      <c r="G782" s="35"/>
      <c r="H782" s="104"/>
      <c r="I782" s="35"/>
      <c r="J782" s="74"/>
      <c r="K782" s="74"/>
      <c r="L782" s="74"/>
      <c r="M782" s="74"/>
      <c r="N782" s="74"/>
      <c r="O782" s="74"/>
      <c r="P782" s="74"/>
      <c r="Q782" s="74"/>
      <c r="R782" s="74"/>
      <c r="S782" s="74"/>
      <c r="T782" s="74"/>
      <c r="U782" s="74"/>
      <c r="V782" s="74"/>
      <c r="W782" s="74"/>
      <c r="X782" s="74"/>
      <c r="Y782" s="74"/>
      <c r="Z782" s="74"/>
      <c r="AA782" s="74"/>
      <c r="AB782" s="74"/>
    </row>
    <row r="783" spans="1:28" ht="12" customHeight="1">
      <c r="A783" s="569"/>
      <c r="B783" s="574"/>
      <c r="C783" s="575"/>
      <c r="D783" s="576"/>
      <c r="E783" s="101"/>
      <c r="F783" s="101"/>
      <c r="G783" s="35"/>
      <c r="H783" s="104"/>
      <c r="I783" s="35"/>
      <c r="J783" s="74"/>
      <c r="K783" s="74"/>
      <c r="L783" s="74"/>
      <c r="M783" s="74"/>
      <c r="N783" s="74"/>
      <c r="O783" s="74"/>
      <c r="P783" s="74"/>
      <c r="Q783" s="74"/>
      <c r="R783" s="74"/>
      <c r="S783" s="74"/>
      <c r="T783" s="74"/>
      <c r="U783" s="74"/>
      <c r="V783" s="74"/>
      <c r="W783" s="74"/>
      <c r="X783" s="74"/>
      <c r="Y783" s="74"/>
      <c r="Z783" s="74"/>
      <c r="AA783" s="74"/>
      <c r="AB783" s="74"/>
    </row>
    <row r="784" spans="1:28" ht="12" customHeight="1">
      <c r="A784" s="569"/>
      <c r="B784" s="574"/>
      <c r="C784" s="575"/>
      <c r="D784" s="576"/>
      <c r="E784" s="101"/>
      <c r="F784" s="101"/>
      <c r="G784" s="35"/>
      <c r="H784" s="104"/>
      <c r="I784" s="35"/>
      <c r="J784" s="74"/>
      <c r="K784" s="74"/>
      <c r="L784" s="74"/>
      <c r="M784" s="74"/>
      <c r="N784" s="74"/>
      <c r="O784" s="74"/>
      <c r="P784" s="74"/>
      <c r="Q784" s="74"/>
      <c r="R784" s="74"/>
      <c r="S784" s="74"/>
      <c r="T784" s="74"/>
      <c r="U784" s="74"/>
      <c r="V784" s="74"/>
      <c r="W784" s="74"/>
      <c r="X784" s="74"/>
      <c r="Y784" s="74"/>
      <c r="Z784" s="74"/>
      <c r="AA784" s="74"/>
      <c r="AB784" s="74"/>
    </row>
    <row r="785" spans="1:28" ht="12" customHeight="1">
      <c r="A785" s="569"/>
      <c r="B785" s="574"/>
      <c r="C785" s="575"/>
      <c r="D785" s="576"/>
      <c r="E785" s="101"/>
      <c r="F785" s="101"/>
      <c r="G785" s="35"/>
      <c r="H785" s="104"/>
      <c r="I785" s="35"/>
      <c r="J785" s="74"/>
      <c r="K785" s="74"/>
      <c r="L785" s="74"/>
      <c r="M785" s="74"/>
      <c r="N785" s="74"/>
      <c r="O785" s="74"/>
      <c r="P785" s="74"/>
      <c r="Q785" s="74"/>
      <c r="R785" s="74"/>
      <c r="S785" s="74"/>
      <c r="T785" s="74"/>
      <c r="U785" s="74"/>
      <c r="V785" s="74"/>
      <c r="W785" s="74"/>
      <c r="X785" s="74"/>
      <c r="Y785" s="74"/>
      <c r="Z785" s="74"/>
      <c r="AA785" s="74"/>
      <c r="AB785" s="74"/>
    </row>
    <row r="786" spans="1:28" ht="12" customHeight="1">
      <c r="A786" s="569"/>
      <c r="B786" s="574"/>
      <c r="C786" s="575"/>
      <c r="D786" s="576"/>
      <c r="E786" s="101"/>
      <c r="F786" s="101"/>
      <c r="G786" s="35"/>
      <c r="H786" s="104"/>
      <c r="I786" s="35"/>
      <c r="J786" s="74"/>
      <c r="K786" s="74"/>
      <c r="L786" s="74"/>
      <c r="M786" s="74"/>
      <c r="N786" s="74"/>
      <c r="O786" s="74"/>
      <c r="P786" s="74"/>
      <c r="Q786" s="74"/>
      <c r="R786" s="74"/>
      <c r="S786" s="74"/>
      <c r="T786" s="74"/>
      <c r="U786" s="74"/>
      <c r="V786" s="74"/>
      <c r="W786" s="74"/>
      <c r="X786" s="74"/>
      <c r="Y786" s="74"/>
      <c r="Z786" s="74"/>
      <c r="AA786" s="74"/>
      <c r="AB786" s="74"/>
    </row>
    <row r="787" spans="1:28" ht="12" customHeight="1">
      <c r="A787" s="569"/>
      <c r="B787" s="574"/>
      <c r="C787" s="575"/>
      <c r="D787" s="576"/>
      <c r="E787" s="101"/>
      <c r="F787" s="101"/>
      <c r="G787" s="35"/>
      <c r="H787" s="104"/>
      <c r="I787" s="35"/>
      <c r="J787" s="74"/>
      <c r="K787" s="74"/>
      <c r="L787" s="74"/>
      <c r="M787" s="74"/>
      <c r="N787" s="74"/>
      <c r="O787" s="74"/>
      <c r="P787" s="74"/>
      <c r="Q787" s="74"/>
      <c r="R787" s="74"/>
      <c r="S787" s="74"/>
      <c r="T787" s="74"/>
      <c r="U787" s="74"/>
      <c r="V787" s="74"/>
      <c r="W787" s="74"/>
      <c r="X787" s="74"/>
      <c r="Y787" s="74"/>
      <c r="Z787" s="74"/>
      <c r="AA787" s="74"/>
      <c r="AB787" s="74"/>
    </row>
    <row r="788" spans="1:28" ht="12" customHeight="1">
      <c r="A788" s="569"/>
      <c r="B788" s="574"/>
      <c r="C788" s="575"/>
      <c r="D788" s="576"/>
      <c r="E788" s="101"/>
      <c r="F788" s="101"/>
      <c r="G788" s="35"/>
      <c r="H788" s="104"/>
      <c r="I788" s="35"/>
      <c r="J788" s="74"/>
      <c r="K788" s="74"/>
      <c r="L788" s="74"/>
      <c r="M788" s="74"/>
      <c r="N788" s="74"/>
      <c r="O788" s="74"/>
      <c r="P788" s="74"/>
      <c r="Q788" s="74"/>
      <c r="R788" s="74"/>
      <c r="S788" s="74"/>
      <c r="T788" s="74"/>
      <c r="U788" s="74"/>
      <c r="V788" s="74"/>
      <c r="W788" s="74"/>
      <c r="X788" s="74"/>
      <c r="Y788" s="74"/>
      <c r="Z788" s="74"/>
      <c r="AA788" s="74"/>
      <c r="AB788" s="74"/>
    </row>
    <row r="789" spans="1:28" ht="12" customHeight="1">
      <c r="A789" s="569"/>
      <c r="B789" s="574"/>
      <c r="C789" s="575"/>
      <c r="D789" s="576"/>
      <c r="E789" s="101"/>
      <c r="F789" s="101"/>
      <c r="G789" s="35"/>
      <c r="H789" s="104"/>
      <c r="I789" s="35"/>
      <c r="J789" s="74"/>
      <c r="K789" s="74"/>
      <c r="L789" s="74"/>
      <c r="M789" s="74"/>
      <c r="N789" s="74"/>
      <c r="O789" s="74"/>
      <c r="P789" s="74"/>
      <c r="Q789" s="74"/>
      <c r="R789" s="74"/>
      <c r="S789" s="74"/>
      <c r="T789" s="74"/>
      <c r="U789" s="74"/>
      <c r="V789" s="74"/>
      <c r="W789" s="74"/>
      <c r="X789" s="74"/>
      <c r="Y789" s="74"/>
      <c r="Z789" s="74"/>
      <c r="AA789" s="74"/>
      <c r="AB789" s="74"/>
    </row>
    <row r="790" spans="1:28" ht="12" customHeight="1">
      <c r="A790" s="569"/>
      <c r="B790" s="574"/>
      <c r="C790" s="575"/>
      <c r="D790" s="576"/>
      <c r="E790" s="101"/>
      <c r="F790" s="101"/>
      <c r="G790" s="35"/>
      <c r="H790" s="104"/>
      <c r="I790" s="35"/>
      <c r="J790" s="74"/>
      <c r="K790" s="74"/>
      <c r="L790" s="74"/>
      <c r="M790" s="74"/>
      <c r="N790" s="74"/>
      <c r="O790" s="74"/>
      <c r="P790" s="74"/>
      <c r="Q790" s="74"/>
      <c r="R790" s="74"/>
      <c r="S790" s="74"/>
      <c r="T790" s="74"/>
      <c r="U790" s="74"/>
      <c r="V790" s="74"/>
      <c r="W790" s="74"/>
      <c r="X790" s="74"/>
      <c r="Y790" s="74"/>
      <c r="Z790" s="74"/>
      <c r="AA790" s="74"/>
      <c r="AB790" s="74"/>
    </row>
    <row r="791" spans="1:28" ht="12" customHeight="1">
      <c r="A791" s="569"/>
      <c r="B791" s="574"/>
      <c r="C791" s="575"/>
      <c r="D791" s="576"/>
      <c r="E791" s="101"/>
      <c r="F791" s="101"/>
      <c r="G791" s="35"/>
      <c r="H791" s="104"/>
      <c r="I791" s="35"/>
      <c r="J791" s="74"/>
      <c r="K791" s="74"/>
      <c r="L791" s="74"/>
      <c r="M791" s="74"/>
      <c r="N791" s="74"/>
      <c r="O791" s="74"/>
      <c r="P791" s="74"/>
      <c r="Q791" s="74"/>
      <c r="R791" s="74"/>
      <c r="S791" s="74"/>
      <c r="T791" s="74"/>
      <c r="U791" s="74"/>
      <c r="V791" s="74"/>
      <c r="W791" s="74"/>
      <c r="X791" s="74"/>
      <c r="Y791" s="74"/>
      <c r="Z791" s="74"/>
      <c r="AA791" s="74"/>
      <c r="AB791" s="74"/>
    </row>
    <row r="792" spans="1:28" ht="12" customHeight="1">
      <c r="A792" s="569"/>
      <c r="B792" s="574"/>
      <c r="C792" s="575"/>
      <c r="D792" s="576"/>
      <c r="E792" s="101"/>
      <c r="F792" s="101"/>
      <c r="G792" s="35"/>
      <c r="H792" s="104"/>
      <c r="I792" s="35"/>
      <c r="J792" s="74"/>
      <c r="K792" s="74"/>
      <c r="L792" s="74"/>
      <c r="M792" s="74"/>
      <c r="N792" s="74"/>
      <c r="O792" s="74"/>
      <c r="P792" s="74"/>
      <c r="Q792" s="74"/>
      <c r="R792" s="74"/>
      <c r="S792" s="74"/>
      <c r="T792" s="74"/>
      <c r="U792" s="74"/>
      <c r="V792" s="74"/>
      <c r="W792" s="74"/>
      <c r="X792" s="74"/>
      <c r="Y792" s="74"/>
      <c r="Z792" s="74"/>
      <c r="AA792" s="74"/>
      <c r="AB792" s="74"/>
    </row>
    <row r="793" spans="1:28" ht="12" customHeight="1">
      <c r="A793" s="569"/>
      <c r="B793" s="574"/>
      <c r="C793" s="575"/>
      <c r="D793" s="576"/>
      <c r="E793" s="101"/>
      <c r="F793" s="101"/>
      <c r="G793" s="35"/>
      <c r="H793" s="104"/>
      <c r="I793" s="35"/>
      <c r="J793" s="74"/>
      <c r="K793" s="74"/>
      <c r="L793" s="74"/>
      <c r="M793" s="74"/>
      <c r="N793" s="74"/>
      <c r="O793" s="74"/>
      <c r="P793" s="74"/>
      <c r="Q793" s="74"/>
      <c r="R793" s="74"/>
      <c r="S793" s="74"/>
      <c r="T793" s="74"/>
      <c r="U793" s="74"/>
      <c r="V793" s="74"/>
      <c r="W793" s="74"/>
      <c r="X793" s="74"/>
      <c r="Y793" s="74"/>
      <c r="Z793" s="74"/>
      <c r="AA793" s="74"/>
      <c r="AB793" s="74"/>
    </row>
    <row r="794" spans="1:28" ht="12" customHeight="1">
      <c r="A794" s="569"/>
      <c r="B794" s="574"/>
      <c r="C794" s="575"/>
      <c r="D794" s="576"/>
      <c r="E794" s="101"/>
      <c r="F794" s="101"/>
      <c r="G794" s="35"/>
      <c r="H794" s="104"/>
      <c r="I794" s="35"/>
      <c r="J794" s="74"/>
      <c r="K794" s="74"/>
      <c r="L794" s="74"/>
      <c r="M794" s="74"/>
      <c r="N794" s="74"/>
      <c r="O794" s="74"/>
      <c r="P794" s="74"/>
      <c r="Q794" s="74"/>
      <c r="R794" s="74"/>
      <c r="S794" s="74"/>
      <c r="T794" s="74"/>
      <c r="U794" s="74"/>
      <c r="V794" s="74"/>
      <c r="W794" s="74"/>
      <c r="X794" s="74"/>
      <c r="Y794" s="74"/>
      <c r="Z794" s="74"/>
      <c r="AA794" s="74"/>
      <c r="AB794" s="74"/>
    </row>
    <row r="795" spans="1:28" ht="12" customHeight="1">
      <c r="A795" s="569"/>
      <c r="B795" s="574"/>
      <c r="C795" s="575"/>
      <c r="D795" s="576"/>
      <c r="E795" s="101"/>
      <c r="F795" s="101"/>
      <c r="G795" s="35"/>
      <c r="H795" s="104"/>
      <c r="I795" s="35"/>
      <c r="J795" s="74"/>
      <c r="K795" s="74"/>
      <c r="L795" s="74"/>
      <c r="M795" s="74"/>
      <c r="N795" s="74"/>
      <c r="O795" s="74"/>
      <c r="P795" s="74"/>
      <c r="Q795" s="74"/>
      <c r="R795" s="74"/>
      <c r="S795" s="74"/>
      <c r="T795" s="74"/>
      <c r="U795" s="74"/>
      <c r="V795" s="74"/>
      <c r="W795" s="74"/>
      <c r="X795" s="74"/>
      <c r="Y795" s="74"/>
      <c r="Z795" s="74"/>
      <c r="AA795" s="74"/>
      <c r="AB795" s="74"/>
    </row>
    <row r="796" spans="1:28" ht="12" customHeight="1">
      <c r="A796" s="569"/>
      <c r="B796" s="574"/>
      <c r="C796" s="575"/>
      <c r="D796" s="576"/>
      <c r="E796" s="101"/>
      <c r="F796" s="101"/>
      <c r="G796" s="35"/>
      <c r="H796" s="104"/>
      <c r="I796" s="35"/>
      <c r="J796" s="74"/>
      <c r="K796" s="74"/>
      <c r="L796" s="74"/>
      <c r="M796" s="74"/>
      <c r="N796" s="74"/>
      <c r="O796" s="74"/>
      <c r="P796" s="74"/>
      <c r="Q796" s="74"/>
      <c r="R796" s="74"/>
      <c r="S796" s="74"/>
      <c r="T796" s="74"/>
      <c r="U796" s="74"/>
      <c r="V796" s="74"/>
      <c r="W796" s="74"/>
      <c r="X796" s="74"/>
      <c r="Y796" s="74"/>
      <c r="Z796" s="74"/>
      <c r="AA796" s="74"/>
      <c r="AB796" s="74"/>
    </row>
    <row r="797" spans="1:28" ht="12" customHeight="1">
      <c r="A797" s="569"/>
      <c r="B797" s="574"/>
      <c r="C797" s="575"/>
      <c r="D797" s="576"/>
      <c r="E797" s="101"/>
      <c r="F797" s="101"/>
      <c r="G797" s="35"/>
      <c r="H797" s="104"/>
      <c r="I797" s="35"/>
      <c r="J797" s="74"/>
      <c r="K797" s="74"/>
      <c r="L797" s="74"/>
      <c r="M797" s="74"/>
      <c r="N797" s="74"/>
      <c r="O797" s="74"/>
      <c r="P797" s="74"/>
      <c r="Q797" s="74"/>
      <c r="R797" s="74"/>
      <c r="S797" s="74"/>
      <c r="T797" s="74"/>
      <c r="U797" s="74"/>
      <c r="V797" s="74"/>
      <c r="W797" s="74"/>
      <c r="X797" s="74"/>
      <c r="Y797" s="74"/>
      <c r="Z797" s="74"/>
      <c r="AA797" s="74"/>
      <c r="AB797" s="74"/>
    </row>
    <row r="798" spans="1:28" ht="12" customHeight="1">
      <c r="A798" s="569"/>
      <c r="B798" s="574"/>
      <c r="C798" s="575"/>
      <c r="D798" s="576"/>
      <c r="E798" s="101"/>
      <c r="F798" s="101"/>
      <c r="G798" s="35"/>
      <c r="H798" s="104"/>
      <c r="I798" s="35"/>
      <c r="J798" s="74"/>
      <c r="K798" s="74"/>
      <c r="L798" s="74"/>
      <c r="M798" s="74"/>
      <c r="N798" s="74"/>
      <c r="O798" s="74"/>
      <c r="P798" s="74"/>
      <c r="Q798" s="74"/>
      <c r="R798" s="74"/>
      <c r="S798" s="74"/>
      <c r="T798" s="74"/>
      <c r="U798" s="74"/>
      <c r="V798" s="74"/>
      <c r="W798" s="74"/>
      <c r="X798" s="74"/>
      <c r="Y798" s="74"/>
      <c r="Z798" s="74"/>
      <c r="AA798" s="74"/>
      <c r="AB798" s="74"/>
    </row>
    <row r="799" spans="1:28" ht="12" customHeight="1">
      <c r="A799" s="569"/>
      <c r="B799" s="574"/>
      <c r="C799" s="575"/>
      <c r="D799" s="576"/>
      <c r="E799" s="101"/>
      <c r="F799" s="101"/>
      <c r="G799" s="35"/>
      <c r="H799" s="104"/>
      <c r="I799" s="35"/>
      <c r="J799" s="74"/>
      <c r="K799" s="74"/>
      <c r="L799" s="74"/>
      <c r="M799" s="74"/>
      <c r="N799" s="74"/>
      <c r="O799" s="74"/>
      <c r="P799" s="74"/>
      <c r="Q799" s="74"/>
      <c r="R799" s="74"/>
      <c r="S799" s="74"/>
      <c r="T799" s="74"/>
      <c r="U799" s="74"/>
      <c r="V799" s="74"/>
      <c r="W799" s="74"/>
      <c r="X799" s="74"/>
      <c r="Y799" s="74"/>
      <c r="Z799" s="74"/>
      <c r="AA799" s="74"/>
      <c r="AB799" s="74"/>
    </row>
    <row r="800" spans="1:28" ht="12" customHeight="1">
      <c r="A800" s="569"/>
      <c r="B800" s="574"/>
      <c r="C800" s="575"/>
      <c r="D800" s="576"/>
      <c r="E800" s="101"/>
      <c r="F800" s="101"/>
      <c r="G800" s="35"/>
      <c r="H800" s="104"/>
      <c r="I800" s="35"/>
      <c r="J800" s="74"/>
      <c r="K800" s="74"/>
      <c r="L800" s="74"/>
      <c r="M800" s="74"/>
      <c r="N800" s="74"/>
      <c r="O800" s="74"/>
      <c r="P800" s="74"/>
      <c r="Q800" s="74"/>
      <c r="R800" s="74"/>
      <c r="S800" s="74"/>
      <c r="T800" s="74"/>
      <c r="U800" s="74"/>
      <c r="V800" s="74"/>
      <c r="W800" s="74"/>
      <c r="X800" s="74"/>
      <c r="Y800" s="74"/>
      <c r="Z800" s="74"/>
      <c r="AA800" s="74"/>
      <c r="AB800" s="74"/>
    </row>
    <row r="801" spans="1:28" ht="12" customHeight="1">
      <c r="A801" s="569"/>
      <c r="B801" s="574"/>
      <c r="C801" s="575"/>
      <c r="D801" s="576"/>
      <c r="E801" s="101"/>
      <c r="F801" s="101"/>
      <c r="G801" s="35"/>
      <c r="H801" s="104"/>
      <c r="I801" s="35"/>
      <c r="J801" s="74"/>
      <c r="K801" s="74"/>
      <c r="L801" s="74"/>
      <c r="M801" s="74"/>
      <c r="N801" s="74"/>
      <c r="O801" s="74"/>
      <c r="P801" s="74"/>
      <c r="Q801" s="74"/>
      <c r="R801" s="74"/>
      <c r="S801" s="74"/>
      <c r="T801" s="74"/>
      <c r="U801" s="74"/>
      <c r="V801" s="74"/>
      <c r="W801" s="74"/>
      <c r="X801" s="74"/>
      <c r="Y801" s="74"/>
      <c r="Z801" s="74"/>
      <c r="AA801" s="74"/>
      <c r="AB801" s="74"/>
    </row>
    <row r="802" spans="1:28" ht="12" customHeight="1">
      <c r="A802" s="569"/>
      <c r="B802" s="574"/>
      <c r="C802" s="575"/>
      <c r="D802" s="576"/>
      <c r="E802" s="101"/>
      <c r="F802" s="101"/>
      <c r="G802" s="35"/>
      <c r="H802" s="104"/>
      <c r="I802" s="35"/>
      <c r="J802" s="74"/>
      <c r="K802" s="74"/>
      <c r="L802" s="74"/>
      <c r="M802" s="74"/>
      <c r="N802" s="74"/>
      <c r="O802" s="74"/>
      <c r="P802" s="74"/>
      <c r="Q802" s="74"/>
      <c r="R802" s="74"/>
      <c r="S802" s="74"/>
      <c r="T802" s="74"/>
      <c r="U802" s="74"/>
      <c r="V802" s="74"/>
      <c r="W802" s="74"/>
      <c r="X802" s="74"/>
      <c r="Y802" s="74"/>
      <c r="Z802" s="74"/>
      <c r="AA802" s="74"/>
      <c r="AB802" s="74"/>
    </row>
    <row r="803" spans="1:28" ht="12" customHeight="1">
      <c r="A803" s="569"/>
      <c r="B803" s="574"/>
      <c r="C803" s="575"/>
      <c r="D803" s="576"/>
      <c r="E803" s="101"/>
      <c r="F803" s="101"/>
      <c r="G803" s="35"/>
      <c r="H803" s="104"/>
      <c r="I803" s="35"/>
      <c r="J803" s="74"/>
      <c r="K803" s="74"/>
      <c r="L803" s="74"/>
      <c r="M803" s="74"/>
      <c r="N803" s="74"/>
      <c r="O803" s="74"/>
      <c r="P803" s="74"/>
      <c r="Q803" s="74"/>
      <c r="R803" s="74"/>
      <c r="S803" s="74"/>
      <c r="T803" s="74"/>
      <c r="U803" s="74"/>
      <c r="V803" s="74"/>
      <c r="W803" s="74"/>
      <c r="X803" s="74"/>
      <c r="Y803" s="74"/>
      <c r="Z803" s="74"/>
      <c r="AA803" s="74"/>
      <c r="AB803" s="74"/>
    </row>
    <row r="804" spans="1:28" ht="12" customHeight="1">
      <c r="A804" s="569"/>
      <c r="B804" s="574"/>
      <c r="C804" s="575"/>
      <c r="D804" s="576"/>
      <c r="E804" s="101"/>
      <c r="F804" s="101"/>
      <c r="G804" s="35"/>
      <c r="H804" s="104"/>
      <c r="I804" s="35"/>
      <c r="J804" s="74"/>
      <c r="K804" s="74"/>
      <c r="L804" s="74"/>
      <c r="M804" s="74"/>
      <c r="N804" s="74"/>
      <c r="O804" s="74"/>
      <c r="P804" s="74"/>
      <c r="Q804" s="74"/>
      <c r="R804" s="74"/>
      <c r="S804" s="74"/>
      <c r="T804" s="74"/>
      <c r="U804" s="74"/>
      <c r="V804" s="74"/>
      <c r="W804" s="74"/>
      <c r="X804" s="74"/>
      <c r="Y804" s="74"/>
      <c r="Z804" s="74"/>
      <c r="AA804" s="74"/>
      <c r="AB804" s="74"/>
    </row>
    <row r="805" spans="1:28" ht="12" customHeight="1">
      <c r="A805" s="569"/>
      <c r="B805" s="574"/>
      <c r="C805" s="575"/>
      <c r="D805" s="576"/>
      <c r="E805" s="101"/>
      <c r="F805" s="101"/>
      <c r="G805" s="35"/>
      <c r="H805" s="104"/>
      <c r="I805" s="35"/>
      <c r="J805" s="74"/>
      <c r="K805" s="74"/>
      <c r="L805" s="74"/>
      <c r="M805" s="74"/>
      <c r="N805" s="74"/>
      <c r="O805" s="74"/>
      <c r="P805" s="74"/>
      <c r="Q805" s="74"/>
      <c r="R805" s="74"/>
      <c r="S805" s="74"/>
      <c r="T805" s="74"/>
      <c r="U805" s="74"/>
      <c r="V805" s="74"/>
      <c r="W805" s="74"/>
      <c r="X805" s="74"/>
      <c r="Y805" s="74"/>
      <c r="Z805" s="74"/>
      <c r="AA805" s="74"/>
      <c r="AB805" s="74"/>
    </row>
    <row r="806" spans="1:28" ht="12" customHeight="1">
      <c r="A806" s="569"/>
      <c r="B806" s="574"/>
      <c r="C806" s="575"/>
      <c r="D806" s="576"/>
      <c r="E806" s="101"/>
      <c r="F806" s="101"/>
      <c r="G806" s="35"/>
      <c r="H806" s="104"/>
      <c r="I806" s="35"/>
      <c r="J806" s="74"/>
      <c r="K806" s="74"/>
      <c r="L806" s="74"/>
      <c r="M806" s="74"/>
      <c r="N806" s="74"/>
      <c r="O806" s="74"/>
      <c r="P806" s="74"/>
      <c r="Q806" s="74"/>
      <c r="R806" s="74"/>
      <c r="S806" s="74"/>
      <c r="T806" s="74"/>
      <c r="U806" s="74"/>
      <c r="V806" s="74"/>
      <c r="W806" s="74"/>
      <c r="X806" s="74"/>
      <c r="Y806" s="74"/>
      <c r="Z806" s="74"/>
      <c r="AA806" s="74"/>
      <c r="AB806" s="74"/>
    </row>
    <row r="807" spans="1:28" ht="12" customHeight="1">
      <c r="A807" s="569"/>
      <c r="B807" s="574"/>
      <c r="C807" s="575"/>
      <c r="D807" s="576"/>
      <c r="E807" s="101"/>
      <c r="F807" s="101"/>
      <c r="G807" s="35"/>
      <c r="H807" s="104"/>
      <c r="I807" s="35"/>
      <c r="J807" s="74"/>
      <c r="K807" s="74"/>
      <c r="L807" s="74"/>
      <c r="M807" s="74"/>
      <c r="N807" s="74"/>
      <c r="O807" s="74"/>
      <c r="P807" s="74"/>
      <c r="Q807" s="74"/>
      <c r="R807" s="74"/>
      <c r="S807" s="74"/>
      <c r="T807" s="74"/>
      <c r="U807" s="74"/>
      <c r="V807" s="74"/>
      <c r="W807" s="74"/>
      <c r="X807" s="74"/>
      <c r="Y807" s="74"/>
      <c r="Z807" s="74"/>
      <c r="AA807" s="74"/>
      <c r="AB807" s="74"/>
    </row>
    <row r="808" spans="1:28" ht="12" customHeight="1">
      <c r="A808" s="569"/>
      <c r="B808" s="574"/>
      <c r="C808" s="575"/>
      <c r="D808" s="576"/>
      <c r="E808" s="101"/>
      <c r="F808" s="101"/>
      <c r="G808" s="35"/>
      <c r="H808" s="104"/>
      <c r="I808" s="35"/>
      <c r="J808" s="74"/>
      <c r="K808" s="74"/>
      <c r="L808" s="74"/>
      <c r="M808" s="74"/>
      <c r="N808" s="74"/>
      <c r="O808" s="74"/>
      <c r="P808" s="74"/>
      <c r="Q808" s="74"/>
      <c r="R808" s="74"/>
      <c r="S808" s="74"/>
      <c r="T808" s="74"/>
      <c r="U808" s="74"/>
      <c r="V808" s="74"/>
      <c r="W808" s="74"/>
      <c r="X808" s="74"/>
      <c r="Y808" s="74"/>
      <c r="Z808" s="74"/>
      <c r="AA808" s="74"/>
      <c r="AB808" s="74"/>
    </row>
    <row r="809" spans="1:28" ht="12" customHeight="1">
      <c r="A809" s="569"/>
      <c r="B809" s="574"/>
      <c r="C809" s="575"/>
      <c r="D809" s="576"/>
      <c r="E809" s="101"/>
      <c r="F809" s="101"/>
      <c r="G809" s="35"/>
      <c r="H809" s="104"/>
      <c r="I809" s="35"/>
      <c r="J809" s="74"/>
      <c r="K809" s="74"/>
      <c r="L809" s="74"/>
      <c r="M809" s="74"/>
      <c r="N809" s="74"/>
      <c r="O809" s="74"/>
      <c r="P809" s="74"/>
      <c r="Q809" s="74"/>
      <c r="R809" s="74"/>
      <c r="S809" s="74"/>
      <c r="T809" s="74"/>
      <c r="U809" s="74"/>
      <c r="V809" s="74"/>
      <c r="W809" s="74"/>
      <c r="X809" s="74"/>
      <c r="Y809" s="74"/>
      <c r="Z809" s="74"/>
      <c r="AA809" s="74"/>
      <c r="AB809" s="74"/>
    </row>
    <row r="810" spans="1:28" ht="12" customHeight="1">
      <c r="A810" s="569"/>
      <c r="B810" s="574"/>
      <c r="C810" s="575"/>
      <c r="D810" s="576"/>
      <c r="E810" s="101"/>
      <c r="F810" s="101"/>
      <c r="G810" s="35"/>
      <c r="H810" s="104"/>
      <c r="I810" s="35"/>
      <c r="J810" s="74"/>
      <c r="K810" s="74"/>
      <c r="L810" s="74"/>
      <c r="M810" s="74"/>
      <c r="N810" s="74"/>
      <c r="O810" s="74"/>
      <c r="P810" s="74"/>
      <c r="Q810" s="74"/>
      <c r="R810" s="74"/>
      <c r="S810" s="74"/>
      <c r="T810" s="74"/>
      <c r="U810" s="74"/>
      <c r="V810" s="74"/>
      <c r="W810" s="74"/>
      <c r="X810" s="74"/>
      <c r="Y810" s="74"/>
      <c r="Z810" s="74"/>
      <c r="AA810" s="74"/>
      <c r="AB810" s="74"/>
    </row>
    <row r="811" spans="1:28" ht="12" customHeight="1">
      <c r="A811" s="569"/>
      <c r="B811" s="574"/>
      <c r="C811" s="575"/>
      <c r="D811" s="576"/>
      <c r="E811" s="101"/>
      <c r="F811" s="101"/>
      <c r="G811" s="35"/>
      <c r="H811" s="104"/>
      <c r="I811" s="35"/>
      <c r="J811" s="74"/>
      <c r="K811" s="74"/>
      <c r="L811" s="74"/>
      <c r="M811" s="74"/>
      <c r="N811" s="74"/>
      <c r="O811" s="74"/>
      <c r="P811" s="74"/>
      <c r="Q811" s="74"/>
      <c r="R811" s="74"/>
      <c r="S811" s="74"/>
      <c r="T811" s="74"/>
      <c r="U811" s="74"/>
      <c r="V811" s="74"/>
      <c r="W811" s="74"/>
      <c r="X811" s="74"/>
      <c r="Y811" s="74"/>
      <c r="Z811" s="74"/>
      <c r="AA811" s="74"/>
      <c r="AB811" s="74"/>
    </row>
    <row r="812" spans="1:28" ht="12" customHeight="1">
      <c r="A812" s="569"/>
      <c r="B812" s="574"/>
      <c r="C812" s="575"/>
      <c r="D812" s="576"/>
      <c r="E812" s="101"/>
      <c r="F812" s="101"/>
      <c r="G812" s="35"/>
      <c r="H812" s="104"/>
      <c r="I812" s="35"/>
      <c r="J812" s="74"/>
      <c r="K812" s="74"/>
      <c r="L812" s="74"/>
      <c r="M812" s="74"/>
      <c r="N812" s="74"/>
      <c r="O812" s="74"/>
      <c r="P812" s="74"/>
      <c r="Q812" s="74"/>
      <c r="R812" s="74"/>
      <c r="S812" s="74"/>
      <c r="T812" s="74"/>
      <c r="U812" s="74"/>
      <c r="V812" s="74"/>
      <c r="W812" s="74"/>
      <c r="X812" s="74"/>
      <c r="Y812" s="74"/>
      <c r="Z812" s="74"/>
      <c r="AA812" s="74"/>
      <c r="AB812" s="74"/>
    </row>
    <row r="813" spans="1:28" ht="12" customHeight="1">
      <c r="A813" s="569"/>
      <c r="B813" s="574"/>
      <c r="C813" s="575"/>
      <c r="D813" s="576"/>
      <c r="E813" s="101"/>
      <c r="F813" s="101"/>
      <c r="G813" s="35"/>
      <c r="H813" s="104"/>
      <c r="I813" s="35"/>
      <c r="J813" s="74"/>
      <c r="K813" s="74"/>
      <c r="L813" s="74"/>
      <c r="M813" s="74"/>
      <c r="N813" s="74"/>
      <c r="O813" s="74"/>
      <c r="P813" s="74"/>
      <c r="Q813" s="74"/>
      <c r="R813" s="74"/>
      <c r="S813" s="74"/>
      <c r="T813" s="74"/>
      <c r="U813" s="74"/>
      <c r="V813" s="74"/>
      <c r="W813" s="74"/>
      <c r="X813" s="74"/>
      <c r="Y813" s="74"/>
      <c r="Z813" s="74"/>
      <c r="AA813" s="74"/>
      <c r="AB813" s="74"/>
    </row>
    <row r="814" spans="1:28" ht="12" customHeight="1">
      <c r="A814" s="569"/>
      <c r="B814" s="574"/>
      <c r="C814" s="575"/>
      <c r="D814" s="576"/>
      <c r="E814" s="101"/>
      <c r="F814" s="101"/>
      <c r="G814" s="35"/>
      <c r="H814" s="104"/>
      <c r="I814" s="35"/>
      <c r="J814" s="74"/>
      <c r="K814" s="74"/>
      <c r="L814" s="74"/>
      <c r="M814" s="74"/>
      <c r="N814" s="74"/>
      <c r="O814" s="74"/>
      <c r="P814" s="74"/>
      <c r="Q814" s="74"/>
      <c r="R814" s="74"/>
      <c r="S814" s="74"/>
      <c r="T814" s="74"/>
      <c r="U814" s="74"/>
      <c r="V814" s="74"/>
      <c r="W814" s="74"/>
      <c r="X814" s="74"/>
      <c r="Y814" s="74"/>
      <c r="Z814" s="74"/>
      <c r="AA814" s="74"/>
      <c r="AB814" s="74"/>
    </row>
    <row r="815" spans="1:28" ht="12" customHeight="1">
      <c r="A815" s="569"/>
      <c r="B815" s="574"/>
      <c r="C815" s="575"/>
      <c r="D815" s="576"/>
      <c r="E815" s="101"/>
      <c r="F815" s="101"/>
      <c r="G815" s="35"/>
      <c r="H815" s="104"/>
      <c r="I815" s="35"/>
      <c r="J815" s="74"/>
      <c r="K815" s="74"/>
      <c r="L815" s="74"/>
      <c r="M815" s="74"/>
      <c r="N815" s="74"/>
      <c r="O815" s="74"/>
      <c r="P815" s="74"/>
      <c r="Q815" s="74"/>
      <c r="R815" s="74"/>
      <c r="S815" s="74"/>
      <c r="T815" s="74"/>
      <c r="U815" s="74"/>
      <c r="V815" s="74"/>
      <c r="W815" s="74"/>
      <c r="X815" s="74"/>
      <c r="Y815" s="74"/>
      <c r="Z815" s="74"/>
      <c r="AA815" s="74"/>
      <c r="AB815" s="74"/>
    </row>
    <row r="816" spans="1:28" ht="12" customHeight="1">
      <c r="A816" s="569"/>
      <c r="B816" s="574"/>
      <c r="C816" s="575"/>
      <c r="D816" s="576"/>
      <c r="E816" s="101"/>
      <c r="F816" s="101"/>
      <c r="G816" s="35"/>
      <c r="H816" s="104"/>
      <c r="I816" s="35"/>
      <c r="J816" s="74"/>
      <c r="K816" s="74"/>
      <c r="L816" s="74"/>
      <c r="M816" s="74"/>
      <c r="N816" s="74"/>
      <c r="O816" s="74"/>
      <c r="P816" s="74"/>
      <c r="Q816" s="74"/>
      <c r="R816" s="74"/>
      <c r="S816" s="74"/>
      <c r="T816" s="74"/>
      <c r="U816" s="74"/>
      <c r="V816" s="74"/>
      <c r="W816" s="74"/>
      <c r="X816" s="74"/>
      <c r="Y816" s="74"/>
      <c r="Z816" s="74"/>
      <c r="AA816" s="74"/>
      <c r="AB816" s="74"/>
    </row>
    <row r="817" spans="1:28" ht="12" customHeight="1">
      <c r="A817" s="569"/>
      <c r="B817" s="574"/>
      <c r="C817" s="575"/>
      <c r="D817" s="576"/>
      <c r="E817" s="101"/>
      <c r="F817" s="101"/>
      <c r="G817" s="35"/>
      <c r="H817" s="104"/>
      <c r="I817" s="35"/>
      <c r="J817" s="74"/>
      <c r="K817" s="74"/>
      <c r="L817" s="74"/>
      <c r="M817" s="74"/>
      <c r="N817" s="74"/>
      <c r="O817" s="74"/>
      <c r="P817" s="74"/>
      <c r="Q817" s="74"/>
      <c r="R817" s="74"/>
      <c r="S817" s="74"/>
      <c r="T817" s="74"/>
      <c r="U817" s="74"/>
      <c r="V817" s="74"/>
      <c r="W817" s="74"/>
      <c r="X817" s="74"/>
      <c r="Y817" s="74"/>
      <c r="Z817" s="74"/>
      <c r="AA817" s="74"/>
      <c r="AB817" s="74"/>
    </row>
    <row r="818" spans="1:28" ht="12" customHeight="1">
      <c r="A818" s="569"/>
      <c r="B818" s="574"/>
      <c r="C818" s="575"/>
      <c r="D818" s="576"/>
      <c r="E818" s="101"/>
      <c r="F818" s="101"/>
      <c r="G818" s="35"/>
      <c r="H818" s="104"/>
      <c r="I818" s="35"/>
      <c r="J818" s="74"/>
      <c r="K818" s="74"/>
      <c r="L818" s="74"/>
      <c r="M818" s="74"/>
      <c r="N818" s="74"/>
      <c r="O818" s="74"/>
      <c r="P818" s="74"/>
      <c r="Q818" s="74"/>
      <c r="R818" s="74"/>
      <c r="S818" s="74"/>
      <c r="T818" s="74"/>
      <c r="U818" s="74"/>
      <c r="V818" s="74"/>
      <c r="W818" s="74"/>
      <c r="X818" s="74"/>
      <c r="Y818" s="74"/>
      <c r="Z818" s="74"/>
      <c r="AA818" s="74"/>
      <c r="AB818" s="74"/>
    </row>
    <row r="819" spans="1:28" ht="12" customHeight="1">
      <c r="A819" s="569"/>
      <c r="B819" s="574"/>
      <c r="C819" s="575"/>
      <c r="D819" s="576"/>
      <c r="E819" s="101"/>
      <c r="F819" s="101"/>
      <c r="G819" s="35"/>
      <c r="H819" s="104"/>
      <c r="I819" s="35"/>
      <c r="J819" s="74"/>
      <c r="K819" s="74"/>
      <c r="L819" s="74"/>
      <c r="M819" s="74"/>
      <c r="N819" s="74"/>
      <c r="O819" s="74"/>
      <c r="P819" s="74"/>
      <c r="Q819" s="74"/>
      <c r="R819" s="74"/>
      <c r="S819" s="74"/>
      <c r="T819" s="74"/>
      <c r="U819" s="74"/>
      <c r="V819" s="74"/>
      <c r="W819" s="74"/>
      <c r="X819" s="74"/>
      <c r="Y819" s="74"/>
      <c r="Z819" s="74"/>
      <c r="AA819" s="74"/>
      <c r="AB819" s="74"/>
    </row>
    <row r="820" spans="1:28" ht="12" customHeight="1">
      <c r="A820" s="569"/>
      <c r="B820" s="574"/>
      <c r="C820" s="575"/>
      <c r="D820" s="576"/>
      <c r="E820" s="101"/>
      <c r="F820" s="101"/>
      <c r="G820" s="35"/>
      <c r="H820" s="104"/>
      <c r="I820" s="35"/>
      <c r="J820" s="74"/>
      <c r="K820" s="74"/>
      <c r="L820" s="74"/>
      <c r="M820" s="74"/>
      <c r="N820" s="74"/>
      <c r="O820" s="74"/>
      <c r="P820" s="74"/>
      <c r="Q820" s="74"/>
      <c r="R820" s="74"/>
      <c r="S820" s="74"/>
      <c r="T820" s="74"/>
      <c r="U820" s="74"/>
      <c r="V820" s="74"/>
      <c r="W820" s="74"/>
      <c r="X820" s="74"/>
      <c r="Y820" s="74"/>
      <c r="Z820" s="74"/>
      <c r="AA820" s="74"/>
      <c r="AB820" s="74"/>
    </row>
    <row r="821" spans="1:28" ht="12" customHeight="1">
      <c r="A821" s="569"/>
      <c r="B821" s="574"/>
      <c r="C821" s="575"/>
      <c r="D821" s="576"/>
      <c r="E821" s="101"/>
      <c r="F821" s="101"/>
      <c r="G821" s="35"/>
      <c r="H821" s="104"/>
      <c r="I821" s="35"/>
      <c r="J821" s="74"/>
      <c r="K821" s="74"/>
      <c r="L821" s="74"/>
      <c r="M821" s="74"/>
      <c r="N821" s="74"/>
      <c r="O821" s="74"/>
      <c r="P821" s="74"/>
      <c r="Q821" s="74"/>
      <c r="R821" s="74"/>
      <c r="S821" s="74"/>
      <c r="T821" s="74"/>
      <c r="U821" s="74"/>
      <c r="V821" s="74"/>
      <c r="W821" s="74"/>
      <c r="X821" s="74"/>
      <c r="Y821" s="74"/>
      <c r="Z821" s="74"/>
      <c r="AA821" s="74"/>
      <c r="AB821" s="74"/>
    </row>
    <row r="822" spans="1:28" ht="12" customHeight="1">
      <c r="A822" s="569"/>
      <c r="B822" s="574"/>
      <c r="C822" s="575"/>
      <c r="D822" s="576"/>
      <c r="E822" s="101"/>
      <c r="F822" s="101"/>
      <c r="G822" s="35"/>
      <c r="H822" s="104"/>
      <c r="I822" s="35"/>
      <c r="J822" s="74"/>
      <c r="K822" s="74"/>
      <c r="L822" s="74"/>
      <c r="M822" s="74"/>
      <c r="N822" s="74"/>
      <c r="O822" s="74"/>
      <c r="P822" s="74"/>
      <c r="Q822" s="74"/>
      <c r="R822" s="74"/>
      <c r="S822" s="74"/>
      <c r="T822" s="74"/>
      <c r="U822" s="74"/>
      <c r="V822" s="74"/>
      <c r="W822" s="74"/>
      <c r="X822" s="74"/>
      <c r="Y822" s="74"/>
      <c r="Z822" s="74"/>
      <c r="AA822" s="74"/>
      <c r="AB822" s="74"/>
    </row>
    <row r="823" spans="1:28" ht="12" customHeight="1">
      <c r="A823" s="569"/>
      <c r="B823" s="574"/>
      <c r="C823" s="575"/>
      <c r="D823" s="576"/>
      <c r="E823" s="101"/>
      <c r="F823" s="101"/>
      <c r="G823" s="35"/>
      <c r="H823" s="104"/>
      <c r="I823" s="35"/>
      <c r="J823" s="74"/>
      <c r="K823" s="74"/>
      <c r="L823" s="74"/>
      <c r="M823" s="74"/>
      <c r="N823" s="74"/>
      <c r="O823" s="74"/>
      <c r="P823" s="74"/>
      <c r="Q823" s="74"/>
      <c r="R823" s="74"/>
      <c r="S823" s="74"/>
      <c r="T823" s="74"/>
      <c r="U823" s="74"/>
      <c r="V823" s="74"/>
      <c r="W823" s="74"/>
      <c r="X823" s="74"/>
      <c r="Y823" s="74"/>
      <c r="Z823" s="74"/>
      <c r="AA823" s="74"/>
      <c r="AB823" s="74"/>
    </row>
    <row r="824" spans="1:28" ht="12" customHeight="1">
      <c r="A824" s="569"/>
      <c r="B824" s="574"/>
      <c r="C824" s="575"/>
      <c r="D824" s="576"/>
      <c r="E824" s="101"/>
      <c r="F824" s="101"/>
      <c r="G824" s="35"/>
      <c r="H824" s="104"/>
      <c r="I824" s="35"/>
      <c r="J824" s="74"/>
      <c r="K824" s="74"/>
      <c r="L824" s="74"/>
      <c r="M824" s="74"/>
      <c r="N824" s="74"/>
      <c r="O824" s="74"/>
      <c r="P824" s="74"/>
      <c r="Q824" s="74"/>
      <c r="R824" s="74"/>
      <c r="S824" s="74"/>
      <c r="T824" s="74"/>
      <c r="U824" s="74"/>
      <c r="V824" s="74"/>
      <c r="W824" s="74"/>
      <c r="X824" s="74"/>
      <c r="Y824" s="74"/>
      <c r="Z824" s="74"/>
      <c r="AA824" s="74"/>
      <c r="AB824" s="74"/>
    </row>
    <row r="825" spans="1:28" ht="12" customHeight="1">
      <c r="A825" s="569"/>
      <c r="B825" s="574"/>
      <c r="C825" s="575"/>
      <c r="D825" s="576"/>
      <c r="E825" s="101"/>
      <c r="F825" s="101"/>
      <c r="G825" s="35"/>
      <c r="H825" s="104"/>
      <c r="I825" s="35"/>
      <c r="J825" s="74"/>
      <c r="K825" s="74"/>
      <c r="L825" s="74"/>
      <c r="M825" s="74"/>
      <c r="N825" s="74"/>
      <c r="O825" s="74"/>
      <c r="P825" s="74"/>
      <c r="Q825" s="74"/>
      <c r="R825" s="74"/>
      <c r="S825" s="74"/>
      <c r="T825" s="74"/>
      <c r="U825" s="74"/>
      <c r="V825" s="74"/>
      <c r="W825" s="74"/>
      <c r="X825" s="74"/>
      <c r="Y825" s="74"/>
      <c r="Z825" s="74"/>
      <c r="AA825" s="74"/>
      <c r="AB825" s="74"/>
    </row>
    <row r="826" spans="1:28" ht="12" customHeight="1">
      <c r="A826" s="569"/>
      <c r="B826" s="574"/>
      <c r="C826" s="575"/>
      <c r="D826" s="576"/>
      <c r="E826" s="101"/>
      <c r="F826" s="101"/>
      <c r="G826" s="35"/>
      <c r="H826" s="104"/>
      <c r="I826" s="35"/>
      <c r="J826" s="74"/>
      <c r="K826" s="74"/>
      <c r="L826" s="74"/>
      <c r="M826" s="74"/>
      <c r="N826" s="74"/>
      <c r="O826" s="74"/>
      <c r="P826" s="74"/>
      <c r="Q826" s="74"/>
      <c r="R826" s="74"/>
      <c r="S826" s="74"/>
      <c r="T826" s="74"/>
      <c r="U826" s="74"/>
      <c r="V826" s="74"/>
      <c r="W826" s="74"/>
      <c r="X826" s="74"/>
      <c r="Y826" s="74"/>
      <c r="Z826" s="74"/>
      <c r="AA826" s="74"/>
      <c r="AB826" s="74"/>
    </row>
    <row r="827" spans="1:28" ht="12" customHeight="1">
      <c r="A827" s="569"/>
      <c r="B827" s="574"/>
      <c r="C827" s="575"/>
      <c r="D827" s="576"/>
      <c r="E827" s="101"/>
      <c r="F827" s="101"/>
      <c r="G827" s="35"/>
      <c r="H827" s="104"/>
      <c r="I827" s="35"/>
      <c r="J827" s="74"/>
      <c r="K827" s="74"/>
      <c r="L827" s="74"/>
      <c r="M827" s="74"/>
      <c r="N827" s="74"/>
      <c r="O827" s="74"/>
      <c r="P827" s="74"/>
      <c r="Q827" s="74"/>
      <c r="R827" s="74"/>
      <c r="S827" s="74"/>
      <c r="T827" s="74"/>
      <c r="U827" s="74"/>
      <c r="V827" s="74"/>
      <c r="W827" s="74"/>
      <c r="X827" s="74"/>
      <c r="Y827" s="74"/>
      <c r="Z827" s="74"/>
      <c r="AA827" s="74"/>
      <c r="AB827" s="74"/>
    </row>
    <row r="828" spans="1:28" ht="12" customHeight="1">
      <c r="A828" s="569"/>
      <c r="B828" s="574"/>
      <c r="C828" s="575"/>
      <c r="D828" s="576"/>
      <c r="E828" s="101"/>
      <c r="F828" s="101"/>
      <c r="G828" s="35"/>
      <c r="H828" s="104"/>
      <c r="I828" s="35"/>
      <c r="J828" s="74"/>
      <c r="K828" s="74"/>
      <c r="L828" s="74"/>
      <c r="M828" s="74"/>
      <c r="N828" s="74"/>
      <c r="O828" s="74"/>
      <c r="P828" s="74"/>
      <c r="Q828" s="74"/>
      <c r="R828" s="74"/>
      <c r="S828" s="74"/>
      <c r="T828" s="74"/>
      <c r="U828" s="74"/>
      <c r="V828" s="74"/>
      <c r="W828" s="74"/>
      <c r="X828" s="74"/>
      <c r="Y828" s="74"/>
      <c r="Z828" s="74"/>
      <c r="AA828" s="74"/>
      <c r="AB828" s="74"/>
    </row>
    <row r="829" spans="1:28" ht="12" customHeight="1">
      <c r="A829" s="569"/>
      <c r="B829" s="574"/>
      <c r="C829" s="575"/>
      <c r="D829" s="576"/>
      <c r="E829" s="101"/>
      <c r="F829" s="101"/>
      <c r="G829" s="35"/>
      <c r="H829" s="104"/>
      <c r="I829" s="35"/>
      <c r="J829" s="74"/>
      <c r="K829" s="74"/>
      <c r="L829" s="74"/>
      <c r="M829" s="74"/>
      <c r="N829" s="74"/>
      <c r="O829" s="74"/>
      <c r="P829" s="74"/>
      <c r="Q829" s="74"/>
      <c r="R829" s="74"/>
      <c r="S829" s="74"/>
      <c r="T829" s="74"/>
      <c r="U829" s="74"/>
      <c r="V829" s="74"/>
      <c r="W829" s="74"/>
      <c r="X829" s="74"/>
      <c r="Y829" s="74"/>
      <c r="Z829" s="74"/>
      <c r="AA829" s="74"/>
      <c r="AB829" s="74"/>
    </row>
    <row r="830" spans="1:28" ht="12" customHeight="1">
      <c r="A830" s="569"/>
      <c r="B830" s="574"/>
      <c r="C830" s="575"/>
      <c r="D830" s="576"/>
      <c r="E830" s="101"/>
      <c r="F830" s="101"/>
      <c r="G830" s="35"/>
      <c r="H830" s="104"/>
      <c r="I830" s="35"/>
      <c r="J830" s="74"/>
      <c r="K830" s="74"/>
      <c r="L830" s="74"/>
      <c r="M830" s="74"/>
      <c r="N830" s="74"/>
      <c r="O830" s="74"/>
      <c r="P830" s="74"/>
      <c r="Q830" s="74"/>
      <c r="R830" s="74"/>
      <c r="S830" s="74"/>
      <c r="T830" s="74"/>
      <c r="U830" s="74"/>
      <c r="V830" s="74"/>
      <c r="W830" s="74"/>
      <c r="X830" s="74"/>
      <c r="Y830" s="74"/>
      <c r="Z830" s="74"/>
      <c r="AA830" s="74"/>
      <c r="AB830" s="74"/>
    </row>
    <row r="831" spans="1:28" ht="12" customHeight="1">
      <c r="A831" s="569"/>
      <c r="B831" s="574"/>
      <c r="C831" s="575"/>
      <c r="D831" s="576"/>
      <c r="E831" s="101"/>
      <c r="F831" s="101"/>
      <c r="G831" s="35"/>
      <c r="H831" s="104"/>
      <c r="I831" s="35"/>
      <c r="J831" s="74"/>
      <c r="K831" s="74"/>
      <c r="L831" s="74"/>
      <c r="M831" s="74"/>
      <c r="N831" s="74"/>
      <c r="O831" s="74"/>
      <c r="P831" s="74"/>
      <c r="Q831" s="74"/>
      <c r="R831" s="74"/>
      <c r="S831" s="74"/>
      <c r="T831" s="74"/>
      <c r="U831" s="74"/>
      <c r="V831" s="74"/>
      <c r="W831" s="74"/>
      <c r="X831" s="74"/>
      <c r="Y831" s="74"/>
      <c r="Z831" s="74"/>
      <c r="AA831" s="74"/>
      <c r="AB831" s="74"/>
    </row>
    <row r="832" spans="1:28" ht="12" customHeight="1">
      <c r="A832" s="569"/>
      <c r="B832" s="574"/>
      <c r="C832" s="575"/>
      <c r="D832" s="576"/>
      <c r="E832" s="101"/>
      <c r="F832" s="101"/>
      <c r="G832" s="35"/>
      <c r="H832" s="104"/>
      <c r="I832" s="35"/>
      <c r="J832" s="74"/>
      <c r="K832" s="74"/>
      <c r="L832" s="74"/>
      <c r="M832" s="74"/>
      <c r="N832" s="74"/>
      <c r="O832" s="74"/>
      <c r="P832" s="74"/>
      <c r="Q832" s="74"/>
      <c r="R832" s="74"/>
      <c r="S832" s="74"/>
      <c r="T832" s="74"/>
      <c r="U832" s="74"/>
      <c r="V832" s="74"/>
      <c r="W832" s="74"/>
      <c r="X832" s="74"/>
      <c r="Y832" s="74"/>
      <c r="Z832" s="74"/>
      <c r="AA832" s="74"/>
      <c r="AB832" s="74"/>
    </row>
    <row r="833" spans="1:28" ht="12" customHeight="1">
      <c r="A833" s="569"/>
      <c r="B833" s="574"/>
      <c r="C833" s="575"/>
      <c r="D833" s="576"/>
      <c r="E833" s="101"/>
      <c r="F833" s="101"/>
      <c r="G833" s="35"/>
      <c r="H833" s="104"/>
      <c r="I833" s="35"/>
      <c r="J833" s="74"/>
      <c r="K833" s="74"/>
      <c r="L833" s="74"/>
      <c r="M833" s="74"/>
      <c r="N833" s="74"/>
      <c r="O833" s="74"/>
      <c r="P833" s="74"/>
      <c r="Q833" s="74"/>
      <c r="R833" s="74"/>
      <c r="S833" s="74"/>
      <c r="T833" s="74"/>
      <c r="U833" s="74"/>
      <c r="V833" s="74"/>
      <c r="W833" s="74"/>
      <c r="X833" s="74"/>
      <c r="Y833" s="74"/>
      <c r="Z833" s="74"/>
      <c r="AA833" s="74"/>
      <c r="AB833" s="74"/>
    </row>
    <row r="834" spans="1:28" ht="12" customHeight="1">
      <c r="A834" s="569"/>
      <c r="B834" s="574"/>
      <c r="C834" s="575"/>
      <c r="D834" s="576"/>
      <c r="E834" s="101"/>
      <c r="F834" s="101"/>
      <c r="G834" s="35"/>
      <c r="H834" s="104"/>
      <c r="I834" s="35"/>
      <c r="J834" s="74"/>
      <c r="K834" s="74"/>
      <c r="L834" s="74"/>
      <c r="M834" s="74"/>
      <c r="N834" s="74"/>
      <c r="O834" s="74"/>
      <c r="P834" s="74"/>
      <c r="Q834" s="74"/>
      <c r="R834" s="74"/>
      <c r="S834" s="74"/>
      <c r="T834" s="74"/>
      <c r="U834" s="74"/>
      <c r="V834" s="74"/>
      <c r="W834" s="74"/>
      <c r="X834" s="74"/>
      <c r="Y834" s="74"/>
      <c r="Z834" s="74"/>
      <c r="AA834" s="74"/>
      <c r="AB834" s="74"/>
    </row>
    <row r="835" spans="1:28" ht="12" customHeight="1">
      <c r="A835" s="569"/>
      <c r="B835" s="574"/>
      <c r="C835" s="575"/>
      <c r="D835" s="576"/>
      <c r="E835" s="101"/>
      <c r="F835" s="101"/>
      <c r="G835" s="35"/>
      <c r="H835" s="104"/>
      <c r="I835" s="35"/>
      <c r="J835" s="74"/>
      <c r="K835" s="74"/>
      <c r="L835" s="74"/>
      <c r="M835" s="74"/>
      <c r="N835" s="74"/>
      <c r="O835" s="74"/>
      <c r="P835" s="74"/>
      <c r="Q835" s="74"/>
      <c r="R835" s="74"/>
      <c r="S835" s="74"/>
      <c r="T835" s="74"/>
      <c r="U835" s="74"/>
      <c r="V835" s="74"/>
      <c r="W835" s="74"/>
      <c r="X835" s="74"/>
      <c r="Y835" s="74"/>
      <c r="Z835" s="74"/>
      <c r="AA835" s="74"/>
      <c r="AB835" s="74"/>
    </row>
    <row r="836" spans="1:28" ht="12" customHeight="1">
      <c r="A836" s="569"/>
      <c r="B836" s="574"/>
      <c r="C836" s="575"/>
      <c r="D836" s="576"/>
      <c r="E836" s="101"/>
      <c r="F836" s="101"/>
      <c r="G836" s="35"/>
      <c r="H836" s="104"/>
      <c r="I836" s="35"/>
      <c r="J836" s="74"/>
      <c r="K836" s="74"/>
      <c r="L836" s="74"/>
      <c r="M836" s="74"/>
      <c r="N836" s="74"/>
      <c r="O836" s="74"/>
      <c r="P836" s="74"/>
      <c r="Q836" s="74"/>
      <c r="R836" s="74"/>
      <c r="S836" s="74"/>
      <c r="T836" s="74"/>
      <c r="U836" s="74"/>
      <c r="V836" s="74"/>
      <c r="W836" s="74"/>
      <c r="X836" s="74"/>
      <c r="Y836" s="74"/>
      <c r="Z836" s="74"/>
      <c r="AA836" s="74"/>
      <c r="AB836" s="74"/>
    </row>
    <row r="837" spans="1:28" ht="12" customHeight="1">
      <c r="A837" s="569"/>
      <c r="B837" s="574"/>
      <c r="C837" s="575"/>
      <c r="D837" s="576"/>
      <c r="E837" s="101"/>
      <c r="F837" s="101"/>
      <c r="G837" s="35"/>
      <c r="H837" s="104"/>
      <c r="I837" s="35"/>
      <c r="J837" s="74"/>
      <c r="K837" s="74"/>
      <c r="L837" s="74"/>
      <c r="M837" s="74"/>
      <c r="N837" s="74"/>
      <c r="O837" s="74"/>
      <c r="P837" s="74"/>
      <c r="Q837" s="74"/>
      <c r="R837" s="74"/>
      <c r="S837" s="74"/>
      <c r="T837" s="74"/>
      <c r="U837" s="74"/>
      <c r="V837" s="74"/>
      <c r="W837" s="74"/>
      <c r="X837" s="74"/>
      <c r="Y837" s="74"/>
      <c r="Z837" s="74"/>
      <c r="AA837" s="74"/>
      <c r="AB837" s="74"/>
    </row>
    <row r="838" spans="1:28" ht="12" customHeight="1">
      <c r="A838" s="569"/>
      <c r="B838" s="574"/>
      <c r="C838" s="575"/>
      <c r="D838" s="576"/>
      <c r="E838" s="101"/>
      <c r="F838" s="101"/>
      <c r="G838" s="35"/>
      <c r="H838" s="104"/>
      <c r="I838" s="35"/>
      <c r="J838" s="74"/>
      <c r="K838" s="74"/>
      <c r="L838" s="74"/>
      <c r="M838" s="74"/>
      <c r="N838" s="74"/>
      <c r="O838" s="74"/>
      <c r="P838" s="74"/>
      <c r="Q838" s="74"/>
      <c r="R838" s="74"/>
      <c r="S838" s="74"/>
      <c r="T838" s="74"/>
      <c r="U838" s="74"/>
      <c r="V838" s="74"/>
      <c r="W838" s="74"/>
      <c r="X838" s="74"/>
      <c r="Y838" s="74"/>
      <c r="Z838" s="74"/>
      <c r="AA838" s="74"/>
      <c r="AB838" s="74"/>
    </row>
    <row r="839" spans="1:28" ht="12" customHeight="1">
      <c r="A839" s="569"/>
      <c r="B839" s="574"/>
      <c r="C839" s="575"/>
      <c r="D839" s="576"/>
      <c r="E839" s="101"/>
      <c r="F839" s="101"/>
      <c r="G839" s="35"/>
      <c r="H839" s="104"/>
      <c r="I839" s="35"/>
      <c r="J839" s="74"/>
      <c r="K839" s="74"/>
      <c r="L839" s="74"/>
      <c r="M839" s="74"/>
      <c r="N839" s="74"/>
      <c r="O839" s="74"/>
      <c r="P839" s="74"/>
      <c r="Q839" s="74"/>
      <c r="R839" s="74"/>
      <c r="S839" s="74"/>
      <c r="T839" s="74"/>
      <c r="U839" s="74"/>
      <c r="V839" s="74"/>
      <c r="W839" s="74"/>
      <c r="X839" s="74"/>
      <c r="Y839" s="74"/>
      <c r="Z839" s="74"/>
      <c r="AA839" s="74"/>
      <c r="AB839" s="74"/>
    </row>
    <row r="840" spans="1:28" ht="12" customHeight="1">
      <c r="A840" s="569"/>
      <c r="B840" s="574"/>
      <c r="C840" s="575"/>
      <c r="D840" s="576"/>
      <c r="E840" s="101"/>
      <c r="F840" s="101"/>
      <c r="G840" s="35"/>
      <c r="H840" s="104"/>
      <c r="I840" s="35"/>
      <c r="J840" s="74"/>
      <c r="K840" s="74"/>
      <c r="L840" s="74"/>
      <c r="M840" s="74"/>
      <c r="N840" s="74"/>
      <c r="O840" s="74"/>
      <c r="P840" s="74"/>
      <c r="Q840" s="74"/>
      <c r="R840" s="74"/>
      <c r="S840" s="74"/>
      <c r="T840" s="74"/>
      <c r="U840" s="74"/>
      <c r="V840" s="74"/>
      <c r="W840" s="74"/>
      <c r="X840" s="74"/>
      <c r="Y840" s="74"/>
      <c r="Z840" s="74"/>
      <c r="AA840" s="74"/>
      <c r="AB840" s="74"/>
    </row>
    <row r="841" spans="1:28" ht="12" customHeight="1">
      <c r="A841" s="569"/>
      <c r="B841" s="574"/>
      <c r="C841" s="575"/>
      <c r="D841" s="576"/>
      <c r="E841" s="101"/>
      <c r="F841" s="101"/>
      <c r="G841" s="35"/>
      <c r="H841" s="104"/>
      <c r="I841" s="35"/>
      <c r="J841" s="74"/>
      <c r="K841" s="74"/>
      <c r="L841" s="74"/>
      <c r="M841" s="74"/>
      <c r="N841" s="74"/>
      <c r="O841" s="74"/>
      <c r="P841" s="74"/>
      <c r="Q841" s="74"/>
      <c r="R841" s="74"/>
      <c r="S841" s="74"/>
      <c r="T841" s="74"/>
      <c r="U841" s="74"/>
      <c r="V841" s="74"/>
      <c r="W841" s="74"/>
      <c r="X841" s="74"/>
      <c r="Y841" s="74"/>
      <c r="Z841" s="74"/>
      <c r="AA841" s="74"/>
      <c r="AB841" s="74"/>
    </row>
    <row r="842" spans="1:28" ht="12" customHeight="1">
      <c r="A842" s="569"/>
      <c r="B842" s="574"/>
      <c r="C842" s="575"/>
      <c r="D842" s="576"/>
      <c r="E842" s="101"/>
      <c r="F842" s="101"/>
      <c r="G842" s="35"/>
      <c r="H842" s="104"/>
      <c r="I842" s="35"/>
      <c r="J842" s="74"/>
      <c r="K842" s="74"/>
      <c r="L842" s="74"/>
      <c r="M842" s="74"/>
      <c r="N842" s="74"/>
      <c r="O842" s="74"/>
      <c r="P842" s="74"/>
      <c r="Q842" s="74"/>
      <c r="R842" s="74"/>
      <c r="S842" s="74"/>
      <c r="T842" s="74"/>
      <c r="U842" s="74"/>
      <c r="V842" s="74"/>
      <c r="W842" s="74"/>
      <c r="X842" s="74"/>
      <c r="Y842" s="74"/>
      <c r="Z842" s="74"/>
      <c r="AA842" s="74"/>
      <c r="AB842" s="74"/>
    </row>
    <row r="843" spans="1:28" ht="12" customHeight="1">
      <c r="A843" s="569"/>
      <c r="B843" s="574"/>
      <c r="C843" s="575"/>
      <c r="D843" s="576"/>
      <c r="E843" s="101"/>
      <c r="F843" s="101"/>
      <c r="G843" s="35"/>
      <c r="H843" s="104"/>
      <c r="I843" s="35"/>
      <c r="J843" s="74"/>
      <c r="K843" s="74"/>
      <c r="L843" s="74"/>
      <c r="M843" s="74"/>
      <c r="N843" s="74"/>
      <c r="O843" s="74"/>
      <c r="P843" s="74"/>
      <c r="Q843" s="74"/>
      <c r="R843" s="74"/>
      <c r="S843" s="74"/>
      <c r="T843" s="74"/>
      <c r="U843" s="74"/>
      <c r="V843" s="74"/>
      <c r="W843" s="74"/>
      <c r="X843" s="74"/>
      <c r="Y843" s="74"/>
      <c r="Z843" s="74"/>
      <c r="AA843" s="74"/>
      <c r="AB843" s="74"/>
    </row>
    <row r="844" spans="1:28" ht="12" customHeight="1">
      <c r="A844" s="569"/>
      <c r="B844" s="574"/>
      <c r="C844" s="575"/>
      <c r="D844" s="576"/>
      <c r="E844" s="101"/>
      <c r="F844" s="101"/>
      <c r="G844" s="35"/>
      <c r="H844" s="104"/>
      <c r="I844" s="35"/>
      <c r="J844" s="74"/>
      <c r="K844" s="74"/>
      <c r="L844" s="74"/>
      <c r="M844" s="74"/>
      <c r="N844" s="74"/>
      <c r="O844" s="74"/>
      <c r="P844" s="74"/>
      <c r="Q844" s="74"/>
      <c r="R844" s="74"/>
      <c r="S844" s="74"/>
      <c r="T844" s="74"/>
      <c r="U844" s="74"/>
      <c r="V844" s="74"/>
      <c r="W844" s="74"/>
      <c r="X844" s="74"/>
      <c r="Y844" s="74"/>
      <c r="Z844" s="74"/>
      <c r="AA844" s="74"/>
      <c r="AB844" s="74"/>
    </row>
    <row r="845" spans="1:28" ht="12" customHeight="1">
      <c r="A845" s="569"/>
      <c r="B845" s="574"/>
      <c r="C845" s="575"/>
      <c r="D845" s="576"/>
      <c r="E845" s="101"/>
      <c r="F845" s="101"/>
      <c r="G845" s="35"/>
      <c r="H845" s="104"/>
      <c r="I845" s="35"/>
      <c r="J845" s="74"/>
      <c r="K845" s="74"/>
      <c r="L845" s="74"/>
      <c r="M845" s="74"/>
      <c r="N845" s="74"/>
      <c r="O845" s="74"/>
      <c r="P845" s="74"/>
      <c r="Q845" s="74"/>
      <c r="R845" s="74"/>
      <c r="S845" s="74"/>
      <c r="T845" s="74"/>
      <c r="U845" s="74"/>
      <c r="V845" s="74"/>
      <c r="W845" s="74"/>
      <c r="X845" s="74"/>
      <c r="Y845" s="74"/>
      <c r="Z845" s="74"/>
      <c r="AA845" s="74"/>
      <c r="AB845" s="74"/>
    </row>
    <row r="846" spans="1:28" ht="12" customHeight="1">
      <c r="A846" s="569"/>
      <c r="B846" s="574"/>
      <c r="C846" s="575"/>
      <c r="D846" s="576"/>
      <c r="E846" s="101"/>
      <c r="F846" s="101"/>
      <c r="G846" s="35"/>
      <c r="H846" s="104"/>
      <c r="I846" s="35"/>
      <c r="J846" s="74"/>
      <c r="K846" s="74"/>
      <c r="L846" s="74"/>
      <c r="M846" s="74"/>
      <c r="N846" s="74"/>
      <c r="O846" s="74"/>
      <c r="P846" s="74"/>
      <c r="Q846" s="74"/>
      <c r="R846" s="74"/>
      <c r="S846" s="74"/>
      <c r="T846" s="74"/>
      <c r="U846" s="74"/>
      <c r="V846" s="74"/>
      <c r="W846" s="74"/>
      <c r="X846" s="74"/>
      <c r="Y846" s="74"/>
      <c r="Z846" s="74"/>
      <c r="AA846" s="74"/>
      <c r="AB846" s="74"/>
    </row>
    <row r="847" spans="1:28" ht="12" customHeight="1">
      <c r="A847" s="569"/>
      <c r="B847" s="574"/>
      <c r="C847" s="575"/>
      <c r="D847" s="576"/>
      <c r="E847" s="101"/>
      <c r="F847" s="101"/>
      <c r="G847" s="35"/>
      <c r="H847" s="104"/>
      <c r="I847" s="35"/>
      <c r="J847" s="74"/>
      <c r="K847" s="74"/>
      <c r="L847" s="74"/>
      <c r="M847" s="74"/>
      <c r="N847" s="74"/>
      <c r="O847" s="74"/>
      <c r="P847" s="74"/>
      <c r="Q847" s="74"/>
      <c r="R847" s="74"/>
      <c r="S847" s="74"/>
      <c r="T847" s="74"/>
      <c r="U847" s="74"/>
      <c r="V847" s="74"/>
      <c r="W847" s="74"/>
      <c r="X847" s="74"/>
      <c r="Y847" s="74"/>
      <c r="Z847" s="74"/>
      <c r="AA847" s="74"/>
      <c r="AB847" s="74"/>
    </row>
    <row r="848" spans="1:28" ht="12" customHeight="1">
      <c r="A848" s="569"/>
      <c r="B848" s="574"/>
      <c r="C848" s="575"/>
      <c r="D848" s="576"/>
      <c r="E848" s="101"/>
      <c r="F848" s="101"/>
      <c r="G848" s="35"/>
      <c r="H848" s="104"/>
      <c r="I848" s="35"/>
      <c r="J848" s="74"/>
      <c r="K848" s="74"/>
      <c r="L848" s="74"/>
      <c r="M848" s="74"/>
      <c r="N848" s="74"/>
      <c r="O848" s="74"/>
      <c r="P848" s="74"/>
      <c r="Q848" s="74"/>
      <c r="R848" s="74"/>
      <c r="S848" s="74"/>
      <c r="T848" s="74"/>
      <c r="U848" s="74"/>
      <c r="V848" s="74"/>
      <c r="W848" s="74"/>
      <c r="X848" s="74"/>
      <c r="Y848" s="74"/>
      <c r="Z848" s="74"/>
      <c r="AA848" s="74"/>
      <c r="AB848" s="74"/>
    </row>
    <row r="849" spans="1:28" ht="12" customHeight="1">
      <c r="A849" s="569"/>
      <c r="B849" s="574"/>
      <c r="C849" s="575"/>
      <c r="D849" s="576"/>
      <c r="E849" s="101"/>
      <c r="F849" s="101"/>
      <c r="G849" s="35"/>
      <c r="H849" s="104"/>
      <c r="I849" s="35"/>
      <c r="J849" s="74"/>
      <c r="K849" s="74"/>
      <c r="L849" s="74"/>
      <c r="M849" s="74"/>
      <c r="N849" s="74"/>
      <c r="O849" s="74"/>
      <c r="P849" s="74"/>
      <c r="Q849" s="74"/>
      <c r="R849" s="74"/>
      <c r="S849" s="74"/>
      <c r="T849" s="74"/>
      <c r="U849" s="74"/>
      <c r="V849" s="74"/>
      <c r="W849" s="74"/>
      <c r="X849" s="74"/>
      <c r="Y849" s="74"/>
      <c r="Z849" s="74"/>
      <c r="AA849" s="74"/>
      <c r="AB849" s="74"/>
    </row>
    <row r="850" spans="1:28" ht="12" customHeight="1">
      <c r="A850" s="569"/>
      <c r="B850" s="574"/>
      <c r="C850" s="575"/>
      <c r="D850" s="576"/>
      <c r="E850" s="101"/>
      <c r="F850" s="101"/>
      <c r="G850" s="35"/>
      <c r="H850" s="104"/>
      <c r="I850" s="35"/>
      <c r="J850" s="74"/>
      <c r="K850" s="74"/>
      <c r="L850" s="74"/>
      <c r="M850" s="74"/>
      <c r="N850" s="74"/>
      <c r="O850" s="74"/>
      <c r="P850" s="74"/>
      <c r="Q850" s="74"/>
      <c r="R850" s="74"/>
      <c r="S850" s="74"/>
      <c r="T850" s="74"/>
      <c r="U850" s="74"/>
      <c r="V850" s="74"/>
      <c r="W850" s="74"/>
      <c r="X850" s="74"/>
      <c r="Y850" s="74"/>
      <c r="Z850" s="74"/>
      <c r="AA850" s="74"/>
      <c r="AB850" s="74"/>
    </row>
    <row r="851" spans="1:28" ht="12" customHeight="1">
      <c r="A851" s="569"/>
      <c r="B851" s="574"/>
      <c r="C851" s="575"/>
      <c r="D851" s="576"/>
      <c r="E851" s="101"/>
      <c r="F851" s="101"/>
      <c r="G851" s="35"/>
      <c r="H851" s="104"/>
      <c r="I851" s="35"/>
      <c r="J851" s="74"/>
      <c r="K851" s="74"/>
      <c r="L851" s="74"/>
      <c r="M851" s="74"/>
      <c r="N851" s="74"/>
      <c r="O851" s="74"/>
      <c r="P851" s="74"/>
      <c r="Q851" s="74"/>
      <c r="R851" s="74"/>
      <c r="S851" s="74"/>
      <c r="T851" s="74"/>
      <c r="U851" s="74"/>
      <c r="V851" s="74"/>
      <c r="W851" s="74"/>
      <c r="X851" s="74"/>
      <c r="Y851" s="74"/>
      <c r="Z851" s="74"/>
      <c r="AA851" s="74"/>
      <c r="AB851" s="74"/>
    </row>
    <row r="852" spans="1:28" ht="12" customHeight="1">
      <c r="A852" s="569"/>
      <c r="B852" s="574"/>
      <c r="C852" s="575"/>
      <c r="D852" s="576"/>
      <c r="E852" s="101"/>
      <c r="F852" s="101"/>
      <c r="G852" s="35"/>
      <c r="H852" s="104"/>
      <c r="I852" s="35"/>
      <c r="J852" s="74"/>
      <c r="K852" s="74"/>
      <c r="L852" s="74"/>
      <c r="M852" s="74"/>
      <c r="N852" s="74"/>
      <c r="O852" s="74"/>
      <c r="P852" s="74"/>
      <c r="Q852" s="74"/>
      <c r="R852" s="74"/>
      <c r="S852" s="74"/>
      <c r="T852" s="74"/>
      <c r="U852" s="74"/>
      <c r="V852" s="74"/>
      <c r="W852" s="74"/>
      <c r="X852" s="74"/>
      <c r="Y852" s="74"/>
      <c r="Z852" s="74"/>
      <c r="AA852" s="74"/>
      <c r="AB852" s="74"/>
    </row>
    <row r="853" spans="1:28" ht="12" customHeight="1">
      <c r="A853" s="569"/>
      <c r="B853" s="574"/>
      <c r="C853" s="575"/>
      <c r="D853" s="576"/>
      <c r="E853" s="101"/>
      <c r="F853" s="101"/>
      <c r="G853" s="35"/>
      <c r="H853" s="104"/>
      <c r="I853" s="35"/>
      <c r="J853" s="74"/>
      <c r="K853" s="74"/>
      <c r="L853" s="74"/>
      <c r="M853" s="74"/>
      <c r="N853" s="74"/>
      <c r="O853" s="74"/>
      <c r="P853" s="74"/>
      <c r="Q853" s="74"/>
      <c r="R853" s="74"/>
      <c r="S853" s="74"/>
      <c r="T853" s="74"/>
      <c r="U853" s="74"/>
      <c r="V853" s="74"/>
      <c r="W853" s="74"/>
      <c r="X853" s="74"/>
      <c r="Y853" s="74"/>
      <c r="Z853" s="74"/>
      <c r="AA853" s="74"/>
      <c r="AB853" s="74"/>
    </row>
    <row r="854" spans="1:28" ht="12" customHeight="1">
      <c r="A854" s="569"/>
      <c r="B854" s="574"/>
      <c r="C854" s="575"/>
      <c r="D854" s="576"/>
      <c r="E854" s="101"/>
      <c r="F854" s="101"/>
      <c r="G854" s="35"/>
      <c r="H854" s="104"/>
      <c r="I854" s="35"/>
      <c r="J854" s="74"/>
      <c r="K854" s="74"/>
      <c r="L854" s="74"/>
      <c r="M854" s="74"/>
      <c r="N854" s="74"/>
      <c r="O854" s="74"/>
      <c r="P854" s="74"/>
      <c r="Q854" s="74"/>
      <c r="R854" s="74"/>
      <c r="S854" s="74"/>
      <c r="T854" s="74"/>
      <c r="U854" s="74"/>
      <c r="V854" s="74"/>
      <c r="W854" s="74"/>
      <c r="X854" s="74"/>
      <c r="Y854" s="74"/>
      <c r="Z854" s="74"/>
      <c r="AA854" s="74"/>
      <c r="AB854" s="74"/>
    </row>
    <row r="855" spans="1:28" ht="12" customHeight="1">
      <c r="A855" s="569"/>
      <c r="B855" s="574"/>
      <c r="C855" s="575"/>
      <c r="D855" s="576"/>
      <c r="E855" s="101"/>
      <c r="F855" s="101"/>
      <c r="G855" s="35"/>
      <c r="H855" s="104"/>
      <c r="I855" s="35"/>
      <c r="J855" s="74"/>
      <c r="K855" s="74"/>
      <c r="L855" s="74"/>
      <c r="M855" s="74"/>
      <c r="N855" s="74"/>
      <c r="O855" s="74"/>
      <c r="P855" s="74"/>
      <c r="Q855" s="74"/>
      <c r="R855" s="74"/>
      <c r="S855" s="74"/>
      <c r="T855" s="74"/>
      <c r="U855" s="74"/>
      <c r="V855" s="74"/>
      <c r="W855" s="74"/>
      <c r="X855" s="74"/>
      <c r="Y855" s="74"/>
      <c r="Z855" s="74"/>
      <c r="AA855" s="74"/>
      <c r="AB855" s="74"/>
    </row>
    <row r="856" spans="1:28" ht="12" customHeight="1">
      <c r="A856" s="569"/>
      <c r="B856" s="574"/>
      <c r="C856" s="575"/>
      <c r="D856" s="576"/>
      <c r="E856" s="101"/>
      <c r="F856" s="101"/>
      <c r="G856" s="35"/>
      <c r="H856" s="104"/>
      <c r="I856" s="35"/>
      <c r="J856" s="74"/>
      <c r="K856" s="74"/>
      <c r="L856" s="74"/>
      <c r="M856" s="74"/>
      <c r="N856" s="74"/>
      <c r="O856" s="74"/>
      <c r="P856" s="74"/>
      <c r="Q856" s="74"/>
      <c r="R856" s="74"/>
      <c r="S856" s="74"/>
      <c r="T856" s="74"/>
      <c r="U856" s="74"/>
      <c r="V856" s="74"/>
      <c r="W856" s="74"/>
      <c r="X856" s="74"/>
      <c r="Y856" s="74"/>
      <c r="Z856" s="74"/>
      <c r="AA856" s="74"/>
      <c r="AB856" s="74"/>
    </row>
    <row r="857" spans="1:28" ht="12" customHeight="1">
      <c r="A857" s="569"/>
      <c r="B857" s="574"/>
      <c r="C857" s="575"/>
      <c r="D857" s="576"/>
      <c r="E857" s="101"/>
      <c r="F857" s="101"/>
      <c r="G857" s="35"/>
      <c r="H857" s="104"/>
      <c r="I857" s="35"/>
      <c r="J857" s="74"/>
      <c r="K857" s="74"/>
      <c r="L857" s="74"/>
      <c r="M857" s="74"/>
      <c r="N857" s="74"/>
      <c r="O857" s="74"/>
      <c r="P857" s="74"/>
      <c r="Q857" s="74"/>
      <c r="R857" s="74"/>
      <c r="S857" s="74"/>
      <c r="T857" s="74"/>
      <c r="U857" s="74"/>
      <c r="V857" s="74"/>
      <c r="W857" s="74"/>
      <c r="X857" s="74"/>
      <c r="Y857" s="74"/>
      <c r="Z857" s="74"/>
      <c r="AA857" s="74"/>
      <c r="AB857" s="74"/>
    </row>
    <row r="858" spans="1:28" ht="12" customHeight="1">
      <c r="A858" s="569"/>
      <c r="B858" s="574"/>
      <c r="C858" s="575"/>
      <c r="D858" s="576"/>
      <c r="E858" s="101"/>
      <c r="F858" s="101"/>
      <c r="G858" s="35"/>
      <c r="H858" s="104"/>
      <c r="I858" s="35"/>
      <c r="J858" s="74"/>
      <c r="K858" s="74"/>
      <c r="L858" s="74"/>
      <c r="M858" s="74"/>
      <c r="N858" s="74"/>
      <c r="O858" s="74"/>
      <c r="P858" s="74"/>
      <c r="Q858" s="74"/>
      <c r="R858" s="74"/>
      <c r="S858" s="74"/>
      <c r="T858" s="74"/>
      <c r="U858" s="74"/>
      <c r="V858" s="74"/>
      <c r="W858" s="74"/>
      <c r="X858" s="74"/>
      <c r="Y858" s="74"/>
      <c r="Z858" s="74"/>
      <c r="AA858" s="74"/>
      <c r="AB858" s="74"/>
    </row>
    <row r="859" spans="1:28" ht="12" customHeight="1">
      <c r="A859" s="569"/>
      <c r="B859" s="574"/>
      <c r="C859" s="575"/>
      <c r="D859" s="576"/>
      <c r="E859" s="101"/>
      <c r="F859" s="101"/>
      <c r="G859" s="35"/>
      <c r="H859" s="104"/>
      <c r="I859" s="35"/>
      <c r="J859" s="74"/>
      <c r="K859" s="74"/>
      <c r="L859" s="74"/>
      <c r="M859" s="74"/>
      <c r="N859" s="74"/>
      <c r="O859" s="74"/>
      <c r="P859" s="74"/>
      <c r="Q859" s="74"/>
      <c r="R859" s="74"/>
      <c r="S859" s="74"/>
      <c r="T859" s="74"/>
      <c r="U859" s="74"/>
      <c r="V859" s="74"/>
      <c r="W859" s="74"/>
      <c r="X859" s="74"/>
      <c r="Y859" s="74"/>
      <c r="Z859" s="74"/>
      <c r="AA859" s="74"/>
      <c r="AB859" s="74"/>
    </row>
    <row r="860" spans="1:28" ht="12" customHeight="1">
      <c r="A860" s="569"/>
      <c r="B860" s="574"/>
      <c r="C860" s="575"/>
      <c r="D860" s="576"/>
      <c r="E860" s="101"/>
      <c r="F860" s="101"/>
      <c r="G860" s="35"/>
      <c r="H860" s="104"/>
      <c r="I860" s="35"/>
      <c r="J860" s="74"/>
      <c r="K860" s="74"/>
      <c r="L860" s="74"/>
      <c r="M860" s="74"/>
      <c r="N860" s="74"/>
      <c r="O860" s="74"/>
      <c r="P860" s="74"/>
      <c r="Q860" s="74"/>
      <c r="R860" s="74"/>
      <c r="S860" s="74"/>
      <c r="T860" s="74"/>
      <c r="U860" s="74"/>
      <c r="V860" s="74"/>
      <c r="W860" s="74"/>
      <c r="X860" s="74"/>
      <c r="Y860" s="74"/>
      <c r="Z860" s="74"/>
      <c r="AA860" s="74"/>
      <c r="AB860" s="74"/>
    </row>
    <row r="861" spans="1:28" ht="12" customHeight="1">
      <c r="A861" s="569"/>
      <c r="B861" s="574"/>
      <c r="C861" s="575"/>
      <c r="D861" s="576"/>
      <c r="E861" s="101"/>
      <c r="F861" s="101"/>
      <c r="G861" s="35"/>
      <c r="H861" s="104"/>
      <c r="I861" s="35"/>
      <c r="J861" s="74"/>
      <c r="K861" s="74"/>
      <c r="L861" s="74"/>
      <c r="M861" s="74"/>
      <c r="N861" s="74"/>
      <c r="O861" s="74"/>
      <c r="P861" s="74"/>
      <c r="Q861" s="74"/>
      <c r="R861" s="74"/>
      <c r="S861" s="74"/>
      <c r="T861" s="74"/>
      <c r="U861" s="74"/>
      <c r="V861" s="74"/>
      <c r="W861" s="74"/>
      <c r="X861" s="74"/>
      <c r="Y861" s="74"/>
      <c r="Z861" s="74"/>
      <c r="AA861" s="74"/>
      <c r="AB861" s="74"/>
    </row>
    <row r="862" spans="1:28" ht="12" customHeight="1">
      <c r="A862" s="569"/>
      <c r="B862" s="574"/>
      <c r="C862" s="575"/>
      <c r="D862" s="576"/>
      <c r="E862" s="101"/>
      <c r="F862" s="101"/>
      <c r="G862" s="35"/>
      <c r="H862" s="104"/>
      <c r="I862" s="35"/>
      <c r="J862" s="74"/>
      <c r="K862" s="74"/>
      <c r="L862" s="74"/>
      <c r="M862" s="74"/>
      <c r="N862" s="74"/>
      <c r="O862" s="74"/>
      <c r="P862" s="74"/>
      <c r="Q862" s="74"/>
      <c r="R862" s="74"/>
      <c r="S862" s="74"/>
      <c r="T862" s="74"/>
      <c r="U862" s="74"/>
      <c r="V862" s="74"/>
      <c r="W862" s="74"/>
      <c r="X862" s="74"/>
      <c r="Y862" s="74"/>
      <c r="Z862" s="74"/>
      <c r="AA862" s="74"/>
      <c r="AB862" s="74"/>
    </row>
    <row r="863" spans="1:28" ht="12" customHeight="1">
      <c r="A863" s="569"/>
      <c r="B863" s="574"/>
      <c r="C863" s="575"/>
      <c r="D863" s="576"/>
      <c r="E863" s="101"/>
      <c r="F863" s="101"/>
      <c r="G863" s="35"/>
      <c r="H863" s="104"/>
      <c r="I863" s="35"/>
      <c r="J863" s="74"/>
      <c r="K863" s="74"/>
      <c r="L863" s="74"/>
      <c r="M863" s="74"/>
      <c r="N863" s="74"/>
      <c r="O863" s="74"/>
      <c r="P863" s="74"/>
      <c r="Q863" s="74"/>
      <c r="R863" s="74"/>
      <c r="S863" s="74"/>
      <c r="T863" s="74"/>
      <c r="U863" s="74"/>
      <c r="V863" s="74"/>
      <c r="W863" s="74"/>
      <c r="X863" s="74"/>
      <c r="Y863" s="74"/>
      <c r="Z863" s="74"/>
      <c r="AA863" s="74"/>
      <c r="AB863" s="74"/>
    </row>
    <row r="864" spans="1:28" ht="12" customHeight="1">
      <c r="A864" s="569"/>
      <c r="B864" s="574"/>
      <c r="C864" s="575"/>
      <c r="D864" s="576"/>
      <c r="E864" s="101"/>
      <c r="F864" s="101"/>
      <c r="G864" s="35"/>
      <c r="H864" s="104"/>
      <c r="I864" s="35"/>
      <c r="J864" s="74"/>
      <c r="K864" s="74"/>
      <c r="L864" s="74"/>
      <c r="M864" s="74"/>
      <c r="N864" s="74"/>
      <c r="O864" s="74"/>
      <c r="P864" s="74"/>
      <c r="Q864" s="74"/>
      <c r="R864" s="74"/>
      <c r="S864" s="74"/>
      <c r="T864" s="74"/>
      <c r="U864" s="74"/>
      <c r="V864" s="74"/>
      <c r="W864" s="74"/>
      <c r="X864" s="74"/>
      <c r="Y864" s="74"/>
      <c r="Z864" s="74"/>
      <c r="AA864" s="74"/>
      <c r="AB864" s="74"/>
    </row>
    <row r="865" spans="1:28" ht="12" customHeight="1">
      <c r="A865" s="569"/>
      <c r="B865" s="574"/>
      <c r="C865" s="575"/>
      <c r="D865" s="576"/>
      <c r="E865" s="101"/>
      <c r="F865" s="101"/>
      <c r="G865" s="35"/>
      <c r="H865" s="104"/>
      <c r="I865" s="35"/>
      <c r="J865" s="74"/>
      <c r="K865" s="74"/>
      <c r="L865" s="74"/>
      <c r="M865" s="74"/>
      <c r="N865" s="74"/>
      <c r="O865" s="74"/>
      <c r="P865" s="74"/>
      <c r="Q865" s="74"/>
      <c r="R865" s="74"/>
      <c r="S865" s="74"/>
      <c r="T865" s="74"/>
      <c r="U865" s="74"/>
      <c r="V865" s="74"/>
      <c r="W865" s="74"/>
      <c r="X865" s="74"/>
      <c r="Y865" s="74"/>
      <c r="Z865" s="74"/>
      <c r="AA865" s="74"/>
      <c r="AB865" s="74"/>
    </row>
    <row r="866" spans="1:28" ht="12" customHeight="1">
      <c r="A866" s="569"/>
      <c r="B866" s="574"/>
      <c r="C866" s="575"/>
      <c r="D866" s="576"/>
      <c r="E866" s="101"/>
      <c r="F866" s="101"/>
      <c r="G866" s="35"/>
      <c r="H866" s="104"/>
      <c r="I866" s="35"/>
      <c r="J866" s="74"/>
      <c r="K866" s="74"/>
      <c r="L866" s="74"/>
      <c r="M866" s="74"/>
      <c r="N866" s="74"/>
      <c r="O866" s="74"/>
      <c r="P866" s="74"/>
      <c r="Q866" s="74"/>
      <c r="R866" s="74"/>
      <c r="S866" s="74"/>
      <c r="T866" s="74"/>
      <c r="U866" s="74"/>
      <c r="V866" s="74"/>
      <c r="W866" s="74"/>
      <c r="X866" s="74"/>
      <c r="Y866" s="74"/>
      <c r="Z866" s="74"/>
      <c r="AA866" s="74"/>
      <c r="AB866" s="74"/>
    </row>
    <row r="867" spans="1:28" ht="12" customHeight="1">
      <c r="A867" s="569"/>
      <c r="B867" s="574"/>
      <c r="C867" s="575"/>
      <c r="D867" s="576"/>
      <c r="E867" s="101"/>
      <c r="F867" s="101"/>
      <c r="G867" s="35"/>
      <c r="H867" s="104"/>
      <c r="I867" s="35"/>
      <c r="J867" s="74"/>
      <c r="K867" s="74"/>
      <c r="L867" s="74"/>
      <c r="M867" s="74"/>
      <c r="N867" s="74"/>
      <c r="O867" s="74"/>
      <c r="P867" s="74"/>
      <c r="Q867" s="74"/>
      <c r="R867" s="74"/>
      <c r="S867" s="74"/>
      <c r="T867" s="74"/>
      <c r="U867" s="74"/>
      <c r="V867" s="74"/>
      <c r="W867" s="74"/>
      <c r="X867" s="74"/>
      <c r="Y867" s="74"/>
      <c r="Z867" s="74"/>
      <c r="AA867" s="74"/>
      <c r="AB867" s="74"/>
    </row>
    <row r="868" spans="1:28" ht="12" customHeight="1">
      <c r="A868" s="569"/>
      <c r="B868" s="574"/>
      <c r="C868" s="575"/>
      <c r="D868" s="576"/>
      <c r="E868" s="101"/>
      <c r="F868" s="101"/>
      <c r="G868" s="35"/>
      <c r="H868" s="104"/>
      <c r="I868" s="35"/>
      <c r="J868" s="74"/>
      <c r="K868" s="74"/>
      <c r="L868" s="74"/>
      <c r="M868" s="74"/>
      <c r="N868" s="74"/>
      <c r="O868" s="74"/>
      <c r="P868" s="74"/>
      <c r="Q868" s="74"/>
      <c r="R868" s="74"/>
      <c r="S868" s="74"/>
      <c r="T868" s="74"/>
      <c r="U868" s="74"/>
      <c r="V868" s="74"/>
      <c r="W868" s="74"/>
      <c r="X868" s="74"/>
      <c r="Y868" s="74"/>
      <c r="Z868" s="74"/>
      <c r="AA868" s="74"/>
      <c r="AB868" s="74"/>
    </row>
    <row r="869" spans="1:28" ht="12" customHeight="1">
      <c r="A869" s="569"/>
      <c r="B869" s="574"/>
      <c r="C869" s="575"/>
      <c r="D869" s="576"/>
      <c r="E869" s="101"/>
      <c r="F869" s="101"/>
      <c r="G869" s="35"/>
      <c r="H869" s="104"/>
      <c r="I869" s="35"/>
      <c r="J869" s="74"/>
      <c r="K869" s="74"/>
      <c r="L869" s="74"/>
      <c r="M869" s="74"/>
      <c r="N869" s="74"/>
      <c r="O869" s="74"/>
      <c r="P869" s="74"/>
      <c r="Q869" s="74"/>
      <c r="R869" s="74"/>
      <c r="S869" s="74"/>
      <c r="T869" s="74"/>
      <c r="U869" s="74"/>
      <c r="V869" s="74"/>
      <c r="W869" s="74"/>
      <c r="X869" s="74"/>
      <c r="Y869" s="74"/>
      <c r="Z869" s="74"/>
      <c r="AA869" s="74"/>
      <c r="AB869" s="74"/>
    </row>
    <row r="870" spans="1:28" ht="12" customHeight="1">
      <c r="A870" s="569"/>
      <c r="B870" s="574"/>
      <c r="C870" s="575"/>
      <c r="D870" s="576"/>
      <c r="E870" s="101"/>
      <c r="F870" s="101"/>
      <c r="G870" s="35"/>
      <c r="H870" s="104"/>
      <c r="I870" s="35"/>
      <c r="J870" s="74"/>
      <c r="K870" s="74"/>
      <c r="L870" s="74"/>
      <c r="M870" s="74"/>
      <c r="N870" s="74"/>
      <c r="O870" s="74"/>
      <c r="P870" s="74"/>
      <c r="Q870" s="74"/>
      <c r="R870" s="74"/>
      <c r="S870" s="74"/>
      <c r="T870" s="74"/>
      <c r="U870" s="74"/>
      <c r="V870" s="74"/>
      <c r="W870" s="74"/>
      <c r="X870" s="74"/>
      <c r="Y870" s="74"/>
      <c r="Z870" s="74"/>
      <c r="AA870" s="74"/>
      <c r="AB870" s="74"/>
    </row>
    <row r="871" spans="1:28" ht="12" customHeight="1">
      <c r="A871" s="569"/>
      <c r="B871" s="574"/>
      <c r="C871" s="575"/>
      <c r="D871" s="576"/>
      <c r="E871" s="101"/>
      <c r="F871" s="101"/>
      <c r="G871" s="35"/>
      <c r="H871" s="104"/>
      <c r="I871" s="35"/>
      <c r="J871" s="74"/>
      <c r="K871" s="74"/>
      <c r="L871" s="74"/>
      <c r="M871" s="74"/>
      <c r="N871" s="74"/>
      <c r="O871" s="74"/>
      <c r="P871" s="74"/>
      <c r="Q871" s="74"/>
      <c r="R871" s="74"/>
      <c r="S871" s="74"/>
      <c r="T871" s="74"/>
      <c r="U871" s="74"/>
      <c r="V871" s="74"/>
      <c r="W871" s="74"/>
      <c r="X871" s="74"/>
      <c r="Y871" s="74"/>
      <c r="Z871" s="74"/>
      <c r="AA871" s="74"/>
      <c r="AB871" s="74"/>
    </row>
    <row r="872" spans="1:28" ht="12" customHeight="1">
      <c r="A872" s="569"/>
      <c r="B872" s="574"/>
      <c r="C872" s="575"/>
      <c r="D872" s="576"/>
      <c r="E872" s="101"/>
      <c r="F872" s="101"/>
      <c r="G872" s="35"/>
      <c r="H872" s="104"/>
      <c r="I872" s="35"/>
      <c r="J872" s="74"/>
      <c r="K872" s="74"/>
      <c r="L872" s="74"/>
      <c r="M872" s="74"/>
      <c r="N872" s="74"/>
      <c r="O872" s="74"/>
      <c r="P872" s="74"/>
      <c r="Q872" s="74"/>
      <c r="R872" s="74"/>
      <c r="S872" s="74"/>
      <c r="T872" s="74"/>
      <c r="U872" s="74"/>
      <c r="V872" s="74"/>
      <c r="W872" s="74"/>
      <c r="X872" s="74"/>
      <c r="Y872" s="74"/>
      <c r="Z872" s="74"/>
      <c r="AA872" s="74"/>
      <c r="AB872" s="74"/>
    </row>
    <row r="873" spans="1:28" ht="12" customHeight="1">
      <c r="A873" s="569"/>
      <c r="B873" s="574"/>
      <c r="C873" s="575"/>
      <c r="D873" s="576"/>
      <c r="E873" s="101"/>
      <c r="F873" s="101"/>
      <c r="G873" s="35"/>
      <c r="H873" s="104"/>
      <c r="I873" s="35"/>
      <c r="J873" s="74"/>
      <c r="K873" s="74"/>
      <c r="L873" s="74"/>
      <c r="M873" s="74"/>
      <c r="N873" s="74"/>
      <c r="O873" s="74"/>
      <c r="P873" s="74"/>
      <c r="Q873" s="74"/>
      <c r="R873" s="74"/>
      <c r="S873" s="74"/>
      <c r="T873" s="74"/>
      <c r="U873" s="74"/>
      <c r="V873" s="74"/>
      <c r="W873" s="74"/>
      <c r="X873" s="74"/>
      <c r="Y873" s="74"/>
      <c r="Z873" s="74"/>
      <c r="AA873" s="74"/>
      <c r="AB873" s="74"/>
    </row>
    <row r="874" spans="1:28" ht="12" customHeight="1">
      <c r="A874" s="569"/>
      <c r="B874" s="574"/>
      <c r="C874" s="575"/>
      <c r="D874" s="576"/>
      <c r="E874" s="101"/>
      <c r="F874" s="101"/>
      <c r="G874" s="35"/>
      <c r="H874" s="104"/>
      <c r="I874" s="35"/>
      <c r="J874" s="74"/>
      <c r="K874" s="74"/>
      <c r="L874" s="74"/>
      <c r="M874" s="74"/>
      <c r="N874" s="74"/>
      <c r="O874" s="74"/>
      <c r="P874" s="74"/>
      <c r="Q874" s="74"/>
      <c r="R874" s="74"/>
      <c r="S874" s="74"/>
      <c r="T874" s="74"/>
      <c r="U874" s="74"/>
      <c r="V874" s="74"/>
      <c r="W874" s="74"/>
      <c r="X874" s="74"/>
      <c r="Y874" s="74"/>
      <c r="Z874" s="74"/>
      <c r="AA874" s="74"/>
      <c r="AB874" s="74"/>
    </row>
    <row r="875" spans="1:28" ht="12" customHeight="1">
      <c r="A875" s="569"/>
      <c r="B875" s="574"/>
      <c r="C875" s="575"/>
      <c r="D875" s="576"/>
      <c r="E875" s="101"/>
      <c r="F875" s="101"/>
      <c r="G875" s="35"/>
      <c r="H875" s="104"/>
      <c r="I875" s="35"/>
      <c r="J875" s="74"/>
      <c r="K875" s="74"/>
      <c r="L875" s="74"/>
      <c r="M875" s="74"/>
      <c r="N875" s="74"/>
      <c r="O875" s="74"/>
      <c r="P875" s="74"/>
      <c r="Q875" s="74"/>
      <c r="R875" s="74"/>
      <c r="S875" s="74"/>
      <c r="T875" s="74"/>
      <c r="U875" s="74"/>
      <c r="V875" s="74"/>
      <c r="W875" s="74"/>
      <c r="X875" s="74"/>
      <c r="Y875" s="74"/>
      <c r="Z875" s="74"/>
      <c r="AA875" s="74"/>
      <c r="AB875" s="74"/>
    </row>
    <row r="876" spans="1:28" ht="12" customHeight="1">
      <c r="A876" s="569"/>
      <c r="B876" s="574"/>
      <c r="C876" s="575"/>
      <c r="D876" s="576"/>
      <c r="E876" s="101"/>
      <c r="F876" s="101"/>
      <c r="G876" s="35"/>
      <c r="H876" s="104"/>
      <c r="I876" s="35"/>
      <c r="J876" s="74"/>
      <c r="K876" s="74"/>
      <c r="L876" s="74"/>
      <c r="M876" s="74"/>
      <c r="N876" s="74"/>
      <c r="O876" s="74"/>
      <c r="P876" s="74"/>
      <c r="Q876" s="74"/>
      <c r="R876" s="74"/>
      <c r="S876" s="74"/>
      <c r="T876" s="74"/>
      <c r="U876" s="74"/>
      <c r="V876" s="74"/>
      <c r="W876" s="74"/>
      <c r="X876" s="74"/>
      <c r="Y876" s="74"/>
      <c r="Z876" s="74"/>
      <c r="AA876" s="74"/>
      <c r="AB876" s="74"/>
    </row>
    <row r="877" spans="1:28" ht="12" customHeight="1">
      <c r="A877" s="569"/>
      <c r="B877" s="574"/>
      <c r="C877" s="575"/>
      <c r="D877" s="576"/>
      <c r="E877" s="101"/>
      <c r="F877" s="101"/>
      <c r="G877" s="35"/>
      <c r="H877" s="104"/>
      <c r="I877" s="35"/>
      <c r="J877" s="74"/>
      <c r="K877" s="74"/>
      <c r="L877" s="74"/>
      <c r="M877" s="74"/>
      <c r="N877" s="74"/>
      <c r="O877" s="74"/>
      <c r="P877" s="74"/>
      <c r="Q877" s="74"/>
      <c r="R877" s="74"/>
      <c r="S877" s="74"/>
      <c r="T877" s="74"/>
      <c r="U877" s="74"/>
      <c r="V877" s="74"/>
      <c r="W877" s="74"/>
      <c r="X877" s="74"/>
      <c r="Y877" s="74"/>
      <c r="Z877" s="74"/>
      <c r="AA877" s="74"/>
      <c r="AB877" s="74"/>
    </row>
    <row r="878" spans="1:28" ht="12" customHeight="1">
      <c r="A878" s="569"/>
      <c r="B878" s="574"/>
      <c r="C878" s="575"/>
      <c r="D878" s="576"/>
      <c r="E878" s="101"/>
      <c r="F878" s="101"/>
      <c r="G878" s="35"/>
      <c r="H878" s="104"/>
      <c r="I878" s="35"/>
      <c r="J878" s="74"/>
      <c r="K878" s="74"/>
      <c r="L878" s="74"/>
      <c r="M878" s="74"/>
      <c r="N878" s="74"/>
      <c r="O878" s="74"/>
      <c r="P878" s="74"/>
      <c r="Q878" s="74"/>
      <c r="R878" s="74"/>
      <c r="S878" s="74"/>
      <c r="T878" s="74"/>
      <c r="U878" s="74"/>
      <c r="V878" s="74"/>
      <c r="W878" s="74"/>
      <c r="X878" s="74"/>
      <c r="Y878" s="74"/>
      <c r="Z878" s="74"/>
      <c r="AA878" s="74"/>
      <c r="AB878" s="74"/>
    </row>
    <row r="879" spans="1:28" ht="12" customHeight="1">
      <c r="A879" s="569"/>
      <c r="B879" s="574"/>
      <c r="C879" s="575"/>
      <c r="D879" s="576"/>
      <c r="E879" s="101"/>
      <c r="F879" s="101"/>
      <c r="G879" s="35"/>
      <c r="H879" s="104"/>
      <c r="I879" s="35"/>
      <c r="J879" s="74"/>
      <c r="K879" s="74"/>
      <c r="L879" s="74"/>
      <c r="M879" s="74"/>
      <c r="N879" s="74"/>
      <c r="O879" s="74"/>
      <c r="P879" s="74"/>
      <c r="Q879" s="74"/>
      <c r="R879" s="74"/>
      <c r="S879" s="74"/>
      <c r="T879" s="74"/>
      <c r="U879" s="74"/>
      <c r="V879" s="74"/>
      <c r="W879" s="74"/>
      <c r="X879" s="74"/>
      <c r="Y879" s="74"/>
      <c r="Z879" s="74"/>
      <c r="AA879" s="74"/>
      <c r="AB879" s="74"/>
    </row>
    <row r="880" spans="1:28" ht="12" customHeight="1">
      <c r="A880" s="569"/>
      <c r="B880" s="574"/>
      <c r="C880" s="575"/>
      <c r="D880" s="576"/>
      <c r="E880" s="101"/>
      <c r="F880" s="101"/>
      <c r="G880" s="35"/>
      <c r="H880" s="104"/>
      <c r="I880" s="35"/>
      <c r="J880" s="74"/>
      <c r="K880" s="74"/>
      <c r="L880" s="74"/>
      <c r="M880" s="74"/>
      <c r="N880" s="74"/>
      <c r="O880" s="74"/>
      <c r="P880" s="74"/>
      <c r="Q880" s="74"/>
      <c r="R880" s="74"/>
      <c r="S880" s="74"/>
      <c r="T880" s="74"/>
      <c r="U880" s="74"/>
      <c r="V880" s="74"/>
      <c r="W880" s="74"/>
      <c r="X880" s="74"/>
      <c r="Y880" s="74"/>
      <c r="Z880" s="74"/>
      <c r="AA880" s="74"/>
      <c r="AB880" s="74"/>
    </row>
    <row r="881" spans="1:28" ht="12" customHeight="1">
      <c r="A881" s="569"/>
      <c r="B881" s="574"/>
      <c r="C881" s="575"/>
      <c r="D881" s="576"/>
      <c r="E881" s="101"/>
      <c r="F881" s="101"/>
      <c r="G881" s="35"/>
      <c r="H881" s="104"/>
      <c r="I881" s="35"/>
      <c r="J881" s="74"/>
      <c r="K881" s="74"/>
      <c r="L881" s="74"/>
      <c r="M881" s="74"/>
      <c r="N881" s="74"/>
      <c r="O881" s="74"/>
      <c r="P881" s="74"/>
      <c r="Q881" s="74"/>
      <c r="R881" s="74"/>
      <c r="S881" s="74"/>
      <c r="T881" s="74"/>
      <c r="U881" s="74"/>
      <c r="V881" s="74"/>
      <c r="W881" s="74"/>
      <c r="X881" s="74"/>
      <c r="Y881" s="74"/>
      <c r="Z881" s="74"/>
      <c r="AA881" s="74"/>
      <c r="AB881" s="74"/>
    </row>
    <row r="882" spans="1:28" ht="12" customHeight="1">
      <c r="A882" s="569"/>
      <c r="B882" s="574"/>
      <c r="C882" s="575"/>
      <c r="D882" s="576"/>
      <c r="E882" s="101"/>
      <c r="F882" s="101"/>
      <c r="G882" s="35"/>
      <c r="H882" s="104"/>
      <c r="I882" s="35"/>
      <c r="J882" s="74"/>
      <c r="K882" s="74"/>
      <c r="L882" s="74"/>
      <c r="M882" s="74"/>
      <c r="N882" s="74"/>
      <c r="O882" s="74"/>
      <c r="P882" s="74"/>
      <c r="Q882" s="74"/>
      <c r="R882" s="74"/>
      <c r="S882" s="74"/>
      <c r="T882" s="74"/>
      <c r="U882" s="74"/>
      <c r="V882" s="74"/>
      <c r="W882" s="74"/>
      <c r="X882" s="74"/>
      <c r="Y882" s="74"/>
      <c r="Z882" s="74"/>
      <c r="AA882" s="74"/>
      <c r="AB882" s="74"/>
    </row>
    <row r="883" spans="1:28" ht="12" customHeight="1">
      <c r="A883" s="569"/>
      <c r="B883" s="574"/>
      <c r="C883" s="575"/>
      <c r="D883" s="576"/>
      <c r="E883" s="101"/>
      <c r="F883" s="101"/>
      <c r="G883" s="35"/>
      <c r="H883" s="104"/>
      <c r="I883" s="35"/>
      <c r="J883" s="74"/>
      <c r="K883" s="74"/>
      <c r="L883" s="74"/>
      <c r="M883" s="74"/>
      <c r="N883" s="74"/>
      <c r="O883" s="74"/>
      <c r="P883" s="74"/>
      <c r="Q883" s="74"/>
      <c r="R883" s="74"/>
      <c r="S883" s="74"/>
      <c r="T883" s="74"/>
      <c r="U883" s="74"/>
      <c r="V883" s="74"/>
      <c r="W883" s="74"/>
      <c r="X883" s="74"/>
      <c r="Y883" s="74"/>
      <c r="Z883" s="74"/>
      <c r="AA883" s="74"/>
      <c r="AB883" s="74"/>
    </row>
    <row r="884" spans="1:28" ht="12" customHeight="1">
      <c r="A884" s="569"/>
      <c r="B884" s="574"/>
      <c r="C884" s="575"/>
      <c r="D884" s="576"/>
      <c r="E884" s="101"/>
      <c r="F884" s="101"/>
      <c r="G884" s="35"/>
      <c r="H884" s="104"/>
      <c r="I884" s="35"/>
      <c r="J884" s="74"/>
      <c r="K884" s="74"/>
      <c r="L884" s="74"/>
      <c r="M884" s="74"/>
      <c r="N884" s="74"/>
      <c r="O884" s="74"/>
      <c r="P884" s="74"/>
      <c r="Q884" s="74"/>
      <c r="R884" s="74"/>
      <c r="S884" s="74"/>
      <c r="T884" s="74"/>
      <c r="U884" s="74"/>
      <c r="V884" s="74"/>
      <c r="W884" s="74"/>
      <c r="X884" s="74"/>
      <c r="Y884" s="74"/>
      <c r="Z884" s="74"/>
      <c r="AA884" s="74"/>
      <c r="AB884" s="74"/>
    </row>
    <row r="885" spans="1:28" ht="12" customHeight="1">
      <c r="A885" s="569"/>
      <c r="B885" s="574"/>
      <c r="C885" s="575"/>
      <c r="D885" s="576"/>
      <c r="E885" s="101"/>
      <c r="F885" s="101"/>
      <c r="G885" s="35"/>
      <c r="H885" s="104"/>
      <c r="I885" s="35"/>
      <c r="J885" s="74"/>
      <c r="K885" s="74"/>
      <c r="L885" s="74"/>
      <c r="M885" s="74"/>
      <c r="N885" s="74"/>
      <c r="O885" s="74"/>
      <c r="P885" s="74"/>
      <c r="Q885" s="74"/>
      <c r="R885" s="74"/>
      <c r="S885" s="74"/>
      <c r="T885" s="74"/>
      <c r="U885" s="74"/>
      <c r="V885" s="74"/>
      <c r="W885" s="74"/>
      <c r="X885" s="74"/>
      <c r="Y885" s="74"/>
      <c r="Z885" s="74"/>
      <c r="AA885" s="74"/>
      <c r="AB885" s="74"/>
    </row>
    <row r="886" spans="1:28" ht="12" customHeight="1">
      <c r="A886" s="569"/>
      <c r="B886" s="574"/>
      <c r="C886" s="575"/>
      <c r="D886" s="576"/>
      <c r="E886" s="101"/>
      <c r="F886" s="101"/>
      <c r="G886" s="35"/>
      <c r="H886" s="104"/>
      <c r="I886" s="35"/>
      <c r="J886" s="74"/>
      <c r="K886" s="74"/>
      <c r="L886" s="74"/>
      <c r="M886" s="74"/>
      <c r="N886" s="74"/>
      <c r="O886" s="74"/>
      <c r="P886" s="74"/>
      <c r="Q886" s="74"/>
      <c r="R886" s="74"/>
      <c r="S886" s="74"/>
      <c r="T886" s="74"/>
      <c r="U886" s="74"/>
      <c r="V886" s="74"/>
      <c r="W886" s="74"/>
      <c r="X886" s="74"/>
      <c r="Y886" s="74"/>
      <c r="Z886" s="74"/>
      <c r="AA886" s="74"/>
      <c r="AB886" s="74"/>
    </row>
    <row r="887" spans="1:28" ht="12" customHeight="1">
      <c r="A887" s="569"/>
      <c r="B887" s="574"/>
      <c r="C887" s="575"/>
      <c r="D887" s="576"/>
      <c r="E887" s="101"/>
      <c r="F887" s="101"/>
      <c r="G887" s="35"/>
      <c r="H887" s="104"/>
      <c r="I887" s="35"/>
      <c r="J887" s="74"/>
      <c r="K887" s="74"/>
      <c r="L887" s="74"/>
      <c r="M887" s="74"/>
      <c r="N887" s="74"/>
      <c r="O887" s="74"/>
      <c r="P887" s="74"/>
      <c r="Q887" s="74"/>
      <c r="R887" s="74"/>
      <c r="S887" s="74"/>
      <c r="T887" s="74"/>
      <c r="U887" s="74"/>
      <c r="V887" s="74"/>
      <c r="W887" s="74"/>
      <c r="X887" s="74"/>
      <c r="Y887" s="74"/>
      <c r="Z887" s="74"/>
      <c r="AA887" s="74"/>
      <c r="AB887" s="74"/>
    </row>
    <row r="888" spans="1:28" ht="12" customHeight="1">
      <c r="A888" s="569"/>
      <c r="B888" s="574"/>
      <c r="C888" s="575"/>
      <c r="D888" s="576"/>
      <c r="E888" s="101"/>
      <c r="F888" s="101"/>
      <c r="G888" s="35"/>
      <c r="H888" s="104"/>
      <c r="I888" s="35"/>
      <c r="J888" s="74"/>
      <c r="K888" s="74"/>
      <c r="L888" s="74"/>
      <c r="M888" s="74"/>
      <c r="N888" s="74"/>
      <c r="O888" s="74"/>
      <c r="P888" s="74"/>
      <c r="Q888" s="74"/>
      <c r="R888" s="74"/>
      <c r="S888" s="74"/>
      <c r="T888" s="74"/>
      <c r="U888" s="74"/>
      <c r="V888" s="74"/>
      <c r="W888" s="74"/>
      <c r="X888" s="74"/>
      <c r="Y888" s="74"/>
      <c r="Z888" s="74"/>
      <c r="AA888" s="74"/>
      <c r="AB888" s="74"/>
    </row>
    <row r="889" spans="1:28" ht="12" customHeight="1">
      <c r="A889" s="569"/>
      <c r="B889" s="574"/>
      <c r="C889" s="575"/>
      <c r="D889" s="576"/>
      <c r="E889" s="101"/>
      <c r="F889" s="101"/>
      <c r="G889" s="35"/>
      <c r="H889" s="104"/>
      <c r="I889" s="35"/>
      <c r="J889" s="74"/>
      <c r="K889" s="74"/>
      <c r="L889" s="74"/>
      <c r="M889" s="74"/>
      <c r="N889" s="74"/>
      <c r="O889" s="74"/>
      <c r="P889" s="74"/>
      <c r="Q889" s="74"/>
      <c r="R889" s="74"/>
      <c r="S889" s="74"/>
      <c r="T889" s="74"/>
      <c r="U889" s="74"/>
      <c r="V889" s="74"/>
      <c r="W889" s="74"/>
      <c r="X889" s="74"/>
      <c r="Y889" s="74"/>
      <c r="Z889" s="74"/>
      <c r="AA889" s="74"/>
      <c r="AB889" s="74"/>
    </row>
    <row r="890" spans="1:28" ht="12" customHeight="1">
      <c r="A890" s="569"/>
      <c r="B890" s="574"/>
      <c r="C890" s="575"/>
      <c r="D890" s="576"/>
      <c r="E890" s="101"/>
      <c r="F890" s="101"/>
      <c r="G890" s="35"/>
      <c r="H890" s="104"/>
      <c r="I890" s="35"/>
      <c r="J890" s="74"/>
      <c r="K890" s="74"/>
      <c r="L890" s="74"/>
      <c r="M890" s="74"/>
      <c r="N890" s="74"/>
      <c r="O890" s="74"/>
      <c r="P890" s="74"/>
      <c r="Q890" s="74"/>
      <c r="R890" s="74"/>
      <c r="S890" s="74"/>
      <c r="T890" s="74"/>
      <c r="U890" s="74"/>
      <c r="V890" s="74"/>
      <c r="W890" s="74"/>
      <c r="X890" s="74"/>
      <c r="Y890" s="74"/>
      <c r="Z890" s="74"/>
      <c r="AA890" s="74"/>
      <c r="AB890" s="74"/>
    </row>
    <row r="891" spans="1:28" ht="12" customHeight="1">
      <c r="A891" s="569"/>
      <c r="B891" s="574"/>
      <c r="C891" s="575"/>
      <c r="D891" s="576"/>
      <c r="E891" s="101"/>
      <c r="F891" s="101"/>
      <c r="G891" s="35"/>
      <c r="H891" s="104"/>
      <c r="I891" s="35"/>
      <c r="J891" s="74"/>
      <c r="K891" s="74"/>
      <c r="L891" s="74"/>
      <c r="M891" s="74"/>
      <c r="N891" s="74"/>
      <c r="O891" s="74"/>
      <c r="P891" s="74"/>
      <c r="Q891" s="74"/>
      <c r="R891" s="74"/>
      <c r="S891" s="74"/>
      <c r="T891" s="74"/>
      <c r="U891" s="74"/>
      <c r="V891" s="74"/>
      <c r="W891" s="74"/>
      <c r="X891" s="74"/>
      <c r="Y891" s="74"/>
      <c r="Z891" s="74"/>
      <c r="AA891" s="74"/>
      <c r="AB891" s="74"/>
    </row>
    <row r="892" spans="1:28" ht="12" customHeight="1">
      <c r="A892" s="569"/>
      <c r="B892" s="574"/>
      <c r="C892" s="575"/>
      <c r="D892" s="576"/>
      <c r="E892" s="101"/>
      <c r="F892" s="101"/>
      <c r="G892" s="35"/>
      <c r="H892" s="104"/>
      <c r="I892" s="35"/>
      <c r="J892" s="74"/>
      <c r="K892" s="74"/>
      <c r="L892" s="74"/>
      <c r="M892" s="74"/>
      <c r="N892" s="74"/>
      <c r="O892" s="74"/>
      <c r="P892" s="74"/>
      <c r="Q892" s="74"/>
      <c r="R892" s="74"/>
      <c r="S892" s="74"/>
      <c r="T892" s="74"/>
      <c r="U892" s="74"/>
      <c r="V892" s="74"/>
      <c r="W892" s="74"/>
      <c r="X892" s="74"/>
      <c r="Y892" s="74"/>
      <c r="Z892" s="74"/>
      <c r="AA892" s="74"/>
      <c r="AB892" s="74"/>
    </row>
    <row r="893" spans="1:28" ht="12" customHeight="1">
      <c r="A893" s="569"/>
      <c r="B893" s="574"/>
      <c r="C893" s="575"/>
      <c r="D893" s="576"/>
      <c r="E893" s="101"/>
      <c r="F893" s="101"/>
      <c r="G893" s="35"/>
      <c r="H893" s="104"/>
      <c r="I893" s="35"/>
      <c r="J893" s="74"/>
      <c r="K893" s="74"/>
      <c r="L893" s="74"/>
      <c r="M893" s="74"/>
      <c r="N893" s="74"/>
      <c r="O893" s="74"/>
      <c r="P893" s="74"/>
      <c r="Q893" s="74"/>
      <c r="R893" s="74"/>
      <c r="S893" s="74"/>
      <c r="T893" s="74"/>
      <c r="U893" s="74"/>
      <c r="V893" s="74"/>
      <c r="W893" s="74"/>
      <c r="X893" s="74"/>
      <c r="Y893" s="74"/>
      <c r="Z893" s="74"/>
      <c r="AA893" s="74"/>
      <c r="AB893" s="74"/>
    </row>
    <row r="894" spans="1:28" ht="12" customHeight="1">
      <c r="A894" s="569"/>
      <c r="B894" s="574"/>
      <c r="C894" s="575"/>
      <c r="D894" s="576"/>
      <c r="E894" s="101"/>
      <c r="F894" s="101"/>
      <c r="G894" s="35"/>
      <c r="H894" s="104"/>
      <c r="I894" s="35"/>
      <c r="J894" s="74"/>
      <c r="K894" s="74"/>
      <c r="L894" s="74"/>
      <c r="M894" s="74"/>
      <c r="N894" s="74"/>
      <c r="O894" s="74"/>
      <c r="P894" s="74"/>
      <c r="Q894" s="74"/>
      <c r="R894" s="74"/>
      <c r="S894" s="74"/>
      <c r="T894" s="74"/>
      <c r="U894" s="74"/>
      <c r="V894" s="74"/>
      <c r="W894" s="74"/>
      <c r="X894" s="74"/>
      <c r="Y894" s="74"/>
      <c r="Z894" s="74"/>
      <c r="AA894" s="74"/>
      <c r="AB894" s="74"/>
    </row>
    <row r="895" spans="1:28" ht="12" customHeight="1">
      <c r="A895" s="569"/>
      <c r="B895" s="574"/>
      <c r="C895" s="575"/>
      <c r="D895" s="576"/>
      <c r="E895" s="101"/>
      <c r="F895" s="101"/>
      <c r="G895" s="35"/>
      <c r="H895" s="104"/>
      <c r="I895" s="35"/>
      <c r="J895" s="74"/>
      <c r="K895" s="74"/>
      <c r="L895" s="74"/>
      <c r="M895" s="74"/>
      <c r="N895" s="74"/>
      <c r="O895" s="74"/>
      <c r="P895" s="74"/>
      <c r="Q895" s="74"/>
      <c r="R895" s="74"/>
      <c r="S895" s="74"/>
      <c r="T895" s="74"/>
      <c r="U895" s="74"/>
      <c r="V895" s="74"/>
      <c r="W895" s="74"/>
      <c r="X895" s="74"/>
      <c r="Y895" s="74"/>
      <c r="Z895" s="74"/>
      <c r="AA895" s="74"/>
      <c r="AB895" s="74"/>
    </row>
    <row r="896" spans="1:28" ht="12" customHeight="1">
      <c r="A896" s="569"/>
      <c r="B896" s="574"/>
      <c r="C896" s="575"/>
      <c r="D896" s="576"/>
      <c r="E896" s="101"/>
      <c r="F896" s="101"/>
      <c r="G896" s="35"/>
      <c r="H896" s="104"/>
      <c r="I896" s="35"/>
      <c r="J896" s="74"/>
      <c r="K896" s="74"/>
      <c r="L896" s="74"/>
      <c r="M896" s="74"/>
      <c r="N896" s="74"/>
      <c r="O896" s="74"/>
      <c r="P896" s="74"/>
      <c r="Q896" s="74"/>
      <c r="R896" s="74"/>
      <c r="S896" s="74"/>
      <c r="T896" s="74"/>
      <c r="U896" s="74"/>
      <c r="V896" s="74"/>
      <c r="W896" s="74"/>
      <c r="X896" s="74"/>
      <c r="Y896" s="74"/>
      <c r="Z896" s="74"/>
      <c r="AA896" s="74"/>
      <c r="AB896" s="74"/>
    </row>
    <row r="897" spans="1:28" ht="12" customHeight="1">
      <c r="A897" s="569"/>
      <c r="B897" s="574"/>
      <c r="C897" s="575"/>
      <c r="D897" s="576"/>
      <c r="E897" s="101"/>
      <c r="F897" s="101"/>
      <c r="G897" s="35"/>
      <c r="H897" s="104"/>
      <c r="I897" s="35"/>
      <c r="J897" s="74"/>
      <c r="K897" s="74"/>
      <c r="L897" s="74"/>
      <c r="M897" s="74"/>
      <c r="N897" s="74"/>
      <c r="O897" s="74"/>
      <c r="P897" s="74"/>
      <c r="Q897" s="74"/>
      <c r="R897" s="74"/>
      <c r="S897" s="74"/>
      <c r="T897" s="74"/>
      <c r="U897" s="74"/>
      <c r="V897" s="74"/>
      <c r="W897" s="74"/>
      <c r="X897" s="74"/>
      <c r="Y897" s="74"/>
      <c r="Z897" s="74"/>
      <c r="AA897" s="74"/>
      <c r="AB897" s="74"/>
    </row>
    <row r="898" spans="1:28" ht="12" customHeight="1">
      <c r="A898" s="569"/>
      <c r="B898" s="574"/>
      <c r="C898" s="575"/>
      <c r="D898" s="576"/>
      <c r="E898" s="101"/>
      <c r="F898" s="101"/>
      <c r="G898" s="35"/>
      <c r="H898" s="104"/>
      <c r="I898" s="35"/>
      <c r="J898" s="74"/>
      <c r="K898" s="74"/>
      <c r="L898" s="74"/>
      <c r="M898" s="74"/>
      <c r="N898" s="74"/>
      <c r="O898" s="74"/>
      <c r="P898" s="74"/>
      <c r="Q898" s="74"/>
      <c r="R898" s="74"/>
      <c r="S898" s="74"/>
      <c r="T898" s="74"/>
      <c r="U898" s="74"/>
      <c r="V898" s="74"/>
      <c r="W898" s="74"/>
      <c r="X898" s="74"/>
      <c r="Y898" s="74"/>
      <c r="Z898" s="74"/>
      <c r="AA898" s="74"/>
      <c r="AB898" s="74"/>
    </row>
    <row r="899" spans="1:28" ht="12" customHeight="1">
      <c r="A899" s="569"/>
      <c r="B899" s="574"/>
      <c r="C899" s="575"/>
      <c r="D899" s="576"/>
      <c r="E899" s="101"/>
      <c r="F899" s="101"/>
      <c r="G899" s="35"/>
      <c r="H899" s="104"/>
      <c r="I899" s="35"/>
      <c r="J899" s="74"/>
      <c r="K899" s="74"/>
      <c r="L899" s="74"/>
      <c r="M899" s="74"/>
      <c r="N899" s="74"/>
      <c r="O899" s="74"/>
      <c r="P899" s="74"/>
      <c r="Q899" s="74"/>
      <c r="R899" s="74"/>
      <c r="S899" s="74"/>
      <c r="T899" s="74"/>
      <c r="U899" s="74"/>
      <c r="V899" s="74"/>
      <c r="W899" s="74"/>
      <c r="X899" s="74"/>
      <c r="Y899" s="74"/>
      <c r="Z899" s="74"/>
      <c r="AA899" s="74"/>
      <c r="AB899" s="74"/>
    </row>
    <row r="900" spans="1:28" ht="12" customHeight="1">
      <c r="A900" s="569"/>
      <c r="B900" s="574"/>
      <c r="C900" s="575"/>
      <c r="D900" s="576"/>
      <c r="E900" s="101"/>
      <c r="F900" s="101"/>
      <c r="G900" s="35"/>
      <c r="H900" s="104"/>
      <c r="I900" s="35"/>
      <c r="J900" s="74"/>
      <c r="K900" s="74"/>
      <c r="L900" s="74"/>
      <c r="M900" s="74"/>
      <c r="N900" s="74"/>
      <c r="O900" s="74"/>
      <c r="P900" s="74"/>
      <c r="Q900" s="74"/>
      <c r="R900" s="74"/>
      <c r="S900" s="74"/>
      <c r="T900" s="74"/>
      <c r="U900" s="74"/>
      <c r="V900" s="74"/>
      <c r="W900" s="74"/>
      <c r="X900" s="74"/>
      <c r="Y900" s="74"/>
      <c r="Z900" s="74"/>
      <c r="AA900" s="74"/>
      <c r="AB900" s="74"/>
    </row>
    <row r="901" spans="1:28" ht="12" customHeight="1">
      <c r="A901" s="569"/>
      <c r="B901" s="574"/>
      <c r="C901" s="575"/>
      <c r="D901" s="576"/>
      <c r="E901" s="101"/>
      <c r="F901" s="101"/>
      <c r="G901" s="35"/>
      <c r="H901" s="104"/>
      <c r="I901" s="35"/>
      <c r="J901" s="74"/>
      <c r="K901" s="74"/>
      <c r="L901" s="74"/>
      <c r="M901" s="74"/>
      <c r="N901" s="74"/>
      <c r="O901" s="74"/>
      <c r="P901" s="74"/>
      <c r="Q901" s="74"/>
      <c r="R901" s="74"/>
      <c r="S901" s="74"/>
      <c r="T901" s="74"/>
      <c r="U901" s="74"/>
      <c r="V901" s="74"/>
      <c r="W901" s="74"/>
      <c r="X901" s="74"/>
      <c r="Y901" s="74"/>
      <c r="Z901" s="74"/>
      <c r="AA901" s="74"/>
      <c r="AB901" s="74"/>
    </row>
    <row r="902" spans="1:28" ht="12" customHeight="1">
      <c r="A902" s="569"/>
      <c r="B902" s="574"/>
      <c r="C902" s="575"/>
      <c r="D902" s="576"/>
      <c r="E902" s="101"/>
      <c r="F902" s="101"/>
      <c r="G902" s="35"/>
      <c r="H902" s="104"/>
      <c r="I902" s="35"/>
      <c r="J902" s="74"/>
      <c r="K902" s="74"/>
      <c r="L902" s="74"/>
      <c r="M902" s="74"/>
      <c r="N902" s="74"/>
      <c r="O902" s="74"/>
      <c r="P902" s="74"/>
      <c r="Q902" s="74"/>
      <c r="R902" s="74"/>
      <c r="S902" s="74"/>
      <c r="T902" s="74"/>
      <c r="U902" s="74"/>
      <c r="V902" s="74"/>
      <c r="W902" s="74"/>
      <c r="X902" s="74"/>
      <c r="Y902" s="74"/>
      <c r="Z902" s="74"/>
      <c r="AA902" s="74"/>
      <c r="AB902" s="74"/>
    </row>
    <row r="903" spans="1:28" ht="12" customHeight="1">
      <c r="A903" s="569"/>
      <c r="B903" s="574"/>
      <c r="C903" s="575"/>
      <c r="D903" s="576"/>
      <c r="E903" s="101"/>
      <c r="F903" s="101"/>
      <c r="G903" s="35"/>
      <c r="H903" s="104"/>
      <c r="I903" s="35"/>
      <c r="J903" s="74"/>
      <c r="K903" s="74"/>
      <c r="L903" s="74"/>
      <c r="M903" s="74"/>
      <c r="N903" s="74"/>
      <c r="O903" s="74"/>
      <c r="P903" s="74"/>
      <c r="Q903" s="74"/>
      <c r="R903" s="74"/>
      <c r="S903" s="74"/>
      <c r="T903" s="74"/>
      <c r="U903" s="74"/>
      <c r="V903" s="74"/>
      <c r="W903" s="74"/>
      <c r="X903" s="74"/>
      <c r="Y903" s="74"/>
      <c r="Z903" s="74"/>
      <c r="AA903" s="74"/>
      <c r="AB903" s="74"/>
    </row>
    <row r="904" spans="1:28" ht="12" customHeight="1">
      <c r="A904" s="569"/>
      <c r="B904" s="574"/>
      <c r="C904" s="575"/>
      <c r="D904" s="576"/>
      <c r="E904" s="101"/>
      <c r="F904" s="101"/>
      <c r="G904" s="35"/>
      <c r="H904" s="104"/>
      <c r="I904" s="35"/>
      <c r="J904" s="74"/>
      <c r="K904" s="74"/>
      <c r="L904" s="74"/>
      <c r="M904" s="74"/>
      <c r="N904" s="74"/>
      <c r="O904" s="74"/>
      <c r="P904" s="74"/>
      <c r="Q904" s="74"/>
      <c r="R904" s="74"/>
      <c r="S904" s="74"/>
      <c r="T904" s="74"/>
      <c r="U904" s="74"/>
      <c r="V904" s="74"/>
      <c r="W904" s="74"/>
      <c r="X904" s="74"/>
      <c r="Y904" s="74"/>
      <c r="Z904" s="74"/>
      <c r="AA904" s="74"/>
      <c r="AB904" s="74"/>
    </row>
    <row r="905" spans="1:28" ht="12" customHeight="1">
      <c r="A905" s="569"/>
      <c r="B905" s="574"/>
      <c r="C905" s="575"/>
      <c r="D905" s="576"/>
      <c r="E905" s="101"/>
      <c r="F905" s="101"/>
      <c r="G905" s="35"/>
      <c r="H905" s="104"/>
      <c r="I905" s="35"/>
      <c r="J905" s="74"/>
      <c r="K905" s="74"/>
      <c r="L905" s="74"/>
      <c r="M905" s="74"/>
      <c r="N905" s="74"/>
      <c r="O905" s="74"/>
      <c r="P905" s="74"/>
      <c r="Q905" s="74"/>
      <c r="R905" s="74"/>
      <c r="S905" s="74"/>
      <c r="T905" s="74"/>
      <c r="U905" s="74"/>
      <c r="V905" s="74"/>
      <c r="W905" s="74"/>
      <c r="X905" s="74"/>
      <c r="Y905" s="74"/>
      <c r="Z905" s="74"/>
      <c r="AA905" s="74"/>
      <c r="AB905" s="74"/>
    </row>
    <row r="906" spans="1:28" ht="12" customHeight="1">
      <c r="A906" s="569"/>
      <c r="B906" s="574"/>
      <c r="C906" s="575"/>
      <c r="D906" s="576"/>
      <c r="E906" s="101"/>
      <c r="F906" s="101"/>
      <c r="G906" s="35"/>
      <c r="H906" s="104"/>
      <c r="I906" s="35"/>
      <c r="J906" s="74"/>
      <c r="K906" s="74"/>
      <c r="L906" s="74"/>
      <c r="M906" s="74"/>
      <c r="N906" s="74"/>
      <c r="O906" s="74"/>
      <c r="P906" s="74"/>
      <c r="Q906" s="74"/>
      <c r="R906" s="74"/>
      <c r="S906" s="74"/>
      <c r="T906" s="74"/>
      <c r="U906" s="74"/>
      <c r="V906" s="74"/>
      <c r="W906" s="74"/>
      <c r="X906" s="74"/>
      <c r="Y906" s="74"/>
      <c r="Z906" s="74"/>
      <c r="AA906" s="74"/>
      <c r="AB906" s="74"/>
    </row>
    <row r="907" spans="1:28" ht="12" customHeight="1">
      <c r="A907" s="569"/>
      <c r="B907" s="574"/>
      <c r="C907" s="575"/>
      <c r="D907" s="576"/>
      <c r="E907" s="101"/>
      <c r="F907" s="101"/>
      <c r="G907" s="35"/>
      <c r="H907" s="104"/>
      <c r="I907" s="35"/>
      <c r="J907" s="74"/>
      <c r="K907" s="74"/>
      <c r="L907" s="74"/>
      <c r="M907" s="74"/>
      <c r="N907" s="74"/>
      <c r="O907" s="74"/>
      <c r="P907" s="74"/>
      <c r="Q907" s="74"/>
      <c r="R907" s="74"/>
      <c r="S907" s="74"/>
      <c r="T907" s="74"/>
      <c r="U907" s="74"/>
      <c r="V907" s="74"/>
      <c r="W907" s="74"/>
      <c r="X907" s="74"/>
      <c r="Y907" s="74"/>
      <c r="Z907" s="74"/>
      <c r="AA907" s="74"/>
      <c r="AB907" s="74"/>
    </row>
    <row r="908" spans="1:28" ht="12" customHeight="1">
      <c r="A908" s="569"/>
      <c r="B908" s="574"/>
      <c r="C908" s="575"/>
      <c r="D908" s="576"/>
      <c r="E908" s="101"/>
      <c r="F908" s="101"/>
      <c r="G908" s="35"/>
      <c r="H908" s="104"/>
      <c r="I908" s="35"/>
      <c r="J908" s="74"/>
      <c r="K908" s="74"/>
      <c r="L908" s="74"/>
      <c r="M908" s="74"/>
      <c r="N908" s="74"/>
      <c r="O908" s="74"/>
      <c r="P908" s="74"/>
      <c r="Q908" s="74"/>
      <c r="R908" s="74"/>
      <c r="S908" s="74"/>
      <c r="T908" s="74"/>
      <c r="U908" s="74"/>
      <c r="V908" s="74"/>
      <c r="W908" s="74"/>
      <c r="X908" s="74"/>
      <c r="Y908" s="74"/>
      <c r="Z908" s="74"/>
      <c r="AA908" s="74"/>
      <c r="AB908" s="74"/>
    </row>
    <row r="909" spans="1:28" ht="12" customHeight="1">
      <c r="A909" s="569"/>
      <c r="B909" s="574"/>
      <c r="C909" s="575"/>
      <c r="D909" s="576"/>
      <c r="E909" s="101"/>
      <c r="F909" s="101"/>
      <c r="G909" s="35"/>
      <c r="H909" s="104"/>
      <c r="I909" s="35"/>
      <c r="J909" s="74"/>
      <c r="K909" s="74"/>
      <c r="L909" s="74"/>
      <c r="M909" s="74"/>
      <c r="N909" s="74"/>
      <c r="O909" s="74"/>
      <c r="P909" s="74"/>
      <c r="Q909" s="74"/>
      <c r="R909" s="74"/>
      <c r="S909" s="74"/>
      <c r="T909" s="74"/>
      <c r="U909" s="74"/>
      <c r="V909" s="74"/>
      <c r="W909" s="74"/>
      <c r="X909" s="74"/>
      <c r="Y909" s="74"/>
      <c r="Z909" s="74"/>
      <c r="AA909" s="74"/>
      <c r="AB909" s="74"/>
    </row>
    <row r="910" spans="1:28" ht="12" customHeight="1">
      <c r="A910" s="569"/>
      <c r="B910" s="574"/>
      <c r="C910" s="575"/>
      <c r="D910" s="576"/>
      <c r="E910" s="101"/>
      <c r="F910" s="101"/>
      <c r="G910" s="35"/>
      <c r="H910" s="104"/>
      <c r="I910" s="35"/>
      <c r="J910" s="74"/>
      <c r="K910" s="74"/>
      <c r="L910" s="74"/>
      <c r="M910" s="74"/>
      <c r="N910" s="74"/>
      <c r="O910" s="74"/>
      <c r="P910" s="74"/>
      <c r="Q910" s="74"/>
      <c r="R910" s="74"/>
      <c r="S910" s="74"/>
      <c r="T910" s="74"/>
      <c r="U910" s="74"/>
      <c r="V910" s="74"/>
      <c r="W910" s="74"/>
      <c r="X910" s="74"/>
      <c r="Y910" s="74"/>
      <c r="Z910" s="74"/>
      <c r="AA910" s="74"/>
      <c r="AB910" s="74"/>
    </row>
    <row r="911" spans="1:28" ht="12" customHeight="1">
      <c r="A911" s="569"/>
      <c r="B911" s="574"/>
      <c r="C911" s="575"/>
      <c r="D911" s="576"/>
      <c r="E911" s="101"/>
      <c r="F911" s="101"/>
      <c r="G911" s="35"/>
      <c r="H911" s="104"/>
      <c r="I911" s="35"/>
      <c r="J911" s="74"/>
      <c r="K911" s="74"/>
      <c r="L911" s="74"/>
      <c r="M911" s="74"/>
      <c r="N911" s="74"/>
      <c r="O911" s="74"/>
      <c r="P911" s="74"/>
      <c r="Q911" s="74"/>
      <c r="R911" s="74"/>
      <c r="S911" s="74"/>
      <c r="T911" s="74"/>
      <c r="U911" s="74"/>
      <c r="V911" s="74"/>
      <c r="W911" s="74"/>
      <c r="X911" s="74"/>
      <c r="Y911" s="74"/>
      <c r="Z911" s="74"/>
      <c r="AA911" s="74"/>
      <c r="AB911" s="74"/>
    </row>
    <row r="912" spans="1:28" ht="12" customHeight="1">
      <c r="A912" s="569"/>
      <c r="B912" s="574"/>
      <c r="C912" s="575"/>
      <c r="D912" s="576"/>
      <c r="E912" s="101"/>
      <c r="F912" s="101"/>
      <c r="G912" s="35"/>
      <c r="H912" s="104"/>
      <c r="I912" s="35"/>
      <c r="J912" s="74"/>
      <c r="K912" s="74"/>
      <c r="L912" s="74"/>
      <c r="M912" s="74"/>
      <c r="N912" s="74"/>
      <c r="O912" s="74"/>
      <c r="P912" s="74"/>
      <c r="Q912" s="74"/>
      <c r="R912" s="74"/>
      <c r="S912" s="74"/>
      <c r="T912" s="74"/>
      <c r="U912" s="74"/>
      <c r="V912" s="74"/>
      <c r="W912" s="74"/>
      <c r="X912" s="74"/>
      <c r="Y912" s="74"/>
      <c r="Z912" s="74"/>
      <c r="AA912" s="74"/>
      <c r="AB912" s="74"/>
    </row>
    <row r="913" spans="1:28" ht="12" customHeight="1">
      <c r="A913" s="569"/>
      <c r="B913" s="574"/>
      <c r="C913" s="575"/>
      <c r="D913" s="576"/>
      <c r="E913" s="101"/>
      <c r="F913" s="101"/>
      <c r="G913" s="35"/>
      <c r="H913" s="104"/>
      <c r="I913" s="35"/>
      <c r="J913" s="74"/>
      <c r="K913" s="74"/>
      <c r="L913" s="74"/>
      <c r="M913" s="74"/>
      <c r="N913" s="74"/>
      <c r="O913" s="74"/>
      <c r="P913" s="74"/>
      <c r="Q913" s="74"/>
      <c r="R913" s="74"/>
      <c r="S913" s="74"/>
      <c r="T913" s="74"/>
      <c r="U913" s="74"/>
      <c r="V913" s="74"/>
      <c r="W913" s="74"/>
      <c r="X913" s="74"/>
      <c r="Y913" s="74"/>
      <c r="Z913" s="74"/>
      <c r="AA913" s="74"/>
      <c r="AB913" s="74"/>
    </row>
    <row r="914" spans="1:28" ht="12" customHeight="1">
      <c r="A914" s="569"/>
      <c r="B914" s="574"/>
      <c r="C914" s="575"/>
      <c r="D914" s="576"/>
      <c r="E914" s="101"/>
      <c r="F914" s="101"/>
      <c r="G914" s="35"/>
      <c r="H914" s="104"/>
      <c r="I914" s="35"/>
      <c r="J914" s="74"/>
      <c r="K914" s="74"/>
      <c r="L914" s="74"/>
      <c r="M914" s="74"/>
      <c r="N914" s="74"/>
      <c r="O914" s="74"/>
      <c r="P914" s="74"/>
      <c r="Q914" s="74"/>
      <c r="R914" s="74"/>
      <c r="S914" s="74"/>
      <c r="T914" s="74"/>
      <c r="U914" s="74"/>
      <c r="V914" s="74"/>
      <c r="W914" s="74"/>
      <c r="X914" s="74"/>
      <c r="Y914" s="74"/>
      <c r="Z914" s="74"/>
      <c r="AA914" s="74"/>
      <c r="AB914" s="74"/>
    </row>
    <row r="915" spans="1:28" ht="12" customHeight="1">
      <c r="A915" s="569"/>
      <c r="B915" s="574"/>
      <c r="C915" s="575"/>
      <c r="D915" s="576"/>
      <c r="E915" s="101"/>
      <c r="F915" s="101"/>
      <c r="G915" s="35"/>
      <c r="H915" s="104"/>
      <c r="I915" s="35"/>
      <c r="J915" s="74"/>
      <c r="K915" s="74"/>
      <c r="L915" s="74"/>
      <c r="M915" s="74"/>
      <c r="N915" s="74"/>
      <c r="O915" s="74"/>
      <c r="P915" s="74"/>
      <c r="Q915" s="74"/>
      <c r="R915" s="74"/>
      <c r="S915" s="74"/>
      <c r="T915" s="74"/>
      <c r="U915" s="74"/>
      <c r="V915" s="74"/>
      <c r="W915" s="74"/>
      <c r="X915" s="74"/>
      <c r="Y915" s="74"/>
      <c r="Z915" s="74"/>
      <c r="AA915" s="74"/>
      <c r="AB915" s="74"/>
    </row>
    <row r="916" spans="1:28" ht="12" customHeight="1">
      <c r="A916" s="569"/>
      <c r="B916" s="574"/>
      <c r="C916" s="575"/>
      <c r="D916" s="576"/>
      <c r="E916" s="101"/>
      <c r="F916" s="101"/>
      <c r="G916" s="35"/>
      <c r="H916" s="104"/>
      <c r="I916" s="35"/>
      <c r="J916" s="74"/>
      <c r="K916" s="74"/>
      <c r="L916" s="74"/>
      <c r="M916" s="74"/>
      <c r="N916" s="74"/>
      <c r="O916" s="74"/>
      <c r="P916" s="74"/>
      <c r="Q916" s="74"/>
      <c r="R916" s="74"/>
      <c r="S916" s="74"/>
      <c r="T916" s="74"/>
      <c r="U916" s="74"/>
      <c r="V916" s="74"/>
      <c r="W916" s="74"/>
      <c r="X916" s="74"/>
      <c r="Y916" s="74"/>
      <c r="Z916" s="74"/>
      <c r="AA916" s="74"/>
      <c r="AB916" s="74"/>
    </row>
    <row r="917" spans="1:28" ht="12" customHeight="1">
      <c r="A917" s="569"/>
      <c r="B917" s="574"/>
      <c r="C917" s="575"/>
      <c r="D917" s="576"/>
      <c r="E917" s="101"/>
      <c r="F917" s="101"/>
      <c r="G917" s="35"/>
      <c r="H917" s="104"/>
      <c r="I917" s="35"/>
      <c r="J917" s="74"/>
      <c r="K917" s="74"/>
      <c r="L917" s="74"/>
      <c r="M917" s="74"/>
      <c r="N917" s="74"/>
      <c r="O917" s="74"/>
      <c r="P917" s="74"/>
      <c r="Q917" s="74"/>
      <c r="R917" s="74"/>
      <c r="S917" s="74"/>
      <c r="T917" s="74"/>
      <c r="U917" s="74"/>
      <c r="V917" s="74"/>
      <c r="W917" s="74"/>
      <c r="X917" s="74"/>
      <c r="Y917" s="74"/>
      <c r="Z917" s="74"/>
      <c r="AA917" s="74"/>
      <c r="AB917" s="74"/>
    </row>
    <row r="918" spans="1:28" ht="12" customHeight="1">
      <c r="A918" s="569"/>
      <c r="B918" s="574"/>
      <c r="C918" s="575"/>
      <c r="D918" s="576"/>
      <c r="E918" s="101"/>
      <c r="F918" s="101"/>
      <c r="G918" s="35"/>
      <c r="H918" s="104"/>
      <c r="I918" s="35"/>
      <c r="J918" s="74"/>
      <c r="K918" s="74"/>
      <c r="L918" s="74"/>
      <c r="M918" s="74"/>
      <c r="N918" s="74"/>
      <c r="O918" s="74"/>
      <c r="P918" s="74"/>
      <c r="Q918" s="74"/>
      <c r="R918" s="74"/>
      <c r="S918" s="74"/>
      <c r="T918" s="74"/>
      <c r="U918" s="74"/>
      <c r="V918" s="74"/>
      <c r="W918" s="74"/>
      <c r="X918" s="74"/>
      <c r="Y918" s="74"/>
      <c r="Z918" s="74"/>
      <c r="AA918" s="74"/>
      <c r="AB918" s="74"/>
    </row>
    <row r="919" spans="1:28" ht="12" customHeight="1">
      <c r="A919" s="569"/>
      <c r="B919" s="574"/>
      <c r="C919" s="575"/>
      <c r="D919" s="576"/>
      <c r="E919" s="101"/>
      <c r="F919" s="101"/>
      <c r="G919" s="35"/>
      <c r="H919" s="104"/>
      <c r="I919" s="35"/>
      <c r="J919" s="74"/>
      <c r="K919" s="74"/>
      <c r="L919" s="74"/>
      <c r="M919" s="74"/>
      <c r="N919" s="74"/>
      <c r="O919" s="74"/>
      <c r="P919" s="74"/>
      <c r="Q919" s="74"/>
      <c r="R919" s="74"/>
      <c r="S919" s="74"/>
      <c r="T919" s="74"/>
      <c r="U919" s="74"/>
      <c r="V919" s="74"/>
      <c r="W919" s="74"/>
      <c r="X919" s="74"/>
      <c r="Y919" s="74"/>
      <c r="Z919" s="74"/>
      <c r="AA919" s="74"/>
      <c r="AB919" s="74"/>
    </row>
    <row r="920" spans="1:28" ht="12" customHeight="1">
      <c r="A920" s="569"/>
      <c r="B920" s="574"/>
      <c r="C920" s="575"/>
      <c r="D920" s="576"/>
      <c r="E920" s="101"/>
      <c r="F920" s="101"/>
      <c r="G920" s="35"/>
      <c r="H920" s="104"/>
      <c r="I920" s="35"/>
      <c r="J920" s="74"/>
      <c r="K920" s="74"/>
      <c r="L920" s="74"/>
      <c r="M920" s="74"/>
      <c r="N920" s="74"/>
      <c r="O920" s="74"/>
      <c r="P920" s="74"/>
      <c r="Q920" s="74"/>
      <c r="R920" s="74"/>
      <c r="S920" s="74"/>
      <c r="T920" s="74"/>
      <c r="U920" s="74"/>
      <c r="V920" s="74"/>
      <c r="W920" s="74"/>
      <c r="X920" s="74"/>
      <c r="Y920" s="74"/>
      <c r="Z920" s="74"/>
      <c r="AA920" s="74"/>
      <c r="AB920" s="74"/>
    </row>
    <row r="921" spans="1:28" ht="12" customHeight="1">
      <c r="A921" s="569"/>
      <c r="B921" s="574"/>
      <c r="C921" s="575"/>
      <c r="D921" s="576"/>
      <c r="E921" s="101"/>
      <c r="F921" s="101"/>
      <c r="G921" s="35"/>
      <c r="H921" s="104"/>
      <c r="I921" s="35"/>
      <c r="J921" s="74"/>
      <c r="K921" s="74"/>
      <c r="L921" s="74"/>
      <c r="M921" s="74"/>
      <c r="N921" s="74"/>
      <c r="O921" s="74"/>
      <c r="P921" s="74"/>
      <c r="Q921" s="74"/>
      <c r="R921" s="74"/>
      <c r="S921" s="74"/>
      <c r="T921" s="74"/>
      <c r="U921" s="74"/>
      <c r="V921" s="74"/>
      <c r="W921" s="74"/>
      <c r="X921" s="74"/>
      <c r="Y921" s="74"/>
      <c r="Z921" s="74"/>
      <c r="AA921" s="74"/>
      <c r="AB921" s="74"/>
    </row>
    <row r="922" spans="1:28" ht="12" customHeight="1">
      <c r="A922" s="569"/>
      <c r="B922" s="574"/>
      <c r="C922" s="575"/>
      <c r="D922" s="576"/>
      <c r="E922" s="101"/>
      <c r="F922" s="101"/>
      <c r="G922" s="35"/>
      <c r="H922" s="104"/>
      <c r="I922" s="35"/>
      <c r="J922" s="74"/>
      <c r="K922" s="74"/>
      <c r="L922" s="74"/>
      <c r="M922" s="74"/>
      <c r="N922" s="74"/>
      <c r="O922" s="74"/>
      <c r="P922" s="74"/>
      <c r="Q922" s="74"/>
      <c r="R922" s="74"/>
      <c r="S922" s="74"/>
      <c r="T922" s="74"/>
      <c r="U922" s="74"/>
      <c r="V922" s="74"/>
      <c r="W922" s="74"/>
      <c r="X922" s="74"/>
      <c r="Y922" s="74"/>
      <c r="Z922" s="74"/>
      <c r="AA922" s="74"/>
      <c r="AB922" s="74"/>
    </row>
    <row r="923" spans="1:28" ht="12" customHeight="1">
      <c r="A923" s="569"/>
      <c r="B923" s="574"/>
      <c r="C923" s="575"/>
      <c r="D923" s="576"/>
      <c r="E923" s="101"/>
      <c r="F923" s="101"/>
      <c r="G923" s="35"/>
      <c r="H923" s="104"/>
      <c r="I923" s="35"/>
      <c r="J923" s="74"/>
      <c r="K923" s="74"/>
      <c r="L923" s="74"/>
      <c r="M923" s="74"/>
      <c r="N923" s="74"/>
      <c r="O923" s="74"/>
      <c r="P923" s="74"/>
      <c r="Q923" s="74"/>
      <c r="R923" s="74"/>
      <c r="S923" s="74"/>
      <c r="T923" s="74"/>
      <c r="U923" s="74"/>
      <c r="V923" s="74"/>
      <c r="W923" s="74"/>
      <c r="X923" s="74"/>
      <c r="Y923" s="74"/>
      <c r="Z923" s="74"/>
      <c r="AA923" s="74"/>
      <c r="AB923" s="74"/>
    </row>
    <row r="924" spans="1:28" ht="12" customHeight="1">
      <c r="A924" s="569"/>
      <c r="B924" s="574"/>
      <c r="C924" s="575"/>
      <c r="D924" s="576"/>
      <c r="E924" s="101"/>
      <c r="F924" s="101"/>
      <c r="G924" s="35"/>
      <c r="H924" s="104"/>
      <c r="I924" s="35"/>
      <c r="J924" s="74"/>
      <c r="K924" s="74"/>
      <c r="L924" s="74"/>
      <c r="M924" s="74"/>
      <c r="N924" s="74"/>
      <c r="O924" s="74"/>
      <c r="P924" s="74"/>
      <c r="Q924" s="74"/>
      <c r="R924" s="74"/>
      <c r="S924" s="74"/>
      <c r="T924" s="74"/>
      <c r="U924" s="74"/>
      <c r="V924" s="74"/>
      <c r="W924" s="74"/>
      <c r="X924" s="74"/>
      <c r="Y924" s="74"/>
      <c r="Z924" s="74"/>
      <c r="AA924" s="74"/>
      <c r="AB924" s="74"/>
    </row>
    <row r="925" spans="1:28" ht="12" customHeight="1">
      <c r="A925" s="569"/>
      <c r="B925" s="574"/>
      <c r="C925" s="575"/>
      <c r="D925" s="576"/>
      <c r="E925" s="101"/>
      <c r="F925" s="101"/>
      <c r="G925" s="35"/>
      <c r="H925" s="104"/>
      <c r="I925" s="35"/>
      <c r="J925" s="74"/>
      <c r="K925" s="74"/>
      <c r="L925" s="74"/>
      <c r="M925" s="74"/>
      <c r="N925" s="74"/>
      <c r="O925" s="74"/>
      <c r="P925" s="74"/>
      <c r="Q925" s="74"/>
      <c r="R925" s="74"/>
      <c r="S925" s="74"/>
      <c r="T925" s="74"/>
      <c r="U925" s="74"/>
      <c r="V925" s="74"/>
      <c r="W925" s="74"/>
      <c r="X925" s="74"/>
      <c r="Y925" s="74"/>
      <c r="Z925" s="74"/>
      <c r="AA925" s="74"/>
      <c r="AB925" s="74"/>
    </row>
    <row r="926" spans="1:28" ht="12" customHeight="1">
      <c r="A926" s="569"/>
      <c r="B926" s="574"/>
      <c r="C926" s="575"/>
      <c r="D926" s="576"/>
      <c r="E926" s="101"/>
      <c r="F926" s="101"/>
      <c r="G926" s="35"/>
      <c r="H926" s="104"/>
      <c r="I926" s="35"/>
      <c r="J926" s="74"/>
      <c r="K926" s="74"/>
      <c r="L926" s="74"/>
      <c r="M926" s="74"/>
      <c r="N926" s="74"/>
      <c r="O926" s="74"/>
      <c r="P926" s="74"/>
      <c r="Q926" s="74"/>
      <c r="R926" s="74"/>
      <c r="S926" s="74"/>
      <c r="T926" s="74"/>
      <c r="U926" s="74"/>
      <c r="V926" s="74"/>
      <c r="W926" s="74"/>
      <c r="X926" s="74"/>
      <c r="Y926" s="74"/>
      <c r="Z926" s="74"/>
      <c r="AA926" s="74"/>
      <c r="AB926" s="74"/>
    </row>
    <row r="927" spans="1:28" ht="12" customHeight="1">
      <c r="A927" s="569"/>
      <c r="B927" s="574"/>
      <c r="C927" s="575"/>
      <c r="D927" s="576"/>
      <c r="E927" s="101"/>
      <c r="F927" s="101"/>
      <c r="G927" s="35"/>
      <c r="H927" s="104"/>
      <c r="I927" s="35"/>
      <c r="J927" s="74"/>
      <c r="K927" s="74"/>
      <c r="L927" s="74"/>
      <c r="M927" s="74"/>
      <c r="N927" s="74"/>
      <c r="O927" s="74"/>
      <c r="P927" s="74"/>
      <c r="Q927" s="74"/>
      <c r="R927" s="74"/>
      <c r="S927" s="74"/>
      <c r="T927" s="74"/>
      <c r="U927" s="74"/>
      <c r="V927" s="74"/>
      <c r="W927" s="74"/>
      <c r="X927" s="74"/>
      <c r="Y927" s="74"/>
      <c r="Z927" s="74"/>
      <c r="AA927" s="74"/>
      <c r="AB927" s="74"/>
    </row>
    <row r="928" spans="1:28" ht="12" customHeight="1">
      <c r="A928" s="569"/>
      <c r="B928" s="574"/>
      <c r="C928" s="575"/>
      <c r="D928" s="576"/>
      <c r="E928" s="101"/>
      <c r="F928" s="101"/>
      <c r="G928" s="35"/>
      <c r="H928" s="104"/>
      <c r="I928" s="35"/>
      <c r="J928" s="74"/>
      <c r="K928" s="74"/>
      <c r="L928" s="74"/>
      <c r="M928" s="74"/>
      <c r="N928" s="74"/>
      <c r="O928" s="74"/>
      <c r="P928" s="74"/>
      <c r="Q928" s="74"/>
      <c r="R928" s="74"/>
      <c r="S928" s="74"/>
      <c r="T928" s="74"/>
      <c r="U928" s="74"/>
      <c r="V928" s="74"/>
      <c r="W928" s="74"/>
      <c r="X928" s="74"/>
      <c r="Y928" s="74"/>
      <c r="Z928" s="74"/>
      <c r="AA928" s="74"/>
      <c r="AB928" s="74"/>
    </row>
    <row r="929" spans="1:28" ht="12" customHeight="1">
      <c r="A929" s="569"/>
      <c r="B929" s="574"/>
      <c r="C929" s="575"/>
      <c r="D929" s="576"/>
      <c r="E929" s="101"/>
      <c r="F929" s="101"/>
      <c r="G929" s="35"/>
      <c r="H929" s="104"/>
      <c r="I929" s="35"/>
      <c r="J929" s="74"/>
      <c r="K929" s="74"/>
      <c r="L929" s="74"/>
      <c r="M929" s="74"/>
      <c r="N929" s="74"/>
      <c r="O929" s="74"/>
      <c r="P929" s="74"/>
      <c r="Q929" s="74"/>
      <c r="R929" s="74"/>
      <c r="S929" s="74"/>
      <c r="T929" s="74"/>
      <c r="U929" s="74"/>
      <c r="V929" s="74"/>
      <c r="W929" s="74"/>
      <c r="X929" s="74"/>
      <c r="Y929" s="74"/>
      <c r="Z929" s="74"/>
      <c r="AA929" s="74"/>
      <c r="AB929" s="74"/>
    </row>
    <row r="930" spans="1:28" ht="12" customHeight="1">
      <c r="A930" s="569"/>
      <c r="B930" s="574"/>
      <c r="C930" s="575"/>
      <c r="D930" s="576"/>
      <c r="E930" s="101"/>
      <c r="F930" s="101"/>
      <c r="G930" s="35"/>
      <c r="H930" s="104"/>
      <c r="I930" s="35"/>
      <c r="J930" s="74"/>
      <c r="K930" s="74"/>
      <c r="L930" s="74"/>
      <c r="M930" s="74"/>
      <c r="N930" s="74"/>
      <c r="O930" s="74"/>
      <c r="P930" s="74"/>
      <c r="Q930" s="74"/>
      <c r="R930" s="74"/>
      <c r="S930" s="74"/>
      <c r="T930" s="74"/>
      <c r="U930" s="74"/>
      <c r="V930" s="74"/>
      <c r="W930" s="74"/>
      <c r="X930" s="74"/>
      <c r="Y930" s="74"/>
      <c r="Z930" s="74"/>
      <c r="AA930" s="74"/>
      <c r="AB930" s="74"/>
    </row>
    <row r="931" spans="1:28" ht="12" customHeight="1">
      <c r="A931" s="569"/>
      <c r="B931" s="574"/>
      <c r="C931" s="575"/>
      <c r="D931" s="576"/>
      <c r="E931" s="101"/>
      <c r="F931" s="101"/>
      <c r="G931" s="35"/>
      <c r="H931" s="104"/>
      <c r="I931" s="35"/>
      <c r="J931" s="74"/>
      <c r="K931" s="74"/>
      <c r="L931" s="74"/>
      <c r="M931" s="74"/>
      <c r="N931" s="74"/>
      <c r="O931" s="74"/>
      <c r="P931" s="74"/>
      <c r="Q931" s="74"/>
      <c r="R931" s="74"/>
      <c r="S931" s="74"/>
      <c r="T931" s="74"/>
      <c r="U931" s="74"/>
      <c r="V931" s="74"/>
      <c r="W931" s="74"/>
      <c r="X931" s="74"/>
      <c r="Y931" s="74"/>
      <c r="Z931" s="74"/>
      <c r="AA931" s="74"/>
      <c r="AB931" s="74"/>
    </row>
    <row r="932" spans="1:28" ht="12" customHeight="1">
      <c r="A932" s="569"/>
      <c r="B932" s="574"/>
      <c r="C932" s="575"/>
      <c r="D932" s="576"/>
      <c r="E932" s="101"/>
      <c r="F932" s="101"/>
      <c r="G932" s="35"/>
      <c r="H932" s="104"/>
      <c r="I932" s="35"/>
      <c r="J932" s="74"/>
      <c r="K932" s="74"/>
      <c r="L932" s="74"/>
      <c r="M932" s="74"/>
      <c r="N932" s="74"/>
      <c r="O932" s="74"/>
      <c r="P932" s="74"/>
      <c r="Q932" s="74"/>
      <c r="R932" s="74"/>
      <c r="S932" s="74"/>
      <c r="T932" s="74"/>
      <c r="U932" s="74"/>
      <c r="V932" s="74"/>
      <c r="W932" s="74"/>
      <c r="X932" s="74"/>
      <c r="Y932" s="74"/>
      <c r="Z932" s="74"/>
      <c r="AA932" s="74"/>
      <c r="AB932" s="74"/>
    </row>
    <row r="933" spans="1:28" ht="12" customHeight="1">
      <c r="A933" s="569"/>
      <c r="B933" s="574"/>
      <c r="C933" s="575"/>
      <c r="D933" s="576"/>
      <c r="E933" s="101"/>
      <c r="F933" s="101"/>
      <c r="G933" s="35"/>
      <c r="H933" s="104"/>
      <c r="I933" s="35"/>
      <c r="J933" s="74"/>
      <c r="K933" s="74"/>
      <c r="L933" s="74"/>
      <c r="M933" s="74"/>
      <c r="N933" s="74"/>
      <c r="O933" s="74"/>
      <c r="P933" s="74"/>
      <c r="Q933" s="74"/>
      <c r="R933" s="74"/>
      <c r="S933" s="74"/>
      <c r="T933" s="74"/>
      <c r="U933" s="74"/>
      <c r="V933" s="74"/>
      <c r="W933" s="74"/>
      <c r="X933" s="74"/>
      <c r="Y933" s="74"/>
      <c r="Z933" s="74"/>
      <c r="AA933" s="74"/>
      <c r="AB933" s="74"/>
    </row>
    <row r="934" spans="1:28" ht="12" customHeight="1">
      <c r="A934" s="569"/>
      <c r="B934" s="574"/>
      <c r="C934" s="575"/>
      <c r="D934" s="576"/>
      <c r="E934" s="101"/>
      <c r="F934" s="101"/>
      <c r="G934" s="35"/>
      <c r="H934" s="104"/>
      <c r="I934" s="35"/>
      <c r="J934" s="74"/>
      <c r="K934" s="74"/>
      <c r="L934" s="74"/>
      <c r="M934" s="74"/>
      <c r="N934" s="74"/>
      <c r="O934" s="74"/>
      <c r="P934" s="74"/>
      <c r="Q934" s="74"/>
      <c r="R934" s="74"/>
      <c r="S934" s="74"/>
      <c r="T934" s="74"/>
      <c r="U934" s="74"/>
      <c r="V934" s="74"/>
      <c r="W934" s="74"/>
      <c r="X934" s="74"/>
      <c r="Y934" s="74"/>
      <c r="Z934" s="74"/>
      <c r="AA934" s="74"/>
      <c r="AB934" s="74"/>
    </row>
    <row r="935" spans="1:28" ht="12" customHeight="1">
      <c r="A935" s="569"/>
      <c r="B935" s="574"/>
      <c r="C935" s="575"/>
      <c r="D935" s="576"/>
      <c r="E935" s="101"/>
      <c r="F935" s="101"/>
      <c r="G935" s="35"/>
      <c r="H935" s="104"/>
      <c r="I935" s="35"/>
      <c r="J935" s="74"/>
      <c r="K935" s="74"/>
      <c r="L935" s="74"/>
      <c r="M935" s="74"/>
      <c r="N935" s="74"/>
      <c r="O935" s="74"/>
      <c r="P935" s="74"/>
      <c r="Q935" s="74"/>
      <c r="R935" s="74"/>
      <c r="S935" s="74"/>
      <c r="T935" s="74"/>
      <c r="U935" s="74"/>
      <c r="V935" s="74"/>
      <c r="W935" s="74"/>
      <c r="X935" s="74"/>
      <c r="Y935" s="74"/>
      <c r="Z935" s="74"/>
      <c r="AA935" s="74"/>
      <c r="AB935" s="74"/>
    </row>
    <row r="936" spans="1:28" ht="12" customHeight="1">
      <c r="A936" s="569"/>
      <c r="B936" s="574"/>
      <c r="C936" s="575"/>
      <c r="D936" s="576"/>
      <c r="E936" s="101"/>
      <c r="F936" s="101"/>
      <c r="G936" s="35"/>
      <c r="H936" s="104"/>
      <c r="I936" s="35"/>
      <c r="J936" s="74"/>
      <c r="K936" s="74"/>
      <c r="L936" s="74"/>
      <c r="M936" s="74"/>
      <c r="N936" s="74"/>
      <c r="O936" s="74"/>
      <c r="P936" s="74"/>
      <c r="Q936" s="74"/>
      <c r="R936" s="74"/>
      <c r="S936" s="74"/>
      <c r="T936" s="74"/>
      <c r="U936" s="74"/>
      <c r="V936" s="74"/>
      <c r="W936" s="74"/>
      <c r="X936" s="74"/>
      <c r="Y936" s="74"/>
      <c r="Z936" s="74"/>
      <c r="AA936" s="74"/>
      <c r="AB936" s="74"/>
    </row>
    <row r="937" spans="1:28" ht="12" customHeight="1">
      <c r="A937" s="569"/>
      <c r="B937" s="574"/>
      <c r="C937" s="575"/>
      <c r="D937" s="576"/>
      <c r="E937" s="101"/>
      <c r="F937" s="101"/>
      <c r="G937" s="35"/>
      <c r="H937" s="104"/>
      <c r="I937" s="35"/>
      <c r="J937" s="74"/>
      <c r="K937" s="74"/>
      <c r="L937" s="74"/>
      <c r="M937" s="74"/>
      <c r="N937" s="74"/>
      <c r="O937" s="74"/>
      <c r="P937" s="74"/>
      <c r="Q937" s="74"/>
      <c r="R937" s="74"/>
      <c r="S937" s="74"/>
      <c r="T937" s="74"/>
      <c r="U937" s="74"/>
      <c r="V937" s="74"/>
      <c r="W937" s="74"/>
      <c r="X937" s="74"/>
      <c r="Y937" s="74"/>
      <c r="Z937" s="74"/>
      <c r="AA937" s="74"/>
      <c r="AB937" s="74"/>
    </row>
    <row r="938" spans="1:28" ht="12" customHeight="1">
      <c r="A938" s="569"/>
      <c r="B938" s="574"/>
      <c r="C938" s="575"/>
      <c r="D938" s="576"/>
      <c r="E938" s="101"/>
      <c r="F938" s="101"/>
      <c r="G938" s="35"/>
      <c r="H938" s="104"/>
      <c r="I938" s="35"/>
      <c r="J938" s="74"/>
      <c r="K938" s="74"/>
      <c r="L938" s="74"/>
      <c r="M938" s="74"/>
      <c r="N938" s="74"/>
      <c r="O938" s="74"/>
      <c r="P938" s="74"/>
      <c r="Q938" s="74"/>
      <c r="R938" s="74"/>
      <c r="S938" s="74"/>
      <c r="T938" s="74"/>
      <c r="U938" s="74"/>
      <c r="V938" s="74"/>
      <c r="W938" s="74"/>
      <c r="X938" s="74"/>
      <c r="Y938" s="74"/>
      <c r="Z938" s="74"/>
      <c r="AA938" s="74"/>
      <c r="AB938" s="74"/>
    </row>
    <row r="939" spans="1:28" ht="12" customHeight="1">
      <c r="A939" s="569"/>
      <c r="B939" s="574"/>
      <c r="C939" s="575"/>
      <c r="D939" s="576"/>
      <c r="E939" s="101"/>
      <c r="F939" s="101"/>
      <c r="G939" s="35"/>
      <c r="H939" s="104"/>
      <c r="I939" s="35"/>
      <c r="J939" s="74"/>
      <c r="K939" s="74"/>
      <c r="L939" s="74"/>
      <c r="M939" s="74"/>
      <c r="N939" s="74"/>
      <c r="O939" s="74"/>
      <c r="P939" s="74"/>
      <c r="Q939" s="74"/>
      <c r="R939" s="74"/>
      <c r="S939" s="74"/>
      <c r="T939" s="74"/>
      <c r="U939" s="74"/>
      <c r="V939" s="74"/>
      <c r="W939" s="74"/>
      <c r="X939" s="74"/>
      <c r="Y939" s="74"/>
      <c r="Z939" s="74"/>
      <c r="AA939" s="74"/>
      <c r="AB939" s="74"/>
    </row>
    <row r="940" spans="1:28" ht="12" customHeight="1">
      <c r="A940" s="569"/>
      <c r="B940" s="574"/>
      <c r="C940" s="575"/>
      <c r="D940" s="576"/>
      <c r="E940" s="101"/>
      <c r="F940" s="101"/>
      <c r="G940" s="35"/>
      <c r="H940" s="104"/>
      <c r="I940" s="35"/>
      <c r="J940" s="74"/>
      <c r="K940" s="74"/>
      <c r="L940" s="74"/>
      <c r="M940" s="74"/>
      <c r="N940" s="74"/>
      <c r="O940" s="74"/>
      <c r="P940" s="74"/>
      <c r="Q940" s="74"/>
      <c r="R940" s="74"/>
      <c r="S940" s="74"/>
      <c r="T940" s="74"/>
      <c r="U940" s="74"/>
      <c r="V940" s="74"/>
      <c r="W940" s="74"/>
      <c r="X940" s="74"/>
      <c r="Y940" s="74"/>
      <c r="Z940" s="74"/>
      <c r="AA940" s="74"/>
      <c r="AB940" s="74"/>
    </row>
    <row r="941" spans="1:28" ht="12" customHeight="1">
      <c r="A941" s="569"/>
      <c r="B941" s="574"/>
      <c r="C941" s="575"/>
      <c r="D941" s="576"/>
      <c r="E941" s="101"/>
      <c r="F941" s="101"/>
      <c r="G941" s="35"/>
      <c r="H941" s="104"/>
      <c r="I941" s="35"/>
      <c r="J941" s="74"/>
      <c r="K941" s="74"/>
      <c r="L941" s="74"/>
      <c r="M941" s="74"/>
      <c r="N941" s="74"/>
      <c r="O941" s="74"/>
      <c r="P941" s="74"/>
      <c r="Q941" s="74"/>
      <c r="R941" s="74"/>
      <c r="S941" s="74"/>
      <c r="T941" s="74"/>
      <c r="U941" s="74"/>
      <c r="V941" s="74"/>
      <c r="W941" s="74"/>
      <c r="X941" s="74"/>
      <c r="Y941" s="74"/>
      <c r="Z941" s="74"/>
      <c r="AA941" s="74"/>
      <c r="AB941" s="74"/>
    </row>
    <row r="942" spans="1:28" ht="12" customHeight="1">
      <c r="A942" s="569"/>
      <c r="B942" s="574"/>
      <c r="C942" s="575"/>
      <c r="D942" s="576"/>
      <c r="E942" s="101"/>
      <c r="F942" s="101"/>
      <c r="G942" s="35"/>
      <c r="H942" s="104"/>
      <c r="I942" s="35"/>
      <c r="J942" s="74"/>
      <c r="K942" s="74"/>
      <c r="L942" s="74"/>
      <c r="M942" s="74"/>
      <c r="N942" s="74"/>
      <c r="O942" s="74"/>
      <c r="P942" s="74"/>
      <c r="Q942" s="74"/>
      <c r="R942" s="74"/>
      <c r="S942" s="74"/>
      <c r="T942" s="74"/>
      <c r="U942" s="74"/>
      <c r="V942" s="74"/>
      <c r="W942" s="74"/>
      <c r="X942" s="74"/>
      <c r="Y942" s="74"/>
      <c r="Z942" s="74"/>
      <c r="AA942" s="74"/>
      <c r="AB942" s="74"/>
    </row>
    <row r="943" spans="1:28" ht="12" customHeight="1">
      <c r="A943" s="569"/>
      <c r="B943" s="574"/>
      <c r="C943" s="575"/>
      <c r="D943" s="576"/>
      <c r="E943" s="101"/>
      <c r="F943" s="101"/>
      <c r="G943" s="35"/>
      <c r="H943" s="104"/>
      <c r="I943" s="35"/>
      <c r="J943" s="74"/>
      <c r="K943" s="74"/>
      <c r="L943" s="74"/>
      <c r="M943" s="74"/>
      <c r="N943" s="74"/>
      <c r="O943" s="74"/>
      <c r="P943" s="74"/>
      <c r="Q943" s="74"/>
      <c r="R943" s="74"/>
      <c r="S943" s="74"/>
      <c r="T943" s="74"/>
      <c r="U943" s="74"/>
      <c r="V943" s="74"/>
      <c r="W943" s="74"/>
      <c r="X943" s="74"/>
      <c r="Y943" s="74"/>
      <c r="Z943" s="74"/>
      <c r="AA943" s="74"/>
      <c r="AB943" s="74"/>
    </row>
    <row r="944" spans="1:28" ht="12" customHeight="1">
      <c r="A944" s="569"/>
      <c r="B944" s="574"/>
      <c r="C944" s="575"/>
      <c r="D944" s="576"/>
      <c r="E944" s="101"/>
      <c r="F944" s="101"/>
      <c r="G944" s="35"/>
      <c r="H944" s="104"/>
      <c r="I944" s="35"/>
      <c r="J944" s="74"/>
      <c r="K944" s="74"/>
      <c r="L944" s="74"/>
      <c r="M944" s="74"/>
      <c r="N944" s="74"/>
      <c r="O944" s="74"/>
      <c r="P944" s="74"/>
      <c r="Q944" s="74"/>
      <c r="R944" s="74"/>
      <c r="S944" s="74"/>
      <c r="T944" s="74"/>
      <c r="U944" s="74"/>
      <c r="V944" s="74"/>
      <c r="W944" s="74"/>
      <c r="X944" s="74"/>
      <c r="Y944" s="74"/>
      <c r="Z944" s="74"/>
      <c r="AA944" s="74"/>
      <c r="AB944" s="74"/>
    </row>
    <row r="945" spans="1:28" ht="12" customHeight="1">
      <c r="A945" s="569"/>
      <c r="B945" s="574"/>
      <c r="C945" s="575"/>
      <c r="D945" s="576"/>
      <c r="E945" s="101"/>
      <c r="F945" s="101"/>
      <c r="G945" s="35"/>
      <c r="H945" s="104"/>
      <c r="I945" s="35"/>
      <c r="J945" s="74"/>
      <c r="K945" s="74"/>
      <c r="L945" s="74"/>
      <c r="M945" s="74"/>
      <c r="N945" s="74"/>
      <c r="O945" s="74"/>
      <c r="P945" s="74"/>
      <c r="Q945" s="74"/>
      <c r="R945" s="74"/>
      <c r="S945" s="74"/>
      <c r="T945" s="74"/>
      <c r="U945" s="74"/>
      <c r="V945" s="74"/>
      <c r="W945" s="74"/>
      <c r="X945" s="74"/>
      <c r="Y945" s="74"/>
      <c r="Z945" s="74"/>
      <c r="AA945" s="74"/>
      <c r="AB945" s="74"/>
    </row>
    <row r="946" spans="1:28" ht="12" customHeight="1">
      <c r="A946" s="569"/>
      <c r="B946" s="574"/>
      <c r="C946" s="575"/>
      <c r="D946" s="576"/>
      <c r="E946" s="101"/>
      <c r="F946" s="101"/>
      <c r="G946" s="35"/>
      <c r="H946" s="104"/>
      <c r="I946" s="35"/>
      <c r="J946" s="74"/>
      <c r="K946" s="74"/>
      <c r="L946" s="74"/>
      <c r="M946" s="74"/>
      <c r="N946" s="74"/>
      <c r="O946" s="74"/>
      <c r="P946" s="74"/>
      <c r="Q946" s="74"/>
      <c r="R946" s="74"/>
      <c r="S946" s="74"/>
      <c r="T946" s="74"/>
      <c r="U946" s="74"/>
      <c r="V946" s="74"/>
      <c r="W946" s="74"/>
      <c r="X946" s="74"/>
      <c r="Y946" s="74"/>
      <c r="Z946" s="74"/>
      <c r="AA946" s="74"/>
      <c r="AB946" s="74"/>
    </row>
    <row r="947" spans="1:28" ht="12" customHeight="1">
      <c r="A947" s="569"/>
      <c r="B947" s="574"/>
      <c r="C947" s="575"/>
      <c r="D947" s="576"/>
      <c r="E947" s="101"/>
      <c r="F947" s="101"/>
      <c r="G947" s="35"/>
      <c r="H947" s="104"/>
      <c r="I947" s="35"/>
      <c r="J947" s="74"/>
      <c r="K947" s="74"/>
      <c r="L947" s="74"/>
      <c r="M947" s="74"/>
      <c r="N947" s="74"/>
      <c r="O947" s="74"/>
      <c r="P947" s="74"/>
      <c r="Q947" s="74"/>
      <c r="R947" s="74"/>
      <c r="S947" s="74"/>
      <c r="T947" s="74"/>
      <c r="U947" s="74"/>
      <c r="V947" s="74"/>
      <c r="W947" s="74"/>
      <c r="X947" s="74"/>
      <c r="Y947" s="74"/>
      <c r="Z947" s="74"/>
      <c r="AA947" s="74"/>
      <c r="AB947" s="74"/>
    </row>
    <row r="948" spans="1:28" ht="12" customHeight="1">
      <c r="A948" s="569"/>
      <c r="B948" s="574"/>
      <c r="C948" s="575"/>
      <c r="D948" s="576"/>
      <c r="E948" s="101"/>
      <c r="F948" s="101"/>
      <c r="G948" s="35"/>
      <c r="H948" s="104"/>
      <c r="I948" s="35"/>
      <c r="J948" s="74"/>
      <c r="K948" s="74"/>
      <c r="L948" s="74"/>
      <c r="M948" s="74"/>
      <c r="N948" s="74"/>
      <c r="O948" s="74"/>
      <c r="P948" s="74"/>
      <c r="Q948" s="74"/>
      <c r="R948" s="74"/>
      <c r="S948" s="74"/>
      <c r="T948" s="74"/>
      <c r="U948" s="74"/>
      <c r="V948" s="74"/>
      <c r="W948" s="74"/>
      <c r="X948" s="74"/>
      <c r="Y948" s="74"/>
      <c r="Z948" s="74"/>
      <c r="AA948" s="74"/>
      <c r="AB948" s="74"/>
    </row>
    <row r="949" spans="1:28" ht="12" customHeight="1">
      <c r="A949" s="569"/>
      <c r="B949" s="574"/>
      <c r="C949" s="575"/>
      <c r="D949" s="576"/>
      <c r="E949" s="101"/>
      <c r="F949" s="101"/>
      <c r="G949" s="35"/>
      <c r="H949" s="104"/>
      <c r="I949" s="35"/>
      <c r="J949" s="74"/>
      <c r="K949" s="74"/>
      <c r="L949" s="74"/>
      <c r="M949" s="74"/>
      <c r="N949" s="74"/>
      <c r="O949" s="74"/>
      <c r="P949" s="74"/>
      <c r="Q949" s="74"/>
      <c r="R949" s="74"/>
      <c r="S949" s="74"/>
      <c r="T949" s="74"/>
      <c r="U949" s="74"/>
      <c r="V949" s="74"/>
      <c r="W949" s="74"/>
      <c r="X949" s="74"/>
      <c r="Y949" s="74"/>
      <c r="Z949" s="74"/>
      <c r="AA949" s="74"/>
      <c r="AB949" s="74"/>
    </row>
    <row r="950" spans="1:28" ht="12" customHeight="1">
      <c r="A950" s="569"/>
      <c r="B950" s="574"/>
      <c r="C950" s="575"/>
      <c r="D950" s="576"/>
      <c r="E950" s="101"/>
      <c r="F950" s="101"/>
      <c r="G950" s="35"/>
      <c r="H950" s="104"/>
      <c r="I950" s="35"/>
      <c r="J950" s="74"/>
      <c r="K950" s="74"/>
      <c r="L950" s="74"/>
      <c r="M950" s="74"/>
      <c r="N950" s="74"/>
      <c r="O950" s="74"/>
      <c r="P950" s="74"/>
      <c r="Q950" s="74"/>
      <c r="R950" s="74"/>
      <c r="S950" s="74"/>
      <c r="T950" s="74"/>
      <c r="U950" s="74"/>
      <c r="V950" s="74"/>
      <c r="W950" s="74"/>
      <c r="X950" s="74"/>
      <c r="Y950" s="74"/>
      <c r="Z950" s="74"/>
      <c r="AA950" s="74"/>
      <c r="AB950" s="74"/>
    </row>
    <row r="951" spans="1:28" ht="12" customHeight="1">
      <c r="A951" s="569"/>
      <c r="B951" s="574"/>
      <c r="C951" s="575"/>
      <c r="D951" s="576"/>
      <c r="E951" s="101"/>
      <c r="F951" s="101"/>
      <c r="G951" s="35"/>
      <c r="H951" s="104"/>
      <c r="I951" s="35"/>
      <c r="J951" s="74"/>
      <c r="K951" s="74"/>
      <c r="L951" s="74"/>
      <c r="M951" s="74"/>
      <c r="N951" s="74"/>
      <c r="O951" s="74"/>
      <c r="P951" s="74"/>
      <c r="Q951" s="74"/>
      <c r="R951" s="74"/>
      <c r="S951" s="74"/>
      <c r="T951" s="74"/>
      <c r="U951" s="74"/>
      <c r="V951" s="74"/>
      <c r="W951" s="74"/>
      <c r="X951" s="74"/>
      <c r="Y951" s="74"/>
      <c r="Z951" s="74"/>
      <c r="AA951" s="74"/>
      <c r="AB951" s="74"/>
    </row>
    <row r="952" spans="1:28" ht="12" customHeight="1">
      <c r="A952" s="569"/>
      <c r="B952" s="574"/>
      <c r="C952" s="575"/>
      <c r="D952" s="576"/>
      <c r="E952" s="101"/>
      <c r="F952" s="101"/>
      <c r="G952" s="35"/>
      <c r="H952" s="104"/>
      <c r="I952" s="35"/>
      <c r="J952" s="74"/>
      <c r="K952" s="74"/>
      <c r="L952" s="74"/>
      <c r="M952" s="74"/>
      <c r="N952" s="74"/>
      <c r="O952" s="74"/>
      <c r="P952" s="74"/>
      <c r="Q952" s="74"/>
      <c r="R952" s="74"/>
      <c r="S952" s="74"/>
      <c r="T952" s="74"/>
      <c r="U952" s="74"/>
      <c r="V952" s="74"/>
      <c r="W952" s="74"/>
      <c r="X952" s="74"/>
      <c r="Y952" s="74"/>
      <c r="Z952" s="74"/>
      <c r="AA952" s="74"/>
      <c r="AB952" s="74"/>
    </row>
    <row r="953" spans="1:28" ht="12" customHeight="1">
      <c r="A953" s="569"/>
      <c r="B953" s="574"/>
      <c r="C953" s="575"/>
      <c r="D953" s="576"/>
      <c r="E953" s="101"/>
      <c r="F953" s="101"/>
      <c r="G953" s="35"/>
      <c r="H953" s="104"/>
      <c r="I953" s="35"/>
      <c r="J953" s="74"/>
      <c r="K953" s="74"/>
      <c r="L953" s="74"/>
      <c r="M953" s="74"/>
      <c r="N953" s="74"/>
      <c r="O953" s="74"/>
      <c r="P953" s="74"/>
      <c r="Q953" s="74"/>
      <c r="R953" s="74"/>
      <c r="S953" s="74"/>
      <c r="T953" s="74"/>
      <c r="U953" s="74"/>
      <c r="V953" s="74"/>
      <c r="W953" s="74"/>
      <c r="X953" s="74"/>
      <c r="Y953" s="74"/>
      <c r="Z953" s="74"/>
      <c r="AA953" s="74"/>
      <c r="AB953" s="74"/>
    </row>
    <row r="954" spans="1:28" ht="12" customHeight="1">
      <c r="A954" s="569"/>
      <c r="B954" s="574"/>
      <c r="C954" s="575"/>
      <c r="D954" s="576"/>
      <c r="E954" s="101"/>
      <c r="F954" s="101"/>
      <c r="G954" s="35"/>
      <c r="H954" s="104"/>
      <c r="I954" s="35"/>
      <c r="J954" s="74"/>
      <c r="K954" s="74"/>
      <c r="L954" s="74"/>
      <c r="M954" s="74"/>
      <c r="N954" s="74"/>
      <c r="O954" s="74"/>
      <c r="P954" s="74"/>
      <c r="Q954" s="74"/>
      <c r="R954" s="74"/>
      <c r="S954" s="74"/>
      <c r="T954" s="74"/>
      <c r="U954" s="74"/>
      <c r="V954" s="74"/>
      <c r="W954" s="74"/>
      <c r="X954" s="74"/>
      <c r="Y954" s="74"/>
      <c r="Z954" s="74"/>
      <c r="AA954" s="74"/>
      <c r="AB954" s="74"/>
    </row>
    <row r="955" spans="1:28" ht="12" customHeight="1">
      <c r="A955" s="569"/>
      <c r="B955" s="574"/>
      <c r="C955" s="575"/>
      <c r="D955" s="576"/>
      <c r="E955" s="101"/>
      <c r="F955" s="101"/>
      <c r="G955" s="35"/>
      <c r="H955" s="104"/>
      <c r="I955" s="35"/>
      <c r="J955" s="74"/>
      <c r="K955" s="74"/>
      <c r="L955" s="74"/>
      <c r="M955" s="74"/>
      <c r="N955" s="74"/>
      <c r="O955" s="74"/>
      <c r="P955" s="74"/>
      <c r="Q955" s="74"/>
      <c r="R955" s="74"/>
      <c r="S955" s="74"/>
      <c r="T955" s="74"/>
      <c r="U955" s="74"/>
      <c r="V955" s="74"/>
      <c r="W955" s="74"/>
      <c r="X955" s="74"/>
      <c r="Y955" s="74"/>
      <c r="Z955" s="74"/>
      <c r="AA955" s="74"/>
      <c r="AB955" s="74"/>
    </row>
    <row r="956" spans="1:28" ht="12" customHeight="1">
      <c r="A956" s="569"/>
      <c r="B956" s="574"/>
      <c r="C956" s="575"/>
      <c r="D956" s="576"/>
      <c r="E956" s="101"/>
      <c r="F956" s="101"/>
      <c r="G956" s="35"/>
      <c r="H956" s="104"/>
      <c r="I956" s="35"/>
      <c r="J956" s="74"/>
      <c r="K956" s="74"/>
      <c r="L956" s="74"/>
      <c r="M956" s="74"/>
      <c r="N956" s="74"/>
      <c r="O956" s="74"/>
      <c r="P956" s="74"/>
      <c r="Q956" s="74"/>
      <c r="R956" s="74"/>
      <c r="S956" s="74"/>
      <c r="T956" s="74"/>
      <c r="U956" s="74"/>
      <c r="V956" s="74"/>
      <c r="W956" s="74"/>
      <c r="X956" s="74"/>
      <c r="Y956" s="74"/>
      <c r="Z956" s="74"/>
      <c r="AA956" s="74"/>
      <c r="AB956" s="74"/>
    </row>
    <row r="957" spans="1:28" ht="12" customHeight="1">
      <c r="A957" s="569"/>
      <c r="B957" s="574"/>
      <c r="C957" s="575"/>
      <c r="D957" s="576"/>
      <c r="E957" s="101"/>
      <c r="F957" s="101"/>
      <c r="G957" s="35"/>
      <c r="H957" s="104"/>
      <c r="I957" s="35"/>
      <c r="J957" s="74"/>
      <c r="K957" s="74"/>
      <c r="L957" s="74"/>
      <c r="M957" s="74"/>
      <c r="N957" s="74"/>
      <c r="O957" s="74"/>
      <c r="P957" s="74"/>
      <c r="Q957" s="74"/>
      <c r="R957" s="74"/>
      <c r="S957" s="74"/>
      <c r="T957" s="74"/>
      <c r="U957" s="74"/>
      <c r="V957" s="74"/>
      <c r="W957" s="74"/>
      <c r="X957" s="74"/>
      <c r="Y957" s="74"/>
      <c r="Z957" s="74"/>
      <c r="AA957" s="74"/>
      <c r="AB957" s="74"/>
    </row>
    <row r="958" spans="1:28" ht="12" customHeight="1">
      <c r="A958" s="569"/>
      <c r="B958" s="574"/>
      <c r="C958" s="575"/>
      <c r="D958" s="576"/>
      <c r="E958" s="101"/>
      <c r="F958" s="101"/>
      <c r="G958" s="35"/>
      <c r="H958" s="104"/>
      <c r="I958" s="35"/>
      <c r="J958" s="74"/>
      <c r="K958" s="74"/>
      <c r="L958" s="74"/>
      <c r="M958" s="74"/>
      <c r="N958" s="74"/>
      <c r="O958" s="74"/>
      <c r="P958" s="74"/>
      <c r="Q958" s="74"/>
      <c r="R958" s="74"/>
      <c r="S958" s="74"/>
      <c r="T958" s="74"/>
      <c r="U958" s="74"/>
      <c r="V958" s="74"/>
      <c r="W958" s="74"/>
      <c r="X958" s="74"/>
      <c r="Y958" s="74"/>
      <c r="Z958" s="74"/>
      <c r="AA958" s="74"/>
      <c r="AB958" s="74"/>
    </row>
    <row r="959" spans="1:28" ht="12" customHeight="1">
      <c r="A959" s="569"/>
      <c r="B959" s="574"/>
      <c r="C959" s="575"/>
      <c r="D959" s="576"/>
      <c r="E959" s="101"/>
      <c r="F959" s="101"/>
      <c r="G959" s="35"/>
      <c r="H959" s="104"/>
      <c r="I959" s="35"/>
      <c r="J959" s="74"/>
      <c r="K959" s="74"/>
      <c r="L959" s="74"/>
      <c r="M959" s="74"/>
      <c r="N959" s="74"/>
      <c r="O959" s="74"/>
      <c r="P959" s="74"/>
      <c r="Q959" s="74"/>
      <c r="R959" s="74"/>
      <c r="S959" s="74"/>
      <c r="T959" s="74"/>
      <c r="U959" s="74"/>
      <c r="V959" s="74"/>
      <c r="W959" s="74"/>
      <c r="X959" s="74"/>
      <c r="Y959" s="74"/>
      <c r="Z959" s="74"/>
      <c r="AA959" s="74"/>
      <c r="AB959" s="74"/>
    </row>
    <row r="960" spans="1:28" ht="12" customHeight="1">
      <c r="A960" s="569"/>
      <c r="B960" s="574"/>
      <c r="C960" s="575"/>
      <c r="D960" s="576"/>
      <c r="E960" s="101"/>
      <c r="F960" s="101"/>
      <c r="G960" s="35"/>
      <c r="H960" s="104"/>
      <c r="I960" s="35"/>
      <c r="J960" s="74"/>
      <c r="K960" s="74"/>
      <c r="L960" s="74"/>
      <c r="M960" s="74"/>
      <c r="N960" s="74"/>
      <c r="O960" s="74"/>
      <c r="P960" s="74"/>
      <c r="Q960" s="74"/>
      <c r="R960" s="74"/>
      <c r="S960" s="74"/>
      <c r="T960" s="74"/>
      <c r="U960" s="74"/>
      <c r="V960" s="74"/>
      <c r="W960" s="74"/>
      <c r="X960" s="74"/>
      <c r="Y960" s="74"/>
      <c r="Z960" s="74"/>
      <c r="AA960" s="74"/>
      <c r="AB960" s="74"/>
    </row>
    <row r="961" spans="1:28" ht="12" customHeight="1">
      <c r="A961" s="569"/>
      <c r="B961" s="574"/>
      <c r="C961" s="575"/>
      <c r="D961" s="576"/>
      <c r="E961" s="101"/>
      <c r="F961" s="101"/>
      <c r="G961" s="35"/>
      <c r="H961" s="104"/>
      <c r="I961" s="35"/>
      <c r="J961" s="74"/>
      <c r="K961" s="74"/>
      <c r="L961" s="74"/>
      <c r="M961" s="74"/>
      <c r="N961" s="74"/>
      <c r="O961" s="74"/>
      <c r="P961" s="74"/>
      <c r="Q961" s="74"/>
      <c r="R961" s="74"/>
      <c r="S961" s="74"/>
      <c r="T961" s="74"/>
      <c r="U961" s="74"/>
      <c r="V961" s="74"/>
      <c r="W961" s="74"/>
      <c r="X961" s="74"/>
      <c r="Y961" s="74"/>
      <c r="Z961" s="74"/>
      <c r="AA961" s="74"/>
      <c r="AB961" s="74"/>
    </row>
    <row r="962" spans="1:28" ht="12" customHeight="1">
      <c r="A962" s="569"/>
      <c r="B962" s="574"/>
      <c r="C962" s="575"/>
      <c r="D962" s="576"/>
      <c r="E962" s="101"/>
      <c r="F962" s="101"/>
      <c r="G962" s="35"/>
      <c r="H962" s="104"/>
      <c r="I962" s="35"/>
      <c r="J962" s="74"/>
      <c r="K962" s="74"/>
      <c r="L962" s="74"/>
      <c r="M962" s="74"/>
      <c r="N962" s="74"/>
      <c r="O962" s="74"/>
      <c r="P962" s="74"/>
      <c r="Q962" s="74"/>
      <c r="R962" s="74"/>
      <c r="S962" s="74"/>
      <c r="T962" s="74"/>
      <c r="U962" s="74"/>
      <c r="V962" s="74"/>
      <c r="W962" s="74"/>
      <c r="X962" s="74"/>
      <c r="Y962" s="74"/>
      <c r="Z962" s="74"/>
      <c r="AA962" s="74"/>
      <c r="AB962" s="74"/>
    </row>
    <row r="963" spans="1:28" ht="12" customHeight="1">
      <c r="A963" s="569"/>
      <c r="B963" s="574"/>
      <c r="C963" s="575"/>
      <c r="D963" s="576"/>
      <c r="E963" s="101"/>
      <c r="F963" s="101"/>
      <c r="G963" s="35"/>
      <c r="H963" s="104"/>
      <c r="I963" s="35"/>
      <c r="J963" s="74"/>
      <c r="K963" s="74"/>
      <c r="L963" s="74"/>
      <c r="M963" s="74"/>
      <c r="N963" s="74"/>
      <c r="O963" s="74"/>
      <c r="P963" s="74"/>
      <c r="Q963" s="74"/>
      <c r="R963" s="74"/>
      <c r="S963" s="74"/>
      <c r="T963" s="74"/>
      <c r="U963" s="74"/>
      <c r="V963" s="74"/>
      <c r="W963" s="74"/>
      <c r="X963" s="74"/>
      <c r="Y963" s="74"/>
      <c r="Z963" s="74"/>
      <c r="AA963" s="74"/>
      <c r="AB963" s="74"/>
    </row>
    <row r="964" spans="1:28" ht="12" customHeight="1">
      <c r="A964" s="569"/>
      <c r="B964" s="574"/>
      <c r="C964" s="575"/>
      <c r="D964" s="576"/>
      <c r="E964" s="101"/>
      <c r="F964" s="101"/>
      <c r="G964" s="35"/>
      <c r="H964" s="104"/>
      <c r="I964" s="35"/>
      <c r="J964" s="74"/>
      <c r="K964" s="74"/>
      <c r="L964" s="74"/>
      <c r="M964" s="74"/>
      <c r="N964" s="74"/>
      <c r="O964" s="74"/>
      <c r="P964" s="74"/>
      <c r="Q964" s="74"/>
      <c r="R964" s="74"/>
      <c r="S964" s="74"/>
      <c r="T964" s="74"/>
      <c r="U964" s="74"/>
      <c r="V964" s="74"/>
      <c r="W964" s="74"/>
      <c r="X964" s="74"/>
      <c r="Y964" s="74"/>
      <c r="Z964" s="74"/>
      <c r="AA964" s="74"/>
      <c r="AB964" s="74"/>
    </row>
    <row r="965" spans="1:28" ht="12" customHeight="1">
      <c r="A965" s="569"/>
      <c r="B965" s="574"/>
      <c r="C965" s="575"/>
      <c r="D965" s="576"/>
      <c r="E965" s="101"/>
      <c r="F965" s="101"/>
      <c r="G965" s="35"/>
      <c r="H965" s="104"/>
      <c r="I965" s="35"/>
      <c r="J965" s="74"/>
      <c r="K965" s="74"/>
      <c r="L965" s="74"/>
      <c r="M965" s="74"/>
      <c r="N965" s="74"/>
      <c r="O965" s="74"/>
      <c r="P965" s="74"/>
      <c r="Q965" s="74"/>
      <c r="R965" s="74"/>
      <c r="S965" s="74"/>
      <c r="T965" s="74"/>
      <c r="U965" s="74"/>
      <c r="V965" s="74"/>
      <c r="W965" s="74"/>
      <c r="X965" s="74"/>
      <c r="Y965" s="74"/>
      <c r="Z965" s="74"/>
      <c r="AA965" s="74"/>
      <c r="AB965" s="74"/>
    </row>
    <row r="966" spans="1:28" ht="12" customHeight="1">
      <c r="A966" s="569"/>
      <c r="B966" s="574"/>
      <c r="C966" s="575"/>
      <c r="D966" s="576"/>
      <c r="E966" s="101"/>
      <c r="F966" s="101"/>
      <c r="G966" s="35"/>
      <c r="H966" s="104"/>
      <c r="I966" s="35"/>
      <c r="J966" s="74"/>
      <c r="K966" s="74"/>
      <c r="L966" s="74"/>
      <c r="M966" s="74"/>
      <c r="N966" s="74"/>
      <c r="O966" s="74"/>
      <c r="P966" s="74"/>
      <c r="Q966" s="74"/>
      <c r="R966" s="74"/>
      <c r="S966" s="74"/>
      <c r="T966" s="74"/>
      <c r="U966" s="74"/>
      <c r="V966" s="74"/>
      <c r="W966" s="74"/>
      <c r="X966" s="74"/>
      <c r="Y966" s="74"/>
      <c r="Z966" s="74"/>
      <c r="AA966" s="74"/>
      <c r="AB966" s="74"/>
    </row>
    <row r="967" spans="1:28" ht="12" customHeight="1">
      <c r="A967" s="569"/>
      <c r="B967" s="574"/>
      <c r="C967" s="575"/>
      <c r="D967" s="576"/>
      <c r="E967" s="101"/>
      <c r="F967" s="101"/>
      <c r="G967" s="35"/>
      <c r="H967" s="104"/>
      <c r="I967" s="35"/>
      <c r="J967" s="74"/>
      <c r="K967" s="74"/>
      <c r="L967" s="74"/>
      <c r="M967" s="74"/>
      <c r="N967" s="74"/>
      <c r="O967" s="74"/>
      <c r="P967" s="74"/>
      <c r="Q967" s="74"/>
      <c r="R967" s="74"/>
      <c r="S967" s="74"/>
      <c r="T967" s="74"/>
      <c r="U967" s="74"/>
      <c r="V967" s="74"/>
      <c r="W967" s="74"/>
      <c r="X967" s="74"/>
      <c r="Y967" s="74"/>
      <c r="Z967" s="74"/>
      <c r="AA967" s="74"/>
      <c r="AB967" s="74"/>
    </row>
    <row r="968" spans="1:28" ht="12" customHeight="1">
      <c r="A968" s="569"/>
      <c r="B968" s="574"/>
      <c r="C968" s="575"/>
      <c r="D968" s="576"/>
      <c r="E968" s="101"/>
      <c r="F968" s="101"/>
      <c r="G968" s="35"/>
      <c r="H968" s="104"/>
      <c r="I968" s="35"/>
      <c r="J968" s="74"/>
      <c r="K968" s="74"/>
      <c r="L968" s="74"/>
      <c r="M968" s="74"/>
      <c r="N968" s="74"/>
      <c r="O968" s="74"/>
      <c r="P968" s="74"/>
      <c r="Q968" s="74"/>
      <c r="R968" s="74"/>
      <c r="S968" s="74"/>
      <c r="T968" s="74"/>
      <c r="U968" s="74"/>
      <c r="V968" s="74"/>
      <c r="W968" s="74"/>
      <c r="X968" s="74"/>
      <c r="Y968" s="74"/>
      <c r="Z968" s="74"/>
      <c r="AA968" s="74"/>
      <c r="AB968" s="74"/>
    </row>
    <row r="969" spans="1:28" ht="12" customHeight="1">
      <c r="A969" s="569"/>
      <c r="B969" s="574"/>
      <c r="C969" s="575"/>
      <c r="D969" s="576"/>
      <c r="E969" s="101"/>
      <c r="F969" s="101"/>
      <c r="G969" s="35"/>
      <c r="H969" s="104"/>
      <c r="I969" s="35"/>
      <c r="J969" s="74"/>
      <c r="K969" s="74"/>
      <c r="L969" s="74"/>
      <c r="M969" s="74"/>
      <c r="N969" s="74"/>
      <c r="O969" s="74"/>
      <c r="P969" s="74"/>
      <c r="Q969" s="74"/>
      <c r="R969" s="74"/>
      <c r="S969" s="74"/>
      <c r="T969" s="74"/>
      <c r="U969" s="74"/>
      <c r="V969" s="74"/>
      <c r="W969" s="74"/>
      <c r="X969" s="74"/>
      <c r="Y969" s="74"/>
      <c r="Z969" s="74"/>
      <c r="AA969" s="74"/>
      <c r="AB969" s="74"/>
    </row>
    <row r="970" spans="1:28" ht="12" customHeight="1">
      <c r="A970" s="569"/>
      <c r="B970" s="574"/>
      <c r="C970" s="575"/>
      <c r="D970" s="576"/>
      <c r="E970" s="101"/>
      <c r="F970" s="101"/>
      <c r="G970" s="35"/>
      <c r="H970" s="104"/>
      <c r="I970" s="35"/>
      <c r="J970" s="74"/>
      <c r="K970" s="74"/>
      <c r="L970" s="74"/>
      <c r="M970" s="74"/>
      <c r="N970" s="74"/>
      <c r="O970" s="74"/>
      <c r="P970" s="74"/>
      <c r="Q970" s="74"/>
      <c r="R970" s="74"/>
      <c r="S970" s="74"/>
      <c r="T970" s="74"/>
      <c r="U970" s="74"/>
      <c r="V970" s="74"/>
      <c r="W970" s="74"/>
      <c r="X970" s="74"/>
      <c r="Y970" s="74"/>
      <c r="Z970" s="74"/>
      <c r="AA970" s="74"/>
      <c r="AB970" s="74"/>
    </row>
    <row r="971" spans="1:28" ht="12" customHeight="1">
      <c r="A971" s="569"/>
      <c r="B971" s="574"/>
      <c r="C971" s="575"/>
      <c r="D971" s="576"/>
      <c r="E971" s="101"/>
      <c r="F971" s="101"/>
      <c r="G971" s="35"/>
      <c r="H971" s="104"/>
      <c r="I971" s="35"/>
      <c r="J971" s="74"/>
      <c r="K971" s="74"/>
      <c r="L971" s="74"/>
      <c r="M971" s="74"/>
      <c r="N971" s="74"/>
      <c r="O971" s="74"/>
      <c r="P971" s="74"/>
      <c r="Q971" s="74"/>
      <c r="R971" s="74"/>
      <c r="S971" s="74"/>
      <c r="T971" s="74"/>
      <c r="U971" s="74"/>
      <c r="V971" s="74"/>
      <c r="W971" s="74"/>
      <c r="X971" s="74"/>
      <c r="Y971" s="74"/>
      <c r="Z971" s="74"/>
      <c r="AA971" s="74"/>
      <c r="AB971" s="74"/>
    </row>
    <row r="972" spans="1:28" ht="12" customHeight="1">
      <c r="A972" s="569"/>
      <c r="B972" s="574"/>
      <c r="C972" s="575"/>
      <c r="D972" s="576"/>
      <c r="E972" s="101"/>
      <c r="F972" s="101"/>
      <c r="G972" s="35"/>
      <c r="H972" s="104"/>
      <c r="I972" s="35"/>
      <c r="J972" s="74"/>
      <c r="K972" s="74"/>
      <c r="L972" s="74"/>
      <c r="M972" s="74"/>
      <c r="N972" s="74"/>
      <c r="O972" s="74"/>
      <c r="P972" s="74"/>
      <c r="Q972" s="74"/>
      <c r="R972" s="74"/>
      <c r="S972" s="74"/>
      <c r="T972" s="74"/>
      <c r="U972" s="74"/>
      <c r="V972" s="74"/>
      <c r="W972" s="74"/>
      <c r="X972" s="74"/>
      <c r="Y972" s="74"/>
      <c r="Z972" s="74"/>
      <c r="AA972" s="74"/>
      <c r="AB972" s="74"/>
    </row>
    <row r="973" spans="1:28" ht="12" customHeight="1">
      <c r="A973" s="569"/>
      <c r="B973" s="574"/>
      <c r="C973" s="575"/>
      <c r="D973" s="576"/>
      <c r="E973" s="101"/>
      <c r="F973" s="101"/>
      <c r="G973" s="35"/>
      <c r="H973" s="104"/>
      <c r="I973" s="35"/>
      <c r="J973" s="74"/>
      <c r="K973" s="74"/>
      <c r="L973" s="74"/>
      <c r="M973" s="74"/>
      <c r="N973" s="74"/>
      <c r="O973" s="74"/>
      <c r="P973" s="74"/>
      <c r="Q973" s="74"/>
      <c r="R973" s="74"/>
      <c r="S973" s="74"/>
      <c r="T973" s="74"/>
      <c r="U973" s="74"/>
      <c r="V973" s="74"/>
      <c r="W973" s="74"/>
      <c r="X973" s="74"/>
      <c r="Y973" s="74"/>
      <c r="Z973" s="74"/>
      <c r="AA973" s="74"/>
      <c r="AB973" s="74"/>
    </row>
    <row r="974" spans="1:28" ht="12" customHeight="1">
      <c r="A974" s="569"/>
      <c r="B974" s="574"/>
      <c r="C974" s="575"/>
      <c r="D974" s="576"/>
      <c r="E974" s="101"/>
      <c r="F974" s="101"/>
      <c r="G974" s="35"/>
      <c r="H974" s="104"/>
      <c r="I974" s="35"/>
      <c r="J974" s="74"/>
      <c r="K974" s="74"/>
      <c r="L974" s="74"/>
      <c r="M974" s="74"/>
      <c r="N974" s="74"/>
      <c r="O974" s="74"/>
      <c r="P974" s="74"/>
      <c r="Q974" s="74"/>
      <c r="R974" s="74"/>
      <c r="S974" s="74"/>
      <c r="T974" s="74"/>
      <c r="U974" s="74"/>
      <c r="V974" s="74"/>
      <c r="W974" s="74"/>
      <c r="X974" s="74"/>
      <c r="Y974" s="74"/>
      <c r="Z974" s="74"/>
      <c r="AA974" s="74"/>
      <c r="AB974" s="74"/>
    </row>
    <row r="975" spans="1:28" ht="12" customHeight="1">
      <c r="A975" s="569"/>
      <c r="B975" s="574"/>
      <c r="C975" s="575"/>
      <c r="D975" s="576"/>
      <c r="E975" s="101"/>
      <c r="F975" s="101"/>
      <c r="G975" s="35"/>
      <c r="H975" s="104"/>
      <c r="I975" s="35"/>
      <c r="J975" s="74"/>
      <c r="K975" s="74"/>
      <c r="L975" s="74"/>
      <c r="M975" s="74"/>
      <c r="N975" s="74"/>
      <c r="O975" s="74"/>
      <c r="P975" s="74"/>
      <c r="Q975" s="74"/>
      <c r="R975" s="74"/>
      <c r="S975" s="74"/>
      <c r="T975" s="74"/>
      <c r="U975" s="74"/>
      <c r="V975" s="74"/>
      <c r="W975" s="74"/>
      <c r="X975" s="74"/>
      <c r="Y975" s="74"/>
      <c r="Z975" s="74"/>
      <c r="AA975" s="74"/>
      <c r="AB975" s="74"/>
    </row>
    <row r="976" spans="1:28" ht="12" customHeight="1">
      <c r="A976" s="569"/>
      <c r="B976" s="574"/>
      <c r="C976" s="575"/>
      <c r="D976" s="576"/>
      <c r="E976" s="101"/>
      <c r="F976" s="101"/>
      <c r="G976" s="35"/>
      <c r="H976" s="104"/>
      <c r="I976" s="35"/>
      <c r="J976" s="74"/>
      <c r="K976" s="74"/>
      <c r="L976" s="74"/>
      <c r="M976" s="74"/>
      <c r="N976" s="74"/>
      <c r="O976" s="74"/>
      <c r="P976" s="74"/>
      <c r="Q976" s="74"/>
      <c r="R976" s="74"/>
      <c r="S976" s="74"/>
      <c r="T976" s="74"/>
      <c r="U976" s="74"/>
      <c r="V976" s="74"/>
      <c r="W976" s="74"/>
      <c r="X976" s="74"/>
      <c r="Y976" s="74"/>
      <c r="Z976" s="74"/>
      <c r="AA976" s="74"/>
      <c r="AB976" s="74"/>
    </row>
    <row r="977" spans="1:28" ht="12" customHeight="1">
      <c r="A977" s="569"/>
      <c r="B977" s="574"/>
      <c r="C977" s="575"/>
      <c r="D977" s="576"/>
      <c r="E977" s="101"/>
      <c r="F977" s="101"/>
      <c r="G977" s="35"/>
      <c r="H977" s="104"/>
      <c r="I977" s="35"/>
      <c r="J977" s="74"/>
      <c r="K977" s="74"/>
      <c r="L977" s="74"/>
      <c r="M977" s="74"/>
      <c r="N977" s="74"/>
      <c r="O977" s="74"/>
      <c r="P977" s="74"/>
      <c r="Q977" s="74"/>
      <c r="R977" s="74"/>
      <c r="S977" s="74"/>
      <c r="T977" s="74"/>
      <c r="U977" s="74"/>
      <c r="V977" s="74"/>
      <c r="W977" s="74"/>
      <c r="X977" s="74"/>
      <c r="Y977" s="74"/>
      <c r="Z977" s="74"/>
      <c r="AA977" s="74"/>
      <c r="AB977" s="74"/>
    </row>
    <row r="978" spans="1:28" ht="12" customHeight="1">
      <c r="A978" s="569"/>
      <c r="B978" s="574"/>
      <c r="C978" s="575"/>
      <c r="D978" s="576"/>
      <c r="E978" s="101"/>
      <c r="F978" s="101"/>
      <c r="G978" s="35"/>
      <c r="H978" s="104"/>
      <c r="I978" s="35"/>
      <c r="J978" s="74"/>
      <c r="K978" s="74"/>
      <c r="L978" s="74"/>
      <c r="M978" s="74"/>
      <c r="N978" s="74"/>
      <c r="O978" s="74"/>
      <c r="P978" s="74"/>
      <c r="Q978" s="74"/>
      <c r="R978" s="74"/>
      <c r="S978" s="74"/>
      <c r="T978" s="74"/>
      <c r="U978" s="74"/>
      <c r="V978" s="74"/>
      <c r="W978" s="74"/>
      <c r="X978" s="74"/>
      <c r="Y978" s="74"/>
      <c r="Z978" s="74"/>
      <c r="AA978" s="74"/>
      <c r="AB978" s="74"/>
    </row>
    <row r="979" spans="1:28" ht="12" customHeight="1">
      <c r="A979" s="569"/>
      <c r="B979" s="574"/>
      <c r="C979" s="575"/>
      <c r="D979" s="576"/>
      <c r="E979" s="101"/>
      <c r="F979" s="101"/>
      <c r="G979" s="35"/>
      <c r="H979" s="104"/>
      <c r="I979" s="35"/>
      <c r="J979" s="74"/>
      <c r="K979" s="74"/>
      <c r="L979" s="74"/>
      <c r="M979" s="74"/>
      <c r="N979" s="74"/>
      <c r="O979" s="74"/>
      <c r="P979" s="74"/>
      <c r="Q979" s="74"/>
      <c r="R979" s="74"/>
      <c r="S979" s="74"/>
      <c r="T979" s="74"/>
      <c r="U979" s="74"/>
      <c r="V979" s="74"/>
      <c r="W979" s="74"/>
      <c r="X979" s="74"/>
      <c r="Y979" s="74"/>
      <c r="Z979" s="74"/>
      <c r="AA979" s="74"/>
      <c r="AB979" s="74"/>
    </row>
    <row r="980" spans="1:28" ht="12" customHeight="1">
      <c r="A980" s="569"/>
      <c r="B980" s="574"/>
      <c r="C980" s="575"/>
      <c r="D980" s="576"/>
      <c r="E980" s="101"/>
      <c r="F980" s="101"/>
      <c r="G980" s="35"/>
      <c r="H980" s="104"/>
      <c r="I980" s="35"/>
      <c r="J980" s="74"/>
      <c r="K980" s="74"/>
      <c r="L980" s="74"/>
      <c r="M980" s="74"/>
      <c r="N980" s="74"/>
      <c r="O980" s="74"/>
      <c r="P980" s="74"/>
      <c r="Q980" s="74"/>
      <c r="R980" s="74"/>
      <c r="S980" s="74"/>
      <c r="T980" s="74"/>
      <c r="U980" s="74"/>
      <c r="V980" s="74"/>
      <c r="W980" s="74"/>
      <c r="X980" s="74"/>
      <c r="Y980" s="74"/>
      <c r="Z980" s="74"/>
      <c r="AA980" s="74"/>
      <c r="AB980" s="74"/>
    </row>
    <row r="981" spans="1:28" ht="12" customHeight="1">
      <c r="A981" s="569"/>
      <c r="B981" s="574"/>
      <c r="C981" s="575"/>
      <c r="D981" s="576"/>
      <c r="E981" s="101"/>
      <c r="F981" s="101"/>
      <c r="G981" s="35"/>
      <c r="H981" s="104"/>
      <c r="I981" s="35"/>
      <c r="J981" s="74"/>
      <c r="K981" s="74"/>
      <c r="L981" s="74"/>
      <c r="M981" s="74"/>
      <c r="N981" s="74"/>
      <c r="O981" s="74"/>
      <c r="P981" s="74"/>
      <c r="Q981" s="74"/>
      <c r="R981" s="74"/>
      <c r="S981" s="74"/>
      <c r="T981" s="74"/>
      <c r="U981" s="74"/>
      <c r="V981" s="74"/>
      <c r="W981" s="74"/>
      <c r="X981" s="74"/>
      <c r="Y981" s="74"/>
      <c r="Z981" s="74"/>
      <c r="AA981" s="74"/>
      <c r="AB981" s="74"/>
    </row>
    <row r="982" spans="1:28" ht="12" customHeight="1">
      <c r="A982" s="569"/>
      <c r="B982" s="574"/>
      <c r="C982" s="575"/>
      <c r="D982" s="576"/>
      <c r="E982" s="101"/>
      <c r="F982" s="101"/>
      <c r="G982" s="35"/>
      <c r="H982" s="104"/>
      <c r="I982" s="35"/>
      <c r="J982" s="74"/>
      <c r="K982" s="74"/>
      <c r="L982" s="74"/>
      <c r="M982" s="74"/>
      <c r="N982" s="74"/>
      <c r="O982" s="74"/>
      <c r="P982" s="74"/>
      <c r="Q982" s="74"/>
      <c r="R982" s="74"/>
      <c r="S982" s="74"/>
      <c r="T982" s="74"/>
      <c r="U982" s="74"/>
      <c r="V982" s="74"/>
      <c r="W982" s="74"/>
      <c r="X982" s="74"/>
      <c r="Y982" s="74"/>
      <c r="Z982" s="74"/>
      <c r="AA982" s="74"/>
      <c r="AB982" s="74"/>
    </row>
    <row r="983" spans="1:28" ht="12" customHeight="1">
      <c r="A983" s="569"/>
      <c r="B983" s="574"/>
      <c r="C983" s="575"/>
      <c r="D983" s="576"/>
      <c r="E983" s="101"/>
      <c r="F983" s="101"/>
      <c r="G983" s="35"/>
      <c r="H983" s="104"/>
      <c r="I983" s="35"/>
      <c r="J983" s="74"/>
      <c r="K983" s="74"/>
      <c r="L983" s="74"/>
      <c r="M983" s="74"/>
      <c r="N983" s="74"/>
      <c r="O983" s="74"/>
      <c r="P983" s="74"/>
      <c r="Q983" s="74"/>
      <c r="R983" s="74"/>
      <c r="S983" s="74"/>
      <c r="T983" s="74"/>
      <c r="U983" s="74"/>
      <c r="V983" s="74"/>
      <c r="W983" s="74"/>
      <c r="X983" s="74"/>
      <c r="Y983" s="74"/>
      <c r="Z983" s="74"/>
      <c r="AA983" s="74"/>
      <c r="AB983" s="74"/>
    </row>
    <row r="984" spans="1:28" ht="12" customHeight="1">
      <c r="A984" s="569"/>
      <c r="B984" s="574"/>
      <c r="C984" s="575"/>
      <c r="D984" s="576"/>
      <c r="E984" s="101"/>
      <c r="F984" s="101"/>
      <c r="G984" s="35"/>
      <c r="H984" s="104"/>
      <c r="I984" s="35"/>
      <c r="J984" s="74"/>
      <c r="K984" s="74"/>
      <c r="L984" s="74"/>
      <c r="M984" s="74"/>
      <c r="N984" s="74"/>
      <c r="O984" s="74"/>
      <c r="P984" s="74"/>
      <c r="Q984" s="74"/>
      <c r="R984" s="74"/>
      <c r="S984" s="74"/>
      <c r="T984" s="74"/>
      <c r="U984" s="74"/>
      <c r="V984" s="74"/>
      <c r="W984" s="74"/>
      <c r="X984" s="74"/>
      <c r="Y984" s="74"/>
      <c r="Z984" s="74"/>
      <c r="AA984" s="74"/>
      <c r="AB984" s="74"/>
    </row>
    <row r="985" spans="1:28" ht="12" customHeight="1">
      <c r="A985" s="569"/>
      <c r="B985" s="574"/>
      <c r="C985" s="575"/>
      <c r="D985" s="576"/>
      <c r="E985" s="101"/>
      <c r="F985" s="101"/>
      <c r="G985" s="35"/>
      <c r="H985" s="104"/>
      <c r="I985" s="35"/>
      <c r="J985" s="74"/>
      <c r="K985" s="74"/>
      <c r="L985" s="74"/>
      <c r="M985" s="74"/>
      <c r="N985" s="74"/>
      <c r="O985" s="74"/>
      <c r="P985" s="74"/>
      <c r="Q985" s="74"/>
      <c r="R985" s="74"/>
      <c r="S985" s="74"/>
      <c r="T985" s="74"/>
      <c r="U985" s="74"/>
      <c r="V985" s="74"/>
      <c r="W985" s="74"/>
      <c r="X985" s="74"/>
      <c r="Y985" s="74"/>
      <c r="Z985" s="74"/>
      <c r="AA985" s="74"/>
      <c r="AB985" s="74"/>
    </row>
    <row r="986" spans="1:28" ht="12" customHeight="1">
      <c r="A986" s="569"/>
      <c r="B986" s="574"/>
      <c r="C986" s="575"/>
      <c r="D986" s="576"/>
      <c r="E986" s="101"/>
      <c r="F986" s="101"/>
      <c r="G986" s="35"/>
      <c r="H986" s="104"/>
      <c r="I986" s="35"/>
      <c r="J986" s="74"/>
      <c r="K986" s="74"/>
      <c r="L986" s="74"/>
      <c r="M986" s="74"/>
      <c r="N986" s="74"/>
      <c r="O986" s="74"/>
      <c r="P986" s="74"/>
      <c r="Q986" s="74"/>
      <c r="R986" s="74"/>
      <c r="S986" s="74"/>
      <c r="T986" s="74"/>
      <c r="U986" s="74"/>
      <c r="V986" s="74"/>
      <c r="W986" s="74"/>
      <c r="X986" s="74"/>
      <c r="Y986" s="74"/>
      <c r="Z986" s="74"/>
      <c r="AA986" s="74"/>
      <c r="AB986" s="74"/>
    </row>
    <row r="987" spans="1:28" ht="12" customHeight="1">
      <c r="A987" s="569"/>
      <c r="B987" s="574"/>
      <c r="C987" s="575"/>
      <c r="D987" s="576"/>
      <c r="E987" s="101"/>
      <c r="F987" s="101"/>
      <c r="G987" s="35"/>
      <c r="H987" s="104"/>
      <c r="I987" s="35"/>
      <c r="J987" s="74"/>
      <c r="K987" s="74"/>
      <c r="L987" s="74"/>
      <c r="M987" s="74"/>
      <c r="N987" s="74"/>
      <c r="O987" s="74"/>
      <c r="P987" s="74"/>
      <c r="Q987" s="74"/>
      <c r="R987" s="74"/>
      <c r="S987" s="74"/>
      <c r="T987" s="74"/>
      <c r="U987" s="74"/>
      <c r="V987" s="74"/>
      <c r="W987" s="74"/>
      <c r="X987" s="74"/>
      <c r="Y987" s="74"/>
      <c r="Z987" s="74"/>
      <c r="AA987" s="74"/>
      <c r="AB987" s="74"/>
    </row>
    <row r="988" spans="1:28" ht="12" customHeight="1">
      <c r="A988" s="569"/>
      <c r="B988" s="574"/>
      <c r="C988" s="575"/>
      <c r="D988" s="576"/>
      <c r="E988" s="101"/>
      <c r="F988" s="101"/>
      <c r="G988" s="35"/>
      <c r="H988" s="104"/>
      <c r="I988" s="35"/>
      <c r="J988" s="74"/>
      <c r="K988" s="74"/>
      <c r="L988" s="74"/>
      <c r="M988" s="74"/>
      <c r="N988" s="74"/>
      <c r="O988" s="74"/>
      <c r="P988" s="74"/>
      <c r="Q988" s="74"/>
      <c r="R988" s="74"/>
      <c r="S988" s="74"/>
      <c r="T988" s="74"/>
      <c r="U988" s="74"/>
      <c r="V988" s="74"/>
      <c r="W988" s="74"/>
      <c r="X988" s="74"/>
      <c r="Y988" s="74"/>
      <c r="Z988" s="74"/>
      <c r="AA988" s="74"/>
      <c r="AB988" s="74"/>
    </row>
    <row r="989" spans="1:28" ht="12" customHeight="1">
      <c r="A989" s="569"/>
      <c r="B989" s="574"/>
      <c r="C989" s="575"/>
      <c r="D989" s="576"/>
      <c r="E989" s="101"/>
      <c r="F989" s="101"/>
      <c r="G989" s="35"/>
      <c r="H989" s="104"/>
      <c r="I989" s="35"/>
      <c r="J989" s="74"/>
      <c r="K989" s="74"/>
      <c r="L989" s="74"/>
      <c r="M989" s="74"/>
      <c r="N989" s="74"/>
      <c r="O989" s="74"/>
      <c r="P989" s="74"/>
      <c r="Q989" s="74"/>
      <c r="R989" s="74"/>
      <c r="S989" s="74"/>
      <c r="T989" s="74"/>
      <c r="U989" s="74"/>
      <c r="V989" s="74"/>
      <c r="W989" s="74"/>
      <c r="X989" s="74"/>
      <c r="Y989" s="74"/>
      <c r="Z989" s="74"/>
      <c r="AA989" s="74"/>
      <c r="AB989" s="74"/>
    </row>
    <row r="990" spans="1:28" ht="12" customHeight="1">
      <c r="A990" s="569"/>
      <c r="B990" s="574"/>
      <c r="C990" s="575"/>
      <c r="D990" s="576"/>
      <c r="E990" s="101"/>
      <c r="F990" s="101"/>
      <c r="G990" s="35"/>
      <c r="H990" s="104"/>
      <c r="I990" s="35"/>
      <c r="J990" s="74"/>
      <c r="K990" s="74"/>
      <c r="L990" s="74"/>
      <c r="M990" s="74"/>
      <c r="N990" s="74"/>
      <c r="O990" s="74"/>
      <c r="P990" s="74"/>
      <c r="Q990" s="74"/>
      <c r="R990" s="74"/>
      <c r="S990" s="74"/>
      <c r="T990" s="74"/>
      <c r="U990" s="74"/>
      <c r="V990" s="74"/>
      <c r="W990" s="74"/>
      <c r="X990" s="74"/>
      <c r="Y990" s="74"/>
      <c r="Z990" s="74"/>
      <c r="AA990" s="74"/>
      <c r="AB990" s="74"/>
    </row>
    <row r="991" spans="1:28" ht="12" customHeight="1">
      <c r="A991" s="569"/>
      <c r="B991" s="574"/>
      <c r="C991" s="575"/>
      <c r="D991" s="576"/>
      <c r="E991" s="101"/>
      <c r="F991" s="101"/>
      <c r="G991" s="35"/>
      <c r="H991" s="104"/>
      <c r="I991" s="35"/>
      <c r="J991" s="74"/>
      <c r="K991" s="74"/>
      <c r="L991" s="74"/>
      <c r="M991" s="74"/>
      <c r="N991" s="74"/>
      <c r="O991" s="74"/>
      <c r="P991" s="74"/>
      <c r="Q991" s="74"/>
      <c r="R991" s="74"/>
      <c r="S991" s="74"/>
      <c r="T991" s="74"/>
      <c r="U991" s="74"/>
      <c r="V991" s="74"/>
      <c r="W991" s="74"/>
      <c r="X991" s="74"/>
      <c r="Y991" s="74"/>
      <c r="Z991" s="74"/>
      <c r="AA991" s="74"/>
      <c r="AB991" s="74"/>
    </row>
    <row r="992" spans="1:28" ht="12" customHeight="1">
      <c r="A992" s="569"/>
      <c r="B992" s="574"/>
      <c r="C992" s="575"/>
      <c r="D992" s="576"/>
      <c r="E992" s="101"/>
      <c r="F992" s="101"/>
      <c r="G992" s="35"/>
      <c r="H992" s="104"/>
      <c r="I992" s="35"/>
      <c r="J992" s="74"/>
      <c r="K992" s="74"/>
      <c r="L992" s="74"/>
      <c r="M992" s="74"/>
      <c r="N992" s="74"/>
      <c r="O992" s="74"/>
      <c r="P992" s="74"/>
      <c r="Q992" s="74"/>
      <c r="R992" s="74"/>
      <c r="S992" s="74"/>
      <c r="T992" s="74"/>
      <c r="U992" s="74"/>
      <c r="V992" s="74"/>
      <c r="W992" s="74"/>
      <c r="X992" s="74"/>
      <c r="Y992" s="74"/>
      <c r="Z992" s="74"/>
      <c r="AA992" s="74"/>
      <c r="AB992" s="74"/>
    </row>
    <row r="993" spans="1:28" ht="12" customHeight="1">
      <c r="A993" s="569"/>
      <c r="B993" s="574"/>
      <c r="C993" s="575"/>
      <c r="D993" s="576"/>
      <c r="E993" s="101"/>
      <c r="F993" s="101"/>
      <c r="G993" s="35"/>
      <c r="H993" s="104"/>
      <c r="I993" s="35"/>
      <c r="J993" s="74"/>
      <c r="K993" s="74"/>
      <c r="L993" s="74"/>
      <c r="M993" s="74"/>
      <c r="N993" s="74"/>
      <c r="O993" s="74"/>
      <c r="P993" s="74"/>
      <c r="Q993" s="74"/>
      <c r="R993" s="74"/>
      <c r="S993" s="74"/>
      <c r="T993" s="74"/>
      <c r="U993" s="74"/>
      <c r="V993" s="74"/>
      <c r="W993" s="74"/>
      <c r="X993" s="74"/>
      <c r="Y993" s="74"/>
      <c r="Z993" s="74"/>
      <c r="AA993" s="74"/>
      <c r="AB993" s="74"/>
    </row>
    <row r="994" spans="1:28" ht="12" customHeight="1">
      <c r="A994" s="569"/>
      <c r="B994" s="574"/>
      <c r="C994" s="575"/>
      <c r="D994" s="576"/>
      <c r="E994" s="101"/>
      <c r="F994" s="101"/>
      <c r="G994" s="35"/>
      <c r="H994" s="104"/>
      <c r="I994" s="35"/>
      <c r="J994" s="74"/>
      <c r="K994" s="74"/>
      <c r="L994" s="74"/>
      <c r="M994" s="74"/>
      <c r="N994" s="74"/>
      <c r="O994" s="74"/>
      <c r="P994" s="74"/>
      <c r="Q994" s="74"/>
      <c r="R994" s="74"/>
      <c r="S994" s="74"/>
      <c r="T994" s="74"/>
      <c r="U994" s="74"/>
      <c r="V994" s="74"/>
      <c r="W994" s="74"/>
      <c r="X994" s="74"/>
      <c r="Y994" s="74"/>
      <c r="Z994" s="74"/>
      <c r="AA994" s="74"/>
      <c r="AB994" s="74"/>
    </row>
    <row r="995" spans="1:28" ht="12" customHeight="1">
      <c r="A995" s="569"/>
      <c r="B995" s="574"/>
      <c r="C995" s="575"/>
      <c r="D995" s="576"/>
      <c r="E995" s="101"/>
      <c r="F995" s="101"/>
      <c r="G995" s="35"/>
      <c r="H995" s="104"/>
      <c r="I995" s="35"/>
      <c r="J995" s="74"/>
      <c r="K995" s="74"/>
      <c r="L995" s="74"/>
      <c r="M995" s="74"/>
      <c r="N995" s="74"/>
      <c r="O995" s="74"/>
      <c r="P995" s="74"/>
      <c r="Q995" s="74"/>
      <c r="R995" s="74"/>
      <c r="S995" s="74"/>
      <c r="T995" s="74"/>
      <c r="U995" s="74"/>
      <c r="V995" s="74"/>
      <c r="W995" s="74"/>
      <c r="X995" s="74"/>
      <c r="Y995" s="74"/>
      <c r="Z995" s="74"/>
      <c r="AA995" s="74"/>
      <c r="AB995" s="74"/>
    </row>
    <row r="996" spans="1:28" ht="12" customHeight="1">
      <c r="A996" s="569"/>
      <c r="B996" s="574"/>
      <c r="C996" s="575"/>
      <c r="D996" s="576"/>
      <c r="E996" s="101"/>
      <c r="F996" s="101"/>
      <c r="G996" s="35"/>
      <c r="H996" s="104"/>
      <c r="I996" s="35"/>
      <c r="J996" s="74"/>
      <c r="K996" s="74"/>
      <c r="L996" s="74"/>
      <c r="M996" s="74"/>
      <c r="N996" s="74"/>
      <c r="O996" s="74"/>
      <c r="P996" s="74"/>
      <c r="Q996" s="74"/>
      <c r="R996" s="74"/>
      <c r="S996" s="74"/>
      <c r="T996" s="74"/>
      <c r="U996" s="74"/>
      <c r="V996" s="74"/>
      <c r="W996" s="74"/>
      <c r="X996" s="74"/>
      <c r="Y996" s="74"/>
      <c r="Z996" s="74"/>
      <c r="AA996" s="74"/>
      <c r="AB996" s="74"/>
    </row>
    <row r="997" spans="1:28" ht="12" customHeight="1">
      <c r="A997" s="569"/>
      <c r="B997" s="574"/>
      <c r="C997" s="575"/>
      <c r="D997" s="576"/>
      <c r="E997" s="101"/>
      <c r="F997" s="101"/>
      <c r="G997" s="35"/>
      <c r="H997" s="104"/>
      <c r="I997" s="35"/>
      <c r="J997" s="74"/>
      <c r="K997" s="74"/>
      <c r="L997" s="74"/>
      <c r="M997" s="74"/>
      <c r="N997" s="74"/>
      <c r="O997" s="74"/>
      <c r="P997" s="74"/>
      <c r="Q997" s="74"/>
      <c r="R997" s="74"/>
      <c r="S997" s="74"/>
      <c r="T997" s="74"/>
      <c r="U997" s="74"/>
      <c r="V997" s="74"/>
      <c r="W997" s="74"/>
      <c r="X997" s="74"/>
      <c r="Y997" s="74"/>
      <c r="Z997" s="74"/>
      <c r="AA997" s="74"/>
      <c r="AB997" s="74"/>
    </row>
    <row r="998" spans="1:28" ht="12" customHeight="1">
      <c r="A998" s="569"/>
      <c r="B998" s="574"/>
      <c r="C998" s="575"/>
      <c r="D998" s="576"/>
      <c r="E998" s="101"/>
      <c r="F998" s="101"/>
      <c r="G998" s="35"/>
      <c r="H998" s="104"/>
      <c r="I998" s="35"/>
      <c r="J998" s="74"/>
      <c r="K998" s="74"/>
      <c r="L998" s="74"/>
      <c r="M998" s="74"/>
      <c r="N998" s="74"/>
      <c r="O998" s="74"/>
      <c r="P998" s="74"/>
      <c r="Q998" s="74"/>
      <c r="R998" s="74"/>
      <c r="S998" s="74"/>
      <c r="T998" s="74"/>
      <c r="U998" s="74"/>
      <c r="V998" s="74"/>
      <c r="W998" s="74"/>
      <c r="X998" s="74"/>
      <c r="Y998" s="74"/>
      <c r="Z998" s="74"/>
      <c r="AA998" s="74"/>
      <c r="AB998" s="74"/>
    </row>
    <row r="999" spans="1:28" ht="12" customHeight="1">
      <c r="A999" s="569"/>
      <c r="B999" s="574"/>
      <c r="C999" s="575"/>
      <c r="D999" s="576"/>
      <c r="E999" s="101"/>
      <c r="F999" s="101"/>
      <c r="G999" s="35"/>
      <c r="H999" s="104"/>
      <c r="I999" s="35"/>
      <c r="J999" s="74"/>
      <c r="K999" s="74"/>
      <c r="L999" s="74"/>
      <c r="M999" s="74"/>
      <c r="N999" s="74"/>
      <c r="O999" s="74"/>
      <c r="P999" s="74"/>
      <c r="Q999" s="74"/>
      <c r="R999" s="74"/>
      <c r="S999" s="74"/>
      <c r="T999" s="74"/>
      <c r="U999" s="74"/>
      <c r="V999" s="74"/>
      <c r="W999" s="74"/>
      <c r="X999" s="74"/>
      <c r="Y999" s="74"/>
      <c r="Z999" s="74"/>
      <c r="AA999" s="74"/>
      <c r="AB999" s="74"/>
    </row>
    <row r="1000" spans="1:28" ht="12" customHeight="1">
      <c r="A1000" s="569"/>
      <c r="B1000" s="574"/>
      <c r="C1000" s="575"/>
      <c r="D1000" s="576"/>
      <c r="E1000" s="101"/>
      <c r="F1000" s="101"/>
      <c r="G1000" s="35"/>
      <c r="H1000" s="104"/>
      <c r="I1000" s="35"/>
      <c r="J1000" s="74"/>
      <c r="K1000" s="74"/>
      <c r="L1000" s="74"/>
      <c r="M1000" s="74"/>
      <c r="N1000" s="74"/>
      <c r="O1000" s="74"/>
      <c r="P1000" s="74"/>
      <c r="Q1000" s="74"/>
      <c r="R1000" s="74"/>
      <c r="S1000" s="74"/>
      <c r="T1000" s="74"/>
      <c r="U1000" s="74"/>
      <c r="V1000" s="74"/>
      <c r="W1000" s="74"/>
      <c r="X1000" s="74"/>
      <c r="Y1000" s="74"/>
      <c r="Z1000" s="74"/>
      <c r="AA1000" s="74"/>
      <c r="AB1000" s="74"/>
    </row>
    <row r="1001" spans="1:28" ht="12" customHeight="1">
      <c r="A1001" s="569"/>
      <c r="B1001" s="574"/>
      <c r="C1001" s="575"/>
      <c r="D1001" s="576"/>
      <c r="E1001" s="101"/>
      <c r="F1001" s="101"/>
      <c r="G1001" s="35"/>
      <c r="H1001" s="104"/>
      <c r="I1001" s="35"/>
      <c r="J1001" s="74"/>
      <c r="K1001" s="74"/>
      <c r="L1001" s="74"/>
      <c r="M1001" s="74"/>
      <c r="N1001" s="74"/>
      <c r="O1001" s="74"/>
      <c r="P1001" s="74"/>
      <c r="Q1001" s="74"/>
      <c r="R1001" s="74"/>
      <c r="S1001" s="74"/>
      <c r="T1001" s="74"/>
      <c r="U1001" s="74"/>
      <c r="V1001" s="74"/>
      <c r="W1001" s="74"/>
      <c r="X1001" s="74"/>
      <c r="Y1001" s="74"/>
      <c r="Z1001" s="74"/>
      <c r="AA1001" s="74"/>
      <c r="AB1001" s="74"/>
    </row>
    <row r="1002" spans="1:28" ht="12" customHeight="1">
      <c r="A1002" s="569"/>
      <c r="B1002" s="574"/>
      <c r="C1002" s="575"/>
      <c r="D1002" s="576"/>
      <c r="E1002" s="101"/>
      <c r="F1002" s="101"/>
      <c r="G1002" s="35"/>
      <c r="H1002" s="104"/>
      <c r="I1002" s="35"/>
      <c r="J1002" s="74"/>
      <c r="K1002" s="74"/>
      <c r="L1002" s="74"/>
      <c r="M1002" s="74"/>
      <c r="N1002" s="74"/>
      <c r="O1002" s="74"/>
      <c r="P1002" s="74"/>
      <c r="Q1002" s="74"/>
      <c r="R1002" s="74"/>
      <c r="S1002" s="74"/>
      <c r="T1002" s="74"/>
      <c r="U1002" s="74"/>
      <c r="V1002" s="74"/>
      <c r="W1002" s="74"/>
      <c r="X1002" s="74"/>
      <c r="Y1002" s="74"/>
      <c r="Z1002" s="74"/>
      <c r="AA1002" s="74"/>
      <c r="AB1002" s="74"/>
    </row>
    <row r="1003" spans="1:28" ht="12" customHeight="1">
      <c r="A1003" s="569"/>
      <c r="B1003" s="574"/>
      <c r="C1003" s="575"/>
      <c r="D1003" s="576"/>
      <c r="E1003" s="101"/>
      <c r="F1003" s="101"/>
      <c r="G1003" s="35"/>
      <c r="H1003" s="104"/>
      <c r="I1003" s="35"/>
      <c r="J1003" s="74"/>
      <c r="K1003" s="74"/>
      <c r="L1003" s="74"/>
      <c r="M1003" s="74"/>
      <c r="N1003" s="74"/>
      <c r="O1003" s="74"/>
      <c r="P1003" s="74"/>
      <c r="Q1003" s="74"/>
      <c r="R1003" s="74"/>
      <c r="S1003" s="74"/>
      <c r="T1003" s="74"/>
      <c r="U1003" s="74"/>
      <c r="V1003" s="74"/>
      <c r="W1003" s="74"/>
      <c r="X1003" s="74"/>
      <c r="Y1003" s="74"/>
      <c r="Z1003" s="74"/>
      <c r="AA1003" s="74"/>
      <c r="AB1003" s="74"/>
    </row>
    <row r="1004" spans="1:28" ht="12" customHeight="1">
      <c r="A1004" s="569"/>
      <c r="B1004" s="574"/>
      <c r="C1004" s="575"/>
      <c r="D1004" s="576"/>
      <c r="E1004" s="101"/>
      <c r="F1004" s="101"/>
      <c r="G1004" s="35"/>
      <c r="H1004" s="104"/>
      <c r="I1004" s="35"/>
      <c r="J1004" s="74"/>
      <c r="K1004" s="74"/>
      <c r="L1004" s="74"/>
      <c r="M1004" s="74"/>
      <c r="N1004" s="74"/>
      <c r="O1004" s="74"/>
      <c r="P1004" s="74"/>
      <c r="Q1004" s="74"/>
      <c r="R1004" s="74"/>
      <c r="S1004" s="74"/>
      <c r="T1004" s="74"/>
      <c r="U1004" s="74"/>
      <c r="V1004" s="74"/>
      <c r="W1004" s="74"/>
      <c r="X1004" s="74"/>
      <c r="Y1004" s="74"/>
      <c r="Z1004" s="74"/>
      <c r="AA1004" s="74"/>
      <c r="AB1004" s="74"/>
    </row>
    <row r="1005" spans="1:28" ht="12" customHeight="1">
      <c r="A1005" s="569"/>
      <c r="B1005" s="574"/>
      <c r="C1005" s="575"/>
      <c r="D1005" s="576"/>
      <c r="E1005" s="101"/>
      <c r="F1005" s="101"/>
      <c r="G1005" s="35"/>
      <c r="H1005" s="104"/>
      <c r="I1005" s="35"/>
      <c r="J1005" s="74"/>
      <c r="K1005" s="74"/>
      <c r="L1005" s="74"/>
      <c r="M1005" s="74"/>
      <c r="N1005" s="74"/>
      <c r="O1005" s="74"/>
      <c r="P1005" s="74"/>
      <c r="Q1005" s="74"/>
      <c r="R1005" s="74"/>
      <c r="S1005" s="74"/>
      <c r="T1005" s="74"/>
      <c r="U1005" s="74"/>
      <c r="V1005" s="74"/>
      <c r="W1005" s="74"/>
      <c r="X1005" s="74"/>
      <c r="Y1005" s="74"/>
      <c r="Z1005" s="74"/>
      <c r="AA1005" s="74"/>
      <c r="AB1005" s="74"/>
    </row>
    <row r="1006" spans="1:28" ht="12" customHeight="1">
      <c r="A1006" s="569"/>
      <c r="B1006" s="574"/>
      <c r="C1006" s="575"/>
      <c r="D1006" s="576"/>
      <c r="E1006" s="101"/>
      <c r="F1006" s="101"/>
      <c r="G1006" s="35"/>
      <c r="H1006" s="104"/>
      <c r="I1006" s="35"/>
      <c r="J1006" s="74"/>
      <c r="K1006" s="74"/>
      <c r="L1006" s="74"/>
      <c r="M1006" s="74"/>
      <c r="N1006" s="74"/>
      <c r="O1006" s="74"/>
      <c r="P1006" s="74"/>
      <c r="Q1006" s="74"/>
      <c r="R1006" s="74"/>
      <c r="S1006" s="74"/>
      <c r="T1006" s="74"/>
      <c r="U1006" s="74"/>
      <c r="V1006" s="74"/>
      <c r="W1006" s="74"/>
      <c r="X1006" s="74"/>
      <c r="Y1006" s="74"/>
      <c r="Z1006" s="74"/>
      <c r="AA1006" s="74"/>
      <c r="AB1006" s="74"/>
    </row>
    <row r="1007" spans="1:28" ht="12" customHeight="1">
      <c r="A1007" s="569"/>
      <c r="B1007" s="574"/>
      <c r="C1007" s="575"/>
      <c r="D1007" s="576"/>
      <c r="E1007" s="101"/>
      <c r="F1007" s="101"/>
      <c r="G1007" s="35"/>
      <c r="H1007" s="104"/>
      <c r="I1007" s="35"/>
      <c r="J1007" s="74"/>
      <c r="K1007" s="74"/>
      <c r="L1007" s="74"/>
      <c r="M1007" s="74"/>
      <c r="N1007" s="74"/>
      <c r="O1007" s="74"/>
      <c r="P1007" s="74"/>
      <c r="Q1007" s="74"/>
      <c r="R1007" s="74"/>
      <c r="S1007" s="74"/>
      <c r="T1007" s="74"/>
      <c r="U1007" s="74"/>
      <c r="V1007" s="74"/>
      <c r="W1007" s="74"/>
      <c r="X1007" s="74"/>
      <c r="Y1007" s="74"/>
      <c r="Z1007" s="74"/>
      <c r="AA1007" s="74"/>
      <c r="AB1007" s="74"/>
    </row>
    <row r="1008" spans="1:28" ht="12" customHeight="1">
      <c r="A1008" s="569"/>
      <c r="B1008" s="574"/>
      <c r="C1008" s="575"/>
      <c r="D1008" s="576"/>
      <c r="E1008" s="101"/>
      <c r="F1008" s="101"/>
      <c r="G1008" s="35"/>
      <c r="H1008" s="104"/>
      <c r="I1008" s="35"/>
      <c r="J1008" s="74"/>
      <c r="K1008" s="74"/>
      <c r="L1008" s="74"/>
      <c r="M1008" s="74"/>
      <c r="N1008" s="74"/>
      <c r="O1008" s="74"/>
      <c r="P1008" s="74"/>
      <c r="Q1008" s="74"/>
      <c r="R1008" s="74"/>
      <c r="S1008" s="74"/>
      <c r="T1008" s="74"/>
      <c r="U1008" s="74"/>
      <c r="V1008" s="74"/>
      <c r="W1008" s="74"/>
      <c r="X1008" s="74"/>
      <c r="Y1008" s="74"/>
      <c r="Z1008" s="74"/>
      <c r="AA1008" s="74"/>
      <c r="AB1008" s="74"/>
    </row>
    <row r="1009" spans="1:28" ht="12" customHeight="1">
      <c r="A1009" s="569"/>
      <c r="B1009" s="574"/>
      <c r="C1009" s="575"/>
      <c r="D1009" s="576"/>
      <c r="E1009" s="101"/>
      <c r="F1009" s="101"/>
      <c r="G1009" s="35"/>
      <c r="H1009" s="104"/>
      <c r="I1009" s="35"/>
      <c r="J1009" s="74"/>
      <c r="K1009" s="74"/>
      <c r="L1009" s="74"/>
      <c r="M1009" s="74"/>
      <c r="N1009" s="74"/>
      <c r="O1009" s="74"/>
      <c r="P1009" s="74"/>
      <c r="Q1009" s="74"/>
      <c r="R1009" s="74"/>
      <c r="S1009" s="74"/>
      <c r="T1009" s="74"/>
      <c r="U1009" s="74"/>
      <c r="V1009" s="74"/>
      <c r="W1009" s="74"/>
      <c r="X1009" s="74"/>
      <c r="Y1009" s="74"/>
      <c r="Z1009" s="74"/>
      <c r="AA1009" s="74"/>
      <c r="AB1009" s="74"/>
    </row>
    <row r="1010" spans="1:28" ht="12" customHeight="1">
      <c r="A1010" s="569"/>
      <c r="B1010" s="574"/>
      <c r="C1010" s="575"/>
      <c r="D1010" s="576"/>
      <c r="E1010" s="101"/>
      <c r="F1010" s="101"/>
      <c r="G1010" s="35"/>
      <c r="H1010" s="104"/>
      <c r="I1010" s="35"/>
      <c r="J1010" s="74"/>
      <c r="K1010" s="74"/>
      <c r="L1010" s="74"/>
      <c r="M1010" s="74"/>
      <c r="N1010" s="74"/>
      <c r="O1010" s="74"/>
      <c r="P1010" s="74"/>
      <c r="Q1010" s="74"/>
      <c r="R1010" s="74"/>
      <c r="S1010" s="74"/>
      <c r="T1010" s="74"/>
      <c r="U1010" s="74"/>
      <c r="V1010" s="74"/>
      <c r="W1010" s="74"/>
      <c r="X1010" s="74"/>
      <c r="Y1010" s="74"/>
      <c r="Z1010" s="74"/>
      <c r="AA1010" s="74"/>
      <c r="AB1010" s="74"/>
    </row>
    <row r="1011" spans="1:28" ht="12" customHeight="1">
      <c r="A1011" s="569"/>
      <c r="B1011" s="574"/>
      <c r="C1011" s="575"/>
      <c r="D1011" s="576"/>
      <c r="E1011" s="101"/>
      <c r="F1011" s="101"/>
      <c r="G1011" s="35"/>
      <c r="H1011" s="104"/>
      <c r="I1011" s="35"/>
      <c r="J1011" s="74"/>
      <c r="K1011" s="74"/>
      <c r="L1011" s="74"/>
      <c r="M1011" s="74"/>
      <c r="N1011" s="74"/>
      <c r="O1011" s="74"/>
      <c r="P1011" s="74"/>
      <c r="Q1011" s="74"/>
      <c r="R1011" s="74"/>
      <c r="S1011" s="74"/>
      <c r="T1011" s="74"/>
      <c r="U1011" s="74"/>
      <c r="V1011" s="74"/>
      <c r="W1011" s="74"/>
      <c r="X1011" s="74"/>
      <c r="Y1011" s="74"/>
      <c r="Z1011" s="74"/>
      <c r="AA1011" s="74"/>
      <c r="AB1011" s="74"/>
    </row>
    <row r="1012" spans="1:28" ht="12" customHeight="1">
      <c r="A1012" s="569"/>
      <c r="B1012" s="574"/>
      <c r="C1012" s="575"/>
      <c r="D1012" s="576"/>
      <c r="E1012" s="101"/>
      <c r="F1012" s="101"/>
      <c r="G1012" s="35"/>
      <c r="H1012" s="104"/>
      <c r="I1012" s="35"/>
      <c r="J1012" s="74"/>
      <c r="K1012" s="74"/>
      <c r="L1012" s="74"/>
      <c r="M1012" s="74"/>
      <c r="N1012" s="74"/>
      <c r="O1012" s="74"/>
      <c r="P1012" s="74"/>
      <c r="Q1012" s="74"/>
      <c r="R1012" s="74"/>
      <c r="S1012" s="74"/>
      <c r="T1012" s="74"/>
      <c r="U1012" s="74"/>
      <c r="V1012" s="74"/>
      <c r="W1012" s="74"/>
      <c r="X1012" s="74"/>
      <c r="Y1012" s="74"/>
      <c r="Z1012" s="74"/>
      <c r="AA1012" s="74"/>
      <c r="AB1012" s="74"/>
    </row>
    <row r="1013" spans="1:28" ht="12" customHeight="1">
      <c r="A1013" s="569"/>
      <c r="B1013" s="574"/>
      <c r="C1013" s="575"/>
      <c r="D1013" s="576"/>
      <c r="E1013" s="101"/>
      <c r="F1013" s="101"/>
      <c r="G1013" s="35"/>
      <c r="H1013" s="104"/>
      <c r="I1013" s="35"/>
      <c r="J1013" s="74"/>
      <c r="K1013" s="74"/>
      <c r="L1013" s="74"/>
      <c r="M1013" s="74"/>
      <c r="N1013" s="74"/>
      <c r="O1013" s="74"/>
      <c r="P1013" s="74"/>
      <c r="Q1013" s="74"/>
      <c r="R1013" s="74"/>
      <c r="S1013" s="74"/>
      <c r="T1013" s="74"/>
      <c r="U1013" s="74"/>
      <c r="V1013" s="74"/>
      <c r="W1013" s="74"/>
      <c r="X1013" s="74"/>
      <c r="Y1013" s="74"/>
      <c r="Z1013" s="74"/>
      <c r="AA1013" s="74"/>
      <c r="AB1013" s="74"/>
    </row>
    <row r="1014" spans="1:28" ht="12" customHeight="1">
      <c r="A1014" s="569"/>
      <c r="B1014" s="574"/>
      <c r="C1014" s="575"/>
      <c r="D1014" s="576"/>
      <c r="E1014" s="101"/>
      <c r="F1014" s="101"/>
      <c r="G1014" s="35"/>
      <c r="H1014" s="104"/>
      <c r="I1014" s="35"/>
      <c r="J1014" s="74"/>
      <c r="K1014" s="74"/>
      <c r="L1014" s="74"/>
      <c r="M1014" s="74"/>
      <c r="N1014" s="74"/>
      <c r="O1014" s="74"/>
      <c r="P1014" s="74"/>
      <c r="Q1014" s="74"/>
      <c r="R1014" s="74"/>
      <c r="S1014" s="74"/>
      <c r="T1014" s="74"/>
      <c r="U1014" s="74"/>
      <c r="V1014" s="74"/>
      <c r="W1014" s="74"/>
      <c r="X1014" s="74"/>
      <c r="Y1014" s="74"/>
      <c r="Z1014" s="74"/>
      <c r="AA1014" s="74"/>
      <c r="AB1014" s="74"/>
    </row>
    <row r="1015" spans="1:28" ht="12" customHeight="1">
      <c r="A1015" s="569"/>
      <c r="B1015" s="574"/>
      <c r="C1015" s="575"/>
      <c r="D1015" s="576"/>
      <c r="E1015" s="101"/>
      <c r="F1015" s="101"/>
      <c r="G1015" s="35"/>
      <c r="H1015" s="104"/>
      <c r="I1015" s="35"/>
      <c r="J1015" s="74"/>
      <c r="K1015" s="74"/>
      <c r="L1015" s="74"/>
      <c r="M1015" s="74"/>
      <c r="N1015" s="74"/>
      <c r="O1015" s="74"/>
      <c r="P1015" s="74"/>
      <c r="Q1015" s="74"/>
      <c r="R1015" s="74"/>
      <c r="S1015" s="74"/>
      <c r="T1015" s="74"/>
      <c r="U1015" s="74"/>
      <c r="V1015" s="74"/>
      <c r="W1015" s="74"/>
      <c r="X1015" s="74"/>
      <c r="Y1015" s="74"/>
      <c r="Z1015" s="74"/>
      <c r="AA1015" s="74"/>
      <c r="AB1015" s="74"/>
    </row>
    <row r="1016" spans="1:28" ht="12" customHeight="1">
      <c r="A1016" s="569"/>
      <c r="B1016" s="574"/>
      <c r="C1016" s="575"/>
      <c r="D1016" s="576"/>
      <c r="E1016" s="101"/>
      <c r="F1016" s="101"/>
      <c r="G1016" s="35"/>
      <c r="H1016" s="104"/>
      <c r="I1016" s="35"/>
      <c r="J1016" s="74"/>
      <c r="K1016" s="74"/>
      <c r="L1016" s="74"/>
      <c r="M1016" s="74"/>
      <c r="N1016" s="74"/>
      <c r="O1016" s="74"/>
      <c r="P1016" s="74"/>
      <c r="Q1016" s="74"/>
      <c r="R1016" s="74"/>
      <c r="S1016" s="74"/>
      <c r="T1016" s="74"/>
      <c r="U1016" s="74"/>
      <c r="V1016" s="74"/>
      <c r="W1016" s="74"/>
      <c r="X1016" s="74"/>
      <c r="Y1016" s="74"/>
      <c r="Z1016" s="74"/>
      <c r="AA1016" s="74"/>
      <c r="AB1016" s="74"/>
    </row>
    <row r="1017" spans="1:28" ht="12" customHeight="1">
      <c r="A1017" s="569"/>
      <c r="B1017" s="574"/>
      <c r="C1017" s="575"/>
      <c r="D1017" s="576"/>
      <c r="E1017" s="101"/>
      <c r="F1017" s="101"/>
      <c r="G1017" s="35"/>
      <c r="H1017" s="104"/>
      <c r="I1017" s="35"/>
      <c r="J1017" s="74"/>
      <c r="K1017" s="74"/>
      <c r="L1017" s="74"/>
      <c r="M1017" s="74"/>
      <c r="N1017" s="74"/>
      <c r="O1017" s="74"/>
      <c r="P1017" s="74"/>
      <c r="Q1017" s="74"/>
      <c r="R1017" s="74"/>
      <c r="S1017" s="74"/>
      <c r="T1017" s="74"/>
      <c r="U1017" s="74"/>
      <c r="V1017" s="74"/>
      <c r="W1017" s="74"/>
      <c r="X1017" s="74"/>
      <c r="Y1017" s="74"/>
      <c r="Z1017" s="74"/>
      <c r="AA1017" s="74"/>
      <c r="AB1017" s="74"/>
    </row>
    <row r="1018" spans="1:28" ht="12" customHeight="1">
      <c r="A1018" s="569"/>
      <c r="B1018" s="574"/>
      <c r="C1018" s="575"/>
      <c r="D1018" s="576"/>
      <c r="E1018" s="101"/>
      <c r="F1018" s="101"/>
      <c r="G1018" s="35"/>
      <c r="H1018" s="104"/>
      <c r="I1018" s="35"/>
      <c r="J1018" s="74"/>
      <c r="K1018" s="74"/>
      <c r="L1018" s="74"/>
      <c r="M1018" s="74"/>
      <c r="N1018" s="74"/>
      <c r="O1018" s="74"/>
      <c r="P1018" s="74"/>
      <c r="Q1018" s="74"/>
      <c r="R1018" s="74"/>
      <c r="S1018" s="74"/>
      <c r="T1018" s="74"/>
      <c r="U1018" s="74"/>
      <c r="V1018" s="74"/>
      <c r="W1018" s="74"/>
      <c r="X1018" s="74"/>
      <c r="Y1018" s="74"/>
      <c r="Z1018" s="74"/>
      <c r="AA1018" s="74"/>
      <c r="AB1018" s="74"/>
    </row>
    <row r="1019" spans="1:28" ht="12" customHeight="1">
      <c r="A1019" s="569"/>
      <c r="B1019" s="574"/>
      <c r="C1019" s="575"/>
      <c r="D1019" s="576"/>
      <c r="E1019" s="101"/>
      <c r="F1019" s="101"/>
      <c r="G1019" s="35"/>
      <c r="H1019" s="104"/>
      <c r="I1019" s="35"/>
      <c r="J1019" s="74"/>
      <c r="K1019" s="74"/>
      <c r="L1019" s="74"/>
      <c r="M1019" s="74"/>
      <c r="N1019" s="74"/>
      <c r="O1019" s="74"/>
      <c r="P1019" s="74"/>
      <c r="Q1019" s="74"/>
      <c r="R1019" s="74"/>
      <c r="S1019" s="74"/>
      <c r="T1019" s="74"/>
      <c r="U1019" s="74"/>
      <c r="V1019" s="74"/>
      <c r="W1019" s="74"/>
      <c r="X1019" s="74"/>
      <c r="Y1019" s="74"/>
      <c r="Z1019" s="74"/>
      <c r="AA1019" s="74"/>
      <c r="AB1019" s="74"/>
    </row>
    <row r="1020" spans="1:28" ht="12" customHeight="1">
      <c r="A1020" s="569"/>
      <c r="B1020" s="574"/>
      <c r="C1020" s="575"/>
      <c r="D1020" s="576"/>
      <c r="E1020" s="101"/>
      <c r="F1020" s="101"/>
      <c r="G1020" s="35"/>
      <c r="H1020" s="104"/>
      <c r="I1020" s="35"/>
      <c r="J1020" s="74"/>
      <c r="K1020" s="74"/>
      <c r="L1020" s="74"/>
      <c r="M1020" s="74"/>
      <c r="N1020" s="74"/>
      <c r="O1020" s="74"/>
      <c r="P1020" s="74"/>
      <c r="Q1020" s="74"/>
      <c r="R1020" s="74"/>
      <c r="S1020" s="74"/>
      <c r="T1020" s="74"/>
      <c r="U1020" s="74"/>
      <c r="V1020" s="74"/>
      <c r="W1020" s="74"/>
      <c r="X1020" s="74"/>
      <c r="Y1020" s="74"/>
      <c r="Z1020" s="74"/>
      <c r="AA1020" s="74"/>
      <c r="AB1020" s="74"/>
    </row>
    <row r="1021" spans="1:28" ht="12" customHeight="1">
      <c r="A1021" s="569"/>
      <c r="B1021" s="574"/>
      <c r="C1021" s="575"/>
      <c r="D1021" s="576"/>
      <c r="E1021" s="101"/>
      <c r="F1021" s="101"/>
      <c r="G1021" s="35"/>
      <c r="H1021" s="104"/>
      <c r="I1021" s="35"/>
      <c r="J1021" s="74"/>
      <c r="K1021" s="74"/>
      <c r="L1021" s="74"/>
      <c r="M1021" s="74"/>
      <c r="N1021" s="74"/>
      <c r="O1021" s="74"/>
      <c r="P1021" s="74"/>
      <c r="Q1021" s="74"/>
      <c r="R1021" s="74"/>
      <c r="S1021" s="74"/>
      <c r="T1021" s="74"/>
      <c r="U1021" s="74"/>
      <c r="V1021" s="74"/>
      <c r="W1021" s="74"/>
      <c r="X1021" s="74"/>
      <c r="Y1021" s="74"/>
      <c r="Z1021" s="74"/>
      <c r="AA1021" s="74"/>
      <c r="AB1021" s="74"/>
    </row>
    <row r="1022" spans="1:28" ht="12" customHeight="1">
      <c r="A1022" s="569"/>
      <c r="B1022" s="574"/>
      <c r="C1022" s="575"/>
      <c r="D1022" s="576"/>
      <c r="E1022" s="101"/>
      <c r="F1022" s="101"/>
      <c r="G1022" s="35"/>
      <c r="H1022" s="104"/>
      <c r="I1022" s="35"/>
      <c r="J1022" s="74"/>
      <c r="K1022" s="74"/>
      <c r="L1022" s="74"/>
      <c r="M1022" s="74"/>
      <c r="N1022" s="74"/>
      <c r="O1022" s="74"/>
      <c r="P1022" s="74"/>
      <c r="Q1022" s="74"/>
      <c r="R1022" s="74"/>
      <c r="S1022" s="74"/>
      <c r="T1022" s="74"/>
      <c r="U1022" s="74"/>
      <c r="V1022" s="74"/>
      <c r="W1022" s="74"/>
      <c r="X1022" s="74"/>
      <c r="Y1022" s="74"/>
      <c r="Z1022" s="74"/>
      <c r="AA1022" s="74"/>
      <c r="AB1022" s="74"/>
    </row>
    <row r="1023" spans="1:28" ht="12" customHeight="1">
      <c r="A1023" s="569"/>
      <c r="B1023" s="574"/>
      <c r="C1023" s="575"/>
      <c r="D1023" s="576"/>
      <c r="E1023" s="101"/>
      <c r="F1023" s="101"/>
      <c r="G1023" s="35"/>
      <c r="H1023" s="104"/>
      <c r="I1023" s="35"/>
      <c r="J1023" s="74"/>
      <c r="K1023" s="74"/>
      <c r="L1023" s="74"/>
      <c r="M1023" s="74"/>
      <c r="N1023" s="74"/>
      <c r="O1023" s="74"/>
      <c r="P1023" s="74"/>
      <c r="Q1023" s="74"/>
      <c r="R1023" s="74"/>
      <c r="S1023" s="74"/>
      <c r="T1023" s="74"/>
      <c r="U1023" s="74"/>
      <c r="V1023" s="74"/>
      <c r="W1023" s="74"/>
      <c r="X1023" s="74"/>
      <c r="Y1023" s="74"/>
      <c r="Z1023" s="74"/>
      <c r="AA1023" s="74"/>
      <c r="AB1023" s="74"/>
    </row>
    <row r="1024" spans="1:28" ht="12" customHeight="1">
      <c r="A1024" s="569"/>
      <c r="B1024" s="574"/>
      <c r="C1024" s="575"/>
      <c r="D1024" s="576"/>
      <c r="E1024" s="101"/>
      <c r="F1024" s="101"/>
      <c r="G1024" s="35"/>
      <c r="H1024" s="104"/>
      <c r="I1024" s="35"/>
      <c r="J1024" s="74"/>
      <c r="K1024" s="74"/>
      <c r="L1024" s="74"/>
      <c r="M1024" s="74"/>
      <c r="N1024" s="74"/>
      <c r="O1024" s="74"/>
      <c r="P1024" s="74"/>
      <c r="Q1024" s="74"/>
      <c r="R1024" s="74"/>
      <c r="S1024" s="74"/>
      <c r="T1024" s="74"/>
      <c r="U1024" s="74"/>
      <c r="V1024" s="74"/>
      <c r="W1024" s="74"/>
      <c r="X1024" s="74"/>
      <c r="Y1024" s="74"/>
      <c r="Z1024" s="74"/>
      <c r="AA1024" s="74"/>
      <c r="AB1024" s="74"/>
    </row>
    <row r="1025" spans="1:28" ht="12" customHeight="1">
      <c r="A1025" s="569"/>
      <c r="B1025" s="574"/>
      <c r="C1025" s="575"/>
      <c r="D1025" s="576"/>
      <c r="E1025" s="101"/>
      <c r="F1025" s="101"/>
      <c r="G1025" s="35"/>
      <c r="H1025" s="104"/>
      <c r="I1025" s="35"/>
      <c r="J1025" s="74"/>
      <c r="K1025" s="74"/>
      <c r="L1025" s="74"/>
      <c r="M1025" s="74"/>
      <c r="N1025" s="74"/>
      <c r="O1025" s="74"/>
      <c r="P1025" s="74"/>
      <c r="Q1025" s="74"/>
      <c r="R1025" s="74"/>
      <c r="S1025" s="74"/>
      <c r="T1025" s="74"/>
      <c r="U1025" s="74"/>
      <c r="V1025" s="74"/>
      <c r="W1025" s="74"/>
      <c r="X1025" s="74"/>
      <c r="Y1025" s="74"/>
      <c r="Z1025" s="74"/>
      <c r="AA1025" s="74"/>
      <c r="AB1025" s="74"/>
    </row>
    <row r="1026" spans="1:28" ht="12" customHeight="1">
      <c r="A1026" s="569"/>
      <c r="B1026" s="574"/>
      <c r="C1026" s="575"/>
      <c r="D1026" s="576"/>
      <c r="E1026" s="101"/>
      <c r="F1026" s="101"/>
      <c r="G1026" s="35"/>
      <c r="H1026" s="104"/>
      <c r="I1026" s="35"/>
      <c r="J1026" s="74"/>
      <c r="K1026" s="74"/>
      <c r="L1026" s="74"/>
      <c r="M1026" s="74"/>
      <c r="N1026" s="74"/>
      <c r="O1026" s="74"/>
      <c r="P1026" s="74"/>
      <c r="Q1026" s="74"/>
      <c r="R1026" s="74"/>
      <c r="S1026" s="74"/>
      <c r="T1026" s="74"/>
      <c r="U1026" s="74"/>
      <c r="V1026" s="74"/>
      <c r="W1026" s="74"/>
      <c r="X1026" s="74"/>
      <c r="Y1026" s="74"/>
      <c r="Z1026" s="74"/>
      <c r="AA1026" s="74"/>
      <c r="AB1026" s="74"/>
    </row>
    <row r="1027" spans="1:28" ht="12" customHeight="1">
      <c r="A1027" s="569"/>
      <c r="B1027" s="574"/>
      <c r="C1027" s="575"/>
      <c r="D1027" s="576"/>
      <c r="E1027" s="101"/>
      <c r="F1027" s="101"/>
      <c r="G1027" s="35"/>
      <c r="H1027" s="104"/>
      <c r="I1027" s="35"/>
      <c r="J1027" s="74"/>
      <c r="K1027" s="74"/>
      <c r="L1027" s="74"/>
      <c r="M1027" s="74"/>
      <c r="N1027" s="74"/>
      <c r="O1027" s="74"/>
      <c r="P1027" s="74"/>
      <c r="Q1027" s="74"/>
      <c r="R1027" s="74"/>
      <c r="S1027" s="74"/>
      <c r="T1027" s="74"/>
      <c r="U1027" s="74"/>
      <c r="V1027" s="74"/>
      <c r="W1027" s="74"/>
      <c r="X1027" s="74"/>
      <c r="Y1027" s="74"/>
      <c r="Z1027" s="74"/>
      <c r="AA1027" s="74"/>
      <c r="AB1027" s="74"/>
    </row>
    <row r="1028" spans="1:28" ht="12" customHeight="1">
      <c r="A1028" s="569"/>
      <c r="B1028" s="574"/>
      <c r="C1028" s="575"/>
      <c r="D1028" s="576"/>
      <c r="E1028" s="101"/>
      <c r="F1028" s="101"/>
      <c r="G1028" s="35"/>
      <c r="H1028" s="104"/>
      <c r="I1028" s="35"/>
      <c r="J1028" s="74"/>
      <c r="K1028" s="74"/>
      <c r="L1028" s="74"/>
      <c r="M1028" s="74"/>
      <c r="N1028" s="74"/>
      <c r="O1028" s="74"/>
      <c r="P1028" s="74"/>
      <c r="Q1028" s="74"/>
      <c r="R1028" s="74"/>
      <c r="S1028" s="74"/>
      <c r="T1028" s="74"/>
      <c r="U1028" s="74"/>
      <c r="V1028" s="74"/>
      <c r="W1028" s="74"/>
      <c r="X1028" s="74"/>
      <c r="Y1028" s="74"/>
      <c r="Z1028" s="74"/>
      <c r="AA1028" s="74"/>
      <c r="AB1028" s="74"/>
    </row>
    <row r="1029" spans="1:28" ht="12" customHeight="1">
      <c r="A1029" s="569"/>
      <c r="B1029" s="574"/>
      <c r="C1029" s="575"/>
      <c r="D1029" s="576"/>
      <c r="E1029" s="101"/>
      <c r="F1029" s="101"/>
      <c r="G1029" s="35"/>
      <c r="H1029" s="104"/>
      <c r="I1029" s="35"/>
      <c r="J1029" s="74"/>
      <c r="K1029" s="74"/>
      <c r="L1029" s="74"/>
      <c r="M1029" s="74"/>
      <c r="N1029" s="74"/>
      <c r="O1029" s="74"/>
      <c r="P1029" s="74"/>
      <c r="Q1029" s="74"/>
      <c r="R1029" s="74"/>
      <c r="S1029" s="74"/>
      <c r="T1029" s="74"/>
      <c r="U1029" s="74"/>
      <c r="V1029" s="74"/>
      <c r="W1029" s="74"/>
      <c r="X1029" s="74"/>
      <c r="Y1029" s="74"/>
      <c r="Z1029" s="74"/>
      <c r="AA1029" s="74"/>
      <c r="AB1029" s="74"/>
    </row>
    <row r="1030" spans="1:28" ht="12" customHeight="1">
      <c r="A1030" s="569"/>
      <c r="B1030" s="574"/>
      <c r="C1030" s="575"/>
      <c r="D1030" s="576"/>
      <c r="E1030" s="101"/>
      <c r="F1030" s="101"/>
      <c r="G1030" s="35"/>
      <c r="H1030" s="104"/>
      <c r="I1030" s="35"/>
      <c r="J1030" s="74"/>
      <c r="K1030" s="74"/>
      <c r="L1030" s="74"/>
      <c r="M1030" s="74"/>
      <c r="N1030" s="74"/>
      <c r="O1030" s="74"/>
      <c r="P1030" s="74"/>
      <c r="Q1030" s="74"/>
      <c r="R1030" s="74"/>
      <c r="S1030" s="74"/>
      <c r="T1030" s="74"/>
      <c r="U1030" s="74"/>
      <c r="V1030" s="74"/>
      <c r="W1030" s="74"/>
      <c r="X1030" s="74"/>
      <c r="Y1030" s="74"/>
      <c r="Z1030" s="74"/>
      <c r="AA1030" s="74"/>
      <c r="AB1030" s="74"/>
    </row>
    <row r="1031" spans="1:28" ht="12" customHeight="1">
      <c r="A1031" s="569"/>
      <c r="B1031" s="574"/>
      <c r="C1031" s="575"/>
      <c r="D1031" s="576"/>
      <c r="E1031" s="101"/>
      <c r="F1031" s="101"/>
      <c r="G1031" s="35"/>
      <c r="H1031" s="104"/>
      <c r="I1031" s="35"/>
      <c r="J1031" s="74"/>
      <c r="K1031" s="74"/>
      <c r="L1031" s="74"/>
      <c r="M1031" s="74"/>
      <c r="N1031" s="74"/>
      <c r="O1031" s="74"/>
      <c r="P1031" s="74"/>
      <c r="Q1031" s="74"/>
      <c r="R1031" s="74"/>
      <c r="S1031" s="74"/>
      <c r="T1031" s="74"/>
      <c r="U1031" s="74"/>
      <c r="V1031" s="74"/>
      <c r="W1031" s="74"/>
      <c r="X1031" s="74"/>
      <c r="Y1031" s="74"/>
      <c r="Z1031" s="74"/>
      <c r="AA1031" s="74"/>
      <c r="AB1031" s="74"/>
    </row>
    <row r="1032" spans="1:28" ht="12" customHeight="1">
      <c r="A1032" s="569"/>
      <c r="B1032" s="574"/>
      <c r="C1032" s="575"/>
      <c r="D1032" s="576"/>
      <c r="E1032" s="101"/>
      <c r="F1032" s="101"/>
      <c r="G1032" s="35"/>
      <c r="H1032" s="104"/>
      <c r="I1032" s="35"/>
      <c r="J1032" s="74"/>
      <c r="K1032" s="74"/>
      <c r="L1032" s="74"/>
      <c r="M1032" s="74"/>
      <c r="N1032" s="74"/>
      <c r="O1032" s="74"/>
      <c r="P1032" s="74"/>
      <c r="Q1032" s="74"/>
      <c r="R1032" s="74"/>
      <c r="S1032" s="74"/>
      <c r="T1032" s="74"/>
      <c r="U1032" s="74"/>
      <c r="V1032" s="74"/>
      <c r="W1032" s="74"/>
      <c r="X1032" s="74"/>
      <c r="Y1032" s="74"/>
      <c r="Z1032" s="74"/>
      <c r="AA1032" s="74"/>
      <c r="AB1032" s="74"/>
    </row>
    <row r="1033" spans="1:28" ht="12" customHeight="1">
      <c r="A1033" s="569"/>
      <c r="B1033" s="574"/>
      <c r="C1033" s="575"/>
      <c r="D1033" s="576"/>
      <c r="E1033" s="101"/>
      <c r="F1033" s="101"/>
      <c r="G1033" s="35"/>
      <c r="H1033" s="104"/>
      <c r="I1033" s="35"/>
      <c r="J1033" s="74"/>
      <c r="K1033" s="74"/>
      <c r="L1033" s="74"/>
      <c r="M1033" s="74"/>
      <c r="N1033" s="74"/>
      <c r="O1033" s="74"/>
      <c r="P1033" s="74"/>
      <c r="Q1033" s="74"/>
      <c r="R1033" s="74"/>
      <c r="S1033" s="74"/>
      <c r="T1033" s="74"/>
      <c r="U1033" s="74"/>
      <c r="V1033" s="74"/>
      <c r="W1033" s="74"/>
      <c r="X1033" s="74"/>
      <c r="Y1033" s="74"/>
      <c r="Z1033" s="74"/>
      <c r="AA1033" s="74"/>
      <c r="AB1033" s="74"/>
    </row>
    <row r="1034" spans="1:28" ht="12" customHeight="1">
      <c r="A1034" s="569"/>
      <c r="B1034" s="574"/>
      <c r="C1034" s="575"/>
      <c r="D1034" s="576"/>
      <c r="E1034" s="101"/>
      <c r="F1034" s="101"/>
      <c r="G1034" s="35"/>
      <c r="H1034" s="104"/>
      <c r="I1034" s="35"/>
      <c r="J1034" s="74"/>
      <c r="K1034" s="74"/>
      <c r="L1034" s="74"/>
      <c r="M1034" s="74"/>
      <c r="N1034" s="74"/>
      <c r="O1034" s="74"/>
      <c r="P1034" s="74"/>
      <c r="Q1034" s="74"/>
      <c r="R1034" s="74"/>
      <c r="S1034" s="74"/>
      <c r="T1034" s="74"/>
      <c r="U1034" s="74"/>
      <c r="V1034" s="74"/>
      <c r="W1034" s="74"/>
      <c r="X1034" s="74"/>
      <c r="Y1034" s="74"/>
      <c r="Z1034" s="74"/>
      <c r="AA1034" s="74"/>
      <c r="AB1034" s="74"/>
    </row>
    <row r="1035" spans="1:28" ht="12" customHeight="1">
      <c r="A1035" s="569"/>
      <c r="B1035" s="574"/>
      <c r="C1035" s="575"/>
      <c r="D1035" s="576"/>
      <c r="E1035" s="101"/>
      <c r="F1035" s="101"/>
      <c r="G1035" s="35"/>
      <c r="H1035" s="104"/>
      <c r="I1035" s="35"/>
      <c r="J1035" s="74"/>
      <c r="K1035" s="74"/>
      <c r="L1035" s="74"/>
      <c r="M1035" s="74"/>
      <c r="N1035" s="74"/>
      <c r="O1035" s="74"/>
      <c r="P1035" s="74"/>
      <c r="Q1035" s="74"/>
      <c r="R1035" s="74"/>
      <c r="S1035" s="74"/>
      <c r="T1035" s="74"/>
      <c r="U1035" s="74"/>
      <c r="V1035" s="74"/>
      <c r="W1035" s="74"/>
      <c r="X1035" s="74"/>
      <c r="Y1035" s="74"/>
      <c r="Z1035" s="74"/>
      <c r="AA1035" s="74"/>
      <c r="AB1035" s="74"/>
    </row>
    <row r="1036" spans="1:28" ht="12" customHeight="1">
      <c r="A1036" s="569"/>
      <c r="B1036" s="574"/>
      <c r="C1036" s="575"/>
      <c r="D1036" s="576"/>
      <c r="E1036" s="101"/>
      <c r="F1036" s="101"/>
      <c r="G1036" s="35"/>
      <c r="H1036" s="104"/>
      <c r="I1036" s="35"/>
      <c r="J1036" s="74"/>
      <c r="K1036" s="74"/>
      <c r="L1036" s="74"/>
      <c r="M1036" s="74"/>
      <c r="N1036" s="74"/>
      <c r="O1036" s="74"/>
      <c r="P1036" s="74"/>
      <c r="Q1036" s="74"/>
      <c r="R1036" s="74"/>
      <c r="S1036" s="74"/>
      <c r="T1036" s="74"/>
      <c r="U1036" s="74"/>
      <c r="V1036" s="74"/>
      <c r="W1036" s="74"/>
      <c r="X1036" s="74"/>
      <c r="Y1036" s="74"/>
      <c r="Z1036" s="74"/>
      <c r="AA1036" s="74"/>
      <c r="AB1036" s="74"/>
    </row>
    <row r="1037" spans="1:28" ht="12" customHeight="1">
      <c r="A1037" s="569"/>
      <c r="B1037" s="574"/>
      <c r="C1037" s="575"/>
      <c r="D1037" s="576"/>
      <c r="E1037" s="101"/>
      <c r="F1037" s="101"/>
      <c r="G1037" s="35"/>
      <c r="H1037" s="104"/>
      <c r="I1037" s="35"/>
      <c r="J1037" s="74"/>
      <c r="K1037" s="74"/>
      <c r="L1037" s="74"/>
      <c r="M1037" s="74"/>
      <c r="N1037" s="74"/>
      <c r="O1037" s="74"/>
      <c r="P1037" s="74"/>
      <c r="Q1037" s="74"/>
      <c r="R1037" s="74"/>
      <c r="S1037" s="74"/>
      <c r="T1037" s="74"/>
      <c r="U1037" s="74"/>
      <c r="V1037" s="74"/>
      <c r="W1037" s="74"/>
      <c r="X1037" s="74"/>
      <c r="Y1037" s="74"/>
      <c r="Z1037" s="74"/>
      <c r="AA1037" s="74"/>
      <c r="AB1037" s="74"/>
    </row>
    <row r="1038" spans="1:28" ht="12" customHeight="1">
      <c r="A1038" s="569"/>
      <c r="B1038" s="574"/>
      <c r="C1038" s="575"/>
      <c r="D1038" s="576"/>
      <c r="E1038" s="101"/>
      <c r="F1038" s="101"/>
      <c r="G1038" s="35"/>
      <c r="H1038" s="104"/>
      <c r="I1038" s="35"/>
      <c r="J1038" s="74"/>
      <c r="K1038" s="74"/>
      <c r="L1038" s="74"/>
      <c r="M1038" s="74"/>
      <c r="N1038" s="74"/>
      <c r="O1038" s="74"/>
      <c r="P1038" s="74"/>
      <c r="Q1038" s="74"/>
      <c r="R1038" s="74"/>
      <c r="S1038" s="74"/>
      <c r="T1038" s="74"/>
      <c r="U1038" s="74"/>
      <c r="V1038" s="74"/>
      <c r="W1038" s="74"/>
      <c r="X1038" s="74"/>
      <c r="Y1038" s="74"/>
      <c r="Z1038" s="74"/>
      <c r="AA1038" s="74"/>
      <c r="AB1038" s="74"/>
    </row>
    <row r="1039" spans="1:28" ht="12" customHeight="1">
      <c r="A1039" s="569"/>
      <c r="B1039" s="574"/>
      <c r="C1039" s="575"/>
      <c r="D1039" s="576"/>
      <c r="E1039" s="101"/>
      <c r="F1039" s="101"/>
      <c r="G1039" s="35"/>
      <c r="H1039" s="104"/>
      <c r="I1039" s="35"/>
      <c r="J1039" s="74"/>
      <c r="K1039" s="74"/>
      <c r="L1039" s="74"/>
      <c r="M1039" s="74"/>
      <c r="N1039" s="74"/>
      <c r="O1039" s="74"/>
      <c r="P1039" s="74"/>
      <c r="Q1039" s="74"/>
      <c r="R1039" s="74"/>
      <c r="S1039" s="74"/>
      <c r="T1039" s="74"/>
      <c r="U1039" s="74"/>
      <c r="V1039" s="74"/>
      <c r="W1039" s="74"/>
      <c r="X1039" s="74"/>
      <c r="Y1039" s="74"/>
      <c r="Z1039" s="74"/>
      <c r="AA1039" s="74"/>
      <c r="AB1039" s="74"/>
    </row>
    <row r="1040" spans="1:28" ht="12" customHeight="1">
      <c r="A1040" s="569"/>
      <c r="B1040" s="574"/>
      <c r="C1040" s="575"/>
      <c r="D1040" s="576"/>
      <c r="E1040" s="101"/>
      <c r="F1040" s="101"/>
      <c r="G1040" s="35"/>
      <c r="H1040" s="104"/>
      <c r="I1040" s="35"/>
      <c r="J1040" s="74"/>
      <c r="K1040" s="74"/>
      <c r="L1040" s="74"/>
      <c r="M1040" s="74"/>
      <c r="N1040" s="74"/>
      <c r="O1040" s="74"/>
      <c r="P1040" s="74"/>
      <c r="Q1040" s="74"/>
      <c r="R1040" s="74"/>
      <c r="S1040" s="74"/>
      <c r="T1040" s="74"/>
      <c r="U1040" s="74"/>
      <c r="V1040" s="74"/>
      <c r="W1040" s="74"/>
      <c r="X1040" s="74"/>
      <c r="Y1040" s="74"/>
      <c r="Z1040" s="74"/>
      <c r="AA1040" s="74"/>
      <c r="AB1040" s="74"/>
    </row>
    <row r="1041" spans="1:28" ht="12" customHeight="1">
      <c r="A1041" s="569"/>
      <c r="B1041" s="574"/>
      <c r="C1041" s="575"/>
      <c r="D1041" s="576"/>
      <c r="E1041" s="101"/>
      <c r="F1041" s="101"/>
      <c r="G1041" s="35"/>
      <c r="H1041" s="104"/>
      <c r="I1041" s="35"/>
      <c r="J1041" s="74"/>
      <c r="K1041" s="74"/>
      <c r="L1041" s="74"/>
      <c r="M1041" s="74"/>
      <c r="N1041" s="74"/>
      <c r="O1041" s="74"/>
      <c r="P1041" s="74"/>
      <c r="Q1041" s="74"/>
      <c r="R1041" s="74"/>
      <c r="S1041" s="74"/>
      <c r="T1041" s="74"/>
      <c r="U1041" s="74"/>
      <c r="V1041" s="74"/>
      <c r="W1041" s="74"/>
      <c r="X1041" s="74"/>
      <c r="Y1041" s="74"/>
      <c r="Z1041" s="74"/>
      <c r="AA1041" s="74"/>
      <c r="AB1041" s="74"/>
    </row>
    <row r="1042" spans="1:28" ht="12" customHeight="1">
      <c r="A1042" s="569"/>
      <c r="B1042" s="574"/>
      <c r="C1042" s="575"/>
      <c r="D1042" s="576"/>
      <c r="E1042" s="101"/>
      <c r="F1042" s="101"/>
      <c r="G1042" s="35"/>
      <c r="H1042" s="104"/>
      <c r="I1042" s="35"/>
      <c r="J1042" s="74"/>
      <c r="K1042" s="74"/>
      <c r="L1042" s="74"/>
      <c r="M1042" s="74"/>
      <c r="N1042" s="74"/>
      <c r="O1042" s="74"/>
      <c r="P1042" s="74"/>
      <c r="Q1042" s="74"/>
      <c r="R1042" s="74"/>
      <c r="S1042" s="74"/>
      <c r="T1042" s="74"/>
      <c r="U1042" s="74"/>
      <c r="V1042" s="74"/>
      <c r="W1042" s="74"/>
      <c r="X1042" s="74"/>
      <c r="Y1042" s="74"/>
      <c r="Z1042" s="74"/>
      <c r="AA1042" s="74"/>
      <c r="AB1042" s="74"/>
    </row>
    <row r="1043" spans="1:28" ht="12" customHeight="1">
      <c r="A1043" s="569"/>
      <c r="B1043" s="574"/>
      <c r="C1043" s="575"/>
      <c r="D1043" s="576"/>
      <c r="E1043" s="101"/>
      <c r="F1043" s="101"/>
      <c r="G1043" s="35"/>
      <c r="H1043" s="104"/>
      <c r="I1043" s="35"/>
      <c r="J1043" s="74"/>
      <c r="K1043" s="74"/>
      <c r="L1043" s="74"/>
      <c r="M1043" s="74"/>
      <c r="N1043" s="74"/>
      <c r="O1043" s="74"/>
      <c r="P1043" s="74"/>
      <c r="Q1043" s="74"/>
      <c r="R1043" s="74"/>
      <c r="S1043" s="74"/>
      <c r="T1043" s="74"/>
      <c r="U1043" s="74"/>
      <c r="V1043" s="74"/>
      <c r="W1043" s="74"/>
      <c r="X1043" s="74"/>
      <c r="Y1043" s="74"/>
      <c r="Z1043" s="74"/>
      <c r="AA1043" s="74"/>
      <c r="AB1043" s="74"/>
    </row>
    <row r="1044" spans="1:28" ht="12" customHeight="1">
      <c r="A1044" s="569"/>
      <c r="B1044" s="574"/>
      <c r="C1044" s="575"/>
      <c r="D1044" s="576"/>
      <c r="E1044" s="101"/>
      <c r="F1044" s="101"/>
      <c r="G1044" s="35"/>
      <c r="H1044" s="104"/>
      <c r="I1044" s="35"/>
      <c r="J1044" s="74"/>
      <c r="K1044" s="74"/>
      <c r="L1044" s="74"/>
      <c r="M1044" s="74"/>
      <c r="N1044" s="74"/>
      <c r="O1044" s="74"/>
      <c r="P1044" s="74"/>
      <c r="Q1044" s="74"/>
      <c r="R1044" s="74"/>
      <c r="S1044" s="74"/>
      <c r="T1044" s="74"/>
      <c r="U1044" s="74"/>
      <c r="V1044" s="74"/>
      <c r="W1044" s="74"/>
      <c r="X1044" s="74"/>
      <c r="Y1044" s="74"/>
      <c r="Z1044" s="74"/>
      <c r="AA1044" s="74"/>
      <c r="AB1044" s="74"/>
    </row>
    <row r="1045" spans="1:28" ht="12" customHeight="1">
      <c r="A1045" s="569"/>
      <c r="B1045" s="574"/>
      <c r="C1045" s="575"/>
      <c r="D1045" s="576"/>
      <c r="E1045" s="101"/>
      <c r="F1045" s="101"/>
      <c r="G1045" s="35"/>
      <c r="H1045" s="104"/>
      <c r="I1045" s="35"/>
      <c r="J1045" s="74"/>
      <c r="K1045" s="74"/>
      <c r="L1045" s="74"/>
      <c r="M1045" s="74"/>
      <c r="N1045" s="74"/>
      <c r="O1045" s="74"/>
      <c r="P1045" s="74"/>
      <c r="Q1045" s="74"/>
      <c r="R1045" s="74"/>
      <c r="S1045" s="74"/>
      <c r="T1045" s="74"/>
      <c r="U1045" s="74"/>
      <c r="V1045" s="74"/>
      <c r="W1045" s="74"/>
      <c r="X1045" s="74"/>
      <c r="Y1045" s="74"/>
      <c r="Z1045" s="74"/>
      <c r="AA1045" s="74"/>
      <c r="AB1045" s="74"/>
    </row>
    <row r="1046" spans="1:28" ht="12" customHeight="1">
      <c r="A1046" s="569"/>
      <c r="B1046" s="574"/>
      <c r="C1046" s="575"/>
      <c r="D1046" s="576"/>
      <c r="E1046" s="101"/>
      <c r="F1046" s="101"/>
      <c r="G1046" s="35"/>
      <c r="H1046" s="104"/>
      <c r="I1046" s="35"/>
      <c r="J1046" s="74"/>
      <c r="K1046" s="74"/>
      <c r="L1046" s="74"/>
      <c r="M1046" s="74"/>
      <c r="N1046" s="74"/>
      <c r="O1046" s="74"/>
      <c r="P1046" s="74"/>
      <c r="Q1046" s="74"/>
      <c r="R1046" s="74"/>
      <c r="S1046" s="74"/>
      <c r="T1046" s="74"/>
      <c r="U1046" s="74"/>
      <c r="V1046" s="74"/>
      <c r="W1046" s="74"/>
      <c r="X1046" s="74"/>
      <c r="Y1046" s="74"/>
      <c r="Z1046" s="74"/>
      <c r="AA1046" s="74"/>
      <c r="AB1046" s="74"/>
    </row>
    <row r="1047" spans="1:28" ht="12" customHeight="1">
      <c r="A1047" s="569"/>
      <c r="B1047" s="574"/>
      <c r="C1047" s="575"/>
      <c r="D1047" s="576"/>
      <c r="E1047" s="101"/>
      <c r="F1047" s="101"/>
      <c r="G1047" s="35"/>
      <c r="H1047" s="104"/>
      <c r="I1047" s="35"/>
      <c r="J1047" s="74"/>
      <c r="K1047" s="74"/>
      <c r="L1047" s="74"/>
      <c r="M1047" s="74"/>
      <c r="N1047" s="74"/>
      <c r="O1047" s="74"/>
      <c r="P1047" s="74"/>
      <c r="Q1047" s="74"/>
      <c r="R1047" s="74"/>
      <c r="S1047" s="74"/>
      <c r="T1047" s="74"/>
      <c r="U1047" s="74"/>
      <c r="V1047" s="74"/>
      <c r="W1047" s="74"/>
      <c r="X1047" s="74"/>
      <c r="Y1047" s="74"/>
      <c r="Z1047" s="74"/>
      <c r="AA1047" s="74"/>
      <c r="AB1047" s="74"/>
    </row>
    <row r="1048" spans="1:28" ht="12" customHeight="1">
      <c r="A1048" s="569"/>
      <c r="B1048" s="574"/>
      <c r="C1048" s="575"/>
      <c r="D1048" s="576"/>
      <c r="E1048" s="101"/>
      <c r="F1048" s="101"/>
      <c r="G1048" s="35"/>
      <c r="H1048" s="104"/>
      <c r="I1048" s="35"/>
      <c r="J1048" s="74"/>
      <c r="K1048" s="74"/>
      <c r="L1048" s="74"/>
      <c r="M1048" s="74"/>
      <c r="N1048" s="74"/>
      <c r="O1048" s="74"/>
      <c r="P1048" s="74"/>
      <c r="Q1048" s="74"/>
      <c r="R1048" s="74"/>
      <c r="S1048" s="74"/>
      <c r="T1048" s="74"/>
      <c r="U1048" s="74"/>
      <c r="V1048" s="74"/>
      <c r="W1048" s="74"/>
      <c r="X1048" s="74"/>
      <c r="Y1048" s="74"/>
      <c r="Z1048" s="74"/>
      <c r="AA1048" s="74"/>
      <c r="AB1048" s="74"/>
    </row>
    <row r="1049" spans="1:28" ht="12" customHeight="1">
      <c r="A1049" s="569"/>
      <c r="B1049" s="574"/>
      <c r="C1049" s="575"/>
      <c r="D1049" s="576"/>
      <c r="E1049" s="101"/>
      <c r="F1049" s="101"/>
      <c r="G1049" s="35"/>
      <c r="H1049" s="104"/>
      <c r="I1049" s="35"/>
      <c r="J1049" s="74"/>
      <c r="K1049" s="74"/>
      <c r="L1049" s="74"/>
      <c r="M1049" s="74"/>
      <c r="N1049" s="74"/>
      <c r="O1049" s="74"/>
      <c r="P1049" s="74"/>
      <c r="Q1049" s="74"/>
      <c r="R1049" s="74"/>
      <c r="S1049" s="74"/>
      <c r="T1049" s="74"/>
      <c r="U1049" s="74"/>
      <c r="V1049" s="74"/>
      <c r="W1049" s="74"/>
      <c r="X1049" s="74"/>
      <c r="Y1049" s="74"/>
      <c r="Z1049" s="74"/>
      <c r="AA1049" s="74"/>
      <c r="AB1049" s="74"/>
    </row>
    <row r="1050" spans="1:28" ht="12" customHeight="1">
      <c r="A1050" s="569"/>
      <c r="B1050" s="574"/>
      <c r="C1050" s="575"/>
      <c r="D1050" s="576"/>
      <c r="E1050" s="101"/>
      <c r="F1050" s="101"/>
      <c r="G1050" s="35"/>
      <c r="H1050" s="104"/>
      <c r="I1050" s="35"/>
      <c r="J1050" s="74"/>
      <c r="K1050" s="74"/>
      <c r="L1050" s="74"/>
      <c r="M1050" s="74"/>
      <c r="N1050" s="74"/>
      <c r="O1050" s="74"/>
      <c r="P1050" s="74"/>
      <c r="Q1050" s="74"/>
      <c r="R1050" s="74"/>
      <c r="S1050" s="74"/>
      <c r="T1050" s="74"/>
      <c r="U1050" s="74"/>
      <c r="V1050" s="74"/>
      <c r="W1050" s="74"/>
      <c r="X1050" s="74"/>
      <c r="Y1050" s="74"/>
      <c r="Z1050" s="74"/>
      <c r="AA1050" s="74"/>
      <c r="AB1050" s="74"/>
    </row>
    <row r="1051" spans="1:28" ht="12" customHeight="1">
      <c r="A1051" s="569"/>
      <c r="B1051" s="574"/>
      <c r="C1051" s="575"/>
      <c r="D1051" s="576"/>
      <c r="E1051" s="101"/>
      <c r="F1051" s="101"/>
      <c r="G1051" s="35"/>
      <c r="H1051" s="104"/>
      <c r="I1051" s="35"/>
      <c r="J1051" s="74"/>
      <c r="K1051" s="74"/>
      <c r="L1051" s="74"/>
      <c r="M1051" s="74"/>
      <c r="N1051" s="74"/>
      <c r="O1051" s="74"/>
      <c r="P1051" s="74"/>
      <c r="Q1051" s="74"/>
      <c r="R1051" s="74"/>
      <c r="S1051" s="74"/>
      <c r="T1051" s="74"/>
      <c r="U1051" s="74"/>
      <c r="V1051" s="74"/>
      <c r="W1051" s="74"/>
      <c r="X1051" s="74"/>
      <c r="Y1051" s="74"/>
      <c r="Z1051" s="74"/>
      <c r="AA1051" s="74"/>
      <c r="AB1051" s="74"/>
    </row>
    <row r="1052" spans="1:28" ht="12" customHeight="1">
      <c r="A1052" s="569"/>
      <c r="B1052" s="574"/>
      <c r="C1052" s="575"/>
      <c r="D1052" s="576"/>
      <c r="E1052" s="101"/>
      <c r="F1052" s="101"/>
      <c r="G1052" s="35"/>
      <c r="H1052" s="104"/>
      <c r="I1052" s="35"/>
      <c r="J1052" s="74"/>
      <c r="K1052" s="74"/>
      <c r="L1052" s="74"/>
      <c r="M1052" s="74"/>
      <c r="N1052" s="74"/>
      <c r="O1052" s="74"/>
      <c r="P1052" s="74"/>
      <c r="Q1052" s="74"/>
      <c r="R1052" s="74"/>
      <c r="S1052" s="74"/>
      <c r="T1052" s="74"/>
      <c r="U1052" s="74"/>
      <c r="V1052" s="74"/>
      <c r="W1052" s="74"/>
      <c r="X1052" s="74"/>
      <c r="Y1052" s="74"/>
      <c r="Z1052" s="74"/>
      <c r="AA1052" s="74"/>
      <c r="AB1052" s="74"/>
    </row>
    <row r="1053" spans="1:28" ht="12" customHeight="1">
      <c r="A1053" s="569"/>
      <c r="B1053" s="574"/>
      <c r="C1053" s="575"/>
      <c r="D1053" s="576"/>
      <c r="E1053" s="101"/>
      <c r="F1053" s="101"/>
      <c r="G1053" s="35"/>
      <c r="H1053" s="104"/>
      <c r="I1053" s="35"/>
      <c r="J1053" s="74"/>
      <c r="K1053" s="74"/>
      <c r="L1053" s="74"/>
      <c r="M1053" s="74"/>
      <c r="N1053" s="74"/>
      <c r="O1053" s="74"/>
      <c r="P1053" s="74"/>
      <c r="Q1053" s="74"/>
      <c r="R1053" s="74"/>
      <c r="S1053" s="74"/>
      <c r="T1053" s="74"/>
      <c r="U1053" s="74"/>
      <c r="V1053" s="74"/>
      <c r="W1053" s="74"/>
      <c r="X1053" s="74"/>
      <c r="Y1053" s="74"/>
      <c r="Z1053" s="74"/>
      <c r="AA1053" s="74"/>
      <c r="AB1053" s="74"/>
    </row>
    <row r="1054" spans="1:28" ht="12" customHeight="1">
      <c r="A1054" s="569"/>
      <c r="B1054" s="574"/>
      <c r="C1054" s="575"/>
      <c r="D1054" s="576"/>
      <c r="E1054" s="101"/>
      <c r="F1054" s="101"/>
      <c r="G1054" s="35"/>
      <c r="H1054" s="104"/>
      <c r="I1054" s="35"/>
      <c r="J1054" s="74"/>
      <c r="K1054" s="74"/>
      <c r="L1054" s="74"/>
      <c r="M1054" s="74"/>
      <c r="N1054" s="74"/>
      <c r="O1054" s="74"/>
      <c r="P1054" s="74"/>
      <c r="Q1054" s="74"/>
      <c r="R1054" s="74"/>
      <c r="S1054" s="74"/>
      <c r="T1054" s="74"/>
      <c r="U1054" s="74"/>
      <c r="V1054" s="74"/>
      <c r="W1054" s="74"/>
      <c r="X1054" s="74"/>
      <c r="Y1054" s="74"/>
      <c r="Z1054" s="74"/>
      <c r="AA1054" s="74"/>
      <c r="AB1054" s="74"/>
    </row>
    <row r="1055" spans="1:28" ht="12" customHeight="1">
      <c r="A1055" s="569"/>
      <c r="B1055" s="574"/>
      <c r="C1055" s="575"/>
      <c r="D1055" s="576"/>
      <c r="E1055" s="101"/>
      <c r="F1055" s="101"/>
      <c r="G1055" s="35"/>
      <c r="H1055" s="104"/>
      <c r="I1055" s="35"/>
      <c r="J1055" s="74"/>
      <c r="K1055" s="74"/>
      <c r="L1055" s="74"/>
      <c r="M1055" s="74"/>
      <c r="N1055" s="74"/>
      <c r="O1055" s="74"/>
      <c r="P1055" s="74"/>
      <c r="Q1055" s="74"/>
      <c r="R1055" s="74"/>
      <c r="S1055" s="74"/>
      <c r="T1055" s="74"/>
      <c r="U1055" s="74"/>
      <c r="V1055" s="74"/>
      <c r="W1055" s="74"/>
      <c r="X1055" s="74"/>
      <c r="Y1055" s="74"/>
      <c r="Z1055" s="74"/>
      <c r="AA1055" s="74"/>
      <c r="AB1055" s="74"/>
    </row>
    <row r="1056" spans="1:28" ht="12" customHeight="1">
      <c r="A1056" s="569"/>
      <c r="B1056" s="574"/>
      <c r="C1056" s="575"/>
      <c r="D1056" s="576"/>
      <c r="E1056" s="101"/>
      <c r="F1056" s="101"/>
      <c r="G1056" s="35"/>
      <c r="H1056" s="104"/>
      <c r="I1056" s="35"/>
      <c r="J1056" s="74"/>
      <c r="K1056" s="74"/>
      <c r="L1056" s="74"/>
      <c r="M1056" s="74"/>
      <c r="N1056" s="74"/>
      <c r="O1056" s="74"/>
      <c r="P1056" s="74"/>
      <c r="Q1056" s="74"/>
      <c r="R1056" s="74"/>
      <c r="S1056" s="74"/>
      <c r="T1056" s="74"/>
      <c r="U1056" s="74"/>
      <c r="V1056" s="74"/>
      <c r="W1056" s="74"/>
      <c r="X1056" s="74"/>
      <c r="Y1056" s="74"/>
      <c r="Z1056" s="74"/>
      <c r="AA1056" s="74"/>
      <c r="AB1056" s="74"/>
    </row>
    <row r="1057" spans="1:28" ht="12" customHeight="1">
      <c r="A1057" s="569"/>
      <c r="B1057" s="574"/>
      <c r="C1057" s="575"/>
      <c r="D1057" s="576"/>
      <c r="E1057" s="101"/>
      <c r="F1057" s="101"/>
      <c r="G1057" s="35"/>
      <c r="H1057" s="104"/>
      <c r="I1057" s="35"/>
      <c r="J1057" s="74"/>
      <c r="K1057" s="74"/>
      <c r="L1057" s="74"/>
      <c r="M1057" s="74"/>
      <c r="N1057" s="74"/>
      <c r="O1057" s="74"/>
      <c r="P1057" s="74"/>
      <c r="Q1057" s="74"/>
      <c r="R1057" s="74"/>
      <c r="S1057" s="74"/>
      <c r="T1057" s="74"/>
      <c r="U1057" s="74"/>
      <c r="V1057" s="74"/>
      <c r="W1057" s="74"/>
      <c r="X1057" s="74"/>
      <c r="Y1057" s="74"/>
      <c r="Z1057" s="74"/>
      <c r="AA1057" s="74"/>
      <c r="AB1057" s="74"/>
    </row>
    <row r="1058" spans="1:28" ht="12" customHeight="1">
      <c r="A1058" s="569"/>
      <c r="B1058" s="574"/>
      <c r="C1058" s="575"/>
      <c r="D1058" s="576"/>
      <c r="E1058" s="101"/>
      <c r="F1058" s="101"/>
      <c r="G1058" s="35"/>
      <c r="H1058" s="104"/>
      <c r="I1058" s="35"/>
      <c r="J1058" s="74"/>
      <c r="K1058" s="74"/>
      <c r="L1058" s="74"/>
      <c r="M1058" s="74"/>
      <c r="N1058" s="74"/>
      <c r="O1058" s="74"/>
      <c r="P1058" s="74"/>
      <c r="Q1058" s="74"/>
      <c r="R1058" s="74"/>
      <c r="S1058" s="74"/>
      <c r="T1058" s="74"/>
      <c r="U1058" s="74"/>
      <c r="V1058" s="74"/>
      <c r="W1058" s="74"/>
      <c r="X1058" s="74"/>
      <c r="Y1058" s="74"/>
      <c r="Z1058" s="74"/>
      <c r="AA1058" s="74"/>
      <c r="AB1058" s="74"/>
    </row>
    <row r="1059" spans="1:28" ht="12" customHeight="1">
      <c r="A1059" s="569"/>
      <c r="B1059" s="574"/>
      <c r="C1059" s="575"/>
      <c r="D1059" s="576"/>
      <c r="E1059" s="101"/>
      <c r="F1059" s="101"/>
      <c r="G1059" s="35"/>
      <c r="H1059" s="104"/>
      <c r="I1059" s="35"/>
      <c r="J1059" s="74"/>
      <c r="K1059" s="74"/>
      <c r="L1059" s="74"/>
      <c r="M1059" s="74"/>
      <c r="N1059" s="74"/>
      <c r="O1059" s="74"/>
      <c r="P1059" s="74"/>
      <c r="Q1059" s="74"/>
      <c r="R1059" s="74"/>
      <c r="S1059" s="74"/>
      <c r="T1059" s="74"/>
      <c r="U1059" s="74"/>
      <c r="V1059" s="74"/>
      <c r="W1059" s="74"/>
      <c r="X1059" s="74"/>
      <c r="Y1059" s="74"/>
      <c r="Z1059" s="74"/>
      <c r="AA1059" s="74"/>
      <c r="AB1059" s="74"/>
    </row>
    <row r="1060" spans="1:28" ht="12" customHeight="1">
      <c r="A1060" s="569"/>
      <c r="B1060" s="574"/>
      <c r="C1060" s="575"/>
      <c r="D1060" s="576"/>
      <c r="E1060" s="101"/>
      <c r="F1060" s="101"/>
      <c r="G1060" s="35"/>
      <c r="H1060" s="104"/>
      <c r="I1060" s="35"/>
      <c r="J1060" s="74"/>
      <c r="K1060" s="74"/>
      <c r="L1060" s="74"/>
      <c r="M1060" s="74"/>
      <c r="N1060" s="74"/>
      <c r="O1060" s="74"/>
      <c r="P1060" s="74"/>
      <c r="Q1060" s="74"/>
      <c r="R1060" s="74"/>
      <c r="S1060" s="74"/>
      <c r="T1060" s="74"/>
      <c r="U1060" s="74"/>
      <c r="V1060" s="74"/>
      <c r="W1060" s="74"/>
      <c r="X1060" s="74"/>
      <c r="Y1060" s="74"/>
      <c r="Z1060" s="74"/>
      <c r="AA1060" s="74"/>
      <c r="AB1060" s="74"/>
    </row>
    <row r="1061" spans="1:28" ht="12" customHeight="1">
      <c r="A1061" s="569"/>
      <c r="B1061" s="574"/>
      <c r="C1061" s="575"/>
      <c r="D1061" s="576"/>
      <c r="E1061" s="101"/>
      <c r="F1061" s="101"/>
      <c r="G1061" s="35"/>
      <c r="H1061" s="104"/>
      <c r="I1061" s="35"/>
      <c r="J1061" s="74"/>
      <c r="K1061" s="74"/>
      <c r="L1061" s="74"/>
      <c r="M1061" s="74"/>
      <c r="N1061" s="74"/>
      <c r="O1061" s="74"/>
      <c r="P1061" s="74"/>
      <c r="Q1061" s="74"/>
      <c r="R1061" s="74"/>
      <c r="S1061" s="74"/>
      <c r="T1061" s="74"/>
      <c r="U1061" s="74"/>
      <c r="V1061" s="74"/>
      <c r="W1061" s="74"/>
      <c r="X1061" s="74"/>
      <c r="Y1061" s="74"/>
      <c r="Z1061" s="74"/>
      <c r="AA1061" s="74"/>
      <c r="AB1061" s="74"/>
    </row>
    <row r="1062" spans="1:28" ht="12" customHeight="1">
      <c r="A1062" s="569"/>
      <c r="B1062" s="574"/>
      <c r="C1062" s="575"/>
      <c r="D1062" s="576"/>
      <c r="E1062" s="101"/>
      <c r="F1062" s="101"/>
      <c r="G1062" s="35"/>
      <c r="H1062" s="104"/>
      <c r="I1062" s="35"/>
      <c r="J1062" s="74"/>
      <c r="K1062" s="74"/>
      <c r="L1062" s="74"/>
      <c r="M1062" s="74"/>
      <c r="N1062" s="74"/>
      <c r="O1062" s="74"/>
      <c r="P1062" s="74"/>
      <c r="Q1062" s="74"/>
      <c r="R1062" s="74"/>
      <c r="S1062" s="74"/>
      <c r="T1062" s="74"/>
      <c r="U1062" s="74"/>
      <c r="V1062" s="74"/>
      <c r="W1062" s="74"/>
      <c r="X1062" s="74"/>
      <c r="Y1062" s="74"/>
      <c r="Z1062" s="74"/>
      <c r="AA1062" s="74"/>
      <c r="AB1062" s="74"/>
    </row>
    <row r="1063" spans="1:28" ht="12" customHeight="1">
      <c r="A1063" s="569"/>
      <c r="B1063" s="574"/>
      <c r="C1063" s="575"/>
      <c r="D1063" s="576"/>
      <c r="E1063" s="101"/>
      <c r="F1063" s="101"/>
      <c r="G1063" s="35"/>
      <c r="H1063" s="104"/>
      <c r="I1063" s="35"/>
      <c r="J1063" s="74"/>
      <c r="K1063" s="74"/>
      <c r="L1063" s="74"/>
      <c r="M1063" s="74"/>
      <c r="N1063" s="74"/>
      <c r="O1063" s="74"/>
      <c r="P1063" s="74"/>
      <c r="Q1063" s="74"/>
      <c r="R1063" s="74"/>
      <c r="S1063" s="74"/>
      <c r="T1063" s="74"/>
      <c r="U1063" s="74"/>
      <c r="V1063" s="74"/>
      <c r="W1063" s="74"/>
      <c r="X1063" s="74"/>
      <c r="Y1063" s="74"/>
      <c r="Z1063" s="74"/>
      <c r="AA1063" s="74"/>
      <c r="AB1063" s="74"/>
    </row>
    <row r="1064" spans="1:28" ht="12" customHeight="1">
      <c r="A1064" s="569"/>
      <c r="B1064" s="574"/>
      <c r="C1064" s="575"/>
      <c r="D1064" s="576"/>
      <c r="E1064" s="101"/>
      <c r="F1064" s="101"/>
      <c r="G1064" s="35"/>
      <c r="H1064" s="104"/>
      <c r="I1064" s="35"/>
      <c r="J1064" s="74"/>
      <c r="K1064" s="74"/>
      <c r="L1064" s="74"/>
      <c r="M1064" s="74"/>
      <c r="N1064" s="74"/>
      <c r="O1064" s="74"/>
      <c r="P1064" s="74"/>
      <c r="Q1064" s="74"/>
      <c r="R1064" s="74"/>
      <c r="S1064" s="74"/>
      <c r="T1064" s="74"/>
      <c r="U1064" s="74"/>
      <c r="V1064" s="74"/>
      <c r="W1064" s="74"/>
      <c r="X1064" s="74"/>
      <c r="Y1064" s="74"/>
      <c r="Z1064" s="74"/>
      <c r="AA1064" s="74"/>
      <c r="AB1064" s="74"/>
    </row>
    <row r="1065" spans="1:28" ht="12" customHeight="1">
      <c r="A1065" s="569"/>
      <c r="B1065" s="574"/>
      <c r="C1065" s="575"/>
      <c r="D1065" s="576"/>
      <c r="E1065" s="101"/>
      <c r="F1065" s="101"/>
      <c r="G1065" s="35"/>
      <c r="H1065" s="104"/>
      <c r="I1065" s="35"/>
      <c r="J1065" s="74"/>
      <c r="K1065" s="74"/>
      <c r="L1065" s="74"/>
      <c r="M1065" s="74"/>
      <c r="N1065" s="74"/>
      <c r="O1065" s="74"/>
      <c r="P1065" s="74"/>
      <c r="Q1065" s="74"/>
      <c r="R1065" s="74"/>
      <c r="S1065" s="74"/>
      <c r="T1065" s="74"/>
      <c r="U1065" s="74"/>
      <c r="V1065" s="74"/>
      <c r="W1065" s="74"/>
      <c r="X1065" s="74"/>
      <c r="Y1065" s="74"/>
      <c r="Z1065" s="74"/>
      <c r="AA1065" s="74"/>
      <c r="AB1065" s="74"/>
    </row>
    <row r="1066" spans="1:28" ht="12" customHeight="1">
      <c r="A1066" s="569"/>
      <c r="B1066" s="574"/>
      <c r="C1066" s="575"/>
      <c r="D1066" s="576"/>
      <c r="E1066" s="101"/>
      <c r="F1066" s="101"/>
      <c r="G1066" s="35"/>
      <c r="H1066" s="104"/>
      <c r="I1066" s="35"/>
      <c r="J1066" s="74"/>
      <c r="K1066" s="74"/>
      <c r="L1066" s="74"/>
      <c r="M1066" s="74"/>
      <c r="N1066" s="74"/>
      <c r="O1066" s="74"/>
      <c r="P1066" s="74"/>
      <c r="Q1066" s="74"/>
      <c r="R1066" s="74"/>
      <c r="S1066" s="74"/>
      <c r="T1066" s="74"/>
      <c r="U1066" s="74"/>
      <c r="V1066" s="74"/>
      <c r="W1066" s="74"/>
      <c r="X1066" s="74"/>
      <c r="Y1066" s="74"/>
      <c r="Z1066" s="74"/>
      <c r="AA1066" s="74"/>
      <c r="AB1066" s="74"/>
    </row>
    <row r="1067" spans="1:28" ht="12" customHeight="1">
      <c r="A1067" s="569"/>
      <c r="B1067" s="574"/>
      <c r="C1067" s="575"/>
      <c r="D1067" s="576"/>
      <c r="E1067" s="101"/>
      <c r="F1067" s="101"/>
      <c r="G1067" s="35"/>
      <c r="H1067" s="104"/>
      <c r="I1067" s="35"/>
      <c r="J1067" s="74"/>
      <c r="K1067" s="74"/>
      <c r="L1067" s="74"/>
      <c r="M1067" s="74"/>
      <c r="N1067" s="74"/>
      <c r="O1067" s="74"/>
      <c r="P1067" s="74"/>
      <c r="Q1067" s="74"/>
      <c r="R1067" s="74"/>
      <c r="S1067" s="74"/>
      <c r="T1067" s="74"/>
      <c r="U1067" s="74"/>
      <c r="V1067" s="74"/>
      <c r="W1067" s="74"/>
      <c r="X1067" s="74"/>
      <c r="Y1067" s="74"/>
      <c r="Z1067" s="74"/>
      <c r="AA1067" s="74"/>
      <c r="AB1067" s="74"/>
    </row>
    <row r="1068" spans="1:28" ht="12" customHeight="1">
      <c r="A1068" s="569"/>
      <c r="B1068" s="574"/>
      <c r="C1068" s="575"/>
      <c r="D1068" s="576"/>
      <c r="E1068" s="101"/>
      <c r="F1068" s="101"/>
      <c r="G1068" s="35"/>
      <c r="H1068" s="104"/>
      <c r="I1068" s="35"/>
      <c r="J1068" s="74"/>
      <c r="K1068" s="74"/>
      <c r="L1068" s="74"/>
      <c r="M1068" s="74"/>
      <c r="N1068" s="74"/>
      <c r="O1068" s="74"/>
      <c r="P1068" s="74"/>
      <c r="Q1068" s="74"/>
      <c r="R1068" s="74"/>
      <c r="S1068" s="74"/>
      <c r="T1068" s="74"/>
      <c r="U1068" s="74"/>
      <c r="V1068" s="74"/>
      <c r="W1068" s="74"/>
      <c r="X1068" s="74"/>
      <c r="Y1068" s="74"/>
      <c r="Z1068" s="74"/>
      <c r="AA1068" s="74"/>
      <c r="AB1068" s="74"/>
    </row>
    <row r="1069" spans="1:28" ht="12" customHeight="1">
      <c r="A1069" s="569"/>
      <c r="B1069" s="574"/>
      <c r="C1069" s="575"/>
      <c r="D1069" s="576"/>
      <c r="E1069" s="101"/>
      <c r="F1069" s="101"/>
      <c r="G1069" s="35"/>
      <c r="H1069" s="104"/>
      <c r="I1069" s="35"/>
      <c r="J1069" s="74"/>
      <c r="K1069" s="74"/>
      <c r="L1069" s="74"/>
      <c r="M1069" s="74"/>
      <c r="N1069" s="74"/>
      <c r="O1069" s="74"/>
      <c r="P1069" s="74"/>
      <c r="Q1069" s="74"/>
      <c r="R1069" s="74"/>
      <c r="S1069" s="74"/>
      <c r="T1069" s="74"/>
      <c r="U1069" s="74"/>
      <c r="V1069" s="74"/>
      <c r="W1069" s="74"/>
      <c r="X1069" s="74"/>
      <c r="Y1069" s="74"/>
      <c r="Z1069" s="74"/>
      <c r="AA1069" s="74"/>
      <c r="AB1069" s="74"/>
    </row>
    <row r="1070" spans="1:28" ht="12" customHeight="1">
      <c r="A1070" s="569"/>
      <c r="B1070" s="574"/>
      <c r="C1070" s="575"/>
      <c r="D1070" s="576"/>
      <c r="E1070" s="101"/>
      <c r="F1070" s="101"/>
      <c r="G1070" s="35"/>
      <c r="H1070" s="104"/>
      <c r="I1070" s="35"/>
      <c r="J1070" s="74"/>
      <c r="K1070" s="74"/>
      <c r="L1070" s="74"/>
      <c r="M1070" s="74"/>
      <c r="N1070" s="74"/>
      <c r="O1070" s="74"/>
      <c r="P1070" s="74"/>
      <c r="Q1070" s="74"/>
      <c r="R1070" s="74"/>
      <c r="S1070" s="74"/>
      <c r="T1070" s="74"/>
      <c r="U1070" s="74"/>
      <c r="V1070" s="74"/>
      <c r="W1070" s="74"/>
      <c r="X1070" s="74"/>
      <c r="Y1070" s="74"/>
      <c r="Z1070" s="74"/>
      <c r="AA1070" s="74"/>
      <c r="AB1070" s="74"/>
    </row>
    <row r="1071" spans="1:28" ht="12" customHeight="1">
      <c r="A1071" s="569"/>
      <c r="B1071" s="574"/>
      <c r="C1071" s="575"/>
      <c r="D1071" s="576"/>
      <c r="E1071" s="101"/>
      <c r="F1071" s="101"/>
      <c r="G1071" s="35"/>
      <c r="H1071" s="104"/>
      <c r="I1071" s="35"/>
      <c r="J1071" s="74"/>
      <c r="K1071" s="74"/>
      <c r="L1071" s="74"/>
      <c r="M1071" s="74"/>
      <c r="N1071" s="74"/>
      <c r="O1071" s="74"/>
      <c r="P1071" s="74"/>
      <c r="Q1071" s="74"/>
      <c r="R1071" s="74"/>
      <c r="S1071" s="74"/>
      <c r="T1071" s="74"/>
      <c r="U1071" s="74"/>
      <c r="V1071" s="74"/>
      <c r="W1071" s="74"/>
      <c r="X1071" s="74"/>
      <c r="Y1071" s="74"/>
      <c r="Z1071" s="74"/>
      <c r="AA1071" s="74"/>
      <c r="AB1071" s="74"/>
    </row>
    <row r="1072" spans="1:28" ht="12" customHeight="1">
      <c r="A1072" s="569"/>
      <c r="B1072" s="574"/>
      <c r="C1072" s="575"/>
      <c r="D1072" s="576"/>
      <c r="E1072" s="101"/>
      <c r="F1072" s="101"/>
      <c r="G1072" s="35"/>
      <c r="H1072" s="104"/>
      <c r="I1072" s="35"/>
      <c r="J1072" s="74"/>
      <c r="K1072" s="74"/>
      <c r="L1072" s="74"/>
      <c r="M1072" s="74"/>
      <c r="N1072" s="74"/>
      <c r="O1072" s="74"/>
      <c r="P1072" s="74"/>
      <c r="Q1072" s="74"/>
      <c r="R1072" s="74"/>
      <c r="S1072" s="74"/>
      <c r="T1072" s="74"/>
      <c r="U1072" s="74"/>
      <c r="V1072" s="74"/>
      <c r="W1072" s="74"/>
      <c r="X1072" s="74"/>
      <c r="Y1072" s="74"/>
      <c r="Z1072" s="74"/>
      <c r="AA1072" s="74"/>
      <c r="AB1072" s="74"/>
    </row>
    <row r="1073" spans="1:28" ht="12" customHeight="1">
      <c r="A1073" s="569"/>
      <c r="B1073" s="574"/>
      <c r="C1073" s="575"/>
      <c r="D1073" s="576"/>
      <c r="E1073" s="101"/>
      <c r="F1073" s="101"/>
      <c r="G1073" s="35"/>
      <c r="H1073" s="104"/>
      <c r="I1073" s="35"/>
      <c r="J1073" s="74"/>
      <c r="K1073" s="74"/>
      <c r="L1073" s="74"/>
      <c r="M1073" s="74"/>
      <c r="N1073" s="74"/>
      <c r="O1073" s="74"/>
      <c r="P1073" s="74"/>
      <c r="Q1073" s="74"/>
      <c r="R1073" s="74"/>
      <c r="S1073" s="74"/>
      <c r="T1073" s="74"/>
      <c r="U1073" s="74"/>
      <c r="V1073" s="74"/>
      <c r="W1073" s="74"/>
      <c r="X1073" s="74"/>
      <c r="Y1073" s="74"/>
      <c r="Z1073" s="74"/>
      <c r="AA1073" s="74"/>
      <c r="AB1073" s="74"/>
    </row>
    <row r="1074" spans="1:28" ht="12" customHeight="1">
      <c r="A1074" s="569"/>
      <c r="B1074" s="574"/>
      <c r="C1074" s="575"/>
      <c r="D1074" s="576"/>
      <c r="E1074" s="101"/>
      <c r="F1074" s="101"/>
      <c r="G1074" s="35"/>
      <c r="H1074" s="104"/>
      <c r="I1074" s="35"/>
      <c r="J1074" s="74"/>
      <c r="K1074" s="74"/>
      <c r="L1074" s="74"/>
      <c r="M1074" s="74"/>
      <c r="N1074" s="74"/>
      <c r="O1074" s="74"/>
      <c r="P1074" s="74"/>
      <c r="Q1074" s="74"/>
      <c r="R1074" s="74"/>
      <c r="S1074" s="74"/>
      <c r="T1074" s="74"/>
      <c r="U1074" s="74"/>
      <c r="V1074" s="74"/>
      <c r="W1074" s="74"/>
      <c r="X1074" s="74"/>
      <c r="Y1074" s="74"/>
      <c r="Z1074" s="74"/>
      <c r="AA1074" s="74"/>
      <c r="AB1074" s="74"/>
    </row>
    <row r="1075" spans="1:28" ht="12" customHeight="1">
      <c r="A1075" s="569"/>
      <c r="B1075" s="574"/>
      <c r="C1075" s="575"/>
      <c r="D1075" s="576"/>
      <c r="E1075" s="101"/>
      <c r="F1075" s="101"/>
      <c r="G1075" s="35"/>
      <c r="H1075" s="104"/>
      <c r="I1075" s="35"/>
      <c r="J1075" s="74"/>
      <c r="K1075" s="74"/>
      <c r="L1075" s="74"/>
      <c r="M1075" s="74"/>
      <c r="N1075" s="74"/>
      <c r="O1075" s="74"/>
      <c r="P1075" s="74"/>
      <c r="Q1075" s="74"/>
      <c r="R1075" s="74"/>
      <c r="S1075" s="74"/>
      <c r="T1075" s="74"/>
      <c r="U1075" s="74"/>
      <c r="V1075" s="74"/>
      <c r="W1075" s="74"/>
      <c r="X1075" s="74"/>
      <c r="Y1075" s="74"/>
      <c r="Z1075" s="74"/>
      <c r="AA1075" s="74"/>
      <c r="AB1075" s="74"/>
    </row>
    <row r="1076" spans="1:28" ht="12" customHeight="1">
      <c r="A1076" s="569"/>
      <c r="B1076" s="574"/>
      <c r="C1076" s="575"/>
      <c r="D1076" s="576"/>
      <c r="E1076" s="101"/>
      <c r="F1076" s="101"/>
      <c r="G1076" s="35"/>
      <c r="H1076" s="104"/>
      <c r="I1076" s="35"/>
      <c r="J1076" s="74"/>
      <c r="K1076" s="74"/>
      <c r="L1076" s="74"/>
      <c r="M1076" s="74"/>
      <c r="N1076" s="74"/>
      <c r="O1076" s="74"/>
      <c r="P1076" s="74"/>
      <c r="Q1076" s="74"/>
      <c r="R1076" s="74"/>
      <c r="S1076" s="74"/>
      <c r="T1076" s="74"/>
      <c r="U1076" s="74"/>
      <c r="V1076" s="74"/>
      <c r="W1076" s="74"/>
      <c r="X1076" s="74"/>
      <c r="Y1076" s="74"/>
      <c r="Z1076" s="74"/>
      <c r="AA1076" s="74"/>
      <c r="AB1076" s="74"/>
    </row>
    <row r="1077" spans="1:28" ht="12" customHeight="1">
      <c r="A1077" s="569"/>
      <c r="B1077" s="574"/>
      <c r="C1077" s="575"/>
      <c r="D1077" s="576"/>
      <c r="E1077" s="101"/>
      <c r="F1077" s="101"/>
      <c r="G1077" s="35"/>
      <c r="H1077" s="104"/>
      <c r="I1077" s="35"/>
      <c r="J1077" s="74"/>
      <c r="K1077" s="74"/>
      <c r="L1077" s="74"/>
      <c r="M1077" s="74"/>
      <c r="N1077" s="74"/>
      <c r="O1077" s="74"/>
      <c r="P1077" s="74"/>
      <c r="Q1077" s="74"/>
      <c r="R1077" s="74"/>
      <c r="S1077" s="74"/>
      <c r="T1077" s="74"/>
      <c r="U1077" s="74"/>
      <c r="V1077" s="74"/>
      <c r="W1077" s="74"/>
      <c r="X1077" s="74"/>
      <c r="Y1077" s="74"/>
      <c r="Z1077" s="74"/>
      <c r="AA1077" s="74"/>
      <c r="AB1077" s="74"/>
    </row>
    <row r="1078" spans="1:28" ht="12" customHeight="1">
      <c r="A1078" s="569"/>
      <c r="B1078" s="574"/>
      <c r="C1078" s="575"/>
      <c r="D1078" s="576"/>
      <c r="E1078" s="101"/>
      <c r="F1078" s="101"/>
      <c r="G1078" s="35"/>
      <c r="H1078" s="104"/>
      <c r="I1078" s="35"/>
      <c r="J1078" s="74"/>
      <c r="K1078" s="74"/>
      <c r="L1078" s="74"/>
      <c r="M1078" s="74"/>
      <c r="N1078" s="74"/>
      <c r="O1078" s="74"/>
      <c r="P1078" s="74"/>
      <c r="Q1078" s="74"/>
      <c r="R1078" s="74"/>
      <c r="S1078" s="74"/>
      <c r="T1078" s="74"/>
      <c r="U1078" s="74"/>
      <c r="V1078" s="74"/>
      <c r="W1078" s="74"/>
      <c r="X1078" s="74"/>
      <c r="Y1078" s="74"/>
      <c r="Z1078" s="74"/>
      <c r="AA1078" s="74"/>
      <c r="AB1078" s="74"/>
    </row>
    <row r="1079" spans="1:28" ht="12" customHeight="1">
      <c r="A1079" s="569"/>
      <c r="B1079" s="574"/>
      <c r="C1079" s="575"/>
      <c r="D1079" s="576"/>
      <c r="E1079" s="101"/>
      <c r="F1079" s="101"/>
      <c r="G1079" s="35"/>
      <c r="H1079" s="104"/>
      <c r="I1079" s="35"/>
      <c r="J1079" s="74"/>
      <c r="K1079" s="74"/>
      <c r="L1079" s="74"/>
      <c r="M1079" s="74"/>
      <c r="N1079" s="74"/>
      <c r="O1079" s="74"/>
      <c r="P1079" s="74"/>
      <c r="Q1079" s="74"/>
      <c r="R1079" s="74"/>
      <c r="S1079" s="74"/>
      <c r="T1079" s="74"/>
      <c r="U1079" s="74"/>
      <c r="V1079" s="74"/>
      <c r="W1079" s="74"/>
      <c r="X1079" s="74"/>
      <c r="Y1079" s="74"/>
      <c r="Z1079" s="74"/>
      <c r="AA1079" s="74"/>
      <c r="AB1079" s="74"/>
    </row>
    <row r="1080" spans="1:28" ht="12" customHeight="1">
      <c r="A1080" s="569"/>
      <c r="B1080" s="574"/>
      <c r="C1080" s="575"/>
      <c r="D1080" s="576"/>
      <c r="E1080" s="101"/>
      <c r="F1080" s="101"/>
      <c r="G1080" s="35"/>
      <c r="H1080" s="104"/>
      <c r="I1080" s="35"/>
      <c r="J1080" s="74"/>
      <c r="K1080" s="74"/>
      <c r="L1080" s="74"/>
      <c r="M1080" s="74"/>
      <c r="N1080" s="74"/>
      <c r="O1080" s="74"/>
      <c r="P1080" s="74"/>
      <c r="Q1080" s="74"/>
      <c r="R1080" s="74"/>
      <c r="S1080" s="74"/>
      <c r="T1080" s="74"/>
      <c r="U1080" s="74"/>
      <c r="V1080" s="74"/>
      <c r="W1080" s="74"/>
      <c r="X1080" s="74"/>
      <c r="Y1080" s="74"/>
      <c r="Z1080" s="74"/>
      <c r="AA1080" s="74"/>
      <c r="AB1080" s="74"/>
    </row>
    <row r="1081" spans="1:28" ht="12" customHeight="1">
      <c r="A1081" s="569"/>
      <c r="B1081" s="574"/>
      <c r="C1081" s="575"/>
      <c r="D1081" s="576"/>
      <c r="E1081" s="101"/>
      <c r="F1081" s="101"/>
      <c r="G1081" s="35"/>
      <c r="H1081" s="104"/>
      <c r="I1081" s="35"/>
      <c r="J1081" s="74"/>
      <c r="K1081" s="74"/>
      <c r="L1081" s="74"/>
      <c r="M1081" s="74"/>
      <c r="N1081" s="74"/>
      <c r="O1081" s="74"/>
      <c r="P1081" s="74"/>
      <c r="Q1081" s="74"/>
      <c r="R1081" s="74"/>
      <c r="S1081" s="74"/>
      <c r="T1081" s="74"/>
      <c r="U1081" s="74"/>
      <c r="V1081" s="74"/>
      <c r="W1081" s="74"/>
      <c r="X1081" s="74"/>
      <c r="Y1081" s="74"/>
      <c r="Z1081" s="74"/>
      <c r="AA1081" s="74"/>
      <c r="AB1081" s="74"/>
    </row>
    <row r="1082" spans="1:28" ht="12" customHeight="1">
      <c r="A1082" s="569"/>
      <c r="B1082" s="574"/>
      <c r="C1082" s="575"/>
      <c r="D1082" s="576"/>
      <c r="E1082" s="101"/>
      <c r="F1082" s="101"/>
      <c r="G1082" s="35"/>
      <c r="H1082" s="104"/>
      <c r="I1082" s="35"/>
      <c r="J1082" s="74"/>
      <c r="K1082" s="74"/>
      <c r="L1082" s="74"/>
      <c r="M1082" s="74"/>
      <c r="N1082" s="74"/>
      <c r="O1082" s="74"/>
      <c r="P1082" s="74"/>
      <c r="Q1082" s="74"/>
      <c r="R1082" s="74"/>
      <c r="S1082" s="74"/>
      <c r="T1082" s="74"/>
      <c r="U1082" s="74"/>
      <c r="V1082" s="74"/>
      <c r="W1082" s="74"/>
      <c r="X1082" s="74"/>
      <c r="Y1082" s="74"/>
      <c r="Z1082" s="74"/>
      <c r="AA1082" s="74"/>
      <c r="AB1082" s="74"/>
    </row>
    <row r="1083" spans="1:28" ht="12" customHeight="1">
      <c r="A1083" s="569"/>
      <c r="B1083" s="574"/>
      <c r="C1083" s="575"/>
      <c r="D1083" s="576"/>
      <c r="E1083" s="101"/>
      <c r="F1083" s="101"/>
      <c r="G1083" s="35"/>
      <c r="H1083" s="104"/>
      <c r="I1083" s="35"/>
      <c r="J1083" s="74"/>
      <c r="K1083" s="74"/>
      <c r="L1083" s="74"/>
      <c r="M1083" s="74"/>
      <c r="N1083" s="74"/>
      <c r="O1083" s="74"/>
      <c r="P1083" s="74"/>
      <c r="Q1083" s="74"/>
      <c r="R1083" s="74"/>
      <c r="S1083" s="74"/>
      <c r="T1083" s="74"/>
      <c r="U1083" s="74"/>
      <c r="V1083" s="74"/>
      <c r="W1083" s="74"/>
      <c r="X1083" s="74"/>
      <c r="Y1083" s="74"/>
      <c r="Z1083" s="74"/>
      <c r="AA1083" s="74"/>
      <c r="AB1083" s="74"/>
    </row>
    <row r="1084" spans="1:28" ht="12" customHeight="1">
      <c r="A1084" s="569"/>
      <c r="B1084" s="574"/>
      <c r="C1084" s="575"/>
      <c r="D1084" s="576"/>
      <c r="E1084" s="101"/>
      <c r="F1084" s="101"/>
      <c r="G1084" s="35"/>
      <c r="H1084" s="104"/>
      <c r="I1084" s="35"/>
      <c r="J1084" s="74"/>
      <c r="K1084" s="74"/>
      <c r="L1084" s="74"/>
      <c r="M1084" s="74"/>
      <c r="N1084" s="74"/>
      <c r="O1084" s="74"/>
      <c r="P1084" s="74"/>
      <c r="Q1084" s="74"/>
      <c r="R1084" s="74"/>
      <c r="S1084" s="74"/>
      <c r="T1084" s="74"/>
      <c r="U1084" s="74"/>
      <c r="V1084" s="74"/>
      <c r="W1084" s="74"/>
      <c r="X1084" s="74"/>
      <c r="Y1084" s="74"/>
      <c r="Z1084" s="74"/>
      <c r="AA1084" s="74"/>
      <c r="AB1084" s="74"/>
    </row>
    <row r="1085" spans="1:28" ht="12" customHeight="1">
      <c r="A1085" s="569"/>
      <c r="B1085" s="574"/>
      <c r="C1085" s="575"/>
      <c r="D1085" s="576"/>
      <c r="E1085" s="101"/>
      <c r="F1085" s="101"/>
      <c r="G1085" s="35"/>
      <c r="H1085" s="104"/>
      <c r="I1085" s="35"/>
      <c r="J1085" s="74"/>
      <c r="K1085" s="74"/>
      <c r="L1085" s="74"/>
      <c r="M1085" s="74"/>
      <c r="N1085" s="74"/>
      <c r="O1085" s="74"/>
      <c r="P1085" s="74"/>
      <c r="Q1085" s="74"/>
      <c r="R1085" s="74"/>
      <c r="S1085" s="74"/>
      <c r="T1085" s="74"/>
      <c r="U1085" s="74"/>
      <c r="V1085" s="74"/>
      <c r="W1085" s="74"/>
      <c r="X1085" s="74"/>
      <c r="Y1085" s="74"/>
      <c r="Z1085" s="74"/>
      <c r="AA1085" s="74"/>
      <c r="AB1085" s="74"/>
    </row>
    <row r="1086" spans="1:28" ht="12" customHeight="1">
      <c r="A1086" s="569"/>
      <c r="B1086" s="574"/>
      <c r="C1086" s="575"/>
      <c r="D1086" s="576"/>
      <c r="E1086" s="101"/>
      <c r="F1086" s="101"/>
      <c r="G1086" s="35"/>
      <c r="H1086" s="104"/>
      <c r="I1086" s="35"/>
      <c r="J1086" s="74"/>
      <c r="K1086" s="74"/>
      <c r="L1086" s="74"/>
      <c r="M1086" s="74"/>
      <c r="N1086" s="74"/>
      <c r="O1086" s="74"/>
      <c r="P1086" s="74"/>
      <c r="Q1086" s="74"/>
      <c r="R1086" s="74"/>
      <c r="S1086" s="74"/>
      <c r="T1086" s="74"/>
      <c r="U1086" s="74"/>
      <c r="V1086" s="74"/>
      <c r="W1086" s="74"/>
      <c r="X1086" s="74"/>
      <c r="Y1086" s="74"/>
      <c r="Z1086" s="74"/>
      <c r="AA1086" s="74"/>
      <c r="AB1086" s="74"/>
    </row>
    <row r="1087" spans="1:28" ht="12" customHeight="1">
      <c r="A1087" s="569"/>
      <c r="B1087" s="574"/>
      <c r="C1087" s="575"/>
      <c r="D1087" s="576"/>
      <c r="E1087" s="101"/>
      <c r="F1087" s="101"/>
      <c r="G1087" s="35"/>
      <c r="H1087" s="104"/>
      <c r="I1087" s="35"/>
      <c r="J1087" s="74"/>
      <c r="K1087" s="74"/>
      <c r="L1087" s="74"/>
      <c r="M1087" s="74"/>
      <c r="N1087" s="74"/>
      <c r="O1087" s="74"/>
      <c r="P1087" s="74"/>
      <c r="Q1087" s="74"/>
      <c r="R1087" s="74"/>
      <c r="S1087" s="74"/>
      <c r="T1087" s="74"/>
      <c r="U1087" s="74"/>
      <c r="V1087" s="74"/>
      <c r="W1087" s="74"/>
      <c r="X1087" s="74"/>
      <c r="Y1087" s="74"/>
      <c r="Z1087" s="74"/>
      <c r="AA1087" s="74"/>
      <c r="AB1087" s="74"/>
    </row>
    <row r="1088" spans="1:28" ht="12" customHeight="1">
      <c r="A1088" s="569"/>
      <c r="B1088" s="574"/>
      <c r="C1088" s="575"/>
      <c r="D1088" s="576"/>
      <c r="E1088" s="101"/>
      <c r="F1088" s="101"/>
      <c r="G1088" s="35"/>
      <c r="H1088" s="104"/>
      <c r="I1088" s="35"/>
      <c r="J1088" s="74"/>
      <c r="K1088" s="74"/>
      <c r="L1088" s="74"/>
      <c r="M1088" s="74"/>
      <c r="N1088" s="74"/>
      <c r="O1088" s="74"/>
      <c r="P1088" s="74"/>
      <c r="Q1088" s="74"/>
      <c r="R1088" s="74"/>
      <c r="S1088" s="74"/>
      <c r="T1088" s="74"/>
      <c r="U1088" s="74"/>
      <c r="V1088" s="74"/>
      <c r="W1088" s="74"/>
      <c r="X1088" s="74"/>
      <c r="Y1088" s="74"/>
      <c r="Z1088" s="74"/>
      <c r="AA1088" s="74"/>
      <c r="AB1088" s="74"/>
    </row>
    <row r="1089" spans="1:28" ht="12" customHeight="1">
      <c r="A1089" s="569"/>
      <c r="B1089" s="574"/>
      <c r="C1089" s="575"/>
      <c r="D1089" s="576"/>
      <c r="E1089" s="101"/>
      <c r="F1089" s="101"/>
      <c r="G1089" s="35"/>
      <c r="H1089" s="104"/>
      <c r="I1089" s="35"/>
      <c r="J1089" s="74"/>
      <c r="K1089" s="74"/>
      <c r="L1089" s="74"/>
      <c r="M1089" s="74"/>
      <c r="N1089" s="74"/>
      <c r="O1089" s="74"/>
      <c r="P1089" s="74"/>
      <c r="Q1089" s="74"/>
      <c r="R1089" s="74"/>
      <c r="S1089" s="74"/>
      <c r="T1089" s="74"/>
      <c r="U1089" s="74"/>
      <c r="V1089" s="74"/>
      <c r="W1089" s="74"/>
      <c r="X1089" s="74"/>
      <c r="Y1089" s="74"/>
      <c r="Z1089" s="74"/>
      <c r="AA1089" s="74"/>
      <c r="AB1089" s="74"/>
    </row>
    <row r="1090" spans="1:28" ht="12" customHeight="1">
      <c r="A1090" s="569"/>
      <c r="B1090" s="574"/>
      <c r="C1090" s="575"/>
      <c r="D1090" s="576"/>
      <c r="E1090" s="101"/>
      <c r="F1090" s="101"/>
      <c r="G1090" s="35"/>
      <c r="H1090" s="104"/>
      <c r="I1090" s="35"/>
      <c r="J1090" s="74"/>
      <c r="K1090" s="74"/>
      <c r="L1090" s="74"/>
      <c r="M1090" s="74"/>
      <c r="N1090" s="74"/>
      <c r="O1090" s="74"/>
      <c r="P1090" s="74"/>
      <c r="Q1090" s="74"/>
      <c r="R1090" s="74"/>
      <c r="S1090" s="74"/>
      <c r="T1090" s="74"/>
      <c r="U1090" s="74"/>
      <c r="V1090" s="74"/>
      <c r="W1090" s="74"/>
      <c r="X1090" s="74"/>
      <c r="Y1090" s="74"/>
      <c r="Z1090" s="74"/>
      <c r="AA1090" s="74"/>
      <c r="AB1090" s="74"/>
    </row>
    <row r="1091" spans="1:28" ht="12" customHeight="1">
      <c r="A1091" s="569"/>
      <c r="B1091" s="574"/>
      <c r="C1091" s="575"/>
      <c r="D1091" s="576"/>
      <c r="E1091" s="101"/>
      <c r="F1091" s="101"/>
      <c r="G1091" s="35"/>
      <c r="H1091" s="104"/>
      <c r="I1091" s="35"/>
      <c r="J1091" s="74"/>
      <c r="K1091" s="74"/>
      <c r="L1091" s="74"/>
      <c r="M1091" s="74"/>
      <c r="N1091" s="74"/>
      <c r="O1091" s="74"/>
      <c r="P1091" s="74"/>
      <c r="Q1091" s="74"/>
      <c r="R1091" s="74"/>
      <c r="S1091" s="74"/>
      <c r="T1091" s="74"/>
      <c r="U1091" s="74"/>
      <c r="V1091" s="74"/>
      <c r="W1091" s="74"/>
      <c r="X1091" s="74"/>
      <c r="Y1091" s="74"/>
      <c r="Z1091" s="74"/>
      <c r="AA1091" s="74"/>
      <c r="AB1091" s="74"/>
    </row>
    <row r="1092" spans="1:28" ht="12" customHeight="1">
      <c r="A1092" s="569"/>
      <c r="B1092" s="574"/>
      <c r="C1092" s="575"/>
      <c r="D1092" s="576"/>
      <c r="E1092" s="101"/>
      <c r="F1092" s="101"/>
      <c r="G1092" s="35"/>
      <c r="H1092" s="104"/>
      <c r="I1092" s="35"/>
      <c r="J1092" s="74"/>
      <c r="K1092" s="74"/>
      <c r="L1092" s="74"/>
      <c r="M1092" s="74"/>
      <c r="N1092" s="74"/>
      <c r="O1092" s="74"/>
      <c r="P1092" s="74"/>
      <c r="Q1092" s="74"/>
      <c r="R1092" s="74"/>
      <c r="S1092" s="74"/>
      <c r="T1092" s="74"/>
      <c r="U1092" s="74"/>
      <c r="V1092" s="74"/>
      <c r="W1092" s="74"/>
      <c r="X1092" s="74"/>
      <c r="Y1092" s="74"/>
      <c r="Z1092" s="74"/>
      <c r="AA1092" s="74"/>
      <c r="AB1092" s="74"/>
    </row>
    <row r="1093" spans="1:28" ht="12" customHeight="1">
      <c r="A1093" s="569"/>
      <c r="B1093" s="574"/>
      <c r="C1093" s="575"/>
      <c r="D1093" s="576"/>
      <c r="E1093" s="101"/>
      <c r="F1093" s="101"/>
      <c r="G1093" s="35"/>
      <c r="H1093" s="104"/>
      <c r="I1093" s="35"/>
      <c r="J1093" s="74"/>
      <c r="K1093" s="74"/>
      <c r="L1093" s="74"/>
      <c r="M1093" s="74"/>
      <c r="N1093" s="74"/>
      <c r="O1093" s="74"/>
      <c r="P1093" s="74"/>
      <c r="Q1093" s="74"/>
      <c r="R1093" s="74"/>
      <c r="S1093" s="74"/>
      <c r="T1093" s="74"/>
      <c r="U1093" s="74"/>
      <c r="V1093" s="74"/>
      <c r="W1093" s="74"/>
      <c r="X1093" s="74"/>
      <c r="Y1093" s="74"/>
      <c r="Z1093" s="74"/>
      <c r="AA1093" s="74"/>
      <c r="AB1093" s="74"/>
    </row>
    <row r="1094" spans="1:28" ht="12" customHeight="1">
      <c r="A1094" s="569"/>
      <c r="B1094" s="574"/>
      <c r="C1094" s="575"/>
      <c r="D1094" s="576"/>
      <c r="E1094" s="101"/>
      <c r="F1094" s="101"/>
      <c r="G1094" s="35"/>
      <c r="H1094" s="104"/>
      <c r="I1094" s="35"/>
      <c r="J1094" s="74"/>
      <c r="K1094" s="74"/>
      <c r="L1094" s="74"/>
      <c r="M1094" s="74"/>
      <c r="N1094" s="74"/>
      <c r="O1094" s="74"/>
      <c r="P1094" s="74"/>
      <c r="Q1094" s="74"/>
      <c r="R1094" s="74"/>
      <c r="S1094" s="74"/>
      <c r="T1094" s="74"/>
      <c r="U1094" s="74"/>
      <c r="V1094" s="74"/>
      <c r="W1094" s="74"/>
      <c r="X1094" s="74"/>
      <c r="Y1094" s="74"/>
      <c r="Z1094" s="74"/>
      <c r="AA1094" s="74"/>
      <c r="AB1094" s="74"/>
    </row>
    <row r="1095" spans="1:28" ht="12" customHeight="1">
      <c r="A1095" s="569"/>
      <c r="B1095" s="574"/>
      <c r="C1095" s="575"/>
      <c r="D1095" s="576"/>
      <c r="E1095" s="101"/>
      <c r="F1095" s="101"/>
      <c r="G1095" s="35"/>
      <c r="H1095" s="104"/>
      <c r="I1095" s="35"/>
      <c r="J1095" s="74"/>
      <c r="K1095" s="74"/>
      <c r="L1095" s="74"/>
      <c r="M1095" s="74"/>
      <c r="N1095" s="74"/>
      <c r="O1095" s="74"/>
      <c r="P1095" s="74"/>
      <c r="Q1095" s="74"/>
      <c r="R1095" s="74"/>
      <c r="S1095" s="74"/>
      <c r="T1095" s="74"/>
      <c r="U1095" s="74"/>
      <c r="V1095" s="74"/>
      <c r="W1095" s="74"/>
      <c r="X1095" s="74"/>
      <c r="Y1095" s="74"/>
      <c r="Z1095" s="74"/>
      <c r="AA1095" s="74"/>
      <c r="AB1095" s="74"/>
    </row>
    <row r="1096" spans="1:28" ht="12" customHeight="1">
      <c r="A1096" s="569"/>
      <c r="B1096" s="574"/>
      <c r="C1096" s="575"/>
      <c r="D1096" s="576"/>
      <c r="E1096" s="101"/>
      <c r="F1096" s="101"/>
      <c r="G1096" s="35"/>
      <c r="H1096" s="104"/>
      <c r="I1096" s="35"/>
      <c r="J1096" s="74"/>
      <c r="K1096" s="74"/>
      <c r="L1096" s="74"/>
      <c r="M1096" s="74"/>
      <c r="N1096" s="74"/>
      <c r="O1096" s="74"/>
      <c r="P1096" s="74"/>
      <c r="Q1096" s="74"/>
      <c r="R1096" s="74"/>
      <c r="S1096" s="74"/>
      <c r="T1096" s="74"/>
      <c r="U1096" s="74"/>
      <c r="V1096" s="74"/>
      <c r="W1096" s="74"/>
      <c r="X1096" s="74"/>
      <c r="Y1096" s="74"/>
      <c r="Z1096" s="74"/>
      <c r="AA1096" s="74"/>
      <c r="AB1096" s="74"/>
    </row>
    <row r="1097" spans="1:28" ht="12" customHeight="1">
      <c r="A1097" s="569"/>
      <c r="B1097" s="574"/>
      <c r="C1097" s="575"/>
      <c r="D1097" s="576"/>
      <c r="E1097" s="101"/>
      <c r="F1097" s="101"/>
      <c r="G1097" s="35"/>
      <c r="H1097" s="104"/>
      <c r="I1097" s="35"/>
      <c r="J1097" s="74"/>
      <c r="K1097" s="74"/>
      <c r="L1097" s="74"/>
      <c r="M1097" s="74"/>
      <c r="N1097" s="74"/>
      <c r="O1097" s="74"/>
      <c r="P1097" s="74"/>
      <c r="Q1097" s="74"/>
      <c r="R1097" s="74"/>
      <c r="S1097" s="74"/>
      <c r="T1097" s="74"/>
      <c r="U1097" s="74"/>
      <c r="V1097" s="74"/>
      <c r="W1097" s="74"/>
      <c r="X1097" s="74"/>
      <c r="Y1097" s="74"/>
      <c r="Z1097" s="74"/>
      <c r="AA1097" s="74"/>
      <c r="AB1097" s="74"/>
    </row>
    <row r="1098" spans="1:28" ht="12" customHeight="1">
      <c r="A1098" s="569"/>
      <c r="B1098" s="574"/>
      <c r="C1098" s="575"/>
      <c r="D1098" s="576"/>
      <c r="E1098" s="101"/>
      <c r="F1098" s="101"/>
      <c r="G1098" s="35"/>
      <c r="H1098" s="104"/>
      <c r="I1098" s="35"/>
      <c r="J1098" s="74"/>
      <c r="K1098" s="74"/>
      <c r="L1098" s="74"/>
      <c r="M1098" s="74"/>
      <c r="N1098" s="74"/>
      <c r="O1098" s="74"/>
      <c r="P1098" s="74"/>
      <c r="Q1098" s="74"/>
      <c r="R1098" s="74"/>
      <c r="S1098" s="74"/>
      <c r="T1098" s="74"/>
      <c r="U1098" s="74"/>
      <c r="V1098" s="74"/>
      <c r="W1098" s="74"/>
      <c r="X1098" s="74"/>
      <c r="Y1098" s="74"/>
      <c r="Z1098" s="74"/>
      <c r="AA1098" s="74"/>
      <c r="AB1098" s="74"/>
    </row>
    <row r="1099" spans="1:28" ht="12" customHeight="1">
      <c r="A1099" s="569"/>
      <c r="B1099" s="574"/>
      <c r="C1099" s="575"/>
      <c r="D1099" s="576"/>
      <c r="E1099" s="101"/>
      <c r="F1099" s="101"/>
      <c r="G1099" s="35"/>
      <c r="H1099" s="104"/>
      <c r="I1099" s="35"/>
      <c r="J1099" s="74"/>
      <c r="K1099" s="74"/>
      <c r="L1099" s="74"/>
      <c r="M1099" s="74"/>
      <c r="N1099" s="74"/>
      <c r="O1099" s="74"/>
      <c r="P1099" s="74"/>
      <c r="Q1099" s="74"/>
      <c r="R1099" s="74"/>
      <c r="S1099" s="74"/>
      <c r="T1099" s="74"/>
      <c r="U1099" s="74"/>
      <c r="V1099" s="74"/>
      <c r="W1099" s="74"/>
      <c r="X1099" s="74"/>
      <c r="Y1099" s="74"/>
      <c r="Z1099" s="74"/>
      <c r="AA1099" s="74"/>
      <c r="AB1099" s="74"/>
    </row>
    <row r="1100" spans="1:28" ht="12" customHeight="1">
      <c r="A1100" s="569"/>
      <c r="B1100" s="574"/>
      <c r="C1100" s="575"/>
      <c r="D1100" s="576"/>
      <c r="E1100" s="101"/>
      <c r="F1100" s="101"/>
      <c r="G1100" s="35"/>
      <c r="H1100" s="104"/>
      <c r="I1100" s="35"/>
      <c r="J1100" s="74"/>
      <c r="K1100" s="74"/>
      <c r="L1100" s="74"/>
      <c r="M1100" s="74"/>
      <c r="N1100" s="74"/>
      <c r="O1100" s="74"/>
      <c r="P1100" s="74"/>
      <c r="Q1100" s="74"/>
      <c r="R1100" s="74"/>
      <c r="S1100" s="74"/>
      <c r="T1100" s="74"/>
      <c r="U1100" s="74"/>
      <c r="V1100" s="74"/>
      <c r="W1100" s="74"/>
      <c r="X1100" s="74"/>
      <c r="Y1100" s="74"/>
      <c r="Z1100" s="74"/>
      <c r="AA1100" s="74"/>
      <c r="AB1100" s="74"/>
    </row>
    <row r="1101" spans="1:28" ht="12" customHeight="1">
      <c r="A1101" s="569"/>
      <c r="B1101" s="574"/>
      <c r="C1101" s="575"/>
      <c r="D1101" s="576"/>
      <c r="E1101" s="101"/>
      <c r="F1101" s="101"/>
      <c r="G1101" s="35"/>
      <c r="H1101" s="104"/>
      <c r="I1101" s="35"/>
      <c r="J1101" s="74"/>
      <c r="K1101" s="74"/>
      <c r="L1101" s="74"/>
      <c r="M1101" s="74"/>
      <c r="N1101" s="74"/>
      <c r="O1101" s="74"/>
      <c r="P1101" s="74"/>
      <c r="Q1101" s="74"/>
      <c r="R1101" s="74"/>
      <c r="S1101" s="74"/>
      <c r="T1101" s="74"/>
      <c r="U1101" s="74"/>
      <c r="V1101" s="74"/>
      <c r="W1101" s="74"/>
      <c r="X1101" s="74"/>
      <c r="Y1101" s="74"/>
      <c r="Z1101" s="74"/>
      <c r="AA1101" s="74"/>
      <c r="AB1101" s="74"/>
    </row>
    <row r="1102" spans="1:28" ht="12" customHeight="1">
      <c r="A1102" s="569"/>
      <c r="B1102" s="574"/>
      <c r="C1102" s="575"/>
      <c r="D1102" s="576"/>
      <c r="E1102" s="101"/>
      <c r="F1102" s="101"/>
      <c r="G1102" s="35"/>
      <c r="H1102" s="104"/>
      <c r="I1102" s="35"/>
      <c r="J1102" s="74"/>
      <c r="K1102" s="74"/>
      <c r="L1102" s="74"/>
      <c r="M1102" s="74"/>
      <c r="N1102" s="74"/>
      <c r="O1102" s="74"/>
      <c r="P1102" s="74"/>
      <c r="Q1102" s="74"/>
      <c r="R1102" s="74"/>
      <c r="S1102" s="74"/>
      <c r="T1102" s="74"/>
      <c r="U1102" s="74"/>
      <c r="V1102" s="74"/>
      <c r="W1102" s="74"/>
      <c r="X1102" s="74"/>
      <c r="Y1102" s="74"/>
      <c r="Z1102" s="74"/>
      <c r="AA1102" s="74"/>
      <c r="AB1102" s="74"/>
    </row>
    <row r="1103" spans="1:28" ht="12" customHeight="1">
      <c r="A1103" s="569"/>
      <c r="B1103" s="574"/>
      <c r="C1103" s="575"/>
      <c r="D1103" s="576"/>
      <c r="E1103" s="101"/>
      <c r="F1103" s="101"/>
      <c r="G1103" s="35"/>
      <c r="H1103" s="104"/>
      <c r="I1103" s="35"/>
      <c r="J1103" s="74"/>
      <c r="K1103" s="74"/>
      <c r="L1103" s="74"/>
      <c r="M1103" s="74"/>
      <c r="N1103" s="74"/>
      <c r="O1103" s="74"/>
      <c r="P1103" s="74"/>
      <c r="Q1103" s="74"/>
      <c r="R1103" s="74"/>
      <c r="S1103" s="74"/>
      <c r="T1103" s="74"/>
      <c r="U1103" s="74"/>
      <c r="V1103" s="74"/>
      <c r="W1103" s="74"/>
      <c r="X1103" s="74"/>
      <c r="Y1103" s="74"/>
      <c r="Z1103" s="74"/>
      <c r="AA1103" s="74"/>
      <c r="AB1103" s="74"/>
    </row>
    <row r="1104" spans="1:28" ht="12" customHeight="1">
      <c r="A1104" s="569"/>
      <c r="B1104" s="574"/>
      <c r="C1104" s="575"/>
      <c r="D1104" s="576"/>
      <c r="E1104" s="101"/>
      <c r="F1104" s="101"/>
      <c r="G1104" s="35"/>
      <c r="H1104" s="104"/>
      <c r="I1104" s="35"/>
      <c r="J1104" s="74"/>
      <c r="K1104" s="74"/>
      <c r="L1104" s="74"/>
      <c r="M1104" s="74"/>
      <c r="N1104" s="74"/>
      <c r="O1104" s="74"/>
      <c r="P1104" s="74"/>
      <c r="Q1104" s="74"/>
      <c r="R1104" s="74"/>
      <c r="S1104" s="74"/>
      <c r="T1104" s="74"/>
      <c r="U1104" s="74"/>
      <c r="V1104" s="74"/>
      <c r="W1104" s="74"/>
      <c r="X1104" s="74"/>
      <c r="Y1104" s="74"/>
      <c r="Z1104" s="74"/>
      <c r="AA1104" s="74"/>
      <c r="AB1104" s="74"/>
    </row>
    <row r="1105" spans="1:28" ht="12" customHeight="1">
      <c r="A1105" s="569"/>
      <c r="B1105" s="574"/>
      <c r="C1105" s="575"/>
      <c r="D1105" s="576"/>
      <c r="E1105" s="101"/>
      <c r="F1105" s="101"/>
      <c r="G1105" s="35"/>
      <c r="H1105" s="104"/>
      <c r="I1105" s="35"/>
      <c r="J1105" s="74"/>
      <c r="K1105" s="74"/>
      <c r="L1105" s="74"/>
      <c r="M1105" s="74"/>
      <c r="N1105" s="74"/>
      <c r="O1105" s="74"/>
      <c r="P1105" s="74"/>
      <c r="Q1105" s="74"/>
      <c r="R1105" s="74"/>
      <c r="S1105" s="74"/>
      <c r="T1105" s="74"/>
      <c r="U1105" s="74"/>
      <c r="V1105" s="74"/>
      <c r="W1105" s="74"/>
      <c r="X1105" s="74"/>
      <c r="Y1105" s="74"/>
      <c r="Z1105" s="74"/>
      <c r="AA1105" s="74"/>
      <c r="AB1105" s="74"/>
    </row>
  </sheetData>
  <autoFilter ref="A5:AB103" xr:uid="{00000000-0009-0000-0000-000016000000}"/>
  <mergeCells count="3">
    <mergeCell ref="A1:H1"/>
    <mergeCell ref="A2:F2"/>
    <mergeCell ref="A4:F4"/>
  </mergeCells>
  <hyperlinks>
    <hyperlink ref="F3" location="Menu por Procesos!A1" display="MENU" xr:uid="{00000000-0004-0000-1600-000000000000}"/>
    <hyperlink ref="A9" r:id="rId1" xr:uid="{00000000-0004-0000-1600-000001000000}"/>
    <hyperlink ref="A14" r:id="rId2" xr:uid="{00000000-0004-0000-1600-000002000000}"/>
    <hyperlink ref="A16" r:id="rId3" xr:uid="{00000000-0004-0000-1600-000003000000}"/>
    <hyperlink ref="A36" r:id="rId4" xr:uid="{00000000-0004-0000-1600-000004000000}"/>
    <hyperlink ref="A41" r:id="rId5" location="1083" xr:uid="{00000000-0004-0000-1600-000005000000}"/>
    <hyperlink ref="A43" r:id="rId6" location="1083" xr:uid="{00000000-0004-0000-1600-000006000000}"/>
    <hyperlink ref="A47" r:id="rId7" xr:uid="{00000000-0004-0000-1600-000007000000}"/>
    <hyperlink ref="A56" r:id="rId8" xr:uid="{00000000-0004-0000-1600-000008000000}"/>
    <hyperlink ref="A59" r:id="rId9" xr:uid="{00000000-0004-0000-1600-000009000000}"/>
    <hyperlink ref="A60" r:id="rId10" xr:uid="{00000000-0004-0000-1600-00000A000000}"/>
    <hyperlink ref="A61" r:id="rId11" xr:uid="{00000000-0004-0000-1600-00000B000000}"/>
    <hyperlink ref="A63" r:id="rId12" xr:uid="{00000000-0004-0000-1600-00000C000000}"/>
    <hyperlink ref="A64" r:id="rId13" xr:uid="{00000000-0004-0000-1600-00000D000000}"/>
    <hyperlink ref="A65" r:id="rId14" xr:uid="{00000000-0004-0000-1600-00000E000000}"/>
    <hyperlink ref="A66" r:id="rId15" xr:uid="{00000000-0004-0000-1600-00000F000000}"/>
    <hyperlink ref="A68" r:id="rId16" xr:uid="{00000000-0004-0000-1600-000010000000}"/>
    <hyperlink ref="A69" r:id="rId17" xr:uid="{00000000-0004-0000-1600-000011000000}"/>
    <hyperlink ref="A70" r:id="rId18" xr:uid="{00000000-0004-0000-1600-000012000000}"/>
    <hyperlink ref="A71" r:id="rId19" xr:uid="{00000000-0004-0000-1600-000013000000}"/>
    <hyperlink ref="A72" r:id="rId20" xr:uid="{00000000-0004-0000-1600-000014000000}"/>
    <hyperlink ref="A73" r:id="rId21" xr:uid="{00000000-0004-0000-1600-000015000000}"/>
    <hyperlink ref="A74" r:id="rId22" xr:uid="{00000000-0004-0000-1600-000016000000}"/>
    <hyperlink ref="A75" r:id="rId23" xr:uid="{00000000-0004-0000-1600-000017000000}"/>
    <hyperlink ref="A76" r:id="rId24" xr:uid="{00000000-0004-0000-1600-000018000000}"/>
    <hyperlink ref="A77" r:id="rId25" xr:uid="{00000000-0004-0000-1600-000019000000}"/>
    <hyperlink ref="A78" r:id="rId26" xr:uid="{00000000-0004-0000-1600-00001A000000}"/>
    <hyperlink ref="A79" r:id="rId27" xr:uid="{00000000-0004-0000-1600-00001B000000}"/>
    <hyperlink ref="A80" r:id="rId28" xr:uid="{00000000-0004-0000-1600-00001C000000}"/>
    <hyperlink ref="A81" r:id="rId29" xr:uid="{00000000-0004-0000-1600-00001D000000}"/>
    <hyperlink ref="A82" r:id="rId30" xr:uid="{00000000-0004-0000-1600-00001E000000}"/>
    <hyperlink ref="A83" r:id="rId31" xr:uid="{00000000-0004-0000-1600-00001F000000}"/>
    <hyperlink ref="A84" r:id="rId32" xr:uid="{00000000-0004-0000-1600-000020000000}"/>
    <hyperlink ref="A85" r:id="rId33" xr:uid="{00000000-0004-0000-1600-000021000000}"/>
    <hyperlink ref="A86" r:id="rId34" xr:uid="{00000000-0004-0000-1600-000022000000}"/>
    <hyperlink ref="A87" r:id="rId35" xr:uid="{00000000-0004-0000-1600-000023000000}"/>
    <hyperlink ref="A88" r:id="rId36" xr:uid="{00000000-0004-0000-1600-000024000000}"/>
    <hyperlink ref="A89" r:id="rId37" xr:uid="{00000000-0004-0000-1600-000025000000}"/>
    <hyperlink ref="A90" r:id="rId38" xr:uid="{00000000-0004-0000-1600-000026000000}"/>
    <hyperlink ref="A91" r:id="rId39" xr:uid="{00000000-0004-0000-1600-000027000000}"/>
    <hyperlink ref="A92" r:id="rId40" xr:uid="{00000000-0004-0000-1600-000028000000}"/>
    <hyperlink ref="A93" r:id="rId41" xr:uid="{00000000-0004-0000-1600-000029000000}"/>
    <hyperlink ref="A94" r:id="rId42" xr:uid="{00000000-0004-0000-1600-00002A000000}"/>
    <hyperlink ref="A95" r:id="rId43" xr:uid="{00000000-0004-0000-1600-00002B000000}"/>
    <hyperlink ref="A96" r:id="rId44" xr:uid="{00000000-0004-0000-1600-00002C000000}"/>
    <hyperlink ref="A97" r:id="rId45" xr:uid="{00000000-0004-0000-1600-00002D000000}"/>
    <hyperlink ref="A98" r:id="rId46" xr:uid="{00000000-0004-0000-1600-00002E000000}"/>
    <hyperlink ref="A99" r:id="rId47" xr:uid="{00000000-0004-0000-1600-00002F000000}"/>
    <hyperlink ref="A100" r:id="rId48" xr:uid="{00000000-0004-0000-1600-000030000000}"/>
    <hyperlink ref="A101" r:id="rId49" xr:uid="{00000000-0004-0000-1600-000031000000}"/>
    <hyperlink ref="A102" r:id="rId50" xr:uid="{00000000-0004-0000-1600-000032000000}"/>
    <hyperlink ref="A103" r:id="rId51" xr:uid="{00000000-0004-0000-1600-000033000000}"/>
  </hyperlinks>
  <pageMargins left="0.7" right="0.7" top="0.75" bottom="0.75" header="0" footer="0"/>
  <pageSetup orientation="landscape"/>
  <drawing r:id="rId52"/>
  <legacyDrawing r:id="rId5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9D18E"/>
  </sheetPr>
  <dimension ref="A1:AB36"/>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790"/>
      <c r="B1" s="765"/>
      <c r="C1" s="765"/>
      <c r="D1" s="765"/>
      <c r="E1" s="765"/>
      <c r="F1" s="765"/>
      <c r="G1" s="765"/>
      <c r="H1" s="766"/>
      <c r="I1" s="17"/>
      <c r="J1" s="18"/>
      <c r="K1" s="18"/>
      <c r="L1" s="18"/>
      <c r="M1" s="18"/>
      <c r="N1" s="18"/>
      <c r="O1" s="18"/>
      <c r="P1" s="18"/>
      <c r="Q1" s="18"/>
      <c r="R1" s="18"/>
      <c r="S1" s="18"/>
      <c r="T1" s="18"/>
      <c r="U1" s="18"/>
      <c r="V1" s="18"/>
      <c r="W1" s="18"/>
      <c r="X1" s="18"/>
      <c r="Y1" s="18"/>
      <c r="Z1" s="18"/>
      <c r="AA1" s="18"/>
      <c r="AB1" s="18"/>
    </row>
    <row r="2" spans="1:28" ht="24.75" customHeight="1">
      <c r="A2" s="779" t="s">
        <v>28</v>
      </c>
      <c r="B2" s="765"/>
      <c r="C2" s="765"/>
      <c r="D2" s="765"/>
      <c r="E2" s="765"/>
      <c r="F2" s="766"/>
      <c r="G2" s="15"/>
      <c r="H2" s="16"/>
      <c r="I2" s="17"/>
      <c r="J2" s="18"/>
      <c r="K2" s="18"/>
      <c r="L2" s="18"/>
      <c r="M2" s="18"/>
      <c r="N2" s="18"/>
      <c r="O2" s="18"/>
      <c r="P2" s="18"/>
      <c r="Q2" s="18"/>
      <c r="R2" s="18"/>
      <c r="S2" s="18"/>
      <c r="T2" s="18"/>
      <c r="U2" s="18"/>
      <c r="V2" s="18"/>
      <c r="W2" s="18"/>
      <c r="X2" s="18"/>
      <c r="Y2" s="18"/>
      <c r="Z2" s="18"/>
      <c r="AA2" s="18"/>
      <c r="AB2" s="18"/>
    </row>
    <row r="3" spans="1:28" ht="23.25" customHeight="1">
      <c r="A3" s="75" t="s">
        <v>3821</v>
      </c>
      <c r="B3" s="289"/>
      <c r="C3" s="289"/>
      <c r="D3" s="289"/>
      <c r="E3" s="289"/>
      <c r="F3" s="290" t="s">
        <v>30</v>
      </c>
      <c r="G3" s="19"/>
      <c r="H3" s="21"/>
      <c r="I3" s="17"/>
      <c r="J3" s="18"/>
      <c r="K3" s="18"/>
      <c r="L3" s="18"/>
      <c r="M3" s="18"/>
      <c r="N3" s="18"/>
      <c r="O3" s="18"/>
      <c r="P3" s="18"/>
      <c r="Q3" s="18"/>
      <c r="R3" s="18"/>
      <c r="S3" s="18"/>
      <c r="T3" s="18"/>
      <c r="U3" s="18"/>
      <c r="V3" s="18"/>
      <c r="W3" s="18"/>
      <c r="X3" s="18"/>
      <c r="Y3" s="18"/>
      <c r="Z3" s="18"/>
      <c r="AA3" s="18"/>
      <c r="AB3" s="18"/>
    </row>
    <row r="4" spans="1:28" ht="33" customHeight="1">
      <c r="A4" s="775" t="s">
        <v>3822</v>
      </c>
      <c r="B4" s="765"/>
      <c r="C4" s="765"/>
      <c r="D4" s="765"/>
      <c r="E4" s="765"/>
      <c r="F4" s="766"/>
      <c r="G4" s="16"/>
      <c r="H4" s="22"/>
      <c r="I4" s="17"/>
      <c r="J4" s="18"/>
      <c r="K4" s="18"/>
      <c r="L4" s="18"/>
      <c r="M4" s="18"/>
      <c r="N4" s="18"/>
      <c r="O4" s="18"/>
      <c r="P4" s="18"/>
      <c r="Q4" s="18"/>
      <c r="R4" s="18"/>
      <c r="S4" s="18"/>
      <c r="T4" s="18"/>
      <c r="U4" s="18"/>
      <c r="V4" s="18"/>
      <c r="W4" s="18"/>
      <c r="X4" s="18"/>
      <c r="Y4" s="18"/>
      <c r="Z4" s="18"/>
      <c r="AA4" s="18"/>
      <c r="AB4" s="18"/>
    </row>
    <row r="5" spans="1:28" ht="34.5" customHeight="1">
      <c r="A5" s="578" t="s">
        <v>235</v>
      </c>
      <c r="B5" s="579" t="s">
        <v>32</v>
      </c>
      <c r="C5" s="580" t="s">
        <v>33</v>
      </c>
      <c r="D5" s="580" t="s">
        <v>34</v>
      </c>
      <c r="E5" s="580" t="s">
        <v>35</v>
      </c>
      <c r="F5" s="580" t="s">
        <v>36</v>
      </c>
      <c r="G5" s="27" t="s">
        <v>37</v>
      </c>
      <c r="H5" s="27" t="s">
        <v>38</v>
      </c>
      <c r="I5" s="28"/>
      <c r="J5" s="29"/>
      <c r="K5" s="29"/>
      <c r="L5" s="29"/>
      <c r="M5" s="29"/>
      <c r="N5" s="29"/>
      <c r="O5" s="29"/>
      <c r="P5" s="29"/>
      <c r="Q5" s="29"/>
      <c r="R5" s="29"/>
      <c r="S5" s="29"/>
      <c r="T5" s="29"/>
      <c r="U5" s="29"/>
      <c r="V5" s="29"/>
      <c r="W5" s="29"/>
      <c r="X5" s="29"/>
      <c r="Y5" s="29"/>
      <c r="Z5" s="29"/>
      <c r="AA5" s="29"/>
      <c r="AB5" s="29"/>
    </row>
    <row r="6" spans="1:28" ht="15" customHeight="1">
      <c r="A6" s="114" t="str">
        <f>HYPERLINK("https://www.bogotajuridica.gov.co/sisjur/normas/Norma1.jsp?i=4125","CONSTITUCIÓN POLÍTICA DE COLOMBIA")</f>
        <v>CONSTITUCIÓN POLÍTICA DE COLOMBIA</v>
      </c>
      <c r="B6" s="78">
        <v>33423</v>
      </c>
      <c r="C6" s="32" t="s">
        <v>405</v>
      </c>
      <c r="D6" s="33" t="s">
        <v>406</v>
      </c>
      <c r="E6" s="32" t="s">
        <v>2699</v>
      </c>
      <c r="F6" s="32" t="s">
        <v>97</v>
      </c>
      <c r="G6" s="147" t="s">
        <v>43</v>
      </c>
      <c r="H6" s="117" t="s">
        <v>2540</v>
      </c>
      <c r="I6" s="35"/>
      <c r="J6" s="36"/>
      <c r="K6" s="36"/>
      <c r="L6" s="36"/>
      <c r="M6" s="36"/>
      <c r="N6" s="36"/>
      <c r="O6" s="36"/>
      <c r="P6" s="36"/>
      <c r="Q6" s="36"/>
      <c r="R6" s="36"/>
      <c r="S6" s="36"/>
      <c r="T6" s="36"/>
      <c r="U6" s="36"/>
      <c r="V6" s="36"/>
      <c r="W6" s="36"/>
      <c r="X6" s="36"/>
      <c r="Y6" s="36"/>
      <c r="Z6" s="36"/>
      <c r="AA6" s="36"/>
      <c r="AB6" s="36"/>
    </row>
    <row r="7" spans="1:28" ht="24" customHeight="1">
      <c r="A7" s="30" t="str">
        <f>HYPERLINK("https://www.alcaldiabogota.gov.co/sisjur/normas/Norma1.jsp?i=39535","LEY  57")</f>
        <v>LEY  57</v>
      </c>
      <c r="B7" s="31" t="s">
        <v>3823</v>
      </c>
      <c r="C7" s="32" t="s">
        <v>57</v>
      </c>
      <c r="D7" s="33" t="s">
        <v>1640</v>
      </c>
      <c r="E7" s="64" t="s">
        <v>41</v>
      </c>
      <c r="F7" s="32" t="s">
        <v>97</v>
      </c>
      <c r="G7" s="147" t="s">
        <v>43</v>
      </c>
      <c r="H7" s="117" t="s">
        <v>2540</v>
      </c>
      <c r="I7" s="35"/>
      <c r="J7" s="36"/>
      <c r="K7" s="36"/>
      <c r="L7" s="36"/>
      <c r="M7" s="36"/>
      <c r="N7" s="36"/>
      <c r="O7" s="36"/>
      <c r="P7" s="36"/>
      <c r="Q7" s="36"/>
      <c r="R7" s="36"/>
      <c r="S7" s="36"/>
      <c r="T7" s="36"/>
      <c r="U7" s="36"/>
      <c r="V7" s="36"/>
      <c r="W7" s="36"/>
      <c r="X7" s="36"/>
      <c r="Y7" s="36"/>
      <c r="Z7" s="36"/>
      <c r="AA7" s="36"/>
      <c r="AB7" s="36"/>
    </row>
    <row r="8" spans="1:28" ht="36" customHeight="1">
      <c r="A8" s="30" t="str">
        <f>HYPERLINK("https://www.secretariajuridica.gov.co/transparencia/marco-legal/normatividad/ley-190-1995","LEY 190")</f>
        <v>LEY 190</v>
      </c>
      <c r="B8" s="32">
        <v>1995</v>
      </c>
      <c r="C8" s="32" t="s">
        <v>39</v>
      </c>
      <c r="D8" s="33" t="s">
        <v>1129</v>
      </c>
      <c r="E8" s="64" t="s">
        <v>2700</v>
      </c>
      <c r="F8" s="32" t="s">
        <v>97</v>
      </c>
      <c r="G8" s="147" t="s">
        <v>43</v>
      </c>
      <c r="H8" s="117" t="s">
        <v>2540</v>
      </c>
      <c r="I8" s="35"/>
      <c r="J8" s="36"/>
      <c r="K8" s="36"/>
      <c r="L8" s="36"/>
      <c r="M8" s="36"/>
      <c r="N8" s="36"/>
      <c r="O8" s="36"/>
      <c r="P8" s="36"/>
      <c r="Q8" s="36"/>
      <c r="R8" s="36"/>
      <c r="S8" s="36"/>
      <c r="T8" s="36"/>
      <c r="U8" s="36"/>
      <c r="V8" s="36"/>
      <c r="W8" s="36"/>
      <c r="X8" s="36"/>
      <c r="Y8" s="36"/>
      <c r="Z8" s="36"/>
      <c r="AA8" s="36"/>
      <c r="AB8" s="36"/>
    </row>
    <row r="9" spans="1:28" ht="12" customHeight="1">
      <c r="A9" s="263" t="str">
        <f>HYPERLINK("https://www.secretariajuridica.gov.co/transparencia/marco-legal/normatividad/ley-734-2002","LEY 734")</f>
        <v>LEY 734</v>
      </c>
      <c r="B9" s="64">
        <v>2002</v>
      </c>
      <c r="C9" s="142" t="s">
        <v>39</v>
      </c>
      <c r="D9" s="33" t="s">
        <v>489</v>
      </c>
      <c r="E9" s="64" t="s">
        <v>41</v>
      </c>
      <c r="F9" s="32" t="s">
        <v>97</v>
      </c>
      <c r="G9" s="147" t="s">
        <v>43</v>
      </c>
      <c r="H9" s="117" t="s">
        <v>2540</v>
      </c>
      <c r="I9" s="35"/>
      <c r="J9" s="36"/>
      <c r="K9" s="36"/>
      <c r="L9" s="36"/>
      <c r="M9" s="36"/>
      <c r="N9" s="36"/>
      <c r="O9" s="36"/>
      <c r="P9" s="36"/>
      <c r="Q9" s="36"/>
      <c r="R9" s="36"/>
      <c r="S9" s="36"/>
      <c r="T9" s="36"/>
      <c r="U9" s="36"/>
      <c r="V9" s="36"/>
      <c r="W9" s="36"/>
      <c r="X9" s="36"/>
      <c r="Y9" s="36"/>
      <c r="Z9" s="36"/>
      <c r="AA9" s="36"/>
      <c r="AB9" s="36"/>
    </row>
    <row r="10" spans="1:28" ht="48" customHeight="1">
      <c r="A10" s="30" t="str">
        <f>HYPERLINK("https://www.bogotajuridica.gov.co/sisjur/normas/Norma1.jsp?i=17004","LEY 962")</f>
        <v>LEY 962</v>
      </c>
      <c r="B10" s="32">
        <v>2005</v>
      </c>
      <c r="C10" s="32" t="s">
        <v>39</v>
      </c>
      <c r="D10" s="33" t="s">
        <v>2414</v>
      </c>
      <c r="E10" s="64" t="s">
        <v>41</v>
      </c>
      <c r="F10" s="32" t="s">
        <v>97</v>
      </c>
      <c r="G10" s="147" t="s">
        <v>43</v>
      </c>
      <c r="H10" s="117" t="s">
        <v>2540</v>
      </c>
      <c r="I10" s="35"/>
      <c r="J10" s="36"/>
      <c r="K10" s="36"/>
      <c r="L10" s="36"/>
      <c r="M10" s="36"/>
      <c r="N10" s="36"/>
      <c r="O10" s="36"/>
      <c r="P10" s="36"/>
      <c r="Q10" s="36"/>
      <c r="R10" s="36"/>
      <c r="S10" s="36"/>
      <c r="T10" s="36"/>
      <c r="U10" s="36"/>
      <c r="V10" s="36"/>
      <c r="W10" s="36"/>
      <c r="X10" s="36"/>
      <c r="Y10" s="36"/>
      <c r="Z10" s="36"/>
      <c r="AA10" s="36"/>
      <c r="AB10" s="36"/>
    </row>
    <row r="11" spans="1:28" ht="24" customHeight="1">
      <c r="A11" s="30" t="str">
        <f>HYPERLINK("https://www.alcaldiabogota.gov.co/sisjur/normas/Norma1.jsp?i=41249","LEY 1437")</f>
        <v>LEY 1437</v>
      </c>
      <c r="B11" s="32">
        <v>2011</v>
      </c>
      <c r="C11" s="32" t="s">
        <v>39</v>
      </c>
      <c r="D11" s="33" t="s">
        <v>2259</v>
      </c>
      <c r="E11" s="64" t="s">
        <v>41</v>
      </c>
      <c r="F11" s="32" t="s">
        <v>97</v>
      </c>
      <c r="G11" s="147" t="s">
        <v>43</v>
      </c>
      <c r="H11" s="117" t="s">
        <v>2540</v>
      </c>
      <c r="I11" s="35"/>
      <c r="J11" s="36"/>
      <c r="K11" s="36"/>
      <c r="L11" s="36"/>
      <c r="M11" s="36"/>
      <c r="N11" s="36"/>
      <c r="O11" s="36"/>
      <c r="P11" s="36"/>
      <c r="Q11" s="36"/>
      <c r="R11" s="36"/>
      <c r="S11" s="36"/>
      <c r="T11" s="36"/>
      <c r="U11" s="36"/>
      <c r="V11" s="36"/>
      <c r="W11" s="36"/>
      <c r="X11" s="36"/>
      <c r="Y11" s="36"/>
      <c r="Z11" s="36"/>
      <c r="AA11" s="36"/>
      <c r="AB11" s="36"/>
    </row>
    <row r="12" spans="1:28" ht="36" customHeight="1">
      <c r="A12" s="30" t="str">
        <f>HYPERLINK("https://www.bogotajuridica.gov.co/sisjur/normas/Norma1.jsp?i=43292","LEY 1474")</f>
        <v>LEY 1474</v>
      </c>
      <c r="B12" s="32">
        <v>2011</v>
      </c>
      <c r="C12" s="142" t="s">
        <v>39</v>
      </c>
      <c r="D12" s="33" t="s">
        <v>54</v>
      </c>
      <c r="E12" s="64" t="s">
        <v>2701</v>
      </c>
      <c r="F12" s="32" t="s">
        <v>97</v>
      </c>
      <c r="G12" s="147" t="s">
        <v>43</v>
      </c>
      <c r="H12" s="117" t="s">
        <v>2540</v>
      </c>
      <c r="I12" s="35"/>
      <c r="J12" s="36"/>
      <c r="K12" s="36"/>
      <c r="L12" s="36"/>
      <c r="M12" s="36"/>
      <c r="N12" s="36"/>
      <c r="O12" s="36"/>
      <c r="P12" s="36"/>
      <c r="Q12" s="36"/>
      <c r="R12" s="36"/>
      <c r="S12" s="36"/>
      <c r="T12" s="36"/>
      <c r="U12" s="36"/>
      <c r="V12" s="36"/>
      <c r="W12" s="36"/>
      <c r="X12" s="36"/>
      <c r="Y12" s="36"/>
      <c r="Z12" s="36"/>
      <c r="AA12" s="36"/>
      <c r="AB12" s="36"/>
    </row>
    <row r="13" spans="1:28" ht="36" customHeight="1">
      <c r="A13" s="30" t="str">
        <f>HYPERLINK("https://www.alcaldiabogota.gov.co/sisjur/normas/Norma1.jsp?i=60556","LEY 1712")</f>
        <v>LEY 1712</v>
      </c>
      <c r="B13" s="32">
        <v>2014</v>
      </c>
      <c r="C13" s="32" t="s">
        <v>39</v>
      </c>
      <c r="D13" s="33" t="s">
        <v>987</v>
      </c>
      <c r="E13" s="64" t="s">
        <v>41</v>
      </c>
      <c r="F13" s="32" t="s">
        <v>97</v>
      </c>
      <c r="G13" s="147" t="s">
        <v>43</v>
      </c>
      <c r="H13" s="117" t="s">
        <v>2540</v>
      </c>
      <c r="I13" s="35"/>
      <c r="J13" s="36"/>
      <c r="K13" s="36"/>
      <c r="L13" s="36"/>
      <c r="M13" s="36"/>
      <c r="N13" s="36"/>
      <c r="O13" s="36"/>
      <c r="P13" s="36"/>
      <c r="Q13" s="36"/>
      <c r="R13" s="36"/>
      <c r="S13" s="36"/>
      <c r="T13" s="36"/>
      <c r="U13" s="36"/>
      <c r="V13" s="36"/>
      <c r="W13" s="36"/>
      <c r="X13" s="36"/>
      <c r="Y13" s="36"/>
      <c r="Z13" s="36"/>
      <c r="AA13" s="36"/>
      <c r="AB13" s="36"/>
    </row>
    <row r="14" spans="1:28" ht="36" customHeight="1">
      <c r="A14" s="30" t="str">
        <f>HYPERLINK("https://www.alcaldiabogota.gov.co/sisjur/normas/Norma1.jsp?i=62152","LEY 1755")</f>
        <v>LEY 1755</v>
      </c>
      <c r="B14" s="41">
        <v>42185</v>
      </c>
      <c r="C14" s="32" t="s">
        <v>39</v>
      </c>
      <c r="D14" s="33" t="s">
        <v>1874</v>
      </c>
      <c r="E14" s="64" t="s">
        <v>41</v>
      </c>
      <c r="F14" s="32" t="s">
        <v>97</v>
      </c>
      <c r="G14" s="147" t="s">
        <v>43</v>
      </c>
      <c r="H14" s="117" t="s">
        <v>2540</v>
      </c>
      <c r="I14" s="35"/>
      <c r="J14" s="36"/>
      <c r="K14" s="36"/>
      <c r="L14" s="36"/>
      <c r="M14" s="36"/>
      <c r="N14" s="36"/>
      <c r="O14" s="36"/>
      <c r="P14" s="36"/>
      <c r="Q14" s="36"/>
      <c r="R14" s="36"/>
      <c r="S14" s="36"/>
      <c r="T14" s="36"/>
      <c r="U14" s="36"/>
      <c r="V14" s="36"/>
      <c r="W14" s="36"/>
      <c r="X14" s="36"/>
      <c r="Y14" s="36"/>
      <c r="Z14" s="36"/>
      <c r="AA14" s="36"/>
      <c r="AB14" s="36"/>
    </row>
    <row r="15" spans="1:28" ht="36" customHeight="1">
      <c r="A15" s="30" t="str">
        <f>HYPERLINK("https://www.bogotajuridica.gov.co/sisjur/normas/Norma1.jsp?i=45322","DECRETO - LEY 019")</f>
        <v>DECRETO - LEY 019</v>
      </c>
      <c r="B15" s="41">
        <v>41183</v>
      </c>
      <c r="C15" s="32" t="s">
        <v>57</v>
      </c>
      <c r="D15" s="33" t="s">
        <v>546</v>
      </c>
      <c r="E15" s="64" t="s">
        <v>2702</v>
      </c>
      <c r="F15" s="32" t="s">
        <v>97</v>
      </c>
      <c r="G15" s="147" t="s">
        <v>43</v>
      </c>
      <c r="H15" s="117" t="s">
        <v>2540</v>
      </c>
      <c r="I15" s="35"/>
      <c r="J15" s="36"/>
      <c r="K15" s="36"/>
      <c r="L15" s="36"/>
      <c r="M15" s="36"/>
      <c r="N15" s="36"/>
      <c r="O15" s="36"/>
      <c r="P15" s="36"/>
      <c r="Q15" s="36"/>
      <c r="R15" s="36"/>
      <c r="S15" s="36"/>
      <c r="T15" s="36"/>
      <c r="U15" s="36"/>
      <c r="V15" s="36"/>
      <c r="W15" s="36"/>
      <c r="X15" s="36"/>
      <c r="Y15" s="36"/>
      <c r="Z15" s="36"/>
      <c r="AA15" s="36"/>
      <c r="AB15" s="36"/>
    </row>
    <row r="16" spans="1:28" ht="36" customHeight="1">
      <c r="A16" s="30" t="str">
        <f>HYPERLINK("https://mintic.gov.co/portal/604/articles-3523_documento.pdf","DECRETO 2232")</f>
        <v>DECRETO 2232</v>
      </c>
      <c r="B16" s="38">
        <v>35051</v>
      </c>
      <c r="C16" s="142" t="s">
        <v>57</v>
      </c>
      <c r="D16" s="33" t="s">
        <v>522</v>
      </c>
      <c r="E16" s="64" t="s">
        <v>2704</v>
      </c>
      <c r="F16" s="32" t="s">
        <v>97</v>
      </c>
      <c r="G16" s="147" t="s">
        <v>43</v>
      </c>
      <c r="H16" s="117" t="s">
        <v>2540</v>
      </c>
      <c r="I16" s="35"/>
      <c r="J16" s="36"/>
      <c r="K16" s="36"/>
      <c r="L16" s="36"/>
      <c r="M16" s="36"/>
      <c r="N16" s="36"/>
      <c r="O16" s="36"/>
      <c r="P16" s="36"/>
      <c r="Q16" s="36"/>
      <c r="R16" s="36"/>
      <c r="S16" s="36"/>
      <c r="T16" s="36"/>
      <c r="U16" s="36"/>
      <c r="V16" s="36"/>
      <c r="W16" s="36"/>
      <c r="X16" s="36"/>
      <c r="Y16" s="36"/>
      <c r="Z16" s="36"/>
      <c r="AA16" s="36"/>
      <c r="AB16" s="36"/>
    </row>
    <row r="17" spans="1:28" ht="24" customHeight="1">
      <c r="A17" s="30" t="str">
        <f>HYPERLINK("https://www.alcaldiabogota.gov.co/sisjur/normas/Norma1.jsp?i=36842","DECRETO 2623")</f>
        <v>DECRETO 2623</v>
      </c>
      <c r="B17" s="41">
        <v>40007</v>
      </c>
      <c r="C17" s="32" t="s">
        <v>302</v>
      </c>
      <c r="D17" s="33" t="s">
        <v>2706</v>
      </c>
      <c r="E17" s="64" t="s">
        <v>41</v>
      </c>
      <c r="F17" s="32" t="s">
        <v>97</v>
      </c>
      <c r="G17" s="147" t="s">
        <v>43</v>
      </c>
      <c r="H17" s="117" t="s">
        <v>2540</v>
      </c>
      <c r="I17" s="35"/>
      <c r="J17" s="36"/>
      <c r="K17" s="36"/>
      <c r="L17" s="36"/>
      <c r="M17" s="36"/>
      <c r="N17" s="36"/>
      <c r="O17" s="36"/>
      <c r="P17" s="36"/>
      <c r="Q17" s="36"/>
      <c r="R17" s="36"/>
      <c r="S17" s="36"/>
      <c r="T17" s="36"/>
      <c r="U17" s="36"/>
      <c r="V17" s="36"/>
      <c r="W17" s="36"/>
      <c r="X17" s="36"/>
      <c r="Y17" s="36"/>
      <c r="Z17" s="36"/>
      <c r="AA17" s="36"/>
      <c r="AB17" s="36"/>
    </row>
    <row r="18" spans="1:28" ht="36" customHeight="1">
      <c r="A18" s="30" t="str">
        <f>HYPERLINK("https://www.alcaldiabogota.gov.co/sisjur/normas/Norma1.jsp?i=40685","DECRETO 371")</f>
        <v>DECRETO 371</v>
      </c>
      <c r="B18" s="31">
        <v>40420</v>
      </c>
      <c r="C18" s="32" t="s">
        <v>61</v>
      </c>
      <c r="D18" s="33" t="s">
        <v>278</v>
      </c>
      <c r="E18" s="64" t="s">
        <v>41</v>
      </c>
      <c r="F18" s="32" t="s">
        <v>97</v>
      </c>
      <c r="G18" s="147" t="s">
        <v>43</v>
      </c>
      <c r="H18" s="117" t="s">
        <v>2540</v>
      </c>
      <c r="I18" s="35"/>
      <c r="J18" s="36"/>
      <c r="K18" s="36"/>
      <c r="L18" s="36"/>
      <c r="M18" s="36"/>
      <c r="N18" s="36"/>
      <c r="O18" s="36"/>
      <c r="P18" s="36"/>
      <c r="Q18" s="36"/>
      <c r="R18" s="36"/>
      <c r="S18" s="36"/>
      <c r="T18" s="36"/>
      <c r="U18" s="36"/>
      <c r="V18" s="36"/>
      <c r="W18" s="36"/>
      <c r="X18" s="36"/>
      <c r="Y18" s="36"/>
      <c r="Z18" s="36"/>
      <c r="AA18" s="36"/>
      <c r="AB18" s="36"/>
    </row>
    <row r="19" spans="1:28" ht="24" customHeight="1">
      <c r="A19" s="30" t="str">
        <f>HYPERLINK("https://www.alcaldiabogota.gov.co/sisjur/normas/Norma1.jsp?i=57396","DECRETO  197")</f>
        <v>DECRETO  197</v>
      </c>
      <c r="B19" s="41">
        <v>41781</v>
      </c>
      <c r="C19" s="32" t="s">
        <v>61</v>
      </c>
      <c r="D19" s="33" t="s">
        <v>2708</v>
      </c>
      <c r="E19" s="64" t="s">
        <v>41</v>
      </c>
      <c r="F19" s="32" t="s">
        <v>97</v>
      </c>
      <c r="G19" s="147" t="s">
        <v>43</v>
      </c>
      <c r="H19" s="117" t="s">
        <v>2540</v>
      </c>
      <c r="I19" s="35"/>
      <c r="J19" s="36"/>
      <c r="K19" s="36"/>
      <c r="L19" s="36"/>
      <c r="M19" s="36"/>
      <c r="N19" s="36"/>
      <c r="O19" s="36"/>
      <c r="P19" s="36"/>
      <c r="Q19" s="36"/>
      <c r="R19" s="36"/>
      <c r="S19" s="36"/>
      <c r="T19" s="36"/>
      <c r="U19" s="36"/>
      <c r="V19" s="36"/>
      <c r="W19" s="36"/>
      <c r="X19" s="36"/>
      <c r="Y19" s="36"/>
      <c r="Z19" s="36"/>
      <c r="AA19" s="36"/>
      <c r="AB19" s="36"/>
    </row>
    <row r="20" spans="1:28" ht="48" customHeight="1">
      <c r="A20" s="67" t="str">
        <f>HYPERLINK("https://www.alcaldiabogota.gov.co/sisjur/normas/Norma1.jsp?i=55965","ACUERDO 529")</f>
        <v>ACUERDO 529</v>
      </c>
      <c r="B20" s="286">
        <v>41597</v>
      </c>
      <c r="C20" s="32" t="s">
        <v>2333</v>
      </c>
      <c r="D20" s="33" t="s">
        <v>2711</v>
      </c>
      <c r="E20" s="64" t="s">
        <v>41</v>
      </c>
      <c r="F20" s="32" t="s">
        <v>97</v>
      </c>
      <c r="G20" s="147" t="s">
        <v>43</v>
      </c>
      <c r="H20" s="117" t="s">
        <v>2540</v>
      </c>
      <c r="I20" s="35"/>
      <c r="J20" s="36"/>
      <c r="K20" s="36"/>
      <c r="L20" s="36"/>
      <c r="M20" s="36"/>
      <c r="N20" s="36"/>
      <c r="O20" s="36"/>
      <c r="P20" s="36"/>
      <c r="Q20" s="36"/>
      <c r="R20" s="36"/>
      <c r="S20" s="36"/>
      <c r="T20" s="36"/>
      <c r="U20" s="36"/>
      <c r="V20" s="36"/>
      <c r="W20" s="36"/>
      <c r="X20" s="36"/>
      <c r="Y20" s="36"/>
      <c r="Z20" s="36"/>
      <c r="AA20" s="36"/>
      <c r="AB20" s="36"/>
    </row>
    <row r="21" spans="1:28" ht="36" customHeight="1">
      <c r="A21" s="67" t="str">
        <f>HYPERLINK("https://www.alcaldiabogota.gov.co/sisjur/normas/Norma1.jsp?i=64349","ACUERDO  630")</f>
        <v>ACUERDO  630</v>
      </c>
      <c r="B21" s="286">
        <v>42367</v>
      </c>
      <c r="C21" s="32" t="s">
        <v>2333</v>
      </c>
      <c r="D21" s="33" t="s">
        <v>2715</v>
      </c>
      <c r="E21" s="64" t="s">
        <v>41</v>
      </c>
      <c r="F21" s="32" t="s">
        <v>97</v>
      </c>
      <c r="G21" s="147" t="s">
        <v>43</v>
      </c>
      <c r="H21" s="117" t="s">
        <v>2540</v>
      </c>
      <c r="I21" s="35"/>
      <c r="J21" s="36"/>
      <c r="K21" s="36"/>
      <c r="L21" s="36"/>
      <c r="M21" s="36"/>
      <c r="N21" s="36"/>
      <c r="O21" s="36"/>
      <c r="P21" s="36"/>
      <c r="Q21" s="36"/>
      <c r="R21" s="36"/>
      <c r="S21" s="36"/>
      <c r="T21" s="36"/>
      <c r="U21" s="36"/>
      <c r="V21" s="36"/>
      <c r="W21" s="36"/>
      <c r="X21" s="36"/>
      <c r="Y21" s="36"/>
      <c r="Z21" s="36"/>
      <c r="AA21" s="36"/>
      <c r="AB21" s="36"/>
    </row>
    <row r="22" spans="1:28" ht="24" customHeight="1">
      <c r="A22" s="30" t="str">
        <f>HYPERLINK("https://www.alcaldiabogota.gov.co/sisjur/normas/Norma1.jsp?i=31404&amp;dt=S","CIRCULAR 33")</f>
        <v>CIRCULAR 33</v>
      </c>
      <c r="B22" s="41">
        <v>39647</v>
      </c>
      <c r="C22" s="32" t="s">
        <v>1895</v>
      </c>
      <c r="D22" s="33" t="s">
        <v>2718</v>
      </c>
      <c r="E22" s="64" t="s">
        <v>41</v>
      </c>
      <c r="F22" s="32" t="s">
        <v>97</v>
      </c>
      <c r="G22" s="147" t="s">
        <v>43</v>
      </c>
      <c r="H22" s="117" t="s">
        <v>2540</v>
      </c>
      <c r="I22" s="35"/>
      <c r="J22" s="36"/>
      <c r="K22" s="36"/>
      <c r="L22" s="36"/>
      <c r="M22" s="36"/>
      <c r="N22" s="36"/>
      <c r="O22" s="36"/>
      <c r="P22" s="36"/>
      <c r="Q22" s="36"/>
      <c r="R22" s="36"/>
      <c r="S22" s="36"/>
      <c r="T22" s="36"/>
      <c r="U22" s="36"/>
      <c r="V22" s="36"/>
      <c r="W22" s="36"/>
      <c r="X22" s="36"/>
      <c r="Y22" s="36"/>
      <c r="Z22" s="36"/>
      <c r="AA22" s="36"/>
      <c r="AB22" s="36"/>
    </row>
    <row r="23" spans="1:28" ht="24" customHeight="1">
      <c r="A23" s="30" t="str">
        <f>HYPERLINK("https://www.veeduriadistrital.gov.co/sites/default/files/marco-legal/CIRCULAR_002_2012.pdf","CIRCULAR 2")</f>
        <v>CIRCULAR 2</v>
      </c>
      <c r="B23" s="41">
        <v>40925</v>
      </c>
      <c r="C23" s="32" t="s">
        <v>960</v>
      </c>
      <c r="D23" s="33" t="s">
        <v>2724</v>
      </c>
      <c r="E23" s="64" t="s">
        <v>41</v>
      </c>
      <c r="F23" s="32" t="s">
        <v>97</v>
      </c>
      <c r="G23" s="147" t="s">
        <v>43</v>
      </c>
      <c r="H23" s="117" t="s">
        <v>2540</v>
      </c>
      <c r="I23" s="35"/>
      <c r="J23" s="36"/>
      <c r="K23" s="36"/>
      <c r="L23" s="36"/>
      <c r="M23" s="36"/>
      <c r="N23" s="36"/>
      <c r="O23" s="36"/>
      <c r="P23" s="36"/>
      <c r="Q23" s="36"/>
      <c r="R23" s="36"/>
      <c r="S23" s="36"/>
      <c r="T23" s="36"/>
      <c r="U23" s="36"/>
      <c r="V23" s="36"/>
      <c r="W23" s="36"/>
      <c r="X23" s="36"/>
      <c r="Y23" s="36"/>
      <c r="Z23" s="36"/>
      <c r="AA23" s="36"/>
      <c r="AB23" s="36"/>
    </row>
    <row r="24" spans="1:28" ht="12" customHeight="1">
      <c r="A24" s="30" t="str">
        <f>HYPERLINK("https://www.alcaldiabogota.gov.co/sisjur/normas/Norma1.jsp?i=58558","CIRCULAR 93")</f>
        <v>CIRCULAR 93</v>
      </c>
      <c r="B24" s="41">
        <v>41844</v>
      </c>
      <c r="C24" s="32" t="s">
        <v>1895</v>
      </c>
      <c r="D24" s="33" t="s">
        <v>2726</v>
      </c>
      <c r="E24" s="64" t="s">
        <v>41</v>
      </c>
      <c r="F24" s="32" t="s">
        <v>97</v>
      </c>
      <c r="G24" s="147" t="s">
        <v>43</v>
      </c>
      <c r="H24" s="117" t="s">
        <v>2540</v>
      </c>
      <c r="I24" s="35"/>
      <c r="J24" s="36"/>
      <c r="K24" s="36"/>
      <c r="L24" s="36"/>
      <c r="M24" s="36"/>
      <c r="N24" s="36"/>
      <c r="O24" s="36"/>
      <c r="P24" s="36"/>
      <c r="Q24" s="36"/>
      <c r="R24" s="36"/>
      <c r="S24" s="36"/>
      <c r="T24" s="36"/>
      <c r="U24" s="36"/>
      <c r="V24" s="36"/>
      <c r="W24" s="36"/>
      <c r="X24" s="36"/>
      <c r="Y24" s="36"/>
      <c r="Z24" s="36"/>
      <c r="AA24" s="36"/>
      <c r="AB24" s="36"/>
    </row>
    <row r="25" spans="1:28" ht="12" customHeight="1">
      <c r="A25" s="30" t="str">
        <f>HYPERLINK("https://www.veeduriadistrital.gov.co/sites/default/files/marco-legal/CIRCULAR_012_2015.pdf","CIRCULAR 12")</f>
        <v>CIRCULAR 12</v>
      </c>
      <c r="B25" s="41">
        <v>42242</v>
      </c>
      <c r="C25" s="32" t="s">
        <v>960</v>
      </c>
      <c r="D25" s="33" t="s">
        <v>2727</v>
      </c>
      <c r="E25" s="64" t="s">
        <v>41</v>
      </c>
      <c r="F25" s="32" t="s">
        <v>97</v>
      </c>
      <c r="G25" s="147" t="s">
        <v>43</v>
      </c>
      <c r="H25" s="117" t="s">
        <v>2540</v>
      </c>
      <c r="I25" s="35"/>
      <c r="J25" s="36"/>
      <c r="K25" s="36"/>
      <c r="L25" s="36"/>
      <c r="M25" s="36"/>
      <c r="N25" s="36"/>
      <c r="O25" s="36"/>
      <c r="P25" s="36"/>
      <c r="Q25" s="36"/>
      <c r="R25" s="36"/>
      <c r="S25" s="36"/>
      <c r="T25" s="36"/>
      <c r="U25" s="36"/>
      <c r="V25" s="36"/>
      <c r="W25" s="36"/>
      <c r="X25" s="36"/>
      <c r="Y25" s="36"/>
      <c r="Z25" s="36"/>
      <c r="AA25" s="36"/>
      <c r="AB25" s="36"/>
    </row>
    <row r="26" spans="1:28" ht="24" customHeight="1">
      <c r="A26" s="30" t="str">
        <f>HYPERLINK("https://www.veeduriadistrital.gov.co/sites/default/files/marco-legal/CIRCULAR_006_2015.pdf","CIRCULAR 6")</f>
        <v>CIRCULAR 6</v>
      </c>
      <c r="B26" s="31">
        <v>42100</v>
      </c>
      <c r="C26" s="32" t="s">
        <v>960</v>
      </c>
      <c r="D26" s="33" t="s">
        <v>961</v>
      </c>
      <c r="E26" s="64" t="s">
        <v>2728</v>
      </c>
      <c r="F26" s="32" t="s">
        <v>97</v>
      </c>
      <c r="G26" s="147" t="s">
        <v>43</v>
      </c>
      <c r="H26" s="117" t="s">
        <v>2540</v>
      </c>
      <c r="I26" s="35"/>
      <c r="J26" s="36"/>
      <c r="K26" s="36"/>
      <c r="L26" s="36"/>
      <c r="M26" s="36"/>
      <c r="N26" s="36"/>
      <c r="O26" s="36"/>
      <c r="P26" s="36"/>
      <c r="Q26" s="36"/>
      <c r="R26" s="36"/>
      <c r="S26" s="36"/>
      <c r="T26" s="36"/>
      <c r="U26" s="36"/>
      <c r="V26" s="36"/>
      <c r="W26" s="36"/>
      <c r="X26" s="36"/>
      <c r="Y26" s="36"/>
      <c r="Z26" s="36"/>
      <c r="AA26" s="36"/>
      <c r="AB26" s="36"/>
    </row>
    <row r="27" spans="1:28" ht="24" customHeight="1">
      <c r="A27" s="30" t="str">
        <f>HYPERLINK("https://www.veeduriadistrital.gov.co/sites/default/files/marco-legal/Circular%20006%20de%202017.pdf ","CIRCULAR 6")</f>
        <v>CIRCULAR 6</v>
      </c>
      <c r="B27" s="41">
        <v>42801</v>
      </c>
      <c r="C27" s="32" t="s">
        <v>960</v>
      </c>
      <c r="D27" s="33" t="s">
        <v>2729</v>
      </c>
      <c r="E27" s="64" t="s">
        <v>41</v>
      </c>
      <c r="F27" s="32" t="s">
        <v>97</v>
      </c>
      <c r="G27" s="147" t="s">
        <v>43</v>
      </c>
      <c r="H27" s="117" t="s">
        <v>2540</v>
      </c>
      <c r="I27" s="35"/>
      <c r="J27" s="36"/>
      <c r="K27" s="36"/>
      <c r="L27" s="36"/>
      <c r="M27" s="36"/>
      <c r="N27" s="36"/>
      <c r="O27" s="36"/>
      <c r="P27" s="36"/>
      <c r="Q27" s="36"/>
      <c r="R27" s="36"/>
      <c r="S27" s="36"/>
      <c r="T27" s="36"/>
      <c r="U27" s="36"/>
      <c r="V27" s="36"/>
      <c r="W27" s="36"/>
      <c r="X27" s="36"/>
      <c r="Y27" s="36"/>
      <c r="Z27" s="36"/>
      <c r="AA27" s="36"/>
      <c r="AB27" s="36"/>
    </row>
    <row r="28" spans="1:28" ht="24" customHeight="1">
      <c r="A28" s="30" t="str">
        <f>HYPERLINK("https://www.veeduriadistrital.gov.co/sites/default/files/marco-legal/Circular%20007%20de%202017.pdf  ","CIRCULAR 7")</f>
        <v>CIRCULAR 7</v>
      </c>
      <c r="B28" s="41">
        <v>42801</v>
      </c>
      <c r="C28" s="32" t="s">
        <v>960</v>
      </c>
      <c r="D28" s="33" t="s">
        <v>2730</v>
      </c>
      <c r="E28" s="64" t="s">
        <v>41</v>
      </c>
      <c r="F28" s="32" t="s">
        <v>97</v>
      </c>
      <c r="G28" s="147" t="s">
        <v>43</v>
      </c>
      <c r="H28" s="117" t="s">
        <v>2540</v>
      </c>
      <c r="I28" s="35"/>
      <c r="J28" s="36"/>
      <c r="K28" s="36"/>
      <c r="L28" s="36"/>
      <c r="M28" s="36"/>
      <c r="N28" s="36"/>
      <c r="O28" s="36"/>
      <c r="P28" s="36"/>
      <c r="Q28" s="36"/>
      <c r="R28" s="36"/>
      <c r="S28" s="36"/>
      <c r="T28" s="36"/>
      <c r="U28" s="36"/>
      <c r="V28" s="36"/>
      <c r="W28" s="36"/>
      <c r="X28" s="36"/>
      <c r="Y28" s="36"/>
      <c r="Z28" s="36"/>
      <c r="AA28" s="36"/>
      <c r="AB28" s="36"/>
    </row>
    <row r="29" spans="1:28" ht="29.25" customHeight="1">
      <c r="A29" s="37" t="s">
        <v>3824</v>
      </c>
      <c r="B29" s="41">
        <v>44341</v>
      </c>
      <c r="C29" s="40" t="s">
        <v>1895</v>
      </c>
      <c r="D29" s="39" t="s">
        <v>3825</v>
      </c>
      <c r="E29" s="64" t="s">
        <v>41</v>
      </c>
      <c r="F29" s="40" t="s">
        <v>97</v>
      </c>
      <c r="G29" s="147"/>
      <c r="H29" s="117"/>
      <c r="I29" s="35"/>
      <c r="J29" s="36"/>
      <c r="K29" s="36"/>
      <c r="L29" s="36"/>
      <c r="M29" s="36"/>
      <c r="N29" s="36"/>
      <c r="O29" s="36"/>
      <c r="P29" s="36"/>
      <c r="Q29" s="36"/>
      <c r="R29" s="36"/>
      <c r="S29" s="36"/>
      <c r="T29" s="36"/>
      <c r="U29" s="36"/>
      <c r="V29" s="36"/>
      <c r="W29" s="36"/>
      <c r="X29" s="36"/>
      <c r="Y29" s="36"/>
      <c r="Z29" s="36"/>
      <c r="AA29" s="36"/>
      <c r="AB29" s="36"/>
    </row>
    <row r="30" spans="1:28" ht="12" customHeight="1">
      <c r="A30" s="30" t="str">
        <f>HYPERLINK("https://www.alcaldiabogota.gov.co/sisjur/normas/Norma1.jsp?i=66262","Resolución 252")</f>
        <v>Resolución 252</v>
      </c>
      <c r="B30" s="41">
        <v>42482</v>
      </c>
      <c r="C30" s="32" t="s">
        <v>1098</v>
      </c>
      <c r="D30" s="33" t="s">
        <v>2732</v>
      </c>
      <c r="E30" s="64" t="s">
        <v>41</v>
      </c>
      <c r="F30" s="32" t="s">
        <v>97</v>
      </c>
      <c r="G30" s="147" t="s">
        <v>43</v>
      </c>
      <c r="H30" s="117" t="s">
        <v>2540</v>
      </c>
      <c r="I30" s="35"/>
      <c r="J30" s="36"/>
      <c r="K30" s="36"/>
      <c r="L30" s="36"/>
      <c r="M30" s="36"/>
      <c r="N30" s="36"/>
      <c r="O30" s="36"/>
      <c r="P30" s="36"/>
      <c r="Q30" s="36"/>
      <c r="R30" s="36"/>
      <c r="S30" s="36"/>
      <c r="T30" s="36"/>
      <c r="U30" s="36"/>
      <c r="V30" s="36"/>
      <c r="W30" s="36"/>
      <c r="X30" s="36"/>
      <c r="Y30" s="36"/>
      <c r="Z30" s="36"/>
      <c r="AA30" s="36"/>
      <c r="AB30" s="36"/>
    </row>
    <row r="31" spans="1:28" ht="36" customHeight="1">
      <c r="A31" s="43" t="str">
        <f>HYPERLINK("https://www.idrd.gov.co/transparencia/marco-legal/normatividad/2019/tramite-interno-pqrsd","RESOLUCIÓN 331")</f>
        <v>RESOLUCIÓN 331</v>
      </c>
      <c r="B31" s="41">
        <v>43622</v>
      </c>
      <c r="C31" s="32" t="s">
        <v>1098</v>
      </c>
      <c r="D31" s="33" t="s">
        <v>2734</v>
      </c>
      <c r="E31" s="64" t="s">
        <v>41</v>
      </c>
      <c r="F31" s="32" t="s">
        <v>97</v>
      </c>
      <c r="G31" s="32" t="s">
        <v>97</v>
      </c>
      <c r="H31" s="577" t="s">
        <v>97</v>
      </c>
      <c r="I31" s="285"/>
      <c r="J31" s="461"/>
      <c r="K31" s="36"/>
      <c r="L31" s="36"/>
      <c r="M31" s="36"/>
      <c r="N31" s="36"/>
      <c r="O31" s="36"/>
      <c r="P31" s="36"/>
      <c r="Q31" s="36"/>
      <c r="R31" s="36"/>
      <c r="S31" s="36"/>
      <c r="T31" s="36"/>
      <c r="U31" s="36"/>
      <c r="V31" s="36"/>
      <c r="W31" s="36"/>
      <c r="X31" s="36"/>
      <c r="Y31" s="36"/>
      <c r="Z31" s="36"/>
      <c r="AA31" s="36"/>
      <c r="AB31" s="36"/>
    </row>
    <row r="32" spans="1:28" ht="36" customHeight="1">
      <c r="A32" s="49" t="str">
        <f>HYPERLINK("http://www.sdp.gov.co/sites/default/files/conpes_01_transparencia_versionfinal.pdf","CONPES D.C. - ")</f>
        <v xml:space="preserve">CONPES D.C. - </v>
      </c>
      <c r="B32" s="32">
        <v>2019</v>
      </c>
      <c r="C32" s="32" t="s">
        <v>2738</v>
      </c>
      <c r="D32" s="33" t="s">
        <v>2739</v>
      </c>
      <c r="E32" s="64" t="s">
        <v>41</v>
      </c>
      <c r="F32" s="32" t="s">
        <v>97</v>
      </c>
      <c r="G32" s="32" t="s">
        <v>97</v>
      </c>
      <c r="H32" s="577" t="s">
        <v>97</v>
      </c>
      <c r="I32" s="285"/>
      <c r="J32" s="461"/>
      <c r="K32" s="36"/>
      <c r="L32" s="36"/>
      <c r="M32" s="36"/>
      <c r="N32" s="36"/>
      <c r="O32" s="36"/>
      <c r="P32" s="36"/>
      <c r="Q32" s="36"/>
      <c r="R32" s="36"/>
      <c r="S32" s="36"/>
      <c r="T32" s="36"/>
      <c r="U32" s="36"/>
      <c r="V32" s="36"/>
      <c r="W32" s="36"/>
      <c r="X32" s="36"/>
      <c r="Y32" s="36"/>
      <c r="Z32" s="36"/>
      <c r="AA32" s="36"/>
      <c r="AB32" s="36"/>
    </row>
    <row r="33" spans="1:28" ht="48">
      <c r="A33" s="581" t="s">
        <v>3826</v>
      </c>
      <c r="B33" s="103">
        <v>44067</v>
      </c>
      <c r="C33" s="40" t="s">
        <v>3827</v>
      </c>
      <c r="D33" s="54" t="s">
        <v>3828</v>
      </c>
      <c r="E33" s="64" t="s">
        <v>41</v>
      </c>
      <c r="F33" s="32" t="s">
        <v>97</v>
      </c>
      <c r="G33" s="35"/>
      <c r="H33" s="104"/>
      <c r="I33" s="35"/>
      <c r="J33" s="461"/>
      <c r="K33" s="36"/>
      <c r="L33" s="36"/>
      <c r="M33" s="36"/>
      <c r="N33" s="36"/>
      <c r="O33" s="36"/>
      <c r="P33" s="36"/>
      <c r="Q33" s="36"/>
      <c r="R33" s="36"/>
      <c r="S33" s="36"/>
      <c r="T33" s="36"/>
      <c r="U33" s="36"/>
      <c r="V33" s="36"/>
      <c r="W33" s="36"/>
      <c r="X33" s="36"/>
      <c r="Y33" s="36"/>
      <c r="Z33" s="36"/>
      <c r="AA33" s="36"/>
      <c r="AB33" s="36"/>
    </row>
    <row r="34" spans="1:28" ht="36" customHeight="1">
      <c r="A34" s="581" t="s">
        <v>1051</v>
      </c>
      <c r="B34" s="103">
        <v>42150</v>
      </c>
      <c r="C34" s="40" t="s">
        <v>3829</v>
      </c>
      <c r="D34" s="54" t="s">
        <v>3830</v>
      </c>
      <c r="E34" s="55" t="s">
        <v>41</v>
      </c>
      <c r="F34" s="55" t="s">
        <v>97</v>
      </c>
      <c r="G34" s="35"/>
      <c r="H34" s="104"/>
      <c r="I34" s="35"/>
      <c r="J34" s="36"/>
      <c r="K34" s="36"/>
      <c r="L34" s="36"/>
      <c r="M34" s="36"/>
      <c r="N34" s="36"/>
      <c r="O34" s="36"/>
      <c r="P34" s="36"/>
      <c r="Q34" s="36"/>
      <c r="R34" s="36"/>
      <c r="S34" s="36"/>
      <c r="T34" s="36"/>
      <c r="U34" s="36"/>
      <c r="V34" s="36"/>
      <c r="W34" s="36"/>
      <c r="X34" s="36"/>
      <c r="Y34" s="36"/>
      <c r="Z34" s="36"/>
      <c r="AA34" s="36"/>
      <c r="AB34" s="36"/>
    </row>
    <row r="35" spans="1:28" ht="36" customHeight="1">
      <c r="A35" s="581" t="s">
        <v>115</v>
      </c>
      <c r="B35" s="103">
        <v>43829</v>
      </c>
      <c r="C35" s="32" t="s">
        <v>61</v>
      </c>
      <c r="D35" s="54" t="s">
        <v>117</v>
      </c>
      <c r="E35" s="55" t="s">
        <v>41</v>
      </c>
      <c r="F35" s="55" t="s">
        <v>97</v>
      </c>
      <c r="G35" s="35"/>
      <c r="H35" s="104"/>
      <c r="I35" s="35"/>
      <c r="J35" s="36"/>
      <c r="K35" s="36"/>
      <c r="L35" s="36"/>
      <c r="M35" s="36"/>
      <c r="N35" s="36"/>
      <c r="O35" s="36"/>
      <c r="P35" s="36"/>
      <c r="Q35" s="36"/>
      <c r="R35" s="36"/>
      <c r="S35" s="36"/>
      <c r="T35" s="36"/>
      <c r="U35" s="36"/>
      <c r="V35" s="36"/>
      <c r="W35" s="36"/>
      <c r="X35" s="36"/>
      <c r="Y35" s="36"/>
      <c r="Z35" s="36"/>
      <c r="AA35" s="36"/>
      <c r="AB35" s="36"/>
    </row>
    <row r="36" spans="1:28" ht="12" customHeight="1">
      <c r="A36" s="260"/>
      <c r="B36" s="104"/>
      <c r="C36" s="104"/>
      <c r="D36" s="260"/>
      <c r="E36" s="104"/>
      <c r="F36" s="104"/>
      <c r="G36" s="35"/>
      <c r="H36" s="104"/>
      <c r="I36" s="35"/>
      <c r="J36" s="36"/>
      <c r="K36" s="36"/>
      <c r="L36" s="36"/>
      <c r="M36" s="36"/>
      <c r="N36" s="36"/>
      <c r="O36" s="36"/>
      <c r="P36" s="36"/>
      <c r="Q36" s="36"/>
      <c r="R36" s="36"/>
      <c r="S36" s="36"/>
      <c r="T36" s="36"/>
      <c r="U36" s="36"/>
      <c r="V36" s="36"/>
      <c r="W36" s="36"/>
      <c r="X36" s="36"/>
      <c r="Y36" s="36"/>
      <c r="Z36" s="36"/>
      <c r="AA36" s="36"/>
      <c r="AB36" s="36"/>
    </row>
  </sheetData>
  <autoFilter ref="A5:AB35" xr:uid="{00000000-0009-0000-0000-000017000000}"/>
  <mergeCells count="3">
    <mergeCell ref="A1:H1"/>
    <mergeCell ref="A2:F2"/>
    <mergeCell ref="A4:F4"/>
  </mergeCells>
  <hyperlinks>
    <hyperlink ref="F3" location="Menu por Procesos!A1" display="MENU" xr:uid="{00000000-0004-0000-1700-000000000000}"/>
    <hyperlink ref="A29" r:id="rId1" xr:uid="{00000000-0004-0000-1700-000001000000}"/>
    <hyperlink ref="A33" r:id="rId2" xr:uid="{00000000-0004-0000-1700-000002000000}"/>
    <hyperlink ref="A34" r:id="rId3" xr:uid="{00000000-0004-0000-1700-000003000000}"/>
    <hyperlink ref="A35" r:id="rId4" xr:uid="{00000000-0004-0000-1700-000004000000}"/>
  </hyperlinks>
  <pageMargins left="0.7" right="0.7" top="0.75" bottom="0.75" header="0" footer="0"/>
  <pageSetup orientation="landscape"/>
  <drawing r:id="rId5"/>
  <legacyDrawing r:id="rId6"/>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9D18E"/>
  </sheetPr>
  <dimension ref="A1:AC1397"/>
  <sheetViews>
    <sheetView workbookViewId="0">
      <pane ySplit="5" topLeftCell="A6" activePane="bottomLeft" state="frozen"/>
      <selection pane="bottomLeft" activeCell="B7" sqref="B7"/>
    </sheetView>
  </sheetViews>
  <sheetFormatPr baseColWidth="10" defaultColWidth="14.42578125" defaultRowHeight="15" customHeight="1"/>
  <cols>
    <col min="1" max="1" width="7.5703125" customWidth="1"/>
    <col min="2" max="2" width="12.85546875" customWidth="1"/>
    <col min="3" max="3" width="23.7109375" customWidth="1"/>
    <col min="4" max="4" width="34.140625" customWidth="1"/>
    <col min="5" max="5" width="41.85546875" customWidth="1"/>
    <col min="6" max="6" width="30.140625" customWidth="1"/>
    <col min="7" max="7" width="20.85546875" customWidth="1"/>
    <col min="8" max="9" width="20.85546875" hidden="1" customWidth="1"/>
    <col min="10" max="10" width="20.85546875" customWidth="1"/>
    <col min="11" max="11" width="18" customWidth="1"/>
    <col min="12" max="16" width="11.42578125" customWidth="1"/>
    <col min="17" max="17" width="16.28515625" customWidth="1"/>
    <col min="18" max="18" width="11.42578125" customWidth="1"/>
    <col min="19" max="19" width="15.140625" customWidth="1"/>
    <col min="20" max="29" width="11.42578125" customWidth="1"/>
  </cols>
  <sheetData>
    <row r="1" spans="1:29" ht="61.5" customHeight="1">
      <c r="A1" s="773"/>
      <c r="B1" s="769"/>
      <c r="C1" s="769"/>
      <c r="D1" s="769"/>
      <c r="E1" s="769"/>
      <c r="F1" s="769"/>
      <c r="G1" s="769"/>
      <c r="H1" s="769"/>
      <c r="I1" s="769"/>
      <c r="J1" s="17"/>
      <c r="K1" s="18"/>
      <c r="L1" s="18"/>
      <c r="M1" s="18"/>
      <c r="N1" s="18"/>
      <c r="O1" s="18"/>
      <c r="P1" s="18"/>
      <c r="Q1" s="18"/>
      <c r="R1" s="18"/>
      <c r="S1" s="18"/>
      <c r="T1" s="18"/>
      <c r="U1" s="18"/>
      <c r="V1" s="18"/>
      <c r="W1" s="18"/>
      <c r="X1" s="18"/>
      <c r="Y1" s="18"/>
      <c r="Z1" s="18"/>
      <c r="AA1" s="18"/>
      <c r="AB1" s="18"/>
      <c r="AC1" s="18"/>
    </row>
    <row r="2" spans="1:29" ht="28.5" customHeight="1">
      <c r="A2" s="767" t="s">
        <v>25</v>
      </c>
      <c r="B2" s="765"/>
      <c r="C2" s="765"/>
      <c r="D2" s="765"/>
      <c r="E2" s="765"/>
      <c r="F2" s="765"/>
      <c r="G2" s="766"/>
      <c r="H2" s="15"/>
      <c r="I2" s="16"/>
      <c r="J2" s="17"/>
      <c r="K2" s="18"/>
      <c r="L2" s="18"/>
      <c r="M2" s="18"/>
      <c r="N2" s="18"/>
      <c r="O2" s="18"/>
      <c r="P2" s="18"/>
      <c r="Q2" s="18"/>
      <c r="R2" s="18"/>
      <c r="S2" s="18"/>
      <c r="T2" s="18"/>
      <c r="U2" s="18"/>
      <c r="V2" s="18"/>
      <c r="W2" s="18"/>
      <c r="X2" s="18"/>
      <c r="Y2" s="18"/>
      <c r="Z2" s="18"/>
      <c r="AA2" s="18"/>
      <c r="AB2" s="18"/>
      <c r="AC2" s="18"/>
    </row>
    <row r="3" spans="1:29" ht="22.5" customHeight="1">
      <c r="A3" s="583"/>
      <c r="B3" s="584"/>
      <c r="C3" s="584"/>
      <c r="D3" s="585"/>
      <c r="E3" s="221"/>
      <c r="F3" s="586"/>
      <c r="G3" s="587" t="s">
        <v>30</v>
      </c>
      <c r="H3" s="19"/>
      <c r="I3" s="21"/>
      <c r="J3" s="17"/>
      <c r="K3" s="18"/>
      <c r="L3" s="18"/>
      <c r="M3" s="18"/>
      <c r="N3" s="18"/>
      <c r="O3" s="18"/>
      <c r="P3" s="18"/>
      <c r="Q3" s="18"/>
      <c r="R3" s="18"/>
      <c r="S3" s="18"/>
      <c r="T3" s="18"/>
      <c r="U3" s="18"/>
      <c r="V3" s="18"/>
      <c r="W3" s="18"/>
      <c r="X3" s="18"/>
      <c r="Y3" s="18"/>
      <c r="Z3" s="18"/>
      <c r="AA3" s="18"/>
      <c r="AB3" s="18"/>
      <c r="AC3" s="18"/>
    </row>
    <row r="4" spans="1:29" ht="28.5" customHeight="1">
      <c r="A4" s="767" t="s">
        <v>3831</v>
      </c>
      <c r="B4" s="765"/>
      <c r="C4" s="765"/>
      <c r="D4" s="765"/>
      <c r="E4" s="765"/>
      <c r="F4" s="765"/>
      <c r="G4" s="766"/>
      <c r="H4" s="16"/>
      <c r="I4" s="22"/>
      <c r="J4" s="17"/>
      <c r="K4" s="18"/>
      <c r="L4" s="18"/>
      <c r="M4" s="18"/>
      <c r="N4" s="18"/>
      <c r="O4" s="18"/>
      <c r="P4" s="18"/>
      <c r="Q4" s="18"/>
      <c r="R4" s="18"/>
      <c r="S4" s="18"/>
      <c r="T4" s="18"/>
      <c r="U4" s="18"/>
      <c r="V4" s="18"/>
      <c r="W4" s="18"/>
      <c r="X4" s="18"/>
      <c r="Y4" s="18"/>
      <c r="Z4" s="18"/>
      <c r="AA4" s="18"/>
      <c r="AB4" s="18"/>
      <c r="AC4" s="18"/>
    </row>
    <row r="5" spans="1:29" ht="34.5" customHeight="1">
      <c r="A5" s="24" t="s">
        <v>1</v>
      </c>
      <c r="B5" s="24" t="s">
        <v>3832</v>
      </c>
      <c r="C5" s="24" t="s">
        <v>3833</v>
      </c>
      <c r="D5" s="24" t="s">
        <v>3834</v>
      </c>
      <c r="E5" s="23" t="s">
        <v>3835</v>
      </c>
      <c r="F5" s="588" t="s">
        <v>3836</v>
      </c>
      <c r="G5" s="588" t="s">
        <v>3837</v>
      </c>
      <c r="H5" s="26" t="s">
        <v>37</v>
      </c>
      <c r="I5" s="27" t="s">
        <v>38</v>
      </c>
      <c r="J5" s="28"/>
      <c r="K5" s="29"/>
      <c r="L5" s="29"/>
      <c r="M5" s="29"/>
      <c r="N5" s="29"/>
      <c r="O5" s="29"/>
      <c r="P5" s="29"/>
      <c r="Q5" s="29"/>
      <c r="R5" s="29"/>
      <c r="S5" s="29"/>
      <c r="T5" s="29"/>
      <c r="U5" s="29"/>
      <c r="V5" s="29"/>
      <c r="W5" s="29"/>
      <c r="X5" s="29"/>
      <c r="Y5" s="29"/>
      <c r="Z5" s="29"/>
      <c r="AA5" s="29"/>
      <c r="AB5" s="29"/>
      <c r="AC5" s="29"/>
    </row>
    <row r="6" spans="1:29" ht="19.5" customHeight="1">
      <c r="A6" s="589">
        <v>1</v>
      </c>
      <c r="B6" s="589">
        <v>81</v>
      </c>
      <c r="C6" s="589" t="s">
        <v>3838</v>
      </c>
      <c r="D6" s="590">
        <v>43901</v>
      </c>
      <c r="E6" s="591" t="s">
        <v>3839</v>
      </c>
      <c r="F6" s="592" t="s">
        <v>3840</v>
      </c>
      <c r="G6" s="593" t="s">
        <v>3841</v>
      </c>
      <c r="H6" s="81"/>
      <c r="I6" s="81"/>
      <c r="J6" s="35"/>
      <c r="K6" s="36"/>
      <c r="L6" s="36"/>
      <c r="M6" s="36"/>
      <c r="N6" s="36"/>
      <c r="O6" s="36"/>
      <c r="P6" s="36"/>
      <c r="Q6" s="36"/>
      <c r="R6" s="36"/>
      <c r="S6" s="36"/>
      <c r="T6" s="36"/>
      <c r="U6" s="36"/>
      <c r="V6" s="36"/>
      <c r="W6" s="36"/>
      <c r="X6" s="36"/>
      <c r="Y6" s="36"/>
      <c r="Z6" s="36"/>
      <c r="AA6" s="36"/>
      <c r="AB6" s="36"/>
      <c r="AC6" s="36"/>
    </row>
    <row r="7" spans="1:29" ht="24" customHeight="1">
      <c r="A7" s="589">
        <v>2</v>
      </c>
      <c r="B7" s="589">
        <v>2</v>
      </c>
      <c r="C7" s="589" t="s">
        <v>3842</v>
      </c>
      <c r="D7" s="590">
        <v>43901</v>
      </c>
      <c r="E7" s="591" t="s">
        <v>3843</v>
      </c>
      <c r="F7" s="592" t="s">
        <v>3844</v>
      </c>
      <c r="G7" s="593" t="s">
        <v>3845</v>
      </c>
      <c r="H7" s="81"/>
      <c r="I7" s="81"/>
      <c r="J7" s="35"/>
      <c r="K7" s="36"/>
      <c r="L7" s="36"/>
      <c r="M7" s="36"/>
      <c r="N7" s="36"/>
      <c r="O7" s="36"/>
      <c r="P7" s="36"/>
      <c r="Q7" s="36"/>
      <c r="R7" s="36"/>
      <c r="S7" s="36"/>
      <c r="T7" s="36"/>
      <c r="U7" s="36"/>
      <c r="V7" s="36"/>
      <c r="W7" s="36"/>
      <c r="X7" s="36"/>
      <c r="Y7" s="36"/>
      <c r="Z7" s="36"/>
      <c r="AA7" s="36"/>
      <c r="AB7" s="36"/>
      <c r="AC7" s="36"/>
    </row>
    <row r="8" spans="1:29" ht="24" customHeight="1">
      <c r="A8" s="589">
        <v>3</v>
      </c>
      <c r="B8" s="589">
        <v>81</v>
      </c>
      <c r="C8" s="589" t="s">
        <v>3233</v>
      </c>
      <c r="D8" s="590">
        <v>43901</v>
      </c>
      <c r="E8" s="591" t="s">
        <v>3234</v>
      </c>
      <c r="F8" s="592" t="s">
        <v>41</v>
      </c>
      <c r="G8" s="594" t="s">
        <v>3846</v>
      </c>
      <c r="H8" s="81"/>
      <c r="I8" s="81"/>
      <c r="J8" s="35"/>
      <c r="K8" s="36"/>
      <c r="L8" s="36"/>
      <c r="M8" s="36"/>
      <c r="N8" s="36"/>
      <c r="O8" s="36"/>
      <c r="P8" s="36"/>
      <c r="Q8" s="36"/>
      <c r="R8" s="36"/>
      <c r="S8" s="36"/>
      <c r="T8" s="36"/>
      <c r="U8" s="36"/>
      <c r="V8" s="36"/>
      <c r="W8" s="36"/>
      <c r="X8" s="36"/>
      <c r="Y8" s="36"/>
      <c r="Z8" s="36"/>
      <c r="AA8" s="36"/>
      <c r="AB8" s="36"/>
      <c r="AC8" s="36"/>
    </row>
    <row r="9" spans="1:29" ht="36" customHeight="1">
      <c r="A9" s="589">
        <v>5</v>
      </c>
      <c r="B9" s="589">
        <v>84</v>
      </c>
      <c r="C9" s="589" t="s">
        <v>3838</v>
      </c>
      <c r="D9" s="590">
        <v>43902</v>
      </c>
      <c r="E9" s="591" t="s">
        <v>3847</v>
      </c>
      <c r="F9" s="592" t="s">
        <v>3844</v>
      </c>
      <c r="G9" s="593" t="s">
        <v>3848</v>
      </c>
      <c r="H9" s="81"/>
      <c r="I9" s="81"/>
      <c r="J9" s="35"/>
      <c r="K9" s="36"/>
      <c r="L9" s="36"/>
      <c r="M9" s="36"/>
      <c r="N9" s="36"/>
      <c r="O9" s="36"/>
      <c r="P9" s="36"/>
      <c r="Q9" s="36"/>
      <c r="R9" s="36"/>
      <c r="S9" s="36"/>
      <c r="T9" s="36"/>
      <c r="U9" s="36"/>
      <c r="V9" s="36"/>
      <c r="W9" s="36"/>
      <c r="X9" s="36"/>
      <c r="Y9" s="36"/>
      <c r="Z9" s="36"/>
      <c r="AA9" s="36"/>
      <c r="AB9" s="36"/>
      <c r="AC9" s="36"/>
    </row>
    <row r="10" spans="1:29" ht="60" customHeight="1">
      <c r="A10" s="589">
        <v>6</v>
      </c>
      <c r="B10" s="589">
        <v>392</v>
      </c>
      <c r="C10" s="589" t="s">
        <v>3849</v>
      </c>
      <c r="D10" s="590">
        <v>43903</v>
      </c>
      <c r="E10" s="591" t="s">
        <v>3850</v>
      </c>
      <c r="F10" s="592" t="s">
        <v>3851</v>
      </c>
      <c r="G10" s="593" t="s">
        <v>3852</v>
      </c>
      <c r="H10" s="81"/>
      <c r="I10" s="81"/>
      <c r="J10" s="35"/>
      <c r="K10" s="36"/>
      <c r="L10" s="36"/>
      <c r="M10" s="36"/>
      <c r="N10" s="36"/>
      <c r="O10" s="36"/>
      <c r="P10" s="36"/>
      <c r="Q10" s="36"/>
      <c r="R10" s="36"/>
      <c r="S10" s="36"/>
      <c r="T10" s="36"/>
      <c r="U10" s="36"/>
      <c r="V10" s="36"/>
      <c r="W10" s="36"/>
      <c r="X10" s="36"/>
      <c r="Y10" s="36"/>
      <c r="Z10" s="36"/>
      <c r="AA10" s="36"/>
      <c r="AB10" s="36"/>
      <c r="AC10" s="36"/>
    </row>
    <row r="11" spans="1:29" ht="36" customHeight="1">
      <c r="A11" s="589">
        <v>7</v>
      </c>
      <c r="B11" s="589">
        <v>102</v>
      </c>
      <c r="C11" s="589" t="s">
        <v>3849</v>
      </c>
      <c r="D11" s="590">
        <v>43903</v>
      </c>
      <c r="E11" s="591" t="s">
        <v>3853</v>
      </c>
      <c r="F11" s="592" t="s">
        <v>3844</v>
      </c>
      <c r="G11" s="593" t="s">
        <v>3854</v>
      </c>
      <c r="H11" s="81"/>
      <c r="I11" s="81"/>
      <c r="J11" s="35"/>
      <c r="K11" s="36"/>
      <c r="L11" s="36"/>
      <c r="M11" s="36"/>
      <c r="N11" s="36"/>
      <c r="O11" s="36"/>
      <c r="P11" s="36"/>
      <c r="Q11" s="36"/>
      <c r="R11" s="36"/>
      <c r="S11" s="36"/>
      <c r="T11" s="36"/>
      <c r="U11" s="36"/>
      <c r="V11" s="36"/>
      <c r="W11" s="36"/>
      <c r="X11" s="36"/>
      <c r="Y11" s="36"/>
      <c r="Z11" s="36"/>
      <c r="AA11" s="36"/>
      <c r="AB11" s="36"/>
      <c r="AC11" s="36"/>
    </row>
    <row r="12" spans="1:29" ht="24" customHeight="1">
      <c r="A12" s="589">
        <v>8</v>
      </c>
      <c r="B12" s="589">
        <v>5</v>
      </c>
      <c r="C12" s="589" t="s">
        <v>3842</v>
      </c>
      <c r="D12" s="590">
        <v>43903</v>
      </c>
      <c r="E12" s="591" t="s">
        <v>3855</v>
      </c>
      <c r="F12" s="592" t="s">
        <v>3844</v>
      </c>
      <c r="G12" s="593" t="s">
        <v>3856</v>
      </c>
      <c r="H12" s="81"/>
      <c r="I12" s="81"/>
      <c r="J12" s="74"/>
      <c r="K12" s="36"/>
      <c r="L12" s="36"/>
      <c r="M12" s="36"/>
      <c r="N12" s="36"/>
      <c r="O12" s="36"/>
      <c r="P12" s="36"/>
      <c r="Q12" s="36"/>
      <c r="R12" s="36"/>
      <c r="S12" s="36"/>
      <c r="T12" s="36"/>
      <c r="U12" s="36"/>
      <c r="V12" s="36"/>
      <c r="W12" s="36"/>
      <c r="X12" s="36"/>
      <c r="Y12" s="36"/>
      <c r="Z12" s="36"/>
      <c r="AA12" s="36"/>
      <c r="AB12" s="36"/>
      <c r="AC12" s="36"/>
    </row>
    <row r="13" spans="1:29" ht="25.5" customHeight="1">
      <c r="A13" s="589">
        <v>9</v>
      </c>
      <c r="B13" s="589">
        <v>9</v>
      </c>
      <c r="C13" s="589" t="s">
        <v>3842</v>
      </c>
      <c r="D13" s="590">
        <v>43903</v>
      </c>
      <c r="E13" s="591" t="s">
        <v>3857</v>
      </c>
      <c r="F13" s="592" t="s">
        <v>3844</v>
      </c>
      <c r="G13" s="593" t="s">
        <v>3858</v>
      </c>
      <c r="H13" s="81"/>
      <c r="I13" s="81"/>
      <c r="J13" s="35"/>
      <c r="K13" s="36"/>
      <c r="L13" s="36"/>
      <c r="M13" s="36"/>
      <c r="N13" s="36"/>
      <c r="O13" s="36"/>
      <c r="P13" s="36"/>
      <c r="Q13" s="36"/>
      <c r="R13" s="36"/>
      <c r="S13" s="36"/>
      <c r="T13" s="36"/>
      <c r="U13" s="36"/>
      <c r="V13" s="36"/>
      <c r="W13" s="36"/>
      <c r="X13" s="36"/>
      <c r="Y13" s="36"/>
      <c r="Z13" s="36"/>
      <c r="AA13" s="36"/>
      <c r="AB13" s="36"/>
      <c r="AC13" s="36"/>
    </row>
    <row r="14" spans="1:29" ht="36" customHeight="1">
      <c r="A14" s="589">
        <v>10</v>
      </c>
      <c r="B14" s="589">
        <v>5</v>
      </c>
      <c r="C14" s="589" t="s">
        <v>3842</v>
      </c>
      <c r="D14" s="590">
        <v>43905</v>
      </c>
      <c r="E14" s="591" t="s">
        <v>3859</v>
      </c>
      <c r="F14" s="592" t="s">
        <v>3844</v>
      </c>
      <c r="G14" s="593" t="s">
        <v>3860</v>
      </c>
      <c r="H14" s="81"/>
      <c r="I14" s="81"/>
      <c r="J14" s="35"/>
      <c r="K14" s="36"/>
      <c r="L14" s="36"/>
      <c r="M14" s="36"/>
      <c r="N14" s="36"/>
      <c r="O14" s="36"/>
      <c r="P14" s="36"/>
      <c r="Q14" s="36"/>
      <c r="R14" s="36"/>
      <c r="S14" s="36"/>
      <c r="T14" s="36"/>
      <c r="U14" s="36"/>
      <c r="V14" s="36"/>
      <c r="W14" s="36"/>
      <c r="X14" s="36"/>
      <c r="Y14" s="36"/>
      <c r="Z14" s="36"/>
      <c r="AA14" s="36"/>
      <c r="AB14" s="36"/>
      <c r="AC14" s="36"/>
    </row>
    <row r="15" spans="1:29" ht="58.5" customHeight="1">
      <c r="A15" s="589">
        <v>11</v>
      </c>
      <c r="B15" s="589">
        <v>15</v>
      </c>
      <c r="C15" s="589" t="s">
        <v>3842</v>
      </c>
      <c r="D15" s="590">
        <v>43905</v>
      </c>
      <c r="E15" s="591" t="s">
        <v>3861</v>
      </c>
      <c r="F15" s="592" t="s">
        <v>3844</v>
      </c>
      <c r="G15" s="593" t="s">
        <v>3862</v>
      </c>
      <c r="H15" s="81"/>
      <c r="I15" s="81"/>
      <c r="J15" s="35"/>
      <c r="K15" s="36"/>
      <c r="L15" s="36"/>
      <c r="M15" s="36"/>
      <c r="N15" s="36"/>
      <c r="O15" s="36"/>
      <c r="P15" s="36"/>
      <c r="Q15" s="36"/>
      <c r="R15" s="36"/>
      <c r="S15" s="36"/>
      <c r="T15" s="36"/>
      <c r="U15" s="36"/>
      <c r="V15" s="36"/>
      <c r="W15" s="36"/>
      <c r="X15" s="36"/>
      <c r="Y15" s="36"/>
      <c r="Z15" s="36"/>
      <c r="AA15" s="36"/>
      <c r="AB15" s="36"/>
      <c r="AC15" s="36"/>
    </row>
    <row r="16" spans="1:29" ht="30.75" customHeight="1">
      <c r="A16" s="589">
        <v>12</v>
      </c>
      <c r="B16" s="589">
        <v>87</v>
      </c>
      <c r="C16" s="589" t="s">
        <v>3838</v>
      </c>
      <c r="D16" s="590">
        <v>43906</v>
      </c>
      <c r="E16" s="591" t="s">
        <v>3863</v>
      </c>
      <c r="F16" s="592" t="s">
        <v>3844</v>
      </c>
      <c r="G16" s="593" t="s">
        <v>3864</v>
      </c>
      <c r="H16" s="81"/>
      <c r="I16" s="81"/>
      <c r="J16" s="35"/>
      <c r="K16" s="36"/>
      <c r="L16" s="36"/>
      <c r="M16" s="36"/>
      <c r="N16" s="36"/>
      <c r="O16" s="36"/>
      <c r="P16" s="36"/>
      <c r="Q16" s="36"/>
      <c r="R16" s="36"/>
      <c r="S16" s="36"/>
      <c r="T16" s="36"/>
      <c r="U16" s="36"/>
      <c r="V16" s="36"/>
      <c r="W16" s="36"/>
      <c r="X16" s="36"/>
      <c r="Y16" s="36"/>
      <c r="Z16" s="36"/>
      <c r="AA16" s="36"/>
      <c r="AB16" s="36"/>
      <c r="AC16" s="36"/>
    </row>
    <row r="17" spans="1:29" ht="54" customHeight="1">
      <c r="A17" s="589">
        <v>13</v>
      </c>
      <c r="B17" s="589">
        <v>397</v>
      </c>
      <c r="C17" s="589" t="s">
        <v>3849</v>
      </c>
      <c r="D17" s="590">
        <v>43906</v>
      </c>
      <c r="E17" s="591" t="s">
        <v>3865</v>
      </c>
      <c r="F17" s="592" t="s">
        <v>3866</v>
      </c>
      <c r="G17" s="593" t="s">
        <v>3867</v>
      </c>
      <c r="H17" s="81"/>
      <c r="I17" s="81"/>
      <c r="J17" s="35"/>
      <c r="K17" s="36"/>
      <c r="L17" s="36"/>
      <c r="M17" s="36"/>
      <c r="N17" s="36"/>
      <c r="O17" s="36"/>
      <c r="P17" s="36"/>
      <c r="Q17" s="36"/>
      <c r="R17" s="36"/>
      <c r="S17" s="36"/>
      <c r="T17" s="36"/>
      <c r="U17" s="36"/>
      <c r="V17" s="36"/>
      <c r="W17" s="36"/>
      <c r="X17" s="36"/>
      <c r="Y17" s="36"/>
      <c r="Z17" s="36"/>
      <c r="AA17" s="36"/>
      <c r="AB17" s="36"/>
      <c r="AC17" s="36"/>
    </row>
    <row r="18" spans="1:29" ht="54" customHeight="1">
      <c r="A18" s="589">
        <v>14</v>
      </c>
      <c r="B18" s="589">
        <v>187</v>
      </c>
      <c r="C18" s="589" t="s">
        <v>3849</v>
      </c>
      <c r="D18" s="590">
        <v>43906</v>
      </c>
      <c r="E18" s="591" t="s">
        <v>3868</v>
      </c>
      <c r="F18" s="592" t="s">
        <v>3844</v>
      </c>
      <c r="G18" s="593" t="s">
        <v>3869</v>
      </c>
      <c r="H18" s="81"/>
      <c r="I18" s="81"/>
      <c r="J18" s="35"/>
      <c r="K18" s="36"/>
      <c r="L18" s="36"/>
      <c r="M18" s="36"/>
      <c r="N18" s="36"/>
      <c r="O18" s="36"/>
      <c r="P18" s="36"/>
      <c r="Q18" s="36"/>
      <c r="R18" s="36"/>
      <c r="S18" s="36"/>
      <c r="T18" s="36"/>
      <c r="U18" s="36"/>
      <c r="V18" s="36"/>
      <c r="W18" s="36"/>
      <c r="X18" s="36"/>
      <c r="Y18" s="36"/>
      <c r="Z18" s="36"/>
      <c r="AA18" s="36"/>
      <c r="AB18" s="36"/>
      <c r="AC18" s="36"/>
    </row>
    <row r="19" spans="1:29" ht="64.5" customHeight="1">
      <c r="A19" s="589">
        <v>15</v>
      </c>
      <c r="B19" s="589">
        <v>76</v>
      </c>
      <c r="C19" s="589" t="s">
        <v>3849</v>
      </c>
      <c r="D19" s="590">
        <v>43906</v>
      </c>
      <c r="E19" s="591" t="s">
        <v>3870</v>
      </c>
      <c r="F19" s="592" t="s">
        <v>3844</v>
      </c>
      <c r="G19" s="593" t="s">
        <v>3871</v>
      </c>
      <c r="H19" s="81"/>
      <c r="I19" s="81"/>
      <c r="J19" s="35"/>
      <c r="K19" s="36"/>
      <c r="L19" s="36"/>
      <c r="M19" s="36"/>
      <c r="N19" s="36"/>
      <c r="O19" s="36"/>
      <c r="P19" s="36"/>
      <c r="Q19" s="36"/>
      <c r="R19" s="36"/>
      <c r="S19" s="36"/>
      <c r="T19" s="36"/>
      <c r="U19" s="36"/>
      <c r="V19" s="36"/>
      <c r="W19" s="36"/>
      <c r="X19" s="36"/>
      <c r="Y19" s="36"/>
      <c r="Z19" s="36"/>
      <c r="AA19" s="36"/>
      <c r="AB19" s="36"/>
      <c r="AC19" s="36"/>
    </row>
    <row r="20" spans="1:29" ht="24" customHeight="1">
      <c r="A20" s="589">
        <v>16</v>
      </c>
      <c r="B20" s="589">
        <v>31</v>
      </c>
      <c r="C20" s="589" t="s">
        <v>3842</v>
      </c>
      <c r="D20" s="590">
        <v>43906</v>
      </c>
      <c r="E20" s="591" t="s">
        <v>3872</v>
      </c>
      <c r="F20" s="592" t="s">
        <v>3873</v>
      </c>
      <c r="G20" s="593" t="s">
        <v>3874</v>
      </c>
      <c r="H20" s="81"/>
      <c r="I20" s="81"/>
      <c r="J20" s="35"/>
      <c r="K20" s="36"/>
      <c r="L20" s="36"/>
      <c r="M20" s="36"/>
      <c r="N20" s="36"/>
      <c r="O20" s="36"/>
      <c r="P20" s="36"/>
      <c r="Q20" s="36"/>
      <c r="R20" s="36"/>
      <c r="S20" s="36"/>
      <c r="T20" s="36"/>
      <c r="U20" s="36"/>
      <c r="V20" s="36"/>
      <c r="W20" s="36"/>
      <c r="X20" s="36"/>
      <c r="Y20" s="36"/>
      <c r="Z20" s="36"/>
      <c r="AA20" s="36"/>
      <c r="AB20" s="36"/>
      <c r="AC20" s="36"/>
    </row>
    <row r="21" spans="1:29" ht="36" customHeight="1">
      <c r="A21" s="589">
        <v>17</v>
      </c>
      <c r="B21" s="589">
        <v>87</v>
      </c>
      <c r="C21" s="589" t="s">
        <v>3235</v>
      </c>
      <c r="D21" s="590">
        <v>43906</v>
      </c>
      <c r="E21" s="591" t="s">
        <v>3236</v>
      </c>
      <c r="F21" s="592" t="s">
        <v>41</v>
      </c>
      <c r="G21" s="594" t="s">
        <v>3875</v>
      </c>
      <c r="H21" s="81"/>
      <c r="I21" s="81"/>
      <c r="J21" s="35"/>
      <c r="K21" s="36"/>
      <c r="L21" s="36"/>
      <c r="M21" s="36"/>
      <c r="N21" s="36"/>
      <c r="O21" s="36"/>
      <c r="P21" s="36"/>
      <c r="Q21" s="36"/>
      <c r="R21" s="36"/>
      <c r="S21" s="36"/>
      <c r="T21" s="36"/>
      <c r="U21" s="36"/>
      <c r="V21" s="36"/>
      <c r="W21" s="36"/>
      <c r="X21" s="36"/>
      <c r="Y21" s="36"/>
      <c r="Z21" s="36"/>
      <c r="AA21" s="36"/>
      <c r="AB21" s="36"/>
      <c r="AC21" s="36"/>
    </row>
    <row r="22" spans="1:29" ht="48" customHeight="1">
      <c r="A22" s="589">
        <v>19</v>
      </c>
      <c r="B22" s="589">
        <v>769</v>
      </c>
      <c r="C22" s="589" t="s">
        <v>3849</v>
      </c>
      <c r="D22" s="590">
        <v>43907</v>
      </c>
      <c r="E22" s="591" t="s">
        <v>3870</v>
      </c>
      <c r="F22" s="592" t="s">
        <v>3844</v>
      </c>
      <c r="G22" s="593" t="s">
        <v>3876</v>
      </c>
      <c r="H22" s="81"/>
      <c r="I22" s="81"/>
      <c r="J22" s="35"/>
      <c r="K22" s="36"/>
      <c r="L22" s="36"/>
      <c r="M22" s="36"/>
      <c r="N22" s="36"/>
      <c r="O22" s="36"/>
      <c r="P22" s="36"/>
      <c r="Q22" s="36"/>
      <c r="R22" s="36"/>
      <c r="S22" s="36"/>
      <c r="T22" s="36"/>
      <c r="U22" s="36"/>
      <c r="V22" s="36"/>
      <c r="W22" s="36"/>
      <c r="X22" s="36"/>
      <c r="Y22" s="36"/>
      <c r="Z22" s="36"/>
      <c r="AA22" s="36"/>
      <c r="AB22" s="36"/>
      <c r="AC22" s="36"/>
    </row>
    <row r="23" spans="1:29" ht="24" customHeight="1">
      <c r="A23" s="589">
        <v>20</v>
      </c>
      <c r="B23" s="589">
        <v>30</v>
      </c>
      <c r="C23" s="589" t="s">
        <v>3842</v>
      </c>
      <c r="D23" s="590">
        <v>43907</v>
      </c>
      <c r="E23" s="591" t="s">
        <v>3877</v>
      </c>
      <c r="F23" s="592" t="s">
        <v>3844</v>
      </c>
      <c r="G23" s="593" t="s">
        <v>3878</v>
      </c>
      <c r="H23" s="81"/>
      <c r="I23" s="81"/>
      <c r="J23" s="35"/>
      <c r="K23" s="36"/>
      <c r="L23" s="36"/>
      <c r="M23" s="36"/>
      <c r="N23" s="36"/>
      <c r="O23" s="36"/>
      <c r="P23" s="36"/>
      <c r="Q23" s="36"/>
      <c r="R23" s="36"/>
      <c r="S23" s="36"/>
      <c r="T23" s="36"/>
      <c r="U23" s="36"/>
      <c r="V23" s="36"/>
      <c r="W23" s="36"/>
      <c r="X23" s="36"/>
      <c r="Y23" s="36"/>
      <c r="Z23" s="36"/>
      <c r="AA23" s="36"/>
      <c r="AB23" s="36"/>
      <c r="AC23" s="36"/>
    </row>
    <row r="24" spans="1:29" ht="24" customHeight="1">
      <c r="A24" s="589">
        <v>21</v>
      </c>
      <c r="B24" s="589">
        <v>6</v>
      </c>
      <c r="C24" s="589" t="s">
        <v>3842</v>
      </c>
      <c r="D24" s="590">
        <v>43907</v>
      </c>
      <c r="E24" s="591" t="s">
        <v>3879</v>
      </c>
      <c r="F24" s="592" t="s">
        <v>3844</v>
      </c>
      <c r="G24" s="593" t="s">
        <v>3880</v>
      </c>
      <c r="H24" s="81"/>
      <c r="I24" s="81"/>
      <c r="J24" s="35"/>
      <c r="K24" s="36"/>
      <c r="L24" s="36"/>
      <c r="M24" s="36"/>
      <c r="N24" s="36"/>
      <c r="O24" s="36"/>
      <c r="P24" s="36"/>
      <c r="Q24" s="36"/>
      <c r="R24" s="36"/>
      <c r="S24" s="36"/>
      <c r="T24" s="36"/>
      <c r="U24" s="36"/>
      <c r="V24" s="36"/>
      <c r="W24" s="36"/>
      <c r="X24" s="36"/>
      <c r="Y24" s="36"/>
      <c r="Z24" s="36"/>
      <c r="AA24" s="36"/>
      <c r="AB24" s="36"/>
      <c r="AC24" s="36"/>
    </row>
    <row r="25" spans="1:29" ht="36" customHeight="1">
      <c r="A25" s="589">
        <v>22</v>
      </c>
      <c r="B25" s="589">
        <v>90</v>
      </c>
      <c r="C25" s="589" t="s">
        <v>3838</v>
      </c>
      <c r="D25" s="590">
        <v>43909</v>
      </c>
      <c r="E25" s="591" t="s">
        <v>3881</v>
      </c>
      <c r="F25" s="592" t="s">
        <v>3882</v>
      </c>
      <c r="G25" s="593" t="s">
        <v>3883</v>
      </c>
      <c r="H25" s="81"/>
      <c r="I25" s="81"/>
      <c r="J25" s="35"/>
      <c r="K25" s="36"/>
      <c r="L25" s="36"/>
      <c r="M25" s="36"/>
      <c r="N25" s="36"/>
      <c r="O25" s="36"/>
      <c r="P25" s="36"/>
      <c r="Q25" s="36"/>
      <c r="R25" s="36"/>
      <c r="S25" s="36"/>
      <c r="T25" s="36"/>
      <c r="U25" s="36"/>
      <c r="V25" s="36"/>
      <c r="W25" s="36"/>
      <c r="X25" s="36"/>
      <c r="Y25" s="36"/>
      <c r="Z25" s="36"/>
      <c r="AA25" s="36"/>
      <c r="AB25" s="36"/>
      <c r="AC25" s="36"/>
    </row>
    <row r="26" spans="1:29" ht="24" customHeight="1">
      <c r="A26" s="589">
        <v>23</v>
      </c>
      <c r="B26" s="589">
        <v>139</v>
      </c>
      <c r="C26" s="589" t="s">
        <v>3849</v>
      </c>
      <c r="D26" s="590">
        <v>43909</v>
      </c>
      <c r="E26" s="591" t="s">
        <v>3884</v>
      </c>
      <c r="F26" s="592" t="s">
        <v>3885</v>
      </c>
      <c r="G26" s="593" t="s">
        <v>3886</v>
      </c>
      <c r="H26" s="81"/>
      <c r="I26" s="81"/>
      <c r="J26" s="35"/>
      <c r="K26" s="36"/>
      <c r="L26" s="36"/>
      <c r="M26" s="36"/>
      <c r="N26" s="36"/>
      <c r="O26" s="36"/>
      <c r="P26" s="36"/>
      <c r="Q26" s="36"/>
      <c r="R26" s="36"/>
      <c r="S26" s="36"/>
      <c r="T26" s="36"/>
      <c r="U26" s="36"/>
      <c r="V26" s="36"/>
      <c r="W26" s="36"/>
      <c r="X26" s="36"/>
      <c r="Y26" s="36"/>
      <c r="Z26" s="36"/>
      <c r="AA26" s="36"/>
      <c r="AB26" s="36"/>
      <c r="AC26" s="36"/>
    </row>
    <row r="27" spans="1:29" ht="60" customHeight="1">
      <c r="A27" s="589">
        <v>24</v>
      </c>
      <c r="B27" s="589">
        <v>140</v>
      </c>
      <c r="C27" s="589" t="s">
        <v>3849</v>
      </c>
      <c r="D27" s="590">
        <v>43909</v>
      </c>
      <c r="E27" s="591" t="s">
        <v>696</v>
      </c>
      <c r="F27" s="592" t="s">
        <v>3887</v>
      </c>
      <c r="G27" s="593" t="s">
        <v>3888</v>
      </c>
      <c r="H27" s="81"/>
      <c r="I27" s="81"/>
      <c r="J27" s="35"/>
      <c r="K27" s="36"/>
      <c r="L27" s="36"/>
      <c r="M27" s="36"/>
      <c r="N27" s="36"/>
      <c r="O27" s="36"/>
      <c r="P27" s="36"/>
      <c r="Q27" s="36"/>
      <c r="R27" s="36"/>
      <c r="S27" s="36"/>
      <c r="T27" s="36"/>
      <c r="U27" s="36"/>
      <c r="V27" s="36"/>
      <c r="W27" s="36"/>
      <c r="X27" s="36"/>
      <c r="Y27" s="36"/>
      <c r="Z27" s="36"/>
      <c r="AA27" s="36"/>
      <c r="AB27" s="36"/>
      <c r="AC27" s="36"/>
    </row>
    <row r="28" spans="1:29" ht="46.5" customHeight="1">
      <c r="A28" s="589">
        <v>25</v>
      </c>
      <c r="B28" s="589">
        <v>90</v>
      </c>
      <c r="C28" s="589" t="s">
        <v>3237</v>
      </c>
      <c r="D28" s="590">
        <v>43909</v>
      </c>
      <c r="E28" s="591" t="s">
        <v>3238</v>
      </c>
      <c r="F28" s="592" t="s">
        <v>41</v>
      </c>
      <c r="G28" s="594" t="s">
        <v>3889</v>
      </c>
      <c r="H28" s="81"/>
      <c r="I28" s="81"/>
      <c r="J28" s="35"/>
      <c r="K28" s="36"/>
      <c r="L28" s="36"/>
      <c r="M28" s="36"/>
      <c r="N28" s="36"/>
      <c r="O28" s="36"/>
      <c r="P28" s="36"/>
      <c r="Q28" s="36"/>
      <c r="R28" s="36"/>
      <c r="S28" s="36"/>
      <c r="T28" s="36"/>
      <c r="U28" s="36"/>
      <c r="V28" s="36"/>
      <c r="W28" s="36"/>
      <c r="X28" s="36"/>
      <c r="Y28" s="36"/>
      <c r="Z28" s="36"/>
      <c r="AA28" s="36"/>
      <c r="AB28" s="36"/>
      <c r="AC28" s="36"/>
    </row>
    <row r="29" spans="1:29" ht="33" customHeight="1">
      <c r="A29" s="589">
        <v>27</v>
      </c>
      <c r="B29" s="589">
        <v>159</v>
      </c>
      <c r="C29" s="589" t="s">
        <v>3849</v>
      </c>
      <c r="D29" s="590">
        <v>43912</v>
      </c>
      <c r="E29" s="591" t="s">
        <v>3890</v>
      </c>
      <c r="F29" s="592" t="s">
        <v>3844</v>
      </c>
      <c r="G29" s="593" t="s">
        <v>3891</v>
      </c>
      <c r="H29" s="81"/>
      <c r="I29" s="81"/>
      <c r="J29" s="35"/>
      <c r="K29" s="36"/>
      <c r="L29" s="36"/>
      <c r="M29" s="36"/>
      <c r="N29" s="36"/>
      <c r="O29" s="36"/>
      <c r="P29" s="36"/>
      <c r="Q29" s="36"/>
      <c r="R29" s="36"/>
      <c r="S29" s="36"/>
      <c r="T29" s="36"/>
      <c r="U29" s="36"/>
      <c r="V29" s="36"/>
      <c r="W29" s="36"/>
      <c r="X29" s="36"/>
      <c r="Y29" s="36"/>
      <c r="Z29" s="36"/>
      <c r="AA29" s="36"/>
      <c r="AB29" s="36"/>
      <c r="AC29" s="36"/>
    </row>
    <row r="30" spans="1:29" ht="24" customHeight="1">
      <c r="A30" s="589">
        <v>28</v>
      </c>
      <c r="B30" s="589">
        <v>91</v>
      </c>
      <c r="C30" s="589" t="s">
        <v>3239</v>
      </c>
      <c r="D30" s="590">
        <v>43912</v>
      </c>
      <c r="E30" s="591" t="s">
        <v>3240</v>
      </c>
      <c r="F30" s="592" t="s">
        <v>41</v>
      </c>
      <c r="G30" s="594" t="s">
        <v>3892</v>
      </c>
      <c r="H30" s="81"/>
      <c r="I30" s="81"/>
      <c r="J30" s="35"/>
      <c r="K30" s="36"/>
      <c r="L30" s="36"/>
      <c r="M30" s="36"/>
      <c r="N30" s="36"/>
      <c r="O30" s="36"/>
      <c r="P30" s="36"/>
      <c r="Q30" s="36"/>
      <c r="R30" s="36"/>
      <c r="S30" s="36"/>
      <c r="T30" s="36"/>
      <c r="U30" s="36"/>
      <c r="V30" s="36"/>
      <c r="W30" s="36"/>
      <c r="X30" s="36"/>
      <c r="Y30" s="36"/>
      <c r="Z30" s="36"/>
      <c r="AA30" s="36"/>
      <c r="AB30" s="36"/>
      <c r="AC30" s="36"/>
    </row>
    <row r="31" spans="1:29" ht="60" customHeight="1">
      <c r="A31" s="589">
        <v>30</v>
      </c>
      <c r="B31" s="589">
        <v>141</v>
      </c>
      <c r="C31" s="589" t="s">
        <v>3849</v>
      </c>
      <c r="D31" s="590">
        <v>43914</v>
      </c>
      <c r="E31" s="591" t="s">
        <v>3893</v>
      </c>
      <c r="F31" s="592" t="s">
        <v>3887</v>
      </c>
      <c r="G31" s="593" t="s">
        <v>3894</v>
      </c>
      <c r="H31" s="81"/>
      <c r="I31" s="81"/>
      <c r="J31" s="35"/>
      <c r="K31" s="36"/>
      <c r="L31" s="36"/>
      <c r="M31" s="36"/>
      <c r="N31" s="36"/>
      <c r="O31" s="36"/>
      <c r="P31" s="36"/>
      <c r="Q31" s="36"/>
      <c r="R31" s="36"/>
      <c r="S31" s="36"/>
      <c r="T31" s="36"/>
      <c r="U31" s="36"/>
      <c r="V31" s="36"/>
      <c r="W31" s="36"/>
      <c r="X31" s="36"/>
      <c r="Y31" s="36"/>
      <c r="Z31" s="36"/>
      <c r="AA31" s="36"/>
      <c r="AB31" s="36"/>
      <c r="AC31" s="36"/>
    </row>
    <row r="32" spans="1:29" ht="24" customHeight="1">
      <c r="A32" s="589">
        <v>31</v>
      </c>
      <c r="B32" s="589">
        <v>116</v>
      </c>
      <c r="C32" s="589" t="s">
        <v>3849</v>
      </c>
      <c r="D32" s="590">
        <v>43914</v>
      </c>
      <c r="E32" s="591" t="s">
        <v>3895</v>
      </c>
      <c r="F32" s="592" t="s">
        <v>3844</v>
      </c>
      <c r="G32" s="593" t="s">
        <v>3896</v>
      </c>
      <c r="H32" s="81"/>
      <c r="I32" s="81"/>
      <c r="J32" s="35"/>
      <c r="K32" s="36"/>
      <c r="L32" s="36"/>
      <c r="M32" s="36"/>
      <c r="N32" s="36"/>
      <c r="O32" s="36"/>
      <c r="P32" s="36"/>
      <c r="Q32" s="36"/>
      <c r="R32" s="36"/>
      <c r="S32" s="36"/>
      <c r="T32" s="36"/>
      <c r="U32" s="36"/>
      <c r="V32" s="36"/>
      <c r="W32" s="36"/>
      <c r="X32" s="36"/>
      <c r="Y32" s="36"/>
      <c r="Z32" s="36"/>
      <c r="AA32" s="36"/>
      <c r="AB32" s="36"/>
      <c r="AC32" s="36"/>
    </row>
    <row r="33" spans="1:29" ht="36" customHeight="1">
      <c r="A33" s="589">
        <v>32</v>
      </c>
      <c r="B33" s="589">
        <v>92</v>
      </c>
      <c r="C33" s="589" t="s">
        <v>3241</v>
      </c>
      <c r="D33" s="590">
        <v>43914</v>
      </c>
      <c r="E33" s="591" t="s">
        <v>3242</v>
      </c>
      <c r="F33" s="592" t="s">
        <v>41</v>
      </c>
      <c r="G33" s="593" t="s">
        <v>3897</v>
      </c>
      <c r="H33" s="81"/>
      <c r="I33" s="81"/>
      <c r="J33" s="35"/>
      <c r="K33" s="36"/>
      <c r="L33" s="36"/>
      <c r="M33" s="36"/>
      <c r="N33" s="36"/>
      <c r="O33" s="36"/>
      <c r="P33" s="36"/>
      <c r="Q33" s="36"/>
      <c r="R33" s="36"/>
      <c r="S33" s="36"/>
      <c r="T33" s="36"/>
      <c r="U33" s="36"/>
      <c r="V33" s="36"/>
      <c r="W33" s="36"/>
      <c r="X33" s="36"/>
      <c r="Y33" s="36"/>
      <c r="Z33" s="36"/>
      <c r="AA33" s="36"/>
      <c r="AB33" s="36"/>
      <c r="AC33" s="36"/>
    </row>
    <row r="34" spans="1:29" ht="36" customHeight="1">
      <c r="A34" s="589">
        <v>33</v>
      </c>
      <c r="B34" s="589">
        <v>92</v>
      </c>
      <c r="C34" s="595" t="s">
        <v>3241</v>
      </c>
      <c r="D34" s="596">
        <v>43914</v>
      </c>
      <c r="E34" s="591" t="s">
        <v>3242</v>
      </c>
      <c r="F34" s="592" t="s">
        <v>41</v>
      </c>
      <c r="G34" s="597" t="s">
        <v>41</v>
      </c>
      <c r="H34" s="81"/>
      <c r="I34" s="81"/>
      <c r="J34" s="35"/>
      <c r="K34" s="36"/>
      <c r="L34" s="36"/>
      <c r="M34" s="36"/>
      <c r="N34" s="36"/>
      <c r="O34" s="36"/>
      <c r="P34" s="36"/>
      <c r="Q34" s="36"/>
      <c r="R34" s="36"/>
      <c r="S34" s="36"/>
      <c r="T34" s="36"/>
      <c r="U34" s="36"/>
      <c r="V34" s="36"/>
      <c r="W34" s="36"/>
      <c r="X34" s="36"/>
      <c r="Y34" s="36"/>
      <c r="Z34" s="36"/>
      <c r="AA34" s="36"/>
      <c r="AB34" s="36"/>
      <c r="AC34" s="36"/>
    </row>
    <row r="35" spans="1:29" ht="36" customHeight="1">
      <c r="A35" s="589">
        <v>34</v>
      </c>
      <c r="B35" s="589">
        <v>93</v>
      </c>
      <c r="C35" s="589" t="s">
        <v>3838</v>
      </c>
      <c r="D35" s="590">
        <v>43915</v>
      </c>
      <c r="E35" s="591" t="s">
        <v>3898</v>
      </c>
      <c r="F35" s="592" t="s">
        <v>3899</v>
      </c>
      <c r="G35" s="593" t="s">
        <v>3900</v>
      </c>
      <c r="H35" s="81"/>
      <c r="I35" s="81"/>
      <c r="J35" s="35"/>
      <c r="K35" s="36"/>
      <c r="L35" s="36"/>
      <c r="M35" s="36"/>
      <c r="N35" s="36"/>
      <c r="O35" s="36"/>
      <c r="P35" s="36"/>
      <c r="Q35" s="36"/>
      <c r="R35" s="36"/>
      <c r="S35" s="36"/>
      <c r="T35" s="36"/>
      <c r="U35" s="36"/>
      <c r="V35" s="36"/>
      <c r="W35" s="36"/>
      <c r="X35" s="36"/>
      <c r="Y35" s="36"/>
      <c r="Z35" s="36"/>
      <c r="AA35" s="36"/>
      <c r="AB35" s="36"/>
      <c r="AC35" s="36"/>
    </row>
    <row r="36" spans="1:29" ht="24" customHeight="1">
      <c r="A36" s="589">
        <v>35</v>
      </c>
      <c r="B36" s="589">
        <v>93</v>
      </c>
      <c r="C36" s="589" t="s">
        <v>3243</v>
      </c>
      <c r="D36" s="590">
        <v>43915</v>
      </c>
      <c r="E36" s="591" t="s">
        <v>3244</v>
      </c>
      <c r="F36" s="592" t="s">
        <v>41</v>
      </c>
      <c r="G36" s="594" t="s">
        <v>3901</v>
      </c>
      <c r="H36" s="81"/>
      <c r="I36" s="81"/>
      <c r="J36" s="35"/>
      <c r="K36" s="36"/>
      <c r="L36" s="36"/>
      <c r="M36" s="36"/>
      <c r="N36" s="36"/>
      <c r="O36" s="36"/>
      <c r="P36" s="36"/>
      <c r="Q36" s="36"/>
      <c r="R36" s="36"/>
      <c r="S36" s="36"/>
      <c r="T36" s="36"/>
      <c r="U36" s="36"/>
      <c r="V36" s="36"/>
      <c r="W36" s="36"/>
      <c r="X36" s="36"/>
      <c r="Y36" s="36"/>
      <c r="Z36" s="36"/>
      <c r="AA36" s="36"/>
      <c r="AB36" s="36"/>
      <c r="AC36" s="36"/>
    </row>
    <row r="37" spans="1:29" ht="24" customHeight="1">
      <c r="A37" s="589">
        <v>37</v>
      </c>
      <c r="B37" s="589">
        <v>156</v>
      </c>
      <c r="C37" s="589" t="s">
        <v>3849</v>
      </c>
      <c r="D37" s="590">
        <v>43920</v>
      </c>
      <c r="E37" s="591" t="s">
        <v>3902</v>
      </c>
      <c r="F37" s="592" t="s">
        <v>3844</v>
      </c>
      <c r="G37" s="593" t="s">
        <v>3903</v>
      </c>
      <c r="H37" s="81"/>
      <c r="I37" s="81"/>
      <c r="J37" s="35"/>
      <c r="K37" s="36"/>
      <c r="L37" s="36"/>
      <c r="M37" s="36"/>
      <c r="N37" s="36"/>
      <c r="O37" s="36"/>
      <c r="P37" s="36"/>
      <c r="Q37" s="36"/>
      <c r="R37" s="36"/>
      <c r="S37" s="36"/>
      <c r="T37" s="36"/>
      <c r="U37" s="36"/>
      <c r="V37" s="36"/>
      <c r="W37" s="36"/>
      <c r="X37" s="36"/>
      <c r="Y37" s="36"/>
      <c r="Z37" s="36"/>
      <c r="AA37" s="36"/>
      <c r="AB37" s="36"/>
      <c r="AC37" s="36"/>
    </row>
    <row r="38" spans="1:29" ht="36" customHeight="1">
      <c r="A38" s="589">
        <v>38</v>
      </c>
      <c r="B38" s="589">
        <v>195</v>
      </c>
      <c r="C38" s="589" t="s">
        <v>3849</v>
      </c>
      <c r="D38" s="590">
        <v>43923</v>
      </c>
      <c r="E38" s="591" t="s">
        <v>3904</v>
      </c>
      <c r="F38" s="592" t="s">
        <v>3844</v>
      </c>
      <c r="G38" s="593" t="s">
        <v>3905</v>
      </c>
      <c r="H38" s="81"/>
      <c r="I38" s="81"/>
      <c r="J38" s="35"/>
      <c r="K38" s="36"/>
      <c r="L38" s="36"/>
      <c r="M38" s="36"/>
      <c r="N38" s="36"/>
      <c r="O38" s="36"/>
      <c r="P38" s="36"/>
      <c r="Q38" s="36"/>
      <c r="R38" s="36"/>
      <c r="S38" s="36"/>
      <c r="T38" s="36"/>
      <c r="U38" s="36"/>
      <c r="V38" s="36"/>
      <c r="W38" s="36"/>
      <c r="X38" s="36"/>
      <c r="Y38" s="36"/>
      <c r="Z38" s="36"/>
      <c r="AA38" s="36"/>
      <c r="AB38" s="36"/>
      <c r="AC38" s="36"/>
    </row>
    <row r="39" spans="1:29" ht="24" customHeight="1">
      <c r="A39" s="589">
        <v>39</v>
      </c>
      <c r="B39" s="589">
        <v>10</v>
      </c>
      <c r="C39" s="589" t="s">
        <v>3842</v>
      </c>
      <c r="D39" s="590">
        <v>43924</v>
      </c>
      <c r="E39" s="591" t="s">
        <v>3906</v>
      </c>
      <c r="F39" s="592" t="s">
        <v>3844</v>
      </c>
      <c r="G39" s="593" t="s">
        <v>3907</v>
      </c>
      <c r="H39" s="81"/>
      <c r="I39" s="81"/>
      <c r="J39" s="35"/>
      <c r="K39" s="36"/>
      <c r="L39" s="36"/>
      <c r="M39" s="36"/>
      <c r="N39" s="36"/>
      <c r="O39" s="36"/>
      <c r="P39" s="36"/>
      <c r="Q39" s="36"/>
      <c r="R39" s="36"/>
      <c r="S39" s="36"/>
      <c r="T39" s="36"/>
      <c r="U39" s="36"/>
      <c r="V39" s="36"/>
      <c r="W39" s="36"/>
      <c r="X39" s="36"/>
      <c r="Y39" s="36"/>
      <c r="Z39" s="36"/>
      <c r="AA39" s="36"/>
      <c r="AB39" s="36"/>
      <c r="AC39" s="36"/>
    </row>
    <row r="40" spans="1:29" ht="36" customHeight="1">
      <c r="A40" s="589">
        <v>40</v>
      </c>
      <c r="B40" s="589">
        <v>200</v>
      </c>
      <c r="C40" s="589" t="s">
        <v>3849</v>
      </c>
      <c r="D40" s="590">
        <v>43927</v>
      </c>
      <c r="E40" s="591" t="s">
        <v>3908</v>
      </c>
      <c r="F40" s="592" t="s">
        <v>3909</v>
      </c>
      <c r="G40" s="593" t="s">
        <v>3910</v>
      </c>
      <c r="H40" s="81"/>
      <c r="I40" s="81"/>
      <c r="J40" s="35"/>
      <c r="K40" s="36"/>
      <c r="L40" s="36"/>
      <c r="M40" s="36"/>
      <c r="N40" s="36"/>
      <c r="O40" s="36"/>
      <c r="P40" s="36"/>
      <c r="Q40" s="36"/>
      <c r="R40" s="36"/>
      <c r="S40" s="36"/>
      <c r="T40" s="36"/>
      <c r="U40" s="36"/>
      <c r="V40" s="36"/>
      <c r="W40" s="36"/>
      <c r="X40" s="36"/>
      <c r="Y40" s="36"/>
      <c r="Z40" s="36"/>
      <c r="AA40" s="36"/>
      <c r="AB40" s="36"/>
      <c r="AC40" s="36"/>
    </row>
    <row r="41" spans="1:29" ht="36" customHeight="1">
      <c r="A41" s="589">
        <v>41</v>
      </c>
      <c r="B41" s="589">
        <v>106</v>
      </c>
      <c r="C41" s="589" t="s">
        <v>3838</v>
      </c>
      <c r="D41" s="590">
        <v>43929</v>
      </c>
      <c r="E41" s="591" t="s">
        <v>3911</v>
      </c>
      <c r="F41" s="592" t="s">
        <v>3844</v>
      </c>
      <c r="G41" s="593" t="s">
        <v>3912</v>
      </c>
      <c r="H41" s="81"/>
      <c r="I41" s="81"/>
      <c r="J41" s="35"/>
      <c r="K41" s="36"/>
      <c r="L41" s="36"/>
      <c r="M41" s="36"/>
      <c r="N41" s="36"/>
      <c r="O41" s="36"/>
      <c r="P41" s="36"/>
      <c r="Q41" s="36"/>
      <c r="R41" s="36"/>
      <c r="S41" s="36"/>
      <c r="T41" s="36"/>
      <c r="U41" s="36"/>
      <c r="V41" s="36"/>
      <c r="W41" s="36"/>
      <c r="X41" s="36"/>
      <c r="Y41" s="36"/>
      <c r="Z41" s="36"/>
      <c r="AA41" s="36"/>
      <c r="AB41" s="36"/>
      <c r="AC41" s="36"/>
    </row>
    <row r="42" spans="1:29" ht="24" customHeight="1">
      <c r="A42" s="589">
        <v>42</v>
      </c>
      <c r="B42" s="589">
        <v>145</v>
      </c>
      <c r="C42" s="589" t="s">
        <v>3849</v>
      </c>
      <c r="D42" s="590">
        <v>43934</v>
      </c>
      <c r="E42" s="591" t="s">
        <v>3913</v>
      </c>
      <c r="F42" s="592" t="s">
        <v>3887</v>
      </c>
      <c r="G42" s="593" t="s">
        <v>3914</v>
      </c>
      <c r="H42" s="81"/>
      <c r="I42" s="81"/>
      <c r="J42" s="35"/>
      <c r="K42" s="36"/>
      <c r="L42" s="36"/>
      <c r="M42" s="36"/>
      <c r="N42" s="36"/>
      <c r="O42" s="36"/>
      <c r="P42" s="36"/>
      <c r="Q42" s="36"/>
      <c r="R42" s="36"/>
      <c r="S42" s="36"/>
      <c r="T42" s="36"/>
      <c r="U42" s="36"/>
      <c r="V42" s="36"/>
      <c r="W42" s="36"/>
      <c r="X42" s="36"/>
      <c r="Y42" s="36"/>
      <c r="Z42" s="36"/>
      <c r="AA42" s="36"/>
      <c r="AB42" s="36"/>
      <c r="AC42" s="36"/>
    </row>
    <row r="43" spans="1:29" ht="24" customHeight="1">
      <c r="A43" s="589">
        <v>43</v>
      </c>
      <c r="B43" s="589">
        <v>121</v>
      </c>
      <c r="C43" s="589" t="s">
        <v>3247</v>
      </c>
      <c r="D43" s="590">
        <v>43947</v>
      </c>
      <c r="E43" s="591" t="s">
        <v>3248</v>
      </c>
      <c r="F43" s="592" t="s">
        <v>41</v>
      </c>
      <c r="G43" s="594" t="s">
        <v>3915</v>
      </c>
      <c r="H43" s="81"/>
      <c r="I43" s="81"/>
      <c r="J43" s="35"/>
      <c r="K43" s="36"/>
      <c r="L43" s="36"/>
      <c r="M43" s="36"/>
      <c r="N43" s="36"/>
      <c r="O43" s="36"/>
      <c r="P43" s="36"/>
      <c r="Q43" s="36"/>
      <c r="R43" s="36"/>
      <c r="S43" s="36"/>
      <c r="T43" s="36"/>
      <c r="U43" s="36"/>
      <c r="V43" s="36"/>
      <c r="W43" s="36"/>
      <c r="X43" s="36"/>
      <c r="Y43" s="36"/>
      <c r="Z43" s="36"/>
      <c r="AA43" s="36"/>
      <c r="AB43" s="36"/>
      <c r="AC43" s="36"/>
    </row>
    <row r="44" spans="1:29" ht="24" customHeight="1">
      <c r="A44" s="589">
        <v>44</v>
      </c>
      <c r="B44" s="589">
        <v>43</v>
      </c>
      <c r="C44" s="589" t="s">
        <v>3249</v>
      </c>
      <c r="D44" s="590">
        <v>43957</v>
      </c>
      <c r="E44" s="591" t="s">
        <v>3250</v>
      </c>
      <c r="F44" s="592" t="s">
        <v>41</v>
      </c>
      <c r="G44" s="594" t="s">
        <v>3916</v>
      </c>
      <c r="H44" s="81"/>
      <c r="I44" s="81"/>
      <c r="J44" s="35"/>
      <c r="K44" s="36"/>
      <c r="L44" s="36"/>
      <c r="M44" s="36"/>
      <c r="N44" s="36"/>
      <c r="O44" s="36"/>
      <c r="P44" s="36"/>
      <c r="Q44" s="36"/>
      <c r="R44" s="36"/>
      <c r="S44" s="36"/>
      <c r="T44" s="36"/>
      <c r="U44" s="36"/>
      <c r="V44" s="36"/>
      <c r="W44" s="36"/>
      <c r="X44" s="36"/>
      <c r="Y44" s="36"/>
      <c r="Z44" s="36"/>
      <c r="AA44" s="36"/>
      <c r="AB44" s="36"/>
      <c r="AC44" s="36"/>
    </row>
    <row r="45" spans="1:29" ht="24" customHeight="1">
      <c r="A45" s="589">
        <v>45</v>
      </c>
      <c r="B45" s="589">
        <v>126</v>
      </c>
      <c r="C45" s="589" t="s">
        <v>3251</v>
      </c>
      <c r="D45" s="590">
        <v>43961</v>
      </c>
      <c r="E45" s="591" t="s">
        <v>3252</v>
      </c>
      <c r="F45" s="592" t="s">
        <v>41</v>
      </c>
      <c r="G45" s="594" t="s">
        <v>3917</v>
      </c>
      <c r="H45" s="81"/>
      <c r="I45" s="81"/>
      <c r="J45" s="35"/>
      <c r="K45" s="36"/>
      <c r="L45" s="36"/>
      <c r="M45" s="36"/>
      <c r="N45" s="36"/>
      <c r="O45" s="36"/>
      <c r="P45" s="36"/>
      <c r="Q45" s="36"/>
      <c r="R45" s="36"/>
      <c r="S45" s="36"/>
      <c r="T45" s="36"/>
      <c r="U45" s="36"/>
      <c r="V45" s="36"/>
      <c r="W45" s="36"/>
      <c r="X45" s="36"/>
      <c r="Y45" s="36"/>
      <c r="Z45" s="36"/>
      <c r="AA45" s="36"/>
      <c r="AB45" s="36"/>
      <c r="AC45" s="36"/>
    </row>
    <row r="46" spans="1:29" ht="36" customHeight="1">
      <c r="A46" s="589">
        <v>47</v>
      </c>
      <c r="B46" s="589">
        <v>19</v>
      </c>
      <c r="C46" s="595" t="s">
        <v>3918</v>
      </c>
      <c r="D46" s="590">
        <v>43972</v>
      </c>
      <c r="E46" s="591" t="s">
        <v>3919</v>
      </c>
      <c r="F46" s="592" t="s">
        <v>41</v>
      </c>
      <c r="G46" s="593" t="s">
        <v>3920</v>
      </c>
      <c r="H46" s="81"/>
      <c r="I46" s="81"/>
      <c r="J46" s="35"/>
      <c r="K46" s="36"/>
      <c r="L46" s="36"/>
      <c r="M46" s="36"/>
      <c r="N46" s="36"/>
      <c r="O46" s="36"/>
      <c r="P46" s="36"/>
      <c r="Q46" s="36"/>
      <c r="R46" s="36"/>
      <c r="S46" s="36"/>
      <c r="T46" s="36"/>
      <c r="U46" s="36"/>
      <c r="V46" s="36"/>
      <c r="W46" s="36"/>
      <c r="X46" s="36"/>
      <c r="Y46" s="36"/>
      <c r="Z46" s="36"/>
      <c r="AA46" s="36"/>
      <c r="AB46" s="36"/>
      <c r="AC46" s="36"/>
    </row>
    <row r="47" spans="1:29" ht="60" customHeight="1">
      <c r="A47" s="589">
        <v>48</v>
      </c>
      <c r="B47" s="589">
        <v>128</v>
      </c>
      <c r="C47" s="595" t="s">
        <v>3921</v>
      </c>
      <c r="D47" s="590">
        <v>43975</v>
      </c>
      <c r="E47" s="591" t="s">
        <v>3922</v>
      </c>
      <c r="F47" s="592" t="s">
        <v>3923</v>
      </c>
      <c r="G47" s="593" t="s">
        <v>3924</v>
      </c>
      <c r="H47" s="81"/>
      <c r="I47" s="81"/>
      <c r="J47" s="35"/>
      <c r="K47" s="36"/>
      <c r="L47" s="36"/>
      <c r="M47" s="36"/>
      <c r="N47" s="36"/>
      <c r="O47" s="36"/>
      <c r="P47" s="36"/>
      <c r="Q47" s="36"/>
      <c r="R47" s="36"/>
      <c r="S47" s="36"/>
      <c r="T47" s="36"/>
      <c r="U47" s="36"/>
      <c r="V47" s="36"/>
      <c r="W47" s="36"/>
      <c r="X47" s="36"/>
      <c r="Y47" s="36"/>
      <c r="Z47" s="36"/>
      <c r="AA47" s="36"/>
      <c r="AB47" s="36"/>
      <c r="AC47" s="36"/>
    </row>
    <row r="48" spans="1:29" ht="60" customHeight="1">
      <c r="A48" s="589">
        <v>49</v>
      </c>
      <c r="B48" s="589">
        <v>844</v>
      </c>
      <c r="C48" s="595" t="s">
        <v>3925</v>
      </c>
      <c r="D48" s="590">
        <v>43977</v>
      </c>
      <c r="E48" s="591" t="s">
        <v>3926</v>
      </c>
      <c r="F48" s="592" t="s">
        <v>3927</v>
      </c>
      <c r="G48" s="593" t="s">
        <v>3928</v>
      </c>
      <c r="H48" s="81"/>
      <c r="I48" s="81"/>
      <c r="J48" s="35"/>
      <c r="K48" s="36"/>
      <c r="L48" s="36"/>
      <c r="M48" s="36"/>
      <c r="N48" s="36"/>
      <c r="O48" s="36"/>
      <c r="P48" s="36"/>
      <c r="Q48" s="36"/>
      <c r="R48" s="36"/>
      <c r="S48" s="36"/>
      <c r="T48" s="36"/>
      <c r="U48" s="36"/>
      <c r="V48" s="36"/>
      <c r="W48" s="36"/>
      <c r="X48" s="36"/>
      <c r="Y48" s="36"/>
      <c r="Z48" s="36"/>
      <c r="AA48" s="36"/>
      <c r="AB48" s="36"/>
      <c r="AC48" s="36"/>
    </row>
    <row r="49" spans="1:29" ht="106.5" customHeight="1">
      <c r="A49" s="589">
        <v>50</v>
      </c>
      <c r="B49" s="589">
        <v>131</v>
      </c>
      <c r="C49" s="589" t="s">
        <v>3255</v>
      </c>
      <c r="D49" s="590">
        <v>43982</v>
      </c>
      <c r="E49" s="591" t="s">
        <v>3256</v>
      </c>
      <c r="F49" s="592" t="s">
        <v>41</v>
      </c>
      <c r="G49" s="594" t="s">
        <v>3929</v>
      </c>
      <c r="H49" s="81"/>
      <c r="I49" s="81"/>
      <c r="J49" s="35"/>
      <c r="K49" s="36"/>
      <c r="L49" s="36"/>
      <c r="M49" s="36"/>
      <c r="N49" s="36"/>
      <c r="O49" s="36"/>
      <c r="P49" s="36"/>
      <c r="Q49" s="36"/>
      <c r="R49" s="36"/>
      <c r="S49" s="36"/>
      <c r="T49" s="36"/>
      <c r="U49" s="36"/>
      <c r="V49" s="36"/>
      <c r="W49" s="36"/>
      <c r="X49" s="36"/>
      <c r="Y49" s="36"/>
      <c r="Z49" s="36"/>
      <c r="AA49" s="36"/>
      <c r="AB49" s="36"/>
      <c r="AC49" s="36"/>
    </row>
    <row r="50" spans="1:29" ht="36" customHeight="1">
      <c r="A50" s="589">
        <v>51</v>
      </c>
      <c r="B50" s="589">
        <v>142</v>
      </c>
      <c r="C50" s="589" t="s">
        <v>3257</v>
      </c>
      <c r="D50" s="590">
        <v>43997</v>
      </c>
      <c r="E50" s="591" t="s">
        <v>3258</v>
      </c>
      <c r="F50" s="592" t="s">
        <v>41</v>
      </c>
      <c r="G50" s="594" t="s">
        <v>3930</v>
      </c>
      <c r="H50" s="81"/>
      <c r="I50" s="81"/>
      <c r="J50" s="35"/>
      <c r="K50" s="36"/>
      <c r="L50" s="36"/>
      <c r="M50" s="36"/>
      <c r="N50" s="36"/>
      <c r="O50" s="36"/>
      <c r="P50" s="36"/>
      <c r="Q50" s="36"/>
      <c r="R50" s="36"/>
      <c r="S50" s="36"/>
      <c r="T50" s="36"/>
      <c r="U50" s="36"/>
      <c r="V50" s="36"/>
      <c r="W50" s="36"/>
      <c r="X50" s="36"/>
      <c r="Y50" s="36"/>
      <c r="Z50" s="36"/>
      <c r="AA50" s="36"/>
      <c r="AB50" s="36"/>
      <c r="AC50" s="36"/>
    </row>
    <row r="51" spans="1:29" ht="24" customHeight="1">
      <c r="A51" s="589">
        <v>52</v>
      </c>
      <c r="B51" s="589">
        <v>143</v>
      </c>
      <c r="C51" s="589" t="s">
        <v>3259</v>
      </c>
      <c r="D51" s="590">
        <v>43997</v>
      </c>
      <c r="E51" s="591" t="s">
        <v>3260</v>
      </c>
      <c r="F51" s="592" t="s">
        <v>41</v>
      </c>
      <c r="G51" s="594" t="s">
        <v>3931</v>
      </c>
      <c r="H51" s="81"/>
      <c r="I51" s="81"/>
      <c r="J51" s="35"/>
      <c r="K51" s="36"/>
      <c r="L51" s="36"/>
      <c r="M51" s="36"/>
      <c r="N51" s="36"/>
      <c r="O51" s="36"/>
      <c r="P51" s="36"/>
      <c r="Q51" s="36"/>
      <c r="R51" s="36"/>
      <c r="S51" s="36"/>
      <c r="T51" s="36"/>
      <c r="U51" s="36"/>
      <c r="V51" s="36"/>
      <c r="W51" s="36"/>
      <c r="X51" s="36"/>
      <c r="Y51" s="36"/>
      <c r="Z51" s="36"/>
      <c r="AA51" s="36"/>
      <c r="AB51" s="36"/>
      <c r="AC51" s="36"/>
    </row>
    <row r="52" spans="1:29" ht="36" customHeight="1">
      <c r="A52" s="589">
        <v>53</v>
      </c>
      <c r="B52" s="589">
        <v>155</v>
      </c>
      <c r="C52" s="589" t="s">
        <v>3261</v>
      </c>
      <c r="D52" s="590">
        <v>44011</v>
      </c>
      <c r="E52" s="591" t="s">
        <v>3262</v>
      </c>
      <c r="F52" s="592" t="s">
        <v>41</v>
      </c>
      <c r="G52" s="594" t="s">
        <v>3932</v>
      </c>
      <c r="H52" s="81"/>
      <c r="I52" s="81"/>
      <c r="J52" s="35"/>
      <c r="K52" s="36"/>
      <c r="L52" s="36"/>
      <c r="M52" s="36"/>
      <c r="N52" s="36"/>
      <c r="O52" s="36"/>
      <c r="P52" s="36"/>
      <c r="Q52" s="36"/>
      <c r="R52" s="36"/>
      <c r="S52" s="36"/>
      <c r="T52" s="36"/>
      <c r="U52" s="36"/>
      <c r="V52" s="36"/>
      <c r="W52" s="36"/>
      <c r="X52" s="36"/>
      <c r="Y52" s="36"/>
      <c r="Z52" s="36"/>
      <c r="AA52" s="36"/>
      <c r="AB52" s="36"/>
      <c r="AC52" s="36"/>
    </row>
    <row r="53" spans="1:29" ht="48" customHeight="1">
      <c r="A53" s="589">
        <v>54</v>
      </c>
      <c r="B53" s="589">
        <v>162</v>
      </c>
      <c r="C53" s="589" t="s">
        <v>3263</v>
      </c>
      <c r="D53" s="590">
        <v>44012</v>
      </c>
      <c r="E53" s="591" t="s">
        <v>3264</v>
      </c>
      <c r="F53" s="592" t="s">
        <v>41</v>
      </c>
      <c r="G53" s="594" t="s">
        <v>3933</v>
      </c>
      <c r="H53" s="81"/>
      <c r="I53" s="81"/>
      <c r="J53" s="35"/>
      <c r="K53" s="36"/>
      <c r="L53" s="36"/>
      <c r="M53" s="36"/>
      <c r="N53" s="36"/>
      <c r="O53" s="36"/>
      <c r="P53" s="36"/>
      <c r="Q53" s="36"/>
      <c r="R53" s="36"/>
      <c r="S53" s="36"/>
      <c r="T53" s="36"/>
      <c r="U53" s="36"/>
      <c r="V53" s="36"/>
      <c r="W53" s="36"/>
      <c r="X53" s="36"/>
      <c r="Y53" s="36"/>
      <c r="Z53" s="36"/>
      <c r="AA53" s="36"/>
      <c r="AB53" s="36"/>
      <c r="AC53" s="36"/>
    </row>
    <row r="54" spans="1:29" ht="24" customHeight="1">
      <c r="A54" s="589">
        <v>55</v>
      </c>
      <c r="B54" s="589">
        <v>164</v>
      </c>
      <c r="C54" s="589" t="s">
        <v>3265</v>
      </c>
      <c r="D54" s="590">
        <v>44018</v>
      </c>
      <c r="E54" s="591" t="s">
        <v>3266</v>
      </c>
      <c r="F54" s="592" t="s">
        <v>41</v>
      </c>
      <c r="G54" s="594" t="s">
        <v>3934</v>
      </c>
      <c r="H54" s="81"/>
      <c r="I54" s="81"/>
      <c r="J54" s="35"/>
      <c r="K54" s="36"/>
      <c r="L54" s="36"/>
      <c r="M54" s="36"/>
      <c r="N54" s="36"/>
      <c r="O54" s="36"/>
      <c r="P54" s="36"/>
      <c r="Q54" s="36"/>
      <c r="R54" s="36"/>
      <c r="S54" s="36"/>
      <c r="T54" s="36"/>
      <c r="U54" s="36"/>
      <c r="V54" s="36"/>
      <c r="W54" s="36"/>
      <c r="X54" s="36"/>
      <c r="Y54" s="36"/>
      <c r="Z54" s="36"/>
      <c r="AA54" s="36"/>
      <c r="AB54" s="36"/>
      <c r="AC54" s="36"/>
    </row>
    <row r="55" spans="1:29" ht="24" customHeight="1">
      <c r="A55" s="589">
        <v>56</v>
      </c>
      <c r="B55" s="589">
        <v>169</v>
      </c>
      <c r="C55" s="589" t="s">
        <v>3267</v>
      </c>
      <c r="D55" s="590">
        <v>44024</v>
      </c>
      <c r="E55" s="591" t="s">
        <v>3268</v>
      </c>
      <c r="F55" s="592" t="s">
        <v>41</v>
      </c>
      <c r="G55" s="594" t="s">
        <v>3935</v>
      </c>
      <c r="H55" s="81"/>
      <c r="I55" s="81"/>
      <c r="J55" s="35"/>
      <c r="K55" s="36"/>
      <c r="L55" s="36"/>
      <c r="M55" s="36"/>
      <c r="N55" s="36"/>
      <c r="O55" s="36"/>
      <c r="P55" s="36"/>
      <c r="Q55" s="36"/>
      <c r="R55" s="36"/>
      <c r="S55" s="36"/>
      <c r="T55" s="36"/>
      <c r="U55" s="36"/>
      <c r="V55" s="36"/>
      <c r="W55" s="36"/>
      <c r="X55" s="36"/>
      <c r="Y55" s="36"/>
      <c r="Z55" s="36"/>
      <c r="AA55" s="36"/>
      <c r="AB55" s="36"/>
      <c r="AC55" s="36"/>
    </row>
    <row r="56" spans="1:29" ht="24" customHeight="1">
      <c r="A56" s="589">
        <v>57</v>
      </c>
      <c r="B56" s="589">
        <v>23</v>
      </c>
      <c r="C56" s="589" t="s">
        <v>3271</v>
      </c>
      <c r="D56" s="590">
        <v>44031</v>
      </c>
      <c r="E56" s="591" t="s">
        <v>3272</v>
      </c>
      <c r="F56" s="592" t="s">
        <v>41</v>
      </c>
      <c r="G56" s="594" t="s">
        <v>3936</v>
      </c>
      <c r="H56" s="81"/>
      <c r="I56" s="81"/>
      <c r="J56" s="35"/>
      <c r="K56" s="36"/>
      <c r="L56" s="36"/>
      <c r="M56" s="36"/>
      <c r="N56" s="36"/>
      <c r="O56" s="36"/>
      <c r="P56" s="36"/>
      <c r="Q56" s="36"/>
      <c r="R56" s="36"/>
      <c r="S56" s="36"/>
      <c r="T56" s="36"/>
      <c r="U56" s="36"/>
      <c r="V56" s="36"/>
      <c r="W56" s="36"/>
      <c r="X56" s="36"/>
      <c r="Y56" s="36"/>
      <c r="Z56" s="36"/>
      <c r="AA56" s="36"/>
      <c r="AB56" s="36"/>
      <c r="AC56" s="36"/>
    </row>
    <row r="57" spans="1:29" ht="36" customHeight="1">
      <c r="A57" s="589">
        <v>58</v>
      </c>
      <c r="B57" s="589">
        <v>173</v>
      </c>
      <c r="C57" s="589" t="s">
        <v>3273</v>
      </c>
      <c r="D57" s="590">
        <v>44034</v>
      </c>
      <c r="E57" s="591" t="s">
        <v>3274</v>
      </c>
      <c r="F57" s="592" t="s">
        <v>41</v>
      </c>
      <c r="G57" s="594" t="s">
        <v>3937</v>
      </c>
      <c r="H57" s="81"/>
      <c r="I57" s="81"/>
      <c r="J57" s="35"/>
      <c r="K57" s="36"/>
      <c r="L57" s="36"/>
      <c r="M57" s="36"/>
      <c r="N57" s="36"/>
      <c r="O57" s="36"/>
      <c r="P57" s="36"/>
      <c r="Q57" s="36"/>
      <c r="R57" s="36"/>
      <c r="S57" s="36"/>
      <c r="T57" s="36"/>
      <c r="U57" s="36"/>
      <c r="V57" s="36"/>
      <c r="W57" s="36"/>
      <c r="X57" s="36"/>
      <c r="Y57" s="36"/>
      <c r="Z57" s="36"/>
      <c r="AA57" s="36"/>
      <c r="AB57" s="36"/>
      <c r="AC57" s="36"/>
    </row>
    <row r="58" spans="1:29" ht="24" customHeight="1">
      <c r="A58" s="589">
        <v>59</v>
      </c>
      <c r="B58" s="589">
        <v>176</v>
      </c>
      <c r="C58" s="589" t="s">
        <v>3275</v>
      </c>
      <c r="D58" s="590">
        <v>44039</v>
      </c>
      <c r="E58" s="591" t="s">
        <v>3276</v>
      </c>
      <c r="F58" s="592" t="s">
        <v>41</v>
      </c>
      <c r="G58" s="594" t="s">
        <v>3938</v>
      </c>
      <c r="H58" s="81"/>
      <c r="I58" s="81"/>
      <c r="J58" s="35"/>
      <c r="K58" s="36"/>
      <c r="L58" s="36"/>
      <c r="M58" s="36"/>
      <c r="N58" s="36"/>
      <c r="O58" s="36"/>
      <c r="P58" s="36"/>
      <c r="Q58" s="36"/>
      <c r="R58" s="36"/>
      <c r="S58" s="36"/>
      <c r="T58" s="36"/>
      <c r="U58" s="36"/>
      <c r="V58" s="36"/>
      <c r="W58" s="36"/>
      <c r="X58" s="36"/>
      <c r="Y58" s="36"/>
      <c r="Z58" s="36"/>
      <c r="AA58" s="36"/>
      <c r="AB58" s="36"/>
      <c r="AC58" s="36"/>
    </row>
    <row r="59" spans="1:29" ht="24" customHeight="1">
      <c r="A59" s="589">
        <v>60</v>
      </c>
      <c r="B59" s="589">
        <v>179</v>
      </c>
      <c r="C59" s="589" t="s">
        <v>3277</v>
      </c>
      <c r="D59" s="590">
        <v>44043</v>
      </c>
      <c r="E59" s="591" t="s">
        <v>3278</v>
      </c>
      <c r="F59" s="592" t="s">
        <v>41</v>
      </c>
      <c r="G59" s="594" t="s">
        <v>3939</v>
      </c>
      <c r="H59" s="81"/>
      <c r="I59" s="81"/>
      <c r="J59" s="35"/>
      <c r="K59" s="36"/>
      <c r="L59" s="36"/>
      <c r="M59" s="36"/>
      <c r="N59" s="36"/>
      <c r="O59" s="36"/>
      <c r="P59" s="36"/>
      <c r="Q59" s="36"/>
      <c r="R59" s="36"/>
      <c r="S59" s="36"/>
      <c r="T59" s="36"/>
      <c r="U59" s="36"/>
      <c r="V59" s="36"/>
      <c r="W59" s="36"/>
      <c r="X59" s="36"/>
      <c r="Y59" s="36"/>
      <c r="Z59" s="36"/>
      <c r="AA59" s="36"/>
      <c r="AB59" s="36"/>
      <c r="AC59" s="36"/>
    </row>
    <row r="60" spans="1:29" ht="36" customHeight="1">
      <c r="A60" s="589">
        <v>61</v>
      </c>
      <c r="B60" s="589">
        <v>186</v>
      </c>
      <c r="C60" s="589" t="s">
        <v>3279</v>
      </c>
      <c r="D60" s="590">
        <v>44058</v>
      </c>
      <c r="E60" s="591" t="s">
        <v>3280</v>
      </c>
      <c r="F60" s="592" t="s">
        <v>41</v>
      </c>
      <c r="G60" s="594" t="s">
        <v>3940</v>
      </c>
      <c r="H60" s="81"/>
      <c r="I60" s="81"/>
      <c r="J60" s="35"/>
      <c r="K60" s="36"/>
      <c r="L60" s="36"/>
      <c r="M60" s="36"/>
      <c r="N60" s="36"/>
      <c r="O60" s="36"/>
      <c r="P60" s="36"/>
      <c r="Q60" s="36"/>
      <c r="R60" s="36"/>
      <c r="S60" s="36"/>
      <c r="T60" s="36"/>
      <c r="U60" s="36"/>
      <c r="V60" s="36"/>
      <c r="W60" s="36"/>
      <c r="X60" s="36"/>
      <c r="Y60" s="36"/>
      <c r="Z60" s="36"/>
      <c r="AA60" s="36"/>
      <c r="AB60" s="36"/>
      <c r="AC60" s="36"/>
    </row>
    <row r="61" spans="1:29" ht="48" customHeight="1">
      <c r="A61" s="589">
        <v>62</v>
      </c>
      <c r="B61" s="589">
        <v>192</v>
      </c>
      <c r="C61" s="589" t="s">
        <v>3281</v>
      </c>
      <c r="D61" s="590">
        <v>44068</v>
      </c>
      <c r="E61" s="591" t="s">
        <v>3282</v>
      </c>
      <c r="F61" s="592" t="s">
        <v>41</v>
      </c>
      <c r="G61" s="594" t="s">
        <v>3941</v>
      </c>
      <c r="H61" s="81"/>
      <c r="I61" s="81"/>
      <c r="J61" s="35"/>
      <c r="K61" s="36"/>
      <c r="L61" s="36"/>
      <c r="M61" s="36"/>
      <c r="N61" s="36"/>
      <c r="O61" s="36"/>
      <c r="P61" s="36"/>
      <c r="Q61" s="36"/>
      <c r="R61" s="36"/>
      <c r="S61" s="36"/>
      <c r="T61" s="36"/>
      <c r="U61" s="36"/>
      <c r="V61" s="36"/>
      <c r="W61" s="36"/>
      <c r="X61" s="36"/>
      <c r="Y61" s="36"/>
      <c r="Z61" s="36"/>
      <c r="AA61" s="36"/>
      <c r="AB61" s="36"/>
      <c r="AC61" s="36"/>
    </row>
    <row r="62" spans="1:29" ht="36" customHeight="1">
      <c r="A62" s="589">
        <v>63</v>
      </c>
      <c r="B62" s="589">
        <v>193</v>
      </c>
      <c r="C62" s="589" t="s">
        <v>3283</v>
      </c>
      <c r="D62" s="590">
        <v>44069</v>
      </c>
      <c r="E62" s="591" t="s">
        <v>3284</v>
      </c>
      <c r="F62" s="592" t="s">
        <v>41</v>
      </c>
      <c r="G62" s="594" t="s">
        <v>3942</v>
      </c>
      <c r="H62" s="81"/>
      <c r="I62" s="81"/>
      <c r="J62" s="35"/>
      <c r="K62" s="36"/>
      <c r="L62" s="36"/>
      <c r="M62" s="36"/>
      <c r="N62" s="36"/>
      <c r="O62" s="36"/>
      <c r="P62" s="36"/>
      <c r="Q62" s="36"/>
      <c r="R62" s="36"/>
      <c r="S62" s="36"/>
      <c r="T62" s="36"/>
      <c r="U62" s="36"/>
      <c r="V62" s="36"/>
      <c r="W62" s="36"/>
      <c r="X62" s="36"/>
      <c r="Y62" s="36"/>
      <c r="Z62" s="36"/>
      <c r="AA62" s="36"/>
      <c r="AB62" s="36"/>
      <c r="AC62" s="36"/>
    </row>
    <row r="63" spans="1:29" ht="48" customHeight="1">
      <c r="A63" s="589">
        <v>64</v>
      </c>
      <c r="B63" s="589">
        <v>207</v>
      </c>
      <c r="C63" s="589" t="s">
        <v>3285</v>
      </c>
      <c r="D63" s="590">
        <v>44095</v>
      </c>
      <c r="E63" s="591" t="s">
        <v>3286</v>
      </c>
      <c r="F63" s="592" t="s">
        <v>41</v>
      </c>
      <c r="G63" s="594" t="s">
        <v>3943</v>
      </c>
      <c r="H63" s="81"/>
      <c r="I63" s="81"/>
      <c r="J63" s="35"/>
      <c r="K63" s="36"/>
      <c r="L63" s="36"/>
      <c r="M63" s="36"/>
      <c r="N63" s="36"/>
      <c r="O63" s="36"/>
      <c r="P63" s="36"/>
      <c r="Q63" s="36"/>
      <c r="R63" s="36"/>
      <c r="S63" s="36"/>
      <c r="T63" s="36"/>
      <c r="U63" s="36"/>
      <c r="V63" s="36"/>
      <c r="W63" s="36"/>
      <c r="X63" s="36"/>
      <c r="Y63" s="36"/>
      <c r="Z63" s="36"/>
      <c r="AA63" s="36"/>
      <c r="AB63" s="36"/>
      <c r="AC63" s="36"/>
    </row>
    <row r="64" spans="1:29" ht="36" customHeight="1">
      <c r="A64" s="589">
        <v>65</v>
      </c>
      <c r="B64" s="589">
        <v>208</v>
      </c>
      <c r="C64" s="589" t="s">
        <v>3287</v>
      </c>
      <c r="D64" s="590">
        <v>44095</v>
      </c>
      <c r="E64" s="591" t="s">
        <v>3288</v>
      </c>
      <c r="F64" s="592" t="s">
        <v>41</v>
      </c>
      <c r="G64" s="594" t="s">
        <v>3944</v>
      </c>
      <c r="H64" s="81"/>
      <c r="I64" s="81"/>
      <c r="J64" s="35"/>
      <c r="K64" s="36"/>
      <c r="L64" s="36"/>
      <c r="M64" s="36"/>
      <c r="N64" s="36"/>
      <c r="O64" s="36"/>
      <c r="P64" s="36"/>
      <c r="Q64" s="36"/>
      <c r="R64" s="36"/>
      <c r="S64" s="36"/>
      <c r="T64" s="36"/>
      <c r="U64" s="36"/>
      <c r="V64" s="36"/>
      <c r="W64" s="36"/>
      <c r="X64" s="36"/>
      <c r="Y64" s="36"/>
      <c r="Z64" s="36"/>
      <c r="AA64" s="36"/>
      <c r="AB64" s="36"/>
      <c r="AC64" s="36"/>
    </row>
    <row r="65" spans="1:29" ht="24" customHeight="1">
      <c r="A65" s="589">
        <v>67</v>
      </c>
      <c r="B65" s="589">
        <v>216</v>
      </c>
      <c r="C65" s="589" t="s">
        <v>3289</v>
      </c>
      <c r="D65" s="590">
        <v>44104</v>
      </c>
      <c r="E65" s="591" t="s">
        <v>3290</v>
      </c>
      <c r="F65" s="592" t="s">
        <v>41</v>
      </c>
      <c r="G65" s="594" t="s">
        <v>3945</v>
      </c>
      <c r="H65" s="81"/>
      <c r="I65" s="81"/>
      <c r="J65" s="35"/>
      <c r="K65" s="36"/>
      <c r="L65" s="36"/>
      <c r="M65" s="36"/>
      <c r="N65" s="36"/>
      <c r="O65" s="36"/>
      <c r="P65" s="36"/>
      <c r="Q65" s="36"/>
      <c r="R65" s="36"/>
      <c r="S65" s="36"/>
      <c r="T65" s="36"/>
      <c r="U65" s="36"/>
      <c r="V65" s="36"/>
      <c r="W65" s="36"/>
      <c r="X65" s="36"/>
      <c r="Y65" s="36"/>
      <c r="Z65" s="36"/>
      <c r="AA65" s="36"/>
      <c r="AB65" s="36"/>
      <c r="AC65" s="36"/>
    </row>
    <row r="66" spans="1:29" ht="36" customHeight="1">
      <c r="A66" s="589">
        <v>69</v>
      </c>
      <c r="B66" s="589">
        <v>240</v>
      </c>
      <c r="C66" s="589" t="s">
        <v>3291</v>
      </c>
      <c r="D66" s="590">
        <v>44135</v>
      </c>
      <c r="E66" s="591" t="s">
        <v>3292</v>
      </c>
      <c r="F66" s="592" t="s">
        <v>41</v>
      </c>
      <c r="G66" s="594" t="s">
        <v>3946</v>
      </c>
      <c r="H66" s="81"/>
      <c r="I66" s="81"/>
      <c r="J66" s="35"/>
      <c r="K66" s="36"/>
      <c r="L66" s="36"/>
      <c r="M66" s="36"/>
      <c r="N66" s="36"/>
      <c r="O66" s="36"/>
      <c r="P66" s="36"/>
      <c r="Q66" s="36"/>
      <c r="R66" s="36"/>
      <c r="S66" s="36"/>
      <c r="T66" s="36"/>
      <c r="U66" s="36"/>
      <c r="V66" s="36"/>
      <c r="W66" s="36"/>
      <c r="X66" s="36"/>
      <c r="Y66" s="36"/>
      <c r="Z66" s="36"/>
      <c r="AA66" s="36"/>
      <c r="AB66" s="36"/>
      <c r="AC66" s="36"/>
    </row>
    <row r="67" spans="1:29" ht="24" customHeight="1">
      <c r="A67" s="589">
        <v>70</v>
      </c>
      <c r="B67" s="589">
        <v>262</v>
      </c>
      <c r="C67" s="589" t="s">
        <v>3293</v>
      </c>
      <c r="D67" s="598">
        <v>44165</v>
      </c>
      <c r="E67" s="591" t="s">
        <v>3294</v>
      </c>
      <c r="F67" s="592" t="s">
        <v>41</v>
      </c>
      <c r="G67" s="594" t="s">
        <v>3947</v>
      </c>
      <c r="H67" s="81"/>
      <c r="I67" s="81"/>
      <c r="J67" s="35"/>
      <c r="K67" s="36"/>
      <c r="L67" s="36"/>
      <c r="M67" s="36"/>
      <c r="N67" s="36"/>
      <c r="O67" s="36"/>
      <c r="P67" s="36"/>
      <c r="Q67" s="36"/>
      <c r="R67" s="36"/>
      <c r="S67" s="36"/>
      <c r="T67" s="36"/>
      <c r="U67" s="36"/>
      <c r="V67" s="36"/>
      <c r="W67" s="36"/>
      <c r="X67" s="36"/>
      <c r="Y67" s="36"/>
      <c r="Z67" s="36"/>
      <c r="AA67" s="36"/>
      <c r="AB67" s="36"/>
      <c r="AC67" s="36"/>
    </row>
    <row r="68" spans="1:29" ht="48" customHeight="1">
      <c r="A68" s="589">
        <v>71</v>
      </c>
      <c r="B68" s="589">
        <v>263</v>
      </c>
      <c r="C68" s="589" t="s">
        <v>3295</v>
      </c>
      <c r="D68" s="598">
        <v>44166</v>
      </c>
      <c r="E68" s="591" t="s">
        <v>3296</v>
      </c>
      <c r="F68" s="592" t="s">
        <v>41</v>
      </c>
      <c r="G68" s="594" t="s">
        <v>3948</v>
      </c>
      <c r="H68" s="81"/>
      <c r="I68" s="81"/>
      <c r="J68" s="35"/>
      <c r="K68" s="36"/>
      <c r="L68" s="36"/>
      <c r="M68" s="36"/>
      <c r="N68" s="36"/>
      <c r="O68" s="36"/>
      <c r="P68" s="36"/>
      <c r="Q68" s="36"/>
      <c r="R68" s="36"/>
      <c r="S68" s="36"/>
      <c r="T68" s="36"/>
      <c r="U68" s="36"/>
      <c r="V68" s="36"/>
      <c r="W68" s="36"/>
      <c r="X68" s="36"/>
      <c r="Y68" s="36"/>
      <c r="Z68" s="36"/>
      <c r="AA68" s="36"/>
      <c r="AB68" s="36"/>
      <c r="AC68" s="36"/>
    </row>
    <row r="69" spans="1:29" ht="24" customHeight="1">
      <c r="A69" s="589">
        <v>72</v>
      </c>
      <c r="B69" s="589">
        <v>293</v>
      </c>
      <c r="C69" s="589" t="s">
        <v>3297</v>
      </c>
      <c r="D69" s="598">
        <v>44185</v>
      </c>
      <c r="E69" s="591" t="s">
        <v>3298</v>
      </c>
      <c r="F69" s="592" t="s">
        <v>41</v>
      </c>
      <c r="G69" s="594" t="s">
        <v>3949</v>
      </c>
      <c r="H69" s="81"/>
      <c r="I69" s="81"/>
      <c r="J69" s="35"/>
      <c r="K69" s="36"/>
      <c r="L69" s="36"/>
      <c r="M69" s="36"/>
      <c r="N69" s="36"/>
      <c r="O69" s="36"/>
      <c r="P69" s="36"/>
      <c r="Q69" s="36"/>
      <c r="R69" s="36"/>
      <c r="S69" s="36"/>
      <c r="T69" s="36"/>
      <c r="U69" s="36"/>
      <c r="V69" s="36"/>
      <c r="W69" s="36"/>
      <c r="X69" s="36"/>
      <c r="Y69" s="36"/>
      <c r="Z69" s="36"/>
      <c r="AA69" s="36"/>
      <c r="AB69" s="36"/>
      <c r="AC69" s="36"/>
    </row>
    <row r="70" spans="1:29" ht="48" customHeight="1">
      <c r="A70" s="589">
        <v>73</v>
      </c>
      <c r="B70" s="589">
        <v>7</v>
      </c>
      <c r="C70" s="589" t="s">
        <v>3299</v>
      </c>
      <c r="D70" s="598">
        <v>44200</v>
      </c>
      <c r="E70" s="591" t="s">
        <v>3300</v>
      </c>
      <c r="F70" s="592" t="s">
        <v>41</v>
      </c>
      <c r="G70" s="594" t="s">
        <v>3950</v>
      </c>
      <c r="H70" s="81"/>
      <c r="I70" s="81"/>
      <c r="J70" s="35"/>
      <c r="K70" s="36"/>
      <c r="L70" s="36"/>
      <c r="M70" s="36"/>
      <c r="N70" s="36"/>
      <c r="O70" s="36"/>
      <c r="P70" s="36"/>
      <c r="Q70" s="36"/>
      <c r="R70" s="36"/>
      <c r="S70" s="36"/>
      <c r="T70" s="36"/>
      <c r="U70" s="36"/>
      <c r="V70" s="36"/>
      <c r="W70" s="36"/>
      <c r="X70" s="36"/>
      <c r="Y70" s="36"/>
      <c r="Z70" s="36"/>
      <c r="AA70" s="36"/>
      <c r="AB70" s="36"/>
      <c r="AC70" s="36"/>
    </row>
    <row r="71" spans="1:29" ht="36" customHeight="1">
      <c r="A71" s="589">
        <v>74</v>
      </c>
      <c r="B71" s="589">
        <v>10</v>
      </c>
      <c r="C71" s="589" t="s">
        <v>3301</v>
      </c>
      <c r="D71" s="598">
        <v>44203</v>
      </c>
      <c r="E71" s="591" t="s">
        <v>3302</v>
      </c>
      <c r="F71" s="592" t="s">
        <v>41</v>
      </c>
      <c r="G71" s="594" t="s">
        <v>3951</v>
      </c>
      <c r="H71" s="81"/>
      <c r="I71" s="81"/>
      <c r="J71" s="35"/>
      <c r="K71" s="36"/>
      <c r="L71" s="36"/>
      <c r="M71" s="36"/>
      <c r="N71" s="36"/>
      <c r="O71" s="36"/>
      <c r="P71" s="36"/>
      <c r="Q71" s="36"/>
      <c r="R71" s="36"/>
      <c r="S71" s="36"/>
      <c r="T71" s="36"/>
      <c r="U71" s="36"/>
      <c r="V71" s="36"/>
      <c r="W71" s="36"/>
      <c r="X71" s="36"/>
      <c r="Y71" s="36"/>
      <c r="Z71" s="36"/>
      <c r="AA71" s="36"/>
      <c r="AB71" s="36"/>
      <c r="AC71" s="36"/>
    </row>
    <row r="72" spans="1:29" ht="36" customHeight="1">
      <c r="A72" s="589">
        <v>75</v>
      </c>
      <c r="B72" s="589">
        <v>18</v>
      </c>
      <c r="C72" s="589" t="s">
        <v>3303</v>
      </c>
      <c r="D72" s="590">
        <v>44210</v>
      </c>
      <c r="E72" s="591" t="s">
        <v>3304</v>
      </c>
      <c r="F72" s="592" t="s">
        <v>41</v>
      </c>
      <c r="G72" s="594" t="s">
        <v>3952</v>
      </c>
      <c r="H72" s="81"/>
      <c r="I72" s="81"/>
      <c r="J72" s="35"/>
      <c r="K72" s="36"/>
      <c r="L72" s="36"/>
      <c r="M72" s="36"/>
      <c r="N72" s="36"/>
      <c r="O72" s="36"/>
      <c r="P72" s="36"/>
      <c r="Q72" s="36"/>
      <c r="R72" s="36"/>
      <c r="S72" s="36"/>
      <c r="T72" s="36"/>
      <c r="U72" s="36"/>
      <c r="V72" s="36"/>
      <c r="W72" s="36"/>
      <c r="X72" s="36"/>
      <c r="Y72" s="36"/>
      <c r="Z72" s="36"/>
      <c r="AA72" s="36"/>
      <c r="AB72" s="36"/>
      <c r="AC72" s="36"/>
    </row>
    <row r="73" spans="1:29" ht="48" customHeight="1">
      <c r="A73" s="589">
        <v>76</v>
      </c>
      <c r="B73" s="589">
        <v>21</v>
      </c>
      <c r="C73" s="589" t="s">
        <v>3305</v>
      </c>
      <c r="D73" s="590">
        <v>44211</v>
      </c>
      <c r="E73" s="591" t="s">
        <v>3306</v>
      </c>
      <c r="F73" s="592" t="s">
        <v>41</v>
      </c>
      <c r="G73" s="594" t="s">
        <v>3953</v>
      </c>
      <c r="H73" s="81"/>
      <c r="I73" s="81"/>
      <c r="J73" s="35"/>
      <c r="K73" s="36"/>
      <c r="L73" s="36"/>
      <c r="M73" s="36"/>
      <c r="N73" s="36"/>
      <c r="O73" s="36"/>
      <c r="P73" s="36"/>
      <c r="Q73" s="36"/>
      <c r="R73" s="36"/>
      <c r="S73" s="36"/>
      <c r="T73" s="36"/>
      <c r="U73" s="36"/>
      <c r="V73" s="36"/>
      <c r="W73" s="36"/>
      <c r="X73" s="36"/>
      <c r="Y73" s="36"/>
      <c r="Z73" s="36"/>
      <c r="AA73" s="36"/>
      <c r="AB73" s="36"/>
      <c r="AC73" s="36"/>
    </row>
    <row r="74" spans="1:29" ht="24" customHeight="1">
      <c r="A74" s="589">
        <v>77</v>
      </c>
      <c r="B74" s="589">
        <v>39</v>
      </c>
      <c r="C74" s="589" t="s">
        <v>3954</v>
      </c>
      <c r="D74" s="590">
        <v>44229</v>
      </c>
      <c r="E74" s="591" t="s">
        <v>3955</v>
      </c>
      <c r="F74" s="592" t="s">
        <v>41</v>
      </c>
      <c r="G74" s="593" t="s">
        <v>3956</v>
      </c>
      <c r="H74" s="81"/>
      <c r="I74" s="81"/>
      <c r="J74" s="35"/>
      <c r="K74" s="36"/>
      <c r="L74" s="36"/>
      <c r="M74" s="36"/>
      <c r="N74" s="36"/>
      <c r="O74" s="36"/>
      <c r="P74" s="36"/>
      <c r="Q74" s="36"/>
      <c r="R74" s="36"/>
      <c r="S74" s="36"/>
      <c r="T74" s="36"/>
      <c r="U74" s="36"/>
      <c r="V74" s="36"/>
      <c r="W74" s="36"/>
      <c r="X74" s="36"/>
      <c r="Y74" s="36"/>
      <c r="Z74" s="36"/>
      <c r="AA74" s="36"/>
      <c r="AB74" s="36"/>
      <c r="AC74" s="36"/>
    </row>
    <row r="75" spans="1:29" ht="24" customHeight="1">
      <c r="A75" s="589">
        <v>78</v>
      </c>
      <c r="B75" s="589">
        <v>208</v>
      </c>
      <c r="C75" s="589" t="s">
        <v>3957</v>
      </c>
      <c r="D75" s="590">
        <v>44242</v>
      </c>
      <c r="E75" s="591" t="s">
        <v>3958</v>
      </c>
      <c r="F75" s="592" t="s">
        <v>41</v>
      </c>
      <c r="G75" s="593" t="s">
        <v>3959</v>
      </c>
      <c r="H75" s="81"/>
      <c r="I75" s="81"/>
      <c r="J75" s="35"/>
      <c r="K75" s="36"/>
      <c r="L75" s="36"/>
      <c r="M75" s="36"/>
      <c r="N75" s="36"/>
      <c r="O75" s="36"/>
      <c r="P75" s="36"/>
      <c r="Q75" s="36"/>
      <c r="R75" s="36"/>
      <c r="S75" s="36"/>
      <c r="T75" s="36"/>
      <c r="U75" s="36"/>
      <c r="V75" s="36"/>
      <c r="W75" s="36"/>
      <c r="X75" s="36"/>
      <c r="Y75" s="36"/>
      <c r="Z75" s="36"/>
      <c r="AA75" s="36"/>
      <c r="AB75" s="36"/>
      <c r="AC75" s="36"/>
    </row>
    <row r="76" spans="1:29" ht="36" customHeight="1">
      <c r="A76" s="589">
        <v>79</v>
      </c>
      <c r="B76" s="589">
        <v>49</v>
      </c>
      <c r="C76" s="589" t="s">
        <v>3960</v>
      </c>
      <c r="D76" s="590">
        <v>44243</v>
      </c>
      <c r="E76" s="599" t="s">
        <v>3961</v>
      </c>
      <c r="F76" s="592" t="s">
        <v>41</v>
      </c>
      <c r="G76" s="593" t="s">
        <v>3962</v>
      </c>
      <c r="H76" s="81"/>
      <c r="I76" s="81"/>
      <c r="J76" s="35"/>
      <c r="K76" s="36"/>
      <c r="L76" s="36"/>
      <c r="M76" s="36"/>
      <c r="N76" s="36"/>
      <c r="O76" s="36"/>
      <c r="P76" s="36"/>
      <c r="Q76" s="36"/>
      <c r="R76" s="36"/>
      <c r="S76" s="36"/>
      <c r="T76" s="36"/>
      <c r="U76" s="36"/>
      <c r="V76" s="36"/>
      <c r="W76" s="36"/>
      <c r="X76" s="36"/>
      <c r="Y76" s="36"/>
      <c r="Z76" s="36"/>
      <c r="AA76" s="36"/>
      <c r="AB76" s="36"/>
      <c r="AC76" s="36"/>
    </row>
    <row r="77" spans="1:29" ht="36" customHeight="1">
      <c r="A77" s="589">
        <v>80</v>
      </c>
      <c r="B77" s="589">
        <v>55</v>
      </c>
      <c r="C77" s="589" t="s">
        <v>3963</v>
      </c>
      <c r="D77" s="600">
        <v>44249</v>
      </c>
      <c r="E77" s="591" t="s">
        <v>3964</v>
      </c>
      <c r="F77" s="592" t="s">
        <v>41</v>
      </c>
      <c r="G77" s="593" t="s">
        <v>3965</v>
      </c>
      <c r="H77" s="81"/>
      <c r="I77" s="81"/>
      <c r="J77" s="35"/>
      <c r="K77" s="36"/>
      <c r="L77" s="36"/>
      <c r="M77" s="36"/>
      <c r="N77" s="36"/>
      <c r="O77" s="36"/>
      <c r="P77" s="36"/>
      <c r="Q77" s="36"/>
      <c r="R77" s="36"/>
      <c r="S77" s="36"/>
      <c r="T77" s="36"/>
      <c r="U77" s="36"/>
      <c r="V77" s="36"/>
      <c r="W77" s="36"/>
      <c r="X77" s="36"/>
      <c r="Y77" s="36"/>
      <c r="Z77" s="36"/>
      <c r="AA77" s="36"/>
      <c r="AB77" s="36"/>
      <c r="AC77" s="36"/>
    </row>
    <row r="78" spans="1:29" ht="36" customHeight="1">
      <c r="A78" s="589">
        <v>81</v>
      </c>
      <c r="B78" s="589">
        <v>61</v>
      </c>
      <c r="C78" s="589" t="s">
        <v>3966</v>
      </c>
      <c r="D78" s="598">
        <v>44255</v>
      </c>
      <c r="E78" s="591" t="s">
        <v>3967</v>
      </c>
      <c r="F78" s="601" t="s">
        <v>41</v>
      </c>
      <c r="G78" s="593" t="s">
        <v>3968</v>
      </c>
      <c r="H78" s="81"/>
      <c r="I78" s="81"/>
      <c r="J78" s="35"/>
      <c r="K78" s="36"/>
      <c r="L78" s="36"/>
      <c r="M78" s="36"/>
      <c r="N78" s="36"/>
      <c r="O78" s="36"/>
      <c r="P78" s="36"/>
      <c r="Q78" s="36"/>
      <c r="R78" s="36"/>
      <c r="S78" s="36"/>
      <c r="T78" s="36"/>
      <c r="U78" s="36"/>
      <c r="V78" s="36"/>
      <c r="W78" s="36"/>
      <c r="X78" s="36"/>
      <c r="Y78" s="36"/>
      <c r="Z78" s="36"/>
      <c r="AA78" s="36"/>
      <c r="AB78" s="36"/>
      <c r="AC78" s="36"/>
    </row>
    <row r="79" spans="1:29" ht="48" customHeight="1">
      <c r="A79" s="589">
        <v>82</v>
      </c>
      <c r="B79" s="589">
        <v>7</v>
      </c>
      <c r="C79" s="595" t="s">
        <v>3299</v>
      </c>
      <c r="D79" s="598">
        <v>44200</v>
      </c>
      <c r="E79" s="591" t="s">
        <v>3300</v>
      </c>
      <c r="F79" s="592" t="s">
        <v>41</v>
      </c>
      <c r="G79" s="594" t="s">
        <v>3969</v>
      </c>
      <c r="H79" s="81"/>
      <c r="I79" s="81"/>
      <c r="J79" s="35"/>
      <c r="K79" s="36"/>
      <c r="L79" s="36"/>
      <c r="M79" s="36"/>
      <c r="N79" s="36"/>
      <c r="O79" s="36"/>
      <c r="P79" s="36"/>
      <c r="Q79" s="36"/>
      <c r="R79" s="36"/>
      <c r="S79" s="36"/>
      <c r="T79" s="36"/>
      <c r="U79" s="36"/>
      <c r="V79" s="36"/>
      <c r="W79" s="36"/>
      <c r="X79" s="36"/>
      <c r="Y79" s="36"/>
      <c r="Z79" s="36"/>
      <c r="AA79" s="36"/>
      <c r="AB79" s="36"/>
      <c r="AC79" s="36"/>
    </row>
    <row r="80" spans="1:29" ht="36" customHeight="1">
      <c r="A80" s="589">
        <v>83</v>
      </c>
      <c r="B80" s="589">
        <v>10</v>
      </c>
      <c r="C80" s="595" t="s">
        <v>3301</v>
      </c>
      <c r="D80" s="598">
        <v>44203</v>
      </c>
      <c r="E80" s="591" t="s">
        <v>3302</v>
      </c>
      <c r="F80" s="592" t="s">
        <v>41</v>
      </c>
      <c r="G80" s="593" t="s">
        <v>3970</v>
      </c>
      <c r="H80" s="81"/>
      <c r="I80" s="81"/>
      <c r="J80" s="35"/>
      <c r="K80" s="36"/>
      <c r="L80" s="36"/>
      <c r="M80" s="36"/>
      <c r="N80" s="36"/>
      <c r="O80" s="36"/>
      <c r="P80" s="36"/>
      <c r="Q80" s="36"/>
      <c r="R80" s="36"/>
      <c r="S80" s="36"/>
      <c r="T80" s="36"/>
      <c r="U80" s="36"/>
      <c r="V80" s="36"/>
      <c r="W80" s="36"/>
      <c r="X80" s="36"/>
      <c r="Y80" s="36"/>
      <c r="Z80" s="36"/>
      <c r="AA80" s="36"/>
      <c r="AB80" s="36"/>
      <c r="AC80" s="36"/>
    </row>
    <row r="81" spans="1:29" ht="24" customHeight="1">
      <c r="A81" s="589">
        <v>84</v>
      </c>
      <c r="B81" s="589">
        <v>18</v>
      </c>
      <c r="C81" s="595" t="s">
        <v>3971</v>
      </c>
      <c r="D81" s="598">
        <v>44210</v>
      </c>
      <c r="E81" s="591" t="s">
        <v>3304</v>
      </c>
      <c r="F81" s="592" t="s">
        <v>41</v>
      </c>
      <c r="G81" s="594" t="s">
        <v>3972</v>
      </c>
      <c r="H81" s="81"/>
      <c r="I81" s="81"/>
      <c r="J81" s="35"/>
      <c r="K81" s="36"/>
      <c r="L81" s="36"/>
      <c r="M81" s="36"/>
      <c r="N81" s="36"/>
      <c r="O81" s="36"/>
      <c r="P81" s="36"/>
      <c r="Q81" s="36"/>
      <c r="R81" s="36"/>
      <c r="S81" s="36"/>
      <c r="T81" s="36"/>
      <c r="U81" s="36"/>
      <c r="V81" s="36"/>
      <c r="W81" s="36"/>
      <c r="X81" s="36"/>
      <c r="Y81" s="36"/>
      <c r="Z81" s="36"/>
      <c r="AA81" s="36"/>
      <c r="AB81" s="36"/>
      <c r="AC81" s="36"/>
    </row>
    <row r="82" spans="1:29" ht="24" customHeight="1">
      <c r="A82" s="589">
        <v>85</v>
      </c>
      <c r="B82" s="589">
        <v>21</v>
      </c>
      <c r="C82" s="595" t="s">
        <v>3973</v>
      </c>
      <c r="D82" s="598">
        <v>44211</v>
      </c>
      <c r="E82" s="591" t="s">
        <v>3306</v>
      </c>
      <c r="F82" s="592" t="s">
        <v>41</v>
      </c>
      <c r="G82" s="594" t="s">
        <v>3974</v>
      </c>
      <c r="H82" s="81"/>
      <c r="I82" s="81"/>
      <c r="J82" s="35"/>
      <c r="K82" s="36"/>
      <c r="L82" s="36"/>
      <c r="M82" s="36"/>
      <c r="N82" s="36"/>
      <c r="O82" s="36"/>
      <c r="P82" s="36"/>
      <c r="Q82" s="36"/>
      <c r="R82" s="36"/>
      <c r="S82" s="36"/>
      <c r="T82" s="36"/>
      <c r="U82" s="36"/>
      <c r="V82" s="36"/>
      <c r="W82" s="36"/>
      <c r="X82" s="36"/>
      <c r="Y82" s="36"/>
      <c r="Z82" s="36"/>
      <c r="AA82" s="36"/>
      <c r="AB82" s="36"/>
      <c r="AC82" s="36"/>
    </row>
    <row r="83" spans="1:29" ht="48" customHeight="1">
      <c r="A83" s="589">
        <v>86</v>
      </c>
      <c r="B83" s="589">
        <v>135</v>
      </c>
      <c r="C83" s="595" t="s">
        <v>3975</v>
      </c>
      <c r="D83" s="598">
        <v>44288</v>
      </c>
      <c r="E83" s="591" t="s">
        <v>3976</v>
      </c>
      <c r="F83" s="592" t="s">
        <v>41</v>
      </c>
      <c r="G83" s="594" t="s">
        <v>3977</v>
      </c>
      <c r="H83" s="81"/>
      <c r="I83" s="81"/>
      <c r="J83" s="35"/>
      <c r="K83" s="36"/>
      <c r="L83" s="36"/>
      <c r="M83" s="36"/>
      <c r="N83" s="36"/>
      <c r="O83" s="36"/>
      <c r="P83" s="36"/>
      <c r="Q83" s="36"/>
      <c r="R83" s="36"/>
      <c r="S83" s="36"/>
      <c r="T83" s="36"/>
      <c r="U83" s="36"/>
      <c r="V83" s="36"/>
      <c r="W83" s="36"/>
      <c r="X83" s="36"/>
      <c r="Y83" s="36"/>
      <c r="Z83" s="36"/>
      <c r="AA83" s="36"/>
      <c r="AB83" s="36"/>
      <c r="AC83" s="36"/>
    </row>
    <row r="84" spans="1:29" ht="24" customHeight="1">
      <c r="A84" s="589">
        <v>87</v>
      </c>
      <c r="B84" s="589">
        <v>144</v>
      </c>
      <c r="C84" s="595" t="s">
        <v>3978</v>
      </c>
      <c r="D84" s="598">
        <v>44294</v>
      </c>
      <c r="E84" s="591" t="s">
        <v>3979</v>
      </c>
      <c r="F84" s="592" t="s">
        <v>41</v>
      </c>
      <c r="G84" s="594" t="s">
        <v>3980</v>
      </c>
      <c r="H84" s="81"/>
      <c r="I84" s="81"/>
      <c r="J84" s="35"/>
      <c r="K84" s="36"/>
      <c r="L84" s="36"/>
      <c r="M84" s="36"/>
      <c r="N84" s="36"/>
      <c r="O84" s="36"/>
      <c r="P84" s="36"/>
      <c r="Q84" s="36"/>
      <c r="R84" s="36"/>
      <c r="S84" s="36"/>
      <c r="T84" s="36"/>
      <c r="U84" s="36"/>
      <c r="V84" s="36"/>
      <c r="W84" s="36"/>
      <c r="X84" s="36"/>
      <c r="Y84" s="36"/>
      <c r="Z84" s="36"/>
      <c r="AA84" s="36"/>
      <c r="AB84" s="36"/>
      <c r="AC84" s="36"/>
    </row>
    <row r="85" spans="1:29" ht="24" customHeight="1">
      <c r="A85" s="589">
        <v>88</v>
      </c>
      <c r="B85" s="589">
        <v>208</v>
      </c>
      <c r="C85" s="595" t="s">
        <v>3957</v>
      </c>
      <c r="D85" s="598">
        <v>44295</v>
      </c>
      <c r="E85" s="591" t="s">
        <v>3981</v>
      </c>
      <c r="F85" s="592" t="s">
        <v>41</v>
      </c>
      <c r="G85" s="594" t="s">
        <v>3959</v>
      </c>
      <c r="H85" s="81"/>
      <c r="I85" s="81"/>
      <c r="J85" s="35"/>
      <c r="K85" s="36"/>
      <c r="L85" s="36"/>
      <c r="M85" s="36"/>
      <c r="N85" s="36"/>
      <c r="O85" s="36"/>
      <c r="P85" s="36"/>
      <c r="Q85" s="36"/>
      <c r="R85" s="36"/>
      <c r="S85" s="36"/>
      <c r="T85" s="36"/>
      <c r="U85" s="36"/>
      <c r="V85" s="36"/>
      <c r="W85" s="36"/>
      <c r="X85" s="36"/>
      <c r="Y85" s="36"/>
      <c r="Z85" s="36"/>
      <c r="AA85" s="36"/>
      <c r="AB85" s="36"/>
      <c r="AC85" s="36"/>
    </row>
    <row r="86" spans="1:29" ht="36" customHeight="1">
      <c r="A86" s="589">
        <v>89</v>
      </c>
      <c r="B86" s="589">
        <v>39</v>
      </c>
      <c r="C86" s="595" t="s">
        <v>3982</v>
      </c>
      <c r="D86" s="598">
        <v>44302</v>
      </c>
      <c r="E86" s="591" t="s">
        <v>3983</v>
      </c>
      <c r="F86" s="592" t="s">
        <v>41</v>
      </c>
      <c r="G86" s="594" t="s">
        <v>3956</v>
      </c>
      <c r="H86" s="81"/>
      <c r="I86" s="81"/>
      <c r="J86" s="35"/>
      <c r="K86" s="36"/>
      <c r="L86" s="36"/>
      <c r="M86" s="36"/>
      <c r="N86" s="36"/>
      <c r="O86" s="36"/>
      <c r="P86" s="36"/>
      <c r="Q86" s="36"/>
      <c r="R86" s="36"/>
      <c r="S86" s="36"/>
      <c r="T86" s="36"/>
      <c r="U86" s="36"/>
      <c r="V86" s="36"/>
      <c r="W86" s="36"/>
      <c r="X86" s="36"/>
      <c r="Y86" s="36"/>
      <c r="Z86" s="36"/>
      <c r="AA86" s="36"/>
      <c r="AB86" s="36"/>
      <c r="AC86" s="36"/>
    </row>
    <row r="87" spans="1:29" ht="24" customHeight="1">
      <c r="A87" s="589">
        <v>90</v>
      </c>
      <c r="B87" s="589">
        <v>55</v>
      </c>
      <c r="C87" s="595" t="s">
        <v>3984</v>
      </c>
      <c r="D87" s="598">
        <v>44305</v>
      </c>
      <c r="E87" s="591" t="s">
        <v>3985</v>
      </c>
      <c r="F87" s="592" t="s">
        <v>41</v>
      </c>
      <c r="G87" s="594" t="s">
        <v>3965</v>
      </c>
      <c r="H87" s="81"/>
      <c r="I87" s="81"/>
      <c r="J87" s="35"/>
      <c r="K87" s="36"/>
      <c r="L87" s="36"/>
      <c r="M87" s="36"/>
      <c r="N87" s="36"/>
      <c r="O87" s="36"/>
      <c r="P87" s="36"/>
      <c r="Q87" s="36"/>
      <c r="R87" s="36"/>
      <c r="S87" s="36"/>
      <c r="T87" s="36"/>
      <c r="U87" s="36"/>
      <c r="V87" s="36"/>
      <c r="W87" s="36"/>
      <c r="X87" s="36"/>
      <c r="Y87" s="36"/>
      <c r="Z87" s="36"/>
      <c r="AA87" s="36"/>
      <c r="AB87" s="36"/>
      <c r="AC87" s="36"/>
    </row>
    <row r="88" spans="1:29" ht="24" customHeight="1">
      <c r="A88" s="589">
        <v>92</v>
      </c>
      <c r="B88" s="589">
        <v>61</v>
      </c>
      <c r="C88" s="595" t="s">
        <v>3986</v>
      </c>
      <c r="D88" s="598">
        <v>44314</v>
      </c>
      <c r="E88" s="591" t="s">
        <v>3987</v>
      </c>
      <c r="F88" s="592" t="s">
        <v>41</v>
      </c>
      <c r="G88" s="594" t="s">
        <v>3988</v>
      </c>
      <c r="H88" s="81"/>
      <c r="I88" s="81"/>
      <c r="J88" s="35"/>
      <c r="K88" s="36"/>
      <c r="L88" s="36"/>
      <c r="M88" s="36"/>
      <c r="N88" s="36"/>
      <c r="O88" s="36"/>
      <c r="P88" s="36"/>
      <c r="Q88" s="36"/>
      <c r="R88" s="36"/>
      <c r="S88" s="36"/>
      <c r="T88" s="36"/>
      <c r="U88" s="36"/>
      <c r="V88" s="36"/>
      <c r="W88" s="36"/>
      <c r="X88" s="36"/>
      <c r="Y88" s="36"/>
      <c r="Z88" s="36"/>
      <c r="AA88" s="36"/>
      <c r="AB88" s="36"/>
      <c r="AC88" s="36"/>
    </row>
    <row r="89" spans="1:29" ht="24" customHeight="1">
      <c r="A89" s="589">
        <v>93</v>
      </c>
      <c r="B89" s="589">
        <v>148</v>
      </c>
      <c r="C89" s="595" t="s">
        <v>3989</v>
      </c>
      <c r="D89" s="598">
        <v>44318</v>
      </c>
      <c r="E89" s="591" t="s">
        <v>3979</v>
      </c>
      <c r="F89" s="592" t="s">
        <v>41</v>
      </c>
      <c r="G89" s="594" t="s">
        <v>3990</v>
      </c>
      <c r="H89" s="81"/>
      <c r="I89" s="81"/>
      <c r="J89" s="35"/>
      <c r="K89" s="36"/>
      <c r="L89" s="36"/>
      <c r="M89" s="36"/>
      <c r="N89" s="36"/>
      <c r="O89" s="36"/>
      <c r="P89" s="36"/>
      <c r="Q89" s="36"/>
      <c r="R89" s="36"/>
      <c r="S89" s="36"/>
      <c r="T89" s="36"/>
      <c r="U89" s="36"/>
      <c r="V89" s="36"/>
      <c r="W89" s="36"/>
      <c r="X89" s="36"/>
      <c r="Y89" s="36"/>
      <c r="Z89" s="36"/>
      <c r="AA89" s="36"/>
      <c r="AB89" s="36"/>
      <c r="AC89" s="36"/>
    </row>
    <row r="90" spans="1:29" ht="72" customHeight="1">
      <c r="A90" s="589">
        <v>94</v>
      </c>
      <c r="B90" s="589">
        <v>137</v>
      </c>
      <c r="C90" s="595" t="s">
        <v>3991</v>
      </c>
      <c r="D90" s="598">
        <v>44319</v>
      </c>
      <c r="E90" s="591" t="s">
        <v>3992</v>
      </c>
      <c r="F90" s="592" t="s">
        <v>41</v>
      </c>
      <c r="G90" s="594" t="s">
        <v>3993</v>
      </c>
      <c r="H90" s="81"/>
      <c r="I90" s="81"/>
      <c r="J90" s="35"/>
      <c r="K90" s="36"/>
      <c r="L90" s="36"/>
      <c r="M90" s="36"/>
      <c r="N90" s="36"/>
      <c r="O90" s="36"/>
      <c r="P90" s="36"/>
      <c r="Q90" s="36"/>
      <c r="R90" s="36"/>
      <c r="S90" s="36"/>
      <c r="T90" s="36"/>
      <c r="U90" s="36"/>
      <c r="V90" s="36"/>
      <c r="W90" s="36"/>
      <c r="X90" s="36"/>
      <c r="Y90" s="36"/>
      <c r="Z90" s="36"/>
      <c r="AA90" s="36"/>
      <c r="AB90" s="36"/>
      <c r="AC90" s="36"/>
    </row>
    <row r="91" spans="1:29" ht="36" customHeight="1">
      <c r="A91" s="589">
        <v>95</v>
      </c>
      <c r="B91" s="589">
        <v>190</v>
      </c>
      <c r="C91" s="595" t="s">
        <v>3994</v>
      </c>
      <c r="D91" s="598">
        <v>44348</v>
      </c>
      <c r="E91" s="591" t="s">
        <v>3995</v>
      </c>
      <c r="F91" s="592" t="s">
        <v>41</v>
      </c>
      <c r="G91" s="594" t="s">
        <v>3996</v>
      </c>
      <c r="H91" s="81"/>
      <c r="I91" s="81"/>
      <c r="J91" s="35"/>
      <c r="K91" s="36"/>
      <c r="L91" s="36"/>
      <c r="M91" s="36"/>
      <c r="N91" s="36"/>
      <c r="O91" s="36"/>
      <c r="P91" s="36"/>
      <c r="Q91" s="36"/>
      <c r="R91" s="36"/>
      <c r="S91" s="36"/>
      <c r="T91" s="36"/>
      <c r="U91" s="36"/>
      <c r="V91" s="36"/>
      <c r="W91" s="36"/>
      <c r="X91" s="36"/>
      <c r="Y91" s="36"/>
      <c r="Z91" s="36"/>
      <c r="AA91" s="36"/>
      <c r="AB91" s="36"/>
      <c r="AC91" s="36"/>
    </row>
    <row r="92" spans="1:29" ht="36" customHeight="1">
      <c r="A92" s="589">
        <v>96</v>
      </c>
      <c r="B92" s="589">
        <v>277</v>
      </c>
      <c r="C92" s="595" t="s">
        <v>3997</v>
      </c>
      <c r="D92" s="598">
        <v>44407</v>
      </c>
      <c r="E92" s="591" t="s">
        <v>3998</v>
      </c>
      <c r="F92" s="592" t="s">
        <v>41</v>
      </c>
      <c r="G92" s="602" t="s">
        <v>3999</v>
      </c>
      <c r="H92" s="81"/>
      <c r="I92" s="81"/>
      <c r="J92" s="35"/>
      <c r="K92" s="36"/>
      <c r="L92" s="36"/>
      <c r="M92" s="36"/>
      <c r="N92" s="36"/>
      <c r="O92" s="36"/>
      <c r="P92" s="36"/>
      <c r="Q92" s="36"/>
      <c r="R92" s="36"/>
      <c r="S92" s="36"/>
      <c r="T92" s="36"/>
      <c r="U92" s="36"/>
      <c r="V92" s="36"/>
      <c r="W92" s="36"/>
      <c r="X92" s="36"/>
      <c r="Y92" s="36"/>
      <c r="Z92" s="36"/>
      <c r="AA92" s="36"/>
      <c r="AB92" s="36"/>
      <c r="AC92" s="36"/>
    </row>
    <row r="93" spans="1:29" ht="84" customHeight="1">
      <c r="A93" s="589">
        <v>97</v>
      </c>
      <c r="B93" s="589">
        <v>442</v>
      </c>
      <c r="C93" s="589" t="s">
        <v>4000</v>
      </c>
      <c r="D93" s="603">
        <v>44509</v>
      </c>
      <c r="E93" s="591" t="s">
        <v>4001</v>
      </c>
      <c r="F93" s="592" t="s">
        <v>41</v>
      </c>
      <c r="G93" s="602" t="s">
        <v>4002</v>
      </c>
      <c r="H93" s="94"/>
      <c r="I93" s="81"/>
      <c r="J93" s="35"/>
      <c r="K93" s="36"/>
      <c r="L93" s="36"/>
      <c r="M93" s="36"/>
      <c r="N93" s="36"/>
      <c r="O93" s="36"/>
      <c r="P93" s="36"/>
      <c r="Q93" s="36"/>
      <c r="R93" s="36"/>
      <c r="S93" s="36"/>
      <c r="T93" s="36"/>
      <c r="U93" s="36"/>
      <c r="V93" s="36"/>
      <c r="W93" s="36"/>
      <c r="X93" s="36"/>
      <c r="Y93" s="36"/>
      <c r="Z93" s="36"/>
      <c r="AA93" s="36"/>
      <c r="AB93" s="36"/>
      <c r="AC93" s="36"/>
    </row>
    <row r="94" spans="1:29" ht="99" customHeight="1">
      <c r="A94" s="604">
        <v>98</v>
      </c>
      <c r="B94" s="605">
        <v>76</v>
      </c>
      <c r="C94" s="605" t="s">
        <v>4003</v>
      </c>
      <c r="D94" s="606">
        <v>44621</v>
      </c>
      <c r="E94" s="607" t="s">
        <v>4004</v>
      </c>
      <c r="F94" s="607" t="s">
        <v>41</v>
      </c>
      <c r="G94" s="608" t="s">
        <v>4005</v>
      </c>
      <c r="H94" s="81"/>
      <c r="I94" s="81"/>
      <c r="J94" s="35"/>
      <c r="K94" s="36"/>
      <c r="L94" s="36"/>
      <c r="M94" s="36"/>
      <c r="N94" s="36"/>
      <c r="O94" s="36"/>
      <c r="P94" s="36"/>
      <c r="Q94" s="36"/>
      <c r="R94" s="36"/>
      <c r="S94" s="36"/>
      <c r="T94" s="36"/>
      <c r="U94" s="36"/>
      <c r="V94" s="36"/>
      <c r="W94" s="36"/>
      <c r="X94" s="36"/>
      <c r="Y94" s="36"/>
      <c r="Z94" s="36"/>
      <c r="AA94" s="36"/>
      <c r="AB94" s="36"/>
      <c r="AC94" s="36"/>
    </row>
    <row r="95" spans="1:29" ht="53.25" customHeight="1">
      <c r="A95" s="609">
        <v>99</v>
      </c>
      <c r="B95" s="610">
        <v>3</v>
      </c>
      <c r="C95" s="610" t="s">
        <v>4006</v>
      </c>
      <c r="D95" s="611">
        <v>44656</v>
      </c>
      <c r="E95" s="612" t="s">
        <v>4007</v>
      </c>
      <c r="F95" s="613"/>
      <c r="G95" s="614" t="s">
        <v>4008</v>
      </c>
      <c r="H95" s="81"/>
      <c r="I95" s="81"/>
      <c r="J95" s="35"/>
      <c r="K95" s="36"/>
      <c r="L95" s="36"/>
      <c r="M95" s="36"/>
      <c r="N95" s="36"/>
      <c r="O95" s="36"/>
      <c r="P95" s="36"/>
      <c r="Q95" s="36"/>
      <c r="R95" s="36"/>
      <c r="S95" s="36"/>
      <c r="T95" s="36"/>
      <c r="U95" s="36"/>
      <c r="V95" s="36"/>
      <c r="W95" s="36"/>
      <c r="X95" s="36"/>
      <c r="Y95" s="36"/>
      <c r="Z95" s="36"/>
      <c r="AA95" s="36"/>
      <c r="AB95" s="36"/>
      <c r="AC95" s="36"/>
    </row>
    <row r="96" spans="1:29" ht="24" customHeight="1">
      <c r="A96" s="615"/>
      <c r="B96" s="615"/>
      <c r="C96" s="615"/>
      <c r="D96" s="615"/>
      <c r="E96" s="616"/>
      <c r="F96" s="617"/>
      <c r="G96" s="617"/>
      <c r="H96" s="81"/>
      <c r="I96" s="81"/>
      <c r="J96" s="35"/>
      <c r="K96" s="36"/>
      <c r="L96" s="36"/>
      <c r="M96" s="36"/>
      <c r="N96" s="36"/>
      <c r="O96" s="36"/>
      <c r="P96" s="36"/>
      <c r="Q96" s="36"/>
      <c r="R96" s="36"/>
      <c r="S96" s="36"/>
      <c r="T96" s="36"/>
      <c r="U96" s="36"/>
      <c r="V96" s="36"/>
      <c r="W96" s="36"/>
      <c r="X96" s="36"/>
      <c r="Y96" s="36"/>
      <c r="Z96" s="36"/>
      <c r="AA96" s="36"/>
      <c r="AB96" s="36"/>
      <c r="AC96" s="36"/>
    </row>
    <row r="97" spans="1:29" ht="48" customHeight="1">
      <c r="A97" s="615"/>
      <c r="B97" s="615"/>
      <c r="C97" s="615"/>
      <c r="D97" s="615"/>
      <c r="E97" s="616"/>
      <c r="F97" s="617"/>
      <c r="G97" s="617"/>
      <c r="H97" s="81"/>
      <c r="I97" s="81"/>
      <c r="J97" s="35"/>
      <c r="K97" s="36"/>
      <c r="L97" s="36"/>
      <c r="M97" s="36"/>
      <c r="N97" s="36"/>
      <c r="O97" s="36"/>
      <c r="P97" s="36"/>
      <c r="Q97" s="36"/>
      <c r="R97" s="36"/>
      <c r="S97" s="36"/>
      <c r="T97" s="36"/>
      <c r="U97" s="36"/>
      <c r="V97" s="36"/>
      <c r="W97" s="36"/>
      <c r="X97" s="36"/>
      <c r="Y97" s="36"/>
      <c r="Z97" s="36"/>
      <c r="AA97" s="36"/>
      <c r="AB97" s="36"/>
      <c r="AC97" s="36"/>
    </row>
    <row r="98" spans="1:29" ht="36" customHeight="1">
      <c r="A98" s="615"/>
      <c r="B98" s="615"/>
      <c r="C98" s="618"/>
      <c r="D98" s="618"/>
      <c r="E98" s="616"/>
      <c r="F98" s="617"/>
      <c r="G98" s="617"/>
      <c r="H98" s="81"/>
      <c r="I98" s="81"/>
      <c r="J98" s="35"/>
      <c r="K98" s="36"/>
      <c r="L98" s="36"/>
      <c r="M98" s="36"/>
      <c r="N98" s="36"/>
      <c r="O98" s="36"/>
      <c r="P98" s="36"/>
      <c r="Q98" s="36"/>
      <c r="R98" s="36"/>
      <c r="S98" s="36"/>
      <c r="T98" s="36"/>
      <c r="U98" s="36"/>
      <c r="V98" s="36"/>
      <c r="W98" s="36"/>
      <c r="X98" s="36"/>
      <c r="Y98" s="36"/>
      <c r="Z98" s="36"/>
      <c r="AA98" s="36"/>
      <c r="AB98" s="36"/>
      <c r="AC98" s="36"/>
    </row>
    <row r="99" spans="1:29" ht="36" customHeight="1">
      <c r="A99" s="619"/>
      <c r="B99" s="94"/>
      <c r="C99" s="81"/>
      <c r="D99" s="81"/>
      <c r="E99" s="80"/>
      <c r="F99" s="620"/>
      <c r="G99" s="620"/>
      <c r="H99" s="81"/>
      <c r="I99" s="81"/>
      <c r="J99" s="35"/>
      <c r="K99" s="36"/>
      <c r="L99" s="36"/>
      <c r="M99" s="36"/>
      <c r="N99" s="36"/>
      <c r="O99" s="36"/>
      <c r="P99" s="36"/>
      <c r="Q99" s="36"/>
      <c r="R99" s="36"/>
      <c r="S99" s="36"/>
      <c r="T99" s="36"/>
      <c r="U99" s="36"/>
      <c r="V99" s="36"/>
      <c r="W99" s="36"/>
      <c r="X99" s="36"/>
      <c r="Y99" s="36"/>
      <c r="Z99" s="36"/>
      <c r="AA99" s="36"/>
      <c r="AB99" s="36"/>
      <c r="AC99" s="36"/>
    </row>
    <row r="100" spans="1:29" ht="36" customHeight="1">
      <c r="A100" s="619"/>
      <c r="B100" s="94"/>
      <c r="C100" s="81"/>
      <c r="D100" s="81"/>
      <c r="E100" s="80"/>
      <c r="F100" s="620"/>
      <c r="G100" s="620"/>
      <c r="H100" s="81"/>
      <c r="I100" s="81"/>
      <c r="J100" s="35"/>
      <c r="K100" s="36"/>
      <c r="L100" s="36"/>
      <c r="M100" s="36"/>
      <c r="N100" s="36"/>
      <c r="O100" s="36"/>
      <c r="P100" s="36"/>
      <c r="Q100" s="36"/>
      <c r="R100" s="36"/>
      <c r="S100" s="36"/>
      <c r="T100" s="36"/>
      <c r="U100" s="36"/>
      <c r="V100" s="36"/>
      <c r="W100" s="36"/>
      <c r="X100" s="36"/>
      <c r="Y100" s="36"/>
      <c r="Z100" s="36"/>
      <c r="AA100" s="36"/>
      <c r="AB100" s="36"/>
      <c r="AC100" s="36"/>
    </row>
    <row r="101" spans="1:29" ht="36" customHeight="1">
      <c r="A101" s="619"/>
      <c r="B101" s="94"/>
      <c r="C101" s="81"/>
      <c r="D101" s="81"/>
      <c r="E101" s="80"/>
      <c r="F101" s="620"/>
      <c r="G101" s="620"/>
      <c r="H101" s="81"/>
      <c r="I101" s="81"/>
      <c r="J101" s="35"/>
      <c r="K101" s="36"/>
      <c r="L101" s="36"/>
      <c r="M101" s="36"/>
      <c r="N101" s="36"/>
      <c r="O101" s="36"/>
      <c r="P101" s="36"/>
      <c r="Q101" s="36"/>
      <c r="R101" s="36"/>
      <c r="S101" s="36"/>
      <c r="T101" s="36"/>
      <c r="U101" s="36"/>
      <c r="V101" s="36"/>
      <c r="W101" s="36"/>
      <c r="X101" s="36"/>
      <c r="Y101" s="36"/>
      <c r="Z101" s="36"/>
      <c r="AA101" s="36"/>
      <c r="AB101" s="36"/>
      <c r="AC101" s="36"/>
    </row>
    <row r="102" spans="1:29" ht="24" customHeight="1">
      <c r="A102" s="619"/>
      <c r="B102" s="94"/>
      <c r="C102" s="81"/>
      <c r="D102" s="81"/>
      <c r="E102" s="80"/>
      <c r="F102" s="620"/>
      <c r="G102" s="620"/>
      <c r="H102" s="81"/>
      <c r="I102" s="81"/>
      <c r="J102" s="35"/>
      <c r="K102" s="36"/>
      <c r="L102" s="36"/>
      <c r="M102" s="36"/>
      <c r="N102" s="36"/>
      <c r="O102" s="36"/>
      <c r="P102" s="36"/>
      <c r="Q102" s="36"/>
      <c r="R102" s="36"/>
      <c r="S102" s="36"/>
      <c r="T102" s="36"/>
      <c r="U102" s="36"/>
      <c r="V102" s="36"/>
      <c r="W102" s="36"/>
      <c r="X102" s="36"/>
      <c r="Y102" s="36"/>
      <c r="Z102" s="36"/>
      <c r="AA102" s="36"/>
      <c r="AB102" s="36"/>
      <c r="AC102" s="36"/>
    </row>
    <row r="103" spans="1:29" ht="24" customHeight="1">
      <c r="A103" s="81"/>
      <c r="B103" s="94"/>
      <c r="C103" s="81"/>
      <c r="D103" s="81"/>
      <c r="E103" s="80"/>
      <c r="F103" s="620"/>
      <c r="G103" s="620"/>
      <c r="H103" s="81"/>
      <c r="I103" s="81"/>
      <c r="J103" s="35"/>
      <c r="K103" s="36"/>
      <c r="L103" s="36"/>
      <c r="M103" s="36"/>
      <c r="N103" s="36"/>
      <c r="O103" s="36"/>
      <c r="P103" s="36"/>
      <c r="Q103" s="36"/>
      <c r="R103" s="36"/>
      <c r="S103" s="36"/>
      <c r="T103" s="36"/>
      <c r="U103" s="36"/>
      <c r="V103" s="36"/>
      <c r="W103" s="36"/>
      <c r="X103" s="36"/>
      <c r="Y103" s="36"/>
      <c r="Z103" s="36"/>
      <c r="AA103" s="36"/>
      <c r="AB103" s="36"/>
      <c r="AC103" s="36"/>
    </row>
    <row r="104" spans="1:29" ht="36" customHeight="1">
      <c r="A104" s="81"/>
      <c r="B104" s="94"/>
      <c r="C104" s="81"/>
      <c r="D104" s="81"/>
      <c r="E104" s="80"/>
      <c r="F104" s="620"/>
      <c r="G104" s="620"/>
      <c r="H104" s="81"/>
      <c r="I104" s="81"/>
      <c r="J104" s="35"/>
      <c r="K104" s="36"/>
      <c r="L104" s="36"/>
      <c r="M104" s="36"/>
      <c r="N104" s="36"/>
      <c r="O104" s="36"/>
      <c r="P104" s="36"/>
      <c r="Q104" s="36"/>
      <c r="R104" s="36"/>
      <c r="S104" s="36"/>
      <c r="T104" s="36"/>
      <c r="U104" s="36"/>
      <c r="V104" s="36"/>
      <c r="W104" s="36"/>
      <c r="X104" s="36"/>
      <c r="Y104" s="36"/>
      <c r="Z104" s="36"/>
      <c r="AA104" s="36"/>
      <c r="AB104" s="36"/>
      <c r="AC104" s="36"/>
    </row>
    <row r="105" spans="1:29" ht="48" customHeight="1">
      <c r="A105" s="81"/>
      <c r="B105" s="94"/>
      <c r="C105" s="81"/>
      <c r="D105" s="81"/>
      <c r="E105" s="80"/>
      <c r="F105" s="620"/>
      <c r="G105" s="620"/>
      <c r="H105" s="81"/>
      <c r="I105" s="81"/>
      <c r="J105" s="35"/>
      <c r="K105" s="36"/>
      <c r="L105" s="36"/>
      <c r="M105" s="36"/>
      <c r="N105" s="36"/>
      <c r="O105" s="36"/>
      <c r="P105" s="36"/>
      <c r="Q105" s="36"/>
      <c r="R105" s="36"/>
      <c r="S105" s="36"/>
      <c r="T105" s="36"/>
      <c r="U105" s="36"/>
      <c r="V105" s="36"/>
      <c r="W105" s="36"/>
      <c r="X105" s="36"/>
      <c r="Y105" s="36"/>
      <c r="Z105" s="36"/>
      <c r="AA105" s="36"/>
      <c r="AB105" s="36"/>
      <c r="AC105" s="36"/>
    </row>
    <row r="106" spans="1:29" ht="36" customHeight="1">
      <c r="A106" s="81"/>
      <c r="B106" s="94"/>
      <c r="C106" s="81"/>
      <c r="D106" s="81"/>
      <c r="E106" s="80"/>
      <c r="F106" s="620"/>
      <c r="G106" s="620"/>
      <c r="H106" s="81"/>
      <c r="I106" s="81"/>
      <c r="J106" s="35"/>
      <c r="K106" s="36"/>
      <c r="L106" s="36"/>
      <c r="M106" s="36"/>
      <c r="N106" s="36"/>
      <c r="O106" s="36"/>
      <c r="P106" s="36"/>
      <c r="Q106" s="36"/>
      <c r="R106" s="36"/>
      <c r="S106" s="36"/>
      <c r="T106" s="36"/>
      <c r="U106" s="36"/>
      <c r="V106" s="36"/>
      <c r="W106" s="36"/>
      <c r="X106" s="36"/>
      <c r="Y106" s="36"/>
      <c r="Z106" s="36"/>
      <c r="AA106" s="36"/>
      <c r="AB106" s="36"/>
      <c r="AC106" s="36"/>
    </row>
    <row r="107" spans="1:29" ht="36" customHeight="1">
      <c r="A107" s="81"/>
      <c r="B107" s="94"/>
      <c r="C107" s="81"/>
      <c r="D107" s="81"/>
      <c r="E107" s="80"/>
      <c r="F107" s="620"/>
      <c r="G107" s="620"/>
      <c r="H107" s="81"/>
      <c r="I107" s="81"/>
      <c r="J107" s="35"/>
      <c r="K107" s="36"/>
      <c r="L107" s="36"/>
      <c r="M107" s="36"/>
      <c r="N107" s="36"/>
      <c r="O107" s="36"/>
      <c r="P107" s="36"/>
      <c r="Q107" s="36"/>
      <c r="R107" s="36"/>
      <c r="S107" s="36"/>
      <c r="T107" s="36"/>
      <c r="U107" s="36"/>
      <c r="V107" s="36"/>
      <c r="W107" s="36"/>
      <c r="X107" s="36"/>
      <c r="Y107" s="36"/>
      <c r="Z107" s="36"/>
      <c r="AA107" s="36"/>
      <c r="AB107" s="36"/>
      <c r="AC107" s="36"/>
    </row>
    <row r="108" spans="1:29" ht="36" customHeight="1">
      <c r="A108" s="81"/>
      <c r="B108" s="94"/>
      <c r="C108" s="81"/>
      <c r="D108" s="81"/>
      <c r="E108" s="80"/>
      <c r="F108" s="620"/>
      <c r="G108" s="620"/>
      <c r="H108" s="81"/>
      <c r="I108" s="81"/>
      <c r="J108" s="35"/>
      <c r="K108" s="36"/>
      <c r="L108" s="36"/>
      <c r="M108" s="36"/>
      <c r="N108" s="36"/>
      <c r="O108" s="36"/>
      <c r="P108" s="36"/>
      <c r="Q108" s="36"/>
      <c r="R108" s="36"/>
      <c r="S108" s="36"/>
      <c r="T108" s="36"/>
      <c r="U108" s="36"/>
      <c r="V108" s="36"/>
      <c r="W108" s="36"/>
      <c r="X108" s="36"/>
      <c r="Y108" s="36"/>
      <c r="Z108" s="36"/>
      <c r="AA108" s="36"/>
      <c r="AB108" s="36"/>
      <c r="AC108" s="36"/>
    </row>
    <row r="109" spans="1:29" ht="36" customHeight="1">
      <c r="A109" s="81"/>
      <c r="B109" s="94"/>
      <c r="C109" s="81"/>
      <c r="D109" s="81"/>
      <c r="E109" s="80"/>
      <c r="F109" s="620"/>
      <c r="G109" s="620"/>
      <c r="H109" s="81"/>
      <c r="I109" s="81"/>
      <c r="J109" s="35"/>
      <c r="K109" s="36"/>
      <c r="L109" s="36"/>
      <c r="M109" s="36"/>
      <c r="N109" s="36"/>
      <c r="O109" s="36"/>
      <c r="P109" s="36"/>
      <c r="Q109" s="36"/>
      <c r="R109" s="36"/>
      <c r="S109" s="36"/>
      <c r="T109" s="36"/>
      <c r="U109" s="36"/>
      <c r="V109" s="36"/>
      <c r="W109" s="36"/>
      <c r="X109" s="36"/>
      <c r="Y109" s="36"/>
      <c r="Z109" s="36"/>
      <c r="AA109" s="36"/>
      <c r="AB109" s="36"/>
      <c r="AC109" s="36"/>
    </row>
    <row r="110" spans="1:29" ht="24" customHeight="1">
      <c r="A110" s="81"/>
      <c r="B110" s="94"/>
      <c r="C110" s="81"/>
      <c r="D110" s="81"/>
      <c r="E110" s="80"/>
      <c r="F110" s="620"/>
      <c r="G110" s="620"/>
      <c r="H110" s="81"/>
      <c r="I110" s="81"/>
      <c r="J110" s="35"/>
      <c r="K110" s="36"/>
      <c r="L110" s="36"/>
      <c r="M110" s="36"/>
      <c r="N110" s="36"/>
      <c r="O110" s="36"/>
      <c r="P110" s="36"/>
      <c r="Q110" s="36"/>
      <c r="R110" s="36"/>
      <c r="S110" s="36"/>
      <c r="T110" s="36"/>
      <c r="U110" s="36"/>
      <c r="V110" s="36"/>
      <c r="W110" s="36"/>
      <c r="X110" s="36"/>
      <c r="Y110" s="36"/>
      <c r="Z110" s="36"/>
      <c r="AA110" s="36"/>
      <c r="AB110" s="36"/>
      <c r="AC110" s="36"/>
    </row>
    <row r="111" spans="1:29" ht="36" customHeight="1">
      <c r="A111" s="81"/>
      <c r="B111" s="94"/>
      <c r="C111" s="81"/>
      <c r="D111" s="81"/>
      <c r="E111" s="80"/>
      <c r="F111" s="620"/>
      <c r="G111" s="620"/>
      <c r="H111" s="81"/>
      <c r="I111" s="81"/>
      <c r="J111" s="35"/>
      <c r="K111" s="36"/>
      <c r="L111" s="36"/>
      <c r="M111" s="36"/>
      <c r="N111" s="36"/>
      <c r="O111" s="36"/>
      <c r="P111" s="36"/>
      <c r="Q111" s="36"/>
      <c r="R111" s="36"/>
      <c r="S111" s="36"/>
      <c r="T111" s="36"/>
      <c r="U111" s="36"/>
      <c r="V111" s="36"/>
      <c r="W111" s="36"/>
      <c r="X111" s="36"/>
      <c r="Y111" s="36"/>
      <c r="Z111" s="36"/>
      <c r="AA111" s="36"/>
      <c r="AB111" s="36"/>
      <c r="AC111" s="36"/>
    </row>
    <row r="112" spans="1:29" ht="36" customHeight="1">
      <c r="A112" s="81"/>
      <c r="B112" s="94"/>
      <c r="C112" s="81"/>
      <c r="D112" s="81"/>
      <c r="E112" s="80"/>
      <c r="F112" s="620"/>
      <c r="G112" s="620"/>
      <c r="H112" s="81"/>
      <c r="I112" s="81"/>
      <c r="J112" s="35"/>
      <c r="K112" s="36"/>
      <c r="L112" s="36"/>
      <c r="M112" s="36"/>
      <c r="N112" s="36"/>
      <c r="O112" s="36"/>
      <c r="P112" s="36"/>
      <c r="Q112" s="36"/>
      <c r="R112" s="36"/>
      <c r="S112" s="36"/>
      <c r="T112" s="36"/>
      <c r="U112" s="36"/>
      <c r="V112" s="36"/>
      <c r="W112" s="36"/>
      <c r="X112" s="36"/>
      <c r="Y112" s="36"/>
      <c r="Z112" s="36"/>
      <c r="AA112" s="36"/>
      <c r="AB112" s="36"/>
      <c r="AC112" s="36"/>
    </row>
    <row r="113" spans="1:29" ht="36" customHeight="1">
      <c r="A113" s="81"/>
      <c r="B113" s="94"/>
      <c r="C113" s="81"/>
      <c r="D113" s="81"/>
      <c r="E113" s="80"/>
      <c r="F113" s="620"/>
      <c r="G113" s="620"/>
      <c r="H113" s="81"/>
      <c r="I113" s="81"/>
      <c r="J113" s="35"/>
      <c r="K113" s="36"/>
      <c r="L113" s="36"/>
      <c r="M113" s="36"/>
      <c r="N113" s="36"/>
      <c r="O113" s="36"/>
      <c r="P113" s="36"/>
      <c r="Q113" s="36"/>
      <c r="R113" s="36"/>
      <c r="S113" s="36"/>
      <c r="T113" s="36"/>
      <c r="U113" s="36"/>
      <c r="V113" s="36"/>
      <c r="W113" s="36"/>
      <c r="X113" s="36"/>
      <c r="Y113" s="36"/>
      <c r="Z113" s="36"/>
      <c r="AA113" s="36"/>
      <c r="AB113" s="36"/>
      <c r="AC113" s="36"/>
    </row>
    <row r="114" spans="1:29" ht="36" customHeight="1">
      <c r="A114" s="81"/>
      <c r="B114" s="94"/>
      <c r="C114" s="81"/>
      <c r="D114" s="81"/>
      <c r="E114" s="80"/>
      <c r="F114" s="620"/>
      <c r="G114" s="620"/>
      <c r="H114" s="81"/>
      <c r="I114" s="81"/>
      <c r="J114" s="35"/>
      <c r="K114" s="36"/>
      <c r="L114" s="36"/>
      <c r="M114" s="36"/>
      <c r="N114" s="36"/>
      <c r="O114" s="36"/>
      <c r="P114" s="36"/>
      <c r="Q114" s="36"/>
      <c r="R114" s="36"/>
      <c r="S114" s="36"/>
      <c r="T114" s="36"/>
      <c r="U114" s="36"/>
      <c r="V114" s="36"/>
      <c r="W114" s="36"/>
      <c r="X114" s="36"/>
      <c r="Y114" s="36"/>
      <c r="Z114" s="36"/>
      <c r="AA114" s="36"/>
      <c r="AB114" s="36"/>
      <c r="AC114" s="36"/>
    </row>
    <row r="115" spans="1:29" ht="36" customHeight="1">
      <c r="A115" s="81"/>
      <c r="B115" s="94"/>
      <c r="C115" s="81"/>
      <c r="D115" s="81"/>
      <c r="E115" s="80"/>
      <c r="F115" s="620"/>
      <c r="G115" s="620"/>
      <c r="H115" s="81"/>
      <c r="I115" s="81"/>
      <c r="J115" s="35"/>
      <c r="K115" s="36"/>
      <c r="L115" s="36"/>
      <c r="M115" s="36"/>
      <c r="N115" s="36"/>
      <c r="O115" s="36"/>
      <c r="P115" s="36"/>
      <c r="Q115" s="36"/>
      <c r="R115" s="36"/>
      <c r="S115" s="36"/>
      <c r="T115" s="36"/>
      <c r="U115" s="36"/>
      <c r="V115" s="36"/>
      <c r="W115" s="36"/>
      <c r="X115" s="36"/>
      <c r="Y115" s="36"/>
      <c r="Z115" s="36"/>
      <c r="AA115" s="36"/>
      <c r="AB115" s="36"/>
      <c r="AC115" s="36"/>
    </row>
    <row r="116" spans="1:29" ht="24" customHeight="1">
      <c r="A116" s="81"/>
      <c r="B116" s="94"/>
      <c r="C116" s="81"/>
      <c r="D116" s="81"/>
      <c r="E116" s="80"/>
      <c r="F116" s="620"/>
      <c r="G116" s="620"/>
      <c r="H116" s="81"/>
      <c r="I116" s="81"/>
      <c r="J116" s="35"/>
      <c r="K116" s="36"/>
      <c r="L116" s="36"/>
      <c r="M116" s="36"/>
      <c r="N116" s="36"/>
      <c r="O116" s="36"/>
      <c r="P116" s="36"/>
      <c r="Q116" s="36"/>
      <c r="R116" s="36"/>
      <c r="S116" s="36"/>
      <c r="T116" s="36"/>
      <c r="U116" s="36"/>
      <c r="V116" s="36"/>
      <c r="W116" s="36"/>
      <c r="X116" s="36"/>
      <c r="Y116" s="36"/>
      <c r="Z116" s="36"/>
      <c r="AA116" s="36"/>
      <c r="AB116" s="36"/>
      <c r="AC116" s="36"/>
    </row>
    <row r="117" spans="1:29" ht="24" customHeight="1">
      <c r="A117" s="81"/>
      <c r="B117" s="94"/>
      <c r="C117" s="81"/>
      <c r="D117" s="81"/>
      <c r="E117" s="80"/>
      <c r="F117" s="620"/>
      <c r="G117" s="620"/>
      <c r="H117" s="81"/>
      <c r="I117" s="81"/>
      <c r="J117" s="35"/>
      <c r="K117" s="36"/>
      <c r="L117" s="36"/>
      <c r="M117" s="36"/>
      <c r="N117" s="36"/>
      <c r="O117" s="36"/>
      <c r="P117" s="36"/>
      <c r="Q117" s="36"/>
      <c r="R117" s="36"/>
      <c r="S117" s="36"/>
      <c r="T117" s="36"/>
      <c r="U117" s="36"/>
      <c r="V117" s="36"/>
      <c r="W117" s="36"/>
      <c r="X117" s="36"/>
      <c r="Y117" s="36"/>
      <c r="Z117" s="36"/>
      <c r="AA117" s="36"/>
      <c r="AB117" s="36"/>
      <c r="AC117" s="36"/>
    </row>
    <row r="118" spans="1:29" ht="24" customHeight="1">
      <c r="A118" s="81"/>
      <c r="B118" s="94"/>
      <c r="C118" s="81"/>
      <c r="D118" s="81"/>
      <c r="E118" s="80"/>
      <c r="F118" s="620"/>
      <c r="G118" s="620"/>
      <c r="H118" s="81"/>
      <c r="I118" s="81"/>
      <c r="J118" s="35"/>
      <c r="K118" s="36"/>
      <c r="L118" s="36"/>
      <c r="M118" s="36"/>
      <c r="N118" s="36"/>
      <c r="O118" s="36"/>
      <c r="P118" s="36"/>
      <c r="Q118" s="36"/>
      <c r="R118" s="36"/>
      <c r="S118" s="36"/>
      <c r="T118" s="36"/>
      <c r="U118" s="36"/>
      <c r="V118" s="36"/>
      <c r="W118" s="36"/>
      <c r="X118" s="36"/>
      <c r="Y118" s="36"/>
      <c r="Z118" s="36"/>
      <c r="AA118" s="36"/>
      <c r="AB118" s="36"/>
      <c r="AC118" s="36"/>
    </row>
    <row r="119" spans="1:29" ht="24" customHeight="1">
      <c r="A119" s="81"/>
      <c r="B119" s="94"/>
      <c r="C119" s="81"/>
      <c r="D119" s="81"/>
      <c r="E119" s="80"/>
      <c r="F119" s="620"/>
      <c r="G119" s="620"/>
      <c r="H119" s="81"/>
      <c r="I119" s="81"/>
      <c r="J119" s="35"/>
      <c r="K119" s="36"/>
      <c r="L119" s="36"/>
      <c r="M119" s="36"/>
      <c r="N119" s="36"/>
      <c r="O119" s="36"/>
      <c r="P119" s="36"/>
      <c r="Q119" s="36"/>
      <c r="R119" s="36"/>
      <c r="S119" s="36"/>
      <c r="T119" s="36"/>
      <c r="U119" s="36"/>
      <c r="V119" s="36"/>
      <c r="W119" s="36"/>
      <c r="X119" s="36"/>
      <c r="Y119" s="36"/>
      <c r="Z119" s="36"/>
      <c r="AA119" s="36"/>
      <c r="AB119" s="36"/>
      <c r="AC119" s="36"/>
    </row>
    <row r="120" spans="1:29" ht="36" customHeight="1">
      <c r="A120" s="81"/>
      <c r="B120" s="94"/>
      <c r="C120" s="81"/>
      <c r="D120" s="81"/>
      <c r="E120" s="80"/>
      <c r="F120" s="620"/>
      <c r="G120" s="620"/>
      <c r="H120" s="81"/>
      <c r="I120" s="81"/>
      <c r="J120" s="35"/>
      <c r="K120" s="36"/>
      <c r="L120" s="36"/>
      <c r="M120" s="36"/>
      <c r="N120" s="36"/>
      <c r="O120" s="36"/>
      <c r="P120" s="36"/>
      <c r="Q120" s="36"/>
      <c r="R120" s="36"/>
      <c r="S120" s="36"/>
      <c r="T120" s="36"/>
      <c r="U120" s="36"/>
      <c r="V120" s="36"/>
      <c r="W120" s="36"/>
      <c r="X120" s="36"/>
      <c r="Y120" s="36"/>
      <c r="Z120" s="36"/>
      <c r="AA120" s="36"/>
      <c r="AB120" s="36"/>
      <c r="AC120" s="36"/>
    </row>
    <row r="121" spans="1:29" ht="36" customHeight="1">
      <c r="A121" s="81"/>
      <c r="B121" s="94"/>
      <c r="C121" s="81"/>
      <c r="D121" s="81"/>
      <c r="E121" s="80"/>
      <c r="F121" s="620"/>
      <c r="G121" s="620"/>
      <c r="H121" s="81"/>
      <c r="I121" s="81"/>
      <c r="J121" s="35"/>
      <c r="K121" s="36"/>
      <c r="L121" s="36"/>
      <c r="M121" s="36"/>
      <c r="N121" s="36"/>
      <c r="O121" s="36"/>
      <c r="P121" s="36"/>
      <c r="Q121" s="36"/>
      <c r="R121" s="36"/>
      <c r="S121" s="36"/>
      <c r="T121" s="36"/>
      <c r="U121" s="36"/>
      <c r="V121" s="36"/>
      <c r="W121" s="36"/>
      <c r="X121" s="36"/>
      <c r="Y121" s="36"/>
      <c r="Z121" s="36"/>
      <c r="AA121" s="36"/>
      <c r="AB121" s="36"/>
      <c r="AC121" s="36"/>
    </row>
    <row r="122" spans="1:29" ht="24" customHeight="1">
      <c r="A122" s="81"/>
      <c r="B122" s="94"/>
      <c r="C122" s="81"/>
      <c r="D122" s="81"/>
      <c r="E122" s="80"/>
      <c r="F122" s="620"/>
      <c r="G122" s="620"/>
      <c r="H122" s="81"/>
      <c r="I122" s="81"/>
      <c r="J122" s="35"/>
      <c r="K122" s="36"/>
      <c r="L122" s="36"/>
      <c r="M122" s="36"/>
      <c r="N122" s="36"/>
      <c r="O122" s="36"/>
      <c r="P122" s="36"/>
      <c r="Q122" s="36"/>
      <c r="R122" s="36"/>
      <c r="S122" s="36"/>
      <c r="T122" s="36"/>
      <c r="U122" s="36"/>
      <c r="V122" s="36"/>
      <c r="W122" s="36"/>
      <c r="X122" s="36"/>
      <c r="Y122" s="36"/>
      <c r="Z122" s="36"/>
      <c r="AA122" s="36"/>
      <c r="AB122" s="36"/>
      <c r="AC122" s="36"/>
    </row>
    <row r="123" spans="1:29" ht="36" customHeight="1">
      <c r="A123" s="81"/>
      <c r="B123" s="94"/>
      <c r="C123" s="81"/>
      <c r="D123" s="81"/>
      <c r="E123" s="80"/>
      <c r="F123" s="620"/>
      <c r="G123" s="620"/>
      <c r="H123" s="81"/>
      <c r="I123" s="81"/>
      <c r="J123" s="35"/>
      <c r="K123" s="36"/>
      <c r="L123" s="36"/>
      <c r="M123" s="36"/>
      <c r="N123" s="36"/>
      <c r="O123" s="36"/>
      <c r="P123" s="36"/>
      <c r="Q123" s="36"/>
      <c r="R123" s="36"/>
      <c r="S123" s="36"/>
      <c r="T123" s="36"/>
      <c r="U123" s="36"/>
      <c r="V123" s="36"/>
      <c r="W123" s="36"/>
      <c r="X123" s="36"/>
      <c r="Y123" s="36"/>
      <c r="Z123" s="36"/>
      <c r="AA123" s="36"/>
      <c r="AB123" s="36"/>
      <c r="AC123" s="36"/>
    </row>
    <row r="124" spans="1:29" ht="24" customHeight="1">
      <c r="A124" s="81"/>
      <c r="B124" s="94"/>
      <c r="C124" s="81"/>
      <c r="D124" s="81"/>
      <c r="E124" s="80"/>
      <c r="F124" s="620"/>
      <c r="G124" s="620"/>
      <c r="H124" s="81"/>
      <c r="I124" s="81"/>
      <c r="J124" s="35"/>
      <c r="K124" s="36"/>
      <c r="L124" s="36"/>
      <c r="M124" s="36"/>
      <c r="N124" s="36"/>
      <c r="O124" s="36"/>
      <c r="P124" s="36"/>
      <c r="Q124" s="36"/>
      <c r="R124" s="36"/>
      <c r="S124" s="36"/>
      <c r="T124" s="36"/>
      <c r="U124" s="36"/>
      <c r="V124" s="36"/>
      <c r="W124" s="36"/>
      <c r="X124" s="36"/>
      <c r="Y124" s="36"/>
      <c r="Z124" s="36"/>
      <c r="AA124" s="36"/>
      <c r="AB124" s="36"/>
      <c r="AC124" s="36"/>
    </row>
    <row r="125" spans="1:29" ht="24" customHeight="1">
      <c r="A125" s="81"/>
      <c r="B125" s="94"/>
      <c r="C125" s="81"/>
      <c r="D125" s="81"/>
      <c r="E125" s="80"/>
      <c r="F125" s="620"/>
      <c r="G125" s="620"/>
      <c r="H125" s="81"/>
      <c r="I125" s="81"/>
      <c r="J125" s="35"/>
      <c r="K125" s="36"/>
      <c r="L125" s="36"/>
      <c r="M125" s="36"/>
      <c r="N125" s="36"/>
      <c r="O125" s="36"/>
      <c r="P125" s="36"/>
      <c r="Q125" s="36"/>
      <c r="R125" s="36"/>
      <c r="S125" s="36"/>
      <c r="T125" s="36"/>
      <c r="U125" s="36"/>
      <c r="V125" s="36"/>
      <c r="W125" s="36"/>
      <c r="X125" s="36"/>
      <c r="Y125" s="36"/>
      <c r="Z125" s="36"/>
      <c r="AA125" s="36"/>
      <c r="AB125" s="36"/>
      <c r="AC125" s="36"/>
    </row>
    <row r="126" spans="1:29" ht="48" customHeight="1">
      <c r="A126" s="81"/>
      <c r="B126" s="94"/>
      <c r="C126" s="81"/>
      <c r="D126" s="81"/>
      <c r="E126" s="80"/>
      <c r="F126" s="620"/>
      <c r="G126" s="620"/>
      <c r="H126" s="81"/>
      <c r="I126" s="81"/>
      <c r="J126" s="35"/>
      <c r="K126" s="36"/>
      <c r="L126" s="36"/>
      <c r="M126" s="36"/>
      <c r="N126" s="36"/>
      <c r="O126" s="36"/>
      <c r="P126" s="36"/>
      <c r="Q126" s="36"/>
      <c r="R126" s="36"/>
      <c r="S126" s="36"/>
      <c r="T126" s="36"/>
      <c r="U126" s="36"/>
      <c r="V126" s="36"/>
      <c r="W126" s="36"/>
      <c r="X126" s="36"/>
      <c r="Y126" s="36"/>
      <c r="Z126" s="36"/>
      <c r="AA126" s="36"/>
      <c r="AB126" s="36"/>
      <c r="AC126" s="36"/>
    </row>
    <row r="127" spans="1:29" ht="36" customHeight="1">
      <c r="A127" s="81"/>
      <c r="B127" s="81"/>
      <c r="C127" s="81"/>
      <c r="D127" s="81"/>
      <c r="E127" s="80"/>
      <c r="F127" s="620"/>
      <c r="G127" s="620"/>
      <c r="H127" s="81"/>
      <c r="I127" s="81"/>
      <c r="J127" s="35"/>
      <c r="K127" s="36"/>
      <c r="L127" s="36"/>
      <c r="M127" s="36"/>
      <c r="N127" s="36"/>
      <c r="O127" s="36"/>
      <c r="P127" s="36"/>
      <c r="Q127" s="36"/>
      <c r="R127" s="36"/>
      <c r="S127" s="36"/>
      <c r="T127" s="36"/>
      <c r="U127" s="36"/>
      <c r="V127" s="36"/>
      <c r="W127" s="36"/>
      <c r="X127" s="36"/>
      <c r="Y127" s="36"/>
      <c r="Z127" s="36"/>
      <c r="AA127" s="36"/>
      <c r="AB127" s="36"/>
      <c r="AC127" s="36"/>
    </row>
    <row r="128" spans="1:29" ht="48" customHeight="1">
      <c r="A128" s="81"/>
      <c r="B128" s="94"/>
      <c r="C128" s="81"/>
      <c r="D128" s="81"/>
      <c r="E128" s="80"/>
      <c r="F128" s="620"/>
      <c r="G128" s="620"/>
      <c r="H128" s="81"/>
      <c r="I128" s="81"/>
      <c r="J128" s="35"/>
      <c r="K128" s="36"/>
      <c r="L128" s="36"/>
      <c r="M128" s="36"/>
      <c r="N128" s="36"/>
      <c r="O128" s="36"/>
      <c r="P128" s="36"/>
      <c r="Q128" s="36"/>
      <c r="R128" s="36"/>
      <c r="S128" s="36"/>
      <c r="T128" s="36"/>
      <c r="U128" s="36"/>
      <c r="V128" s="36"/>
      <c r="W128" s="36"/>
      <c r="X128" s="36"/>
      <c r="Y128" s="36"/>
      <c r="Z128" s="36"/>
      <c r="AA128" s="36"/>
      <c r="AB128" s="36"/>
      <c r="AC128" s="36"/>
    </row>
    <row r="129" spans="1:29" ht="24" customHeight="1">
      <c r="A129" s="81"/>
      <c r="B129" s="94"/>
      <c r="C129" s="81"/>
      <c r="D129" s="81"/>
      <c r="E129" s="80"/>
      <c r="F129" s="620"/>
      <c r="G129" s="620"/>
      <c r="H129" s="81"/>
      <c r="I129" s="81"/>
      <c r="J129" s="35"/>
      <c r="K129" s="36"/>
      <c r="L129" s="36"/>
      <c r="M129" s="36"/>
      <c r="N129" s="36"/>
      <c r="O129" s="36"/>
      <c r="P129" s="36"/>
      <c r="Q129" s="36"/>
      <c r="R129" s="36"/>
      <c r="S129" s="36"/>
      <c r="T129" s="36"/>
      <c r="U129" s="36"/>
      <c r="V129" s="36"/>
      <c r="W129" s="36"/>
      <c r="X129" s="36"/>
      <c r="Y129" s="36"/>
      <c r="Z129" s="36"/>
      <c r="AA129" s="36"/>
      <c r="AB129" s="36"/>
      <c r="AC129" s="36"/>
    </row>
    <row r="130" spans="1:29" ht="24" customHeight="1">
      <c r="A130" s="81"/>
      <c r="B130" s="94"/>
      <c r="C130" s="81"/>
      <c r="D130" s="81"/>
      <c r="E130" s="80"/>
      <c r="F130" s="620"/>
      <c r="G130" s="620"/>
      <c r="H130" s="81"/>
      <c r="I130" s="81"/>
      <c r="J130" s="35"/>
      <c r="K130" s="36"/>
      <c r="L130" s="36"/>
      <c r="M130" s="36"/>
      <c r="N130" s="36"/>
      <c r="O130" s="36"/>
      <c r="P130" s="36"/>
      <c r="Q130" s="36"/>
      <c r="R130" s="36"/>
      <c r="S130" s="36"/>
      <c r="T130" s="36"/>
      <c r="U130" s="36"/>
      <c r="V130" s="36"/>
      <c r="W130" s="36"/>
      <c r="X130" s="36"/>
      <c r="Y130" s="36"/>
      <c r="Z130" s="36"/>
      <c r="AA130" s="36"/>
      <c r="AB130" s="36"/>
      <c r="AC130" s="36"/>
    </row>
    <row r="131" spans="1:29" ht="36" customHeight="1">
      <c r="A131" s="81"/>
      <c r="B131" s="94"/>
      <c r="C131" s="81"/>
      <c r="D131" s="81"/>
      <c r="E131" s="80"/>
      <c r="F131" s="620"/>
      <c r="G131" s="620"/>
      <c r="H131" s="81"/>
      <c r="I131" s="81"/>
      <c r="J131" s="35"/>
      <c r="K131" s="36"/>
      <c r="L131" s="36"/>
      <c r="M131" s="36"/>
      <c r="N131" s="36"/>
      <c r="O131" s="36"/>
      <c r="P131" s="36"/>
      <c r="Q131" s="36"/>
      <c r="R131" s="36"/>
      <c r="S131" s="36"/>
      <c r="T131" s="36"/>
      <c r="U131" s="36"/>
      <c r="V131" s="36"/>
      <c r="W131" s="36"/>
      <c r="X131" s="36"/>
      <c r="Y131" s="36"/>
      <c r="Z131" s="36"/>
      <c r="AA131" s="36"/>
      <c r="AB131" s="36"/>
      <c r="AC131" s="36"/>
    </row>
    <row r="132" spans="1:29" ht="36" customHeight="1">
      <c r="A132" s="81"/>
      <c r="B132" s="94"/>
      <c r="C132" s="81"/>
      <c r="D132" s="81"/>
      <c r="E132" s="80"/>
      <c r="F132" s="620"/>
      <c r="G132" s="620"/>
      <c r="H132" s="81"/>
      <c r="I132" s="81"/>
      <c r="J132" s="35"/>
      <c r="K132" s="36"/>
      <c r="L132" s="36"/>
      <c r="M132" s="36"/>
      <c r="N132" s="36"/>
      <c r="O132" s="36"/>
      <c r="P132" s="36"/>
      <c r="Q132" s="36"/>
      <c r="R132" s="36"/>
      <c r="S132" s="36"/>
      <c r="T132" s="36"/>
      <c r="U132" s="36"/>
      <c r="V132" s="36"/>
      <c r="W132" s="36"/>
      <c r="X132" s="36"/>
      <c r="Y132" s="36"/>
      <c r="Z132" s="36"/>
      <c r="AA132" s="36"/>
      <c r="AB132" s="36"/>
      <c r="AC132" s="36"/>
    </row>
    <row r="133" spans="1:29" ht="36" customHeight="1">
      <c r="A133" s="81"/>
      <c r="B133" s="94"/>
      <c r="C133" s="81"/>
      <c r="D133" s="81"/>
      <c r="E133" s="80"/>
      <c r="F133" s="620"/>
      <c r="G133" s="620"/>
      <c r="H133" s="81"/>
      <c r="I133" s="81"/>
      <c r="J133" s="35"/>
      <c r="K133" s="36"/>
      <c r="L133" s="36"/>
      <c r="M133" s="36"/>
      <c r="N133" s="36"/>
      <c r="O133" s="36"/>
      <c r="P133" s="36"/>
      <c r="Q133" s="36"/>
      <c r="R133" s="36"/>
      <c r="S133" s="36"/>
      <c r="T133" s="36"/>
      <c r="U133" s="36"/>
      <c r="V133" s="36"/>
      <c r="W133" s="36"/>
      <c r="X133" s="36"/>
      <c r="Y133" s="36"/>
      <c r="Z133" s="36"/>
      <c r="AA133" s="36"/>
      <c r="AB133" s="36"/>
      <c r="AC133" s="36"/>
    </row>
    <row r="134" spans="1:29" ht="48" customHeight="1">
      <c r="A134" s="81"/>
      <c r="B134" s="94"/>
      <c r="C134" s="81"/>
      <c r="D134" s="81"/>
      <c r="E134" s="80"/>
      <c r="F134" s="620"/>
      <c r="G134" s="620"/>
      <c r="H134" s="81"/>
      <c r="I134" s="81"/>
      <c r="J134" s="35"/>
      <c r="K134" s="36"/>
      <c r="L134" s="36"/>
      <c r="M134" s="36"/>
      <c r="N134" s="36"/>
      <c r="O134" s="36"/>
      <c r="P134" s="36"/>
      <c r="Q134" s="36"/>
      <c r="R134" s="36"/>
      <c r="S134" s="36"/>
      <c r="T134" s="36"/>
      <c r="U134" s="36"/>
      <c r="V134" s="36"/>
      <c r="W134" s="36"/>
      <c r="X134" s="36"/>
      <c r="Y134" s="36"/>
      <c r="Z134" s="36"/>
      <c r="AA134" s="36"/>
      <c r="AB134" s="36"/>
      <c r="AC134" s="36"/>
    </row>
    <row r="135" spans="1:29" ht="24" customHeight="1">
      <c r="A135" s="81"/>
      <c r="B135" s="94"/>
      <c r="C135" s="81"/>
      <c r="D135" s="81"/>
      <c r="E135" s="80"/>
      <c r="F135" s="620"/>
      <c r="G135" s="620"/>
      <c r="H135" s="81"/>
      <c r="I135" s="81"/>
      <c r="J135" s="35"/>
      <c r="K135" s="36"/>
      <c r="L135" s="36"/>
      <c r="M135" s="36"/>
      <c r="N135" s="36"/>
      <c r="O135" s="36"/>
      <c r="P135" s="36"/>
      <c r="Q135" s="36"/>
      <c r="R135" s="36"/>
      <c r="S135" s="36"/>
      <c r="T135" s="36"/>
      <c r="U135" s="36"/>
      <c r="V135" s="36"/>
      <c r="W135" s="36"/>
      <c r="X135" s="36"/>
      <c r="Y135" s="36"/>
      <c r="Z135" s="36"/>
      <c r="AA135" s="36"/>
      <c r="AB135" s="36"/>
      <c r="AC135" s="36"/>
    </row>
    <row r="136" spans="1:29" ht="36" customHeight="1">
      <c r="A136" s="81"/>
      <c r="B136" s="94"/>
      <c r="C136" s="81"/>
      <c r="D136" s="81"/>
      <c r="E136" s="80"/>
      <c r="F136" s="620"/>
      <c r="G136" s="620"/>
      <c r="H136" s="81"/>
      <c r="I136" s="81"/>
      <c r="J136" s="35"/>
      <c r="K136" s="36"/>
      <c r="L136" s="36"/>
      <c r="M136" s="36"/>
      <c r="N136" s="36"/>
      <c r="O136" s="36"/>
      <c r="P136" s="36"/>
      <c r="Q136" s="36"/>
      <c r="R136" s="36"/>
      <c r="S136" s="36"/>
      <c r="T136" s="36"/>
      <c r="U136" s="36"/>
      <c r="V136" s="36"/>
      <c r="W136" s="36"/>
      <c r="X136" s="36"/>
      <c r="Y136" s="36"/>
      <c r="Z136" s="36"/>
      <c r="AA136" s="36"/>
      <c r="AB136" s="36"/>
      <c r="AC136" s="36"/>
    </row>
    <row r="137" spans="1:29" ht="36" customHeight="1">
      <c r="A137" s="81"/>
      <c r="B137" s="94"/>
      <c r="C137" s="81"/>
      <c r="D137" s="81"/>
      <c r="E137" s="80"/>
      <c r="F137" s="620"/>
      <c r="G137" s="620"/>
      <c r="H137" s="81"/>
      <c r="I137" s="81"/>
      <c r="J137" s="35"/>
      <c r="K137" s="36"/>
      <c r="L137" s="36"/>
      <c r="M137" s="36"/>
      <c r="N137" s="36"/>
      <c r="O137" s="36"/>
      <c r="P137" s="36"/>
      <c r="Q137" s="36"/>
      <c r="R137" s="36"/>
      <c r="S137" s="36"/>
      <c r="T137" s="36"/>
      <c r="U137" s="36"/>
      <c r="V137" s="36"/>
      <c r="W137" s="36"/>
      <c r="X137" s="36"/>
      <c r="Y137" s="36"/>
      <c r="Z137" s="36"/>
      <c r="AA137" s="36"/>
      <c r="AB137" s="36"/>
      <c r="AC137" s="36"/>
    </row>
    <row r="138" spans="1:29" ht="72" customHeight="1">
      <c r="A138" s="81"/>
      <c r="B138" s="94"/>
      <c r="C138" s="81"/>
      <c r="D138" s="81"/>
      <c r="E138" s="80"/>
      <c r="F138" s="620"/>
      <c r="G138" s="620"/>
      <c r="H138" s="81"/>
      <c r="I138" s="81"/>
      <c r="J138" s="35"/>
      <c r="K138" s="36"/>
      <c r="L138" s="36"/>
      <c r="M138" s="36"/>
      <c r="N138" s="36"/>
      <c r="O138" s="36"/>
      <c r="P138" s="36"/>
      <c r="Q138" s="36"/>
      <c r="R138" s="36"/>
      <c r="S138" s="36"/>
      <c r="T138" s="36"/>
      <c r="U138" s="36"/>
      <c r="V138" s="36"/>
      <c r="W138" s="36"/>
      <c r="X138" s="36"/>
      <c r="Y138" s="36"/>
      <c r="Z138" s="36"/>
      <c r="AA138" s="36"/>
      <c r="AB138" s="36"/>
      <c r="AC138" s="36"/>
    </row>
    <row r="139" spans="1:29" ht="24" customHeight="1">
      <c r="A139" s="619"/>
      <c r="B139" s="94"/>
      <c r="C139" s="81"/>
      <c r="D139" s="81"/>
      <c r="E139" s="80"/>
      <c r="F139" s="620"/>
      <c r="G139" s="620"/>
      <c r="H139" s="94"/>
      <c r="I139" s="81"/>
      <c r="J139" s="35"/>
      <c r="K139" s="36"/>
      <c r="L139" s="36"/>
      <c r="M139" s="36"/>
      <c r="N139" s="36"/>
      <c r="O139" s="36"/>
      <c r="P139" s="36"/>
      <c r="Q139" s="36"/>
      <c r="R139" s="36"/>
      <c r="S139" s="36"/>
      <c r="T139" s="36"/>
      <c r="U139" s="36"/>
      <c r="V139" s="36"/>
      <c r="W139" s="36"/>
      <c r="X139" s="36"/>
      <c r="Y139" s="36"/>
      <c r="Z139" s="36"/>
      <c r="AA139" s="36"/>
      <c r="AB139" s="36"/>
      <c r="AC139" s="36"/>
    </row>
    <row r="140" spans="1:29" ht="49.5" customHeight="1">
      <c r="A140" s="619"/>
      <c r="B140" s="94"/>
      <c r="C140" s="81"/>
      <c r="D140" s="621"/>
      <c r="E140" s="80"/>
      <c r="F140" s="620"/>
      <c r="G140" s="620"/>
      <c r="H140" s="94"/>
      <c r="I140" s="81"/>
      <c r="J140" s="35"/>
      <c r="K140" s="36"/>
      <c r="L140" s="36"/>
      <c r="M140" s="36"/>
      <c r="N140" s="36"/>
      <c r="O140" s="36"/>
      <c r="P140" s="36"/>
      <c r="Q140" s="36"/>
      <c r="R140" s="36"/>
      <c r="S140" s="36"/>
      <c r="T140" s="36"/>
      <c r="U140" s="36"/>
      <c r="V140" s="36"/>
      <c r="W140" s="36"/>
      <c r="X140" s="36"/>
      <c r="Y140" s="36"/>
      <c r="Z140" s="36"/>
      <c r="AA140" s="36"/>
      <c r="AB140" s="36"/>
      <c r="AC140" s="36"/>
    </row>
    <row r="141" spans="1:29" ht="36" customHeight="1">
      <c r="A141" s="81"/>
      <c r="B141" s="94"/>
      <c r="C141" s="81"/>
      <c r="D141" s="81"/>
      <c r="E141" s="80"/>
      <c r="F141" s="620"/>
      <c r="G141" s="620"/>
      <c r="H141" s="81"/>
      <c r="I141" s="81"/>
      <c r="J141" s="35"/>
      <c r="K141" s="36"/>
      <c r="L141" s="36"/>
      <c r="M141" s="36"/>
      <c r="N141" s="36"/>
      <c r="O141" s="36"/>
      <c r="P141" s="36"/>
      <c r="Q141" s="36"/>
      <c r="R141" s="36"/>
      <c r="S141" s="36"/>
      <c r="T141" s="36"/>
      <c r="U141" s="36"/>
      <c r="V141" s="36"/>
      <c r="W141" s="36"/>
      <c r="X141" s="36"/>
      <c r="Y141" s="36"/>
      <c r="Z141" s="36"/>
      <c r="AA141" s="36"/>
      <c r="AB141" s="36"/>
      <c r="AC141" s="36"/>
    </row>
    <row r="142" spans="1:29" ht="72" customHeight="1">
      <c r="A142" s="81"/>
      <c r="B142" s="94"/>
      <c r="C142" s="81"/>
      <c r="D142" s="81"/>
      <c r="E142" s="80"/>
      <c r="F142" s="620"/>
      <c r="G142" s="620"/>
      <c r="H142" s="81"/>
      <c r="I142" s="81"/>
      <c r="J142" s="35"/>
      <c r="K142" s="36"/>
      <c r="L142" s="36"/>
      <c r="M142" s="36"/>
      <c r="N142" s="36"/>
      <c r="O142" s="36"/>
      <c r="P142" s="36"/>
      <c r="Q142" s="36"/>
      <c r="R142" s="36"/>
      <c r="S142" s="36"/>
      <c r="T142" s="36"/>
      <c r="U142" s="36"/>
      <c r="V142" s="36"/>
      <c r="W142" s="36"/>
      <c r="X142" s="36"/>
      <c r="Y142" s="36"/>
      <c r="Z142" s="36"/>
      <c r="AA142" s="36"/>
      <c r="AB142" s="36"/>
      <c r="AC142" s="36"/>
    </row>
    <row r="143" spans="1:29" ht="24" customHeight="1">
      <c r="A143" s="619"/>
      <c r="B143" s="81"/>
      <c r="C143" s="81"/>
      <c r="D143" s="81"/>
      <c r="E143" s="80"/>
      <c r="F143" s="620"/>
      <c r="G143" s="620"/>
      <c r="H143" s="81"/>
      <c r="I143" s="81"/>
      <c r="J143" s="35"/>
      <c r="K143" s="36"/>
      <c r="L143" s="36"/>
      <c r="M143" s="36"/>
      <c r="N143" s="36"/>
      <c r="O143" s="36"/>
      <c r="P143" s="36"/>
      <c r="Q143" s="36"/>
      <c r="R143" s="36"/>
      <c r="S143" s="36"/>
      <c r="T143" s="36"/>
      <c r="U143" s="36"/>
      <c r="V143" s="36"/>
      <c r="W143" s="36"/>
      <c r="X143" s="36"/>
      <c r="Y143" s="36"/>
      <c r="Z143" s="36"/>
      <c r="AA143" s="36"/>
      <c r="AB143" s="36"/>
      <c r="AC143" s="36"/>
    </row>
    <row r="144" spans="1:29" ht="36" customHeight="1">
      <c r="A144" s="619"/>
      <c r="B144" s="94"/>
      <c r="C144" s="81"/>
      <c r="D144" s="81"/>
      <c r="E144" s="80"/>
      <c r="F144" s="620"/>
      <c r="G144" s="620"/>
      <c r="H144" s="81"/>
      <c r="I144" s="81"/>
      <c r="J144" s="35"/>
      <c r="K144" s="36"/>
      <c r="L144" s="36"/>
      <c r="M144" s="36"/>
      <c r="N144" s="36"/>
      <c r="O144" s="36"/>
      <c r="P144" s="36"/>
      <c r="Q144" s="36"/>
      <c r="R144" s="36"/>
      <c r="S144" s="36"/>
      <c r="T144" s="36"/>
      <c r="U144" s="36"/>
      <c r="V144" s="36"/>
      <c r="W144" s="36"/>
      <c r="X144" s="36"/>
      <c r="Y144" s="36"/>
      <c r="Z144" s="36"/>
      <c r="AA144" s="36"/>
      <c r="AB144" s="36"/>
      <c r="AC144" s="36"/>
    </row>
    <row r="145" spans="1:29" ht="29.25" customHeight="1">
      <c r="A145" s="619"/>
      <c r="B145" s="94"/>
      <c r="C145" s="81"/>
      <c r="D145" s="81"/>
      <c r="E145" s="80"/>
      <c r="F145" s="620"/>
      <c r="G145" s="620"/>
      <c r="H145" s="81"/>
      <c r="I145" s="81"/>
      <c r="J145" s="35"/>
      <c r="K145" s="36"/>
      <c r="L145" s="36"/>
      <c r="M145" s="36"/>
      <c r="N145" s="36"/>
      <c r="O145" s="36"/>
      <c r="P145" s="36"/>
      <c r="Q145" s="36"/>
      <c r="R145" s="36"/>
      <c r="S145" s="36"/>
      <c r="T145" s="36"/>
      <c r="U145" s="36"/>
      <c r="V145" s="36"/>
      <c r="W145" s="36"/>
      <c r="X145" s="36"/>
      <c r="Y145" s="36"/>
      <c r="Z145" s="36"/>
      <c r="AA145" s="36"/>
      <c r="AB145" s="36"/>
      <c r="AC145" s="36"/>
    </row>
    <row r="146" spans="1:29" ht="60" customHeight="1">
      <c r="A146" s="619"/>
      <c r="B146" s="81"/>
      <c r="C146" s="81"/>
      <c r="D146" s="81"/>
      <c r="E146" s="80"/>
      <c r="F146" s="620"/>
      <c r="G146" s="620"/>
      <c r="H146" s="81"/>
      <c r="I146" s="81"/>
      <c r="J146" s="35"/>
      <c r="K146" s="36"/>
      <c r="L146" s="36"/>
      <c r="M146" s="36"/>
      <c r="N146" s="36"/>
      <c r="O146" s="36"/>
      <c r="P146" s="36"/>
      <c r="Q146" s="36"/>
      <c r="R146" s="36"/>
      <c r="S146" s="36"/>
      <c r="T146" s="36"/>
      <c r="U146" s="36"/>
      <c r="V146" s="36"/>
      <c r="W146" s="36"/>
      <c r="X146" s="36"/>
      <c r="Y146" s="36"/>
      <c r="Z146" s="36"/>
      <c r="AA146" s="36"/>
      <c r="AB146" s="36"/>
      <c r="AC146" s="36"/>
    </row>
    <row r="147" spans="1:29" ht="24" customHeight="1">
      <c r="A147" s="619"/>
      <c r="B147" s="94"/>
      <c r="C147" s="81"/>
      <c r="D147" s="81"/>
      <c r="E147" s="80"/>
      <c r="F147" s="620"/>
      <c r="G147" s="620"/>
      <c r="H147" s="81"/>
      <c r="I147" s="81"/>
      <c r="J147" s="35"/>
      <c r="K147" s="36"/>
      <c r="L147" s="36"/>
      <c r="M147" s="36"/>
      <c r="N147" s="36"/>
      <c r="O147" s="36"/>
      <c r="P147" s="36"/>
      <c r="Q147" s="36"/>
      <c r="R147" s="36"/>
      <c r="S147" s="36"/>
      <c r="T147" s="36"/>
      <c r="U147" s="36"/>
      <c r="V147" s="36"/>
      <c r="W147" s="36"/>
      <c r="X147" s="36"/>
      <c r="Y147" s="36"/>
      <c r="Z147" s="36"/>
      <c r="AA147" s="36"/>
      <c r="AB147" s="36"/>
      <c r="AC147" s="36"/>
    </row>
    <row r="148" spans="1:29" ht="24" customHeight="1">
      <c r="A148" s="619"/>
      <c r="B148" s="94"/>
      <c r="C148" s="81"/>
      <c r="D148" s="81"/>
      <c r="E148" s="80"/>
      <c r="F148" s="620"/>
      <c r="G148" s="620"/>
      <c r="H148" s="81"/>
      <c r="I148" s="81"/>
      <c r="J148" s="35"/>
      <c r="K148" s="36"/>
      <c r="L148" s="36"/>
      <c r="M148" s="36"/>
      <c r="N148" s="36"/>
      <c r="O148" s="36"/>
      <c r="P148" s="36"/>
      <c r="Q148" s="36"/>
      <c r="R148" s="36"/>
      <c r="S148" s="36"/>
      <c r="T148" s="36"/>
      <c r="U148" s="36"/>
      <c r="V148" s="36"/>
      <c r="W148" s="36"/>
      <c r="X148" s="36"/>
      <c r="Y148" s="36"/>
      <c r="Z148" s="36"/>
      <c r="AA148" s="36"/>
      <c r="AB148" s="36"/>
      <c r="AC148" s="36"/>
    </row>
    <row r="149" spans="1:29" ht="24" customHeight="1">
      <c r="A149" s="619"/>
      <c r="B149" s="94"/>
      <c r="C149" s="81"/>
      <c r="D149" s="81"/>
      <c r="E149" s="80"/>
      <c r="F149" s="620"/>
      <c r="G149" s="620"/>
      <c r="H149" s="81"/>
      <c r="I149" s="81"/>
      <c r="J149" s="35"/>
      <c r="K149" s="36"/>
      <c r="L149" s="36"/>
      <c r="M149" s="36"/>
      <c r="N149" s="36"/>
      <c r="O149" s="36"/>
      <c r="P149" s="36"/>
      <c r="Q149" s="36"/>
      <c r="R149" s="36"/>
      <c r="S149" s="36"/>
      <c r="T149" s="36"/>
      <c r="U149" s="36"/>
      <c r="V149" s="36"/>
      <c r="W149" s="36"/>
      <c r="X149" s="36"/>
      <c r="Y149" s="36"/>
      <c r="Z149" s="36"/>
      <c r="AA149" s="36"/>
      <c r="AB149" s="36"/>
      <c r="AC149" s="36"/>
    </row>
    <row r="150" spans="1:29" ht="36" customHeight="1">
      <c r="A150" s="619"/>
      <c r="B150" s="94"/>
      <c r="C150" s="81"/>
      <c r="D150" s="81"/>
      <c r="E150" s="80"/>
      <c r="F150" s="620"/>
      <c r="G150" s="620"/>
      <c r="H150" s="81"/>
      <c r="I150" s="81"/>
      <c r="J150" s="35"/>
      <c r="K150" s="36"/>
      <c r="L150" s="36"/>
      <c r="M150" s="36"/>
      <c r="N150" s="36"/>
      <c r="O150" s="36"/>
      <c r="P150" s="36"/>
      <c r="Q150" s="36"/>
      <c r="R150" s="36"/>
      <c r="S150" s="36"/>
      <c r="T150" s="36"/>
      <c r="U150" s="36"/>
      <c r="V150" s="36"/>
      <c r="W150" s="36"/>
      <c r="X150" s="36"/>
      <c r="Y150" s="36"/>
      <c r="Z150" s="36"/>
      <c r="AA150" s="36"/>
      <c r="AB150" s="36"/>
      <c r="AC150" s="36"/>
    </row>
    <row r="151" spans="1:29" ht="48" customHeight="1">
      <c r="A151" s="619"/>
      <c r="B151" s="94"/>
      <c r="C151" s="81"/>
      <c r="D151" s="81"/>
      <c r="E151" s="80"/>
      <c r="F151" s="620"/>
      <c r="G151" s="620"/>
      <c r="H151" s="81"/>
      <c r="I151" s="81"/>
      <c r="J151" s="35"/>
      <c r="K151" s="36"/>
      <c r="L151" s="36"/>
      <c r="M151" s="36"/>
      <c r="N151" s="36"/>
      <c r="O151" s="36"/>
      <c r="P151" s="36"/>
      <c r="Q151" s="36"/>
      <c r="R151" s="36"/>
      <c r="S151" s="36"/>
      <c r="T151" s="36"/>
      <c r="U151" s="36"/>
      <c r="V151" s="36"/>
      <c r="W151" s="36"/>
      <c r="X151" s="36"/>
      <c r="Y151" s="36"/>
      <c r="Z151" s="36"/>
      <c r="AA151" s="36"/>
      <c r="AB151" s="36"/>
      <c r="AC151" s="36"/>
    </row>
    <row r="152" spans="1:29" ht="48" customHeight="1">
      <c r="A152" s="619"/>
      <c r="B152" s="94"/>
      <c r="C152" s="81"/>
      <c r="D152" s="81"/>
      <c r="E152" s="80"/>
      <c r="F152" s="620"/>
      <c r="G152" s="620"/>
      <c r="H152" s="81"/>
      <c r="I152" s="81"/>
      <c r="J152" s="35"/>
      <c r="K152" s="36"/>
      <c r="L152" s="36"/>
      <c r="M152" s="36"/>
      <c r="N152" s="36"/>
      <c r="O152" s="36"/>
      <c r="P152" s="36"/>
      <c r="Q152" s="36"/>
      <c r="R152" s="36"/>
      <c r="S152" s="36"/>
      <c r="T152" s="36"/>
      <c r="U152" s="36"/>
      <c r="V152" s="36"/>
      <c r="W152" s="36"/>
      <c r="X152" s="36"/>
      <c r="Y152" s="36"/>
      <c r="Z152" s="36"/>
      <c r="AA152" s="36"/>
      <c r="AB152" s="36"/>
      <c r="AC152" s="36"/>
    </row>
    <row r="153" spans="1:29" ht="60" customHeight="1">
      <c r="A153" s="619"/>
      <c r="B153" s="94"/>
      <c r="C153" s="81"/>
      <c r="D153" s="81"/>
      <c r="E153" s="80"/>
      <c r="F153" s="620"/>
      <c r="G153" s="620"/>
      <c r="H153" s="81"/>
      <c r="I153" s="81"/>
      <c r="J153" s="35"/>
      <c r="K153" s="36"/>
      <c r="L153" s="36"/>
      <c r="M153" s="36"/>
      <c r="N153" s="36"/>
      <c r="O153" s="36"/>
      <c r="P153" s="36"/>
      <c r="Q153" s="36"/>
      <c r="R153" s="36"/>
      <c r="S153" s="36"/>
      <c r="T153" s="36"/>
      <c r="U153" s="36"/>
      <c r="V153" s="36"/>
      <c r="W153" s="36"/>
      <c r="X153" s="36"/>
      <c r="Y153" s="36"/>
      <c r="Z153" s="36"/>
      <c r="AA153" s="36"/>
      <c r="AB153" s="36"/>
      <c r="AC153" s="36"/>
    </row>
    <row r="154" spans="1:29" ht="30" customHeight="1">
      <c r="A154" s="619"/>
      <c r="B154" s="94"/>
      <c r="C154" s="81"/>
      <c r="D154" s="81"/>
      <c r="E154" s="80"/>
      <c r="F154" s="620"/>
      <c r="G154" s="620"/>
      <c r="H154" s="81"/>
      <c r="I154" s="81"/>
      <c r="J154" s="35"/>
      <c r="K154" s="36"/>
      <c r="L154" s="36"/>
      <c r="M154" s="36"/>
      <c r="N154" s="36"/>
      <c r="O154" s="36"/>
      <c r="P154" s="36"/>
      <c r="Q154" s="36"/>
      <c r="R154" s="36"/>
      <c r="S154" s="36"/>
      <c r="T154" s="36"/>
      <c r="U154" s="36"/>
      <c r="V154" s="36"/>
      <c r="W154" s="36"/>
      <c r="X154" s="36"/>
      <c r="Y154" s="36"/>
      <c r="Z154" s="36"/>
      <c r="AA154" s="36"/>
      <c r="AB154" s="36"/>
      <c r="AC154" s="36"/>
    </row>
    <row r="155" spans="1:29" ht="24" customHeight="1">
      <c r="A155" s="619"/>
      <c r="B155" s="94"/>
      <c r="C155" s="81"/>
      <c r="D155" s="81"/>
      <c r="E155" s="80"/>
      <c r="F155" s="620"/>
      <c r="G155" s="620"/>
      <c r="H155" s="81"/>
      <c r="I155" s="81"/>
      <c r="J155" s="35"/>
      <c r="K155" s="36"/>
      <c r="L155" s="36"/>
      <c r="M155" s="36"/>
      <c r="N155" s="36"/>
      <c r="O155" s="36"/>
      <c r="P155" s="36"/>
      <c r="Q155" s="36"/>
      <c r="R155" s="36"/>
      <c r="S155" s="36"/>
      <c r="T155" s="36"/>
      <c r="U155" s="36"/>
      <c r="V155" s="36"/>
      <c r="W155" s="36"/>
      <c r="X155" s="36"/>
      <c r="Y155" s="36"/>
      <c r="Z155" s="36"/>
      <c r="AA155" s="36"/>
      <c r="AB155" s="36"/>
      <c r="AC155" s="36"/>
    </row>
    <row r="156" spans="1:29" ht="24" customHeight="1">
      <c r="A156" s="619"/>
      <c r="B156" s="94"/>
      <c r="C156" s="81"/>
      <c r="D156" s="81"/>
      <c r="E156" s="80"/>
      <c r="F156" s="620"/>
      <c r="G156" s="620"/>
      <c r="H156" s="81"/>
      <c r="I156" s="81"/>
      <c r="J156" s="35"/>
      <c r="K156" s="36"/>
      <c r="L156" s="36"/>
      <c r="M156" s="36"/>
      <c r="N156" s="36"/>
      <c r="O156" s="36"/>
      <c r="P156" s="36"/>
      <c r="Q156" s="36"/>
      <c r="R156" s="36"/>
      <c r="S156" s="36"/>
      <c r="T156" s="36"/>
      <c r="U156" s="36"/>
      <c r="V156" s="36"/>
      <c r="W156" s="36"/>
      <c r="X156" s="36"/>
      <c r="Y156" s="36"/>
      <c r="Z156" s="36"/>
      <c r="AA156" s="36"/>
      <c r="AB156" s="36"/>
      <c r="AC156" s="36"/>
    </row>
    <row r="157" spans="1:29" ht="24" customHeight="1">
      <c r="A157" s="619"/>
      <c r="B157" s="81"/>
      <c r="C157" s="81"/>
      <c r="D157" s="81"/>
      <c r="E157" s="80"/>
      <c r="F157" s="620"/>
      <c r="G157" s="620"/>
      <c r="H157" s="81"/>
      <c r="I157" s="81"/>
      <c r="J157" s="35"/>
      <c r="K157" s="36"/>
      <c r="L157" s="36"/>
      <c r="M157" s="36"/>
      <c r="N157" s="36"/>
      <c r="O157" s="36"/>
      <c r="P157" s="36"/>
      <c r="Q157" s="36"/>
      <c r="R157" s="36"/>
      <c r="S157" s="36"/>
      <c r="T157" s="36"/>
      <c r="U157" s="36"/>
      <c r="V157" s="36"/>
      <c r="W157" s="36"/>
      <c r="X157" s="36"/>
      <c r="Y157" s="36"/>
      <c r="Z157" s="36"/>
      <c r="AA157" s="36"/>
      <c r="AB157" s="36"/>
      <c r="AC157" s="36"/>
    </row>
    <row r="158" spans="1:29" ht="36" customHeight="1">
      <c r="A158" s="619"/>
      <c r="B158" s="94"/>
      <c r="C158" s="81"/>
      <c r="D158" s="81"/>
      <c r="E158" s="80"/>
      <c r="F158" s="620"/>
      <c r="G158" s="620"/>
      <c r="H158" s="81"/>
      <c r="I158" s="81"/>
      <c r="J158" s="35"/>
      <c r="K158" s="36"/>
      <c r="L158" s="36"/>
      <c r="M158" s="36"/>
      <c r="N158" s="36"/>
      <c r="O158" s="36"/>
      <c r="P158" s="36"/>
      <c r="Q158" s="36"/>
      <c r="R158" s="36"/>
      <c r="S158" s="36"/>
      <c r="T158" s="36"/>
      <c r="U158" s="36"/>
      <c r="V158" s="36"/>
      <c r="W158" s="36"/>
      <c r="X158" s="36"/>
      <c r="Y158" s="36"/>
      <c r="Z158" s="36"/>
      <c r="AA158" s="36"/>
      <c r="AB158" s="36"/>
      <c r="AC158" s="36"/>
    </row>
    <row r="159" spans="1:29" ht="24" customHeight="1">
      <c r="A159" s="619"/>
      <c r="B159" s="81"/>
      <c r="C159" s="81"/>
      <c r="D159" s="81"/>
      <c r="E159" s="80"/>
      <c r="F159" s="620"/>
      <c r="G159" s="620"/>
      <c r="H159" s="81"/>
      <c r="I159" s="81"/>
      <c r="J159" s="35"/>
      <c r="K159" s="36"/>
      <c r="L159" s="36"/>
      <c r="M159" s="36"/>
      <c r="N159" s="36"/>
      <c r="O159" s="36"/>
      <c r="P159" s="36"/>
      <c r="Q159" s="36"/>
      <c r="R159" s="36"/>
      <c r="S159" s="36"/>
      <c r="T159" s="36"/>
      <c r="U159" s="36"/>
      <c r="V159" s="36"/>
      <c r="W159" s="36"/>
      <c r="X159" s="36"/>
      <c r="Y159" s="36"/>
      <c r="Z159" s="36"/>
      <c r="AA159" s="36"/>
      <c r="AB159" s="36"/>
      <c r="AC159" s="36"/>
    </row>
    <row r="160" spans="1:29" ht="50.25" customHeight="1">
      <c r="A160" s="619"/>
      <c r="B160" s="81"/>
      <c r="C160" s="81"/>
      <c r="D160" s="81"/>
      <c r="E160" s="622"/>
      <c r="F160" s="620"/>
      <c r="G160" s="620"/>
      <c r="H160" s="81"/>
      <c r="I160" s="81"/>
      <c r="J160" s="35"/>
      <c r="K160" s="36"/>
      <c r="L160" s="36"/>
      <c r="M160" s="36"/>
      <c r="N160" s="36"/>
      <c r="O160" s="36"/>
      <c r="P160" s="36"/>
      <c r="Q160" s="36"/>
      <c r="R160" s="36"/>
      <c r="S160" s="36"/>
      <c r="T160" s="36"/>
      <c r="U160" s="36"/>
      <c r="V160" s="36"/>
      <c r="W160" s="36"/>
      <c r="X160" s="36"/>
      <c r="Y160" s="36"/>
      <c r="Z160" s="36"/>
      <c r="AA160" s="36"/>
      <c r="AB160" s="36"/>
      <c r="AC160" s="36"/>
    </row>
    <row r="161" spans="1:29" ht="24" customHeight="1">
      <c r="A161" s="619"/>
      <c r="B161" s="94"/>
      <c r="C161" s="81"/>
      <c r="D161" s="81"/>
      <c r="E161" s="80"/>
      <c r="F161" s="620"/>
      <c r="G161" s="620"/>
      <c r="H161" s="81"/>
      <c r="I161" s="81"/>
      <c r="J161" s="35"/>
      <c r="K161" s="36"/>
      <c r="L161" s="36"/>
      <c r="M161" s="36"/>
      <c r="N161" s="36"/>
      <c r="O161" s="36"/>
      <c r="P161" s="36"/>
      <c r="Q161" s="36"/>
      <c r="R161" s="36"/>
      <c r="S161" s="36"/>
      <c r="T161" s="36"/>
      <c r="U161" s="36"/>
      <c r="V161" s="36"/>
      <c r="W161" s="36"/>
      <c r="X161" s="36"/>
      <c r="Y161" s="36"/>
      <c r="Z161" s="36"/>
      <c r="AA161" s="36"/>
      <c r="AB161" s="36"/>
      <c r="AC161" s="36"/>
    </row>
    <row r="162" spans="1:29" ht="31.5" customHeight="1">
      <c r="A162" s="619"/>
      <c r="B162" s="94"/>
      <c r="C162" s="81"/>
      <c r="D162" s="81"/>
      <c r="E162" s="80"/>
      <c r="F162" s="620"/>
      <c r="G162" s="620"/>
      <c r="H162" s="81"/>
      <c r="I162" s="81"/>
      <c r="J162" s="35"/>
      <c r="K162" s="36"/>
      <c r="L162" s="36"/>
      <c r="M162" s="36"/>
      <c r="N162" s="36"/>
      <c r="O162" s="36"/>
      <c r="P162" s="36"/>
      <c r="Q162" s="36"/>
      <c r="R162" s="36"/>
      <c r="S162" s="36"/>
      <c r="T162" s="36"/>
      <c r="U162" s="36"/>
      <c r="V162" s="36"/>
      <c r="W162" s="36"/>
      <c r="X162" s="36"/>
      <c r="Y162" s="36"/>
      <c r="Z162" s="36"/>
      <c r="AA162" s="36"/>
      <c r="AB162" s="36"/>
      <c r="AC162" s="36"/>
    </row>
    <row r="163" spans="1:29" ht="24" customHeight="1">
      <c r="A163" s="619"/>
      <c r="B163" s="94"/>
      <c r="C163" s="81"/>
      <c r="D163" s="81"/>
      <c r="E163" s="80"/>
      <c r="F163" s="620"/>
      <c r="G163" s="620"/>
      <c r="H163" s="81"/>
      <c r="I163" s="81"/>
      <c r="J163" s="35"/>
      <c r="K163" s="36"/>
      <c r="L163" s="36"/>
      <c r="M163" s="36"/>
      <c r="N163" s="36"/>
      <c r="O163" s="36"/>
      <c r="P163" s="36"/>
      <c r="Q163" s="36"/>
      <c r="R163" s="36"/>
      <c r="S163" s="36"/>
      <c r="T163" s="36"/>
      <c r="U163" s="36"/>
      <c r="V163" s="36"/>
      <c r="W163" s="36"/>
      <c r="X163" s="36"/>
      <c r="Y163" s="36"/>
      <c r="Z163" s="36"/>
      <c r="AA163" s="36"/>
      <c r="AB163" s="36"/>
      <c r="AC163" s="36"/>
    </row>
    <row r="164" spans="1:29" ht="36" customHeight="1">
      <c r="A164" s="619"/>
      <c r="B164" s="94"/>
      <c r="C164" s="81"/>
      <c r="D164" s="81"/>
      <c r="E164" s="80"/>
      <c r="F164" s="620"/>
      <c r="G164" s="620"/>
      <c r="H164" s="81"/>
      <c r="I164" s="81"/>
      <c r="J164" s="35"/>
      <c r="K164" s="36"/>
      <c r="L164" s="36"/>
      <c r="M164" s="36"/>
      <c r="N164" s="36"/>
      <c r="O164" s="36"/>
      <c r="P164" s="36"/>
      <c r="Q164" s="36"/>
      <c r="R164" s="36"/>
      <c r="S164" s="36"/>
      <c r="T164" s="36"/>
      <c r="U164" s="36"/>
      <c r="V164" s="36"/>
      <c r="W164" s="36"/>
      <c r="X164" s="36"/>
      <c r="Y164" s="36"/>
      <c r="Z164" s="36"/>
      <c r="AA164" s="36"/>
      <c r="AB164" s="36"/>
      <c r="AC164" s="36"/>
    </row>
    <row r="165" spans="1:29" ht="24" customHeight="1">
      <c r="A165" s="81"/>
      <c r="B165" s="94"/>
      <c r="C165" s="81"/>
      <c r="D165" s="81"/>
      <c r="E165" s="80"/>
      <c r="F165" s="620"/>
      <c r="G165" s="620"/>
      <c r="H165" s="81"/>
      <c r="I165" s="81"/>
      <c r="J165" s="35"/>
      <c r="K165" s="36"/>
      <c r="L165" s="36"/>
      <c r="M165" s="36"/>
      <c r="N165" s="36"/>
      <c r="O165" s="36"/>
      <c r="P165" s="36"/>
      <c r="Q165" s="36"/>
      <c r="R165" s="36"/>
      <c r="S165" s="36"/>
      <c r="T165" s="36"/>
      <c r="U165" s="36"/>
      <c r="V165" s="36"/>
      <c r="W165" s="36"/>
      <c r="X165" s="36"/>
      <c r="Y165" s="36"/>
      <c r="Z165" s="36"/>
      <c r="AA165" s="36"/>
      <c r="AB165" s="36"/>
      <c r="AC165" s="36"/>
    </row>
    <row r="166" spans="1:29" ht="48" customHeight="1">
      <c r="A166" s="81"/>
      <c r="B166" s="94"/>
      <c r="C166" s="81"/>
      <c r="D166" s="81"/>
      <c r="E166" s="80"/>
      <c r="F166" s="620"/>
      <c r="G166" s="620"/>
      <c r="H166" s="81"/>
      <c r="I166" s="81"/>
      <c r="J166" s="35"/>
      <c r="K166" s="36"/>
      <c r="L166" s="36"/>
      <c r="M166" s="36"/>
      <c r="N166" s="36"/>
      <c r="O166" s="36"/>
      <c r="P166" s="36"/>
      <c r="Q166" s="36"/>
      <c r="R166" s="36"/>
      <c r="S166" s="36"/>
      <c r="T166" s="36"/>
      <c r="U166" s="36"/>
      <c r="V166" s="36"/>
      <c r="W166" s="36"/>
      <c r="X166" s="36"/>
      <c r="Y166" s="36"/>
      <c r="Z166" s="36"/>
      <c r="AA166" s="36"/>
      <c r="AB166" s="36"/>
      <c r="AC166" s="36"/>
    </row>
    <row r="167" spans="1:29" ht="24" customHeight="1">
      <c r="A167" s="81"/>
      <c r="B167" s="94"/>
      <c r="C167" s="81"/>
      <c r="D167" s="81"/>
      <c r="E167" s="80"/>
      <c r="F167" s="620"/>
      <c r="G167" s="620"/>
      <c r="H167" s="81"/>
      <c r="I167" s="81"/>
      <c r="J167" s="35"/>
      <c r="K167" s="36"/>
      <c r="L167" s="36"/>
      <c r="M167" s="36"/>
      <c r="N167" s="36"/>
      <c r="O167" s="36"/>
      <c r="P167" s="36"/>
      <c r="Q167" s="36"/>
      <c r="R167" s="36"/>
      <c r="S167" s="36"/>
      <c r="T167" s="36"/>
      <c r="U167" s="36"/>
      <c r="V167" s="36"/>
      <c r="W167" s="36"/>
      <c r="X167" s="36"/>
      <c r="Y167" s="36"/>
      <c r="Z167" s="36"/>
      <c r="AA167" s="36"/>
      <c r="AB167" s="36"/>
      <c r="AC167" s="36"/>
    </row>
    <row r="168" spans="1:29" ht="24" customHeight="1">
      <c r="A168" s="81"/>
      <c r="B168" s="94"/>
      <c r="C168" s="81"/>
      <c r="D168" s="81"/>
      <c r="E168" s="80"/>
      <c r="F168" s="620"/>
      <c r="G168" s="620"/>
      <c r="H168" s="81"/>
      <c r="I168" s="81"/>
      <c r="J168" s="35"/>
      <c r="K168" s="36"/>
      <c r="L168" s="36"/>
      <c r="M168" s="36"/>
      <c r="N168" s="36"/>
      <c r="O168" s="36"/>
      <c r="P168" s="36"/>
      <c r="Q168" s="36"/>
      <c r="R168" s="36"/>
      <c r="S168" s="36"/>
      <c r="T168" s="36"/>
      <c r="U168" s="36"/>
      <c r="V168" s="36"/>
      <c r="W168" s="36"/>
      <c r="X168" s="36"/>
      <c r="Y168" s="36"/>
      <c r="Z168" s="36"/>
      <c r="AA168" s="36"/>
      <c r="AB168" s="36"/>
      <c r="AC168" s="36"/>
    </row>
    <row r="169" spans="1:29" ht="24" customHeight="1">
      <c r="A169" s="81"/>
      <c r="B169" s="94"/>
      <c r="C169" s="81"/>
      <c r="D169" s="81"/>
      <c r="E169" s="80"/>
      <c r="F169" s="620"/>
      <c r="G169" s="620"/>
      <c r="H169" s="81"/>
      <c r="I169" s="81"/>
      <c r="J169" s="35"/>
      <c r="K169" s="36"/>
      <c r="L169" s="36"/>
      <c r="M169" s="36"/>
      <c r="N169" s="36"/>
      <c r="O169" s="36"/>
      <c r="P169" s="36"/>
      <c r="Q169" s="36"/>
      <c r="R169" s="36"/>
      <c r="S169" s="36"/>
      <c r="T169" s="36"/>
      <c r="U169" s="36"/>
      <c r="V169" s="36"/>
      <c r="W169" s="36"/>
      <c r="X169" s="36"/>
      <c r="Y169" s="36"/>
      <c r="Z169" s="36"/>
      <c r="AA169" s="36"/>
      <c r="AB169" s="36"/>
      <c r="AC169" s="36"/>
    </row>
    <row r="170" spans="1:29" ht="24" customHeight="1">
      <c r="A170" s="81"/>
      <c r="B170" s="94"/>
      <c r="C170" s="81"/>
      <c r="D170" s="81"/>
      <c r="E170" s="80"/>
      <c r="F170" s="620"/>
      <c r="G170" s="620"/>
      <c r="H170" s="81"/>
      <c r="I170" s="81"/>
      <c r="J170" s="35"/>
      <c r="K170" s="36"/>
      <c r="L170" s="36"/>
      <c r="M170" s="36"/>
      <c r="N170" s="36"/>
      <c r="O170" s="36"/>
      <c r="P170" s="36"/>
      <c r="Q170" s="36"/>
      <c r="R170" s="36"/>
      <c r="S170" s="36"/>
      <c r="T170" s="36"/>
      <c r="U170" s="36"/>
      <c r="V170" s="36"/>
      <c r="W170" s="36"/>
      <c r="X170" s="36"/>
      <c r="Y170" s="36"/>
      <c r="Z170" s="36"/>
      <c r="AA170" s="36"/>
      <c r="AB170" s="36"/>
      <c r="AC170" s="36"/>
    </row>
    <row r="171" spans="1:29" ht="24" customHeight="1">
      <c r="A171" s="81"/>
      <c r="B171" s="94"/>
      <c r="C171" s="81"/>
      <c r="D171" s="81"/>
      <c r="E171" s="80"/>
      <c r="F171" s="620"/>
      <c r="G171" s="620"/>
      <c r="H171" s="81"/>
      <c r="I171" s="81"/>
      <c r="J171" s="35"/>
      <c r="K171" s="36"/>
      <c r="L171" s="36"/>
      <c r="M171" s="36"/>
      <c r="N171" s="36"/>
      <c r="O171" s="36"/>
      <c r="P171" s="36"/>
      <c r="Q171" s="36"/>
      <c r="R171" s="36"/>
      <c r="S171" s="36"/>
      <c r="T171" s="36"/>
      <c r="U171" s="36"/>
      <c r="V171" s="36"/>
      <c r="W171" s="36"/>
      <c r="X171" s="36"/>
      <c r="Y171" s="36"/>
      <c r="Z171" s="36"/>
      <c r="AA171" s="36"/>
      <c r="AB171" s="36"/>
      <c r="AC171" s="36"/>
    </row>
    <row r="172" spans="1:29" ht="24" customHeight="1">
      <c r="A172" s="81"/>
      <c r="B172" s="94"/>
      <c r="C172" s="81"/>
      <c r="D172" s="81"/>
      <c r="E172" s="80"/>
      <c r="F172" s="620"/>
      <c r="G172" s="620"/>
      <c r="H172" s="81"/>
      <c r="I172" s="81"/>
      <c r="J172" s="35"/>
      <c r="K172" s="36"/>
      <c r="L172" s="36"/>
      <c r="M172" s="36"/>
      <c r="N172" s="36"/>
      <c r="O172" s="36"/>
      <c r="P172" s="36"/>
      <c r="Q172" s="36"/>
      <c r="R172" s="36"/>
      <c r="S172" s="36"/>
      <c r="T172" s="36"/>
      <c r="U172" s="36"/>
      <c r="V172" s="36"/>
      <c r="W172" s="36"/>
      <c r="X172" s="36"/>
      <c r="Y172" s="36"/>
      <c r="Z172" s="36"/>
      <c r="AA172" s="36"/>
      <c r="AB172" s="36"/>
      <c r="AC172" s="36"/>
    </row>
    <row r="173" spans="1:29" ht="24" customHeight="1">
      <c r="A173" s="81"/>
      <c r="B173" s="94"/>
      <c r="C173" s="81"/>
      <c r="D173" s="81"/>
      <c r="E173" s="80"/>
      <c r="F173" s="620"/>
      <c r="G173" s="620"/>
      <c r="H173" s="81"/>
      <c r="I173" s="81"/>
      <c r="J173" s="35"/>
      <c r="K173" s="36"/>
      <c r="L173" s="36"/>
      <c r="M173" s="36"/>
      <c r="N173" s="36"/>
      <c r="O173" s="36"/>
      <c r="P173" s="36"/>
      <c r="Q173" s="36"/>
      <c r="R173" s="36"/>
      <c r="S173" s="36"/>
      <c r="T173" s="36"/>
      <c r="U173" s="36"/>
      <c r="V173" s="36"/>
      <c r="W173" s="36"/>
      <c r="X173" s="36"/>
      <c r="Y173" s="36"/>
      <c r="Z173" s="36"/>
      <c r="AA173" s="36"/>
      <c r="AB173" s="36"/>
      <c r="AC173" s="36"/>
    </row>
    <row r="174" spans="1:29" ht="24" customHeight="1">
      <c r="A174" s="81"/>
      <c r="B174" s="94"/>
      <c r="C174" s="81"/>
      <c r="D174" s="81"/>
      <c r="E174" s="80"/>
      <c r="F174" s="620"/>
      <c r="G174" s="620"/>
      <c r="H174" s="81"/>
      <c r="I174" s="81"/>
      <c r="J174" s="35"/>
      <c r="K174" s="36"/>
      <c r="L174" s="36"/>
      <c r="M174" s="36"/>
      <c r="N174" s="36"/>
      <c r="O174" s="36"/>
      <c r="P174" s="36"/>
      <c r="Q174" s="36"/>
      <c r="R174" s="36"/>
      <c r="S174" s="36"/>
      <c r="T174" s="36"/>
      <c r="U174" s="36"/>
      <c r="V174" s="36"/>
      <c r="W174" s="36"/>
      <c r="X174" s="36"/>
      <c r="Y174" s="36"/>
      <c r="Z174" s="36"/>
      <c r="AA174" s="36"/>
      <c r="AB174" s="36"/>
      <c r="AC174" s="36"/>
    </row>
    <row r="175" spans="1:29" ht="36" customHeight="1">
      <c r="A175" s="81"/>
      <c r="B175" s="81"/>
      <c r="C175" s="81"/>
      <c r="D175" s="81"/>
      <c r="E175" s="80"/>
      <c r="F175" s="620"/>
      <c r="G175" s="620"/>
      <c r="H175" s="81"/>
      <c r="I175" s="81"/>
      <c r="J175" s="35"/>
      <c r="K175" s="36"/>
      <c r="L175" s="36"/>
      <c r="M175" s="36"/>
      <c r="N175" s="36"/>
      <c r="O175" s="36"/>
      <c r="P175" s="36"/>
      <c r="Q175" s="36"/>
      <c r="R175" s="36"/>
      <c r="S175" s="36"/>
      <c r="T175" s="36"/>
      <c r="U175" s="36"/>
      <c r="V175" s="36"/>
      <c r="W175" s="36"/>
      <c r="X175" s="36"/>
      <c r="Y175" s="36"/>
      <c r="Z175" s="36"/>
      <c r="AA175" s="36"/>
      <c r="AB175" s="36"/>
      <c r="AC175" s="36"/>
    </row>
    <row r="176" spans="1:29" ht="48" customHeight="1">
      <c r="A176" s="81"/>
      <c r="B176" s="94"/>
      <c r="C176" s="81"/>
      <c r="D176" s="81"/>
      <c r="E176" s="80"/>
      <c r="F176" s="620"/>
      <c r="G176" s="620"/>
      <c r="H176" s="81"/>
      <c r="I176" s="81"/>
      <c r="J176" s="35"/>
      <c r="K176" s="36"/>
      <c r="L176" s="36"/>
      <c r="M176" s="36"/>
      <c r="N176" s="36"/>
      <c r="O176" s="36"/>
      <c r="P176" s="36"/>
      <c r="Q176" s="36"/>
      <c r="R176" s="36"/>
      <c r="S176" s="36"/>
      <c r="T176" s="36"/>
      <c r="U176" s="36"/>
      <c r="V176" s="36"/>
      <c r="W176" s="36"/>
      <c r="X176" s="36"/>
      <c r="Y176" s="36"/>
      <c r="Z176" s="36"/>
      <c r="AA176" s="36"/>
      <c r="AB176" s="36"/>
      <c r="AC176" s="36"/>
    </row>
    <row r="177" spans="1:29" ht="24" customHeight="1">
      <c r="A177" s="81"/>
      <c r="B177" s="94"/>
      <c r="C177" s="81"/>
      <c r="D177" s="81"/>
      <c r="E177" s="80"/>
      <c r="F177" s="620"/>
      <c r="G177" s="620"/>
      <c r="H177" s="81"/>
      <c r="I177" s="81"/>
      <c r="J177" s="35"/>
      <c r="K177" s="36"/>
      <c r="L177" s="36"/>
      <c r="M177" s="36"/>
      <c r="N177" s="36"/>
      <c r="O177" s="36"/>
      <c r="P177" s="36"/>
      <c r="Q177" s="36"/>
      <c r="R177" s="36"/>
      <c r="S177" s="36"/>
      <c r="T177" s="36"/>
      <c r="U177" s="36"/>
      <c r="V177" s="36"/>
      <c r="W177" s="36"/>
      <c r="X177" s="36"/>
      <c r="Y177" s="36"/>
      <c r="Z177" s="36"/>
      <c r="AA177" s="36"/>
      <c r="AB177" s="36"/>
      <c r="AC177" s="36"/>
    </row>
    <row r="178" spans="1:29" ht="24" customHeight="1">
      <c r="A178" s="81"/>
      <c r="B178" s="94"/>
      <c r="C178" s="81"/>
      <c r="D178" s="623"/>
      <c r="E178" s="80"/>
      <c r="F178" s="620"/>
      <c r="G178" s="620"/>
      <c r="H178" s="81"/>
      <c r="I178" s="81"/>
      <c r="J178" s="35"/>
      <c r="K178" s="36"/>
      <c r="L178" s="36"/>
      <c r="M178" s="36"/>
      <c r="N178" s="36"/>
      <c r="O178" s="36"/>
      <c r="P178" s="36"/>
      <c r="Q178" s="36"/>
      <c r="R178" s="36"/>
      <c r="S178" s="36"/>
      <c r="T178" s="36"/>
      <c r="U178" s="36"/>
      <c r="V178" s="36"/>
      <c r="W178" s="36"/>
      <c r="X178" s="36"/>
      <c r="Y178" s="36"/>
      <c r="Z178" s="36"/>
      <c r="AA178" s="36"/>
      <c r="AB178" s="36"/>
      <c r="AC178" s="36"/>
    </row>
    <row r="179" spans="1:29" ht="40.5" customHeight="1">
      <c r="A179" s="81"/>
      <c r="B179" s="94"/>
      <c r="C179" s="81"/>
      <c r="D179" s="81"/>
      <c r="E179" s="80"/>
      <c r="F179" s="620"/>
      <c r="G179" s="620"/>
      <c r="H179" s="81"/>
      <c r="I179" s="81"/>
      <c r="J179" s="35"/>
      <c r="K179" s="36"/>
      <c r="L179" s="36"/>
      <c r="M179" s="36"/>
      <c r="N179" s="36"/>
      <c r="O179" s="36"/>
      <c r="P179" s="36"/>
      <c r="Q179" s="36"/>
      <c r="R179" s="36"/>
      <c r="S179" s="36"/>
      <c r="T179" s="36"/>
      <c r="U179" s="36"/>
      <c r="V179" s="36"/>
      <c r="W179" s="36"/>
      <c r="X179" s="36"/>
      <c r="Y179" s="36"/>
      <c r="Z179" s="36"/>
      <c r="AA179" s="36"/>
      <c r="AB179" s="36"/>
      <c r="AC179" s="36"/>
    </row>
    <row r="180" spans="1:29" ht="36" customHeight="1">
      <c r="A180" s="81"/>
      <c r="B180" s="94"/>
      <c r="C180" s="81"/>
      <c r="D180" s="81"/>
      <c r="E180" s="80"/>
      <c r="F180" s="620"/>
      <c r="G180" s="620"/>
      <c r="H180" s="81"/>
      <c r="I180" s="81"/>
      <c r="J180" s="35"/>
      <c r="K180" s="36"/>
      <c r="L180" s="36"/>
      <c r="M180" s="36"/>
      <c r="N180" s="36"/>
      <c r="O180" s="36"/>
      <c r="P180" s="36"/>
      <c r="Q180" s="36"/>
      <c r="R180" s="36"/>
      <c r="S180" s="36"/>
      <c r="T180" s="36"/>
      <c r="U180" s="36"/>
      <c r="V180" s="36"/>
      <c r="W180" s="36"/>
      <c r="X180" s="36"/>
      <c r="Y180" s="36"/>
      <c r="Z180" s="36"/>
      <c r="AA180" s="36"/>
      <c r="AB180" s="36"/>
      <c r="AC180" s="36"/>
    </row>
    <row r="181" spans="1:29" ht="36" customHeight="1">
      <c r="A181" s="81"/>
      <c r="B181" s="94"/>
      <c r="C181" s="81"/>
      <c r="D181" s="81"/>
      <c r="E181" s="80"/>
      <c r="F181" s="620"/>
      <c r="G181" s="620"/>
      <c r="H181" s="81"/>
      <c r="I181" s="81"/>
      <c r="J181" s="35"/>
      <c r="K181" s="36"/>
      <c r="L181" s="36"/>
      <c r="M181" s="36"/>
      <c r="N181" s="36"/>
      <c r="O181" s="36"/>
      <c r="P181" s="36"/>
      <c r="Q181" s="36"/>
      <c r="R181" s="36"/>
      <c r="S181" s="36"/>
      <c r="T181" s="36"/>
      <c r="U181" s="36"/>
      <c r="V181" s="36"/>
      <c r="W181" s="36"/>
      <c r="X181" s="36"/>
      <c r="Y181" s="36"/>
      <c r="Z181" s="36"/>
      <c r="AA181" s="36"/>
      <c r="AB181" s="36"/>
      <c r="AC181" s="36"/>
    </row>
    <row r="182" spans="1:29" ht="48" customHeight="1">
      <c r="A182" s="81"/>
      <c r="B182" s="94"/>
      <c r="C182" s="81"/>
      <c r="D182" s="81"/>
      <c r="E182" s="80"/>
      <c r="F182" s="620"/>
      <c r="G182" s="620"/>
      <c r="H182" s="81"/>
      <c r="I182" s="81"/>
      <c r="J182" s="35"/>
      <c r="K182" s="36"/>
      <c r="L182" s="36"/>
      <c r="M182" s="36"/>
      <c r="N182" s="36"/>
      <c r="O182" s="36"/>
      <c r="P182" s="36"/>
      <c r="Q182" s="36"/>
      <c r="R182" s="36"/>
      <c r="S182" s="36"/>
      <c r="T182" s="36"/>
      <c r="U182" s="36"/>
      <c r="V182" s="36"/>
      <c r="W182" s="36"/>
      <c r="X182" s="36"/>
      <c r="Y182" s="36"/>
      <c r="Z182" s="36"/>
      <c r="AA182" s="36"/>
      <c r="AB182" s="36"/>
      <c r="AC182" s="36"/>
    </row>
    <row r="183" spans="1:29" ht="36" customHeight="1">
      <c r="A183" s="81"/>
      <c r="B183" s="94"/>
      <c r="C183" s="81"/>
      <c r="D183" s="81"/>
      <c r="E183" s="80"/>
      <c r="F183" s="620"/>
      <c r="G183" s="620"/>
      <c r="H183" s="81"/>
      <c r="I183" s="81"/>
      <c r="J183" s="35"/>
      <c r="K183" s="36"/>
      <c r="L183" s="36"/>
      <c r="M183" s="36"/>
      <c r="N183" s="36"/>
      <c r="O183" s="36"/>
      <c r="P183" s="36"/>
      <c r="Q183" s="36"/>
      <c r="R183" s="36"/>
      <c r="S183" s="36"/>
      <c r="T183" s="36"/>
      <c r="U183" s="36"/>
      <c r="V183" s="36"/>
      <c r="W183" s="36"/>
      <c r="X183" s="36"/>
      <c r="Y183" s="36"/>
      <c r="Z183" s="36"/>
      <c r="AA183" s="36"/>
      <c r="AB183" s="36"/>
      <c r="AC183" s="36"/>
    </row>
    <row r="184" spans="1:29" ht="36" customHeight="1">
      <c r="A184" s="81"/>
      <c r="B184" s="94"/>
      <c r="C184" s="81"/>
      <c r="D184" s="81"/>
      <c r="E184" s="80"/>
      <c r="F184" s="620"/>
      <c r="G184" s="620"/>
      <c r="H184" s="81"/>
      <c r="I184" s="81"/>
      <c r="J184" s="35"/>
      <c r="K184" s="36"/>
      <c r="L184" s="36"/>
      <c r="M184" s="36"/>
      <c r="N184" s="36"/>
      <c r="O184" s="36"/>
      <c r="P184" s="36"/>
      <c r="Q184" s="36"/>
      <c r="R184" s="36"/>
      <c r="S184" s="36"/>
      <c r="T184" s="36"/>
      <c r="U184" s="36"/>
      <c r="V184" s="36"/>
      <c r="W184" s="36"/>
      <c r="X184" s="36"/>
      <c r="Y184" s="36"/>
      <c r="Z184" s="36"/>
      <c r="AA184" s="36"/>
      <c r="AB184" s="36"/>
      <c r="AC184" s="36"/>
    </row>
    <row r="185" spans="1:29" ht="24" customHeight="1">
      <c r="A185" s="81"/>
      <c r="B185" s="94"/>
      <c r="C185" s="81"/>
      <c r="D185" s="81"/>
      <c r="E185" s="80"/>
      <c r="F185" s="620"/>
      <c r="G185" s="620"/>
      <c r="H185" s="81"/>
      <c r="I185" s="81"/>
      <c r="J185" s="35"/>
      <c r="K185" s="36"/>
      <c r="L185" s="36"/>
      <c r="M185" s="36"/>
      <c r="N185" s="36"/>
      <c r="O185" s="36"/>
      <c r="P185" s="36"/>
      <c r="Q185" s="36"/>
      <c r="R185" s="36"/>
      <c r="S185" s="36"/>
      <c r="T185" s="36"/>
      <c r="U185" s="36"/>
      <c r="V185" s="36"/>
      <c r="W185" s="36"/>
      <c r="X185" s="36"/>
      <c r="Y185" s="36"/>
      <c r="Z185" s="36"/>
      <c r="AA185" s="36"/>
      <c r="AB185" s="36"/>
      <c r="AC185" s="36"/>
    </row>
    <row r="186" spans="1:29" ht="36" customHeight="1">
      <c r="A186" s="81"/>
      <c r="B186" s="94"/>
      <c r="C186" s="81"/>
      <c r="D186" s="81"/>
      <c r="E186" s="80"/>
      <c r="F186" s="620"/>
      <c r="G186" s="620"/>
      <c r="H186" s="81"/>
      <c r="I186" s="81"/>
      <c r="J186" s="35"/>
      <c r="K186" s="36"/>
      <c r="L186" s="36"/>
      <c r="M186" s="36"/>
      <c r="N186" s="36"/>
      <c r="O186" s="36"/>
      <c r="P186" s="36"/>
      <c r="Q186" s="36"/>
      <c r="R186" s="36"/>
      <c r="S186" s="36"/>
      <c r="T186" s="36"/>
      <c r="U186" s="36"/>
      <c r="V186" s="36"/>
      <c r="W186" s="36"/>
      <c r="X186" s="36"/>
      <c r="Y186" s="36"/>
      <c r="Z186" s="36"/>
      <c r="AA186" s="36"/>
      <c r="AB186" s="36"/>
      <c r="AC186" s="36"/>
    </row>
    <row r="187" spans="1:29" ht="48" customHeight="1">
      <c r="A187" s="81"/>
      <c r="B187" s="94"/>
      <c r="C187" s="81"/>
      <c r="D187" s="81"/>
      <c r="E187" s="80"/>
      <c r="F187" s="620"/>
      <c r="G187" s="620"/>
      <c r="H187" s="81"/>
      <c r="I187" s="81"/>
      <c r="J187" s="35"/>
      <c r="K187" s="36"/>
      <c r="L187" s="36"/>
      <c r="M187" s="36"/>
      <c r="N187" s="36"/>
      <c r="O187" s="36"/>
      <c r="P187" s="36"/>
      <c r="Q187" s="36"/>
      <c r="R187" s="36"/>
      <c r="S187" s="36"/>
      <c r="T187" s="36"/>
      <c r="U187" s="36"/>
      <c r="V187" s="36"/>
      <c r="W187" s="36"/>
      <c r="X187" s="36"/>
      <c r="Y187" s="36"/>
      <c r="Z187" s="36"/>
      <c r="AA187" s="36"/>
      <c r="AB187" s="36"/>
      <c r="AC187" s="36"/>
    </row>
    <row r="188" spans="1:29" ht="24" customHeight="1">
      <c r="A188" s="81"/>
      <c r="B188" s="94"/>
      <c r="C188" s="81"/>
      <c r="D188" s="81"/>
      <c r="E188" s="80"/>
      <c r="F188" s="620"/>
      <c r="G188" s="620"/>
      <c r="H188" s="81"/>
      <c r="I188" s="81"/>
      <c r="J188" s="35"/>
      <c r="K188" s="36"/>
      <c r="L188" s="36"/>
      <c r="M188" s="36"/>
      <c r="N188" s="36"/>
      <c r="O188" s="36"/>
      <c r="P188" s="36"/>
      <c r="Q188" s="36"/>
      <c r="R188" s="36"/>
      <c r="S188" s="36"/>
      <c r="T188" s="36"/>
      <c r="U188" s="36"/>
      <c r="V188" s="36"/>
      <c r="W188" s="36"/>
      <c r="X188" s="36"/>
      <c r="Y188" s="36"/>
      <c r="Z188" s="36"/>
      <c r="AA188" s="36"/>
      <c r="AB188" s="36"/>
      <c r="AC188" s="36"/>
    </row>
    <row r="189" spans="1:29" ht="24" customHeight="1">
      <c r="A189" s="81"/>
      <c r="B189" s="94"/>
      <c r="C189" s="81"/>
      <c r="D189" s="81"/>
      <c r="E189" s="80"/>
      <c r="F189" s="620"/>
      <c r="G189" s="620"/>
      <c r="H189" s="81"/>
      <c r="I189" s="81"/>
      <c r="J189" s="35"/>
      <c r="K189" s="36"/>
      <c r="L189" s="36"/>
      <c r="M189" s="36"/>
      <c r="N189" s="36"/>
      <c r="O189" s="36"/>
      <c r="P189" s="36"/>
      <c r="Q189" s="36"/>
      <c r="R189" s="36"/>
      <c r="S189" s="36"/>
      <c r="T189" s="36"/>
      <c r="U189" s="36"/>
      <c r="V189" s="36"/>
      <c r="W189" s="36"/>
      <c r="X189" s="36"/>
      <c r="Y189" s="36"/>
      <c r="Z189" s="36"/>
      <c r="AA189" s="36"/>
      <c r="AB189" s="36"/>
      <c r="AC189" s="36"/>
    </row>
    <row r="190" spans="1:29" ht="36" customHeight="1">
      <c r="A190" s="619"/>
      <c r="B190" s="94"/>
      <c r="C190" s="81"/>
      <c r="D190" s="81"/>
      <c r="E190" s="80"/>
      <c r="F190" s="620"/>
      <c r="G190" s="620"/>
      <c r="H190" s="81"/>
      <c r="I190" s="81"/>
      <c r="J190" s="35"/>
      <c r="K190" s="36"/>
      <c r="L190" s="36"/>
      <c r="M190" s="36"/>
      <c r="N190" s="36"/>
      <c r="O190" s="36"/>
      <c r="P190" s="36"/>
      <c r="Q190" s="36"/>
      <c r="R190" s="36"/>
      <c r="S190" s="36"/>
      <c r="T190" s="36"/>
      <c r="U190" s="36"/>
      <c r="V190" s="36"/>
      <c r="W190" s="36"/>
      <c r="X190" s="36"/>
      <c r="Y190" s="36"/>
      <c r="Z190" s="36"/>
      <c r="AA190" s="36"/>
      <c r="AB190" s="36"/>
      <c r="AC190" s="36"/>
    </row>
    <row r="191" spans="1:29" ht="15" customHeight="1">
      <c r="A191" s="619"/>
      <c r="B191" s="94"/>
      <c r="C191" s="81"/>
      <c r="D191" s="81"/>
      <c r="E191" s="80"/>
      <c r="F191" s="620"/>
      <c r="G191" s="620"/>
      <c r="H191" s="81"/>
      <c r="I191" s="81"/>
      <c r="J191" s="35"/>
      <c r="K191" s="36"/>
      <c r="L191" s="36"/>
      <c r="M191" s="36"/>
      <c r="N191" s="36"/>
      <c r="O191" s="36"/>
      <c r="P191" s="36"/>
      <c r="Q191" s="36"/>
      <c r="R191" s="36"/>
      <c r="S191" s="36"/>
      <c r="T191" s="36"/>
      <c r="U191" s="36"/>
      <c r="V191" s="36"/>
      <c r="W191" s="36"/>
      <c r="X191" s="36"/>
      <c r="Y191" s="36"/>
      <c r="Z191" s="36"/>
      <c r="AA191" s="36"/>
      <c r="AB191" s="36"/>
      <c r="AC191" s="36"/>
    </row>
    <row r="192" spans="1:29" ht="60" customHeight="1">
      <c r="A192" s="81"/>
      <c r="B192" s="94"/>
      <c r="C192" s="81"/>
      <c r="D192" s="81"/>
      <c r="E192" s="80"/>
      <c r="F192" s="620"/>
      <c r="G192" s="620"/>
      <c r="H192" s="81"/>
      <c r="I192" s="81"/>
      <c r="J192" s="35"/>
      <c r="K192" s="36"/>
      <c r="L192" s="36"/>
      <c r="M192" s="36"/>
      <c r="N192" s="36"/>
      <c r="O192" s="36"/>
      <c r="P192" s="36"/>
      <c r="Q192" s="36"/>
      <c r="R192" s="36"/>
      <c r="S192" s="36"/>
      <c r="T192" s="36"/>
      <c r="U192" s="36"/>
      <c r="V192" s="36"/>
      <c r="W192" s="36"/>
      <c r="X192" s="36"/>
      <c r="Y192" s="36"/>
      <c r="Z192" s="36"/>
      <c r="AA192" s="36"/>
      <c r="AB192" s="36"/>
      <c r="AC192" s="36"/>
    </row>
    <row r="193" spans="1:29" ht="24" customHeight="1">
      <c r="A193" s="81"/>
      <c r="B193" s="94"/>
      <c r="C193" s="81"/>
      <c r="D193" s="81"/>
      <c r="E193" s="80"/>
      <c r="F193" s="620"/>
      <c r="G193" s="620"/>
      <c r="H193" s="81"/>
      <c r="I193" s="81"/>
      <c r="J193" s="35"/>
      <c r="K193" s="36"/>
      <c r="L193" s="36"/>
      <c r="M193" s="36"/>
      <c r="N193" s="36"/>
      <c r="O193" s="36"/>
      <c r="P193" s="36"/>
      <c r="Q193" s="36"/>
      <c r="R193" s="36"/>
      <c r="S193" s="36"/>
      <c r="T193" s="36"/>
      <c r="U193" s="36"/>
      <c r="V193" s="36"/>
      <c r="W193" s="36"/>
      <c r="X193" s="36"/>
      <c r="Y193" s="36"/>
      <c r="Z193" s="36"/>
      <c r="AA193" s="36"/>
      <c r="AB193" s="36"/>
      <c r="AC193" s="36"/>
    </row>
    <row r="194" spans="1:29" ht="24" customHeight="1">
      <c r="A194" s="81"/>
      <c r="B194" s="94"/>
      <c r="C194" s="81"/>
      <c r="D194" s="81"/>
      <c r="E194" s="80"/>
      <c r="F194" s="620"/>
      <c r="G194" s="620"/>
      <c r="H194" s="81"/>
      <c r="I194" s="81"/>
      <c r="J194" s="35"/>
      <c r="K194" s="36"/>
      <c r="L194" s="36"/>
      <c r="M194" s="36"/>
      <c r="N194" s="36"/>
      <c r="O194" s="36"/>
      <c r="P194" s="36"/>
      <c r="Q194" s="36"/>
      <c r="R194" s="36"/>
      <c r="S194" s="36"/>
      <c r="T194" s="36"/>
      <c r="U194" s="36"/>
      <c r="V194" s="36"/>
      <c r="W194" s="36"/>
      <c r="X194" s="36"/>
      <c r="Y194" s="36"/>
      <c r="Z194" s="36"/>
      <c r="AA194" s="36"/>
      <c r="AB194" s="36"/>
      <c r="AC194" s="36"/>
    </row>
    <row r="195" spans="1:29" ht="24" customHeight="1">
      <c r="A195" s="81"/>
      <c r="B195" s="94"/>
      <c r="C195" s="81"/>
      <c r="D195" s="81"/>
      <c r="E195" s="80"/>
      <c r="F195" s="620"/>
      <c r="G195" s="620"/>
      <c r="H195" s="81"/>
      <c r="I195" s="81"/>
      <c r="J195" s="35"/>
      <c r="K195" s="36"/>
      <c r="L195" s="36"/>
      <c r="M195" s="36"/>
      <c r="N195" s="36"/>
      <c r="O195" s="36"/>
      <c r="P195" s="36"/>
      <c r="Q195" s="36"/>
      <c r="R195" s="36"/>
      <c r="S195" s="36"/>
      <c r="T195" s="36"/>
      <c r="U195" s="36"/>
      <c r="V195" s="36"/>
      <c r="W195" s="36"/>
      <c r="X195" s="36"/>
      <c r="Y195" s="36"/>
      <c r="Z195" s="36"/>
      <c r="AA195" s="36"/>
      <c r="AB195" s="36"/>
      <c r="AC195" s="36"/>
    </row>
    <row r="196" spans="1:29" ht="36" customHeight="1">
      <c r="A196" s="81"/>
      <c r="B196" s="94"/>
      <c r="C196" s="81"/>
      <c r="D196" s="81"/>
      <c r="E196" s="80"/>
      <c r="F196" s="620"/>
      <c r="G196" s="620"/>
      <c r="H196" s="81"/>
      <c r="I196" s="81"/>
      <c r="J196" s="35"/>
      <c r="K196" s="36"/>
      <c r="L196" s="36"/>
      <c r="M196" s="36"/>
      <c r="N196" s="36"/>
      <c r="O196" s="36"/>
      <c r="P196" s="36"/>
      <c r="Q196" s="36"/>
      <c r="R196" s="36"/>
      <c r="S196" s="36"/>
      <c r="T196" s="36"/>
      <c r="U196" s="36"/>
      <c r="V196" s="36"/>
      <c r="W196" s="36"/>
      <c r="X196" s="36"/>
      <c r="Y196" s="36"/>
      <c r="Z196" s="36"/>
      <c r="AA196" s="36"/>
      <c r="AB196" s="36"/>
      <c r="AC196" s="36"/>
    </row>
    <row r="197" spans="1:29" ht="24" customHeight="1">
      <c r="A197" s="81"/>
      <c r="B197" s="94"/>
      <c r="C197" s="81"/>
      <c r="D197" s="81"/>
      <c r="E197" s="80"/>
      <c r="F197" s="620"/>
      <c r="G197" s="620"/>
      <c r="H197" s="81"/>
      <c r="I197" s="81"/>
      <c r="J197" s="35"/>
      <c r="K197" s="36"/>
      <c r="L197" s="36"/>
      <c r="M197" s="36"/>
      <c r="N197" s="36"/>
      <c r="O197" s="36"/>
      <c r="P197" s="36"/>
      <c r="Q197" s="36"/>
      <c r="R197" s="36"/>
      <c r="S197" s="36"/>
      <c r="T197" s="36"/>
      <c r="U197" s="36"/>
      <c r="V197" s="36"/>
      <c r="W197" s="36"/>
      <c r="X197" s="36"/>
      <c r="Y197" s="36"/>
      <c r="Z197" s="36"/>
      <c r="AA197" s="36"/>
      <c r="AB197" s="36"/>
      <c r="AC197" s="36"/>
    </row>
    <row r="198" spans="1:29" ht="96" customHeight="1">
      <c r="A198" s="81"/>
      <c r="B198" s="94"/>
      <c r="C198" s="81"/>
      <c r="D198" s="81"/>
      <c r="E198" s="80"/>
      <c r="F198" s="620"/>
      <c r="G198" s="620"/>
      <c r="H198" s="81"/>
      <c r="I198" s="81"/>
      <c r="J198" s="35"/>
      <c r="K198" s="36"/>
      <c r="L198" s="36"/>
      <c r="M198" s="36"/>
      <c r="N198" s="36"/>
      <c r="O198" s="36"/>
      <c r="P198" s="36"/>
      <c r="Q198" s="36"/>
      <c r="R198" s="36"/>
      <c r="S198" s="36"/>
      <c r="T198" s="36"/>
      <c r="U198" s="36"/>
      <c r="V198" s="36"/>
      <c r="W198" s="36"/>
      <c r="X198" s="36"/>
      <c r="Y198" s="36"/>
      <c r="Z198" s="36"/>
      <c r="AA198" s="36"/>
      <c r="AB198" s="36"/>
      <c r="AC198" s="36"/>
    </row>
    <row r="199" spans="1:29" ht="36" customHeight="1">
      <c r="A199" s="81"/>
      <c r="B199" s="94"/>
      <c r="C199" s="81"/>
      <c r="D199" s="81"/>
      <c r="E199" s="80"/>
      <c r="F199" s="620"/>
      <c r="G199" s="620"/>
      <c r="H199" s="81"/>
      <c r="I199" s="81"/>
      <c r="J199" s="35"/>
      <c r="K199" s="36"/>
      <c r="L199" s="36"/>
      <c r="M199" s="36"/>
      <c r="N199" s="36"/>
      <c r="O199" s="36"/>
      <c r="P199" s="36"/>
      <c r="Q199" s="36"/>
      <c r="R199" s="36"/>
      <c r="S199" s="36"/>
      <c r="T199" s="36"/>
      <c r="U199" s="36"/>
      <c r="V199" s="36"/>
      <c r="W199" s="36"/>
      <c r="X199" s="36"/>
      <c r="Y199" s="36"/>
      <c r="Z199" s="36"/>
      <c r="AA199" s="36"/>
      <c r="AB199" s="36"/>
      <c r="AC199" s="36"/>
    </row>
    <row r="200" spans="1:29" ht="62.25" customHeight="1">
      <c r="A200" s="81"/>
      <c r="B200" s="94"/>
      <c r="C200" s="81"/>
      <c r="D200" s="81"/>
      <c r="E200" s="80"/>
      <c r="F200" s="620"/>
      <c r="G200" s="620"/>
      <c r="H200" s="81"/>
      <c r="I200" s="81"/>
      <c r="J200" s="35"/>
      <c r="K200" s="36"/>
      <c r="L200" s="36"/>
      <c r="M200" s="36"/>
      <c r="N200" s="36"/>
      <c r="O200" s="36"/>
      <c r="P200" s="36"/>
      <c r="Q200" s="36"/>
      <c r="R200" s="36"/>
      <c r="S200" s="36"/>
      <c r="T200" s="36"/>
      <c r="U200" s="36"/>
      <c r="V200" s="36"/>
      <c r="W200" s="36"/>
      <c r="X200" s="36"/>
      <c r="Y200" s="36"/>
      <c r="Z200" s="36"/>
      <c r="AA200" s="36"/>
      <c r="AB200" s="36"/>
      <c r="AC200" s="36"/>
    </row>
    <row r="201" spans="1:29" ht="36" customHeight="1">
      <c r="A201" s="81"/>
      <c r="B201" s="94"/>
      <c r="C201" s="81"/>
      <c r="D201" s="81"/>
      <c r="E201" s="80"/>
      <c r="F201" s="620"/>
      <c r="G201" s="620"/>
      <c r="H201" s="81"/>
      <c r="I201" s="81"/>
      <c r="J201" s="35"/>
      <c r="K201" s="36"/>
      <c r="L201" s="36"/>
      <c r="M201" s="36"/>
      <c r="N201" s="36"/>
      <c r="O201" s="36"/>
      <c r="P201" s="36"/>
      <c r="Q201" s="36"/>
      <c r="R201" s="36"/>
      <c r="S201" s="36"/>
      <c r="T201" s="36"/>
      <c r="U201" s="36"/>
      <c r="V201" s="36"/>
      <c r="W201" s="36"/>
      <c r="X201" s="36"/>
      <c r="Y201" s="36"/>
      <c r="Z201" s="36"/>
      <c r="AA201" s="36"/>
      <c r="AB201" s="36"/>
      <c r="AC201" s="36"/>
    </row>
    <row r="202" spans="1:29" ht="36" customHeight="1">
      <c r="A202" s="81"/>
      <c r="B202" s="94"/>
      <c r="C202" s="81"/>
      <c r="D202" s="81"/>
      <c r="E202" s="80"/>
      <c r="F202" s="620"/>
      <c r="G202" s="620"/>
      <c r="H202" s="81"/>
      <c r="I202" s="81"/>
      <c r="J202" s="35"/>
      <c r="K202" s="36"/>
      <c r="L202" s="36"/>
      <c r="M202" s="36"/>
      <c r="N202" s="36"/>
      <c r="O202" s="36"/>
      <c r="P202" s="36"/>
      <c r="Q202" s="36"/>
      <c r="R202" s="36"/>
      <c r="S202" s="36"/>
      <c r="T202" s="36"/>
      <c r="U202" s="36"/>
      <c r="V202" s="36"/>
      <c r="W202" s="36"/>
      <c r="X202" s="36"/>
      <c r="Y202" s="36"/>
      <c r="Z202" s="36"/>
      <c r="AA202" s="36"/>
      <c r="AB202" s="36"/>
      <c r="AC202" s="36"/>
    </row>
    <row r="203" spans="1:29" ht="36" customHeight="1">
      <c r="A203" s="81"/>
      <c r="B203" s="94"/>
      <c r="C203" s="81"/>
      <c r="D203" s="81"/>
      <c r="E203" s="80"/>
      <c r="F203" s="620"/>
      <c r="G203" s="620"/>
      <c r="H203" s="81"/>
      <c r="I203" s="81"/>
      <c r="J203" s="35"/>
      <c r="K203" s="36"/>
      <c r="L203" s="36"/>
      <c r="M203" s="36"/>
      <c r="N203" s="36"/>
      <c r="O203" s="36"/>
      <c r="P203" s="36"/>
      <c r="Q203" s="36"/>
      <c r="R203" s="36"/>
      <c r="S203" s="36"/>
      <c r="T203" s="36"/>
      <c r="U203" s="36"/>
      <c r="V203" s="36"/>
      <c r="W203" s="36"/>
      <c r="X203" s="36"/>
      <c r="Y203" s="36"/>
      <c r="Z203" s="36"/>
      <c r="AA203" s="36"/>
      <c r="AB203" s="36"/>
      <c r="AC203" s="36"/>
    </row>
    <row r="204" spans="1:29" ht="36" customHeight="1">
      <c r="A204" s="81"/>
      <c r="B204" s="94"/>
      <c r="C204" s="81"/>
      <c r="D204" s="81"/>
      <c r="E204" s="80"/>
      <c r="F204" s="620"/>
      <c r="G204" s="620"/>
      <c r="H204" s="81"/>
      <c r="I204" s="81"/>
      <c r="J204" s="35"/>
      <c r="K204" s="36"/>
      <c r="L204" s="36"/>
      <c r="M204" s="36"/>
      <c r="N204" s="36"/>
      <c r="O204" s="36"/>
      <c r="P204" s="36"/>
      <c r="Q204" s="36"/>
      <c r="R204" s="36"/>
      <c r="S204" s="36"/>
      <c r="T204" s="36"/>
      <c r="U204" s="36"/>
      <c r="V204" s="36"/>
      <c r="W204" s="36"/>
      <c r="X204" s="36"/>
      <c r="Y204" s="36"/>
      <c r="Z204" s="36"/>
      <c r="AA204" s="36"/>
      <c r="AB204" s="36"/>
      <c r="AC204" s="36"/>
    </row>
    <row r="205" spans="1:29" ht="36" customHeight="1">
      <c r="A205" s="81"/>
      <c r="B205" s="94"/>
      <c r="C205" s="81"/>
      <c r="D205" s="81"/>
      <c r="E205" s="80"/>
      <c r="F205" s="620"/>
      <c r="G205" s="620"/>
      <c r="H205" s="81"/>
      <c r="I205" s="81"/>
      <c r="J205" s="35"/>
      <c r="K205" s="36"/>
      <c r="L205" s="36"/>
      <c r="M205" s="36"/>
      <c r="N205" s="36"/>
      <c r="O205" s="36"/>
      <c r="P205" s="36"/>
      <c r="Q205" s="36"/>
      <c r="R205" s="36"/>
      <c r="S205" s="36"/>
      <c r="T205" s="36"/>
      <c r="U205" s="36"/>
      <c r="V205" s="36"/>
      <c r="W205" s="36"/>
      <c r="X205" s="36"/>
      <c r="Y205" s="36"/>
      <c r="Z205" s="36"/>
      <c r="AA205" s="36"/>
      <c r="AB205" s="36"/>
      <c r="AC205" s="36"/>
    </row>
    <row r="206" spans="1:29" ht="36" customHeight="1">
      <c r="A206" s="81"/>
      <c r="B206" s="94"/>
      <c r="C206" s="81"/>
      <c r="D206" s="81"/>
      <c r="E206" s="80"/>
      <c r="F206" s="620"/>
      <c r="G206" s="620"/>
      <c r="H206" s="81"/>
      <c r="I206" s="81"/>
      <c r="J206" s="35"/>
      <c r="K206" s="36"/>
      <c r="L206" s="36"/>
      <c r="M206" s="36"/>
      <c r="N206" s="36"/>
      <c r="O206" s="36"/>
      <c r="P206" s="36"/>
      <c r="Q206" s="36"/>
      <c r="R206" s="36"/>
      <c r="S206" s="36"/>
      <c r="T206" s="36"/>
      <c r="U206" s="36"/>
      <c r="V206" s="36"/>
      <c r="W206" s="36"/>
      <c r="X206" s="36"/>
      <c r="Y206" s="36"/>
      <c r="Z206" s="36"/>
      <c r="AA206" s="36"/>
      <c r="AB206" s="36"/>
      <c r="AC206" s="36"/>
    </row>
    <row r="207" spans="1:29" ht="36" customHeight="1">
      <c r="A207" s="81"/>
      <c r="B207" s="94"/>
      <c r="C207" s="81"/>
      <c r="D207" s="81"/>
      <c r="E207" s="80"/>
      <c r="F207" s="620"/>
      <c r="G207" s="620"/>
      <c r="H207" s="81"/>
      <c r="I207" s="81"/>
      <c r="J207" s="35"/>
      <c r="K207" s="36"/>
      <c r="L207" s="36"/>
      <c r="M207" s="36"/>
      <c r="N207" s="36"/>
      <c r="O207" s="36"/>
      <c r="P207" s="36"/>
      <c r="Q207" s="36"/>
      <c r="R207" s="36"/>
      <c r="S207" s="36"/>
      <c r="T207" s="36"/>
      <c r="U207" s="36"/>
      <c r="V207" s="36"/>
      <c r="W207" s="36"/>
      <c r="X207" s="36"/>
      <c r="Y207" s="36"/>
      <c r="Z207" s="36"/>
      <c r="AA207" s="36"/>
      <c r="AB207" s="36"/>
      <c r="AC207" s="36"/>
    </row>
    <row r="208" spans="1:29" ht="24" customHeight="1">
      <c r="A208" s="81"/>
      <c r="B208" s="94"/>
      <c r="C208" s="81"/>
      <c r="D208" s="81"/>
      <c r="E208" s="80"/>
      <c r="F208" s="620"/>
      <c r="G208" s="620"/>
      <c r="H208" s="81"/>
      <c r="I208" s="81"/>
      <c r="J208" s="35"/>
      <c r="K208" s="36"/>
      <c r="L208" s="36"/>
      <c r="M208" s="36"/>
      <c r="N208" s="36"/>
      <c r="O208" s="36"/>
      <c r="P208" s="36"/>
      <c r="Q208" s="36"/>
      <c r="R208" s="36"/>
      <c r="S208" s="36"/>
      <c r="T208" s="36"/>
      <c r="U208" s="36"/>
      <c r="V208" s="36"/>
      <c r="W208" s="36"/>
      <c r="X208" s="36"/>
      <c r="Y208" s="36"/>
      <c r="Z208" s="36"/>
      <c r="AA208" s="36"/>
      <c r="AB208" s="36"/>
      <c r="AC208" s="36"/>
    </row>
    <row r="209" spans="1:29" ht="36" customHeight="1">
      <c r="A209" s="81"/>
      <c r="B209" s="94"/>
      <c r="C209" s="81"/>
      <c r="D209" s="81"/>
      <c r="E209" s="80"/>
      <c r="F209" s="620"/>
      <c r="G209" s="620"/>
      <c r="H209" s="81"/>
      <c r="I209" s="81"/>
      <c r="J209" s="35"/>
      <c r="K209" s="36"/>
      <c r="L209" s="36"/>
      <c r="M209" s="36"/>
      <c r="N209" s="36"/>
      <c r="O209" s="36"/>
      <c r="P209" s="36"/>
      <c r="Q209" s="36"/>
      <c r="R209" s="36"/>
      <c r="S209" s="36"/>
      <c r="T209" s="36"/>
      <c r="U209" s="36"/>
      <c r="V209" s="36"/>
      <c r="W209" s="36"/>
      <c r="X209" s="36"/>
      <c r="Y209" s="36"/>
      <c r="Z209" s="36"/>
      <c r="AA209" s="36"/>
      <c r="AB209" s="36"/>
      <c r="AC209" s="36"/>
    </row>
    <row r="210" spans="1:29" ht="24" customHeight="1">
      <c r="A210" s="81"/>
      <c r="B210" s="94"/>
      <c r="C210" s="81"/>
      <c r="D210" s="81"/>
      <c r="E210" s="80"/>
      <c r="F210" s="620"/>
      <c r="G210" s="620"/>
      <c r="H210" s="81"/>
      <c r="I210" s="81"/>
      <c r="J210" s="35"/>
      <c r="K210" s="36"/>
      <c r="L210" s="36"/>
      <c r="M210" s="36"/>
      <c r="N210" s="36"/>
      <c r="O210" s="36"/>
      <c r="P210" s="36"/>
      <c r="Q210" s="36"/>
      <c r="R210" s="36"/>
      <c r="S210" s="36"/>
      <c r="T210" s="36"/>
      <c r="U210" s="36"/>
      <c r="V210" s="36"/>
      <c r="W210" s="36"/>
      <c r="X210" s="36"/>
      <c r="Y210" s="36"/>
      <c r="Z210" s="36"/>
      <c r="AA210" s="36"/>
      <c r="AB210" s="36"/>
      <c r="AC210" s="36"/>
    </row>
    <row r="211" spans="1:29" ht="36" customHeight="1">
      <c r="A211" s="81"/>
      <c r="B211" s="94"/>
      <c r="C211" s="81"/>
      <c r="D211" s="81"/>
      <c r="E211" s="80"/>
      <c r="F211" s="620"/>
      <c r="G211" s="620"/>
      <c r="H211" s="81"/>
      <c r="I211" s="81"/>
      <c r="J211" s="35"/>
      <c r="K211" s="36"/>
      <c r="L211" s="36"/>
      <c r="M211" s="36"/>
      <c r="N211" s="36"/>
      <c r="O211" s="36"/>
      <c r="P211" s="36"/>
      <c r="Q211" s="36"/>
      <c r="R211" s="36"/>
      <c r="S211" s="36"/>
      <c r="T211" s="36"/>
      <c r="U211" s="36"/>
      <c r="V211" s="36"/>
      <c r="W211" s="36"/>
      <c r="X211" s="36"/>
      <c r="Y211" s="36"/>
      <c r="Z211" s="36"/>
      <c r="AA211" s="36"/>
      <c r="AB211" s="36"/>
      <c r="AC211" s="36"/>
    </row>
    <row r="212" spans="1:29" ht="48" customHeight="1">
      <c r="A212" s="81"/>
      <c r="B212" s="94"/>
      <c r="C212" s="81"/>
      <c r="D212" s="81"/>
      <c r="E212" s="80"/>
      <c r="F212" s="620"/>
      <c r="G212" s="620"/>
      <c r="H212" s="81"/>
      <c r="I212" s="81"/>
      <c r="J212" s="35"/>
      <c r="K212" s="36"/>
      <c r="L212" s="36"/>
      <c r="M212" s="36"/>
      <c r="N212" s="36"/>
      <c r="O212" s="36"/>
      <c r="P212" s="36"/>
      <c r="Q212" s="36"/>
      <c r="R212" s="36"/>
      <c r="S212" s="36"/>
      <c r="T212" s="36"/>
      <c r="U212" s="36"/>
      <c r="V212" s="36"/>
      <c r="W212" s="36"/>
      <c r="X212" s="36"/>
      <c r="Y212" s="36"/>
      <c r="Z212" s="36"/>
      <c r="AA212" s="36"/>
      <c r="AB212" s="36"/>
      <c r="AC212" s="36"/>
    </row>
    <row r="213" spans="1:29" ht="24" customHeight="1">
      <c r="A213" s="81"/>
      <c r="B213" s="94"/>
      <c r="C213" s="81"/>
      <c r="D213" s="81"/>
      <c r="E213" s="80"/>
      <c r="F213" s="620"/>
      <c r="G213" s="620"/>
      <c r="H213" s="81"/>
      <c r="I213" s="81"/>
      <c r="J213" s="35"/>
      <c r="K213" s="36"/>
      <c r="L213" s="36"/>
      <c r="M213" s="36"/>
      <c r="N213" s="36"/>
      <c r="O213" s="36"/>
      <c r="P213" s="36"/>
      <c r="Q213" s="36"/>
      <c r="R213" s="36"/>
      <c r="S213" s="36"/>
      <c r="T213" s="36"/>
      <c r="U213" s="36"/>
      <c r="V213" s="36"/>
      <c r="W213" s="36"/>
      <c r="X213" s="36"/>
      <c r="Y213" s="36"/>
      <c r="Z213" s="36"/>
      <c r="AA213" s="36"/>
      <c r="AB213" s="36"/>
      <c r="AC213" s="36"/>
    </row>
    <row r="214" spans="1:29" ht="72" customHeight="1">
      <c r="A214" s="619"/>
      <c r="B214" s="94"/>
      <c r="C214" s="81"/>
      <c r="D214" s="81"/>
      <c r="E214" s="80"/>
      <c r="F214" s="620"/>
      <c r="G214" s="620"/>
      <c r="H214" s="81"/>
      <c r="I214" s="81"/>
      <c r="J214" s="35"/>
      <c r="K214" s="36"/>
      <c r="L214" s="36"/>
      <c r="M214" s="36"/>
      <c r="N214" s="36"/>
      <c r="O214" s="36"/>
      <c r="P214" s="36"/>
      <c r="Q214" s="36"/>
      <c r="R214" s="36"/>
      <c r="S214" s="36"/>
      <c r="T214" s="36"/>
      <c r="U214" s="36"/>
      <c r="V214" s="36"/>
      <c r="W214" s="36"/>
      <c r="X214" s="36"/>
      <c r="Y214" s="36"/>
      <c r="Z214" s="36"/>
      <c r="AA214" s="36"/>
      <c r="AB214" s="36"/>
      <c r="AC214" s="36"/>
    </row>
    <row r="215" spans="1:29" ht="24" customHeight="1">
      <c r="A215" s="619"/>
      <c r="B215" s="94"/>
      <c r="C215" s="81"/>
      <c r="D215" s="81"/>
      <c r="E215" s="80"/>
      <c r="F215" s="620"/>
      <c r="G215" s="620"/>
      <c r="H215" s="81"/>
      <c r="I215" s="81"/>
      <c r="J215" s="35"/>
      <c r="K215" s="36"/>
      <c r="L215" s="36"/>
      <c r="M215" s="36"/>
      <c r="N215" s="36"/>
      <c r="O215" s="36"/>
      <c r="P215" s="36"/>
      <c r="Q215" s="36"/>
      <c r="R215" s="36"/>
      <c r="S215" s="36"/>
      <c r="T215" s="36"/>
      <c r="U215" s="36"/>
      <c r="V215" s="36"/>
      <c r="W215" s="36"/>
      <c r="X215" s="36"/>
      <c r="Y215" s="36"/>
      <c r="Z215" s="36"/>
      <c r="AA215" s="36"/>
      <c r="AB215" s="36"/>
      <c r="AC215" s="36"/>
    </row>
    <row r="216" spans="1:29" ht="24" customHeight="1">
      <c r="A216" s="619"/>
      <c r="B216" s="94"/>
      <c r="C216" s="81"/>
      <c r="D216" s="81"/>
      <c r="E216" s="80"/>
      <c r="F216" s="620"/>
      <c r="G216" s="620"/>
      <c r="H216" s="81"/>
      <c r="I216" s="81"/>
      <c r="J216" s="35"/>
      <c r="K216" s="36"/>
      <c r="L216" s="36"/>
      <c r="M216" s="36"/>
      <c r="N216" s="36"/>
      <c r="O216" s="36"/>
      <c r="P216" s="36"/>
      <c r="Q216" s="36"/>
      <c r="R216" s="36"/>
      <c r="S216" s="36"/>
      <c r="T216" s="36"/>
      <c r="U216" s="36"/>
      <c r="V216" s="36"/>
      <c r="W216" s="36"/>
      <c r="X216" s="36"/>
      <c r="Y216" s="36"/>
      <c r="Z216" s="36"/>
      <c r="AA216" s="36"/>
      <c r="AB216" s="36"/>
      <c r="AC216" s="36"/>
    </row>
    <row r="217" spans="1:29" ht="60" customHeight="1">
      <c r="A217" s="619"/>
      <c r="B217" s="94"/>
      <c r="C217" s="81"/>
      <c r="D217" s="81"/>
      <c r="E217" s="80"/>
      <c r="F217" s="620"/>
      <c r="G217" s="620"/>
      <c r="H217" s="81"/>
      <c r="I217" s="81"/>
      <c r="J217" s="35"/>
      <c r="K217" s="36"/>
      <c r="L217" s="36"/>
      <c r="M217" s="36"/>
      <c r="N217" s="36"/>
      <c r="O217" s="36"/>
      <c r="P217" s="36"/>
      <c r="Q217" s="36"/>
      <c r="R217" s="36"/>
      <c r="S217" s="36"/>
      <c r="T217" s="36"/>
      <c r="U217" s="36"/>
      <c r="V217" s="36"/>
      <c r="W217" s="36"/>
      <c r="X217" s="36"/>
      <c r="Y217" s="36"/>
      <c r="Z217" s="36"/>
      <c r="AA217" s="36"/>
      <c r="AB217" s="36"/>
      <c r="AC217" s="36"/>
    </row>
    <row r="218" spans="1:29" ht="24" customHeight="1">
      <c r="A218" s="81"/>
      <c r="B218" s="94"/>
      <c r="C218" s="81"/>
      <c r="D218" s="81"/>
      <c r="E218" s="80"/>
      <c r="F218" s="620"/>
      <c r="G218" s="620"/>
      <c r="H218" s="81"/>
      <c r="I218" s="81"/>
      <c r="J218" s="35"/>
      <c r="K218" s="36"/>
      <c r="L218" s="36"/>
      <c r="M218" s="36"/>
      <c r="N218" s="36"/>
      <c r="O218" s="36"/>
      <c r="P218" s="36"/>
      <c r="Q218" s="36"/>
      <c r="R218" s="36"/>
      <c r="S218" s="36"/>
      <c r="T218" s="36"/>
      <c r="U218" s="36"/>
      <c r="V218" s="36"/>
      <c r="W218" s="36"/>
      <c r="X218" s="36"/>
      <c r="Y218" s="36"/>
      <c r="Z218" s="36"/>
      <c r="AA218" s="36"/>
      <c r="AB218" s="36"/>
      <c r="AC218" s="36"/>
    </row>
    <row r="219" spans="1:29" ht="36" customHeight="1">
      <c r="A219" s="81"/>
      <c r="B219" s="94"/>
      <c r="C219" s="81"/>
      <c r="D219" s="81"/>
      <c r="E219" s="80"/>
      <c r="F219" s="620"/>
      <c r="G219" s="620"/>
      <c r="H219" s="81"/>
      <c r="I219" s="81"/>
      <c r="J219" s="35"/>
      <c r="K219" s="36"/>
      <c r="L219" s="36"/>
      <c r="M219" s="36"/>
      <c r="N219" s="36"/>
      <c r="O219" s="36"/>
      <c r="P219" s="36"/>
      <c r="Q219" s="36"/>
      <c r="R219" s="36"/>
      <c r="S219" s="36"/>
      <c r="T219" s="36"/>
      <c r="U219" s="36"/>
      <c r="V219" s="36"/>
      <c r="W219" s="36"/>
      <c r="X219" s="36"/>
      <c r="Y219" s="36"/>
      <c r="Z219" s="36"/>
      <c r="AA219" s="36"/>
      <c r="AB219" s="36"/>
      <c r="AC219" s="36"/>
    </row>
    <row r="220" spans="1:29" ht="36" customHeight="1">
      <c r="A220" s="81"/>
      <c r="B220" s="94"/>
      <c r="C220" s="81"/>
      <c r="D220" s="81"/>
      <c r="E220" s="80"/>
      <c r="F220" s="620"/>
      <c r="G220" s="620"/>
      <c r="H220" s="81"/>
      <c r="I220" s="81"/>
      <c r="J220" s="35"/>
      <c r="K220" s="36"/>
      <c r="L220" s="36"/>
      <c r="M220" s="36"/>
      <c r="N220" s="36"/>
      <c r="O220" s="36"/>
      <c r="P220" s="36"/>
      <c r="Q220" s="36"/>
      <c r="R220" s="36"/>
      <c r="S220" s="36"/>
      <c r="T220" s="36"/>
      <c r="U220" s="36"/>
      <c r="V220" s="36"/>
      <c r="W220" s="36"/>
      <c r="X220" s="36"/>
      <c r="Y220" s="36"/>
      <c r="Z220" s="36"/>
      <c r="AA220" s="36"/>
      <c r="AB220" s="36"/>
      <c r="AC220" s="36"/>
    </row>
    <row r="221" spans="1:29" ht="60" customHeight="1">
      <c r="A221" s="81"/>
      <c r="B221" s="94"/>
      <c r="C221" s="81"/>
      <c r="D221" s="81"/>
      <c r="E221" s="80"/>
      <c r="F221" s="620"/>
      <c r="G221" s="620"/>
      <c r="H221" s="81"/>
      <c r="I221" s="81"/>
      <c r="J221" s="35"/>
      <c r="K221" s="36"/>
      <c r="L221" s="36"/>
      <c r="M221" s="36"/>
      <c r="N221" s="36"/>
      <c r="O221" s="36"/>
      <c r="P221" s="36"/>
      <c r="Q221" s="36"/>
      <c r="R221" s="36"/>
      <c r="S221" s="36"/>
      <c r="T221" s="36"/>
      <c r="U221" s="36"/>
      <c r="V221" s="36"/>
      <c r="W221" s="36"/>
      <c r="X221" s="36"/>
      <c r="Y221" s="36"/>
      <c r="Z221" s="36"/>
      <c r="AA221" s="36"/>
      <c r="AB221" s="36"/>
      <c r="AC221" s="36"/>
    </row>
    <row r="222" spans="1:29" ht="48" customHeight="1">
      <c r="A222" s="81"/>
      <c r="B222" s="94"/>
      <c r="C222" s="81"/>
      <c r="D222" s="81"/>
      <c r="E222" s="80"/>
      <c r="F222" s="620"/>
      <c r="G222" s="620"/>
      <c r="H222" s="81"/>
      <c r="I222" s="81"/>
      <c r="J222" s="35"/>
      <c r="K222" s="36"/>
      <c r="L222" s="36"/>
      <c r="M222" s="36"/>
      <c r="N222" s="36"/>
      <c r="O222" s="36"/>
      <c r="P222" s="36"/>
      <c r="Q222" s="36"/>
      <c r="R222" s="36"/>
      <c r="S222" s="36"/>
      <c r="T222" s="36"/>
      <c r="U222" s="36"/>
      <c r="V222" s="36"/>
      <c r="W222" s="36"/>
      <c r="X222" s="36"/>
      <c r="Y222" s="36"/>
      <c r="Z222" s="36"/>
      <c r="AA222" s="36"/>
      <c r="AB222" s="36"/>
      <c r="AC222" s="36"/>
    </row>
    <row r="223" spans="1:29" ht="194.25" customHeight="1">
      <c r="A223" s="81"/>
      <c r="B223" s="94"/>
      <c r="C223" s="81"/>
      <c r="D223" s="81"/>
      <c r="E223" s="80"/>
      <c r="F223" s="620"/>
      <c r="G223" s="620"/>
      <c r="H223" s="81"/>
      <c r="I223" s="81"/>
      <c r="J223" s="35"/>
      <c r="K223" s="36"/>
      <c r="L223" s="36"/>
      <c r="M223" s="36"/>
      <c r="N223" s="36"/>
      <c r="O223" s="36"/>
      <c r="P223" s="36"/>
      <c r="Q223" s="36"/>
      <c r="R223" s="36"/>
      <c r="S223" s="36"/>
      <c r="T223" s="36"/>
      <c r="U223" s="36"/>
      <c r="V223" s="36"/>
      <c r="W223" s="36"/>
      <c r="X223" s="36"/>
      <c r="Y223" s="36"/>
      <c r="Z223" s="36"/>
      <c r="AA223" s="36"/>
      <c r="AB223" s="36"/>
      <c r="AC223" s="36"/>
    </row>
    <row r="224" spans="1:29" ht="36" customHeight="1">
      <c r="A224" s="81"/>
      <c r="B224" s="94"/>
      <c r="C224" s="81"/>
      <c r="D224" s="81"/>
      <c r="E224" s="80"/>
      <c r="F224" s="620"/>
      <c r="G224" s="620"/>
      <c r="H224" s="81"/>
      <c r="I224" s="81"/>
      <c r="J224" s="35"/>
      <c r="K224" s="36"/>
      <c r="L224" s="36"/>
      <c r="M224" s="36"/>
      <c r="N224" s="36"/>
      <c r="O224" s="36"/>
      <c r="P224" s="36"/>
      <c r="Q224" s="36"/>
      <c r="R224" s="36"/>
      <c r="S224" s="36"/>
      <c r="T224" s="36"/>
      <c r="U224" s="36"/>
      <c r="V224" s="36"/>
      <c r="W224" s="36"/>
      <c r="X224" s="36"/>
      <c r="Y224" s="36"/>
      <c r="Z224" s="36"/>
      <c r="AA224" s="36"/>
      <c r="AB224" s="36"/>
      <c r="AC224" s="36"/>
    </row>
    <row r="225" spans="1:29" ht="36" customHeight="1">
      <c r="A225" s="81"/>
      <c r="B225" s="94"/>
      <c r="C225" s="81"/>
      <c r="D225" s="81"/>
      <c r="E225" s="80"/>
      <c r="F225" s="620"/>
      <c r="G225" s="620"/>
      <c r="H225" s="81"/>
      <c r="I225" s="81"/>
      <c r="J225" s="35"/>
      <c r="K225" s="36"/>
      <c r="L225" s="36"/>
      <c r="M225" s="36"/>
      <c r="N225" s="36"/>
      <c r="O225" s="36"/>
      <c r="P225" s="36"/>
      <c r="Q225" s="36"/>
      <c r="R225" s="36"/>
      <c r="S225" s="36"/>
      <c r="T225" s="36"/>
      <c r="U225" s="36"/>
      <c r="V225" s="36"/>
      <c r="W225" s="36"/>
      <c r="X225" s="36"/>
      <c r="Y225" s="36"/>
      <c r="Z225" s="36"/>
      <c r="AA225" s="36"/>
      <c r="AB225" s="36"/>
      <c r="AC225" s="36"/>
    </row>
    <row r="226" spans="1:29" ht="37.5" customHeight="1">
      <c r="A226" s="81"/>
      <c r="B226" s="94"/>
      <c r="C226" s="81"/>
      <c r="D226" s="81"/>
      <c r="E226" s="80"/>
      <c r="F226" s="620"/>
      <c r="G226" s="620"/>
      <c r="H226" s="81"/>
      <c r="I226" s="81"/>
      <c r="J226" s="35"/>
      <c r="K226" s="36"/>
      <c r="L226" s="36"/>
      <c r="M226" s="36"/>
      <c r="N226" s="36"/>
      <c r="O226" s="36"/>
      <c r="P226" s="36"/>
      <c r="Q226" s="36"/>
      <c r="R226" s="36"/>
      <c r="S226" s="36"/>
      <c r="T226" s="36"/>
      <c r="U226" s="36"/>
      <c r="V226" s="36"/>
      <c r="W226" s="36"/>
      <c r="X226" s="36"/>
      <c r="Y226" s="36"/>
      <c r="Z226" s="36"/>
      <c r="AA226" s="36"/>
      <c r="AB226" s="36"/>
      <c r="AC226" s="36"/>
    </row>
    <row r="227" spans="1:29" ht="36" customHeight="1">
      <c r="A227" s="81"/>
      <c r="B227" s="94"/>
      <c r="C227" s="81"/>
      <c r="D227" s="81"/>
      <c r="E227" s="80"/>
      <c r="F227" s="620"/>
      <c r="G227" s="620"/>
      <c r="H227" s="81"/>
      <c r="I227" s="81"/>
      <c r="J227" s="35"/>
      <c r="K227" s="36"/>
      <c r="L227" s="36"/>
      <c r="M227" s="36"/>
      <c r="N227" s="36"/>
      <c r="O227" s="36"/>
      <c r="P227" s="36"/>
      <c r="Q227" s="36"/>
      <c r="R227" s="36"/>
      <c r="S227" s="36"/>
      <c r="T227" s="36"/>
      <c r="U227" s="36"/>
      <c r="V227" s="36"/>
      <c r="W227" s="36"/>
      <c r="X227" s="36"/>
      <c r="Y227" s="36"/>
      <c r="Z227" s="36"/>
      <c r="AA227" s="36"/>
      <c r="AB227" s="36"/>
      <c r="AC227" s="36"/>
    </row>
    <row r="228" spans="1:29" ht="24" customHeight="1">
      <c r="A228" s="81"/>
      <c r="B228" s="94"/>
      <c r="C228" s="81"/>
      <c r="D228" s="81"/>
      <c r="E228" s="80"/>
      <c r="F228" s="620"/>
      <c r="G228" s="620"/>
      <c r="H228" s="81"/>
      <c r="I228" s="81"/>
      <c r="J228" s="35"/>
      <c r="K228" s="36"/>
      <c r="L228" s="36"/>
      <c r="M228" s="36"/>
      <c r="N228" s="36"/>
      <c r="O228" s="36"/>
      <c r="P228" s="36"/>
      <c r="Q228" s="36"/>
      <c r="R228" s="36"/>
      <c r="S228" s="36"/>
      <c r="T228" s="36"/>
      <c r="U228" s="36"/>
      <c r="V228" s="36"/>
      <c r="W228" s="36"/>
      <c r="X228" s="36"/>
      <c r="Y228" s="36"/>
      <c r="Z228" s="36"/>
      <c r="AA228" s="36"/>
      <c r="AB228" s="36"/>
      <c r="AC228" s="36"/>
    </row>
    <row r="229" spans="1:29" ht="24" customHeight="1">
      <c r="A229" s="81"/>
      <c r="B229" s="94"/>
      <c r="C229" s="81"/>
      <c r="D229" s="81"/>
      <c r="E229" s="80"/>
      <c r="F229" s="620"/>
      <c r="G229" s="620"/>
      <c r="H229" s="81"/>
      <c r="I229" s="81"/>
      <c r="J229" s="35"/>
      <c r="K229" s="36"/>
      <c r="L229" s="36"/>
      <c r="M229" s="36"/>
      <c r="N229" s="36"/>
      <c r="O229" s="36"/>
      <c r="P229" s="36"/>
      <c r="Q229" s="36"/>
      <c r="R229" s="36"/>
      <c r="S229" s="36"/>
      <c r="T229" s="36"/>
      <c r="U229" s="36"/>
      <c r="V229" s="36"/>
      <c r="W229" s="36"/>
      <c r="X229" s="36"/>
      <c r="Y229" s="36"/>
      <c r="Z229" s="36"/>
      <c r="AA229" s="36"/>
      <c r="AB229" s="36"/>
      <c r="AC229" s="36"/>
    </row>
    <row r="230" spans="1:29" ht="24" customHeight="1">
      <c r="A230" s="81"/>
      <c r="B230" s="94"/>
      <c r="C230" s="81"/>
      <c r="D230" s="81"/>
      <c r="E230" s="80"/>
      <c r="F230" s="620"/>
      <c r="G230" s="620"/>
      <c r="H230" s="81"/>
      <c r="I230" s="81"/>
      <c r="J230" s="35"/>
      <c r="K230" s="36"/>
      <c r="L230" s="36"/>
      <c r="M230" s="36"/>
      <c r="N230" s="36"/>
      <c r="O230" s="36"/>
      <c r="P230" s="36"/>
      <c r="Q230" s="36"/>
      <c r="R230" s="36"/>
      <c r="S230" s="36"/>
      <c r="T230" s="36"/>
      <c r="U230" s="36"/>
      <c r="V230" s="36"/>
      <c r="W230" s="36"/>
      <c r="X230" s="36"/>
      <c r="Y230" s="36"/>
      <c r="Z230" s="36"/>
      <c r="AA230" s="36"/>
      <c r="AB230" s="36"/>
      <c r="AC230" s="36"/>
    </row>
    <row r="231" spans="1:29" ht="24" customHeight="1">
      <c r="A231" s="81"/>
      <c r="B231" s="94"/>
      <c r="C231" s="81"/>
      <c r="D231" s="81"/>
      <c r="E231" s="80"/>
      <c r="F231" s="620"/>
      <c r="G231" s="620"/>
      <c r="H231" s="81"/>
      <c r="I231" s="81"/>
      <c r="J231" s="35"/>
      <c r="K231" s="36"/>
      <c r="L231" s="36"/>
      <c r="M231" s="36"/>
      <c r="N231" s="36"/>
      <c r="O231" s="36"/>
      <c r="P231" s="36"/>
      <c r="Q231" s="36"/>
      <c r="R231" s="36"/>
      <c r="S231" s="36"/>
      <c r="T231" s="36"/>
      <c r="U231" s="36"/>
      <c r="V231" s="36"/>
      <c r="W231" s="36"/>
      <c r="X231" s="36"/>
      <c r="Y231" s="36"/>
      <c r="Z231" s="36"/>
      <c r="AA231" s="36"/>
      <c r="AB231" s="36"/>
      <c r="AC231" s="36"/>
    </row>
    <row r="232" spans="1:29" ht="24" customHeight="1">
      <c r="A232" s="81"/>
      <c r="B232" s="94"/>
      <c r="C232" s="81"/>
      <c r="D232" s="81"/>
      <c r="E232" s="80"/>
      <c r="F232" s="620"/>
      <c r="G232" s="620"/>
      <c r="H232" s="81"/>
      <c r="I232" s="81"/>
      <c r="J232" s="35"/>
      <c r="K232" s="36"/>
      <c r="L232" s="36"/>
      <c r="M232" s="36"/>
      <c r="N232" s="36"/>
      <c r="O232" s="36"/>
      <c r="P232" s="36"/>
      <c r="Q232" s="36"/>
      <c r="R232" s="36"/>
      <c r="S232" s="36"/>
      <c r="T232" s="36"/>
      <c r="U232" s="36"/>
      <c r="V232" s="36"/>
      <c r="W232" s="36"/>
      <c r="X232" s="36"/>
      <c r="Y232" s="36"/>
      <c r="Z232" s="36"/>
      <c r="AA232" s="36"/>
      <c r="AB232" s="36"/>
      <c r="AC232" s="36"/>
    </row>
    <row r="233" spans="1:29" ht="36" customHeight="1">
      <c r="A233" s="81"/>
      <c r="B233" s="94"/>
      <c r="C233" s="81"/>
      <c r="D233" s="81"/>
      <c r="E233" s="80"/>
      <c r="F233" s="620"/>
      <c r="G233" s="620"/>
      <c r="H233" s="81"/>
      <c r="I233" s="81"/>
      <c r="J233" s="35"/>
      <c r="K233" s="36"/>
      <c r="L233" s="36"/>
      <c r="M233" s="36"/>
      <c r="N233" s="36"/>
      <c r="O233" s="36"/>
      <c r="P233" s="36"/>
      <c r="Q233" s="36"/>
      <c r="R233" s="36"/>
      <c r="S233" s="36"/>
      <c r="T233" s="36"/>
      <c r="U233" s="36"/>
      <c r="V233" s="36"/>
      <c r="W233" s="36"/>
      <c r="X233" s="36"/>
      <c r="Y233" s="36"/>
      <c r="Z233" s="36"/>
      <c r="AA233" s="36"/>
      <c r="AB233" s="36"/>
      <c r="AC233" s="36"/>
    </row>
    <row r="234" spans="1:29" ht="36" customHeight="1">
      <c r="A234" s="81"/>
      <c r="B234" s="94"/>
      <c r="C234" s="81"/>
      <c r="D234" s="81"/>
      <c r="E234" s="80"/>
      <c r="F234" s="620"/>
      <c r="G234" s="620"/>
      <c r="H234" s="81"/>
      <c r="I234" s="81"/>
      <c r="J234" s="35"/>
      <c r="K234" s="36"/>
      <c r="L234" s="36"/>
      <c r="M234" s="36"/>
      <c r="N234" s="36"/>
      <c r="O234" s="36"/>
      <c r="P234" s="36"/>
      <c r="Q234" s="36"/>
      <c r="R234" s="36"/>
      <c r="S234" s="36"/>
      <c r="T234" s="36"/>
      <c r="U234" s="36"/>
      <c r="V234" s="36"/>
      <c r="W234" s="36"/>
      <c r="X234" s="36"/>
      <c r="Y234" s="36"/>
      <c r="Z234" s="36"/>
      <c r="AA234" s="36"/>
      <c r="AB234" s="36"/>
      <c r="AC234" s="36"/>
    </row>
    <row r="235" spans="1:29" ht="36" customHeight="1">
      <c r="A235" s="81"/>
      <c r="B235" s="94"/>
      <c r="C235" s="81"/>
      <c r="D235" s="81"/>
      <c r="E235" s="80"/>
      <c r="F235" s="620"/>
      <c r="G235" s="620"/>
      <c r="H235" s="81"/>
      <c r="I235" s="81"/>
      <c r="J235" s="35"/>
      <c r="K235" s="36"/>
      <c r="L235" s="36"/>
      <c r="M235" s="36"/>
      <c r="N235" s="36"/>
      <c r="O235" s="36"/>
      <c r="P235" s="36"/>
      <c r="Q235" s="36"/>
      <c r="R235" s="36"/>
      <c r="S235" s="36"/>
      <c r="T235" s="36"/>
      <c r="U235" s="36"/>
      <c r="V235" s="36"/>
      <c r="W235" s="36"/>
      <c r="X235" s="36"/>
      <c r="Y235" s="36"/>
      <c r="Z235" s="36"/>
      <c r="AA235" s="36"/>
      <c r="AB235" s="36"/>
      <c r="AC235" s="36"/>
    </row>
    <row r="236" spans="1:29" ht="36" customHeight="1">
      <c r="A236" s="624"/>
      <c r="B236" s="625"/>
      <c r="C236" s="81"/>
      <c r="D236" s="81"/>
      <c r="E236" s="80"/>
      <c r="F236" s="620"/>
      <c r="G236" s="620"/>
      <c r="H236" s="81"/>
      <c r="I236" s="81"/>
      <c r="J236" s="35"/>
      <c r="K236" s="36"/>
      <c r="L236" s="36"/>
      <c r="M236" s="36"/>
      <c r="N236" s="36"/>
      <c r="O236" s="36"/>
      <c r="P236" s="36"/>
      <c r="Q236" s="36"/>
      <c r="R236" s="36"/>
      <c r="S236" s="36"/>
      <c r="T236" s="36"/>
      <c r="U236" s="36"/>
      <c r="V236" s="36"/>
      <c r="W236" s="36"/>
      <c r="X236" s="36"/>
      <c r="Y236" s="36"/>
      <c r="Z236" s="36"/>
      <c r="AA236" s="36"/>
      <c r="AB236" s="36"/>
      <c r="AC236" s="36"/>
    </row>
    <row r="237" spans="1:29" ht="36" customHeight="1">
      <c r="A237" s="624"/>
      <c r="B237" s="625"/>
      <c r="C237" s="81"/>
      <c r="D237" s="81"/>
      <c r="E237" s="80"/>
      <c r="F237" s="620"/>
      <c r="G237" s="620"/>
      <c r="H237" s="81"/>
      <c r="I237" s="81"/>
      <c r="J237" s="35"/>
      <c r="K237" s="36"/>
      <c r="L237" s="36"/>
      <c r="M237" s="36"/>
      <c r="N237" s="36"/>
      <c r="O237" s="36"/>
      <c r="P237" s="36"/>
      <c r="Q237" s="36"/>
      <c r="R237" s="36"/>
      <c r="S237" s="36"/>
      <c r="T237" s="36"/>
      <c r="U237" s="36"/>
      <c r="V237" s="36"/>
      <c r="W237" s="36"/>
      <c r="X237" s="36"/>
      <c r="Y237" s="36"/>
      <c r="Z237" s="36"/>
      <c r="AA237" s="36"/>
      <c r="AB237" s="36"/>
      <c r="AC237" s="36"/>
    </row>
    <row r="238" spans="1:29" ht="36" customHeight="1">
      <c r="A238" s="81"/>
      <c r="B238" s="94"/>
      <c r="C238" s="81"/>
      <c r="D238" s="81"/>
      <c r="E238" s="80"/>
      <c r="F238" s="620"/>
      <c r="G238" s="620"/>
      <c r="H238" s="81"/>
      <c r="I238" s="81"/>
      <c r="J238" s="35"/>
      <c r="K238" s="36"/>
      <c r="L238" s="36"/>
      <c r="M238" s="36"/>
      <c r="N238" s="36"/>
      <c r="O238" s="36"/>
      <c r="P238" s="36"/>
      <c r="Q238" s="36"/>
      <c r="R238" s="36"/>
      <c r="S238" s="36"/>
      <c r="T238" s="36"/>
      <c r="U238" s="36"/>
      <c r="V238" s="36"/>
      <c r="W238" s="36"/>
      <c r="X238" s="36"/>
      <c r="Y238" s="36"/>
      <c r="Z238" s="36"/>
      <c r="AA238" s="36"/>
      <c r="AB238" s="36"/>
      <c r="AC238" s="36"/>
    </row>
    <row r="239" spans="1:29" ht="36" customHeight="1">
      <c r="A239" s="81"/>
      <c r="B239" s="94"/>
      <c r="C239" s="81"/>
      <c r="D239" s="81"/>
      <c r="E239" s="80"/>
      <c r="F239" s="620"/>
      <c r="G239" s="620"/>
      <c r="H239" s="81"/>
      <c r="I239" s="81"/>
      <c r="J239" s="35"/>
      <c r="K239" s="36"/>
      <c r="L239" s="36"/>
      <c r="M239" s="36"/>
      <c r="N239" s="36"/>
      <c r="O239" s="36"/>
      <c r="P239" s="36"/>
      <c r="Q239" s="36"/>
      <c r="R239" s="36"/>
      <c r="S239" s="36"/>
      <c r="T239" s="36"/>
      <c r="U239" s="36"/>
      <c r="V239" s="36"/>
      <c r="W239" s="36"/>
      <c r="X239" s="36"/>
      <c r="Y239" s="36"/>
      <c r="Z239" s="36"/>
      <c r="AA239" s="36"/>
      <c r="AB239" s="36"/>
      <c r="AC239" s="36"/>
    </row>
    <row r="240" spans="1:29" ht="27" customHeight="1">
      <c r="A240" s="619"/>
      <c r="B240" s="94"/>
      <c r="C240" s="81"/>
      <c r="D240" s="81"/>
      <c r="E240" s="626"/>
      <c r="F240" s="620"/>
      <c r="G240" s="620"/>
      <c r="H240" s="81"/>
      <c r="I240" s="81"/>
      <c r="J240" s="35"/>
      <c r="K240" s="36"/>
      <c r="L240" s="36"/>
      <c r="M240" s="36"/>
      <c r="N240" s="36"/>
      <c r="O240" s="36"/>
      <c r="P240" s="36"/>
      <c r="Q240" s="36"/>
      <c r="R240" s="36"/>
      <c r="S240" s="36"/>
      <c r="T240" s="36"/>
      <c r="U240" s="36"/>
      <c r="V240" s="36"/>
      <c r="W240" s="36"/>
      <c r="X240" s="36"/>
      <c r="Y240" s="36"/>
      <c r="Z240" s="36"/>
      <c r="AA240" s="36"/>
      <c r="AB240" s="36"/>
      <c r="AC240" s="36"/>
    </row>
    <row r="241" spans="1:29" ht="48" customHeight="1">
      <c r="A241" s="619"/>
      <c r="B241" s="94"/>
      <c r="C241" s="81"/>
      <c r="D241" s="81"/>
      <c r="E241" s="80"/>
      <c r="F241" s="620"/>
      <c r="G241" s="620"/>
      <c r="H241" s="81"/>
      <c r="I241" s="81"/>
      <c r="J241" s="35"/>
      <c r="K241" s="36"/>
      <c r="L241" s="36"/>
      <c r="M241" s="36"/>
      <c r="N241" s="36"/>
      <c r="O241" s="36"/>
      <c r="P241" s="36"/>
      <c r="Q241" s="36"/>
      <c r="R241" s="36"/>
      <c r="S241" s="36"/>
      <c r="T241" s="36"/>
      <c r="U241" s="36"/>
      <c r="V241" s="36"/>
      <c r="W241" s="36"/>
      <c r="X241" s="36"/>
      <c r="Y241" s="36"/>
      <c r="Z241" s="36"/>
      <c r="AA241" s="36"/>
      <c r="AB241" s="36"/>
      <c r="AC241" s="36"/>
    </row>
    <row r="242" spans="1:29" ht="110.25" customHeight="1">
      <c r="A242" s="619"/>
      <c r="B242" s="94"/>
      <c r="C242" s="81"/>
      <c r="D242" s="81"/>
      <c r="E242" s="80"/>
      <c r="F242" s="620"/>
      <c r="G242" s="620"/>
      <c r="H242" s="81"/>
      <c r="I242" s="81"/>
      <c r="J242" s="35"/>
      <c r="K242" s="36"/>
      <c r="L242" s="36"/>
      <c r="M242" s="36"/>
      <c r="N242" s="36"/>
      <c r="O242" s="36"/>
      <c r="P242" s="36"/>
      <c r="Q242" s="36"/>
      <c r="R242" s="36"/>
      <c r="S242" s="36"/>
      <c r="T242" s="36"/>
      <c r="U242" s="36"/>
      <c r="V242" s="36"/>
      <c r="W242" s="36"/>
      <c r="X242" s="36"/>
      <c r="Y242" s="36"/>
      <c r="Z242" s="36"/>
      <c r="AA242" s="36"/>
      <c r="AB242" s="36"/>
      <c r="AC242" s="36"/>
    </row>
    <row r="243" spans="1:29" ht="42" customHeight="1">
      <c r="A243" s="619"/>
      <c r="B243" s="94"/>
      <c r="C243" s="81"/>
      <c r="D243" s="81"/>
      <c r="E243" s="80"/>
      <c r="F243" s="620"/>
      <c r="G243" s="620"/>
      <c r="H243" s="81"/>
      <c r="I243" s="81"/>
      <c r="J243" s="35"/>
      <c r="K243" s="36"/>
      <c r="L243" s="36"/>
      <c r="M243" s="36"/>
      <c r="N243" s="36"/>
      <c r="O243" s="36"/>
      <c r="P243" s="36"/>
      <c r="Q243" s="36"/>
      <c r="R243" s="36"/>
      <c r="S243" s="36"/>
      <c r="T243" s="36"/>
      <c r="U243" s="36"/>
      <c r="V243" s="36"/>
      <c r="W243" s="36"/>
      <c r="X243" s="36"/>
      <c r="Y243" s="36"/>
      <c r="Z243" s="36"/>
      <c r="AA243" s="36"/>
      <c r="AB243" s="36"/>
      <c r="AC243" s="36"/>
    </row>
    <row r="244" spans="1:29" ht="396" customHeight="1">
      <c r="A244" s="619"/>
      <c r="B244" s="94"/>
      <c r="C244" s="81"/>
      <c r="D244" s="81"/>
      <c r="E244" s="80"/>
      <c r="F244" s="620"/>
      <c r="G244" s="620"/>
      <c r="H244" s="81"/>
      <c r="I244" s="81"/>
      <c r="J244" s="35"/>
      <c r="K244" s="36"/>
      <c r="L244" s="36"/>
      <c r="M244" s="36"/>
      <c r="N244" s="36"/>
      <c r="O244" s="36"/>
      <c r="P244" s="36"/>
      <c r="Q244" s="36"/>
      <c r="R244" s="36"/>
      <c r="S244" s="36"/>
      <c r="T244" s="36"/>
      <c r="U244" s="36"/>
      <c r="V244" s="36"/>
      <c r="W244" s="36"/>
      <c r="X244" s="36"/>
      <c r="Y244" s="36"/>
      <c r="Z244" s="36"/>
      <c r="AA244" s="36"/>
      <c r="AB244" s="36"/>
      <c r="AC244" s="36"/>
    </row>
    <row r="245" spans="1:29" ht="36" customHeight="1">
      <c r="A245" s="619"/>
      <c r="B245" s="94"/>
      <c r="C245" s="81"/>
      <c r="D245" s="81"/>
      <c r="E245" s="80"/>
      <c r="F245" s="620"/>
      <c r="G245" s="620"/>
      <c r="H245" s="81"/>
      <c r="I245" s="81"/>
      <c r="J245" s="35"/>
      <c r="K245" s="36"/>
      <c r="L245" s="36"/>
      <c r="M245" s="36"/>
      <c r="N245" s="36"/>
      <c r="O245" s="36"/>
      <c r="P245" s="36"/>
      <c r="Q245" s="36"/>
      <c r="R245" s="36"/>
      <c r="S245" s="36"/>
      <c r="T245" s="36"/>
      <c r="U245" s="36"/>
      <c r="V245" s="36"/>
      <c r="W245" s="36"/>
      <c r="X245" s="36"/>
      <c r="Y245" s="36"/>
      <c r="Z245" s="36"/>
      <c r="AA245" s="36"/>
      <c r="AB245" s="36"/>
      <c r="AC245" s="36"/>
    </row>
    <row r="246" spans="1:29" ht="24" customHeight="1">
      <c r="A246" s="619"/>
      <c r="B246" s="94"/>
      <c r="C246" s="81"/>
      <c r="D246" s="81"/>
      <c r="E246" s="80"/>
      <c r="F246" s="620"/>
      <c r="G246" s="620"/>
      <c r="H246" s="81"/>
      <c r="I246" s="81"/>
      <c r="J246" s="35"/>
      <c r="K246" s="36"/>
      <c r="L246" s="36"/>
      <c r="M246" s="36"/>
      <c r="N246" s="36"/>
      <c r="O246" s="36"/>
      <c r="P246" s="36"/>
      <c r="Q246" s="36"/>
      <c r="R246" s="36"/>
      <c r="S246" s="36"/>
      <c r="T246" s="36"/>
      <c r="U246" s="36"/>
      <c r="V246" s="36"/>
      <c r="W246" s="36"/>
      <c r="X246" s="36"/>
      <c r="Y246" s="36"/>
      <c r="Z246" s="36"/>
      <c r="AA246" s="36"/>
      <c r="AB246" s="36"/>
      <c r="AC246" s="36"/>
    </row>
    <row r="247" spans="1:29" ht="60" customHeight="1">
      <c r="A247" s="619"/>
      <c r="B247" s="94"/>
      <c r="C247" s="81"/>
      <c r="D247" s="81"/>
      <c r="E247" s="80"/>
      <c r="F247" s="620"/>
      <c r="G247" s="620"/>
      <c r="H247" s="81"/>
      <c r="I247" s="81"/>
      <c r="J247" s="35"/>
      <c r="K247" s="36"/>
      <c r="L247" s="36"/>
      <c r="M247" s="36"/>
      <c r="N247" s="36"/>
      <c r="O247" s="36"/>
      <c r="P247" s="36"/>
      <c r="Q247" s="36"/>
      <c r="R247" s="36"/>
      <c r="S247" s="36"/>
      <c r="T247" s="36"/>
      <c r="U247" s="36"/>
      <c r="V247" s="36"/>
      <c r="W247" s="36"/>
      <c r="X247" s="36"/>
      <c r="Y247" s="36"/>
      <c r="Z247" s="36"/>
      <c r="AA247" s="36"/>
      <c r="AB247" s="36"/>
      <c r="AC247" s="36"/>
    </row>
    <row r="248" spans="1:29" ht="48" customHeight="1">
      <c r="A248" s="619"/>
      <c r="B248" s="94"/>
      <c r="C248" s="81"/>
      <c r="D248" s="81"/>
      <c r="E248" s="80"/>
      <c r="F248" s="620"/>
      <c r="G248" s="620"/>
      <c r="H248" s="81"/>
      <c r="I248" s="81"/>
      <c r="J248" s="35"/>
      <c r="K248" s="36"/>
      <c r="L248" s="36"/>
      <c r="M248" s="36"/>
      <c r="N248" s="36"/>
      <c r="O248" s="36"/>
      <c r="P248" s="36"/>
      <c r="Q248" s="36"/>
      <c r="R248" s="36"/>
      <c r="S248" s="36"/>
      <c r="T248" s="36"/>
      <c r="U248" s="36"/>
      <c r="V248" s="36"/>
      <c r="W248" s="36"/>
      <c r="X248" s="36"/>
      <c r="Y248" s="36"/>
      <c r="Z248" s="36"/>
      <c r="AA248" s="36"/>
      <c r="AB248" s="36"/>
      <c r="AC248" s="36"/>
    </row>
    <row r="249" spans="1:29" ht="48" customHeight="1">
      <c r="A249" s="619"/>
      <c r="B249" s="94"/>
      <c r="C249" s="81"/>
      <c r="D249" s="81"/>
      <c r="E249" s="80"/>
      <c r="F249" s="620"/>
      <c r="G249" s="620"/>
      <c r="H249" s="81"/>
      <c r="I249" s="81"/>
      <c r="J249" s="35"/>
      <c r="K249" s="36"/>
      <c r="L249" s="36"/>
      <c r="M249" s="36"/>
      <c r="N249" s="36"/>
      <c r="O249" s="36"/>
      <c r="P249" s="36"/>
      <c r="Q249" s="36"/>
      <c r="R249" s="36"/>
      <c r="S249" s="36"/>
      <c r="T249" s="36"/>
      <c r="U249" s="36"/>
      <c r="V249" s="36"/>
      <c r="W249" s="36"/>
      <c r="X249" s="36"/>
      <c r="Y249" s="36"/>
      <c r="Z249" s="36"/>
      <c r="AA249" s="36"/>
      <c r="AB249" s="36"/>
      <c r="AC249" s="36"/>
    </row>
    <row r="250" spans="1:29" ht="60" customHeight="1">
      <c r="A250" s="619"/>
      <c r="B250" s="94"/>
      <c r="C250" s="81"/>
      <c r="D250" s="81"/>
      <c r="E250" s="80"/>
      <c r="F250" s="620"/>
      <c r="G250" s="620"/>
      <c r="H250" s="81"/>
      <c r="I250" s="81"/>
      <c r="J250" s="35"/>
      <c r="K250" s="36"/>
      <c r="L250" s="36"/>
      <c r="M250" s="36"/>
      <c r="N250" s="36"/>
      <c r="O250" s="36"/>
      <c r="P250" s="36"/>
      <c r="Q250" s="36"/>
      <c r="R250" s="36"/>
      <c r="S250" s="36"/>
      <c r="T250" s="36"/>
      <c r="U250" s="36"/>
      <c r="V250" s="36"/>
      <c r="W250" s="36"/>
      <c r="X250" s="36"/>
      <c r="Y250" s="36"/>
      <c r="Z250" s="36"/>
      <c r="AA250" s="36"/>
      <c r="AB250" s="36"/>
      <c r="AC250" s="36"/>
    </row>
    <row r="251" spans="1:29" ht="88.5" customHeight="1">
      <c r="A251" s="619"/>
      <c r="B251" s="94"/>
      <c r="C251" s="81"/>
      <c r="D251" s="81"/>
      <c r="E251" s="80"/>
      <c r="F251" s="620"/>
      <c r="G251" s="620"/>
      <c r="H251" s="81"/>
      <c r="I251" s="81"/>
      <c r="J251" s="35"/>
      <c r="K251" s="36"/>
      <c r="L251" s="36"/>
      <c r="M251" s="36"/>
      <c r="N251" s="36"/>
      <c r="O251" s="36"/>
      <c r="P251" s="36"/>
      <c r="Q251" s="36"/>
      <c r="R251" s="36"/>
      <c r="S251" s="36"/>
      <c r="T251" s="36"/>
      <c r="U251" s="36"/>
      <c r="V251" s="36"/>
      <c r="W251" s="36"/>
      <c r="X251" s="36"/>
      <c r="Y251" s="36"/>
      <c r="Z251" s="36"/>
      <c r="AA251" s="36"/>
      <c r="AB251" s="36"/>
      <c r="AC251" s="36"/>
    </row>
    <row r="252" spans="1:29" ht="24" customHeight="1">
      <c r="A252" s="619"/>
      <c r="B252" s="94"/>
      <c r="C252" s="81"/>
      <c r="D252" s="81"/>
      <c r="E252" s="80"/>
      <c r="F252" s="620"/>
      <c r="G252" s="620"/>
      <c r="H252" s="81"/>
      <c r="I252" s="81"/>
      <c r="J252" s="35"/>
      <c r="K252" s="36"/>
      <c r="L252" s="36"/>
      <c r="M252" s="36"/>
      <c r="N252" s="36"/>
      <c r="O252" s="36"/>
      <c r="P252" s="36"/>
      <c r="Q252" s="36"/>
      <c r="R252" s="36"/>
      <c r="S252" s="36"/>
      <c r="T252" s="36"/>
      <c r="U252" s="36"/>
      <c r="V252" s="36"/>
      <c r="W252" s="36"/>
      <c r="X252" s="36"/>
      <c r="Y252" s="36"/>
      <c r="Z252" s="36"/>
      <c r="AA252" s="36"/>
      <c r="AB252" s="36"/>
      <c r="AC252" s="36"/>
    </row>
    <row r="253" spans="1:29" ht="24" customHeight="1">
      <c r="A253" s="619"/>
      <c r="B253" s="94"/>
      <c r="C253" s="81"/>
      <c r="D253" s="81"/>
      <c r="E253" s="80"/>
      <c r="F253" s="620"/>
      <c r="G253" s="620"/>
      <c r="H253" s="81"/>
      <c r="I253" s="81"/>
      <c r="J253" s="35"/>
      <c r="K253" s="36"/>
      <c r="L253" s="36"/>
      <c r="M253" s="36"/>
      <c r="N253" s="36"/>
      <c r="O253" s="36"/>
      <c r="P253" s="36"/>
      <c r="Q253" s="36"/>
      <c r="R253" s="36"/>
      <c r="S253" s="36"/>
      <c r="T253" s="36"/>
      <c r="U253" s="36"/>
      <c r="V253" s="36"/>
      <c r="W253" s="36"/>
      <c r="X253" s="36"/>
      <c r="Y253" s="36"/>
      <c r="Z253" s="36"/>
      <c r="AA253" s="36"/>
      <c r="AB253" s="36"/>
      <c r="AC253" s="36"/>
    </row>
    <row r="254" spans="1:29" ht="36" customHeight="1">
      <c r="A254" s="619"/>
      <c r="B254" s="94"/>
      <c r="C254" s="81"/>
      <c r="D254" s="81"/>
      <c r="E254" s="80"/>
      <c r="F254" s="620"/>
      <c r="G254" s="620"/>
      <c r="H254" s="81"/>
      <c r="I254" s="81"/>
      <c r="J254" s="35"/>
      <c r="K254" s="36"/>
      <c r="L254" s="36"/>
      <c r="M254" s="36"/>
      <c r="N254" s="36"/>
      <c r="O254" s="36"/>
      <c r="P254" s="36"/>
      <c r="Q254" s="36"/>
      <c r="R254" s="36"/>
      <c r="S254" s="36"/>
      <c r="T254" s="36"/>
      <c r="U254" s="36"/>
      <c r="V254" s="36"/>
      <c r="W254" s="36"/>
      <c r="X254" s="36"/>
      <c r="Y254" s="36"/>
      <c r="Z254" s="36"/>
      <c r="AA254" s="36"/>
      <c r="AB254" s="36"/>
      <c r="AC254" s="36"/>
    </row>
    <row r="255" spans="1:29" ht="60" customHeight="1">
      <c r="A255" s="619"/>
      <c r="B255" s="94"/>
      <c r="C255" s="81"/>
      <c r="D255" s="81"/>
      <c r="E255" s="80"/>
      <c r="F255" s="620"/>
      <c r="G255" s="620"/>
      <c r="H255" s="81"/>
      <c r="I255" s="81"/>
      <c r="J255" s="35"/>
      <c r="K255" s="36"/>
      <c r="L255" s="36"/>
      <c r="M255" s="36"/>
      <c r="N255" s="36"/>
      <c r="O255" s="36"/>
      <c r="P255" s="36"/>
      <c r="Q255" s="36"/>
      <c r="R255" s="36"/>
      <c r="S255" s="36"/>
      <c r="T255" s="36"/>
      <c r="U255" s="36"/>
      <c r="V255" s="36"/>
      <c r="W255" s="36"/>
      <c r="X255" s="36"/>
      <c r="Y255" s="36"/>
      <c r="Z255" s="36"/>
      <c r="AA255" s="36"/>
      <c r="AB255" s="36"/>
      <c r="AC255" s="36"/>
    </row>
    <row r="256" spans="1:29" ht="24" customHeight="1">
      <c r="A256" s="619"/>
      <c r="B256" s="94"/>
      <c r="C256" s="81"/>
      <c r="D256" s="81"/>
      <c r="E256" s="80"/>
      <c r="F256" s="620"/>
      <c r="G256" s="620"/>
      <c r="H256" s="81"/>
      <c r="I256" s="81"/>
      <c r="J256" s="35"/>
      <c r="K256" s="36"/>
      <c r="L256" s="36"/>
      <c r="M256" s="36"/>
      <c r="N256" s="36"/>
      <c r="O256" s="36"/>
      <c r="P256" s="36"/>
      <c r="Q256" s="36"/>
      <c r="R256" s="36"/>
      <c r="S256" s="36"/>
      <c r="T256" s="36"/>
      <c r="U256" s="36"/>
      <c r="V256" s="36"/>
      <c r="W256" s="36"/>
      <c r="X256" s="36"/>
      <c r="Y256" s="36"/>
      <c r="Z256" s="36"/>
      <c r="AA256" s="36"/>
      <c r="AB256" s="36"/>
      <c r="AC256" s="36"/>
    </row>
    <row r="257" spans="1:29" ht="27.75" customHeight="1">
      <c r="A257" s="619"/>
      <c r="B257" s="94"/>
      <c r="C257" s="81"/>
      <c r="D257" s="81"/>
      <c r="E257" s="80"/>
      <c r="F257" s="620"/>
      <c r="G257" s="620"/>
      <c r="H257" s="81"/>
      <c r="I257" s="81"/>
      <c r="J257" s="35"/>
      <c r="K257" s="36"/>
      <c r="L257" s="36"/>
      <c r="M257" s="36"/>
      <c r="N257" s="36"/>
      <c r="O257" s="36"/>
      <c r="P257" s="36"/>
      <c r="Q257" s="36"/>
      <c r="R257" s="36"/>
      <c r="S257" s="36"/>
      <c r="T257" s="36"/>
      <c r="U257" s="36"/>
      <c r="V257" s="36"/>
      <c r="W257" s="36"/>
      <c r="X257" s="36"/>
      <c r="Y257" s="36"/>
      <c r="Z257" s="36"/>
      <c r="AA257" s="36"/>
      <c r="AB257" s="36"/>
      <c r="AC257" s="36"/>
    </row>
    <row r="258" spans="1:29" ht="24" customHeight="1">
      <c r="A258" s="619"/>
      <c r="B258" s="94"/>
      <c r="C258" s="81"/>
      <c r="D258" s="81"/>
      <c r="E258" s="80"/>
      <c r="F258" s="620"/>
      <c r="G258" s="620"/>
      <c r="H258" s="81"/>
      <c r="I258" s="81"/>
      <c r="J258" s="35"/>
      <c r="K258" s="36"/>
      <c r="L258" s="36"/>
      <c r="M258" s="36"/>
      <c r="N258" s="36"/>
      <c r="O258" s="36"/>
      <c r="P258" s="36"/>
      <c r="Q258" s="36"/>
      <c r="R258" s="36"/>
      <c r="S258" s="36"/>
      <c r="T258" s="36"/>
      <c r="U258" s="36"/>
      <c r="V258" s="36"/>
      <c r="W258" s="36"/>
      <c r="X258" s="36"/>
      <c r="Y258" s="36"/>
      <c r="Z258" s="36"/>
      <c r="AA258" s="36"/>
      <c r="AB258" s="36"/>
      <c r="AC258" s="36"/>
    </row>
    <row r="259" spans="1:29" ht="24" customHeight="1">
      <c r="A259" s="619"/>
      <c r="B259" s="94"/>
      <c r="C259" s="81"/>
      <c r="D259" s="81"/>
      <c r="E259" s="80"/>
      <c r="F259" s="620"/>
      <c r="G259" s="620"/>
      <c r="H259" s="81"/>
      <c r="I259" s="81"/>
      <c r="J259" s="35"/>
      <c r="K259" s="36"/>
      <c r="L259" s="36"/>
      <c r="M259" s="36"/>
      <c r="N259" s="36"/>
      <c r="O259" s="36"/>
      <c r="P259" s="36"/>
      <c r="Q259" s="36"/>
      <c r="R259" s="36"/>
      <c r="S259" s="36"/>
      <c r="T259" s="36"/>
      <c r="U259" s="36"/>
      <c r="V259" s="36"/>
      <c r="W259" s="36"/>
      <c r="X259" s="36"/>
      <c r="Y259" s="36"/>
      <c r="Z259" s="36"/>
      <c r="AA259" s="36"/>
      <c r="AB259" s="36"/>
      <c r="AC259" s="36"/>
    </row>
    <row r="260" spans="1:29" ht="24" customHeight="1">
      <c r="A260" s="619"/>
      <c r="B260" s="94"/>
      <c r="C260" s="81"/>
      <c r="D260" s="81"/>
      <c r="E260" s="80"/>
      <c r="F260" s="620"/>
      <c r="G260" s="620"/>
      <c r="H260" s="81"/>
      <c r="I260" s="81"/>
      <c r="J260" s="35"/>
      <c r="K260" s="36"/>
      <c r="L260" s="36"/>
      <c r="M260" s="36"/>
      <c r="N260" s="36"/>
      <c r="O260" s="36"/>
      <c r="P260" s="36"/>
      <c r="Q260" s="36"/>
      <c r="R260" s="36"/>
      <c r="S260" s="36"/>
      <c r="T260" s="36"/>
      <c r="U260" s="36"/>
      <c r="V260" s="36"/>
      <c r="W260" s="36"/>
      <c r="X260" s="36"/>
      <c r="Y260" s="36"/>
      <c r="Z260" s="36"/>
      <c r="AA260" s="36"/>
      <c r="AB260" s="36"/>
      <c r="AC260" s="36"/>
    </row>
    <row r="261" spans="1:29" ht="24" customHeight="1">
      <c r="A261" s="619"/>
      <c r="B261" s="81"/>
      <c r="C261" s="81"/>
      <c r="D261" s="81"/>
      <c r="E261" s="80"/>
      <c r="F261" s="620"/>
      <c r="G261" s="620"/>
      <c r="H261" s="81"/>
      <c r="I261" s="81"/>
      <c r="J261" s="35"/>
      <c r="K261" s="36"/>
      <c r="L261" s="36"/>
      <c r="M261" s="36"/>
      <c r="N261" s="36"/>
      <c r="O261" s="36"/>
      <c r="P261" s="36"/>
      <c r="Q261" s="36"/>
      <c r="R261" s="36"/>
      <c r="S261" s="36"/>
      <c r="T261" s="36"/>
      <c r="U261" s="36"/>
      <c r="V261" s="36"/>
      <c r="W261" s="36"/>
      <c r="X261" s="36"/>
      <c r="Y261" s="36"/>
      <c r="Z261" s="36"/>
      <c r="AA261" s="36"/>
      <c r="AB261" s="36"/>
      <c r="AC261" s="36"/>
    </row>
    <row r="262" spans="1:29" ht="36" customHeight="1">
      <c r="A262" s="619"/>
      <c r="B262" s="81"/>
      <c r="C262" s="81"/>
      <c r="D262" s="81"/>
      <c r="E262" s="80"/>
      <c r="F262" s="620"/>
      <c r="G262" s="620"/>
      <c r="H262" s="81"/>
      <c r="I262" s="81"/>
      <c r="J262" s="35"/>
      <c r="K262" s="36"/>
      <c r="L262" s="36"/>
      <c r="M262" s="36"/>
      <c r="N262" s="36"/>
      <c r="O262" s="36"/>
      <c r="P262" s="36"/>
      <c r="Q262" s="36"/>
      <c r="R262" s="36"/>
      <c r="S262" s="36"/>
      <c r="T262" s="36"/>
      <c r="U262" s="36"/>
      <c r="V262" s="36"/>
      <c r="W262" s="36"/>
      <c r="X262" s="36"/>
      <c r="Y262" s="36"/>
      <c r="Z262" s="36"/>
      <c r="AA262" s="36"/>
      <c r="AB262" s="36"/>
      <c r="AC262" s="36"/>
    </row>
    <row r="263" spans="1:29" ht="48" customHeight="1">
      <c r="A263" s="619"/>
      <c r="B263" s="94"/>
      <c r="C263" s="81"/>
      <c r="D263" s="81"/>
      <c r="E263" s="80"/>
      <c r="F263" s="620"/>
      <c r="G263" s="620"/>
      <c r="H263" s="81"/>
      <c r="I263" s="81"/>
      <c r="J263" s="35"/>
      <c r="K263" s="36"/>
      <c r="L263" s="36"/>
      <c r="M263" s="36"/>
      <c r="N263" s="36"/>
      <c r="O263" s="36"/>
      <c r="P263" s="36"/>
      <c r="Q263" s="36"/>
      <c r="R263" s="36"/>
      <c r="S263" s="36"/>
      <c r="T263" s="36"/>
      <c r="U263" s="36"/>
      <c r="V263" s="36"/>
      <c r="W263" s="36"/>
      <c r="X263" s="36"/>
      <c r="Y263" s="36"/>
      <c r="Z263" s="36"/>
      <c r="AA263" s="36"/>
      <c r="AB263" s="36"/>
      <c r="AC263" s="36"/>
    </row>
    <row r="264" spans="1:29" ht="36" customHeight="1">
      <c r="A264" s="619"/>
      <c r="B264" s="94"/>
      <c r="C264" s="81"/>
      <c r="D264" s="81"/>
      <c r="E264" s="80"/>
      <c r="F264" s="620"/>
      <c r="G264" s="620"/>
      <c r="H264" s="81"/>
      <c r="I264" s="81"/>
      <c r="J264" s="35"/>
      <c r="K264" s="36"/>
      <c r="L264" s="36"/>
      <c r="M264" s="36"/>
      <c r="N264" s="36"/>
      <c r="O264" s="36"/>
      <c r="P264" s="36"/>
      <c r="Q264" s="36"/>
      <c r="R264" s="36"/>
      <c r="S264" s="36"/>
      <c r="T264" s="36"/>
      <c r="U264" s="36"/>
      <c r="V264" s="36"/>
      <c r="W264" s="36"/>
      <c r="X264" s="36"/>
      <c r="Y264" s="36"/>
      <c r="Z264" s="36"/>
      <c r="AA264" s="36"/>
      <c r="AB264" s="36"/>
      <c r="AC264" s="36"/>
    </row>
    <row r="265" spans="1:29" ht="24" customHeight="1">
      <c r="A265" s="619"/>
      <c r="B265" s="81"/>
      <c r="C265" s="81"/>
      <c r="D265" s="81"/>
      <c r="E265" s="80"/>
      <c r="F265" s="620"/>
      <c r="G265" s="620"/>
      <c r="H265" s="81"/>
      <c r="I265" s="81"/>
      <c r="J265" s="35"/>
      <c r="K265" s="36"/>
      <c r="L265" s="36"/>
      <c r="M265" s="36"/>
      <c r="N265" s="36"/>
      <c r="O265" s="36"/>
      <c r="P265" s="36"/>
      <c r="Q265" s="36"/>
      <c r="R265" s="36"/>
      <c r="S265" s="36"/>
      <c r="T265" s="36"/>
      <c r="U265" s="36"/>
      <c r="V265" s="36"/>
      <c r="W265" s="36"/>
      <c r="X265" s="36"/>
      <c r="Y265" s="36"/>
      <c r="Z265" s="36"/>
      <c r="AA265" s="36"/>
      <c r="AB265" s="36"/>
      <c r="AC265" s="36"/>
    </row>
    <row r="266" spans="1:29" ht="24" customHeight="1">
      <c r="A266" s="619"/>
      <c r="B266" s="94"/>
      <c r="C266" s="81"/>
      <c r="D266" s="81"/>
      <c r="E266" s="80"/>
      <c r="F266" s="620"/>
      <c r="G266" s="620"/>
      <c r="H266" s="81"/>
      <c r="I266" s="81"/>
      <c r="J266" s="35"/>
      <c r="K266" s="36"/>
      <c r="L266" s="36"/>
      <c r="M266" s="36"/>
      <c r="N266" s="36"/>
      <c r="O266" s="36"/>
      <c r="P266" s="36"/>
      <c r="Q266" s="36"/>
      <c r="R266" s="36"/>
      <c r="S266" s="36"/>
      <c r="T266" s="36"/>
      <c r="U266" s="36"/>
      <c r="V266" s="36"/>
      <c r="W266" s="36"/>
      <c r="X266" s="36"/>
      <c r="Y266" s="36"/>
      <c r="Z266" s="36"/>
      <c r="AA266" s="36"/>
      <c r="AB266" s="36"/>
      <c r="AC266" s="36"/>
    </row>
    <row r="267" spans="1:29" ht="36" customHeight="1">
      <c r="A267" s="619"/>
      <c r="B267" s="94"/>
      <c r="C267" s="81"/>
      <c r="D267" s="81"/>
      <c r="E267" s="80"/>
      <c r="F267" s="620"/>
      <c r="G267" s="620"/>
      <c r="H267" s="81"/>
      <c r="I267" s="81"/>
      <c r="J267" s="35"/>
      <c r="K267" s="36"/>
      <c r="L267" s="36"/>
      <c r="M267" s="36"/>
      <c r="N267" s="36"/>
      <c r="O267" s="36"/>
      <c r="P267" s="36"/>
      <c r="Q267" s="36"/>
      <c r="R267" s="36"/>
      <c r="S267" s="36"/>
      <c r="T267" s="36"/>
      <c r="U267" s="36"/>
      <c r="V267" s="36"/>
      <c r="W267" s="36"/>
      <c r="X267" s="36"/>
      <c r="Y267" s="36"/>
      <c r="Z267" s="36"/>
      <c r="AA267" s="36"/>
      <c r="AB267" s="36"/>
      <c r="AC267" s="36"/>
    </row>
    <row r="268" spans="1:29" ht="24" customHeight="1">
      <c r="A268" s="619"/>
      <c r="B268" s="94"/>
      <c r="C268" s="81"/>
      <c r="D268" s="81"/>
      <c r="E268" s="80"/>
      <c r="F268" s="620"/>
      <c r="G268" s="620"/>
      <c r="H268" s="81"/>
      <c r="I268" s="81"/>
      <c r="J268" s="35"/>
      <c r="K268" s="36"/>
      <c r="L268" s="36"/>
      <c r="M268" s="36"/>
      <c r="N268" s="36"/>
      <c r="O268" s="36"/>
      <c r="P268" s="36"/>
      <c r="Q268" s="36"/>
      <c r="R268" s="36"/>
      <c r="S268" s="36"/>
      <c r="T268" s="36"/>
      <c r="U268" s="36"/>
      <c r="V268" s="36"/>
      <c r="W268" s="36"/>
      <c r="X268" s="36"/>
      <c r="Y268" s="36"/>
      <c r="Z268" s="36"/>
      <c r="AA268" s="36"/>
      <c r="AB268" s="36"/>
      <c r="AC268" s="36"/>
    </row>
    <row r="269" spans="1:29" ht="36.75" customHeight="1">
      <c r="A269" s="619"/>
      <c r="B269" s="94"/>
      <c r="C269" s="81"/>
      <c r="D269" s="81"/>
      <c r="E269" s="80"/>
      <c r="F269" s="620"/>
      <c r="G269" s="620"/>
      <c r="H269" s="81"/>
      <c r="I269" s="81"/>
      <c r="J269" s="35"/>
      <c r="K269" s="36"/>
      <c r="L269" s="36"/>
      <c r="M269" s="36"/>
      <c r="N269" s="36"/>
      <c r="O269" s="36"/>
      <c r="P269" s="36"/>
      <c r="Q269" s="36"/>
      <c r="R269" s="36"/>
      <c r="S269" s="36"/>
      <c r="T269" s="36"/>
      <c r="U269" s="36"/>
      <c r="V269" s="36"/>
      <c r="W269" s="36"/>
      <c r="X269" s="36"/>
      <c r="Y269" s="36"/>
      <c r="Z269" s="36"/>
      <c r="AA269" s="36"/>
      <c r="AB269" s="36"/>
      <c r="AC269" s="36"/>
    </row>
    <row r="270" spans="1:29" ht="24" customHeight="1">
      <c r="A270" s="619"/>
      <c r="B270" s="94"/>
      <c r="C270" s="81"/>
      <c r="D270" s="81"/>
      <c r="E270" s="80"/>
      <c r="F270" s="620"/>
      <c r="G270" s="620"/>
      <c r="H270" s="81"/>
      <c r="I270" s="81"/>
      <c r="J270" s="35"/>
      <c r="K270" s="36"/>
      <c r="L270" s="36"/>
      <c r="M270" s="36"/>
      <c r="N270" s="36"/>
      <c r="O270" s="36"/>
      <c r="P270" s="36"/>
      <c r="Q270" s="36"/>
      <c r="R270" s="36"/>
      <c r="S270" s="36"/>
      <c r="T270" s="36"/>
      <c r="U270" s="36"/>
      <c r="V270" s="36"/>
      <c r="W270" s="36"/>
      <c r="X270" s="36"/>
      <c r="Y270" s="36"/>
      <c r="Z270" s="36"/>
      <c r="AA270" s="36"/>
      <c r="AB270" s="36"/>
      <c r="AC270" s="36"/>
    </row>
    <row r="271" spans="1:29" ht="36" customHeight="1">
      <c r="A271" s="619"/>
      <c r="B271" s="100"/>
      <c r="C271" s="100"/>
      <c r="D271" s="100"/>
      <c r="E271" s="99"/>
      <c r="F271" s="627"/>
      <c r="G271" s="627"/>
      <c r="H271" s="463"/>
      <c r="I271" s="100"/>
      <c r="J271" s="35"/>
      <c r="K271" s="36"/>
      <c r="L271" s="36"/>
      <c r="M271" s="36"/>
      <c r="N271" s="36"/>
      <c r="O271" s="36"/>
      <c r="P271" s="36"/>
      <c r="Q271" s="36"/>
      <c r="R271" s="36"/>
      <c r="S271" s="36"/>
      <c r="T271" s="36"/>
      <c r="U271" s="36"/>
      <c r="V271" s="36"/>
      <c r="W271" s="36"/>
      <c r="X271" s="36"/>
      <c r="Y271" s="36"/>
      <c r="Z271" s="36"/>
      <c r="AA271" s="36"/>
      <c r="AB271" s="36"/>
      <c r="AC271" s="36"/>
    </row>
    <row r="272" spans="1:29" ht="15" customHeight="1">
      <c r="A272" s="619"/>
      <c r="B272" s="94"/>
      <c r="C272" s="81"/>
      <c r="D272" s="81"/>
      <c r="E272" s="80"/>
      <c r="F272" s="620"/>
      <c r="G272" s="620"/>
      <c r="H272" s="81"/>
      <c r="I272" s="81"/>
      <c r="J272" s="35"/>
      <c r="K272" s="36"/>
      <c r="L272" s="36"/>
      <c r="M272" s="36"/>
      <c r="N272" s="36"/>
      <c r="O272" s="36"/>
      <c r="P272" s="36"/>
      <c r="Q272" s="36"/>
      <c r="R272" s="36"/>
      <c r="S272" s="36"/>
      <c r="T272" s="36"/>
      <c r="U272" s="36"/>
      <c r="V272" s="36"/>
      <c r="W272" s="36"/>
      <c r="X272" s="36"/>
      <c r="Y272" s="36"/>
      <c r="Z272" s="36"/>
      <c r="AA272" s="36"/>
      <c r="AB272" s="36"/>
      <c r="AC272" s="36"/>
    </row>
    <row r="273" spans="1:29" ht="36" customHeight="1">
      <c r="A273" s="619"/>
      <c r="B273" s="94"/>
      <c r="C273" s="81"/>
      <c r="D273" s="81"/>
      <c r="E273" s="80"/>
      <c r="F273" s="620"/>
      <c r="G273" s="620"/>
      <c r="H273" s="81"/>
      <c r="I273" s="81"/>
      <c r="J273" s="35"/>
      <c r="K273" s="36"/>
      <c r="L273" s="36"/>
      <c r="M273" s="36"/>
      <c r="N273" s="36"/>
      <c r="O273" s="36"/>
      <c r="P273" s="36"/>
      <c r="Q273" s="36"/>
      <c r="R273" s="36"/>
      <c r="S273" s="36"/>
      <c r="T273" s="36"/>
      <c r="U273" s="36"/>
      <c r="V273" s="36"/>
      <c r="W273" s="36"/>
      <c r="X273" s="36"/>
      <c r="Y273" s="36"/>
      <c r="Z273" s="36"/>
      <c r="AA273" s="36"/>
      <c r="AB273" s="36"/>
      <c r="AC273" s="36"/>
    </row>
    <row r="274" spans="1:29" ht="24" customHeight="1">
      <c r="A274" s="81"/>
      <c r="B274" s="94"/>
      <c r="C274" s="81"/>
      <c r="D274" s="81"/>
      <c r="E274" s="80"/>
      <c r="F274" s="620"/>
      <c r="G274" s="620"/>
      <c r="H274" s="81"/>
      <c r="I274" s="81"/>
      <c r="J274" s="35"/>
      <c r="K274" s="36"/>
      <c r="L274" s="36"/>
      <c r="M274" s="36"/>
      <c r="N274" s="36"/>
      <c r="O274" s="36"/>
      <c r="P274" s="36"/>
      <c r="Q274" s="36"/>
      <c r="R274" s="36"/>
      <c r="S274" s="36"/>
      <c r="T274" s="36"/>
      <c r="U274" s="36"/>
      <c r="V274" s="36"/>
      <c r="W274" s="36"/>
      <c r="X274" s="36"/>
      <c r="Y274" s="36"/>
      <c r="Z274" s="36"/>
      <c r="AA274" s="36"/>
      <c r="AB274" s="36"/>
      <c r="AC274" s="36"/>
    </row>
    <row r="275" spans="1:29" ht="24" customHeight="1">
      <c r="A275" s="81"/>
      <c r="B275" s="94"/>
      <c r="C275" s="81"/>
      <c r="D275" s="81"/>
      <c r="E275" s="80"/>
      <c r="F275" s="620"/>
      <c r="G275" s="620"/>
      <c r="H275" s="81"/>
      <c r="I275" s="81"/>
      <c r="J275" s="35"/>
      <c r="K275" s="36"/>
      <c r="L275" s="36"/>
      <c r="M275" s="36"/>
      <c r="N275" s="36"/>
      <c r="O275" s="36"/>
      <c r="P275" s="36"/>
      <c r="Q275" s="36"/>
      <c r="R275" s="36"/>
      <c r="S275" s="36"/>
      <c r="T275" s="36"/>
      <c r="U275" s="36"/>
      <c r="V275" s="36"/>
      <c r="W275" s="36"/>
      <c r="X275" s="36"/>
      <c r="Y275" s="36"/>
      <c r="Z275" s="36"/>
      <c r="AA275" s="36"/>
      <c r="AB275" s="36"/>
      <c r="AC275" s="36"/>
    </row>
    <row r="276" spans="1:29" ht="204" customHeight="1">
      <c r="A276" s="81"/>
      <c r="B276" s="94"/>
      <c r="C276" s="81"/>
      <c r="D276" s="81"/>
      <c r="E276" s="80"/>
      <c r="F276" s="620"/>
      <c r="G276" s="620"/>
      <c r="H276" s="81"/>
      <c r="I276" s="81"/>
      <c r="J276" s="35"/>
      <c r="K276" s="36"/>
      <c r="L276" s="36"/>
      <c r="M276" s="36"/>
      <c r="N276" s="36"/>
      <c r="O276" s="36"/>
      <c r="P276" s="36"/>
      <c r="Q276" s="36"/>
      <c r="R276" s="36"/>
      <c r="S276" s="36"/>
      <c r="T276" s="36"/>
      <c r="U276" s="36"/>
      <c r="V276" s="36"/>
      <c r="W276" s="36"/>
      <c r="X276" s="36"/>
      <c r="Y276" s="36"/>
      <c r="Z276" s="36"/>
      <c r="AA276" s="36"/>
      <c r="AB276" s="36"/>
      <c r="AC276" s="36"/>
    </row>
    <row r="277" spans="1:29" ht="48" customHeight="1">
      <c r="A277" s="81"/>
      <c r="B277" s="94"/>
      <c r="C277" s="81"/>
      <c r="D277" s="81"/>
      <c r="E277" s="80"/>
      <c r="F277" s="620"/>
      <c r="G277" s="620"/>
      <c r="H277" s="81"/>
      <c r="I277" s="81"/>
      <c r="J277" s="35"/>
      <c r="K277" s="36"/>
      <c r="L277" s="36"/>
      <c r="M277" s="36"/>
      <c r="N277" s="36"/>
      <c r="O277" s="36"/>
      <c r="P277" s="36"/>
      <c r="Q277" s="36"/>
      <c r="R277" s="36"/>
      <c r="S277" s="36"/>
      <c r="T277" s="36"/>
      <c r="U277" s="36"/>
      <c r="V277" s="36"/>
      <c r="W277" s="36"/>
      <c r="X277" s="36"/>
      <c r="Y277" s="36"/>
      <c r="Z277" s="36"/>
      <c r="AA277" s="36"/>
      <c r="AB277" s="36"/>
      <c r="AC277" s="36"/>
    </row>
    <row r="278" spans="1:29" ht="24" customHeight="1">
      <c r="A278" s="81"/>
      <c r="B278" s="94"/>
      <c r="C278" s="81"/>
      <c r="D278" s="81"/>
      <c r="E278" s="80"/>
      <c r="F278" s="620"/>
      <c r="G278" s="620"/>
      <c r="H278" s="81"/>
      <c r="I278" s="81"/>
      <c r="J278" s="35"/>
      <c r="K278" s="36"/>
      <c r="L278" s="36"/>
      <c r="M278" s="36"/>
      <c r="N278" s="36"/>
      <c r="O278" s="36"/>
      <c r="P278" s="36"/>
      <c r="Q278" s="36"/>
      <c r="R278" s="36"/>
      <c r="S278" s="36"/>
      <c r="T278" s="36"/>
      <c r="U278" s="36"/>
      <c r="V278" s="36"/>
      <c r="W278" s="36"/>
      <c r="X278" s="36"/>
      <c r="Y278" s="36"/>
      <c r="Z278" s="36"/>
      <c r="AA278" s="36"/>
      <c r="AB278" s="36"/>
      <c r="AC278" s="36"/>
    </row>
    <row r="279" spans="1:29" ht="24" customHeight="1">
      <c r="A279" s="81"/>
      <c r="B279" s="94"/>
      <c r="C279" s="81"/>
      <c r="D279" s="81"/>
      <c r="E279" s="80"/>
      <c r="F279" s="620"/>
      <c r="G279" s="620"/>
      <c r="H279" s="81"/>
      <c r="I279" s="81"/>
      <c r="J279" s="35"/>
      <c r="K279" s="36"/>
      <c r="L279" s="36"/>
      <c r="M279" s="36"/>
      <c r="N279" s="36"/>
      <c r="O279" s="36"/>
      <c r="P279" s="36"/>
      <c r="Q279" s="36"/>
      <c r="R279" s="36"/>
      <c r="S279" s="36"/>
      <c r="T279" s="36"/>
      <c r="U279" s="36"/>
      <c r="V279" s="36"/>
      <c r="W279" s="36"/>
      <c r="X279" s="36"/>
      <c r="Y279" s="36"/>
      <c r="Z279" s="36"/>
      <c r="AA279" s="36"/>
      <c r="AB279" s="36"/>
      <c r="AC279" s="36"/>
    </row>
    <row r="280" spans="1:29" ht="24" customHeight="1">
      <c r="A280" s="81"/>
      <c r="B280" s="94"/>
      <c r="C280" s="81"/>
      <c r="D280" s="81"/>
      <c r="E280" s="80"/>
      <c r="F280" s="620"/>
      <c r="G280" s="620"/>
      <c r="H280" s="81"/>
      <c r="I280" s="81"/>
      <c r="J280" s="35"/>
      <c r="K280" s="36"/>
      <c r="L280" s="36"/>
      <c r="M280" s="36"/>
      <c r="N280" s="36"/>
      <c r="O280" s="36"/>
      <c r="P280" s="36"/>
      <c r="Q280" s="36"/>
      <c r="R280" s="36"/>
      <c r="S280" s="36"/>
      <c r="T280" s="36"/>
      <c r="U280" s="36"/>
      <c r="V280" s="36"/>
      <c r="W280" s="36"/>
      <c r="X280" s="36"/>
      <c r="Y280" s="36"/>
      <c r="Z280" s="36"/>
      <c r="AA280" s="36"/>
      <c r="AB280" s="36"/>
      <c r="AC280" s="36"/>
    </row>
    <row r="281" spans="1:29" ht="48" customHeight="1">
      <c r="A281" s="81"/>
      <c r="B281" s="94"/>
      <c r="C281" s="81"/>
      <c r="D281" s="81"/>
      <c r="E281" s="80"/>
      <c r="F281" s="620"/>
      <c r="G281" s="620"/>
      <c r="H281" s="81"/>
      <c r="I281" s="81"/>
      <c r="J281" s="35"/>
      <c r="K281" s="36"/>
      <c r="L281" s="36"/>
      <c r="M281" s="36"/>
      <c r="N281" s="36"/>
      <c r="O281" s="36"/>
      <c r="P281" s="36"/>
      <c r="Q281" s="36"/>
      <c r="R281" s="36"/>
      <c r="S281" s="36"/>
      <c r="T281" s="36"/>
      <c r="U281" s="36"/>
      <c r="V281" s="36"/>
      <c r="W281" s="36"/>
      <c r="X281" s="36"/>
      <c r="Y281" s="36"/>
      <c r="Z281" s="36"/>
      <c r="AA281" s="36"/>
      <c r="AB281" s="36"/>
      <c r="AC281" s="36"/>
    </row>
    <row r="282" spans="1:29" ht="36" customHeight="1">
      <c r="A282" s="81"/>
      <c r="B282" s="94"/>
      <c r="C282" s="81"/>
      <c r="D282" s="81"/>
      <c r="E282" s="80"/>
      <c r="F282" s="620"/>
      <c r="G282" s="620"/>
      <c r="H282" s="81"/>
      <c r="I282" s="81"/>
      <c r="J282" s="35"/>
      <c r="K282" s="36"/>
      <c r="L282" s="36"/>
      <c r="M282" s="36"/>
      <c r="N282" s="36"/>
      <c r="O282" s="36"/>
      <c r="P282" s="36"/>
      <c r="Q282" s="36"/>
      <c r="R282" s="36"/>
      <c r="S282" s="36"/>
      <c r="T282" s="36"/>
      <c r="U282" s="36"/>
      <c r="V282" s="36"/>
      <c r="W282" s="36"/>
      <c r="X282" s="36"/>
      <c r="Y282" s="36"/>
      <c r="Z282" s="36"/>
      <c r="AA282" s="36"/>
      <c r="AB282" s="36"/>
      <c r="AC282" s="36"/>
    </row>
    <row r="283" spans="1:29" ht="36" customHeight="1">
      <c r="A283" s="81"/>
      <c r="B283" s="94"/>
      <c r="C283" s="81"/>
      <c r="D283" s="81"/>
      <c r="E283" s="80"/>
      <c r="F283" s="620"/>
      <c r="G283" s="620"/>
      <c r="H283" s="81"/>
      <c r="I283" s="81"/>
      <c r="J283" s="35"/>
      <c r="K283" s="36"/>
      <c r="L283" s="36"/>
      <c r="M283" s="36"/>
      <c r="N283" s="36"/>
      <c r="O283" s="36"/>
      <c r="P283" s="36"/>
      <c r="Q283" s="36"/>
      <c r="R283" s="36"/>
      <c r="S283" s="36"/>
      <c r="T283" s="36"/>
      <c r="U283" s="36"/>
      <c r="V283" s="36"/>
      <c r="W283" s="36"/>
      <c r="X283" s="36"/>
      <c r="Y283" s="36"/>
      <c r="Z283" s="36"/>
      <c r="AA283" s="36"/>
      <c r="AB283" s="36"/>
      <c r="AC283" s="36"/>
    </row>
    <row r="284" spans="1:29" ht="24" customHeight="1">
      <c r="A284" s="81"/>
      <c r="B284" s="94"/>
      <c r="C284" s="81"/>
      <c r="D284" s="81"/>
      <c r="E284" s="80"/>
      <c r="F284" s="620"/>
      <c r="G284" s="620"/>
      <c r="H284" s="81"/>
      <c r="I284" s="81"/>
      <c r="J284" s="35"/>
      <c r="K284" s="36"/>
      <c r="L284" s="36"/>
      <c r="M284" s="36"/>
      <c r="N284" s="36"/>
      <c r="O284" s="36"/>
      <c r="P284" s="36"/>
      <c r="Q284" s="36"/>
      <c r="R284" s="36"/>
      <c r="S284" s="36"/>
      <c r="T284" s="36"/>
      <c r="U284" s="36"/>
      <c r="V284" s="36"/>
      <c r="W284" s="36"/>
      <c r="X284" s="36"/>
      <c r="Y284" s="36"/>
      <c r="Z284" s="36"/>
      <c r="AA284" s="36"/>
      <c r="AB284" s="36"/>
      <c r="AC284" s="36"/>
    </row>
    <row r="285" spans="1:29" ht="36" customHeight="1">
      <c r="A285" s="81"/>
      <c r="B285" s="94"/>
      <c r="C285" s="81"/>
      <c r="D285" s="81"/>
      <c r="E285" s="80"/>
      <c r="F285" s="620"/>
      <c r="G285" s="620"/>
      <c r="H285" s="81"/>
      <c r="I285" s="81"/>
      <c r="J285" s="35"/>
      <c r="K285" s="36"/>
      <c r="L285" s="36"/>
      <c r="M285" s="36"/>
      <c r="N285" s="36"/>
      <c r="O285" s="36"/>
      <c r="P285" s="36"/>
      <c r="Q285" s="36"/>
      <c r="R285" s="36"/>
      <c r="S285" s="36"/>
      <c r="T285" s="36"/>
      <c r="U285" s="36"/>
      <c r="V285" s="36"/>
      <c r="W285" s="36"/>
      <c r="X285" s="36"/>
      <c r="Y285" s="36"/>
      <c r="Z285" s="36"/>
      <c r="AA285" s="36"/>
      <c r="AB285" s="36"/>
      <c r="AC285" s="36"/>
    </row>
    <row r="286" spans="1:29" ht="24" customHeight="1">
      <c r="A286" s="81"/>
      <c r="B286" s="94"/>
      <c r="C286" s="81"/>
      <c r="D286" s="81"/>
      <c r="E286" s="80"/>
      <c r="F286" s="620"/>
      <c r="G286" s="620"/>
      <c r="H286" s="81"/>
      <c r="I286" s="81"/>
      <c r="J286" s="35"/>
      <c r="K286" s="36"/>
      <c r="L286" s="36"/>
      <c r="M286" s="36"/>
      <c r="N286" s="36"/>
      <c r="O286" s="36"/>
      <c r="P286" s="36"/>
      <c r="Q286" s="36"/>
      <c r="R286" s="36"/>
      <c r="S286" s="36"/>
      <c r="T286" s="36"/>
      <c r="U286" s="36"/>
      <c r="V286" s="36"/>
      <c r="W286" s="36"/>
      <c r="X286" s="36"/>
      <c r="Y286" s="36"/>
      <c r="Z286" s="36"/>
      <c r="AA286" s="36"/>
      <c r="AB286" s="36"/>
      <c r="AC286" s="36"/>
    </row>
    <row r="287" spans="1:29" ht="24" customHeight="1">
      <c r="A287" s="81"/>
      <c r="B287" s="94"/>
      <c r="C287" s="81"/>
      <c r="D287" s="81"/>
      <c r="E287" s="80"/>
      <c r="F287" s="620"/>
      <c r="G287" s="620"/>
      <c r="H287" s="81"/>
      <c r="I287" s="81"/>
      <c r="J287" s="35"/>
      <c r="K287" s="36"/>
      <c r="L287" s="36"/>
      <c r="M287" s="36"/>
      <c r="N287" s="36"/>
      <c r="O287" s="36"/>
      <c r="P287" s="36"/>
      <c r="Q287" s="36"/>
      <c r="R287" s="36"/>
      <c r="S287" s="36"/>
      <c r="T287" s="36"/>
      <c r="U287" s="36"/>
      <c r="V287" s="36"/>
      <c r="W287" s="36"/>
      <c r="X287" s="36"/>
      <c r="Y287" s="36"/>
      <c r="Z287" s="36"/>
      <c r="AA287" s="36"/>
      <c r="AB287" s="36"/>
      <c r="AC287" s="36"/>
    </row>
    <row r="288" spans="1:29" ht="24" customHeight="1">
      <c r="A288" s="81"/>
      <c r="B288" s="94"/>
      <c r="C288" s="81"/>
      <c r="D288" s="81"/>
      <c r="E288" s="80"/>
      <c r="F288" s="620"/>
      <c r="G288" s="620"/>
      <c r="H288" s="81"/>
      <c r="I288" s="81"/>
      <c r="J288" s="35"/>
      <c r="K288" s="36"/>
      <c r="L288" s="36"/>
      <c r="M288" s="36"/>
      <c r="N288" s="36"/>
      <c r="O288" s="36"/>
      <c r="P288" s="36"/>
      <c r="Q288" s="36"/>
      <c r="R288" s="36"/>
      <c r="S288" s="36"/>
      <c r="T288" s="36"/>
      <c r="U288" s="36"/>
      <c r="V288" s="36"/>
      <c r="W288" s="36"/>
      <c r="X288" s="36"/>
      <c r="Y288" s="36"/>
      <c r="Z288" s="36"/>
      <c r="AA288" s="36"/>
      <c r="AB288" s="36"/>
      <c r="AC288" s="36"/>
    </row>
    <row r="289" spans="1:29" ht="24" customHeight="1">
      <c r="A289" s="81"/>
      <c r="B289" s="94"/>
      <c r="C289" s="81"/>
      <c r="D289" s="81"/>
      <c r="E289" s="80"/>
      <c r="F289" s="620"/>
      <c r="G289" s="620"/>
      <c r="H289" s="81"/>
      <c r="I289" s="81"/>
      <c r="J289" s="35"/>
      <c r="K289" s="36"/>
      <c r="L289" s="36"/>
      <c r="M289" s="36"/>
      <c r="N289" s="36"/>
      <c r="O289" s="36"/>
      <c r="P289" s="36"/>
      <c r="Q289" s="36"/>
      <c r="R289" s="36"/>
      <c r="S289" s="36"/>
      <c r="T289" s="36"/>
      <c r="U289" s="36"/>
      <c r="V289" s="36"/>
      <c r="W289" s="36"/>
      <c r="X289" s="36"/>
      <c r="Y289" s="36"/>
      <c r="Z289" s="36"/>
      <c r="AA289" s="36"/>
      <c r="AB289" s="36"/>
      <c r="AC289" s="36"/>
    </row>
    <row r="290" spans="1:29" ht="24" customHeight="1">
      <c r="A290" s="81"/>
      <c r="B290" s="94"/>
      <c r="C290" s="81"/>
      <c r="D290" s="81"/>
      <c r="E290" s="80"/>
      <c r="F290" s="620"/>
      <c r="G290" s="620"/>
      <c r="H290" s="81"/>
      <c r="I290" s="81"/>
      <c r="J290" s="35"/>
      <c r="K290" s="36"/>
      <c r="L290" s="36"/>
      <c r="M290" s="36"/>
      <c r="N290" s="36"/>
      <c r="O290" s="36"/>
      <c r="P290" s="36"/>
      <c r="Q290" s="36"/>
      <c r="R290" s="36"/>
      <c r="S290" s="36"/>
      <c r="T290" s="36"/>
      <c r="U290" s="36"/>
      <c r="V290" s="36"/>
      <c r="W290" s="36"/>
      <c r="X290" s="36"/>
      <c r="Y290" s="36"/>
      <c r="Z290" s="36"/>
      <c r="AA290" s="36"/>
      <c r="AB290" s="36"/>
      <c r="AC290" s="36"/>
    </row>
    <row r="291" spans="1:29" ht="36" customHeight="1">
      <c r="A291" s="81"/>
      <c r="B291" s="94"/>
      <c r="C291" s="81"/>
      <c r="D291" s="81"/>
      <c r="E291" s="80"/>
      <c r="F291" s="620"/>
      <c r="G291" s="620"/>
      <c r="H291" s="81"/>
      <c r="I291" s="81"/>
      <c r="J291" s="35"/>
      <c r="K291" s="36"/>
      <c r="L291" s="36"/>
      <c r="M291" s="36"/>
      <c r="N291" s="36"/>
      <c r="O291" s="36"/>
      <c r="P291" s="36"/>
      <c r="Q291" s="36"/>
      <c r="R291" s="36"/>
      <c r="S291" s="36"/>
      <c r="T291" s="36"/>
      <c r="U291" s="36"/>
      <c r="V291" s="36"/>
      <c r="W291" s="36"/>
      <c r="X291" s="36"/>
      <c r="Y291" s="36"/>
      <c r="Z291" s="36"/>
      <c r="AA291" s="36"/>
      <c r="AB291" s="36"/>
      <c r="AC291" s="36"/>
    </row>
    <row r="292" spans="1:29" ht="24" customHeight="1">
      <c r="A292" s="81"/>
      <c r="B292" s="94"/>
      <c r="C292" s="81"/>
      <c r="D292" s="81"/>
      <c r="E292" s="80"/>
      <c r="F292" s="620"/>
      <c r="G292" s="620"/>
      <c r="H292" s="81"/>
      <c r="I292" s="81"/>
      <c r="J292" s="35"/>
      <c r="K292" s="36"/>
      <c r="L292" s="36"/>
      <c r="M292" s="36"/>
      <c r="N292" s="36"/>
      <c r="O292" s="36"/>
      <c r="P292" s="36"/>
      <c r="Q292" s="36"/>
      <c r="R292" s="36"/>
      <c r="S292" s="36"/>
      <c r="T292" s="36"/>
      <c r="U292" s="36"/>
      <c r="V292" s="36"/>
      <c r="W292" s="36"/>
      <c r="X292" s="36"/>
      <c r="Y292" s="36"/>
      <c r="Z292" s="36"/>
      <c r="AA292" s="36"/>
      <c r="AB292" s="36"/>
      <c r="AC292" s="36"/>
    </row>
    <row r="293" spans="1:29" ht="24" customHeight="1">
      <c r="A293" s="81"/>
      <c r="B293" s="81"/>
      <c r="C293" s="81"/>
      <c r="D293" s="81"/>
      <c r="E293" s="80"/>
      <c r="F293" s="620"/>
      <c r="G293" s="620"/>
      <c r="H293" s="81"/>
      <c r="I293" s="81"/>
      <c r="J293" s="35"/>
      <c r="K293" s="36"/>
      <c r="L293" s="36"/>
      <c r="M293" s="36"/>
      <c r="N293" s="36"/>
      <c r="O293" s="36"/>
      <c r="P293" s="36"/>
      <c r="Q293" s="36"/>
      <c r="R293" s="36"/>
      <c r="S293" s="36"/>
      <c r="T293" s="36"/>
      <c r="U293" s="36"/>
      <c r="V293" s="36"/>
      <c r="W293" s="36"/>
      <c r="X293" s="36"/>
      <c r="Y293" s="36"/>
      <c r="Z293" s="36"/>
      <c r="AA293" s="36"/>
      <c r="AB293" s="36"/>
      <c r="AC293" s="36"/>
    </row>
    <row r="294" spans="1:29" ht="24" customHeight="1">
      <c r="A294" s="81"/>
      <c r="B294" s="94"/>
      <c r="C294" s="81"/>
      <c r="D294" s="81"/>
      <c r="E294" s="80"/>
      <c r="F294" s="620"/>
      <c r="G294" s="620"/>
      <c r="H294" s="81"/>
      <c r="I294" s="81"/>
      <c r="J294" s="35"/>
      <c r="K294" s="36"/>
      <c r="L294" s="36"/>
      <c r="M294" s="36"/>
      <c r="N294" s="36"/>
      <c r="O294" s="36"/>
      <c r="P294" s="36"/>
      <c r="Q294" s="36"/>
      <c r="R294" s="36"/>
      <c r="S294" s="36"/>
      <c r="T294" s="36"/>
      <c r="U294" s="36"/>
      <c r="V294" s="36"/>
      <c r="W294" s="36"/>
      <c r="X294" s="36"/>
      <c r="Y294" s="36"/>
      <c r="Z294" s="36"/>
      <c r="AA294" s="36"/>
      <c r="AB294" s="36"/>
      <c r="AC294" s="36"/>
    </row>
    <row r="295" spans="1:29" ht="24" customHeight="1">
      <c r="A295" s="81"/>
      <c r="B295" s="94"/>
      <c r="C295" s="81"/>
      <c r="D295" s="81"/>
      <c r="E295" s="80"/>
      <c r="F295" s="620"/>
      <c r="G295" s="620"/>
      <c r="H295" s="81"/>
      <c r="I295" s="81"/>
      <c r="J295" s="35"/>
      <c r="K295" s="36"/>
      <c r="L295" s="36"/>
      <c r="M295" s="36"/>
      <c r="N295" s="36"/>
      <c r="O295" s="36"/>
      <c r="P295" s="36"/>
      <c r="Q295" s="36"/>
      <c r="R295" s="36"/>
      <c r="S295" s="36"/>
      <c r="T295" s="36"/>
      <c r="U295" s="36"/>
      <c r="V295" s="36"/>
      <c r="W295" s="36"/>
      <c r="X295" s="36"/>
      <c r="Y295" s="36"/>
      <c r="Z295" s="36"/>
      <c r="AA295" s="36"/>
      <c r="AB295" s="36"/>
      <c r="AC295" s="36"/>
    </row>
    <row r="296" spans="1:29" ht="24" customHeight="1">
      <c r="A296" s="81"/>
      <c r="B296" s="94"/>
      <c r="C296" s="81"/>
      <c r="D296" s="81"/>
      <c r="E296" s="80"/>
      <c r="F296" s="620"/>
      <c r="G296" s="620"/>
      <c r="H296" s="81"/>
      <c r="I296" s="81"/>
      <c r="J296" s="35"/>
      <c r="K296" s="36"/>
      <c r="L296" s="36"/>
      <c r="M296" s="36"/>
      <c r="N296" s="36"/>
      <c r="O296" s="36"/>
      <c r="P296" s="36"/>
      <c r="Q296" s="36"/>
      <c r="R296" s="36"/>
      <c r="S296" s="36"/>
      <c r="T296" s="36"/>
      <c r="U296" s="36"/>
      <c r="V296" s="36"/>
      <c r="W296" s="36"/>
      <c r="X296" s="36"/>
      <c r="Y296" s="36"/>
      <c r="Z296" s="36"/>
      <c r="AA296" s="36"/>
      <c r="AB296" s="36"/>
      <c r="AC296" s="36"/>
    </row>
    <row r="297" spans="1:29" ht="24" customHeight="1">
      <c r="A297" s="81"/>
      <c r="B297" s="94"/>
      <c r="C297" s="81"/>
      <c r="D297" s="81"/>
      <c r="E297" s="80"/>
      <c r="F297" s="620"/>
      <c r="G297" s="620"/>
      <c r="H297" s="81"/>
      <c r="I297" s="81"/>
      <c r="J297" s="35"/>
      <c r="K297" s="36"/>
      <c r="L297" s="36"/>
      <c r="M297" s="36"/>
      <c r="N297" s="36"/>
      <c r="O297" s="36"/>
      <c r="P297" s="36"/>
      <c r="Q297" s="36"/>
      <c r="R297" s="36"/>
      <c r="S297" s="36"/>
      <c r="T297" s="36"/>
      <c r="U297" s="36"/>
      <c r="V297" s="36"/>
      <c r="W297" s="36"/>
      <c r="X297" s="36"/>
      <c r="Y297" s="36"/>
      <c r="Z297" s="36"/>
      <c r="AA297" s="36"/>
      <c r="AB297" s="36"/>
      <c r="AC297" s="36"/>
    </row>
    <row r="298" spans="1:29" ht="36" customHeight="1">
      <c r="A298" s="81"/>
      <c r="B298" s="81"/>
      <c r="C298" s="81"/>
      <c r="D298" s="81"/>
      <c r="E298" s="80"/>
      <c r="F298" s="620"/>
      <c r="G298" s="620"/>
      <c r="H298" s="81"/>
      <c r="I298" s="81"/>
      <c r="J298" s="35"/>
      <c r="K298" s="36"/>
      <c r="L298" s="36"/>
      <c r="M298" s="36"/>
      <c r="N298" s="36"/>
      <c r="O298" s="36"/>
      <c r="P298" s="36"/>
      <c r="Q298" s="36"/>
      <c r="R298" s="36"/>
      <c r="S298" s="36"/>
      <c r="T298" s="36"/>
      <c r="U298" s="36"/>
      <c r="V298" s="36"/>
      <c r="W298" s="36"/>
      <c r="X298" s="36"/>
      <c r="Y298" s="36"/>
      <c r="Z298" s="36"/>
      <c r="AA298" s="36"/>
      <c r="AB298" s="36"/>
      <c r="AC298" s="36"/>
    </row>
    <row r="299" spans="1:29" ht="48" customHeight="1">
      <c r="A299" s="81"/>
      <c r="B299" s="94"/>
      <c r="C299" s="81"/>
      <c r="D299" s="81"/>
      <c r="E299" s="80"/>
      <c r="F299" s="620"/>
      <c r="G299" s="620"/>
      <c r="H299" s="81"/>
      <c r="I299" s="81"/>
      <c r="J299" s="35"/>
      <c r="K299" s="36"/>
      <c r="L299" s="36"/>
      <c r="M299" s="36"/>
      <c r="N299" s="36"/>
      <c r="O299" s="36"/>
      <c r="P299" s="36"/>
      <c r="Q299" s="36"/>
      <c r="R299" s="36"/>
      <c r="S299" s="36"/>
      <c r="T299" s="36"/>
      <c r="U299" s="36"/>
      <c r="V299" s="36"/>
      <c r="W299" s="36"/>
      <c r="X299" s="36"/>
      <c r="Y299" s="36"/>
      <c r="Z299" s="36"/>
      <c r="AA299" s="36"/>
      <c r="AB299" s="36"/>
      <c r="AC299" s="36"/>
    </row>
    <row r="300" spans="1:29" ht="24" customHeight="1">
      <c r="A300" s="81"/>
      <c r="B300" s="94"/>
      <c r="C300" s="81"/>
      <c r="D300" s="81"/>
      <c r="E300" s="80"/>
      <c r="F300" s="620"/>
      <c r="G300" s="620"/>
      <c r="H300" s="81"/>
      <c r="I300" s="81"/>
      <c r="J300" s="35"/>
      <c r="K300" s="36"/>
      <c r="L300" s="36"/>
      <c r="M300" s="36"/>
      <c r="N300" s="36"/>
      <c r="O300" s="36"/>
      <c r="P300" s="36"/>
      <c r="Q300" s="36"/>
      <c r="R300" s="36"/>
      <c r="S300" s="36"/>
      <c r="T300" s="36"/>
      <c r="U300" s="36"/>
      <c r="V300" s="36"/>
      <c r="W300" s="36"/>
      <c r="X300" s="36"/>
      <c r="Y300" s="36"/>
      <c r="Z300" s="36"/>
      <c r="AA300" s="36"/>
      <c r="AB300" s="36"/>
      <c r="AC300" s="36"/>
    </row>
    <row r="301" spans="1:29" ht="36" customHeight="1">
      <c r="A301" s="81"/>
      <c r="B301" s="94"/>
      <c r="C301" s="81"/>
      <c r="D301" s="81"/>
      <c r="E301" s="80"/>
      <c r="F301" s="620"/>
      <c r="G301" s="620"/>
      <c r="H301" s="81"/>
      <c r="I301" s="81"/>
      <c r="J301" s="35"/>
      <c r="K301" s="36"/>
      <c r="L301" s="36"/>
      <c r="M301" s="36"/>
      <c r="N301" s="36"/>
      <c r="O301" s="36"/>
      <c r="P301" s="36"/>
      <c r="Q301" s="36"/>
      <c r="R301" s="36"/>
      <c r="S301" s="36"/>
      <c r="T301" s="36"/>
      <c r="U301" s="36"/>
      <c r="V301" s="36"/>
      <c r="W301" s="36"/>
      <c r="X301" s="36"/>
      <c r="Y301" s="36"/>
      <c r="Z301" s="36"/>
      <c r="AA301" s="36"/>
      <c r="AB301" s="36"/>
      <c r="AC301" s="36"/>
    </row>
    <row r="302" spans="1:29" ht="48" customHeight="1">
      <c r="A302" s="81"/>
      <c r="B302" s="94"/>
      <c r="C302" s="81"/>
      <c r="D302" s="81"/>
      <c r="E302" s="80"/>
      <c r="F302" s="620"/>
      <c r="G302" s="620"/>
      <c r="H302" s="81"/>
      <c r="I302" s="81"/>
      <c r="J302" s="35"/>
      <c r="K302" s="36"/>
      <c r="L302" s="36"/>
      <c r="M302" s="36"/>
      <c r="N302" s="36"/>
      <c r="O302" s="36"/>
      <c r="P302" s="36"/>
      <c r="Q302" s="36"/>
      <c r="R302" s="36"/>
      <c r="S302" s="36"/>
      <c r="T302" s="36"/>
      <c r="U302" s="36"/>
      <c r="V302" s="36"/>
      <c r="W302" s="36"/>
      <c r="X302" s="36"/>
      <c r="Y302" s="36"/>
      <c r="Z302" s="36"/>
      <c r="AA302" s="36"/>
      <c r="AB302" s="36"/>
      <c r="AC302" s="36"/>
    </row>
    <row r="303" spans="1:29" ht="36" customHeight="1">
      <c r="A303" s="81"/>
      <c r="B303" s="94"/>
      <c r="C303" s="81"/>
      <c r="D303" s="81"/>
      <c r="E303" s="80"/>
      <c r="F303" s="620"/>
      <c r="G303" s="620"/>
      <c r="H303" s="81"/>
      <c r="I303" s="81"/>
      <c r="J303" s="35"/>
      <c r="K303" s="36"/>
      <c r="L303" s="36"/>
      <c r="M303" s="36"/>
      <c r="N303" s="36"/>
      <c r="O303" s="36"/>
      <c r="P303" s="36"/>
      <c r="Q303" s="36"/>
      <c r="R303" s="36"/>
      <c r="S303" s="36"/>
      <c r="T303" s="36"/>
      <c r="U303" s="36"/>
      <c r="V303" s="36"/>
      <c r="W303" s="36"/>
      <c r="X303" s="36"/>
      <c r="Y303" s="36"/>
      <c r="Z303" s="36"/>
      <c r="AA303" s="36"/>
      <c r="AB303" s="36"/>
      <c r="AC303" s="36"/>
    </row>
    <row r="304" spans="1:29" ht="60" customHeight="1">
      <c r="A304" s="81"/>
      <c r="B304" s="94"/>
      <c r="C304" s="81"/>
      <c r="D304" s="81"/>
      <c r="E304" s="80"/>
      <c r="F304" s="620"/>
      <c r="G304" s="620"/>
      <c r="H304" s="81"/>
      <c r="I304" s="81"/>
      <c r="J304" s="35"/>
      <c r="K304" s="36"/>
      <c r="L304" s="36"/>
      <c r="M304" s="36"/>
      <c r="N304" s="36"/>
      <c r="O304" s="36"/>
      <c r="P304" s="36"/>
      <c r="Q304" s="36"/>
      <c r="R304" s="36"/>
      <c r="S304" s="36"/>
      <c r="T304" s="36"/>
      <c r="U304" s="36"/>
      <c r="V304" s="36"/>
      <c r="W304" s="36"/>
      <c r="X304" s="36"/>
      <c r="Y304" s="36"/>
      <c r="Z304" s="36"/>
      <c r="AA304" s="36"/>
      <c r="AB304" s="36"/>
      <c r="AC304" s="36"/>
    </row>
    <row r="305" spans="1:29" ht="24" customHeight="1">
      <c r="A305" s="81"/>
      <c r="B305" s="94"/>
      <c r="C305" s="81"/>
      <c r="D305" s="81"/>
      <c r="E305" s="80"/>
      <c r="F305" s="620"/>
      <c r="G305" s="620"/>
      <c r="H305" s="81"/>
      <c r="I305" s="81"/>
      <c r="J305" s="35"/>
      <c r="K305" s="36"/>
      <c r="L305" s="36"/>
      <c r="M305" s="36"/>
      <c r="N305" s="36"/>
      <c r="O305" s="36"/>
      <c r="P305" s="36"/>
      <c r="Q305" s="36"/>
      <c r="R305" s="36"/>
      <c r="S305" s="36"/>
      <c r="T305" s="36"/>
      <c r="U305" s="36"/>
      <c r="V305" s="36"/>
      <c r="W305" s="36"/>
      <c r="X305" s="36"/>
      <c r="Y305" s="36"/>
      <c r="Z305" s="36"/>
      <c r="AA305" s="36"/>
      <c r="AB305" s="36"/>
      <c r="AC305" s="36"/>
    </row>
    <row r="306" spans="1:29" ht="72" customHeight="1">
      <c r="A306" s="81"/>
      <c r="B306" s="94"/>
      <c r="C306" s="81"/>
      <c r="D306" s="81"/>
      <c r="E306" s="80"/>
      <c r="F306" s="620"/>
      <c r="G306" s="620"/>
      <c r="H306" s="81"/>
      <c r="I306" s="81"/>
      <c r="J306" s="35"/>
      <c r="K306" s="36"/>
      <c r="L306" s="36"/>
      <c r="M306" s="36"/>
      <c r="N306" s="36"/>
      <c r="O306" s="36"/>
      <c r="P306" s="36"/>
      <c r="Q306" s="36"/>
      <c r="R306" s="36"/>
      <c r="S306" s="36"/>
      <c r="T306" s="36"/>
      <c r="U306" s="36"/>
      <c r="V306" s="36"/>
      <c r="W306" s="36"/>
      <c r="X306" s="36"/>
      <c r="Y306" s="36"/>
      <c r="Z306" s="36"/>
      <c r="AA306" s="36"/>
      <c r="AB306" s="36"/>
      <c r="AC306" s="36"/>
    </row>
    <row r="307" spans="1:29" ht="24" customHeight="1">
      <c r="A307" s="81"/>
      <c r="B307" s="94"/>
      <c r="C307" s="81"/>
      <c r="D307" s="81"/>
      <c r="E307" s="80"/>
      <c r="F307" s="620"/>
      <c r="G307" s="620"/>
      <c r="H307" s="81"/>
      <c r="I307" s="81"/>
      <c r="J307" s="35"/>
      <c r="K307" s="36"/>
      <c r="L307" s="36"/>
      <c r="M307" s="36"/>
      <c r="N307" s="36"/>
      <c r="O307" s="36"/>
      <c r="P307" s="36"/>
      <c r="Q307" s="36"/>
      <c r="R307" s="36"/>
      <c r="S307" s="36"/>
      <c r="T307" s="36"/>
      <c r="U307" s="36"/>
      <c r="V307" s="36"/>
      <c r="W307" s="36"/>
      <c r="X307" s="36"/>
      <c r="Y307" s="36"/>
      <c r="Z307" s="36"/>
      <c r="AA307" s="36"/>
      <c r="AB307" s="36"/>
      <c r="AC307" s="36"/>
    </row>
    <row r="308" spans="1:29" ht="48" customHeight="1">
      <c r="A308" s="81"/>
      <c r="B308" s="94"/>
      <c r="C308" s="81"/>
      <c r="D308" s="81"/>
      <c r="E308" s="80"/>
      <c r="F308" s="620"/>
      <c r="G308" s="620"/>
      <c r="H308" s="81"/>
      <c r="I308" s="81"/>
      <c r="J308" s="35"/>
      <c r="K308" s="36"/>
      <c r="L308" s="36"/>
      <c r="M308" s="36"/>
      <c r="N308" s="36"/>
      <c r="O308" s="36"/>
      <c r="P308" s="36"/>
      <c r="Q308" s="36"/>
      <c r="R308" s="36"/>
      <c r="S308" s="36"/>
      <c r="T308" s="36"/>
      <c r="U308" s="36"/>
      <c r="V308" s="36"/>
      <c r="W308" s="36"/>
      <c r="X308" s="36"/>
      <c r="Y308" s="36"/>
      <c r="Z308" s="36"/>
      <c r="AA308" s="36"/>
      <c r="AB308" s="36"/>
      <c r="AC308" s="36"/>
    </row>
    <row r="309" spans="1:29" ht="24" customHeight="1">
      <c r="A309" s="81"/>
      <c r="B309" s="94"/>
      <c r="C309" s="81"/>
      <c r="D309" s="81"/>
      <c r="E309" s="80"/>
      <c r="F309" s="620"/>
      <c r="G309" s="620"/>
      <c r="H309" s="81"/>
      <c r="I309" s="81"/>
      <c r="J309" s="35"/>
      <c r="K309" s="36"/>
      <c r="L309" s="36"/>
      <c r="M309" s="36"/>
      <c r="N309" s="36"/>
      <c r="O309" s="36"/>
      <c r="P309" s="36"/>
      <c r="Q309" s="36"/>
      <c r="R309" s="36"/>
      <c r="S309" s="36"/>
      <c r="T309" s="36"/>
      <c r="U309" s="36"/>
      <c r="V309" s="36"/>
      <c r="W309" s="36"/>
      <c r="X309" s="36"/>
      <c r="Y309" s="36"/>
      <c r="Z309" s="36"/>
      <c r="AA309" s="36"/>
      <c r="AB309" s="36"/>
      <c r="AC309" s="36"/>
    </row>
    <row r="310" spans="1:29" ht="24" customHeight="1">
      <c r="A310" s="81"/>
      <c r="B310" s="94"/>
      <c r="C310" s="81"/>
      <c r="D310" s="81"/>
      <c r="E310" s="80"/>
      <c r="F310" s="620"/>
      <c r="G310" s="620"/>
      <c r="H310" s="81"/>
      <c r="I310" s="81"/>
      <c r="J310" s="35"/>
      <c r="K310" s="36"/>
      <c r="L310" s="36"/>
      <c r="M310" s="36"/>
      <c r="N310" s="36"/>
      <c r="O310" s="36"/>
      <c r="P310" s="36"/>
      <c r="Q310" s="36"/>
      <c r="R310" s="36"/>
      <c r="S310" s="36"/>
      <c r="T310" s="36"/>
      <c r="U310" s="36"/>
      <c r="V310" s="36"/>
      <c r="W310" s="36"/>
      <c r="X310" s="36"/>
      <c r="Y310" s="36"/>
      <c r="Z310" s="36"/>
      <c r="AA310" s="36"/>
      <c r="AB310" s="36"/>
      <c r="AC310" s="36"/>
    </row>
    <row r="311" spans="1:29" ht="60" customHeight="1">
      <c r="A311" s="81"/>
      <c r="B311" s="100"/>
      <c r="C311" s="100"/>
      <c r="D311" s="100"/>
      <c r="E311" s="99"/>
      <c r="F311" s="627"/>
      <c r="G311" s="627"/>
      <c r="H311" s="463"/>
      <c r="I311" s="100"/>
      <c r="J311" s="35"/>
      <c r="K311" s="36"/>
      <c r="L311" s="36"/>
      <c r="M311" s="36"/>
      <c r="N311" s="36"/>
      <c r="O311" s="36"/>
      <c r="P311" s="36"/>
      <c r="Q311" s="36"/>
      <c r="R311" s="36"/>
      <c r="S311" s="36"/>
      <c r="T311" s="36"/>
      <c r="U311" s="36"/>
      <c r="V311" s="36"/>
      <c r="W311" s="36"/>
      <c r="X311" s="36"/>
      <c r="Y311" s="36"/>
      <c r="Z311" s="36"/>
      <c r="AA311" s="36"/>
      <c r="AB311" s="36"/>
      <c r="AC311" s="36"/>
    </row>
    <row r="312" spans="1:29" ht="60" customHeight="1">
      <c r="A312" s="619"/>
      <c r="B312" s="94"/>
      <c r="C312" s="81"/>
      <c r="D312" s="81"/>
      <c r="E312" s="80"/>
      <c r="F312" s="620"/>
      <c r="G312" s="620"/>
      <c r="H312" s="81"/>
      <c r="I312" s="81"/>
      <c r="J312" s="35"/>
      <c r="K312" s="36"/>
      <c r="L312" s="36"/>
      <c r="M312" s="36"/>
      <c r="N312" s="36"/>
      <c r="O312" s="36"/>
      <c r="P312" s="36"/>
      <c r="Q312" s="36"/>
      <c r="R312" s="36"/>
      <c r="S312" s="36"/>
      <c r="T312" s="36"/>
      <c r="U312" s="36"/>
      <c r="V312" s="36"/>
      <c r="W312" s="36"/>
      <c r="X312" s="36"/>
      <c r="Y312" s="36"/>
      <c r="Z312" s="36"/>
      <c r="AA312" s="36"/>
      <c r="AB312" s="36"/>
      <c r="AC312" s="36"/>
    </row>
    <row r="313" spans="1:29" ht="120" customHeight="1">
      <c r="A313" s="619"/>
      <c r="B313" s="94"/>
      <c r="C313" s="81"/>
      <c r="D313" s="81"/>
      <c r="E313" s="80"/>
      <c r="F313" s="620"/>
      <c r="G313" s="620"/>
      <c r="H313" s="81"/>
      <c r="I313" s="81"/>
      <c r="J313" s="35"/>
      <c r="K313" s="36"/>
      <c r="L313" s="36"/>
      <c r="M313" s="36"/>
      <c r="N313" s="36"/>
      <c r="O313" s="36"/>
      <c r="P313" s="36"/>
      <c r="Q313" s="36"/>
      <c r="R313" s="36"/>
      <c r="S313" s="36"/>
      <c r="T313" s="36"/>
      <c r="U313" s="36"/>
      <c r="V313" s="36"/>
      <c r="W313" s="36"/>
      <c r="X313" s="36"/>
      <c r="Y313" s="36"/>
      <c r="Z313" s="36"/>
      <c r="AA313" s="36"/>
      <c r="AB313" s="36"/>
      <c r="AC313" s="36"/>
    </row>
    <row r="314" spans="1:29" ht="204" customHeight="1">
      <c r="A314" s="619"/>
      <c r="B314" s="94"/>
      <c r="C314" s="81"/>
      <c r="D314" s="81"/>
      <c r="E314" s="80"/>
      <c r="F314" s="620"/>
      <c r="G314" s="620"/>
      <c r="H314" s="81"/>
      <c r="I314" s="81"/>
      <c r="J314" s="35"/>
      <c r="K314" s="36"/>
      <c r="L314" s="36"/>
      <c r="M314" s="36"/>
      <c r="N314" s="36"/>
      <c r="O314" s="36"/>
      <c r="P314" s="36"/>
      <c r="Q314" s="36"/>
      <c r="R314" s="36"/>
      <c r="S314" s="36"/>
      <c r="T314" s="36"/>
      <c r="U314" s="36"/>
      <c r="V314" s="36"/>
      <c r="W314" s="36"/>
      <c r="X314" s="36"/>
      <c r="Y314" s="36"/>
      <c r="Z314" s="36"/>
      <c r="AA314" s="36"/>
      <c r="AB314" s="36"/>
      <c r="AC314" s="36"/>
    </row>
    <row r="315" spans="1:29" ht="24" customHeight="1">
      <c r="A315" s="619"/>
      <c r="B315" s="94"/>
      <c r="C315" s="81"/>
      <c r="D315" s="81"/>
      <c r="E315" s="80"/>
      <c r="F315" s="620"/>
      <c r="G315" s="620"/>
      <c r="H315" s="81"/>
      <c r="I315" s="81"/>
      <c r="J315" s="35"/>
      <c r="K315" s="36"/>
      <c r="L315" s="36"/>
      <c r="M315" s="36"/>
      <c r="N315" s="36"/>
      <c r="O315" s="36"/>
      <c r="P315" s="36"/>
      <c r="Q315" s="36"/>
      <c r="R315" s="36"/>
      <c r="S315" s="36"/>
      <c r="T315" s="36"/>
      <c r="U315" s="36"/>
      <c r="V315" s="36"/>
      <c r="W315" s="36"/>
      <c r="X315" s="36"/>
      <c r="Y315" s="36"/>
      <c r="Z315" s="36"/>
      <c r="AA315" s="36"/>
      <c r="AB315" s="36"/>
      <c r="AC315" s="36"/>
    </row>
    <row r="316" spans="1:29" ht="24" customHeight="1">
      <c r="A316" s="619"/>
      <c r="B316" s="94"/>
      <c r="C316" s="81"/>
      <c r="D316" s="81"/>
      <c r="E316" s="80"/>
      <c r="F316" s="620"/>
      <c r="G316" s="620"/>
      <c r="H316" s="81"/>
      <c r="I316" s="81"/>
      <c r="J316" s="35"/>
      <c r="K316" s="36"/>
      <c r="L316" s="36"/>
      <c r="M316" s="36"/>
      <c r="N316" s="36"/>
      <c r="O316" s="36"/>
      <c r="P316" s="36"/>
      <c r="Q316" s="36"/>
      <c r="R316" s="36"/>
      <c r="S316" s="36"/>
      <c r="T316" s="36"/>
      <c r="U316" s="36"/>
      <c r="V316" s="36"/>
      <c r="W316" s="36"/>
      <c r="X316" s="36"/>
      <c r="Y316" s="36"/>
      <c r="Z316" s="36"/>
      <c r="AA316" s="36"/>
      <c r="AB316" s="36"/>
      <c r="AC316" s="36"/>
    </row>
    <row r="317" spans="1:29" ht="24" customHeight="1">
      <c r="A317" s="619"/>
      <c r="B317" s="94"/>
      <c r="C317" s="81"/>
      <c r="D317" s="81"/>
      <c r="E317" s="80"/>
      <c r="F317" s="620"/>
      <c r="G317" s="620"/>
      <c r="H317" s="81"/>
      <c r="I317" s="81"/>
      <c r="J317" s="35"/>
      <c r="K317" s="36"/>
      <c r="L317" s="36"/>
      <c r="M317" s="36"/>
      <c r="N317" s="36"/>
      <c r="O317" s="36"/>
      <c r="P317" s="36"/>
      <c r="Q317" s="36"/>
      <c r="R317" s="36"/>
      <c r="S317" s="36"/>
      <c r="T317" s="36"/>
      <c r="U317" s="36"/>
      <c r="V317" s="36"/>
      <c r="W317" s="36"/>
      <c r="X317" s="36"/>
      <c r="Y317" s="36"/>
      <c r="Z317" s="36"/>
      <c r="AA317" s="36"/>
      <c r="AB317" s="36"/>
      <c r="AC317" s="36"/>
    </row>
    <row r="318" spans="1:29" ht="15" customHeight="1">
      <c r="A318" s="619"/>
      <c r="B318" s="94"/>
      <c r="C318" s="81"/>
      <c r="D318" s="81"/>
      <c r="E318" s="80"/>
      <c r="F318" s="620"/>
      <c r="G318" s="620"/>
      <c r="H318" s="81"/>
      <c r="I318" s="81"/>
      <c r="J318" s="35"/>
      <c r="K318" s="36"/>
      <c r="L318" s="36"/>
      <c r="M318" s="36"/>
      <c r="N318" s="36"/>
      <c r="O318" s="36"/>
      <c r="P318" s="36"/>
      <c r="Q318" s="36"/>
      <c r="R318" s="36"/>
      <c r="S318" s="36"/>
      <c r="T318" s="36"/>
      <c r="U318" s="36"/>
      <c r="V318" s="36"/>
      <c r="W318" s="36"/>
      <c r="X318" s="36"/>
      <c r="Y318" s="36"/>
      <c r="Z318" s="36"/>
      <c r="AA318" s="36"/>
      <c r="AB318" s="36"/>
      <c r="AC318" s="36"/>
    </row>
    <row r="319" spans="1:29" ht="36" customHeight="1">
      <c r="A319" s="619"/>
      <c r="B319" s="94"/>
      <c r="C319" s="81"/>
      <c r="D319" s="81"/>
      <c r="E319" s="80"/>
      <c r="F319" s="620"/>
      <c r="G319" s="620"/>
      <c r="H319" s="81"/>
      <c r="I319" s="81"/>
      <c r="J319" s="35"/>
      <c r="K319" s="36"/>
      <c r="L319" s="36"/>
      <c r="M319" s="36"/>
      <c r="N319" s="36"/>
      <c r="O319" s="36"/>
      <c r="P319" s="36"/>
      <c r="Q319" s="36"/>
      <c r="R319" s="36"/>
      <c r="S319" s="36"/>
      <c r="T319" s="36"/>
      <c r="U319" s="36"/>
      <c r="V319" s="36"/>
      <c r="W319" s="36"/>
      <c r="X319" s="36"/>
      <c r="Y319" s="36"/>
      <c r="Z319" s="36"/>
      <c r="AA319" s="36"/>
      <c r="AB319" s="36"/>
      <c r="AC319" s="36"/>
    </row>
    <row r="320" spans="1:29" ht="24" customHeight="1">
      <c r="A320" s="619"/>
      <c r="B320" s="94"/>
      <c r="C320" s="81"/>
      <c r="D320" s="81"/>
      <c r="E320" s="80"/>
      <c r="F320" s="620"/>
      <c r="G320" s="620"/>
      <c r="H320" s="81"/>
      <c r="I320" s="81"/>
      <c r="J320" s="35"/>
      <c r="K320" s="36"/>
      <c r="L320" s="36"/>
      <c r="M320" s="36"/>
      <c r="N320" s="36"/>
      <c r="O320" s="36"/>
      <c r="P320" s="36"/>
      <c r="Q320" s="36"/>
      <c r="R320" s="36"/>
      <c r="S320" s="36"/>
      <c r="T320" s="36"/>
      <c r="U320" s="36"/>
      <c r="V320" s="36"/>
      <c r="W320" s="36"/>
      <c r="X320" s="36"/>
      <c r="Y320" s="36"/>
      <c r="Z320" s="36"/>
      <c r="AA320" s="36"/>
      <c r="AB320" s="36"/>
      <c r="AC320" s="36"/>
    </row>
    <row r="321" spans="1:29" ht="36" customHeight="1">
      <c r="A321" s="619"/>
      <c r="B321" s="94"/>
      <c r="C321" s="81"/>
      <c r="D321" s="81"/>
      <c r="E321" s="80"/>
      <c r="F321" s="620"/>
      <c r="G321" s="620"/>
      <c r="H321" s="81"/>
      <c r="I321" s="81"/>
      <c r="J321" s="35"/>
      <c r="K321" s="36"/>
      <c r="L321" s="36"/>
      <c r="M321" s="36"/>
      <c r="N321" s="36"/>
      <c r="O321" s="36"/>
      <c r="P321" s="36"/>
      <c r="Q321" s="36"/>
      <c r="R321" s="36"/>
      <c r="S321" s="36"/>
      <c r="T321" s="36"/>
      <c r="U321" s="36"/>
      <c r="V321" s="36"/>
      <c r="W321" s="36"/>
      <c r="X321" s="36"/>
      <c r="Y321" s="36"/>
      <c r="Z321" s="36"/>
      <c r="AA321" s="36"/>
      <c r="AB321" s="36"/>
      <c r="AC321" s="36"/>
    </row>
    <row r="322" spans="1:29" ht="36" customHeight="1">
      <c r="A322" s="619"/>
      <c r="B322" s="94"/>
      <c r="C322" s="81"/>
      <c r="D322" s="81"/>
      <c r="E322" s="80"/>
      <c r="F322" s="620"/>
      <c r="G322" s="620"/>
      <c r="H322" s="81"/>
      <c r="I322" s="81"/>
      <c r="J322" s="35"/>
      <c r="K322" s="36"/>
      <c r="L322" s="36"/>
      <c r="M322" s="36"/>
      <c r="N322" s="36"/>
      <c r="O322" s="36"/>
      <c r="P322" s="36"/>
      <c r="Q322" s="36"/>
      <c r="R322" s="36"/>
      <c r="S322" s="36"/>
      <c r="T322" s="36"/>
      <c r="U322" s="36"/>
      <c r="V322" s="36"/>
      <c r="W322" s="36"/>
      <c r="X322" s="36"/>
      <c r="Y322" s="36"/>
      <c r="Z322" s="36"/>
      <c r="AA322" s="36"/>
      <c r="AB322" s="36"/>
      <c r="AC322" s="36"/>
    </row>
    <row r="323" spans="1:29" ht="24" customHeight="1">
      <c r="A323" s="81"/>
      <c r="B323" s="94"/>
      <c r="C323" s="81"/>
      <c r="D323" s="81"/>
      <c r="E323" s="80"/>
      <c r="F323" s="620"/>
      <c r="G323" s="620"/>
      <c r="H323" s="81"/>
      <c r="I323" s="81"/>
      <c r="J323" s="35"/>
      <c r="K323" s="36"/>
      <c r="L323" s="36"/>
      <c r="M323" s="36"/>
      <c r="N323" s="36"/>
      <c r="O323" s="36"/>
      <c r="P323" s="36"/>
      <c r="Q323" s="36"/>
      <c r="R323" s="36"/>
      <c r="S323" s="36"/>
      <c r="T323" s="36"/>
      <c r="U323" s="36"/>
      <c r="V323" s="36"/>
      <c r="W323" s="36"/>
      <c r="X323" s="36"/>
      <c r="Y323" s="36"/>
      <c r="Z323" s="36"/>
      <c r="AA323" s="36"/>
      <c r="AB323" s="36"/>
      <c r="AC323" s="36"/>
    </row>
    <row r="324" spans="1:29" ht="60" customHeight="1">
      <c r="A324" s="81"/>
      <c r="B324" s="94"/>
      <c r="C324" s="81"/>
      <c r="D324" s="81"/>
      <c r="E324" s="80"/>
      <c r="F324" s="620"/>
      <c r="G324" s="620"/>
      <c r="H324" s="81"/>
      <c r="I324" s="81"/>
      <c r="J324" s="35"/>
      <c r="K324" s="36"/>
      <c r="L324" s="36"/>
      <c r="M324" s="36"/>
      <c r="N324" s="36"/>
      <c r="O324" s="36"/>
      <c r="P324" s="36"/>
      <c r="Q324" s="36"/>
      <c r="R324" s="36"/>
      <c r="S324" s="36"/>
      <c r="T324" s="36"/>
      <c r="U324" s="36"/>
      <c r="V324" s="36"/>
      <c r="W324" s="36"/>
      <c r="X324" s="36"/>
      <c r="Y324" s="36"/>
      <c r="Z324" s="36"/>
      <c r="AA324" s="36"/>
      <c r="AB324" s="36"/>
      <c r="AC324" s="36"/>
    </row>
    <row r="325" spans="1:29" ht="24" customHeight="1">
      <c r="A325" s="81"/>
      <c r="B325" s="94"/>
      <c r="C325" s="81"/>
      <c r="D325" s="81"/>
      <c r="E325" s="80"/>
      <c r="F325" s="620"/>
      <c r="G325" s="620"/>
      <c r="H325" s="81"/>
      <c r="I325" s="81"/>
      <c r="J325" s="35"/>
      <c r="K325" s="36"/>
      <c r="L325" s="36"/>
      <c r="M325" s="36"/>
      <c r="N325" s="36"/>
      <c r="O325" s="36"/>
      <c r="P325" s="36"/>
      <c r="Q325" s="36"/>
      <c r="R325" s="36"/>
      <c r="S325" s="36"/>
      <c r="T325" s="36"/>
      <c r="U325" s="36"/>
      <c r="V325" s="36"/>
      <c r="W325" s="36"/>
      <c r="X325" s="36"/>
      <c r="Y325" s="36"/>
      <c r="Z325" s="36"/>
      <c r="AA325" s="36"/>
      <c r="AB325" s="36"/>
      <c r="AC325" s="36"/>
    </row>
    <row r="326" spans="1:29" ht="36" customHeight="1">
      <c r="A326" s="81"/>
      <c r="B326" s="94"/>
      <c r="C326" s="81"/>
      <c r="D326" s="81"/>
      <c r="E326" s="80"/>
      <c r="F326" s="620"/>
      <c r="G326" s="620"/>
      <c r="H326" s="81"/>
      <c r="I326" s="81"/>
      <c r="J326" s="35"/>
      <c r="K326" s="36"/>
      <c r="L326" s="36"/>
      <c r="M326" s="36"/>
      <c r="N326" s="36"/>
      <c r="O326" s="36"/>
      <c r="P326" s="36"/>
      <c r="Q326" s="36"/>
      <c r="R326" s="36"/>
      <c r="S326" s="36"/>
      <c r="T326" s="36"/>
      <c r="U326" s="36"/>
      <c r="V326" s="36"/>
      <c r="W326" s="36"/>
      <c r="X326" s="36"/>
      <c r="Y326" s="36"/>
      <c r="Z326" s="36"/>
      <c r="AA326" s="36"/>
      <c r="AB326" s="36"/>
      <c r="AC326" s="36"/>
    </row>
    <row r="327" spans="1:29" ht="24" customHeight="1">
      <c r="A327" s="81"/>
      <c r="B327" s="94"/>
      <c r="C327" s="81"/>
      <c r="D327" s="81"/>
      <c r="E327" s="80"/>
      <c r="F327" s="620"/>
      <c r="G327" s="620"/>
      <c r="H327" s="81"/>
      <c r="I327" s="81"/>
      <c r="J327" s="35"/>
      <c r="K327" s="36"/>
      <c r="L327" s="36"/>
      <c r="M327" s="36"/>
      <c r="N327" s="36"/>
      <c r="O327" s="36"/>
      <c r="P327" s="36"/>
      <c r="Q327" s="36"/>
      <c r="R327" s="36"/>
      <c r="S327" s="36"/>
      <c r="T327" s="36"/>
      <c r="U327" s="36"/>
      <c r="V327" s="36"/>
      <c r="W327" s="36"/>
      <c r="X327" s="36"/>
      <c r="Y327" s="36"/>
      <c r="Z327" s="36"/>
      <c r="AA327" s="36"/>
      <c r="AB327" s="36"/>
      <c r="AC327" s="36"/>
    </row>
    <row r="328" spans="1:29" ht="24" customHeight="1">
      <c r="A328" s="81"/>
      <c r="B328" s="94"/>
      <c r="C328" s="81"/>
      <c r="D328" s="81"/>
      <c r="E328" s="80"/>
      <c r="F328" s="620"/>
      <c r="G328" s="620"/>
      <c r="H328" s="81"/>
      <c r="I328" s="81"/>
      <c r="J328" s="35"/>
      <c r="K328" s="36"/>
      <c r="L328" s="36"/>
      <c r="M328" s="36"/>
      <c r="N328" s="36"/>
      <c r="O328" s="36"/>
      <c r="P328" s="36"/>
      <c r="Q328" s="36"/>
      <c r="R328" s="36"/>
      <c r="S328" s="36"/>
      <c r="T328" s="36"/>
      <c r="U328" s="36"/>
      <c r="V328" s="36"/>
      <c r="W328" s="36"/>
      <c r="X328" s="36"/>
      <c r="Y328" s="36"/>
      <c r="Z328" s="36"/>
      <c r="AA328" s="36"/>
      <c r="AB328" s="36"/>
      <c r="AC328" s="36"/>
    </row>
    <row r="329" spans="1:29" ht="24" customHeight="1">
      <c r="A329" s="81"/>
      <c r="B329" s="94"/>
      <c r="C329" s="81"/>
      <c r="D329" s="81"/>
      <c r="E329" s="80"/>
      <c r="F329" s="620"/>
      <c r="G329" s="620"/>
      <c r="H329" s="81"/>
      <c r="I329" s="81"/>
      <c r="J329" s="35"/>
      <c r="K329" s="36"/>
      <c r="L329" s="36"/>
      <c r="M329" s="36"/>
      <c r="N329" s="36"/>
      <c r="O329" s="36"/>
      <c r="P329" s="36"/>
      <c r="Q329" s="36"/>
      <c r="R329" s="36"/>
      <c r="S329" s="36"/>
      <c r="T329" s="36"/>
      <c r="U329" s="36"/>
      <c r="V329" s="36"/>
      <c r="W329" s="36"/>
      <c r="X329" s="36"/>
      <c r="Y329" s="36"/>
      <c r="Z329" s="36"/>
      <c r="AA329" s="36"/>
      <c r="AB329" s="36"/>
      <c r="AC329" s="36"/>
    </row>
    <row r="330" spans="1:29" ht="36" customHeight="1">
      <c r="A330" s="81"/>
      <c r="B330" s="94"/>
      <c r="C330" s="81"/>
      <c r="D330" s="81"/>
      <c r="E330" s="80"/>
      <c r="F330" s="620"/>
      <c r="G330" s="620"/>
      <c r="H330" s="81"/>
      <c r="I330" s="81"/>
      <c r="J330" s="35"/>
      <c r="K330" s="36"/>
      <c r="L330" s="36"/>
      <c r="M330" s="36"/>
      <c r="N330" s="36"/>
      <c r="O330" s="36"/>
      <c r="P330" s="36"/>
      <c r="Q330" s="36"/>
      <c r="R330" s="36"/>
      <c r="S330" s="36"/>
      <c r="T330" s="36"/>
      <c r="U330" s="36"/>
      <c r="V330" s="36"/>
      <c r="W330" s="36"/>
      <c r="X330" s="36"/>
      <c r="Y330" s="36"/>
      <c r="Z330" s="36"/>
      <c r="AA330" s="36"/>
      <c r="AB330" s="36"/>
      <c r="AC330" s="36"/>
    </row>
    <row r="331" spans="1:29" ht="36" customHeight="1">
      <c r="A331" s="81"/>
      <c r="B331" s="94"/>
      <c r="C331" s="81"/>
      <c r="D331" s="81"/>
      <c r="E331" s="80"/>
      <c r="F331" s="620"/>
      <c r="G331" s="620"/>
      <c r="H331" s="81"/>
      <c r="I331" s="81"/>
      <c r="J331" s="35"/>
      <c r="K331" s="36"/>
      <c r="L331" s="36"/>
      <c r="M331" s="36"/>
      <c r="N331" s="36"/>
      <c r="O331" s="36"/>
      <c r="P331" s="36"/>
      <c r="Q331" s="36"/>
      <c r="R331" s="36"/>
      <c r="S331" s="36"/>
      <c r="T331" s="36"/>
      <c r="U331" s="36"/>
      <c r="V331" s="36"/>
      <c r="W331" s="36"/>
      <c r="X331" s="36"/>
      <c r="Y331" s="36"/>
      <c r="Z331" s="36"/>
      <c r="AA331" s="36"/>
      <c r="AB331" s="36"/>
      <c r="AC331" s="36"/>
    </row>
    <row r="332" spans="1:29" ht="36" customHeight="1">
      <c r="A332" s="81"/>
      <c r="B332" s="94"/>
      <c r="C332" s="81"/>
      <c r="D332" s="81"/>
      <c r="E332" s="80"/>
      <c r="F332" s="620"/>
      <c r="G332" s="620"/>
      <c r="H332" s="81"/>
      <c r="I332" s="81"/>
      <c r="J332" s="35"/>
      <c r="K332" s="36"/>
      <c r="L332" s="36"/>
      <c r="M332" s="36"/>
      <c r="N332" s="36"/>
      <c r="O332" s="36"/>
      <c r="P332" s="36"/>
      <c r="Q332" s="36"/>
      <c r="R332" s="36"/>
      <c r="S332" s="36"/>
      <c r="T332" s="36"/>
      <c r="U332" s="36"/>
      <c r="V332" s="36"/>
      <c r="W332" s="36"/>
      <c r="X332" s="36"/>
      <c r="Y332" s="36"/>
      <c r="Z332" s="36"/>
      <c r="AA332" s="36"/>
      <c r="AB332" s="36"/>
      <c r="AC332" s="36"/>
    </row>
    <row r="333" spans="1:29" ht="36" customHeight="1">
      <c r="A333" s="81"/>
      <c r="B333" s="94"/>
      <c r="C333" s="81"/>
      <c r="D333" s="81"/>
      <c r="E333" s="80"/>
      <c r="F333" s="620"/>
      <c r="G333" s="620"/>
      <c r="H333" s="81"/>
      <c r="I333" s="81"/>
      <c r="J333" s="35"/>
      <c r="K333" s="36"/>
      <c r="L333" s="36"/>
      <c r="M333" s="36"/>
      <c r="N333" s="36"/>
      <c r="O333" s="36"/>
      <c r="P333" s="36"/>
      <c r="Q333" s="36"/>
      <c r="R333" s="36"/>
      <c r="S333" s="36"/>
      <c r="T333" s="36"/>
      <c r="U333" s="36"/>
      <c r="V333" s="36"/>
      <c r="W333" s="36"/>
      <c r="X333" s="36"/>
      <c r="Y333" s="36"/>
      <c r="Z333" s="36"/>
      <c r="AA333" s="36"/>
      <c r="AB333" s="36"/>
      <c r="AC333" s="36"/>
    </row>
    <row r="334" spans="1:29" ht="24" customHeight="1">
      <c r="A334" s="81"/>
      <c r="B334" s="94"/>
      <c r="C334" s="81"/>
      <c r="D334" s="81"/>
      <c r="E334" s="80"/>
      <c r="F334" s="620"/>
      <c r="G334" s="620"/>
      <c r="H334" s="81"/>
      <c r="I334" s="81"/>
      <c r="J334" s="35"/>
      <c r="K334" s="36"/>
      <c r="L334" s="36"/>
      <c r="M334" s="36"/>
      <c r="N334" s="36"/>
      <c r="O334" s="36"/>
      <c r="P334" s="36"/>
      <c r="Q334" s="36"/>
      <c r="R334" s="36"/>
      <c r="S334" s="36"/>
      <c r="T334" s="36"/>
      <c r="U334" s="36"/>
      <c r="V334" s="36"/>
      <c r="W334" s="36"/>
      <c r="X334" s="36"/>
      <c r="Y334" s="36"/>
      <c r="Z334" s="36"/>
      <c r="AA334" s="36"/>
      <c r="AB334" s="36"/>
      <c r="AC334" s="36"/>
    </row>
    <row r="335" spans="1:29" ht="36" customHeight="1">
      <c r="A335" s="81"/>
      <c r="B335" s="94"/>
      <c r="C335" s="81"/>
      <c r="D335" s="81"/>
      <c r="E335" s="80"/>
      <c r="F335" s="620"/>
      <c r="G335" s="620"/>
      <c r="H335" s="81"/>
      <c r="I335" s="81"/>
      <c r="J335" s="35"/>
      <c r="K335" s="36"/>
      <c r="L335" s="36"/>
      <c r="M335" s="36"/>
      <c r="N335" s="36"/>
      <c r="O335" s="36"/>
      <c r="P335" s="36"/>
      <c r="Q335" s="36"/>
      <c r="R335" s="36"/>
      <c r="S335" s="36"/>
      <c r="T335" s="36"/>
      <c r="U335" s="36"/>
      <c r="V335" s="36"/>
      <c r="W335" s="36"/>
      <c r="X335" s="36"/>
      <c r="Y335" s="36"/>
      <c r="Z335" s="36"/>
      <c r="AA335" s="36"/>
      <c r="AB335" s="36"/>
      <c r="AC335" s="36"/>
    </row>
    <row r="336" spans="1:29" ht="60" customHeight="1">
      <c r="A336" s="81"/>
      <c r="B336" s="94"/>
      <c r="C336" s="81"/>
      <c r="D336" s="81"/>
      <c r="E336" s="80"/>
      <c r="F336" s="620"/>
      <c r="G336" s="620"/>
      <c r="H336" s="81"/>
      <c r="I336" s="81"/>
      <c r="J336" s="35"/>
      <c r="K336" s="36"/>
      <c r="L336" s="36"/>
      <c r="M336" s="36"/>
      <c r="N336" s="36"/>
      <c r="O336" s="36"/>
      <c r="P336" s="36"/>
      <c r="Q336" s="36"/>
      <c r="R336" s="36"/>
      <c r="S336" s="36"/>
      <c r="T336" s="36"/>
      <c r="U336" s="36"/>
      <c r="V336" s="36"/>
      <c r="W336" s="36"/>
      <c r="X336" s="36"/>
      <c r="Y336" s="36"/>
      <c r="Z336" s="36"/>
      <c r="AA336" s="36"/>
      <c r="AB336" s="36"/>
      <c r="AC336" s="36"/>
    </row>
    <row r="337" spans="1:29" ht="24" customHeight="1">
      <c r="A337" s="81"/>
      <c r="B337" s="94"/>
      <c r="C337" s="81"/>
      <c r="D337" s="81"/>
      <c r="E337" s="80"/>
      <c r="F337" s="620"/>
      <c r="G337" s="620"/>
      <c r="H337" s="81"/>
      <c r="I337" s="81"/>
      <c r="J337" s="35"/>
      <c r="K337" s="36"/>
      <c r="L337" s="36"/>
      <c r="M337" s="36"/>
      <c r="N337" s="36"/>
      <c r="O337" s="36"/>
      <c r="P337" s="36"/>
      <c r="Q337" s="36"/>
      <c r="R337" s="36"/>
      <c r="S337" s="36"/>
      <c r="T337" s="36"/>
      <c r="U337" s="36"/>
      <c r="V337" s="36"/>
      <c r="W337" s="36"/>
      <c r="X337" s="36"/>
      <c r="Y337" s="36"/>
      <c r="Z337" s="36"/>
      <c r="AA337" s="36"/>
      <c r="AB337" s="36"/>
      <c r="AC337" s="36"/>
    </row>
    <row r="338" spans="1:29" ht="120" customHeight="1">
      <c r="A338" s="81"/>
      <c r="B338" s="94"/>
      <c r="C338" s="81"/>
      <c r="D338" s="81"/>
      <c r="E338" s="80"/>
      <c r="F338" s="620"/>
      <c r="G338" s="620"/>
      <c r="H338" s="81"/>
      <c r="I338" s="81"/>
      <c r="J338" s="35"/>
      <c r="K338" s="36"/>
      <c r="L338" s="36"/>
      <c r="M338" s="36"/>
      <c r="N338" s="36"/>
      <c r="O338" s="36"/>
      <c r="P338" s="36"/>
      <c r="Q338" s="36"/>
      <c r="R338" s="36"/>
      <c r="S338" s="36"/>
      <c r="T338" s="36"/>
      <c r="U338" s="36"/>
      <c r="V338" s="36"/>
      <c r="W338" s="36"/>
      <c r="X338" s="36"/>
      <c r="Y338" s="36"/>
      <c r="Z338" s="36"/>
      <c r="AA338" s="36"/>
      <c r="AB338" s="36"/>
      <c r="AC338" s="36"/>
    </row>
    <row r="339" spans="1:29" ht="36" customHeight="1">
      <c r="A339" s="81"/>
      <c r="B339" s="94"/>
      <c r="C339" s="81"/>
      <c r="D339" s="81"/>
      <c r="E339" s="80"/>
      <c r="F339" s="620"/>
      <c r="G339" s="620"/>
      <c r="H339" s="81"/>
      <c r="I339" s="81"/>
      <c r="J339" s="35"/>
      <c r="K339" s="36"/>
      <c r="L339" s="36"/>
      <c r="M339" s="36"/>
      <c r="N339" s="36"/>
      <c r="O339" s="36"/>
      <c r="P339" s="36"/>
      <c r="Q339" s="36"/>
      <c r="R339" s="36"/>
      <c r="S339" s="36"/>
      <c r="T339" s="36"/>
      <c r="U339" s="36"/>
      <c r="V339" s="36"/>
      <c r="W339" s="36"/>
      <c r="X339" s="36"/>
      <c r="Y339" s="36"/>
      <c r="Z339" s="36"/>
      <c r="AA339" s="36"/>
      <c r="AB339" s="36"/>
      <c r="AC339" s="36"/>
    </row>
    <row r="340" spans="1:29" ht="48" customHeight="1">
      <c r="A340" s="81"/>
      <c r="B340" s="94"/>
      <c r="C340" s="81"/>
      <c r="D340" s="81"/>
      <c r="E340" s="80"/>
      <c r="F340" s="620"/>
      <c r="G340" s="620"/>
      <c r="H340" s="81"/>
      <c r="I340" s="81"/>
      <c r="J340" s="35"/>
      <c r="K340" s="36"/>
      <c r="L340" s="36"/>
      <c r="M340" s="36"/>
      <c r="N340" s="36"/>
      <c r="O340" s="36"/>
      <c r="P340" s="36"/>
      <c r="Q340" s="36"/>
      <c r="R340" s="36"/>
      <c r="S340" s="36"/>
      <c r="T340" s="36"/>
      <c r="U340" s="36"/>
      <c r="V340" s="36"/>
      <c r="W340" s="36"/>
      <c r="X340" s="36"/>
      <c r="Y340" s="36"/>
      <c r="Z340" s="36"/>
      <c r="AA340" s="36"/>
      <c r="AB340" s="36"/>
      <c r="AC340" s="36"/>
    </row>
    <row r="341" spans="1:29" ht="36" customHeight="1">
      <c r="A341" s="81"/>
      <c r="B341" s="94"/>
      <c r="C341" s="81"/>
      <c r="D341" s="81"/>
      <c r="E341" s="80"/>
      <c r="F341" s="620"/>
      <c r="G341" s="620"/>
      <c r="H341" s="81"/>
      <c r="I341" s="81"/>
      <c r="J341" s="35"/>
      <c r="K341" s="36"/>
      <c r="L341" s="36"/>
      <c r="M341" s="36"/>
      <c r="N341" s="36"/>
      <c r="O341" s="36"/>
      <c r="P341" s="36"/>
      <c r="Q341" s="36"/>
      <c r="R341" s="36"/>
      <c r="S341" s="36"/>
      <c r="T341" s="36"/>
      <c r="U341" s="36"/>
      <c r="V341" s="36"/>
      <c r="W341" s="36"/>
      <c r="X341" s="36"/>
      <c r="Y341" s="36"/>
      <c r="Z341" s="36"/>
      <c r="AA341" s="36"/>
      <c r="AB341" s="36"/>
      <c r="AC341" s="36"/>
    </row>
    <row r="342" spans="1:29" ht="24" customHeight="1">
      <c r="A342" s="81"/>
      <c r="B342" s="94"/>
      <c r="C342" s="81"/>
      <c r="D342" s="81"/>
      <c r="E342" s="80"/>
      <c r="F342" s="620"/>
      <c r="G342" s="620"/>
      <c r="H342" s="81"/>
      <c r="I342" s="81"/>
      <c r="J342" s="35"/>
      <c r="K342" s="36"/>
      <c r="L342" s="36"/>
      <c r="M342" s="36"/>
      <c r="N342" s="36"/>
      <c r="O342" s="36"/>
      <c r="P342" s="36"/>
      <c r="Q342" s="36"/>
      <c r="R342" s="36"/>
      <c r="S342" s="36"/>
      <c r="T342" s="36"/>
      <c r="U342" s="36"/>
      <c r="V342" s="36"/>
      <c r="W342" s="36"/>
      <c r="X342" s="36"/>
      <c r="Y342" s="36"/>
      <c r="Z342" s="36"/>
      <c r="AA342" s="36"/>
      <c r="AB342" s="36"/>
      <c r="AC342" s="36"/>
    </row>
    <row r="343" spans="1:29" ht="84" customHeight="1">
      <c r="A343" s="81"/>
      <c r="B343" s="94"/>
      <c r="C343" s="81"/>
      <c r="D343" s="81"/>
      <c r="E343" s="80"/>
      <c r="F343" s="620"/>
      <c r="G343" s="620"/>
      <c r="H343" s="81"/>
      <c r="I343" s="81"/>
      <c r="J343" s="35"/>
      <c r="K343" s="36"/>
      <c r="L343" s="36"/>
      <c r="M343" s="36"/>
      <c r="N343" s="36"/>
      <c r="O343" s="36"/>
      <c r="P343" s="36"/>
      <c r="Q343" s="36"/>
      <c r="R343" s="36"/>
      <c r="S343" s="36"/>
      <c r="T343" s="36"/>
      <c r="U343" s="36"/>
      <c r="V343" s="36"/>
      <c r="W343" s="36"/>
      <c r="X343" s="36"/>
      <c r="Y343" s="36"/>
      <c r="Z343" s="36"/>
      <c r="AA343" s="36"/>
      <c r="AB343" s="36"/>
      <c r="AC343" s="36"/>
    </row>
    <row r="344" spans="1:29" ht="48" customHeight="1">
      <c r="A344" s="81"/>
      <c r="B344" s="94"/>
      <c r="C344" s="81"/>
      <c r="D344" s="81"/>
      <c r="E344" s="80"/>
      <c r="F344" s="620"/>
      <c r="G344" s="620"/>
      <c r="H344" s="81"/>
      <c r="I344" s="81"/>
      <c r="J344" s="35"/>
      <c r="K344" s="36"/>
      <c r="L344" s="36"/>
      <c r="M344" s="36"/>
      <c r="N344" s="36"/>
      <c r="O344" s="36"/>
      <c r="P344" s="36"/>
      <c r="Q344" s="36"/>
      <c r="R344" s="36"/>
      <c r="S344" s="36"/>
      <c r="T344" s="36"/>
      <c r="U344" s="36"/>
      <c r="V344" s="36"/>
      <c r="W344" s="36"/>
      <c r="X344" s="36"/>
      <c r="Y344" s="36"/>
      <c r="Z344" s="36"/>
      <c r="AA344" s="36"/>
      <c r="AB344" s="36"/>
      <c r="AC344" s="36"/>
    </row>
    <row r="345" spans="1:29" ht="36" customHeight="1">
      <c r="A345" s="81"/>
      <c r="B345" s="94"/>
      <c r="C345" s="81"/>
      <c r="D345" s="81"/>
      <c r="E345" s="80"/>
      <c r="F345" s="620"/>
      <c r="G345" s="620"/>
      <c r="H345" s="81"/>
      <c r="I345" s="81"/>
      <c r="J345" s="35"/>
      <c r="K345" s="36"/>
      <c r="L345" s="36"/>
      <c r="M345" s="36"/>
      <c r="N345" s="36"/>
      <c r="O345" s="36"/>
      <c r="P345" s="36"/>
      <c r="Q345" s="36"/>
      <c r="R345" s="36"/>
      <c r="S345" s="36"/>
      <c r="T345" s="36"/>
      <c r="U345" s="36"/>
      <c r="V345" s="36"/>
      <c r="W345" s="36"/>
      <c r="X345" s="36"/>
      <c r="Y345" s="36"/>
      <c r="Z345" s="36"/>
      <c r="AA345" s="36"/>
      <c r="AB345" s="36"/>
      <c r="AC345" s="36"/>
    </row>
    <row r="346" spans="1:29" ht="36" customHeight="1">
      <c r="A346" s="81"/>
      <c r="B346" s="94"/>
      <c r="C346" s="81"/>
      <c r="D346" s="81"/>
      <c r="E346" s="80"/>
      <c r="F346" s="620"/>
      <c r="G346" s="620"/>
      <c r="H346" s="81"/>
      <c r="I346" s="81"/>
      <c r="J346" s="35"/>
      <c r="K346" s="36"/>
      <c r="L346" s="36"/>
      <c r="M346" s="36"/>
      <c r="N346" s="36"/>
      <c r="O346" s="36"/>
      <c r="P346" s="36"/>
      <c r="Q346" s="36"/>
      <c r="R346" s="36"/>
      <c r="S346" s="36"/>
      <c r="T346" s="36"/>
      <c r="U346" s="36"/>
      <c r="V346" s="36"/>
      <c r="W346" s="36"/>
      <c r="X346" s="36"/>
      <c r="Y346" s="36"/>
      <c r="Z346" s="36"/>
      <c r="AA346" s="36"/>
      <c r="AB346" s="36"/>
      <c r="AC346" s="36"/>
    </row>
    <row r="347" spans="1:29" ht="72" customHeight="1">
      <c r="A347" s="81"/>
      <c r="B347" s="94"/>
      <c r="C347" s="81"/>
      <c r="D347" s="81"/>
      <c r="E347" s="80"/>
      <c r="F347" s="620"/>
      <c r="G347" s="620"/>
      <c r="H347" s="81"/>
      <c r="I347" s="81"/>
      <c r="J347" s="35"/>
      <c r="K347" s="36"/>
      <c r="L347" s="36"/>
      <c r="M347" s="36"/>
      <c r="N347" s="36"/>
      <c r="O347" s="36"/>
      <c r="P347" s="36"/>
      <c r="Q347" s="36"/>
      <c r="R347" s="36"/>
      <c r="S347" s="36"/>
      <c r="T347" s="36"/>
      <c r="U347" s="36"/>
      <c r="V347" s="36"/>
      <c r="W347" s="36"/>
      <c r="X347" s="36"/>
      <c r="Y347" s="36"/>
      <c r="Z347" s="36"/>
      <c r="AA347" s="36"/>
      <c r="AB347" s="36"/>
      <c r="AC347" s="36"/>
    </row>
    <row r="348" spans="1:29" ht="48" customHeight="1">
      <c r="A348" s="81"/>
      <c r="B348" s="94"/>
      <c r="C348" s="81"/>
      <c r="D348" s="81"/>
      <c r="E348" s="80"/>
      <c r="F348" s="620"/>
      <c r="G348" s="620"/>
      <c r="H348" s="81"/>
      <c r="I348" s="81"/>
      <c r="J348" s="35"/>
      <c r="K348" s="36"/>
      <c r="L348" s="36"/>
      <c r="M348" s="36"/>
      <c r="N348" s="36"/>
      <c r="O348" s="36"/>
      <c r="P348" s="36"/>
      <c r="Q348" s="36"/>
      <c r="R348" s="36"/>
      <c r="S348" s="36"/>
      <c r="T348" s="36"/>
      <c r="U348" s="36"/>
      <c r="V348" s="36"/>
      <c r="W348" s="36"/>
      <c r="X348" s="36"/>
      <c r="Y348" s="36"/>
      <c r="Z348" s="36"/>
      <c r="AA348" s="36"/>
      <c r="AB348" s="36"/>
      <c r="AC348" s="36"/>
    </row>
    <row r="349" spans="1:29" ht="24" customHeight="1">
      <c r="A349" s="81"/>
      <c r="B349" s="94"/>
      <c r="C349" s="81"/>
      <c r="D349" s="81"/>
      <c r="E349" s="80"/>
      <c r="F349" s="620"/>
      <c r="G349" s="620"/>
      <c r="H349" s="81"/>
      <c r="I349" s="81"/>
      <c r="J349" s="35"/>
      <c r="K349" s="36"/>
      <c r="L349" s="36"/>
      <c r="M349" s="36"/>
      <c r="N349" s="36"/>
      <c r="O349" s="36"/>
      <c r="P349" s="36"/>
      <c r="Q349" s="36"/>
      <c r="R349" s="36"/>
      <c r="S349" s="36"/>
      <c r="T349" s="36"/>
      <c r="U349" s="36"/>
      <c r="V349" s="36"/>
      <c r="W349" s="36"/>
      <c r="X349" s="36"/>
      <c r="Y349" s="36"/>
      <c r="Z349" s="36"/>
      <c r="AA349" s="36"/>
      <c r="AB349" s="36"/>
      <c r="AC349" s="36"/>
    </row>
    <row r="350" spans="1:29" ht="24" customHeight="1">
      <c r="A350" s="81"/>
      <c r="B350" s="100"/>
      <c r="C350" s="100"/>
      <c r="D350" s="100"/>
      <c r="E350" s="99"/>
      <c r="F350" s="627"/>
      <c r="G350" s="627"/>
      <c r="H350" s="463"/>
      <c r="I350" s="100"/>
      <c r="J350" s="35"/>
      <c r="K350" s="36"/>
      <c r="L350" s="36"/>
      <c r="M350" s="36"/>
      <c r="N350" s="36"/>
      <c r="O350" s="36"/>
      <c r="P350" s="36"/>
      <c r="Q350" s="36"/>
      <c r="R350" s="36"/>
      <c r="S350" s="36"/>
      <c r="T350" s="36"/>
      <c r="U350" s="36"/>
      <c r="V350" s="36"/>
      <c r="W350" s="36"/>
      <c r="X350" s="36"/>
      <c r="Y350" s="36"/>
      <c r="Z350" s="36"/>
      <c r="AA350" s="36"/>
      <c r="AB350" s="36"/>
      <c r="AC350" s="36"/>
    </row>
    <row r="351" spans="1:29" ht="48" customHeight="1">
      <c r="A351" s="81"/>
      <c r="B351" s="100"/>
      <c r="C351" s="100"/>
      <c r="D351" s="100"/>
      <c r="E351" s="99"/>
      <c r="F351" s="627"/>
      <c r="G351" s="627"/>
      <c r="H351" s="463"/>
      <c r="I351" s="100"/>
      <c r="J351" s="35"/>
      <c r="K351" s="36"/>
      <c r="L351" s="36"/>
      <c r="M351" s="36"/>
      <c r="N351" s="36"/>
      <c r="O351" s="36"/>
      <c r="P351" s="36"/>
      <c r="Q351" s="36"/>
      <c r="R351" s="36"/>
      <c r="S351" s="36"/>
      <c r="T351" s="36"/>
      <c r="U351" s="36"/>
      <c r="V351" s="36"/>
      <c r="W351" s="36"/>
      <c r="X351" s="36"/>
      <c r="Y351" s="36"/>
      <c r="Z351" s="36"/>
      <c r="AA351" s="36"/>
      <c r="AB351" s="36"/>
      <c r="AC351" s="36"/>
    </row>
    <row r="352" spans="1:29" ht="36" customHeight="1">
      <c r="A352" s="81"/>
      <c r="B352" s="100"/>
      <c r="C352" s="100"/>
      <c r="D352" s="100"/>
      <c r="E352" s="99"/>
      <c r="F352" s="627"/>
      <c r="G352" s="627"/>
      <c r="H352" s="463"/>
      <c r="I352" s="100"/>
      <c r="J352" s="35"/>
      <c r="K352" s="36"/>
      <c r="L352" s="36"/>
      <c r="M352" s="36"/>
      <c r="N352" s="36"/>
      <c r="O352" s="36"/>
      <c r="P352" s="36"/>
      <c r="Q352" s="36"/>
      <c r="R352" s="36"/>
      <c r="S352" s="36"/>
      <c r="T352" s="36"/>
      <c r="U352" s="36"/>
      <c r="V352" s="36"/>
      <c r="W352" s="36"/>
      <c r="X352" s="36"/>
      <c r="Y352" s="36"/>
      <c r="Z352" s="36"/>
      <c r="AA352" s="36"/>
      <c r="AB352" s="36"/>
      <c r="AC352" s="36"/>
    </row>
    <row r="353" spans="1:29" ht="24" customHeight="1">
      <c r="A353" s="81"/>
      <c r="B353" s="94"/>
      <c r="C353" s="81"/>
      <c r="D353" s="81"/>
      <c r="E353" s="80"/>
      <c r="F353" s="620"/>
      <c r="G353" s="620"/>
      <c r="H353" s="81"/>
      <c r="I353" s="81"/>
      <c r="J353" s="35"/>
      <c r="K353" s="36"/>
      <c r="L353" s="36"/>
      <c r="M353" s="36"/>
      <c r="N353" s="36"/>
      <c r="O353" s="36"/>
      <c r="P353" s="36"/>
      <c r="Q353" s="36"/>
      <c r="R353" s="36"/>
      <c r="S353" s="36"/>
      <c r="T353" s="36"/>
      <c r="U353" s="36"/>
      <c r="V353" s="36"/>
      <c r="W353" s="36"/>
      <c r="X353" s="36"/>
      <c r="Y353" s="36"/>
      <c r="Z353" s="36"/>
      <c r="AA353" s="36"/>
      <c r="AB353" s="36"/>
      <c r="AC353" s="36"/>
    </row>
    <row r="354" spans="1:29" ht="36" customHeight="1">
      <c r="A354" s="81"/>
      <c r="B354" s="94"/>
      <c r="C354" s="81"/>
      <c r="D354" s="81"/>
      <c r="E354" s="80"/>
      <c r="F354" s="620"/>
      <c r="G354" s="620"/>
      <c r="H354" s="81"/>
      <c r="I354" s="81"/>
      <c r="J354" s="35"/>
      <c r="K354" s="36"/>
      <c r="L354" s="36"/>
      <c r="M354" s="36"/>
      <c r="N354" s="36"/>
      <c r="O354" s="36"/>
      <c r="P354" s="36"/>
      <c r="Q354" s="36"/>
      <c r="R354" s="36"/>
      <c r="S354" s="36"/>
      <c r="T354" s="36"/>
      <c r="U354" s="36"/>
      <c r="V354" s="36"/>
      <c r="W354" s="36"/>
      <c r="X354" s="36"/>
      <c r="Y354" s="36"/>
      <c r="Z354" s="36"/>
      <c r="AA354" s="36"/>
      <c r="AB354" s="36"/>
      <c r="AC354" s="36"/>
    </row>
    <row r="355" spans="1:29" ht="24" customHeight="1">
      <c r="A355" s="81"/>
      <c r="B355" s="94"/>
      <c r="C355" s="81"/>
      <c r="D355" s="81"/>
      <c r="E355" s="80"/>
      <c r="F355" s="620"/>
      <c r="G355" s="620"/>
      <c r="H355" s="81"/>
      <c r="I355" s="81"/>
      <c r="J355" s="35"/>
      <c r="K355" s="36"/>
      <c r="L355" s="36"/>
      <c r="M355" s="36"/>
      <c r="N355" s="36"/>
      <c r="O355" s="36"/>
      <c r="P355" s="36"/>
      <c r="Q355" s="36"/>
      <c r="R355" s="36"/>
      <c r="S355" s="36"/>
      <c r="T355" s="36"/>
      <c r="U355" s="36"/>
      <c r="V355" s="36"/>
      <c r="W355" s="36"/>
      <c r="X355" s="36"/>
      <c r="Y355" s="36"/>
      <c r="Z355" s="36"/>
      <c r="AA355" s="36"/>
      <c r="AB355" s="36"/>
      <c r="AC355" s="36"/>
    </row>
    <row r="356" spans="1:29" ht="24" customHeight="1">
      <c r="A356" s="81"/>
      <c r="B356" s="94"/>
      <c r="C356" s="81"/>
      <c r="D356" s="81"/>
      <c r="E356" s="80"/>
      <c r="F356" s="620"/>
      <c r="G356" s="620"/>
      <c r="H356" s="81"/>
      <c r="I356" s="81"/>
      <c r="J356" s="35"/>
      <c r="K356" s="36"/>
      <c r="L356" s="36"/>
      <c r="M356" s="36"/>
      <c r="N356" s="36"/>
      <c r="O356" s="36"/>
      <c r="P356" s="36"/>
      <c r="Q356" s="36"/>
      <c r="R356" s="36"/>
      <c r="S356" s="36"/>
      <c r="T356" s="36"/>
      <c r="U356" s="36"/>
      <c r="V356" s="36"/>
      <c r="W356" s="36"/>
      <c r="X356" s="36"/>
      <c r="Y356" s="36"/>
      <c r="Z356" s="36"/>
      <c r="AA356" s="36"/>
      <c r="AB356" s="36"/>
      <c r="AC356" s="36"/>
    </row>
    <row r="357" spans="1:29" ht="24" customHeight="1">
      <c r="A357" s="81"/>
      <c r="B357" s="94"/>
      <c r="C357" s="81"/>
      <c r="D357" s="81"/>
      <c r="E357" s="80"/>
      <c r="F357" s="620"/>
      <c r="G357" s="620"/>
      <c r="H357" s="81"/>
      <c r="I357" s="81"/>
      <c r="J357" s="35"/>
      <c r="K357" s="36"/>
      <c r="L357" s="36"/>
      <c r="M357" s="36"/>
      <c r="N357" s="36"/>
      <c r="O357" s="36"/>
      <c r="P357" s="36"/>
      <c r="Q357" s="36"/>
      <c r="R357" s="36"/>
      <c r="S357" s="36"/>
      <c r="T357" s="36"/>
      <c r="U357" s="36"/>
      <c r="V357" s="36"/>
      <c r="W357" s="36"/>
      <c r="X357" s="36"/>
      <c r="Y357" s="36"/>
      <c r="Z357" s="36"/>
      <c r="AA357" s="36"/>
      <c r="AB357" s="36"/>
      <c r="AC357" s="36"/>
    </row>
    <row r="358" spans="1:29" ht="36" customHeight="1">
      <c r="A358" s="81"/>
      <c r="B358" s="94"/>
      <c r="C358" s="81"/>
      <c r="D358" s="81"/>
      <c r="E358" s="80"/>
      <c r="F358" s="620"/>
      <c r="G358" s="620"/>
      <c r="H358" s="81"/>
      <c r="I358" s="81"/>
      <c r="J358" s="35"/>
      <c r="K358" s="36"/>
      <c r="L358" s="36"/>
      <c r="M358" s="36"/>
      <c r="N358" s="36"/>
      <c r="O358" s="36"/>
      <c r="P358" s="36"/>
      <c r="Q358" s="36"/>
      <c r="R358" s="36"/>
      <c r="S358" s="36"/>
      <c r="T358" s="36"/>
      <c r="U358" s="36"/>
      <c r="V358" s="36"/>
      <c r="W358" s="36"/>
      <c r="X358" s="36"/>
      <c r="Y358" s="36"/>
      <c r="Z358" s="36"/>
      <c r="AA358" s="36"/>
      <c r="AB358" s="36"/>
      <c r="AC358" s="36"/>
    </row>
    <row r="359" spans="1:29" ht="12" customHeight="1">
      <c r="A359" s="81"/>
      <c r="B359" s="94"/>
      <c r="C359" s="81"/>
      <c r="D359" s="81"/>
      <c r="E359" s="80"/>
      <c r="F359" s="620"/>
      <c r="G359" s="620"/>
      <c r="H359" s="81"/>
      <c r="I359" s="81"/>
      <c r="J359" s="35"/>
      <c r="K359" s="36"/>
      <c r="L359" s="36"/>
      <c r="M359" s="36"/>
      <c r="N359" s="36"/>
      <c r="O359" s="36"/>
      <c r="P359" s="36"/>
      <c r="Q359" s="36"/>
      <c r="R359" s="36"/>
      <c r="S359" s="36"/>
      <c r="T359" s="36"/>
      <c r="U359" s="36"/>
      <c r="V359" s="36"/>
      <c r="W359" s="36"/>
      <c r="X359" s="36"/>
      <c r="Y359" s="36"/>
      <c r="Z359" s="36"/>
      <c r="AA359" s="36"/>
      <c r="AB359" s="36"/>
      <c r="AC359" s="36"/>
    </row>
    <row r="360" spans="1:29" ht="24" customHeight="1">
      <c r="A360" s="81"/>
      <c r="B360" s="94"/>
      <c r="C360" s="81"/>
      <c r="D360" s="81"/>
      <c r="E360" s="80"/>
      <c r="F360" s="620"/>
      <c r="G360" s="620"/>
      <c r="H360" s="81"/>
      <c r="I360" s="81"/>
      <c r="J360" s="35"/>
      <c r="K360" s="36"/>
      <c r="L360" s="36"/>
      <c r="M360" s="36"/>
      <c r="N360" s="36"/>
      <c r="O360" s="36"/>
      <c r="P360" s="36"/>
      <c r="Q360" s="36"/>
      <c r="R360" s="36"/>
      <c r="S360" s="36"/>
      <c r="T360" s="36"/>
      <c r="U360" s="36"/>
      <c r="V360" s="36"/>
      <c r="W360" s="36"/>
      <c r="X360" s="36"/>
      <c r="Y360" s="36"/>
      <c r="Z360" s="36"/>
      <c r="AA360" s="36"/>
      <c r="AB360" s="36"/>
      <c r="AC360" s="36"/>
    </row>
    <row r="361" spans="1:29" ht="24" customHeight="1">
      <c r="A361" s="81"/>
      <c r="B361" s="94"/>
      <c r="C361" s="81"/>
      <c r="D361" s="81"/>
      <c r="E361" s="80"/>
      <c r="F361" s="620"/>
      <c r="G361" s="620"/>
      <c r="H361" s="81"/>
      <c r="I361" s="81"/>
      <c r="J361" s="35"/>
      <c r="K361" s="36"/>
      <c r="L361" s="36"/>
      <c r="M361" s="36"/>
      <c r="N361" s="36"/>
      <c r="O361" s="36"/>
      <c r="P361" s="36"/>
      <c r="Q361" s="36"/>
      <c r="R361" s="36"/>
      <c r="S361" s="36"/>
      <c r="T361" s="36"/>
      <c r="U361" s="36"/>
      <c r="V361" s="36"/>
      <c r="W361" s="36"/>
      <c r="X361" s="36"/>
      <c r="Y361" s="36"/>
      <c r="Z361" s="36"/>
      <c r="AA361" s="36"/>
      <c r="AB361" s="36"/>
      <c r="AC361" s="36"/>
    </row>
    <row r="362" spans="1:29" ht="12" customHeight="1">
      <c r="A362" s="81"/>
      <c r="B362" s="94"/>
      <c r="C362" s="81"/>
      <c r="D362" s="81"/>
      <c r="E362" s="80"/>
      <c r="F362" s="620"/>
      <c r="G362" s="620"/>
      <c r="H362" s="81"/>
      <c r="I362" s="81"/>
      <c r="J362" s="35"/>
      <c r="K362" s="36"/>
      <c r="L362" s="36"/>
      <c r="M362" s="36"/>
      <c r="N362" s="36"/>
      <c r="O362" s="36"/>
      <c r="P362" s="36"/>
      <c r="Q362" s="36"/>
      <c r="R362" s="36"/>
      <c r="S362" s="36"/>
      <c r="T362" s="36"/>
      <c r="U362" s="36"/>
      <c r="V362" s="36"/>
      <c r="W362" s="36"/>
      <c r="X362" s="36"/>
      <c r="Y362" s="36"/>
      <c r="Z362" s="36"/>
      <c r="AA362" s="36"/>
      <c r="AB362" s="36"/>
      <c r="AC362" s="36"/>
    </row>
    <row r="363" spans="1:29" ht="36" customHeight="1">
      <c r="A363" s="81"/>
      <c r="B363" s="94"/>
      <c r="C363" s="81"/>
      <c r="D363" s="81"/>
      <c r="E363" s="80"/>
      <c r="F363" s="620"/>
      <c r="G363" s="620"/>
      <c r="H363" s="81"/>
      <c r="I363" s="81"/>
      <c r="J363" s="35"/>
      <c r="K363" s="36"/>
      <c r="L363" s="36"/>
      <c r="M363" s="36"/>
      <c r="N363" s="36"/>
      <c r="O363" s="36"/>
      <c r="P363" s="36"/>
      <c r="Q363" s="36"/>
      <c r="R363" s="36"/>
      <c r="S363" s="36"/>
      <c r="T363" s="36"/>
      <c r="U363" s="36"/>
      <c r="V363" s="36"/>
      <c r="W363" s="36"/>
      <c r="X363" s="36"/>
      <c r="Y363" s="36"/>
      <c r="Z363" s="36"/>
      <c r="AA363" s="36"/>
      <c r="AB363" s="36"/>
      <c r="AC363" s="36"/>
    </row>
    <row r="364" spans="1:29" ht="24" customHeight="1">
      <c r="A364" s="81"/>
      <c r="B364" s="94"/>
      <c r="C364" s="81"/>
      <c r="D364" s="81"/>
      <c r="E364" s="80"/>
      <c r="F364" s="620"/>
      <c r="G364" s="620"/>
      <c r="H364" s="81"/>
      <c r="I364" s="81"/>
      <c r="J364" s="35"/>
      <c r="K364" s="36"/>
      <c r="L364" s="36"/>
      <c r="M364" s="36"/>
      <c r="N364" s="36"/>
      <c r="O364" s="36"/>
      <c r="P364" s="36"/>
      <c r="Q364" s="36"/>
      <c r="R364" s="36"/>
      <c r="S364" s="36"/>
      <c r="T364" s="36"/>
      <c r="U364" s="36"/>
      <c r="V364" s="36"/>
      <c r="W364" s="36"/>
      <c r="X364" s="36"/>
      <c r="Y364" s="36"/>
      <c r="Z364" s="36"/>
      <c r="AA364" s="36"/>
      <c r="AB364" s="36"/>
      <c r="AC364" s="36"/>
    </row>
    <row r="365" spans="1:29" ht="12" customHeight="1">
      <c r="A365" s="81"/>
      <c r="B365" s="94"/>
      <c r="C365" s="81"/>
      <c r="D365" s="81"/>
      <c r="E365" s="80"/>
      <c r="F365" s="620"/>
      <c r="G365" s="620"/>
      <c r="H365" s="81"/>
      <c r="I365" s="81"/>
      <c r="J365" s="35"/>
      <c r="K365" s="36"/>
      <c r="L365" s="36"/>
      <c r="M365" s="36"/>
      <c r="N365" s="36"/>
      <c r="O365" s="36"/>
      <c r="P365" s="36"/>
      <c r="Q365" s="36"/>
      <c r="R365" s="36"/>
      <c r="S365" s="36"/>
      <c r="T365" s="36"/>
      <c r="U365" s="36"/>
      <c r="V365" s="36"/>
      <c r="W365" s="36"/>
      <c r="X365" s="36"/>
      <c r="Y365" s="36"/>
      <c r="Z365" s="36"/>
      <c r="AA365" s="36"/>
      <c r="AB365" s="36"/>
      <c r="AC365" s="36"/>
    </row>
    <row r="366" spans="1:29" ht="48" customHeight="1">
      <c r="A366" s="81"/>
      <c r="B366" s="94"/>
      <c r="C366" s="94"/>
      <c r="D366" s="94"/>
      <c r="E366" s="80"/>
      <c r="F366" s="620"/>
      <c r="G366" s="620"/>
      <c r="H366" s="81"/>
      <c r="I366" s="81"/>
      <c r="J366" s="35"/>
      <c r="K366" s="36"/>
      <c r="L366" s="36"/>
      <c r="M366" s="36"/>
      <c r="N366" s="36"/>
      <c r="O366" s="36"/>
      <c r="P366" s="36"/>
      <c r="Q366" s="36"/>
      <c r="R366" s="36"/>
      <c r="S366" s="36"/>
      <c r="T366" s="36"/>
      <c r="U366" s="36"/>
      <c r="V366" s="36"/>
      <c r="W366" s="36"/>
      <c r="X366" s="36"/>
      <c r="Y366" s="36"/>
      <c r="Z366" s="36"/>
      <c r="AA366" s="36"/>
      <c r="AB366" s="36"/>
      <c r="AC366" s="36"/>
    </row>
    <row r="367" spans="1:29" ht="101.25" customHeight="1">
      <c r="A367" s="81"/>
      <c r="B367" s="94"/>
      <c r="C367" s="81"/>
      <c r="D367" s="81"/>
      <c r="E367" s="80"/>
      <c r="F367" s="620"/>
      <c r="G367" s="620"/>
      <c r="H367" s="94"/>
      <c r="I367" s="81"/>
      <c r="J367" s="35"/>
      <c r="K367" s="36"/>
      <c r="L367" s="36"/>
      <c r="M367" s="36"/>
      <c r="N367" s="36"/>
      <c r="O367" s="36"/>
      <c r="P367" s="36"/>
      <c r="Q367" s="36"/>
      <c r="R367" s="36"/>
      <c r="S367" s="36"/>
      <c r="T367" s="36"/>
      <c r="U367" s="36"/>
      <c r="V367" s="36"/>
      <c r="W367" s="36"/>
      <c r="X367" s="36"/>
      <c r="Y367" s="36"/>
      <c r="Z367" s="36"/>
      <c r="AA367" s="36"/>
      <c r="AB367" s="36"/>
      <c r="AC367" s="36"/>
    </row>
    <row r="368" spans="1:29" ht="108" customHeight="1">
      <c r="A368" s="624"/>
      <c r="B368" s="94"/>
      <c r="C368" s="81"/>
      <c r="D368" s="81"/>
      <c r="E368" s="80"/>
      <c r="F368" s="620"/>
      <c r="G368" s="620"/>
      <c r="H368" s="81"/>
      <c r="I368" s="81"/>
      <c r="J368" s="35"/>
      <c r="K368" s="36"/>
      <c r="L368" s="36"/>
      <c r="M368" s="36"/>
      <c r="N368" s="36"/>
      <c r="O368" s="36"/>
      <c r="P368" s="36"/>
      <c r="Q368" s="36"/>
      <c r="R368" s="36"/>
      <c r="S368" s="36"/>
      <c r="T368" s="36"/>
      <c r="U368" s="36"/>
      <c r="V368" s="36"/>
      <c r="W368" s="36"/>
      <c r="X368" s="36"/>
      <c r="Y368" s="36"/>
      <c r="Z368" s="36"/>
      <c r="AA368" s="36"/>
      <c r="AB368" s="36"/>
      <c r="AC368" s="36"/>
    </row>
    <row r="369" spans="1:29" ht="48" customHeight="1">
      <c r="A369" s="624"/>
      <c r="B369" s="94"/>
      <c r="C369" s="81"/>
      <c r="D369" s="81"/>
      <c r="E369" s="80"/>
      <c r="F369" s="620"/>
      <c r="G369" s="620"/>
      <c r="H369" s="81"/>
      <c r="I369" s="81"/>
      <c r="J369" s="35"/>
      <c r="K369" s="36"/>
      <c r="L369" s="36"/>
      <c r="M369" s="36"/>
      <c r="N369" s="36"/>
      <c r="O369" s="36"/>
      <c r="P369" s="36"/>
      <c r="Q369" s="36"/>
      <c r="R369" s="36"/>
      <c r="S369" s="36"/>
      <c r="T369" s="36"/>
      <c r="U369" s="36"/>
      <c r="V369" s="36"/>
      <c r="W369" s="36"/>
      <c r="X369" s="36"/>
      <c r="Y369" s="36"/>
      <c r="Z369" s="36"/>
      <c r="AA369" s="36"/>
      <c r="AB369" s="36"/>
      <c r="AC369" s="36"/>
    </row>
    <row r="370" spans="1:29" ht="36" customHeight="1">
      <c r="A370" s="624"/>
      <c r="B370" s="94"/>
      <c r="C370" s="81"/>
      <c r="D370" s="81"/>
      <c r="E370" s="80"/>
      <c r="F370" s="620"/>
      <c r="G370" s="620"/>
      <c r="H370" s="81"/>
      <c r="I370" s="81"/>
      <c r="J370" s="35"/>
      <c r="K370" s="36"/>
      <c r="L370" s="36"/>
      <c r="M370" s="36"/>
      <c r="N370" s="36"/>
      <c r="O370" s="36"/>
      <c r="P370" s="36"/>
      <c r="Q370" s="36"/>
      <c r="R370" s="36"/>
      <c r="S370" s="36"/>
      <c r="T370" s="36"/>
      <c r="U370" s="36"/>
      <c r="V370" s="36"/>
      <c r="W370" s="36"/>
      <c r="X370" s="36"/>
      <c r="Y370" s="36"/>
      <c r="Z370" s="36"/>
      <c r="AA370" s="36"/>
      <c r="AB370" s="36"/>
      <c r="AC370" s="36"/>
    </row>
    <row r="371" spans="1:29" ht="240" customHeight="1">
      <c r="A371" s="624"/>
      <c r="B371" s="94"/>
      <c r="C371" s="81"/>
      <c r="D371" s="81"/>
      <c r="E371" s="80"/>
      <c r="F371" s="620"/>
      <c r="G371" s="620"/>
      <c r="H371" s="81"/>
      <c r="I371" s="81"/>
      <c r="J371" s="35"/>
      <c r="K371" s="36"/>
      <c r="L371" s="36"/>
      <c r="M371" s="36"/>
      <c r="N371" s="36"/>
      <c r="O371" s="36"/>
      <c r="P371" s="36"/>
      <c r="Q371" s="36"/>
      <c r="R371" s="36"/>
      <c r="S371" s="36"/>
      <c r="T371" s="36"/>
      <c r="U371" s="36"/>
      <c r="V371" s="36"/>
      <c r="W371" s="36"/>
      <c r="X371" s="36"/>
      <c r="Y371" s="36"/>
      <c r="Z371" s="36"/>
      <c r="AA371" s="36"/>
      <c r="AB371" s="36"/>
      <c r="AC371" s="36"/>
    </row>
    <row r="372" spans="1:29" ht="36" customHeight="1">
      <c r="A372" s="624"/>
      <c r="B372" s="94"/>
      <c r="C372" s="81"/>
      <c r="D372" s="81"/>
      <c r="E372" s="80"/>
      <c r="F372" s="620"/>
      <c r="G372" s="620"/>
      <c r="H372" s="81"/>
      <c r="I372" s="81"/>
      <c r="J372" s="35"/>
      <c r="K372" s="36"/>
      <c r="L372" s="36"/>
      <c r="M372" s="36"/>
      <c r="N372" s="36"/>
      <c r="O372" s="36"/>
      <c r="P372" s="36"/>
      <c r="Q372" s="36"/>
      <c r="R372" s="36"/>
      <c r="S372" s="36"/>
      <c r="T372" s="36"/>
      <c r="U372" s="36"/>
      <c r="V372" s="36"/>
      <c r="W372" s="36"/>
      <c r="X372" s="36"/>
      <c r="Y372" s="36"/>
      <c r="Z372" s="36"/>
      <c r="AA372" s="36"/>
      <c r="AB372" s="36"/>
      <c r="AC372" s="36"/>
    </row>
    <row r="373" spans="1:29" ht="108" customHeight="1">
      <c r="A373" s="624"/>
      <c r="B373" s="94"/>
      <c r="C373" s="81"/>
      <c r="D373" s="81"/>
      <c r="E373" s="80"/>
      <c r="F373" s="620"/>
      <c r="G373" s="620"/>
      <c r="H373" s="81"/>
      <c r="I373" s="81"/>
      <c r="J373" s="35"/>
      <c r="K373" s="36"/>
      <c r="L373" s="36"/>
      <c r="M373" s="36"/>
      <c r="N373" s="36"/>
      <c r="O373" s="36"/>
      <c r="P373" s="36"/>
      <c r="Q373" s="36"/>
      <c r="R373" s="36"/>
      <c r="S373" s="36"/>
      <c r="T373" s="36"/>
      <c r="U373" s="36"/>
      <c r="V373" s="36"/>
      <c r="W373" s="36"/>
      <c r="X373" s="36"/>
      <c r="Y373" s="36"/>
      <c r="Z373" s="36"/>
      <c r="AA373" s="36"/>
      <c r="AB373" s="36"/>
      <c r="AC373" s="36"/>
    </row>
    <row r="374" spans="1:29" ht="178.5" customHeight="1">
      <c r="A374" s="624"/>
      <c r="B374" s="94"/>
      <c r="C374" s="81"/>
      <c r="D374" s="81"/>
      <c r="E374" s="80"/>
      <c r="F374" s="620"/>
      <c r="G374" s="620"/>
      <c r="H374" s="81"/>
      <c r="I374" s="81"/>
      <c r="J374" s="35"/>
      <c r="K374" s="36"/>
      <c r="L374" s="36"/>
      <c r="M374" s="36"/>
      <c r="N374" s="36"/>
      <c r="O374" s="36"/>
      <c r="P374" s="36"/>
      <c r="Q374" s="36"/>
      <c r="R374" s="36"/>
      <c r="S374" s="36"/>
      <c r="T374" s="36"/>
      <c r="U374" s="36"/>
      <c r="V374" s="36"/>
      <c r="W374" s="36"/>
      <c r="X374" s="36"/>
      <c r="Y374" s="36"/>
      <c r="Z374" s="36"/>
      <c r="AA374" s="36"/>
      <c r="AB374" s="36"/>
      <c r="AC374" s="36"/>
    </row>
    <row r="375" spans="1:29" ht="78.75" customHeight="1">
      <c r="A375" s="624"/>
      <c r="B375" s="94"/>
      <c r="C375" s="81"/>
      <c r="D375" s="81"/>
      <c r="E375" s="80"/>
      <c r="F375" s="620"/>
      <c r="G375" s="620"/>
      <c r="H375" s="81"/>
      <c r="I375" s="81"/>
      <c r="J375" s="35"/>
      <c r="K375" s="36"/>
      <c r="L375" s="36"/>
      <c r="M375" s="36"/>
      <c r="N375" s="36"/>
      <c r="O375" s="36"/>
      <c r="P375" s="36"/>
      <c r="Q375" s="36"/>
      <c r="R375" s="36"/>
      <c r="S375" s="36"/>
      <c r="T375" s="36"/>
      <c r="U375" s="36"/>
      <c r="V375" s="36"/>
      <c r="W375" s="36"/>
      <c r="X375" s="36"/>
      <c r="Y375" s="36"/>
      <c r="Z375" s="36"/>
      <c r="AA375" s="36"/>
      <c r="AB375" s="36"/>
      <c r="AC375" s="36"/>
    </row>
    <row r="376" spans="1:29" ht="65.25" customHeight="1">
      <c r="A376" s="624"/>
      <c r="B376" s="94"/>
      <c r="C376" s="81"/>
      <c r="D376" s="81"/>
      <c r="E376" s="80"/>
      <c r="F376" s="620"/>
      <c r="G376" s="620"/>
      <c r="H376" s="81"/>
      <c r="I376" s="81"/>
      <c r="J376" s="35"/>
      <c r="K376" s="36"/>
      <c r="L376" s="36"/>
      <c r="M376" s="36"/>
      <c r="N376" s="36"/>
      <c r="O376" s="36"/>
      <c r="P376" s="36"/>
      <c r="Q376" s="36"/>
      <c r="R376" s="36"/>
      <c r="S376" s="36"/>
      <c r="T376" s="36"/>
      <c r="U376" s="36"/>
      <c r="V376" s="36"/>
      <c r="W376" s="36"/>
      <c r="X376" s="36"/>
      <c r="Y376" s="36"/>
      <c r="Z376" s="36"/>
      <c r="AA376" s="36"/>
      <c r="AB376" s="36"/>
      <c r="AC376" s="36"/>
    </row>
    <row r="377" spans="1:29" ht="180" customHeight="1">
      <c r="A377" s="81"/>
      <c r="B377" s="94"/>
      <c r="C377" s="81"/>
      <c r="D377" s="81"/>
      <c r="E377" s="80"/>
      <c r="F377" s="620"/>
      <c r="G377" s="620"/>
      <c r="H377" s="81"/>
      <c r="I377" s="81"/>
      <c r="J377" s="35"/>
      <c r="K377" s="36"/>
      <c r="L377" s="36"/>
      <c r="M377" s="36"/>
      <c r="N377" s="36"/>
      <c r="O377" s="36"/>
      <c r="P377" s="36"/>
      <c r="Q377" s="36"/>
      <c r="R377" s="36"/>
      <c r="S377" s="36"/>
      <c r="T377" s="36"/>
      <c r="U377" s="36"/>
      <c r="V377" s="36"/>
      <c r="W377" s="36"/>
      <c r="X377" s="36"/>
      <c r="Y377" s="36"/>
      <c r="Z377" s="36"/>
      <c r="AA377" s="36"/>
      <c r="AB377" s="36"/>
      <c r="AC377" s="36"/>
    </row>
    <row r="378" spans="1:29" ht="24" customHeight="1">
      <c r="A378" s="81"/>
      <c r="B378" s="94"/>
      <c r="C378" s="81"/>
      <c r="D378" s="81"/>
      <c r="E378" s="80"/>
      <c r="F378" s="620"/>
      <c r="G378" s="620"/>
      <c r="H378" s="81"/>
      <c r="I378" s="81"/>
      <c r="J378" s="35"/>
      <c r="K378" s="36"/>
      <c r="L378" s="36"/>
      <c r="M378" s="36"/>
      <c r="N378" s="36"/>
      <c r="O378" s="36"/>
      <c r="P378" s="36"/>
      <c r="Q378" s="36"/>
      <c r="R378" s="36"/>
      <c r="S378" s="36"/>
      <c r="T378" s="36"/>
      <c r="U378" s="36"/>
      <c r="V378" s="36"/>
      <c r="W378" s="36"/>
      <c r="X378" s="36"/>
      <c r="Y378" s="36"/>
      <c r="Z378" s="36"/>
      <c r="AA378" s="36"/>
      <c r="AB378" s="36"/>
      <c r="AC378" s="36"/>
    </row>
    <row r="379" spans="1:29" ht="24" customHeight="1">
      <c r="A379" s="81"/>
      <c r="B379" s="94"/>
      <c r="C379" s="81"/>
      <c r="D379" s="81"/>
      <c r="E379" s="80"/>
      <c r="F379" s="620"/>
      <c r="G379" s="620"/>
      <c r="H379" s="81"/>
      <c r="I379" s="81"/>
      <c r="J379" s="35"/>
      <c r="K379" s="36"/>
      <c r="L379" s="36"/>
      <c r="M379" s="36"/>
      <c r="N379" s="36"/>
      <c r="O379" s="36"/>
      <c r="P379" s="36"/>
      <c r="Q379" s="36"/>
      <c r="R379" s="36"/>
      <c r="S379" s="36"/>
      <c r="T379" s="36"/>
      <c r="U379" s="36"/>
      <c r="V379" s="36"/>
      <c r="W379" s="36"/>
      <c r="X379" s="36"/>
      <c r="Y379" s="36"/>
      <c r="Z379" s="36"/>
      <c r="AA379" s="36"/>
      <c r="AB379" s="36"/>
      <c r="AC379" s="36"/>
    </row>
    <row r="380" spans="1:29" ht="24" customHeight="1">
      <c r="A380" s="81"/>
      <c r="B380" s="94"/>
      <c r="C380" s="81"/>
      <c r="D380" s="81"/>
      <c r="E380" s="80"/>
      <c r="F380" s="620"/>
      <c r="G380" s="620"/>
      <c r="H380" s="81"/>
      <c r="I380" s="81"/>
      <c r="J380" s="35"/>
      <c r="K380" s="36"/>
      <c r="L380" s="36"/>
      <c r="M380" s="36"/>
      <c r="N380" s="36"/>
      <c r="O380" s="36"/>
      <c r="P380" s="36"/>
      <c r="Q380" s="36"/>
      <c r="R380" s="36"/>
      <c r="S380" s="36"/>
      <c r="T380" s="36"/>
      <c r="U380" s="36"/>
      <c r="V380" s="36"/>
      <c r="W380" s="36"/>
      <c r="X380" s="36"/>
      <c r="Y380" s="36"/>
      <c r="Z380" s="36"/>
      <c r="AA380" s="36"/>
      <c r="AB380" s="36"/>
      <c r="AC380" s="36"/>
    </row>
    <row r="381" spans="1:29" ht="36" customHeight="1">
      <c r="A381" s="81"/>
      <c r="B381" s="94"/>
      <c r="C381" s="81"/>
      <c r="D381" s="81"/>
      <c r="E381" s="80"/>
      <c r="F381" s="620"/>
      <c r="G381" s="620"/>
      <c r="H381" s="81"/>
      <c r="I381" s="81"/>
      <c r="J381" s="35"/>
      <c r="K381" s="36"/>
      <c r="L381" s="36"/>
      <c r="M381" s="36"/>
      <c r="N381" s="36"/>
      <c r="O381" s="36"/>
      <c r="P381" s="36"/>
      <c r="Q381" s="36"/>
      <c r="R381" s="36"/>
      <c r="S381" s="36"/>
      <c r="T381" s="36"/>
      <c r="U381" s="36"/>
      <c r="V381" s="36"/>
      <c r="W381" s="36"/>
      <c r="X381" s="36"/>
      <c r="Y381" s="36"/>
      <c r="Z381" s="36"/>
      <c r="AA381" s="36"/>
      <c r="AB381" s="36"/>
      <c r="AC381" s="36"/>
    </row>
    <row r="382" spans="1:29" ht="24" customHeight="1">
      <c r="A382" s="81"/>
      <c r="B382" s="94"/>
      <c r="C382" s="81"/>
      <c r="D382" s="81"/>
      <c r="E382" s="80"/>
      <c r="F382" s="620"/>
      <c r="G382" s="620"/>
      <c r="H382" s="81"/>
      <c r="I382" s="81"/>
      <c r="J382" s="35"/>
      <c r="K382" s="36"/>
      <c r="L382" s="36"/>
      <c r="M382" s="36"/>
      <c r="N382" s="36"/>
      <c r="O382" s="36"/>
      <c r="P382" s="36"/>
      <c r="Q382" s="36"/>
      <c r="R382" s="36"/>
      <c r="S382" s="36"/>
      <c r="T382" s="36"/>
      <c r="U382" s="36"/>
      <c r="V382" s="36"/>
      <c r="W382" s="36"/>
      <c r="X382" s="36"/>
      <c r="Y382" s="36"/>
      <c r="Z382" s="36"/>
      <c r="AA382" s="36"/>
      <c r="AB382" s="36"/>
      <c r="AC382" s="36"/>
    </row>
    <row r="383" spans="1:29" ht="36" customHeight="1">
      <c r="A383" s="81"/>
      <c r="B383" s="94"/>
      <c r="C383" s="81"/>
      <c r="D383" s="81"/>
      <c r="E383" s="80"/>
      <c r="F383" s="620"/>
      <c r="G383" s="620"/>
      <c r="H383" s="81"/>
      <c r="I383" s="81"/>
      <c r="J383" s="35"/>
      <c r="K383" s="36"/>
      <c r="L383" s="36"/>
      <c r="M383" s="36"/>
      <c r="N383" s="36"/>
      <c r="O383" s="36"/>
      <c r="P383" s="36"/>
      <c r="Q383" s="36"/>
      <c r="R383" s="36"/>
      <c r="S383" s="36"/>
      <c r="T383" s="36"/>
      <c r="U383" s="36"/>
      <c r="V383" s="36"/>
      <c r="W383" s="36"/>
      <c r="X383" s="36"/>
      <c r="Y383" s="36"/>
      <c r="Z383" s="36"/>
      <c r="AA383" s="36"/>
      <c r="AB383" s="36"/>
      <c r="AC383" s="36"/>
    </row>
    <row r="384" spans="1:29" ht="48" customHeight="1">
      <c r="A384" s="81"/>
      <c r="B384" s="94"/>
      <c r="C384" s="81"/>
      <c r="D384" s="81"/>
      <c r="E384" s="80"/>
      <c r="F384" s="620"/>
      <c r="G384" s="620"/>
      <c r="H384" s="81"/>
      <c r="I384" s="81"/>
      <c r="J384" s="35"/>
      <c r="K384" s="36"/>
      <c r="L384" s="36"/>
      <c r="M384" s="36"/>
      <c r="N384" s="36"/>
      <c r="O384" s="36"/>
      <c r="P384" s="36"/>
      <c r="Q384" s="36"/>
      <c r="R384" s="36"/>
      <c r="S384" s="36"/>
      <c r="T384" s="36"/>
      <c r="U384" s="36"/>
      <c r="V384" s="36"/>
      <c r="W384" s="36"/>
      <c r="X384" s="36"/>
      <c r="Y384" s="36"/>
      <c r="Z384" s="36"/>
      <c r="AA384" s="36"/>
      <c r="AB384" s="36"/>
      <c r="AC384" s="36"/>
    </row>
    <row r="385" spans="1:29" ht="36" customHeight="1">
      <c r="A385" s="81"/>
      <c r="B385" s="94"/>
      <c r="C385" s="81"/>
      <c r="D385" s="81"/>
      <c r="E385" s="80"/>
      <c r="F385" s="620"/>
      <c r="G385" s="620"/>
      <c r="H385" s="81"/>
      <c r="I385" s="81"/>
      <c r="J385" s="35"/>
      <c r="K385" s="36"/>
      <c r="L385" s="36"/>
      <c r="M385" s="36"/>
      <c r="N385" s="36"/>
      <c r="O385" s="36"/>
      <c r="P385" s="36"/>
      <c r="Q385" s="36"/>
      <c r="R385" s="36"/>
      <c r="S385" s="36"/>
      <c r="T385" s="36"/>
      <c r="U385" s="36"/>
      <c r="V385" s="36"/>
      <c r="W385" s="36"/>
      <c r="X385" s="36"/>
      <c r="Y385" s="36"/>
      <c r="Z385" s="36"/>
      <c r="AA385" s="36"/>
      <c r="AB385" s="36"/>
      <c r="AC385" s="36"/>
    </row>
    <row r="386" spans="1:29" ht="24" customHeight="1">
      <c r="A386" s="81"/>
      <c r="B386" s="94"/>
      <c r="C386" s="81"/>
      <c r="D386" s="81"/>
      <c r="E386" s="80"/>
      <c r="F386" s="620"/>
      <c r="G386" s="620"/>
      <c r="H386" s="81"/>
      <c r="I386" s="81"/>
      <c r="J386" s="35"/>
      <c r="K386" s="36"/>
      <c r="L386" s="36"/>
      <c r="M386" s="36"/>
      <c r="N386" s="36"/>
      <c r="O386" s="36"/>
      <c r="P386" s="36"/>
      <c r="Q386" s="36"/>
      <c r="R386" s="36"/>
      <c r="S386" s="36"/>
      <c r="T386" s="36"/>
      <c r="U386" s="36"/>
      <c r="V386" s="36"/>
      <c r="W386" s="36"/>
      <c r="X386" s="36"/>
      <c r="Y386" s="36"/>
      <c r="Z386" s="36"/>
      <c r="AA386" s="36"/>
      <c r="AB386" s="36"/>
      <c r="AC386" s="36"/>
    </row>
    <row r="387" spans="1:29" ht="24" customHeight="1">
      <c r="A387" s="81"/>
      <c r="B387" s="94"/>
      <c r="C387" s="81"/>
      <c r="D387" s="81"/>
      <c r="E387" s="80"/>
      <c r="F387" s="620"/>
      <c r="G387" s="620"/>
      <c r="H387" s="81"/>
      <c r="I387" s="81"/>
      <c r="J387" s="35"/>
      <c r="K387" s="36"/>
      <c r="L387" s="36"/>
      <c r="M387" s="36"/>
      <c r="N387" s="36"/>
      <c r="O387" s="36"/>
      <c r="P387" s="36"/>
      <c r="Q387" s="36"/>
      <c r="R387" s="36"/>
      <c r="S387" s="36"/>
      <c r="T387" s="36"/>
      <c r="U387" s="36"/>
      <c r="V387" s="36"/>
      <c r="W387" s="36"/>
      <c r="X387" s="36"/>
      <c r="Y387" s="36"/>
      <c r="Z387" s="36"/>
      <c r="AA387" s="36"/>
      <c r="AB387" s="36"/>
      <c r="AC387" s="36"/>
    </row>
    <row r="388" spans="1:29" ht="24" customHeight="1">
      <c r="A388" s="81"/>
      <c r="B388" s="94"/>
      <c r="C388" s="81"/>
      <c r="D388" s="81"/>
      <c r="E388" s="80"/>
      <c r="F388" s="620"/>
      <c r="G388" s="620"/>
      <c r="H388" s="81"/>
      <c r="I388" s="81"/>
      <c r="J388" s="35"/>
      <c r="K388" s="36"/>
      <c r="L388" s="36"/>
      <c r="M388" s="36"/>
      <c r="N388" s="36"/>
      <c r="O388" s="36"/>
      <c r="P388" s="36"/>
      <c r="Q388" s="36"/>
      <c r="R388" s="36"/>
      <c r="S388" s="36"/>
      <c r="T388" s="36"/>
      <c r="U388" s="36"/>
      <c r="V388" s="36"/>
      <c r="W388" s="36"/>
      <c r="X388" s="36"/>
      <c r="Y388" s="36"/>
      <c r="Z388" s="36"/>
      <c r="AA388" s="36"/>
      <c r="AB388" s="36"/>
      <c r="AC388" s="36"/>
    </row>
    <row r="389" spans="1:29" ht="24" customHeight="1">
      <c r="A389" s="81"/>
      <c r="B389" s="94"/>
      <c r="C389" s="81"/>
      <c r="D389" s="81"/>
      <c r="E389" s="80"/>
      <c r="F389" s="620"/>
      <c r="G389" s="620"/>
      <c r="H389" s="81"/>
      <c r="I389" s="81"/>
      <c r="J389" s="35"/>
      <c r="K389" s="36"/>
      <c r="L389" s="36"/>
      <c r="M389" s="36"/>
      <c r="N389" s="36"/>
      <c r="O389" s="36"/>
      <c r="P389" s="36"/>
      <c r="Q389" s="36"/>
      <c r="R389" s="36"/>
      <c r="S389" s="36"/>
      <c r="T389" s="36"/>
      <c r="U389" s="36"/>
      <c r="V389" s="36"/>
      <c r="W389" s="36"/>
      <c r="X389" s="36"/>
      <c r="Y389" s="36"/>
      <c r="Z389" s="36"/>
      <c r="AA389" s="36"/>
      <c r="AB389" s="36"/>
      <c r="AC389" s="36"/>
    </row>
    <row r="390" spans="1:29" ht="24" customHeight="1">
      <c r="A390" s="81"/>
      <c r="B390" s="94"/>
      <c r="C390" s="81"/>
      <c r="D390" s="81"/>
      <c r="E390" s="80"/>
      <c r="F390" s="620"/>
      <c r="G390" s="620"/>
      <c r="H390" s="81"/>
      <c r="I390" s="81"/>
      <c r="J390" s="35"/>
      <c r="K390" s="36"/>
      <c r="L390" s="36"/>
      <c r="M390" s="36"/>
      <c r="N390" s="36"/>
      <c r="O390" s="36"/>
      <c r="P390" s="36"/>
      <c r="Q390" s="36"/>
      <c r="R390" s="36"/>
      <c r="S390" s="36"/>
      <c r="T390" s="36"/>
      <c r="U390" s="36"/>
      <c r="V390" s="36"/>
      <c r="W390" s="36"/>
      <c r="X390" s="36"/>
      <c r="Y390" s="36"/>
      <c r="Z390" s="36"/>
      <c r="AA390" s="36"/>
      <c r="AB390" s="36"/>
      <c r="AC390" s="36"/>
    </row>
    <row r="391" spans="1:29" ht="24" customHeight="1">
      <c r="A391" s="81"/>
      <c r="B391" s="94"/>
      <c r="C391" s="81"/>
      <c r="D391" s="81"/>
      <c r="E391" s="80"/>
      <c r="F391" s="620"/>
      <c r="G391" s="620"/>
      <c r="H391" s="81"/>
      <c r="I391" s="81"/>
      <c r="J391" s="35"/>
      <c r="K391" s="36"/>
      <c r="L391" s="36"/>
      <c r="M391" s="36"/>
      <c r="N391" s="36"/>
      <c r="O391" s="36"/>
      <c r="P391" s="36"/>
      <c r="Q391" s="36"/>
      <c r="R391" s="36"/>
      <c r="S391" s="36"/>
      <c r="T391" s="36"/>
      <c r="U391" s="36"/>
      <c r="V391" s="36"/>
      <c r="W391" s="36"/>
      <c r="X391" s="36"/>
      <c r="Y391" s="36"/>
      <c r="Z391" s="36"/>
      <c r="AA391" s="36"/>
      <c r="AB391" s="36"/>
      <c r="AC391" s="36"/>
    </row>
    <row r="392" spans="1:29" ht="24" customHeight="1">
      <c r="A392" s="81"/>
      <c r="B392" s="94"/>
      <c r="C392" s="81"/>
      <c r="D392" s="81"/>
      <c r="E392" s="80"/>
      <c r="F392" s="620"/>
      <c r="G392" s="620"/>
      <c r="H392" s="81"/>
      <c r="I392" s="81"/>
      <c r="J392" s="35"/>
      <c r="K392" s="36"/>
      <c r="L392" s="36"/>
      <c r="M392" s="36"/>
      <c r="N392" s="36"/>
      <c r="O392" s="36"/>
      <c r="P392" s="36"/>
      <c r="Q392" s="36"/>
      <c r="R392" s="36"/>
      <c r="S392" s="36"/>
      <c r="T392" s="36"/>
      <c r="U392" s="36"/>
      <c r="V392" s="36"/>
      <c r="W392" s="36"/>
      <c r="X392" s="36"/>
      <c r="Y392" s="36"/>
      <c r="Z392" s="36"/>
      <c r="AA392" s="36"/>
      <c r="AB392" s="36"/>
      <c r="AC392" s="36"/>
    </row>
    <row r="393" spans="1:29" ht="48" customHeight="1">
      <c r="A393" s="81"/>
      <c r="B393" s="94"/>
      <c r="C393" s="81"/>
      <c r="D393" s="81"/>
      <c r="E393" s="80"/>
      <c r="F393" s="620"/>
      <c r="G393" s="620"/>
      <c r="H393" s="81"/>
      <c r="I393" s="81"/>
      <c r="J393" s="35"/>
      <c r="K393" s="36"/>
      <c r="L393" s="36"/>
      <c r="M393" s="36"/>
      <c r="N393" s="36"/>
      <c r="O393" s="36"/>
      <c r="P393" s="36"/>
      <c r="Q393" s="36"/>
      <c r="R393" s="36"/>
      <c r="S393" s="36"/>
      <c r="T393" s="36"/>
      <c r="U393" s="36"/>
      <c r="V393" s="36"/>
      <c r="W393" s="36"/>
      <c r="X393" s="36"/>
      <c r="Y393" s="36"/>
      <c r="Z393" s="36"/>
      <c r="AA393" s="36"/>
      <c r="AB393" s="36"/>
      <c r="AC393" s="36"/>
    </row>
    <row r="394" spans="1:29" ht="41.25" customHeight="1">
      <c r="A394" s="81"/>
      <c r="B394" s="94"/>
      <c r="C394" s="81"/>
      <c r="D394" s="81"/>
      <c r="E394" s="80"/>
      <c r="F394" s="620"/>
      <c r="G394" s="620"/>
      <c r="H394" s="81"/>
      <c r="I394" s="81"/>
      <c r="J394" s="35"/>
      <c r="K394" s="36"/>
      <c r="L394" s="36"/>
      <c r="M394" s="36"/>
      <c r="N394" s="36"/>
      <c r="O394" s="36"/>
      <c r="P394" s="36"/>
      <c r="Q394" s="36"/>
      <c r="R394" s="36"/>
      <c r="S394" s="36"/>
      <c r="T394" s="36"/>
      <c r="U394" s="36"/>
      <c r="V394" s="36"/>
      <c r="W394" s="36"/>
      <c r="X394" s="36"/>
      <c r="Y394" s="36"/>
      <c r="Z394" s="36"/>
      <c r="AA394" s="36"/>
      <c r="AB394" s="36"/>
      <c r="AC394" s="36"/>
    </row>
    <row r="395" spans="1:29" ht="36" customHeight="1">
      <c r="A395" s="81"/>
      <c r="B395" s="94"/>
      <c r="C395" s="81"/>
      <c r="D395" s="81"/>
      <c r="E395" s="80"/>
      <c r="F395" s="620"/>
      <c r="G395" s="620"/>
      <c r="H395" s="81"/>
      <c r="I395" s="81"/>
      <c r="J395" s="35"/>
      <c r="K395" s="36"/>
      <c r="L395" s="36"/>
      <c r="M395" s="36"/>
      <c r="N395" s="36"/>
      <c r="O395" s="36"/>
      <c r="P395" s="36"/>
      <c r="Q395" s="36"/>
      <c r="R395" s="36"/>
      <c r="S395" s="36"/>
      <c r="T395" s="36"/>
      <c r="U395" s="36"/>
      <c r="V395" s="36"/>
      <c r="W395" s="36"/>
      <c r="X395" s="36"/>
      <c r="Y395" s="36"/>
      <c r="Z395" s="36"/>
      <c r="AA395" s="36"/>
      <c r="AB395" s="36"/>
      <c r="AC395" s="36"/>
    </row>
    <row r="396" spans="1:29" ht="120" customHeight="1">
      <c r="A396" s="81"/>
      <c r="B396" s="94"/>
      <c r="C396" s="81"/>
      <c r="D396" s="81"/>
      <c r="E396" s="80"/>
      <c r="F396" s="620"/>
      <c r="G396" s="620"/>
      <c r="H396" s="81"/>
      <c r="I396" s="81"/>
      <c r="J396" s="35"/>
      <c r="K396" s="36"/>
      <c r="L396" s="36"/>
      <c r="M396" s="36"/>
      <c r="N396" s="36"/>
      <c r="O396" s="36"/>
      <c r="P396" s="36"/>
      <c r="Q396" s="36"/>
      <c r="R396" s="36"/>
      <c r="S396" s="36"/>
      <c r="T396" s="36"/>
      <c r="U396" s="36"/>
      <c r="V396" s="36"/>
      <c r="W396" s="36"/>
      <c r="X396" s="36"/>
      <c r="Y396" s="36"/>
      <c r="Z396" s="36"/>
      <c r="AA396" s="36"/>
      <c r="AB396" s="36"/>
      <c r="AC396" s="36"/>
    </row>
    <row r="397" spans="1:29" ht="125.25" customHeight="1">
      <c r="A397" s="81"/>
      <c r="B397" s="94"/>
      <c r="C397" s="81"/>
      <c r="D397" s="81"/>
      <c r="E397" s="80"/>
      <c r="F397" s="620"/>
      <c r="G397" s="620"/>
      <c r="H397" s="81"/>
      <c r="I397" s="81"/>
      <c r="J397" s="35"/>
      <c r="K397" s="36"/>
      <c r="L397" s="36"/>
      <c r="M397" s="36"/>
      <c r="N397" s="36"/>
      <c r="O397" s="36"/>
      <c r="P397" s="36"/>
      <c r="Q397" s="36"/>
      <c r="R397" s="36"/>
      <c r="S397" s="36"/>
      <c r="T397" s="36"/>
      <c r="U397" s="36"/>
      <c r="V397" s="36"/>
      <c r="W397" s="36"/>
      <c r="X397" s="36"/>
      <c r="Y397" s="36"/>
      <c r="Z397" s="36"/>
      <c r="AA397" s="36"/>
      <c r="AB397" s="36"/>
      <c r="AC397" s="36"/>
    </row>
    <row r="398" spans="1:29" ht="45.75" customHeight="1">
      <c r="A398" s="81"/>
      <c r="B398" s="94"/>
      <c r="C398" s="81"/>
      <c r="D398" s="81"/>
      <c r="E398" s="80"/>
      <c r="F398" s="620"/>
      <c r="G398" s="620"/>
      <c r="H398" s="81"/>
      <c r="I398" s="81"/>
      <c r="J398" s="35"/>
      <c r="K398" s="36"/>
      <c r="L398" s="36"/>
      <c r="M398" s="36"/>
      <c r="N398" s="36"/>
      <c r="O398" s="36"/>
      <c r="P398" s="36"/>
      <c r="Q398" s="36"/>
      <c r="R398" s="36"/>
      <c r="S398" s="36"/>
      <c r="T398" s="36"/>
      <c r="U398" s="36"/>
      <c r="V398" s="36"/>
      <c r="W398" s="36"/>
      <c r="X398" s="36"/>
      <c r="Y398" s="36"/>
      <c r="Z398" s="36"/>
      <c r="AA398" s="36"/>
      <c r="AB398" s="36"/>
      <c r="AC398" s="36"/>
    </row>
    <row r="399" spans="1:29" ht="55.5" customHeight="1">
      <c r="A399" s="81"/>
      <c r="B399" s="94"/>
      <c r="C399" s="81"/>
      <c r="D399" s="81"/>
      <c r="E399" s="80"/>
      <c r="F399" s="620"/>
      <c r="G399" s="620"/>
      <c r="H399" s="81"/>
      <c r="I399" s="81"/>
      <c r="J399" s="35"/>
      <c r="K399" s="36"/>
      <c r="L399" s="36"/>
      <c r="M399" s="36"/>
      <c r="N399" s="36"/>
      <c r="O399" s="36"/>
      <c r="P399" s="36"/>
      <c r="Q399" s="36"/>
      <c r="R399" s="36"/>
      <c r="S399" s="36"/>
      <c r="T399" s="36"/>
      <c r="U399" s="36"/>
      <c r="V399" s="36"/>
      <c r="W399" s="36"/>
      <c r="X399" s="36"/>
      <c r="Y399" s="36"/>
      <c r="Z399" s="36"/>
      <c r="AA399" s="36"/>
      <c r="AB399" s="36"/>
      <c r="AC399" s="36"/>
    </row>
    <row r="400" spans="1:29" ht="63.75" customHeight="1">
      <c r="A400" s="81"/>
      <c r="B400" s="94"/>
      <c r="C400" s="81"/>
      <c r="D400" s="81"/>
      <c r="E400" s="80"/>
      <c r="F400" s="620"/>
      <c r="G400" s="628"/>
      <c r="H400" s="95"/>
      <c r="I400" s="95"/>
      <c r="J400" s="35"/>
      <c r="K400" s="36"/>
      <c r="L400" s="36"/>
      <c r="M400" s="36"/>
      <c r="N400" s="36"/>
      <c r="O400" s="36"/>
      <c r="P400" s="36"/>
      <c r="Q400" s="36"/>
      <c r="R400" s="36"/>
      <c r="S400" s="36"/>
      <c r="T400" s="36"/>
      <c r="U400" s="36"/>
      <c r="V400" s="36"/>
      <c r="W400" s="36"/>
      <c r="X400" s="36"/>
      <c r="Y400" s="36"/>
      <c r="Z400" s="36"/>
      <c r="AA400" s="36"/>
      <c r="AB400" s="36"/>
      <c r="AC400" s="36"/>
    </row>
    <row r="401" spans="1:29" ht="77.25" customHeight="1">
      <c r="A401" s="81"/>
      <c r="B401" s="94"/>
      <c r="C401" s="81"/>
      <c r="D401" s="81"/>
      <c r="E401" s="80"/>
      <c r="F401" s="620"/>
      <c r="G401" s="620"/>
      <c r="H401" s="81"/>
      <c r="I401" s="81"/>
      <c r="J401" s="35"/>
      <c r="K401" s="36"/>
      <c r="L401" s="36"/>
      <c r="M401" s="36"/>
      <c r="N401" s="36"/>
      <c r="O401" s="36"/>
      <c r="P401" s="36"/>
      <c r="Q401" s="36"/>
      <c r="R401" s="36"/>
      <c r="S401" s="36"/>
      <c r="T401" s="36"/>
      <c r="U401" s="36"/>
      <c r="V401" s="36"/>
      <c r="W401" s="36"/>
      <c r="X401" s="36"/>
      <c r="Y401" s="36"/>
      <c r="Z401" s="36"/>
      <c r="AA401" s="36"/>
      <c r="AB401" s="36"/>
      <c r="AC401" s="36"/>
    </row>
    <row r="402" spans="1:29" ht="59.25" customHeight="1">
      <c r="A402" s="81"/>
      <c r="B402" s="94"/>
      <c r="C402" s="81"/>
      <c r="D402" s="81"/>
      <c r="E402" s="80"/>
      <c r="F402" s="620"/>
      <c r="G402" s="620"/>
      <c r="H402" s="81"/>
      <c r="I402" s="81"/>
      <c r="J402" s="35"/>
      <c r="K402" s="36"/>
      <c r="L402" s="36"/>
      <c r="M402" s="36"/>
      <c r="N402" s="36"/>
      <c r="O402" s="36"/>
      <c r="P402" s="36"/>
      <c r="Q402" s="36"/>
      <c r="R402" s="36"/>
      <c r="S402" s="36"/>
      <c r="T402" s="36"/>
      <c r="U402" s="36"/>
      <c r="V402" s="36"/>
      <c r="W402" s="36"/>
      <c r="X402" s="36"/>
      <c r="Y402" s="36"/>
      <c r="Z402" s="36"/>
      <c r="AA402" s="36"/>
      <c r="AB402" s="36"/>
      <c r="AC402" s="36"/>
    </row>
    <row r="403" spans="1:29" ht="48.75" customHeight="1">
      <c r="A403" s="81"/>
      <c r="B403" s="94"/>
      <c r="C403" s="81"/>
      <c r="D403" s="81"/>
      <c r="E403" s="80"/>
      <c r="F403" s="620"/>
      <c r="G403" s="620"/>
      <c r="H403" s="81"/>
      <c r="I403" s="81"/>
      <c r="J403" s="35"/>
      <c r="K403" s="36"/>
      <c r="L403" s="36"/>
      <c r="M403" s="36"/>
      <c r="N403" s="36"/>
      <c r="O403" s="36"/>
      <c r="P403" s="36"/>
      <c r="Q403" s="36"/>
      <c r="R403" s="36"/>
      <c r="S403" s="36"/>
      <c r="T403" s="36"/>
      <c r="U403" s="36"/>
      <c r="V403" s="36"/>
      <c r="W403" s="36"/>
      <c r="X403" s="36"/>
      <c r="Y403" s="36"/>
      <c r="Z403" s="36"/>
      <c r="AA403" s="36"/>
      <c r="AB403" s="36"/>
      <c r="AC403" s="36"/>
    </row>
    <row r="404" spans="1:29" ht="96" customHeight="1">
      <c r="A404" s="81"/>
      <c r="B404" s="94"/>
      <c r="C404" s="81"/>
      <c r="D404" s="81"/>
      <c r="E404" s="80"/>
      <c r="F404" s="620"/>
      <c r="G404" s="620"/>
      <c r="H404" s="81"/>
      <c r="I404" s="81"/>
      <c r="J404" s="35"/>
      <c r="K404" s="36"/>
      <c r="L404" s="36"/>
      <c r="M404" s="36"/>
      <c r="N404" s="36"/>
      <c r="O404" s="36"/>
      <c r="P404" s="36"/>
      <c r="Q404" s="36"/>
      <c r="R404" s="36"/>
      <c r="S404" s="36"/>
      <c r="T404" s="36"/>
      <c r="U404" s="36"/>
      <c r="V404" s="36"/>
      <c r="W404" s="36"/>
      <c r="X404" s="36"/>
      <c r="Y404" s="36"/>
      <c r="Z404" s="36"/>
      <c r="AA404" s="36"/>
      <c r="AB404" s="36"/>
      <c r="AC404" s="36"/>
    </row>
    <row r="405" spans="1:29" ht="81.75" customHeight="1">
      <c r="A405" s="81"/>
      <c r="B405" s="94"/>
      <c r="C405" s="81"/>
      <c r="D405" s="81"/>
      <c r="E405" s="80"/>
      <c r="F405" s="620"/>
      <c r="G405" s="620"/>
      <c r="H405" s="81"/>
      <c r="I405" s="81"/>
      <c r="J405" s="35"/>
      <c r="K405" s="36"/>
      <c r="L405" s="36"/>
      <c r="M405" s="36"/>
      <c r="N405" s="36"/>
      <c r="O405" s="36"/>
      <c r="P405" s="36"/>
      <c r="Q405" s="36"/>
      <c r="R405" s="36"/>
      <c r="S405" s="36"/>
      <c r="T405" s="36"/>
      <c r="U405" s="36"/>
      <c r="V405" s="36"/>
      <c r="W405" s="36"/>
      <c r="X405" s="36"/>
      <c r="Y405" s="36"/>
      <c r="Z405" s="36"/>
      <c r="AA405" s="36"/>
      <c r="AB405" s="36"/>
      <c r="AC405" s="36"/>
    </row>
    <row r="406" spans="1:29" ht="72" customHeight="1">
      <c r="A406" s="81"/>
      <c r="B406" s="94"/>
      <c r="C406" s="81"/>
      <c r="D406" s="81"/>
      <c r="E406" s="80"/>
      <c r="F406" s="620"/>
      <c r="G406" s="620"/>
      <c r="H406" s="81"/>
      <c r="I406" s="81"/>
      <c r="J406" s="35"/>
      <c r="K406" s="36"/>
      <c r="L406" s="36"/>
      <c r="M406" s="36"/>
      <c r="N406" s="36"/>
      <c r="O406" s="36"/>
      <c r="P406" s="36"/>
      <c r="Q406" s="36"/>
      <c r="R406" s="36"/>
      <c r="S406" s="36"/>
      <c r="T406" s="36"/>
      <c r="U406" s="36"/>
      <c r="V406" s="36"/>
      <c r="W406" s="36"/>
      <c r="X406" s="36"/>
      <c r="Y406" s="36"/>
      <c r="Z406" s="36"/>
      <c r="AA406" s="36"/>
      <c r="AB406" s="36"/>
      <c r="AC406" s="36"/>
    </row>
    <row r="407" spans="1:29" ht="84" customHeight="1">
      <c r="A407" s="81"/>
      <c r="B407" s="94"/>
      <c r="C407" s="81"/>
      <c r="D407" s="81"/>
      <c r="E407" s="80"/>
      <c r="F407" s="620"/>
      <c r="G407" s="620"/>
      <c r="H407" s="81"/>
      <c r="I407" s="81"/>
      <c r="J407" s="35"/>
      <c r="K407" s="36"/>
      <c r="L407" s="36"/>
      <c r="M407" s="36"/>
      <c r="N407" s="36"/>
      <c r="O407" s="36"/>
      <c r="P407" s="36"/>
      <c r="Q407" s="36"/>
      <c r="R407" s="36"/>
      <c r="S407" s="36"/>
      <c r="T407" s="36"/>
      <c r="U407" s="36"/>
      <c r="V407" s="36"/>
      <c r="W407" s="36"/>
      <c r="X407" s="36"/>
      <c r="Y407" s="36"/>
      <c r="Z407" s="36"/>
      <c r="AA407" s="36"/>
      <c r="AB407" s="36"/>
      <c r="AC407" s="36"/>
    </row>
    <row r="408" spans="1:29" ht="82.5" customHeight="1">
      <c r="A408" s="81"/>
      <c r="B408" s="460"/>
      <c r="C408" s="460"/>
      <c r="D408" s="81"/>
      <c r="E408" s="80"/>
      <c r="F408" s="620"/>
      <c r="G408" s="620"/>
      <c r="H408" s="81"/>
      <c r="I408" s="81"/>
      <c r="J408" s="35"/>
      <c r="K408" s="36"/>
      <c r="L408" s="36"/>
      <c r="M408" s="36"/>
      <c r="N408" s="36"/>
      <c r="O408" s="36"/>
      <c r="P408" s="36"/>
      <c r="Q408" s="36"/>
      <c r="R408" s="36"/>
      <c r="S408" s="36"/>
      <c r="T408" s="36"/>
      <c r="U408" s="36"/>
      <c r="V408" s="36"/>
      <c r="W408" s="36"/>
      <c r="X408" s="36"/>
      <c r="Y408" s="36"/>
      <c r="Z408" s="36"/>
      <c r="AA408" s="36"/>
      <c r="AB408" s="36"/>
      <c r="AC408" s="36"/>
    </row>
    <row r="409" spans="1:29" ht="60" customHeight="1">
      <c r="A409" s="81"/>
      <c r="B409" s="81"/>
      <c r="C409" s="460"/>
      <c r="D409" s="81"/>
      <c r="E409" s="80"/>
      <c r="F409" s="620"/>
      <c r="G409" s="620"/>
      <c r="H409" s="81"/>
      <c r="I409" s="81"/>
      <c r="J409" s="35"/>
      <c r="K409" s="36"/>
      <c r="L409" s="36"/>
      <c r="M409" s="36"/>
      <c r="N409" s="36"/>
      <c r="O409" s="36"/>
      <c r="P409" s="36"/>
      <c r="Q409" s="36"/>
      <c r="R409" s="36"/>
      <c r="S409" s="36"/>
      <c r="T409" s="36"/>
      <c r="U409" s="36"/>
      <c r="V409" s="36"/>
      <c r="W409" s="36"/>
      <c r="X409" s="36"/>
      <c r="Y409" s="36"/>
      <c r="Z409" s="36"/>
      <c r="AA409" s="36"/>
      <c r="AB409" s="36"/>
      <c r="AC409" s="36"/>
    </row>
    <row r="410" spans="1:29" ht="65.25" customHeight="1">
      <c r="A410" s="81"/>
      <c r="B410" s="94"/>
      <c r="C410" s="81"/>
      <c r="D410" s="81"/>
      <c r="E410" s="80"/>
      <c r="F410" s="620"/>
      <c r="G410" s="620"/>
      <c r="H410" s="81"/>
      <c r="I410" s="81"/>
      <c r="J410" s="35"/>
      <c r="K410" s="36"/>
      <c r="L410" s="36"/>
      <c r="M410" s="36"/>
      <c r="N410" s="36"/>
      <c r="O410" s="36"/>
      <c r="P410" s="36"/>
      <c r="Q410" s="36"/>
      <c r="R410" s="36"/>
      <c r="S410" s="36"/>
      <c r="T410" s="36"/>
      <c r="U410" s="36"/>
      <c r="V410" s="36"/>
      <c r="W410" s="36"/>
      <c r="X410" s="36"/>
      <c r="Y410" s="36"/>
      <c r="Z410" s="36"/>
      <c r="AA410" s="36"/>
      <c r="AB410" s="36"/>
      <c r="AC410" s="36"/>
    </row>
    <row r="411" spans="1:29" ht="52.5" customHeight="1">
      <c r="A411" s="81"/>
      <c r="B411" s="94"/>
      <c r="C411" s="81"/>
      <c r="D411" s="81"/>
      <c r="E411" s="80"/>
      <c r="F411" s="620"/>
      <c r="G411" s="620"/>
      <c r="H411" s="81"/>
      <c r="I411" s="81"/>
      <c r="J411" s="35"/>
      <c r="K411" s="36"/>
      <c r="L411" s="36"/>
      <c r="M411" s="36"/>
      <c r="N411" s="36"/>
      <c r="O411" s="36"/>
      <c r="P411" s="36"/>
      <c r="Q411" s="36"/>
      <c r="R411" s="36"/>
      <c r="S411" s="36"/>
      <c r="T411" s="36"/>
      <c r="U411" s="36"/>
      <c r="V411" s="36"/>
      <c r="W411" s="36"/>
      <c r="X411" s="36"/>
      <c r="Y411" s="36"/>
      <c r="Z411" s="36"/>
      <c r="AA411" s="36"/>
      <c r="AB411" s="36"/>
      <c r="AC411" s="36"/>
    </row>
    <row r="412" spans="1:29" ht="46.5" customHeight="1">
      <c r="A412" s="624"/>
      <c r="B412" s="94"/>
      <c r="C412" s="81"/>
      <c r="D412" s="81"/>
      <c r="E412" s="80"/>
      <c r="F412" s="620"/>
      <c r="G412" s="620"/>
      <c r="H412" s="81"/>
      <c r="I412" s="81"/>
      <c r="J412" s="35"/>
      <c r="K412" s="36"/>
      <c r="L412" s="36"/>
      <c r="M412" s="36"/>
      <c r="N412" s="36"/>
      <c r="O412" s="36"/>
      <c r="P412" s="36"/>
      <c r="Q412" s="36"/>
      <c r="R412" s="36"/>
      <c r="S412" s="36"/>
      <c r="T412" s="36"/>
      <c r="U412" s="36"/>
      <c r="V412" s="36"/>
      <c r="W412" s="36"/>
      <c r="X412" s="36"/>
      <c r="Y412" s="36"/>
      <c r="Z412" s="36"/>
      <c r="AA412" s="36"/>
      <c r="AB412" s="36"/>
      <c r="AC412" s="36"/>
    </row>
    <row r="413" spans="1:29" ht="56.25" customHeight="1">
      <c r="A413" s="624"/>
      <c r="B413" s="94"/>
      <c r="C413" s="81"/>
      <c r="D413" s="81"/>
      <c r="E413" s="80"/>
      <c r="F413" s="620"/>
      <c r="G413" s="620"/>
      <c r="H413" s="81"/>
      <c r="I413" s="81"/>
      <c r="J413" s="35"/>
      <c r="K413" s="36"/>
      <c r="L413" s="36"/>
      <c r="M413" s="36"/>
      <c r="N413" s="36"/>
      <c r="O413" s="36"/>
      <c r="P413" s="36"/>
      <c r="Q413" s="36"/>
      <c r="R413" s="36"/>
      <c r="S413" s="36"/>
      <c r="T413" s="36"/>
      <c r="U413" s="36"/>
      <c r="V413" s="36"/>
      <c r="W413" s="36"/>
      <c r="X413" s="36"/>
      <c r="Y413" s="36"/>
      <c r="Z413" s="36"/>
      <c r="AA413" s="36"/>
      <c r="AB413" s="36"/>
      <c r="AC413" s="36"/>
    </row>
    <row r="414" spans="1:29" ht="70.5" customHeight="1">
      <c r="A414" s="624"/>
      <c r="B414" s="94"/>
      <c r="C414" s="81"/>
      <c r="D414" s="81"/>
      <c r="E414" s="80"/>
      <c r="F414" s="620"/>
      <c r="G414" s="620"/>
      <c r="H414" s="81"/>
      <c r="I414" s="81"/>
      <c r="J414" s="35"/>
      <c r="K414" s="36"/>
      <c r="L414" s="36"/>
      <c r="M414" s="36"/>
      <c r="N414" s="36"/>
      <c r="O414" s="36"/>
      <c r="P414" s="36"/>
      <c r="Q414" s="36"/>
      <c r="R414" s="36"/>
      <c r="S414" s="36"/>
      <c r="T414" s="36"/>
      <c r="U414" s="36"/>
      <c r="V414" s="36"/>
      <c r="W414" s="36"/>
      <c r="X414" s="36"/>
      <c r="Y414" s="36"/>
      <c r="Z414" s="36"/>
      <c r="AA414" s="36"/>
      <c r="AB414" s="36"/>
      <c r="AC414" s="36"/>
    </row>
    <row r="415" spans="1:29" ht="64.5" customHeight="1">
      <c r="A415" s="624"/>
      <c r="B415" s="94"/>
      <c r="C415" s="81"/>
      <c r="D415" s="81"/>
      <c r="E415" s="80"/>
      <c r="F415" s="620"/>
      <c r="G415" s="620"/>
      <c r="H415" s="81"/>
      <c r="I415" s="81"/>
      <c r="J415" s="35"/>
      <c r="K415" s="36"/>
      <c r="L415" s="36"/>
      <c r="M415" s="36"/>
      <c r="N415" s="36"/>
      <c r="O415" s="36"/>
      <c r="P415" s="36"/>
      <c r="Q415" s="36"/>
      <c r="R415" s="36"/>
      <c r="S415" s="36"/>
      <c r="T415" s="36"/>
      <c r="U415" s="36"/>
      <c r="V415" s="36"/>
      <c r="W415" s="36"/>
      <c r="X415" s="36"/>
      <c r="Y415" s="36"/>
      <c r="Z415" s="36"/>
      <c r="AA415" s="36"/>
      <c r="AB415" s="36"/>
      <c r="AC415" s="36"/>
    </row>
    <row r="416" spans="1:29" ht="105" customHeight="1">
      <c r="A416" s="624"/>
      <c r="B416" s="94"/>
      <c r="C416" s="81"/>
      <c r="D416" s="81"/>
      <c r="E416" s="80"/>
      <c r="F416" s="620"/>
      <c r="G416" s="620"/>
      <c r="H416" s="81"/>
      <c r="I416" s="81"/>
      <c r="J416" s="35"/>
      <c r="K416" s="36"/>
      <c r="L416" s="36"/>
      <c r="M416" s="36"/>
      <c r="N416" s="36"/>
      <c r="O416" s="36"/>
      <c r="P416" s="36"/>
      <c r="Q416" s="36"/>
      <c r="R416" s="36"/>
      <c r="S416" s="36"/>
      <c r="T416" s="36"/>
      <c r="U416" s="36"/>
      <c r="V416" s="36"/>
      <c r="W416" s="36"/>
      <c r="X416" s="36"/>
      <c r="Y416" s="36"/>
      <c r="Z416" s="36"/>
      <c r="AA416" s="36"/>
      <c r="AB416" s="36"/>
      <c r="AC416" s="36"/>
    </row>
    <row r="417" spans="1:29" ht="85.5" customHeight="1">
      <c r="A417" s="624"/>
      <c r="B417" s="94"/>
      <c r="C417" s="81"/>
      <c r="D417" s="81"/>
      <c r="E417" s="80"/>
      <c r="F417" s="620"/>
      <c r="G417" s="620"/>
      <c r="H417" s="81"/>
      <c r="I417" s="81"/>
      <c r="J417" s="35"/>
      <c r="K417" s="36"/>
      <c r="L417" s="36"/>
      <c r="M417" s="36"/>
      <c r="N417" s="36"/>
      <c r="O417" s="36"/>
      <c r="P417" s="36"/>
      <c r="Q417" s="36"/>
      <c r="R417" s="36"/>
      <c r="S417" s="36"/>
      <c r="T417" s="36"/>
      <c r="U417" s="36"/>
      <c r="V417" s="36"/>
      <c r="W417" s="36"/>
      <c r="X417" s="36"/>
      <c r="Y417" s="36"/>
      <c r="Z417" s="36"/>
      <c r="AA417" s="36"/>
      <c r="AB417" s="36"/>
      <c r="AC417" s="36"/>
    </row>
    <row r="418" spans="1:29" ht="68.25" customHeight="1">
      <c r="A418" s="624"/>
      <c r="B418" s="94"/>
      <c r="C418" s="81"/>
      <c r="D418" s="81"/>
      <c r="E418" s="80"/>
      <c r="F418" s="620"/>
      <c r="G418" s="620"/>
      <c r="H418" s="81"/>
      <c r="I418" s="81"/>
      <c r="J418" s="35"/>
      <c r="K418" s="36"/>
      <c r="L418" s="36"/>
      <c r="M418" s="36"/>
      <c r="N418" s="36"/>
      <c r="O418" s="36"/>
      <c r="P418" s="36"/>
      <c r="Q418" s="36"/>
      <c r="R418" s="36"/>
      <c r="S418" s="36"/>
      <c r="T418" s="36"/>
      <c r="U418" s="36"/>
      <c r="V418" s="36"/>
      <c r="W418" s="36"/>
      <c r="X418" s="36"/>
      <c r="Y418" s="36"/>
      <c r="Z418" s="36"/>
      <c r="AA418" s="36"/>
      <c r="AB418" s="36"/>
      <c r="AC418" s="36"/>
    </row>
    <row r="419" spans="1:29" ht="72.75" customHeight="1">
      <c r="A419" s="81"/>
      <c r="B419" s="94"/>
      <c r="C419" s="81"/>
      <c r="D419" s="81"/>
      <c r="E419" s="80"/>
      <c r="F419" s="620"/>
      <c r="G419" s="620"/>
      <c r="H419" s="81"/>
      <c r="I419" s="81"/>
      <c r="J419" s="35"/>
      <c r="K419" s="36"/>
      <c r="L419" s="36"/>
      <c r="M419" s="36"/>
      <c r="N419" s="36"/>
      <c r="O419" s="36"/>
      <c r="P419" s="36"/>
      <c r="Q419" s="36"/>
      <c r="R419" s="36"/>
      <c r="S419" s="36"/>
      <c r="T419" s="36"/>
      <c r="U419" s="36"/>
      <c r="V419" s="36"/>
      <c r="W419" s="36"/>
      <c r="X419" s="36"/>
      <c r="Y419" s="36"/>
      <c r="Z419" s="36"/>
      <c r="AA419" s="36"/>
      <c r="AB419" s="36"/>
      <c r="AC419" s="36"/>
    </row>
    <row r="420" spans="1:29" ht="74.25" customHeight="1">
      <c r="A420" s="81"/>
      <c r="B420" s="94"/>
      <c r="C420" s="81"/>
      <c r="D420" s="81"/>
      <c r="E420" s="80"/>
      <c r="F420" s="620"/>
      <c r="G420" s="620"/>
      <c r="H420" s="81"/>
      <c r="I420" s="81"/>
      <c r="J420" s="35"/>
      <c r="K420" s="36"/>
      <c r="L420" s="36"/>
      <c r="M420" s="36"/>
      <c r="N420" s="36"/>
      <c r="O420" s="36"/>
      <c r="P420" s="36"/>
      <c r="Q420" s="36"/>
      <c r="R420" s="36"/>
      <c r="S420" s="36"/>
      <c r="T420" s="36"/>
      <c r="U420" s="36"/>
      <c r="V420" s="36"/>
      <c r="W420" s="36"/>
      <c r="X420" s="36"/>
      <c r="Y420" s="36"/>
      <c r="Z420" s="36"/>
      <c r="AA420" s="36"/>
      <c r="AB420" s="36"/>
      <c r="AC420" s="36"/>
    </row>
    <row r="421" spans="1:29" ht="58.5" customHeight="1">
      <c r="A421" s="81"/>
      <c r="B421" s="94"/>
      <c r="C421" s="81"/>
      <c r="D421" s="81"/>
      <c r="E421" s="80"/>
      <c r="F421" s="620"/>
      <c r="G421" s="620"/>
      <c r="H421" s="81"/>
      <c r="I421" s="81"/>
      <c r="J421" s="35"/>
      <c r="K421" s="36"/>
      <c r="L421" s="36"/>
      <c r="M421" s="36"/>
      <c r="N421" s="36"/>
      <c r="O421" s="36"/>
      <c r="P421" s="36"/>
      <c r="Q421" s="36"/>
      <c r="R421" s="36"/>
      <c r="S421" s="36"/>
      <c r="T421" s="36"/>
      <c r="U421" s="36"/>
      <c r="V421" s="36"/>
      <c r="W421" s="36"/>
      <c r="X421" s="36"/>
      <c r="Y421" s="36"/>
      <c r="Z421" s="36"/>
      <c r="AA421" s="36"/>
      <c r="AB421" s="36"/>
      <c r="AC421" s="36"/>
    </row>
    <row r="422" spans="1:29" ht="42.75" customHeight="1">
      <c r="A422" s="81"/>
      <c r="B422" s="94"/>
      <c r="C422" s="81"/>
      <c r="D422" s="81"/>
      <c r="E422" s="80"/>
      <c r="F422" s="620"/>
      <c r="G422" s="620"/>
      <c r="H422" s="81"/>
      <c r="I422" s="81"/>
      <c r="J422" s="35"/>
      <c r="K422" s="36"/>
      <c r="L422" s="36"/>
      <c r="M422" s="36"/>
      <c r="N422" s="36"/>
      <c r="O422" s="36"/>
      <c r="P422" s="36"/>
      <c r="Q422" s="36"/>
      <c r="R422" s="36"/>
      <c r="S422" s="36"/>
      <c r="T422" s="36"/>
      <c r="U422" s="36"/>
      <c r="V422" s="36"/>
      <c r="W422" s="36"/>
      <c r="X422" s="36"/>
      <c r="Y422" s="36"/>
      <c r="Z422" s="36"/>
      <c r="AA422" s="36"/>
      <c r="AB422" s="36"/>
      <c r="AC422" s="36"/>
    </row>
    <row r="423" spans="1:29" ht="53.25" customHeight="1">
      <c r="A423" s="81"/>
      <c r="B423" s="81"/>
      <c r="C423" s="115"/>
      <c r="D423" s="81"/>
      <c r="E423" s="80"/>
      <c r="F423" s="620"/>
      <c r="G423" s="620"/>
      <c r="H423" s="81"/>
      <c r="I423" s="81"/>
      <c r="J423" s="35"/>
      <c r="K423" s="36"/>
      <c r="L423" s="36"/>
      <c r="M423" s="36"/>
      <c r="N423" s="36"/>
      <c r="O423" s="36"/>
      <c r="P423" s="36"/>
      <c r="Q423" s="36"/>
      <c r="R423" s="36"/>
      <c r="S423" s="36"/>
      <c r="T423" s="36"/>
      <c r="U423" s="36"/>
      <c r="V423" s="36"/>
      <c r="W423" s="36"/>
      <c r="X423" s="36"/>
      <c r="Y423" s="36"/>
      <c r="Z423" s="36"/>
      <c r="AA423" s="36"/>
      <c r="AB423" s="36"/>
      <c r="AC423" s="36"/>
    </row>
    <row r="424" spans="1:29" ht="51" customHeight="1">
      <c r="A424" s="81"/>
      <c r="B424" s="94"/>
      <c r="C424" s="81"/>
      <c r="D424" s="81"/>
      <c r="E424" s="80"/>
      <c r="F424" s="620"/>
      <c r="G424" s="620"/>
      <c r="H424" s="81"/>
      <c r="I424" s="81"/>
      <c r="J424" s="35"/>
      <c r="K424" s="36"/>
      <c r="L424" s="36"/>
      <c r="M424" s="36"/>
      <c r="N424" s="36"/>
      <c r="O424" s="36"/>
      <c r="P424" s="36"/>
      <c r="Q424" s="36"/>
      <c r="R424" s="36"/>
      <c r="S424" s="36"/>
      <c r="T424" s="36"/>
      <c r="U424" s="36"/>
      <c r="V424" s="36"/>
      <c r="W424" s="36"/>
      <c r="X424" s="36"/>
      <c r="Y424" s="36"/>
      <c r="Z424" s="36"/>
      <c r="AA424" s="36"/>
      <c r="AB424" s="36"/>
      <c r="AC424" s="36"/>
    </row>
    <row r="425" spans="1:29" ht="36" customHeight="1">
      <c r="A425" s="81"/>
      <c r="B425" s="81"/>
      <c r="C425" s="81"/>
      <c r="D425" s="81"/>
      <c r="E425" s="80"/>
      <c r="F425" s="620"/>
      <c r="G425" s="620"/>
      <c r="H425" s="81"/>
      <c r="I425" s="81"/>
      <c r="J425" s="35"/>
      <c r="K425" s="36"/>
      <c r="L425" s="36"/>
      <c r="M425" s="36"/>
      <c r="N425" s="36"/>
      <c r="O425" s="36"/>
      <c r="P425" s="36"/>
      <c r="Q425" s="36"/>
      <c r="R425" s="36"/>
      <c r="S425" s="36"/>
      <c r="T425" s="36"/>
      <c r="U425" s="36"/>
      <c r="V425" s="36"/>
      <c r="W425" s="36"/>
      <c r="X425" s="36"/>
      <c r="Y425" s="36"/>
      <c r="Z425" s="36"/>
      <c r="AA425" s="36"/>
      <c r="AB425" s="36"/>
      <c r="AC425" s="36"/>
    </row>
    <row r="426" spans="1:29" ht="48" customHeight="1">
      <c r="A426" s="81"/>
      <c r="B426" s="94"/>
      <c r="C426" s="81"/>
      <c r="D426" s="81"/>
      <c r="E426" s="80"/>
      <c r="F426" s="620"/>
      <c r="G426" s="620"/>
      <c r="H426" s="81"/>
      <c r="I426" s="81"/>
      <c r="J426" s="35"/>
      <c r="K426" s="36"/>
      <c r="L426" s="36"/>
      <c r="M426" s="36"/>
      <c r="N426" s="36"/>
      <c r="O426" s="36"/>
      <c r="P426" s="36"/>
      <c r="Q426" s="36"/>
      <c r="R426" s="36"/>
      <c r="S426" s="36"/>
      <c r="T426" s="36"/>
      <c r="U426" s="36"/>
      <c r="V426" s="36"/>
      <c r="W426" s="36"/>
      <c r="X426" s="36"/>
      <c r="Y426" s="36"/>
      <c r="Z426" s="36"/>
      <c r="AA426" s="36"/>
      <c r="AB426" s="36"/>
      <c r="AC426" s="36"/>
    </row>
    <row r="427" spans="1:29" ht="55.5" customHeight="1">
      <c r="A427" s="81"/>
      <c r="B427" s="81"/>
      <c r="C427" s="115"/>
      <c r="D427" s="81"/>
      <c r="E427" s="80"/>
      <c r="F427" s="620"/>
      <c r="G427" s="620"/>
      <c r="H427" s="81"/>
      <c r="I427" s="81"/>
      <c r="J427" s="35"/>
      <c r="K427" s="36"/>
      <c r="L427" s="36"/>
      <c r="M427" s="36"/>
      <c r="N427" s="36"/>
      <c r="O427" s="36"/>
      <c r="P427" s="36"/>
      <c r="Q427" s="36"/>
      <c r="R427" s="36"/>
      <c r="S427" s="36"/>
      <c r="T427" s="36"/>
      <c r="U427" s="36"/>
      <c r="V427" s="36"/>
      <c r="W427" s="36"/>
      <c r="X427" s="36"/>
      <c r="Y427" s="36"/>
      <c r="Z427" s="36"/>
      <c r="AA427" s="36"/>
      <c r="AB427" s="36"/>
      <c r="AC427" s="36"/>
    </row>
    <row r="428" spans="1:29" ht="30.75" customHeight="1">
      <c r="A428" s="81"/>
      <c r="B428" s="94"/>
      <c r="C428" s="81"/>
      <c r="D428" s="81"/>
      <c r="E428" s="80"/>
      <c r="F428" s="620"/>
      <c r="G428" s="620"/>
      <c r="H428" s="81"/>
      <c r="I428" s="81"/>
      <c r="J428" s="35"/>
      <c r="K428" s="36"/>
      <c r="L428" s="36"/>
      <c r="M428" s="36"/>
      <c r="N428" s="36"/>
      <c r="O428" s="36"/>
      <c r="P428" s="36"/>
      <c r="Q428" s="36"/>
      <c r="R428" s="36"/>
      <c r="S428" s="36"/>
      <c r="T428" s="36"/>
      <c r="U428" s="36"/>
      <c r="V428" s="36"/>
      <c r="W428" s="36"/>
      <c r="X428" s="36"/>
      <c r="Y428" s="36"/>
      <c r="Z428" s="36"/>
      <c r="AA428" s="36"/>
      <c r="AB428" s="36"/>
      <c r="AC428" s="36"/>
    </row>
    <row r="429" spans="1:29" ht="28.5" customHeight="1">
      <c r="A429" s="81"/>
      <c r="B429" s="94"/>
      <c r="C429" s="81"/>
      <c r="D429" s="81"/>
      <c r="E429" s="80"/>
      <c r="F429" s="620"/>
      <c r="G429" s="620"/>
      <c r="H429" s="81"/>
      <c r="I429" s="81"/>
      <c r="J429" s="35"/>
      <c r="K429" s="36"/>
      <c r="L429" s="36"/>
      <c r="M429" s="36"/>
      <c r="N429" s="36"/>
      <c r="O429" s="36"/>
      <c r="P429" s="36"/>
      <c r="Q429" s="36"/>
      <c r="R429" s="36"/>
      <c r="S429" s="36"/>
      <c r="T429" s="36"/>
      <c r="U429" s="36"/>
      <c r="V429" s="36"/>
      <c r="W429" s="36"/>
      <c r="X429" s="36"/>
      <c r="Y429" s="36"/>
      <c r="Z429" s="36"/>
      <c r="AA429" s="36"/>
      <c r="AB429" s="36"/>
      <c r="AC429" s="36"/>
    </row>
    <row r="430" spans="1:29" ht="36" customHeight="1">
      <c r="A430" s="81"/>
      <c r="B430" s="94"/>
      <c r="C430" s="81"/>
      <c r="D430" s="81"/>
      <c r="E430" s="80"/>
      <c r="F430" s="620"/>
      <c r="G430" s="620"/>
      <c r="H430" s="81"/>
      <c r="I430" s="81"/>
      <c r="J430" s="35"/>
      <c r="K430" s="36"/>
      <c r="L430" s="36"/>
      <c r="M430" s="36"/>
      <c r="N430" s="36"/>
      <c r="O430" s="36"/>
      <c r="P430" s="36"/>
      <c r="Q430" s="36"/>
      <c r="R430" s="36"/>
      <c r="S430" s="36"/>
      <c r="T430" s="36"/>
      <c r="U430" s="36"/>
      <c r="V430" s="36"/>
      <c r="W430" s="36"/>
      <c r="X430" s="36"/>
      <c r="Y430" s="36"/>
      <c r="Z430" s="36"/>
      <c r="AA430" s="36"/>
      <c r="AB430" s="36"/>
      <c r="AC430" s="36"/>
    </row>
    <row r="431" spans="1:29" ht="48" customHeight="1">
      <c r="A431" s="81"/>
      <c r="B431" s="94"/>
      <c r="C431" s="81"/>
      <c r="D431" s="81"/>
      <c r="E431" s="80"/>
      <c r="F431" s="620"/>
      <c r="G431" s="620"/>
      <c r="H431" s="81"/>
      <c r="I431" s="81"/>
      <c r="J431" s="35"/>
      <c r="K431" s="36"/>
      <c r="L431" s="36"/>
      <c r="M431" s="36"/>
      <c r="N431" s="36"/>
      <c r="O431" s="36"/>
      <c r="P431" s="36"/>
      <c r="Q431" s="36"/>
      <c r="R431" s="36"/>
      <c r="S431" s="36"/>
      <c r="T431" s="36"/>
      <c r="U431" s="36"/>
      <c r="V431" s="36"/>
      <c r="W431" s="36"/>
      <c r="X431" s="36"/>
      <c r="Y431" s="36"/>
      <c r="Z431" s="36"/>
      <c r="AA431" s="36"/>
      <c r="AB431" s="36"/>
      <c r="AC431" s="36"/>
    </row>
    <row r="432" spans="1:29" ht="36" customHeight="1">
      <c r="A432" s="81"/>
      <c r="B432" s="94"/>
      <c r="C432" s="81"/>
      <c r="D432" s="81"/>
      <c r="E432" s="629"/>
      <c r="F432" s="628"/>
      <c r="G432" s="628"/>
      <c r="H432" s="95"/>
      <c r="I432" s="95"/>
      <c r="J432" s="35"/>
      <c r="K432" s="36"/>
      <c r="L432" s="36"/>
      <c r="M432" s="36"/>
      <c r="N432" s="36"/>
      <c r="O432" s="36"/>
      <c r="P432" s="36"/>
      <c r="Q432" s="36"/>
      <c r="R432" s="36"/>
      <c r="S432" s="36"/>
      <c r="T432" s="36"/>
      <c r="U432" s="36"/>
      <c r="V432" s="36"/>
      <c r="W432" s="36"/>
      <c r="X432" s="36"/>
      <c r="Y432" s="36"/>
      <c r="Z432" s="36"/>
      <c r="AA432" s="36"/>
      <c r="AB432" s="36"/>
      <c r="AC432" s="36"/>
    </row>
    <row r="433" spans="1:29" ht="156" customHeight="1">
      <c r="A433" s="81"/>
      <c r="B433" s="94"/>
      <c r="C433" s="81"/>
      <c r="D433" s="81"/>
      <c r="E433" s="80"/>
      <c r="F433" s="620"/>
      <c r="G433" s="620"/>
      <c r="H433" s="81"/>
      <c r="I433" s="81"/>
      <c r="J433" s="35"/>
      <c r="K433" s="36"/>
      <c r="L433" s="36"/>
      <c r="M433" s="36"/>
      <c r="N433" s="36"/>
      <c r="O433" s="36"/>
      <c r="P433" s="36"/>
      <c r="Q433" s="36"/>
      <c r="R433" s="36"/>
      <c r="S433" s="36"/>
      <c r="T433" s="36"/>
      <c r="U433" s="36"/>
      <c r="V433" s="36"/>
      <c r="W433" s="36"/>
      <c r="X433" s="36"/>
      <c r="Y433" s="36"/>
      <c r="Z433" s="36"/>
      <c r="AA433" s="36"/>
      <c r="AB433" s="36"/>
      <c r="AC433" s="36"/>
    </row>
    <row r="434" spans="1:29" ht="72" customHeight="1">
      <c r="A434" s="81"/>
      <c r="B434" s="94"/>
      <c r="C434" s="81"/>
      <c r="D434" s="81"/>
      <c r="E434" s="80"/>
      <c r="F434" s="620"/>
      <c r="G434" s="620"/>
      <c r="H434" s="81"/>
      <c r="I434" s="81"/>
      <c r="J434" s="35"/>
      <c r="K434" s="36"/>
      <c r="L434" s="36"/>
      <c r="M434" s="36"/>
      <c r="N434" s="36"/>
      <c r="O434" s="36"/>
      <c r="P434" s="36"/>
      <c r="Q434" s="36"/>
      <c r="R434" s="36"/>
      <c r="S434" s="36"/>
      <c r="T434" s="36"/>
      <c r="U434" s="36"/>
      <c r="V434" s="36"/>
      <c r="W434" s="36"/>
      <c r="X434" s="36"/>
      <c r="Y434" s="36"/>
      <c r="Z434" s="36"/>
      <c r="AA434" s="36"/>
      <c r="AB434" s="36"/>
      <c r="AC434" s="36"/>
    </row>
    <row r="435" spans="1:29" ht="36" customHeight="1">
      <c r="A435" s="619"/>
      <c r="B435" s="94"/>
      <c r="C435" s="81"/>
      <c r="D435" s="81"/>
      <c r="E435" s="80"/>
      <c r="F435" s="620"/>
      <c r="G435" s="620"/>
      <c r="H435" s="81"/>
      <c r="I435" s="81"/>
      <c r="J435" s="35"/>
      <c r="K435" s="36"/>
      <c r="L435" s="36"/>
      <c r="M435" s="36"/>
      <c r="N435" s="36"/>
      <c r="O435" s="36"/>
      <c r="P435" s="36"/>
      <c r="Q435" s="36"/>
      <c r="R435" s="36"/>
      <c r="S435" s="36"/>
      <c r="T435" s="36"/>
      <c r="U435" s="36"/>
      <c r="V435" s="36"/>
      <c r="W435" s="36"/>
      <c r="X435" s="36"/>
      <c r="Y435" s="36"/>
      <c r="Z435" s="36"/>
      <c r="AA435" s="36"/>
      <c r="AB435" s="36"/>
      <c r="AC435" s="36"/>
    </row>
    <row r="436" spans="1:29" ht="36" customHeight="1">
      <c r="A436" s="81"/>
      <c r="B436" s="94"/>
      <c r="C436" s="81"/>
      <c r="D436" s="81"/>
      <c r="E436" s="80"/>
      <c r="F436" s="620"/>
      <c r="G436" s="620"/>
      <c r="H436" s="81"/>
      <c r="I436" s="81"/>
      <c r="J436" s="35"/>
      <c r="K436" s="36"/>
      <c r="L436" s="36"/>
      <c r="M436" s="36"/>
      <c r="N436" s="36"/>
      <c r="O436" s="36"/>
      <c r="P436" s="36"/>
      <c r="Q436" s="36"/>
      <c r="R436" s="36"/>
      <c r="S436" s="36"/>
      <c r="T436" s="36"/>
      <c r="U436" s="36"/>
      <c r="V436" s="36"/>
      <c r="W436" s="36"/>
      <c r="X436" s="36"/>
      <c r="Y436" s="36"/>
      <c r="Z436" s="36"/>
      <c r="AA436" s="36"/>
      <c r="AB436" s="36"/>
      <c r="AC436" s="36"/>
    </row>
    <row r="437" spans="1:29" ht="24" customHeight="1">
      <c r="A437" s="619"/>
      <c r="B437" s="94"/>
      <c r="C437" s="81"/>
      <c r="D437" s="81"/>
      <c r="E437" s="80"/>
      <c r="F437" s="620"/>
      <c r="G437" s="620"/>
      <c r="H437" s="81"/>
      <c r="I437" s="81"/>
      <c r="J437" s="35"/>
      <c r="K437" s="36"/>
      <c r="L437" s="36"/>
      <c r="M437" s="36"/>
      <c r="N437" s="36"/>
      <c r="O437" s="36"/>
      <c r="P437" s="36"/>
      <c r="Q437" s="36"/>
      <c r="R437" s="36"/>
      <c r="S437" s="36"/>
      <c r="T437" s="36"/>
      <c r="U437" s="36"/>
      <c r="V437" s="36"/>
      <c r="W437" s="36"/>
      <c r="X437" s="36"/>
      <c r="Y437" s="36"/>
      <c r="Z437" s="36"/>
      <c r="AA437" s="36"/>
      <c r="AB437" s="36"/>
      <c r="AC437" s="36"/>
    </row>
    <row r="438" spans="1:29" ht="48" customHeight="1">
      <c r="A438" s="619"/>
      <c r="B438" s="94"/>
      <c r="C438" s="81"/>
      <c r="D438" s="81"/>
      <c r="E438" s="80"/>
      <c r="F438" s="620"/>
      <c r="G438" s="620"/>
      <c r="H438" s="81"/>
      <c r="I438" s="81"/>
      <c r="J438" s="35"/>
      <c r="K438" s="36"/>
      <c r="L438" s="36"/>
      <c r="M438" s="36"/>
      <c r="N438" s="36"/>
      <c r="O438" s="36"/>
      <c r="P438" s="36"/>
      <c r="Q438" s="36"/>
      <c r="R438" s="36"/>
      <c r="S438" s="36"/>
      <c r="T438" s="36"/>
      <c r="U438" s="36"/>
      <c r="V438" s="36"/>
      <c r="W438" s="36"/>
      <c r="X438" s="36"/>
      <c r="Y438" s="36"/>
      <c r="Z438" s="36"/>
      <c r="AA438" s="36"/>
      <c r="AB438" s="36"/>
      <c r="AC438" s="36"/>
    </row>
    <row r="439" spans="1:29" ht="24" customHeight="1">
      <c r="A439" s="619"/>
      <c r="B439" s="94"/>
      <c r="C439" s="81"/>
      <c r="D439" s="81"/>
      <c r="E439" s="80"/>
      <c r="F439" s="620"/>
      <c r="G439" s="620"/>
      <c r="H439" s="81"/>
      <c r="I439" s="81"/>
      <c r="J439" s="35"/>
      <c r="K439" s="36"/>
      <c r="L439" s="36"/>
      <c r="M439" s="36"/>
      <c r="N439" s="36"/>
      <c r="O439" s="36"/>
      <c r="P439" s="36"/>
      <c r="Q439" s="36"/>
      <c r="R439" s="36"/>
      <c r="S439" s="36"/>
      <c r="T439" s="36"/>
      <c r="U439" s="36"/>
      <c r="V439" s="36"/>
      <c r="W439" s="36"/>
      <c r="X439" s="36"/>
      <c r="Y439" s="36"/>
      <c r="Z439" s="36"/>
      <c r="AA439" s="36"/>
      <c r="AB439" s="36"/>
      <c r="AC439" s="36"/>
    </row>
    <row r="440" spans="1:29" ht="36" customHeight="1">
      <c r="A440" s="621"/>
      <c r="B440" s="94"/>
      <c r="C440" s="81"/>
      <c r="D440" s="81"/>
      <c r="E440" s="80"/>
      <c r="F440" s="620"/>
      <c r="G440" s="620"/>
      <c r="H440" s="81"/>
      <c r="I440" s="81"/>
      <c r="J440" s="35"/>
      <c r="K440" s="36"/>
      <c r="L440" s="36"/>
      <c r="M440" s="36"/>
      <c r="N440" s="36"/>
      <c r="O440" s="36"/>
      <c r="P440" s="36"/>
      <c r="Q440" s="36"/>
      <c r="R440" s="36"/>
      <c r="S440" s="36"/>
      <c r="T440" s="36"/>
      <c r="U440" s="36"/>
      <c r="V440" s="36"/>
      <c r="W440" s="36"/>
      <c r="X440" s="36"/>
      <c r="Y440" s="36"/>
      <c r="Z440" s="36"/>
      <c r="AA440" s="36"/>
      <c r="AB440" s="36"/>
      <c r="AC440" s="36"/>
    </row>
    <row r="441" spans="1:29" ht="24" customHeight="1">
      <c r="A441" s="81"/>
      <c r="B441" s="94"/>
      <c r="C441" s="81"/>
      <c r="D441" s="81"/>
      <c r="E441" s="80"/>
      <c r="F441" s="620"/>
      <c r="G441" s="620"/>
      <c r="H441" s="81"/>
      <c r="I441" s="81"/>
      <c r="J441" s="35"/>
      <c r="K441" s="36"/>
      <c r="L441" s="36"/>
      <c r="M441" s="36"/>
      <c r="N441" s="36"/>
      <c r="O441" s="36"/>
      <c r="P441" s="36"/>
      <c r="Q441" s="36"/>
      <c r="R441" s="36"/>
      <c r="S441" s="36"/>
      <c r="T441" s="36"/>
      <c r="U441" s="36"/>
      <c r="V441" s="36"/>
      <c r="W441" s="36"/>
      <c r="X441" s="36"/>
      <c r="Y441" s="36"/>
      <c r="Z441" s="36"/>
      <c r="AA441" s="36"/>
      <c r="AB441" s="36"/>
      <c r="AC441" s="36"/>
    </row>
    <row r="442" spans="1:29" ht="24" customHeight="1">
      <c r="A442" s="81"/>
      <c r="B442" s="94"/>
      <c r="C442" s="81"/>
      <c r="D442" s="81"/>
      <c r="E442" s="80"/>
      <c r="F442" s="620"/>
      <c r="G442" s="620"/>
      <c r="H442" s="81"/>
      <c r="I442" s="81"/>
      <c r="J442" s="35"/>
      <c r="K442" s="36"/>
      <c r="L442" s="36"/>
      <c r="M442" s="36"/>
      <c r="N442" s="36"/>
      <c r="O442" s="36"/>
      <c r="P442" s="36"/>
      <c r="Q442" s="36"/>
      <c r="R442" s="36"/>
      <c r="S442" s="36"/>
      <c r="T442" s="36"/>
      <c r="U442" s="36"/>
      <c r="V442" s="36"/>
      <c r="W442" s="36"/>
      <c r="X442" s="36"/>
      <c r="Y442" s="36"/>
      <c r="Z442" s="36"/>
      <c r="AA442" s="36"/>
      <c r="AB442" s="36"/>
      <c r="AC442" s="36"/>
    </row>
    <row r="443" spans="1:29" ht="24" customHeight="1">
      <c r="A443" s="81"/>
      <c r="B443" s="94"/>
      <c r="C443" s="81"/>
      <c r="D443" s="81"/>
      <c r="E443" s="80"/>
      <c r="F443" s="620"/>
      <c r="G443" s="620"/>
      <c r="H443" s="81"/>
      <c r="I443" s="81"/>
      <c r="J443" s="35"/>
      <c r="K443" s="36"/>
      <c r="L443" s="36"/>
      <c r="M443" s="36"/>
      <c r="N443" s="36"/>
      <c r="O443" s="36"/>
      <c r="P443" s="36"/>
      <c r="Q443" s="36"/>
      <c r="R443" s="36"/>
      <c r="S443" s="36"/>
      <c r="T443" s="36"/>
      <c r="U443" s="36"/>
      <c r="V443" s="36"/>
      <c r="W443" s="36"/>
      <c r="X443" s="36"/>
      <c r="Y443" s="36"/>
      <c r="Z443" s="36"/>
      <c r="AA443" s="36"/>
      <c r="AB443" s="36"/>
      <c r="AC443" s="36"/>
    </row>
    <row r="444" spans="1:29" ht="24" customHeight="1">
      <c r="A444" s="81"/>
      <c r="B444" s="94"/>
      <c r="C444" s="81"/>
      <c r="D444" s="81"/>
      <c r="E444" s="80"/>
      <c r="F444" s="620"/>
      <c r="G444" s="620"/>
      <c r="H444" s="81"/>
      <c r="I444" s="81"/>
      <c r="J444" s="35"/>
      <c r="K444" s="36"/>
      <c r="L444" s="36"/>
      <c r="M444" s="36"/>
      <c r="N444" s="36"/>
      <c r="O444" s="36"/>
      <c r="P444" s="36"/>
      <c r="Q444" s="36"/>
      <c r="R444" s="36"/>
      <c r="S444" s="36"/>
      <c r="T444" s="36"/>
      <c r="U444" s="36"/>
      <c r="V444" s="36"/>
      <c r="W444" s="36"/>
      <c r="X444" s="36"/>
      <c r="Y444" s="36"/>
      <c r="Z444" s="36"/>
      <c r="AA444" s="36"/>
      <c r="AB444" s="36"/>
      <c r="AC444" s="36"/>
    </row>
    <row r="445" spans="1:29" ht="12" customHeight="1">
      <c r="A445" s="81"/>
      <c r="B445" s="94"/>
      <c r="C445" s="81"/>
      <c r="D445" s="81"/>
      <c r="E445" s="80"/>
      <c r="F445" s="620"/>
      <c r="G445" s="620"/>
      <c r="H445" s="81"/>
      <c r="I445" s="81"/>
      <c r="J445" s="35"/>
      <c r="K445" s="36"/>
      <c r="L445" s="36"/>
      <c r="M445" s="36"/>
      <c r="N445" s="36"/>
      <c r="O445" s="36"/>
      <c r="P445" s="36"/>
      <c r="Q445" s="36"/>
      <c r="R445" s="36"/>
      <c r="S445" s="36"/>
      <c r="T445" s="36"/>
      <c r="U445" s="36"/>
      <c r="V445" s="36"/>
      <c r="W445" s="36"/>
      <c r="X445" s="36"/>
      <c r="Y445" s="36"/>
      <c r="Z445" s="36"/>
      <c r="AA445" s="36"/>
      <c r="AB445" s="36"/>
      <c r="AC445" s="36"/>
    </row>
    <row r="446" spans="1:29" ht="24" customHeight="1">
      <c r="A446" s="81"/>
      <c r="B446" s="94"/>
      <c r="C446" s="81"/>
      <c r="D446" s="81"/>
      <c r="E446" s="80"/>
      <c r="F446" s="620"/>
      <c r="G446" s="620"/>
      <c r="H446" s="81"/>
      <c r="I446" s="81"/>
      <c r="J446" s="35"/>
      <c r="K446" s="36"/>
      <c r="L446" s="36"/>
      <c r="M446" s="36"/>
      <c r="N446" s="36"/>
      <c r="O446" s="36"/>
      <c r="P446" s="36"/>
      <c r="Q446" s="36"/>
      <c r="R446" s="36"/>
      <c r="S446" s="36"/>
      <c r="T446" s="36"/>
      <c r="U446" s="36"/>
      <c r="V446" s="36"/>
      <c r="W446" s="36"/>
      <c r="X446" s="36"/>
      <c r="Y446" s="36"/>
      <c r="Z446" s="36"/>
      <c r="AA446" s="36"/>
      <c r="AB446" s="36"/>
      <c r="AC446" s="36"/>
    </row>
    <row r="447" spans="1:29" ht="36" customHeight="1">
      <c r="A447" s="81"/>
      <c r="B447" s="94"/>
      <c r="C447" s="81"/>
      <c r="D447" s="81"/>
      <c r="E447" s="80"/>
      <c r="F447" s="620"/>
      <c r="G447" s="620"/>
      <c r="H447" s="81"/>
      <c r="I447" s="81"/>
      <c r="J447" s="35"/>
      <c r="K447" s="36"/>
      <c r="L447" s="36"/>
      <c r="M447" s="36"/>
      <c r="N447" s="36"/>
      <c r="O447" s="36"/>
      <c r="P447" s="36"/>
      <c r="Q447" s="36"/>
      <c r="R447" s="36"/>
      <c r="S447" s="36"/>
      <c r="T447" s="36"/>
      <c r="U447" s="36"/>
      <c r="V447" s="36"/>
      <c r="W447" s="36"/>
      <c r="X447" s="36"/>
      <c r="Y447" s="36"/>
      <c r="Z447" s="36"/>
      <c r="AA447" s="36"/>
      <c r="AB447" s="36"/>
      <c r="AC447" s="36"/>
    </row>
    <row r="448" spans="1:29" ht="36" customHeight="1">
      <c r="A448" s="81"/>
      <c r="B448" s="94"/>
      <c r="C448" s="81"/>
      <c r="D448" s="81"/>
      <c r="E448" s="80"/>
      <c r="F448" s="620"/>
      <c r="G448" s="620"/>
      <c r="H448" s="81"/>
      <c r="I448" s="81"/>
      <c r="J448" s="35"/>
      <c r="K448" s="36"/>
      <c r="L448" s="36"/>
      <c r="M448" s="36"/>
      <c r="N448" s="36"/>
      <c r="O448" s="36"/>
      <c r="P448" s="36"/>
      <c r="Q448" s="36"/>
      <c r="R448" s="36"/>
      <c r="S448" s="36"/>
      <c r="T448" s="36"/>
      <c r="U448" s="36"/>
      <c r="V448" s="36"/>
      <c r="W448" s="36"/>
      <c r="X448" s="36"/>
      <c r="Y448" s="36"/>
      <c r="Z448" s="36"/>
      <c r="AA448" s="36"/>
      <c r="AB448" s="36"/>
      <c r="AC448" s="36"/>
    </row>
    <row r="449" spans="1:29" ht="36" customHeight="1">
      <c r="A449" s="81"/>
      <c r="B449" s="94"/>
      <c r="C449" s="81"/>
      <c r="D449" s="81"/>
      <c r="E449" s="80"/>
      <c r="F449" s="620"/>
      <c r="G449" s="620"/>
      <c r="H449" s="81"/>
      <c r="I449" s="81"/>
      <c r="J449" s="35"/>
      <c r="K449" s="36"/>
      <c r="L449" s="36"/>
      <c r="M449" s="36"/>
      <c r="N449" s="36"/>
      <c r="O449" s="36"/>
      <c r="P449" s="36"/>
      <c r="Q449" s="36"/>
      <c r="R449" s="36"/>
      <c r="S449" s="36"/>
      <c r="T449" s="36"/>
      <c r="U449" s="36"/>
      <c r="V449" s="36"/>
      <c r="W449" s="36"/>
      <c r="X449" s="36"/>
      <c r="Y449" s="36"/>
      <c r="Z449" s="36"/>
      <c r="AA449" s="36"/>
      <c r="AB449" s="36"/>
      <c r="AC449" s="36"/>
    </row>
    <row r="450" spans="1:29" ht="12" customHeight="1">
      <c r="A450" s="81"/>
      <c r="B450" s="94"/>
      <c r="C450" s="81"/>
      <c r="D450" s="81"/>
      <c r="E450" s="80"/>
      <c r="F450" s="620"/>
      <c r="G450" s="620"/>
      <c r="H450" s="81"/>
      <c r="I450" s="81"/>
      <c r="J450" s="35"/>
      <c r="K450" s="36"/>
      <c r="L450" s="36"/>
      <c r="M450" s="36"/>
      <c r="N450" s="36"/>
      <c r="O450" s="36"/>
      <c r="P450" s="36"/>
      <c r="Q450" s="36"/>
      <c r="R450" s="36"/>
      <c r="S450" s="36"/>
      <c r="T450" s="36"/>
      <c r="U450" s="36"/>
      <c r="V450" s="36"/>
      <c r="W450" s="36"/>
      <c r="X450" s="36"/>
      <c r="Y450" s="36"/>
      <c r="Z450" s="36"/>
      <c r="AA450" s="36"/>
      <c r="AB450" s="36"/>
      <c r="AC450" s="36"/>
    </row>
    <row r="451" spans="1:29" ht="24" customHeight="1">
      <c r="A451" s="81"/>
      <c r="B451" s="94"/>
      <c r="C451" s="81"/>
      <c r="D451" s="81"/>
      <c r="E451" s="80"/>
      <c r="F451" s="620"/>
      <c r="G451" s="620"/>
      <c r="H451" s="81"/>
      <c r="I451" s="81"/>
      <c r="J451" s="35"/>
      <c r="K451" s="36"/>
      <c r="L451" s="36"/>
      <c r="M451" s="36"/>
      <c r="N451" s="36"/>
      <c r="O451" s="36"/>
      <c r="P451" s="36"/>
      <c r="Q451" s="36"/>
      <c r="R451" s="36"/>
      <c r="S451" s="36"/>
      <c r="T451" s="36"/>
      <c r="U451" s="36"/>
      <c r="V451" s="36"/>
      <c r="W451" s="36"/>
      <c r="X451" s="36"/>
      <c r="Y451" s="36"/>
      <c r="Z451" s="36"/>
      <c r="AA451" s="36"/>
      <c r="AB451" s="36"/>
      <c r="AC451" s="36"/>
    </row>
    <row r="452" spans="1:29" ht="36" customHeight="1">
      <c r="A452" s="81"/>
      <c r="B452" s="94"/>
      <c r="C452" s="81"/>
      <c r="D452" s="81"/>
      <c r="E452" s="80"/>
      <c r="F452" s="620"/>
      <c r="G452" s="620"/>
      <c r="H452" s="81"/>
      <c r="I452" s="81"/>
      <c r="J452" s="35"/>
      <c r="K452" s="36"/>
      <c r="L452" s="36"/>
      <c r="M452" s="36"/>
      <c r="N452" s="36"/>
      <c r="O452" s="36"/>
      <c r="P452" s="36"/>
      <c r="Q452" s="36"/>
      <c r="R452" s="36"/>
      <c r="S452" s="36"/>
      <c r="T452" s="36"/>
      <c r="U452" s="36"/>
      <c r="V452" s="36"/>
      <c r="W452" s="36"/>
      <c r="X452" s="36"/>
      <c r="Y452" s="36"/>
      <c r="Z452" s="36"/>
      <c r="AA452" s="36"/>
      <c r="AB452" s="36"/>
      <c r="AC452" s="36"/>
    </row>
    <row r="453" spans="1:29" ht="48" customHeight="1">
      <c r="A453" s="81"/>
      <c r="B453" s="94"/>
      <c r="C453" s="81"/>
      <c r="D453" s="81"/>
      <c r="E453" s="80"/>
      <c r="F453" s="620"/>
      <c r="G453" s="620"/>
      <c r="H453" s="81"/>
      <c r="I453" s="81"/>
      <c r="J453" s="35"/>
      <c r="K453" s="36"/>
      <c r="L453" s="36"/>
      <c r="M453" s="36"/>
      <c r="N453" s="36"/>
      <c r="O453" s="36"/>
      <c r="P453" s="36"/>
      <c r="Q453" s="36"/>
      <c r="R453" s="36"/>
      <c r="S453" s="36"/>
      <c r="T453" s="36"/>
      <c r="U453" s="36"/>
      <c r="V453" s="36"/>
      <c r="W453" s="36"/>
      <c r="X453" s="36"/>
      <c r="Y453" s="36"/>
      <c r="Z453" s="36"/>
      <c r="AA453" s="36"/>
      <c r="AB453" s="36"/>
      <c r="AC453" s="36"/>
    </row>
    <row r="454" spans="1:29" ht="12" customHeight="1">
      <c r="A454" s="81"/>
      <c r="B454" s="94"/>
      <c r="C454" s="81"/>
      <c r="D454" s="81"/>
      <c r="E454" s="80"/>
      <c r="F454" s="620"/>
      <c r="G454" s="620"/>
      <c r="H454" s="81"/>
      <c r="I454" s="81"/>
      <c r="J454" s="35"/>
      <c r="K454" s="36"/>
      <c r="L454" s="36"/>
      <c r="M454" s="36"/>
      <c r="N454" s="36"/>
      <c r="O454" s="36"/>
      <c r="P454" s="36"/>
      <c r="Q454" s="36"/>
      <c r="R454" s="36"/>
      <c r="S454" s="36"/>
      <c r="T454" s="36"/>
      <c r="U454" s="36"/>
      <c r="V454" s="36"/>
      <c r="W454" s="36"/>
      <c r="X454" s="36"/>
      <c r="Y454" s="36"/>
      <c r="Z454" s="36"/>
      <c r="AA454" s="36"/>
      <c r="AB454" s="36"/>
      <c r="AC454" s="36"/>
    </row>
    <row r="455" spans="1:29" ht="24" customHeight="1">
      <c r="A455" s="81"/>
      <c r="B455" s="94"/>
      <c r="C455" s="81"/>
      <c r="D455" s="81"/>
      <c r="E455" s="80"/>
      <c r="F455" s="620"/>
      <c r="G455" s="620"/>
      <c r="H455" s="81"/>
      <c r="I455" s="81"/>
      <c r="J455" s="35"/>
      <c r="K455" s="36"/>
      <c r="L455" s="36"/>
      <c r="M455" s="36"/>
      <c r="N455" s="36"/>
      <c r="O455" s="36"/>
      <c r="P455" s="36"/>
      <c r="Q455" s="36"/>
      <c r="R455" s="36"/>
      <c r="S455" s="36"/>
      <c r="T455" s="36"/>
      <c r="U455" s="36"/>
      <c r="V455" s="36"/>
      <c r="W455" s="36"/>
      <c r="X455" s="36"/>
      <c r="Y455" s="36"/>
      <c r="Z455" s="36"/>
      <c r="AA455" s="36"/>
      <c r="AB455" s="36"/>
      <c r="AC455" s="36"/>
    </row>
    <row r="456" spans="1:29" ht="24" customHeight="1">
      <c r="A456" s="81"/>
      <c r="B456" s="94"/>
      <c r="C456" s="81"/>
      <c r="D456" s="81"/>
      <c r="E456" s="80"/>
      <c r="F456" s="620"/>
      <c r="G456" s="620"/>
      <c r="H456" s="81"/>
      <c r="I456" s="81"/>
      <c r="J456" s="35"/>
      <c r="K456" s="36"/>
      <c r="L456" s="36"/>
      <c r="M456" s="36"/>
      <c r="N456" s="36"/>
      <c r="O456" s="36"/>
      <c r="P456" s="36"/>
      <c r="Q456" s="36"/>
      <c r="R456" s="36"/>
      <c r="S456" s="36"/>
      <c r="T456" s="36"/>
      <c r="U456" s="36"/>
      <c r="V456" s="36"/>
      <c r="W456" s="36"/>
      <c r="X456" s="36"/>
      <c r="Y456" s="36"/>
      <c r="Z456" s="36"/>
      <c r="AA456" s="36"/>
      <c r="AB456" s="36"/>
      <c r="AC456" s="36"/>
    </row>
    <row r="457" spans="1:29" ht="48" customHeight="1">
      <c r="A457" s="81"/>
      <c r="B457" s="94"/>
      <c r="C457" s="81"/>
      <c r="D457" s="81"/>
      <c r="E457" s="80"/>
      <c r="F457" s="620"/>
      <c r="G457" s="620"/>
      <c r="H457" s="81"/>
      <c r="I457" s="81"/>
      <c r="J457" s="35"/>
      <c r="K457" s="36"/>
      <c r="L457" s="36"/>
      <c r="M457" s="36"/>
      <c r="N457" s="36"/>
      <c r="O457" s="36"/>
      <c r="P457" s="36"/>
      <c r="Q457" s="36"/>
      <c r="R457" s="36"/>
      <c r="S457" s="36"/>
      <c r="T457" s="36"/>
      <c r="U457" s="36"/>
      <c r="V457" s="36"/>
      <c r="W457" s="36"/>
      <c r="X457" s="36"/>
      <c r="Y457" s="36"/>
      <c r="Z457" s="36"/>
      <c r="AA457" s="36"/>
      <c r="AB457" s="36"/>
      <c r="AC457" s="36"/>
    </row>
    <row r="458" spans="1:29" ht="24" customHeight="1">
      <c r="A458" s="81"/>
      <c r="B458" s="94"/>
      <c r="C458" s="81"/>
      <c r="D458" s="81"/>
      <c r="E458" s="80"/>
      <c r="F458" s="620"/>
      <c r="G458" s="620"/>
      <c r="H458" s="81"/>
      <c r="I458" s="81"/>
      <c r="J458" s="35"/>
      <c r="K458" s="36"/>
      <c r="L458" s="36"/>
      <c r="M458" s="36"/>
      <c r="N458" s="36"/>
      <c r="O458" s="36"/>
      <c r="P458" s="36"/>
      <c r="Q458" s="36"/>
      <c r="R458" s="36"/>
      <c r="S458" s="36"/>
      <c r="T458" s="36"/>
      <c r="U458" s="36"/>
      <c r="V458" s="36"/>
      <c r="W458" s="36"/>
      <c r="X458" s="36"/>
      <c r="Y458" s="36"/>
      <c r="Z458" s="36"/>
      <c r="AA458" s="36"/>
      <c r="AB458" s="36"/>
      <c r="AC458" s="36"/>
    </row>
    <row r="459" spans="1:29" ht="36" customHeight="1">
      <c r="A459" s="81"/>
      <c r="B459" s="94"/>
      <c r="C459" s="81"/>
      <c r="D459" s="81"/>
      <c r="E459" s="80"/>
      <c r="F459" s="620"/>
      <c r="G459" s="620"/>
      <c r="H459" s="81"/>
      <c r="I459" s="81"/>
      <c r="J459" s="35"/>
      <c r="K459" s="36"/>
      <c r="L459" s="36"/>
      <c r="M459" s="36"/>
      <c r="N459" s="36"/>
      <c r="O459" s="36"/>
      <c r="P459" s="36"/>
      <c r="Q459" s="36"/>
      <c r="R459" s="36"/>
      <c r="S459" s="36"/>
      <c r="T459" s="36"/>
      <c r="U459" s="36"/>
      <c r="V459" s="36"/>
      <c r="W459" s="36"/>
      <c r="X459" s="36"/>
      <c r="Y459" s="36"/>
      <c r="Z459" s="36"/>
      <c r="AA459" s="36"/>
      <c r="AB459" s="36"/>
      <c r="AC459" s="36"/>
    </row>
    <row r="460" spans="1:29" ht="24" customHeight="1">
      <c r="A460" s="81"/>
      <c r="B460" s="94"/>
      <c r="C460" s="81"/>
      <c r="D460" s="81"/>
      <c r="E460" s="80"/>
      <c r="F460" s="620"/>
      <c r="G460" s="620"/>
      <c r="H460" s="81"/>
      <c r="I460" s="81"/>
      <c r="J460" s="35"/>
      <c r="K460" s="36"/>
      <c r="L460" s="36"/>
      <c r="M460" s="36"/>
      <c r="N460" s="36"/>
      <c r="O460" s="36"/>
      <c r="P460" s="36"/>
      <c r="Q460" s="36"/>
      <c r="R460" s="36"/>
      <c r="S460" s="36"/>
      <c r="T460" s="36"/>
      <c r="U460" s="36"/>
      <c r="V460" s="36"/>
      <c r="W460" s="36"/>
      <c r="X460" s="36"/>
      <c r="Y460" s="36"/>
      <c r="Z460" s="36"/>
      <c r="AA460" s="36"/>
      <c r="AB460" s="36"/>
      <c r="AC460" s="36"/>
    </row>
    <row r="461" spans="1:29" ht="24" customHeight="1">
      <c r="A461" s="81"/>
      <c r="B461" s="94"/>
      <c r="C461" s="81"/>
      <c r="D461" s="81"/>
      <c r="E461" s="80"/>
      <c r="F461" s="620"/>
      <c r="G461" s="620"/>
      <c r="H461" s="81"/>
      <c r="I461" s="81"/>
      <c r="J461" s="35"/>
      <c r="K461" s="36"/>
      <c r="L461" s="36"/>
      <c r="M461" s="36"/>
      <c r="N461" s="36"/>
      <c r="O461" s="36"/>
      <c r="P461" s="36"/>
      <c r="Q461" s="36"/>
      <c r="R461" s="36"/>
      <c r="S461" s="36"/>
      <c r="T461" s="36"/>
      <c r="U461" s="36"/>
      <c r="V461" s="36"/>
      <c r="W461" s="36"/>
      <c r="X461" s="36"/>
      <c r="Y461" s="36"/>
      <c r="Z461" s="36"/>
      <c r="AA461" s="36"/>
      <c r="AB461" s="36"/>
      <c r="AC461" s="36"/>
    </row>
    <row r="462" spans="1:29" ht="240" customHeight="1">
      <c r="A462" s="81"/>
      <c r="B462" s="94"/>
      <c r="C462" s="81"/>
      <c r="D462" s="81"/>
      <c r="E462" s="80"/>
      <c r="F462" s="620"/>
      <c r="G462" s="620"/>
      <c r="H462" s="81"/>
      <c r="I462" s="81"/>
      <c r="J462" s="35"/>
      <c r="K462" s="36"/>
      <c r="L462" s="36"/>
      <c r="M462" s="36"/>
      <c r="N462" s="36"/>
      <c r="O462" s="36"/>
      <c r="P462" s="36"/>
      <c r="Q462" s="36"/>
      <c r="R462" s="36"/>
      <c r="S462" s="36"/>
      <c r="T462" s="36"/>
      <c r="U462" s="36"/>
      <c r="V462" s="36"/>
      <c r="W462" s="36"/>
      <c r="X462" s="36"/>
      <c r="Y462" s="36"/>
      <c r="Z462" s="36"/>
      <c r="AA462" s="36"/>
      <c r="AB462" s="36"/>
      <c r="AC462" s="36"/>
    </row>
    <row r="463" spans="1:29" ht="60" customHeight="1">
      <c r="A463" s="81"/>
      <c r="B463" s="94"/>
      <c r="C463" s="81"/>
      <c r="D463" s="81"/>
      <c r="E463" s="80"/>
      <c r="F463" s="620"/>
      <c r="G463" s="620"/>
      <c r="H463" s="81"/>
      <c r="I463" s="81"/>
      <c r="J463" s="35"/>
      <c r="K463" s="36"/>
      <c r="L463" s="36"/>
      <c r="M463" s="36"/>
      <c r="N463" s="36"/>
      <c r="O463" s="36"/>
      <c r="P463" s="36"/>
      <c r="Q463" s="36"/>
      <c r="R463" s="36"/>
      <c r="S463" s="36"/>
      <c r="T463" s="36"/>
      <c r="U463" s="36"/>
      <c r="V463" s="36"/>
      <c r="W463" s="36"/>
      <c r="X463" s="36"/>
      <c r="Y463" s="36"/>
      <c r="Z463" s="36"/>
      <c r="AA463" s="36"/>
      <c r="AB463" s="36"/>
      <c r="AC463" s="36"/>
    </row>
    <row r="464" spans="1:29" ht="60" customHeight="1">
      <c r="A464" s="81"/>
      <c r="B464" s="94"/>
      <c r="C464" s="81"/>
      <c r="D464" s="81"/>
      <c r="E464" s="80"/>
      <c r="F464" s="620"/>
      <c r="G464" s="620"/>
      <c r="H464" s="81"/>
      <c r="I464" s="81"/>
      <c r="J464" s="35"/>
      <c r="K464" s="36"/>
      <c r="L464" s="36"/>
      <c r="M464" s="36"/>
      <c r="N464" s="36"/>
      <c r="O464" s="36"/>
      <c r="P464" s="36"/>
      <c r="Q464" s="36"/>
      <c r="R464" s="36"/>
      <c r="S464" s="36"/>
      <c r="T464" s="36"/>
      <c r="U464" s="36"/>
      <c r="V464" s="36"/>
      <c r="W464" s="36"/>
      <c r="X464" s="36"/>
      <c r="Y464" s="36"/>
      <c r="Z464" s="36"/>
      <c r="AA464" s="36"/>
      <c r="AB464" s="36"/>
      <c r="AC464" s="36"/>
    </row>
    <row r="465" spans="1:29" ht="24" customHeight="1">
      <c r="A465" s="81"/>
      <c r="B465" s="94"/>
      <c r="C465" s="81"/>
      <c r="D465" s="81"/>
      <c r="E465" s="80"/>
      <c r="F465" s="620"/>
      <c r="G465" s="620"/>
      <c r="H465" s="81"/>
      <c r="I465" s="81"/>
      <c r="J465" s="35"/>
      <c r="K465" s="36"/>
      <c r="L465" s="36"/>
      <c r="M465" s="36"/>
      <c r="N465" s="36"/>
      <c r="O465" s="36"/>
      <c r="P465" s="36"/>
      <c r="Q465" s="36"/>
      <c r="R465" s="36"/>
      <c r="S465" s="36"/>
      <c r="T465" s="36"/>
      <c r="U465" s="36"/>
      <c r="V465" s="36"/>
      <c r="W465" s="36"/>
      <c r="X465" s="36"/>
      <c r="Y465" s="36"/>
      <c r="Z465" s="36"/>
      <c r="AA465" s="36"/>
      <c r="AB465" s="36"/>
      <c r="AC465" s="36"/>
    </row>
    <row r="466" spans="1:29" ht="24" customHeight="1">
      <c r="A466" s="81"/>
      <c r="B466" s="94"/>
      <c r="C466" s="81"/>
      <c r="D466" s="81"/>
      <c r="E466" s="80"/>
      <c r="F466" s="620"/>
      <c r="G466" s="620"/>
      <c r="H466" s="81"/>
      <c r="I466" s="81"/>
      <c r="J466" s="35"/>
      <c r="K466" s="36"/>
      <c r="L466" s="36"/>
      <c r="M466" s="36"/>
      <c r="N466" s="36"/>
      <c r="O466" s="36"/>
      <c r="P466" s="36"/>
      <c r="Q466" s="36"/>
      <c r="R466" s="36"/>
      <c r="S466" s="36"/>
      <c r="T466" s="36"/>
      <c r="U466" s="36"/>
      <c r="V466" s="36"/>
      <c r="W466" s="36"/>
      <c r="X466" s="36"/>
      <c r="Y466" s="36"/>
      <c r="Z466" s="36"/>
      <c r="AA466" s="36"/>
      <c r="AB466" s="36"/>
      <c r="AC466" s="36"/>
    </row>
    <row r="467" spans="1:29" ht="84" customHeight="1">
      <c r="A467" s="81"/>
      <c r="B467" s="94"/>
      <c r="C467" s="81"/>
      <c r="D467" s="81"/>
      <c r="E467" s="80"/>
      <c r="F467" s="620"/>
      <c r="G467" s="620"/>
      <c r="H467" s="81"/>
      <c r="I467" s="81"/>
      <c r="J467" s="35"/>
      <c r="K467" s="36"/>
      <c r="L467" s="36"/>
      <c r="M467" s="36"/>
      <c r="N467" s="36"/>
      <c r="O467" s="36"/>
      <c r="P467" s="36"/>
      <c r="Q467" s="36"/>
      <c r="R467" s="36"/>
      <c r="S467" s="36"/>
      <c r="T467" s="36"/>
      <c r="U467" s="36"/>
      <c r="V467" s="36"/>
      <c r="W467" s="36"/>
      <c r="X467" s="36"/>
      <c r="Y467" s="36"/>
      <c r="Z467" s="36"/>
      <c r="AA467" s="36"/>
      <c r="AB467" s="36"/>
      <c r="AC467" s="36"/>
    </row>
    <row r="468" spans="1:29" ht="36" customHeight="1">
      <c r="A468" s="81"/>
      <c r="B468" s="94"/>
      <c r="C468" s="81"/>
      <c r="D468" s="81"/>
      <c r="E468" s="80"/>
      <c r="F468" s="620"/>
      <c r="G468" s="620"/>
      <c r="H468" s="81"/>
      <c r="I468" s="81"/>
      <c r="J468" s="35"/>
      <c r="K468" s="36"/>
      <c r="L468" s="36"/>
      <c r="M468" s="36"/>
      <c r="N468" s="36"/>
      <c r="O468" s="36"/>
      <c r="P468" s="36"/>
      <c r="Q468" s="36"/>
      <c r="R468" s="36"/>
      <c r="S468" s="36"/>
      <c r="T468" s="36"/>
      <c r="U468" s="36"/>
      <c r="V468" s="36"/>
      <c r="W468" s="36"/>
      <c r="X468" s="36"/>
      <c r="Y468" s="36"/>
      <c r="Z468" s="36"/>
      <c r="AA468" s="36"/>
      <c r="AB468" s="36"/>
      <c r="AC468" s="36"/>
    </row>
    <row r="469" spans="1:29" ht="24" customHeight="1">
      <c r="A469" s="81"/>
      <c r="B469" s="94"/>
      <c r="C469" s="81"/>
      <c r="D469" s="81"/>
      <c r="E469" s="80"/>
      <c r="F469" s="620"/>
      <c r="G469" s="620"/>
      <c r="H469" s="81"/>
      <c r="I469" s="81"/>
      <c r="J469" s="35"/>
      <c r="K469" s="36"/>
      <c r="L469" s="36"/>
      <c r="M469" s="36"/>
      <c r="N469" s="36"/>
      <c r="O469" s="36"/>
      <c r="P469" s="36"/>
      <c r="Q469" s="36"/>
      <c r="R469" s="36"/>
      <c r="S469" s="36"/>
      <c r="T469" s="36"/>
      <c r="U469" s="36"/>
      <c r="V469" s="36"/>
      <c r="W469" s="36"/>
      <c r="X469" s="36"/>
      <c r="Y469" s="36"/>
      <c r="Z469" s="36"/>
      <c r="AA469" s="36"/>
      <c r="AB469" s="36"/>
      <c r="AC469" s="36"/>
    </row>
    <row r="470" spans="1:29" ht="36" customHeight="1">
      <c r="A470" s="81"/>
      <c r="B470" s="94"/>
      <c r="C470" s="81"/>
      <c r="D470" s="81"/>
      <c r="E470" s="80"/>
      <c r="F470" s="620"/>
      <c r="G470" s="620"/>
      <c r="H470" s="81"/>
      <c r="I470" s="81"/>
      <c r="J470" s="35"/>
      <c r="K470" s="36"/>
      <c r="L470" s="36"/>
      <c r="M470" s="36"/>
      <c r="N470" s="36"/>
      <c r="O470" s="36"/>
      <c r="P470" s="36"/>
      <c r="Q470" s="36"/>
      <c r="R470" s="36"/>
      <c r="S470" s="36"/>
      <c r="T470" s="36"/>
      <c r="U470" s="36"/>
      <c r="V470" s="36"/>
      <c r="W470" s="36"/>
      <c r="X470" s="36"/>
      <c r="Y470" s="36"/>
      <c r="Z470" s="36"/>
      <c r="AA470" s="36"/>
      <c r="AB470" s="36"/>
      <c r="AC470" s="36"/>
    </row>
    <row r="471" spans="1:29" ht="24" customHeight="1">
      <c r="A471" s="81"/>
      <c r="B471" s="94"/>
      <c r="C471" s="81"/>
      <c r="D471" s="81"/>
      <c r="E471" s="80"/>
      <c r="F471" s="620"/>
      <c r="G471" s="620"/>
      <c r="H471" s="81"/>
      <c r="I471" s="81"/>
      <c r="J471" s="35"/>
      <c r="K471" s="36"/>
      <c r="L471" s="36"/>
      <c r="M471" s="36"/>
      <c r="N471" s="36"/>
      <c r="O471" s="36"/>
      <c r="P471" s="36"/>
      <c r="Q471" s="36"/>
      <c r="R471" s="36"/>
      <c r="S471" s="36"/>
      <c r="T471" s="36"/>
      <c r="U471" s="36"/>
      <c r="V471" s="36"/>
      <c r="W471" s="36"/>
      <c r="X471" s="36"/>
      <c r="Y471" s="36"/>
      <c r="Z471" s="36"/>
      <c r="AA471" s="36"/>
      <c r="AB471" s="36"/>
      <c r="AC471" s="36"/>
    </row>
    <row r="472" spans="1:29" ht="24" customHeight="1">
      <c r="A472" s="81"/>
      <c r="B472" s="94"/>
      <c r="C472" s="81"/>
      <c r="D472" s="81"/>
      <c r="E472" s="80"/>
      <c r="F472" s="620"/>
      <c r="G472" s="620"/>
      <c r="H472" s="81"/>
      <c r="I472" s="81"/>
      <c r="J472" s="35"/>
      <c r="K472" s="36"/>
      <c r="L472" s="36"/>
      <c r="M472" s="36"/>
      <c r="N472" s="36"/>
      <c r="O472" s="36"/>
      <c r="P472" s="36"/>
      <c r="Q472" s="36"/>
      <c r="R472" s="36"/>
      <c r="S472" s="36"/>
      <c r="T472" s="36"/>
      <c r="U472" s="36"/>
      <c r="V472" s="36"/>
      <c r="W472" s="36"/>
      <c r="X472" s="36"/>
      <c r="Y472" s="36"/>
      <c r="Z472" s="36"/>
      <c r="AA472" s="36"/>
      <c r="AB472" s="36"/>
      <c r="AC472" s="36"/>
    </row>
    <row r="473" spans="1:29" ht="24" customHeight="1">
      <c r="A473" s="81"/>
      <c r="B473" s="94"/>
      <c r="C473" s="81"/>
      <c r="D473" s="81"/>
      <c r="E473" s="80"/>
      <c r="F473" s="620"/>
      <c r="G473" s="620"/>
      <c r="H473" s="81"/>
      <c r="I473" s="81"/>
      <c r="J473" s="35"/>
      <c r="K473" s="36"/>
      <c r="L473" s="36"/>
      <c r="M473" s="36"/>
      <c r="N473" s="36"/>
      <c r="O473" s="36"/>
      <c r="P473" s="36"/>
      <c r="Q473" s="36"/>
      <c r="R473" s="36"/>
      <c r="S473" s="36"/>
      <c r="T473" s="36"/>
      <c r="U473" s="36"/>
      <c r="V473" s="36"/>
      <c r="W473" s="36"/>
      <c r="X473" s="36"/>
      <c r="Y473" s="36"/>
      <c r="Z473" s="36"/>
      <c r="AA473" s="36"/>
      <c r="AB473" s="36"/>
      <c r="AC473" s="36"/>
    </row>
    <row r="474" spans="1:29" ht="12" customHeight="1">
      <c r="A474" s="81"/>
      <c r="B474" s="94"/>
      <c r="C474" s="81"/>
      <c r="D474" s="81"/>
      <c r="E474" s="80"/>
      <c r="F474" s="620"/>
      <c r="G474" s="620"/>
      <c r="H474" s="81"/>
      <c r="I474" s="81"/>
      <c r="J474" s="35"/>
      <c r="K474" s="36"/>
      <c r="L474" s="36"/>
      <c r="M474" s="36"/>
      <c r="N474" s="36"/>
      <c r="O474" s="36"/>
      <c r="P474" s="36"/>
      <c r="Q474" s="36"/>
      <c r="R474" s="36"/>
      <c r="S474" s="36"/>
      <c r="T474" s="36"/>
      <c r="U474" s="36"/>
      <c r="V474" s="36"/>
      <c r="W474" s="36"/>
      <c r="X474" s="36"/>
      <c r="Y474" s="36"/>
      <c r="Z474" s="36"/>
      <c r="AA474" s="36"/>
      <c r="AB474" s="36"/>
      <c r="AC474" s="36"/>
    </row>
    <row r="475" spans="1:29" ht="24" customHeight="1">
      <c r="A475" s="81"/>
      <c r="B475" s="94"/>
      <c r="C475" s="81"/>
      <c r="D475" s="81"/>
      <c r="E475" s="80"/>
      <c r="F475" s="620"/>
      <c r="G475" s="620"/>
      <c r="H475" s="81"/>
      <c r="I475" s="81"/>
      <c r="J475" s="35"/>
      <c r="K475" s="36"/>
      <c r="L475" s="36"/>
      <c r="M475" s="36"/>
      <c r="N475" s="36"/>
      <c r="O475" s="36"/>
      <c r="P475" s="36"/>
      <c r="Q475" s="36"/>
      <c r="R475" s="36"/>
      <c r="S475" s="36"/>
      <c r="T475" s="36"/>
      <c r="U475" s="36"/>
      <c r="V475" s="36"/>
      <c r="W475" s="36"/>
      <c r="X475" s="36"/>
      <c r="Y475" s="36"/>
      <c r="Z475" s="36"/>
      <c r="AA475" s="36"/>
      <c r="AB475" s="36"/>
      <c r="AC475" s="36"/>
    </row>
    <row r="476" spans="1:29" ht="24" customHeight="1">
      <c r="A476" s="81"/>
      <c r="B476" s="94"/>
      <c r="C476" s="81"/>
      <c r="D476" s="81"/>
      <c r="E476" s="80"/>
      <c r="F476" s="620"/>
      <c r="G476" s="620"/>
      <c r="H476" s="81"/>
      <c r="I476" s="81"/>
      <c r="J476" s="35"/>
      <c r="K476" s="36"/>
      <c r="L476" s="36"/>
      <c r="M476" s="36"/>
      <c r="N476" s="36"/>
      <c r="O476" s="36"/>
      <c r="P476" s="36"/>
      <c r="Q476" s="36"/>
      <c r="R476" s="36"/>
      <c r="S476" s="36"/>
      <c r="T476" s="36"/>
      <c r="U476" s="36"/>
      <c r="V476" s="36"/>
      <c r="W476" s="36"/>
      <c r="X476" s="36"/>
      <c r="Y476" s="36"/>
      <c r="Z476" s="36"/>
      <c r="AA476" s="36"/>
      <c r="AB476" s="36"/>
      <c r="AC476" s="36"/>
    </row>
    <row r="477" spans="1:29" ht="24" customHeight="1">
      <c r="A477" s="81"/>
      <c r="B477" s="94"/>
      <c r="C477" s="81"/>
      <c r="D477" s="81"/>
      <c r="E477" s="80"/>
      <c r="F477" s="620"/>
      <c r="G477" s="620"/>
      <c r="H477" s="81"/>
      <c r="I477" s="81"/>
      <c r="J477" s="35"/>
      <c r="K477" s="36"/>
      <c r="L477" s="36"/>
      <c r="M477" s="36"/>
      <c r="N477" s="36"/>
      <c r="O477" s="36"/>
      <c r="P477" s="36"/>
      <c r="Q477" s="36"/>
      <c r="R477" s="36"/>
      <c r="S477" s="36"/>
      <c r="T477" s="36"/>
      <c r="U477" s="36"/>
      <c r="V477" s="36"/>
      <c r="W477" s="36"/>
      <c r="X477" s="36"/>
      <c r="Y477" s="36"/>
      <c r="Z477" s="36"/>
      <c r="AA477" s="36"/>
      <c r="AB477" s="36"/>
      <c r="AC477" s="36"/>
    </row>
    <row r="478" spans="1:29" ht="24" customHeight="1">
      <c r="A478" s="81"/>
      <c r="B478" s="94"/>
      <c r="C478" s="81"/>
      <c r="D478" s="81"/>
      <c r="E478" s="80"/>
      <c r="F478" s="620"/>
      <c r="G478" s="620"/>
      <c r="H478" s="81"/>
      <c r="I478" s="81"/>
      <c r="J478" s="35"/>
      <c r="K478" s="36"/>
      <c r="L478" s="36"/>
      <c r="M478" s="36"/>
      <c r="N478" s="36"/>
      <c r="O478" s="36"/>
      <c r="P478" s="36"/>
      <c r="Q478" s="36"/>
      <c r="R478" s="36"/>
      <c r="S478" s="36"/>
      <c r="T478" s="36"/>
      <c r="U478" s="36"/>
      <c r="V478" s="36"/>
      <c r="W478" s="36"/>
      <c r="X478" s="36"/>
      <c r="Y478" s="36"/>
      <c r="Z478" s="36"/>
      <c r="AA478" s="36"/>
      <c r="AB478" s="36"/>
      <c r="AC478" s="36"/>
    </row>
    <row r="479" spans="1:29" ht="24" customHeight="1">
      <c r="A479" s="81"/>
      <c r="B479" s="94"/>
      <c r="C479" s="81"/>
      <c r="D479" s="81"/>
      <c r="E479" s="80"/>
      <c r="F479" s="620"/>
      <c r="G479" s="620"/>
      <c r="H479" s="81"/>
      <c r="I479" s="81"/>
      <c r="J479" s="35"/>
      <c r="K479" s="36"/>
      <c r="L479" s="36"/>
      <c r="M479" s="36"/>
      <c r="N479" s="36"/>
      <c r="O479" s="36"/>
      <c r="P479" s="36"/>
      <c r="Q479" s="36"/>
      <c r="R479" s="36"/>
      <c r="S479" s="36"/>
      <c r="T479" s="36"/>
      <c r="U479" s="36"/>
      <c r="V479" s="36"/>
      <c r="W479" s="36"/>
      <c r="X479" s="36"/>
      <c r="Y479" s="36"/>
      <c r="Z479" s="36"/>
      <c r="AA479" s="36"/>
      <c r="AB479" s="36"/>
      <c r="AC479" s="36"/>
    </row>
    <row r="480" spans="1:29" ht="60" customHeight="1">
      <c r="A480" s="81"/>
      <c r="B480" s="94"/>
      <c r="C480" s="81"/>
      <c r="D480" s="81"/>
      <c r="E480" s="80"/>
      <c r="F480" s="620"/>
      <c r="G480" s="620"/>
      <c r="H480" s="81"/>
      <c r="I480" s="81"/>
      <c r="J480" s="35"/>
      <c r="K480" s="36"/>
      <c r="L480" s="36"/>
      <c r="M480" s="36"/>
      <c r="N480" s="36"/>
      <c r="O480" s="36"/>
      <c r="P480" s="36"/>
      <c r="Q480" s="36"/>
      <c r="R480" s="36"/>
      <c r="S480" s="36"/>
      <c r="T480" s="36"/>
      <c r="U480" s="36"/>
      <c r="V480" s="36"/>
      <c r="W480" s="36"/>
      <c r="X480" s="36"/>
      <c r="Y480" s="36"/>
      <c r="Z480" s="36"/>
      <c r="AA480" s="36"/>
      <c r="AB480" s="36"/>
      <c r="AC480" s="36"/>
    </row>
    <row r="481" spans="1:29" ht="24" customHeight="1">
      <c r="A481" s="81"/>
      <c r="B481" s="94"/>
      <c r="C481" s="81"/>
      <c r="D481" s="81"/>
      <c r="E481" s="80"/>
      <c r="F481" s="620"/>
      <c r="G481" s="620"/>
      <c r="H481" s="81"/>
      <c r="I481" s="81"/>
      <c r="J481" s="35"/>
      <c r="K481" s="36"/>
      <c r="L481" s="36"/>
      <c r="M481" s="36"/>
      <c r="N481" s="36"/>
      <c r="O481" s="36"/>
      <c r="P481" s="36"/>
      <c r="Q481" s="36"/>
      <c r="R481" s="36"/>
      <c r="S481" s="36"/>
      <c r="T481" s="36"/>
      <c r="U481" s="36"/>
      <c r="V481" s="36"/>
      <c r="W481" s="36"/>
      <c r="X481" s="36"/>
      <c r="Y481" s="36"/>
      <c r="Z481" s="36"/>
      <c r="AA481" s="36"/>
      <c r="AB481" s="36"/>
      <c r="AC481" s="36"/>
    </row>
    <row r="482" spans="1:29" ht="96" customHeight="1">
      <c r="A482" s="81"/>
      <c r="B482" s="94"/>
      <c r="C482" s="81"/>
      <c r="D482" s="81"/>
      <c r="E482" s="80"/>
      <c r="F482" s="620"/>
      <c r="G482" s="620"/>
      <c r="H482" s="81"/>
      <c r="I482" s="81"/>
      <c r="J482" s="35"/>
      <c r="K482" s="36"/>
      <c r="L482" s="36"/>
      <c r="M482" s="36"/>
      <c r="N482" s="36"/>
      <c r="O482" s="36"/>
      <c r="P482" s="36"/>
      <c r="Q482" s="36"/>
      <c r="R482" s="36"/>
      <c r="S482" s="36"/>
      <c r="T482" s="36"/>
      <c r="U482" s="36"/>
      <c r="V482" s="36"/>
      <c r="W482" s="36"/>
      <c r="X482" s="36"/>
      <c r="Y482" s="36"/>
      <c r="Z482" s="36"/>
      <c r="AA482" s="36"/>
      <c r="AB482" s="36"/>
      <c r="AC482" s="36"/>
    </row>
    <row r="483" spans="1:29" ht="48" customHeight="1">
      <c r="A483" s="81"/>
      <c r="B483" s="94"/>
      <c r="C483" s="81"/>
      <c r="D483" s="81"/>
      <c r="E483" s="80"/>
      <c r="F483" s="620"/>
      <c r="G483" s="620"/>
      <c r="H483" s="81"/>
      <c r="I483" s="81"/>
      <c r="J483" s="35"/>
      <c r="K483" s="36"/>
      <c r="L483" s="36"/>
      <c r="M483" s="36"/>
      <c r="N483" s="36"/>
      <c r="O483" s="36"/>
      <c r="P483" s="36"/>
      <c r="Q483" s="36"/>
      <c r="R483" s="36"/>
      <c r="S483" s="36"/>
      <c r="T483" s="36"/>
      <c r="U483" s="36"/>
      <c r="V483" s="36"/>
      <c r="W483" s="36"/>
      <c r="X483" s="36"/>
      <c r="Y483" s="36"/>
      <c r="Z483" s="36"/>
      <c r="AA483" s="36"/>
      <c r="AB483" s="36"/>
      <c r="AC483" s="36"/>
    </row>
    <row r="484" spans="1:29" ht="48" customHeight="1">
      <c r="A484" s="81"/>
      <c r="B484" s="94"/>
      <c r="C484" s="81"/>
      <c r="D484" s="81"/>
      <c r="E484" s="80"/>
      <c r="F484" s="620"/>
      <c r="G484" s="620"/>
      <c r="H484" s="81"/>
      <c r="I484" s="81"/>
      <c r="J484" s="35"/>
      <c r="K484" s="36"/>
      <c r="L484" s="36"/>
      <c r="M484" s="36"/>
      <c r="N484" s="36"/>
      <c r="O484" s="36"/>
      <c r="P484" s="36"/>
      <c r="Q484" s="36"/>
      <c r="R484" s="36"/>
      <c r="S484" s="36"/>
      <c r="T484" s="36"/>
      <c r="U484" s="36"/>
      <c r="V484" s="36"/>
      <c r="W484" s="36"/>
      <c r="X484" s="36"/>
      <c r="Y484" s="36"/>
      <c r="Z484" s="36"/>
      <c r="AA484" s="36"/>
      <c r="AB484" s="36"/>
      <c r="AC484" s="36"/>
    </row>
    <row r="485" spans="1:29" ht="24" customHeight="1">
      <c r="A485" s="81"/>
      <c r="B485" s="94"/>
      <c r="C485" s="81"/>
      <c r="D485" s="81"/>
      <c r="E485" s="80"/>
      <c r="F485" s="620"/>
      <c r="G485" s="620"/>
      <c r="H485" s="81"/>
      <c r="I485" s="81"/>
      <c r="J485" s="35"/>
      <c r="K485" s="36"/>
      <c r="L485" s="36"/>
      <c r="M485" s="36"/>
      <c r="N485" s="36"/>
      <c r="O485" s="36"/>
      <c r="P485" s="36"/>
      <c r="Q485" s="36"/>
      <c r="R485" s="36"/>
      <c r="S485" s="36"/>
      <c r="T485" s="36"/>
      <c r="U485" s="36"/>
      <c r="V485" s="36"/>
      <c r="W485" s="36"/>
      <c r="X485" s="36"/>
      <c r="Y485" s="36"/>
      <c r="Z485" s="36"/>
      <c r="AA485" s="36"/>
      <c r="AB485" s="36"/>
      <c r="AC485" s="36"/>
    </row>
    <row r="486" spans="1:29" ht="24" customHeight="1">
      <c r="A486" s="81"/>
      <c r="B486" s="94"/>
      <c r="C486" s="81"/>
      <c r="D486" s="81"/>
      <c r="E486" s="80"/>
      <c r="F486" s="620"/>
      <c r="G486" s="620"/>
      <c r="H486" s="81"/>
      <c r="I486" s="81"/>
      <c r="J486" s="35"/>
      <c r="K486" s="36"/>
      <c r="L486" s="36"/>
      <c r="M486" s="36"/>
      <c r="N486" s="36"/>
      <c r="O486" s="36"/>
      <c r="P486" s="36"/>
      <c r="Q486" s="36"/>
      <c r="R486" s="36"/>
      <c r="S486" s="36"/>
      <c r="T486" s="36"/>
      <c r="U486" s="36"/>
      <c r="V486" s="36"/>
      <c r="W486" s="36"/>
      <c r="X486" s="36"/>
      <c r="Y486" s="36"/>
      <c r="Z486" s="36"/>
      <c r="AA486" s="36"/>
      <c r="AB486" s="36"/>
      <c r="AC486" s="36"/>
    </row>
    <row r="487" spans="1:29" ht="12" customHeight="1">
      <c r="A487" s="81"/>
      <c r="B487" s="94"/>
      <c r="C487" s="81"/>
      <c r="D487" s="81"/>
      <c r="E487" s="80"/>
      <c r="F487" s="620"/>
      <c r="G487" s="620"/>
      <c r="H487" s="81"/>
      <c r="I487" s="81"/>
      <c r="J487" s="35"/>
      <c r="K487" s="36"/>
      <c r="L487" s="36"/>
      <c r="M487" s="36"/>
      <c r="N487" s="36"/>
      <c r="O487" s="36"/>
      <c r="P487" s="36"/>
      <c r="Q487" s="36"/>
      <c r="R487" s="36"/>
      <c r="S487" s="36"/>
      <c r="T487" s="36"/>
      <c r="U487" s="36"/>
      <c r="V487" s="36"/>
      <c r="W487" s="36"/>
      <c r="X487" s="36"/>
      <c r="Y487" s="36"/>
      <c r="Z487" s="36"/>
      <c r="AA487" s="36"/>
      <c r="AB487" s="36"/>
      <c r="AC487" s="36"/>
    </row>
    <row r="488" spans="1:29" ht="36" customHeight="1">
      <c r="A488" s="81"/>
      <c r="B488" s="94"/>
      <c r="C488" s="81"/>
      <c r="D488" s="81"/>
      <c r="E488" s="80"/>
      <c r="F488" s="620"/>
      <c r="G488" s="620"/>
      <c r="H488" s="81"/>
      <c r="I488" s="81"/>
      <c r="J488" s="35"/>
      <c r="K488" s="36"/>
      <c r="L488" s="36"/>
      <c r="M488" s="36"/>
      <c r="N488" s="36"/>
      <c r="O488" s="36"/>
      <c r="P488" s="36"/>
      <c r="Q488" s="36"/>
      <c r="R488" s="36"/>
      <c r="S488" s="36"/>
      <c r="T488" s="36"/>
      <c r="U488" s="36"/>
      <c r="V488" s="36"/>
      <c r="W488" s="36"/>
      <c r="X488" s="36"/>
      <c r="Y488" s="36"/>
      <c r="Z488" s="36"/>
      <c r="AA488" s="36"/>
      <c r="AB488" s="36"/>
      <c r="AC488" s="36"/>
    </row>
    <row r="489" spans="1:29" ht="36" customHeight="1">
      <c r="A489" s="81"/>
      <c r="B489" s="94"/>
      <c r="C489" s="81"/>
      <c r="D489" s="81"/>
      <c r="E489" s="80"/>
      <c r="F489" s="620"/>
      <c r="G489" s="620"/>
      <c r="H489" s="81"/>
      <c r="I489" s="81"/>
      <c r="J489" s="35"/>
      <c r="K489" s="36"/>
      <c r="L489" s="36"/>
      <c r="M489" s="36"/>
      <c r="N489" s="36"/>
      <c r="O489" s="36"/>
      <c r="P489" s="36"/>
      <c r="Q489" s="36"/>
      <c r="R489" s="36"/>
      <c r="S489" s="36"/>
      <c r="T489" s="36"/>
      <c r="U489" s="36"/>
      <c r="V489" s="36"/>
      <c r="W489" s="36"/>
      <c r="X489" s="36"/>
      <c r="Y489" s="36"/>
      <c r="Z489" s="36"/>
      <c r="AA489" s="36"/>
      <c r="AB489" s="36"/>
      <c r="AC489" s="36"/>
    </row>
    <row r="490" spans="1:29" ht="24" customHeight="1">
      <c r="A490" s="81"/>
      <c r="B490" s="94"/>
      <c r="C490" s="81"/>
      <c r="D490" s="81"/>
      <c r="E490" s="80"/>
      <c r="F490" s="620"/>
      <c r="G490" s="620"/>
      <c r="H490" s="81"/>
      <c r="I490" s="81"/>
      <c r="J490" s="35"/>
      <c r="K490" s="36"/>
      <c r="L490" s="36"/>
      <c r="M490" s="36"/>
      <c r="N490" s="36"/>
      <c r="O490" s="36"/>
      <c r="P490" s="36"/>
      <c r="Q490" s="36"/>
      <c r="R490" s="36"/>
      <c r="S490" s="36"/>
      <c r="T490" s="36"/>
      <c r="U490" s="36"/>
      <c r="V490" s="36"/>
      <c r="W490" s="36"/>
      <c r="X490" s="36"/>
      <c r="Y490" s="36"/>
      <c r="Z490" s="36"/>
      <c r="AA490" s="36"/>
      <c r="AB490" s="36"/>
      <c r="AC490" s="36"/>
    </row>
    <row r="491" spans="1:29" ht="48" customHeight="1">
      <c r="A491" s="81"/>
      <c r="B491" s="94"/>
      <c r="C491" s="81"/>
      <c r="D491" s="81"/>
      <c r="E491" s="80"/>
      <c r="F491" s="620"/>
      <c r="G491" s="620"/>
      <c r="H491" s="81"/>
      <c r="I491" s="81"/>
      <c r="J491" s="35"/>
      <c r="K491" s="36"/>
      <c r="L491" s="36"/>
      <c r="M491" s="36"/>
      <c r="N491" s="36"/>
      <c r="O491" s="36"/>
      <c r="P491" s="36"/>
      <c r="Q491" s="36"/>
      <c r="R491" s="36"/>
      <c r="S491" s="36"/>
      <c r="T491" s="36"/>
      <c r="U491" s="36"/>
      <c r="V491" s="36"/>
      <c r="W491" s="36"/>
      <c r="X491" s="36"/>
      <c r="Y491" s="36"/>
      <c r="Z491" s="36"/>
      <c r="AA491" s="36"/>
      <c r="AB491" s="36"/>
      <c r="AC491" s="36"/>
    </row>
    <row r="492" spans="1:29" ht="24" customHeight="1">
      <c r="A492" s="81"/>
      <c r="B492" s="94"/>
      <c r="C492" s="81"/>
      <c r="D492" s="81"/>
      <c r="E492" s="80"/>
      <c r="F492" s="620"/>
      <c r="G492" s="620"/>
      <c r="H492" s="81"/>
      <c r="I492" s="81"/>
      <c r="J492" s="35"/>
      <c r="K492" s="36"/>
      <c r="L492" s="36"/>
      <c r="M492" s="36"/>
      <c r="N492" s="36"/>
      <c r="O492" s="36"/>
      <c r="P492" s="36"/>
      <c r="Q492" s="36"/>
      <c r="R492" s="36"/>
      <c r="S492" s="36"/>
      <c r="T492" s="36"/>
      <c r="U492" s="36"/>
      <c r="V492" s="36"/>
      <c r="W492" s="36"/>
      <c r="X492" s="36"/>
      <c r="Y492" s="36"/>
      <c r="Z492" s="36"/>
      <c r="AA492" s="36"/>
      <c r="AB492" s="36"/>
      <c r="AC492" s="36"/>
    </row>
    <row r="493" spans="1:29" ht="24" customHeight="1">
      <c r="A493" s="81"/>
      <c r="B493" s="94"/>
      <c r="C493" s="81"/>
      <c r="D493" s="81"/>
      <c r="E493" s="80"/>
      <c r="F493" s="620"/>
      <c r="G493" s="620"/>
      <c r="H493" s="81"/>
      <c r="I493" s="81"/>
      <c r="J493" s="35"/>
      <c r="K493" s="36"/>
      <c r="L493" s="36"/>
      <c r="M493" s="36"/>
      <c r="N493" s="36"/>
      <c r="O493" s="36"/>
      <c r="P493" s="36"/>
      <c r="Q493" s="36"/>
      <c r="R493" s="36"/>
      <c r="S493" s="36"/>
      <c r="T493" s="36"/>
      <c r="U493" s="36"/>
      <c r="V493" s="36"/>
      <c r="W493" s="36"/>
      <c r="X493" s="36"/>
      <c r="Y493" s="36"/>
      <c r="Z493" s="36"/>
      <c r="AA493" s="36"/>
      <c r="AB493" s="36"/>
      <c r="AC493" s="36"/>
    </row>
    <row r="494" spans="1:29" ht="36" customHeight="1">
      <c r="A494" s="81"/>
      <c r="B494" s="94"/>
      <c r="C494" s="81"/>
      <c r="D494" s="81"/>
      <c r="E494" s="80"/>
      <c r="F494" s="620"/>
      <c r="G494" s="620"/>
      <c r="H494" s="81"/>
      <c r="I494" s="81"/>
      <c r="J494" s="35"/>
      <c r="K494" s="36"/>
      <c r="L494" s="36"/>
      <c r="M494" s="36"/>
      <c r="N494" s="36"/>
      <c r="O494" s="36"/>
      <c r="P494" s="36"/>
      <c r="Q494" s="36"/>
      <c r="R494" s="36"/>
      <c r="S494" s="36"/>
      <c r="T494" s="36"/>
      <c r="U494" s="36"/>
      <c r="V494" s="36"/>
      <c r="W494" s="36"/>
      <c r="X494" s="36"/>
      <c r="Y494" s="36"/>
      <c r="Z494" s="36"/>
      <c r="AA494" s="36"/>
      <c r="AB494" s="36"/>
      <c r="AC494" s="36"/>
    </row>
    <row r="495" spans="1:29" ht="48" customHeight="1">
      <c r="A495" s="81"/>
      <c r="B495" s="94"/>
      <c r="C495" s="81"/>
      <c r="D495" s="81"/>
      <c r="E495" s="80"/>
      <c r="F495" s="620"/>
      <c r="G495" s="620"/>
      <c r="H495" s="81"/>
      <c r="I495" s="81"/>
      <c r="J495" s="35"/>
      <c r="K495" s="36"/>
      <c r="L495" s="36"/>
      <c r="M495" s="36"/>
      <c r="N495" s="36"/>
      <c r="O495" s="36"/>
      <c r="P495" s="36"/>
      <c r="Q495" s="36"/>
      <c r="R495" s="36"/>
      <c r="S495" s="36"/>
      <c r="T495" s="36"/>
      <c r="U495" s="36"/>
      <c r="V495" s="36"/>
      <c r="W495" s="36"/>
      <c r="X495" s="36"/>
      <c r="Y495" s="36"/>
      <c r="Z495" s="36"/>
      <c r="AA495" s="36"/>
      <c r="AB495" s="36"/>
      <c r="AC495" s="36"/>
    </row>
    <row r="496" spans="1:29" ht="48" customHeight="1">
      <c r="A496" s="81"/>
      <c r="B496" s="94"/>
      <c r="C496" s="81"/>
      <c r="D496" s="81"/>
      <c r="E496" s="80"/>
      <c r="F496" s="620"/>
      <c r="G496" s="620"/>
      <c r="H496" s="81"/>
      <c r="I496" s="81"/>
      <c r="J496" s="35"/>
      <c r="K496" s="36"/>
      <c r="L496" s="36"/>
      <c r="M496" s="36"/>
      <c r="N496" s="36"/>
      <c r="O496" s="36"/>
      <c r="P496" s="36"/>
      <c r="Q496" s="36"/>
      <c r="R496" s="36"/>
      <c r="S496" s="36"/>
      <c r="T496" s="36"/>
      <c r="U496" s="36"/>
      <c r="V496" s="36"/>
      <c r="W496" s="36"/>
      <c r="X496" s="36"/>
      <c r="Y496" s="36"/>
      <c r="Z496" s="36"/>
      <c r="AA496" s="36"/>
      <c r="AB496" s="36"/>
      <c r="AC496" s="36"/>
    </row>
    <row r="497" spans="1:29" ht="36" customHeight="1">
      <c r="A497" s="81"/>
      <c r="B497" s="94"/>
      <c r="C497" s="81"/>
      <c r="D497" s="81"/>
      <c r="E497" s="80"/>
      <c r="F497" s="620"/>
      <c r="G497" s="620"/>
      <c r="H497" s="81"/>
      <c r="I497" s="81"/>
      <c r="J497" s="35"/>
      <c r="K497" s="36"/>
      <c r="L497" s="36"/>
      <c r="M497" s="36"/>
      <c r="N497" s="36"/>
      <c r="O497" s="36"/>
      <c r="P497" s="36"/>
      <c r="Q497" s="36"/>
      <c r="R497" s="36"/>
      <c r="S497" s="36"/>
      <c r="T497" s="36"/>
      <c r="U497" s="36"/>
      <c r="V497" s="36"/>
      <c r="W497" s="36"/>
      <c r="X497" s="36"/>
      <c r="Y497" s="36"/>
      <c r="Z497" s="36"/>
      <c r="AA497" s="36"/>
      <c r="AB497" s="36"/>
      <c r="AC497" s="36"/>
    </row>
    <row r="498" spans="1:29" ht="24" customHeight="1">
      <c r="A498" s="81"/>
      <c r="B498" s="94"/>
      <c r="C498" s="81"/>
      <c r="D498" s="81"/>
      <c r="E498" s="80"/>
      <c r="F498" s="620"/>
      <c r="G498" s="620"/>
      <c r="H498" s="81"/>
      <c r="I498" s="81"/>
      <c r="J498" s="35"/>
      <c r="K498" s="36"/>
      <c r="L498" s="36"/>
      <c r="M498" s="36"/>
      <c r="N498" s="36"/>
      <c r="O498" s="36"/>
      <c r="P498" s="36"/>
      <c r="Q498" s="36"/>
      <c r="R498" s="36"/>
      <c r="S498" s="36"/>
      <c r="T498" s="36"/>
      <c r="U498" s="36"/>
      <c r="V498" s="36"/>
      <c r="W498" s="36"/>
      <c r="X498" s="36"/>
      <c r="Y498" s="36"/>
      <c r="Z498" s="36"/>
      <c r="AA498" s="36"/>
      <c r="AB498" s="36"/>
      <c r="AC498" s="36"/>
    </row>
    <row r="499" spans="1:29" ht="24" customHeight="1">
      <c r="A499" s="81"/>
      <c r="B499" s="94"/>
      <c r="C499" s="81"/>
      <c r="D499" s="81"/>
      <c r="E499" s="80"/>
      <c r="F499" s="620"/>
      <c r="G499" s="620"/>
      <c r="H499" s="81"/>
      <c r="I499" s="81"/>
      <c r="J499" s="35"/>
      <c r="K499" s="36"/>
      <c r="L499" s="36"/>
      <c r="M499" s="36"/>
      <c r="N499" s="36"/>
      <c r="O499" s="36"/>
      <c r="P499" s="36"/>
      <c r="Q499" s="36"/>
      <c r="R499" s="36"/>
      <c r="S499" s="36"/>
      <c r="T499" s="36"/>
      <c r="U499" s="36"/>
      <c r="V499" s="36"/>
      <c r="W499" s="36"/>
      <c r="X499" s="36"/>
      <c r="Y499" s="36"/>
      <c r="Z499" s="36"/>
      <c r="AA499" s="36"/>
      <c r="AB499" s="36"/>
      <c r="AC499" s="36"/>
    </row>
    <row r="500" spans="1:29" ht="24" customHeight="1">
      <c r="A500" s="81"/>
      <c r="B500" s="94"/>
      <c r="C500" s="81"/>
      <c r="D500" s="81"/>
      <c r="E500" s="80"/>
      <c r="F500" s="620"/>
      <c r="G500" s="620"/>
      <c r="H500" s="81"/>
      <c r="I500" s="81"/>
      <c r="J500" s="35"/>
      <c r="K500" s="36"/>
      <c r="L500" s="36"/>
      <c r="M500" s="36"/>
      <c r="N500" s="36"/>
      <c r="O500" s="36"/>
      <c r="P500" s="36"/>
      <c r="Q500" s="36"/>
      <c r="R500" s="36"/>
      <c r="S500" s="36"/>
      <c r="T500" s="36"/>
      <c r="U500" s="36"/>
      <c r="V500" s="36"/>
      <c r="W500" s="36"/>
      <c r="X500" s="36"/>
      <c r="Y500" s="36"/>
      <c r="Z500" s="36"/>
      <c r="AA500" s="36"/>
      <c r="AB500" s="36"/>
      <c r="AC500" s="36"/>
    </row>
    <row r="501" spans="1:29" ht="24" customHeight="1">
      <c r="A501" s="81"/>
      <c r="B501" s="94"/>
      <c r="C501" s="81"/>
      <c r="D501" s="81"/>
      <c r="E501" s="80"/>
      <c r="F501" s="620"/>
      <c r="G501" s="620"/>
      <c r="H501" s="81"/>
      <c r="I501" s="81"/>
      <c r="J501" s="35"/>
      <c r="K501" s="36"/>
      <c r="L501" s="36"/>
      <c r="M501" s="36"/>
      <c r="N501" s="36"/>
      <c r="O501" s="36"/>
      <c r="P501" s="36"/>
      <c r="Q501" s="36"/>
      <c r="R501" s="36"/>
      <c r="S501" s="36"/>
      <c r="T501" s="36"/>
      <c r="U501" s="36"/>
      <c r="V501" s="36"/>
      <c r="W501" s="36"/>
      <c r="X501" s="36"/>
      <c r="Y501" s="36"/>
      <c r="Z501" s="36"/>
      <c r="AA501" s="36"/>
      <c r="AB501" s="36"/>
      <c r="AC501" s="36"/>
    </row>
    <row r="502" spans="1:29" ht="96" customHeight="1">
      <c r="A502" s="81"/>
      <c r="B502" s="94"/>
      <c r="C502" s="81"/>
      <c r="D502" s="81"/>
      <c r="E502" s="80"/>
      <c r="F502" s="620"/>
      <c r="G502" s="620"/>
      <c r="H502" s="81"/>
      <c r="I502" s="81"/>
      <c r="J502" s="35"/>
      <c r="K502" s="36"/>
      <c r="L502" s="36"/>
      <c r="M502" s="36"/>
      <c r="N502" s="36"/>
      <c r="O502" s="36"/>
      <c r="P502" s="36"/>
      <c r="Q502" s="36"/>
      <c r="R502" s="36"/>
      <c r="S502" s="36"/>
      <c r="T502" s="36"/>
      <c r="U502" s="36"/>
      <c r="V502" s="36"/>
      <c r="W502" s="36"/>
      <c r="X502" s="36"/>
      <c r="Y502" s="36"/>
      <c r="Z502" s="36"/>
      <c r="AA502" s="36"/>
      <c r="AB502" s="36"/>
      <c r="AC502" s="36"/>
    </row>
    <row r="503" spans="1:29" ht="36" customHeight="1">
      <c r="A503" s="81"/>
      <c r="B503" s="94"/>
      <c r="C503" s="81"/>
      <c r="D503" s="81"/>
      <c r="E503" s="80"/>
      <c r="F503" s="620"/>
      <c r="G503" s="620"/>
      <c r="H503" s="81"/>
      <c r="I503" s="81"/>
      <c r="J503" s="35"/>
      <c r="K503" s="36"/>
      <c r="L503" s="36"/>
      <c r="M503" s="36"/>
      <c r="N503" s="36"/>
      <c r="O503" s="36"/>
      <c r="P503" s="36"/>
      <c r="Q503" s="36"/>
      <c r="R503" s="36"/>
      <c r="S503" s="36"/>
      <c r="T503" s="36"/>
      <c r="U503" s="36"/>
      <c r="V503" s="36"/>
      <c r="W503" s="36"/>
      <c r="X503" s="36"/>
      <c r="Y503" s="36"/>
      <c r="Z503" s="36"/>
      <c r="AA503" s="36"/>
      <c r="AB503" s="36"/>
      <c r="AC503" s="36"/>
    </row>
    <row r="504" spans="1:29" ht="48" customHeight="1">
      <c r="A504" s="81"/>
      <c r="B504" s="94"/>
      <c r="C504" s="81"/>
      <c r="D504" s="81"/>
      <c r="E504" s="80"/>
      <c r="F504" s="620"/>
      <c r="G504" s="620"/>
      <c r="H504" s="81"/>
      <c r="I504" s="81"/>
      <c r="J504" s="35"/>
      <c r="K504" s="36"/>
      <c r="L504" s="36"/>
      <c r="M504" s="36"/>
      <c r="N504" s="36"/>
      <c r="O504" s="36"/>
      <c r="P504" s="36"/>
      <c r="Q504" s="36"/>
      <c r="R504" s="36"/>
      <c r="S504" s="36"/>
      <c r="T504" s="36"/>
      <c r="U504" s="36"/>
      <c r="V504" s="36"/>
      <c r="W504" s="36"/>
      <c r="X504" s="36"/>
      <c r="Y504" s="36"/>
      <c r="Z504" s="36"/>
      <c r="AA504" s="36"/>
      <c r="AB504" s="36"/>
      <c r="AC504" s="36"/>
    </row>
    <row r="505" spans="1:29" ht="36" customHeight="1">
      <c r="A505" s="81"/>
      <c r="B505" s="94"/>
      <c r="C505" s="81"/>
      <c r="D505" s="81"/>
      <c r="E505" s="80"/>
      <c r="F505" s="620"/>
      <c r="G505" s="620"/>
      <c r="H505" s="81"/>
      <c r="I505" s="81"/>
      <c r="J505" s="35"/>
      <c r="K505" s="36"/>
      <c r="L505" s="36"/>
      <c r="M505" s="36"/>
      <c r="N505" s="36"/>
      <c r="O505" s="36"/>
      <c r="P505" s="36"/>
      <c r="Q505" s="36"/>
      <c r="R505" s="36"/>
      <c r="S505" s="36"/>
      <c r="T505" s="36"/>
      <c r="U505" s="36"/>
      <c r="V505" s="36"/>
      <c r="W505" s="36"/>
      <c r="X505" s="36"/>
      <c r="Y505" s="36"/>
      <c r="Z505" s="36"/>
      <c r="AA505" s="36"/>
      <c r="AB505" s="36"/>
      <c r="AC505" s="36"/>
    </row>
    <row r="506" spans="1:29" ht="48" customHeight="1">
      <c r="A506" s="81"/>
      <c r="B506" s="94"/>
      <c r="C506" s="81"/>
      <c r="D506" s="81"/>
      <c r="E506" s="80"/>
      <c r="F506" s="620"/>
      <c r="G506" s="620"/>
      <c r="H506" s="81"/>
      <c r="I506" s="81"/>
      <c r="J506" s="35"/>
      <c r="K506" s="36"/>
      <c r="L506" s="36"/>
      <c r="M506" s="36"/>
      <c r="N506" s="36"/>
      <c r="O506" s="36"/>
      <c r="P506" s="36"/>
      <c r="Q506" s="36"/>
      <c r="R506" s="36"/>
      <c r="S506" s="36"/>
      <c r="T506" s="36"/>
      <c r="U506" s="36"/>
      <c r="V506" s="36"/>
      <c r="W506" s="36"/>
      <c r="X506" s="36"/>
      <c r="Y506" s="36"/>
      <c r="Z506" s="36"/>
      <c r="AA506" s="36"/>
      <c r="AB506" s="36"/>
      <c r="AC506" s="36"/>
    </row>
    <row r="507" spans="1:29" ht="24" customHeight="1">
      <c r="A507" s="100"/>
      <c r="B507" s="463"/>
      <c r="C507" s="100"/>
      <c r="D507" s="100"/>
      <c r="E507" s="99"/>
      <c r="F507" s="627"/>
      <c r="G507" s="627"/>
      <c r="H507" s="100"/>
      <c r="I507" s="100"/>
      <c r="J507" s="35"/>
      <c r="K507" s="36"/>
      <c r="L507" s="36"/>
      <c r="M507" s="36"/>
      <c r="N507" s="36"/>
      <c r="O507" s="36"/>
      <c r="P507" s="36"/>
      <c r="Q507" s="36"/>
      <c r="R507" s="36"/>
      <c r="S507" s="36"/>
      <c r="T507" s="36"/>
      <c r="U507" s="36"/>
      <c r="V507" s="36"/>
      <c r="W507" s="36"/>
      <c r="X507" s="36"/>
      <c r="Y507" s="36"/>
      <c r="Z507" s="36"/>
      <c r="AA507" s="36"/>
      <c r="AB507" s="36"/>
      <c r="AC507" s="36"/>
    </row>
    <row r="508" spans="1:29" ht="72" customHeight="1">
      <c r="A508" s="100"/>
      <c r="B508" s="463"/>
      <c r="C508" s="100"/>
      <c r="D508" s="100"/>
      <c r="E508" s="99"/>
      <c r="F508" s="627"/>
      <c r="G508" s="627"/>
      <c r="H508" s="100"/>
      <c r="I508" s="100"/>
      <c r="J508" s="35"/>
      <c r="K508" s="36"/>
      <c r="L508" s="36"/>
      <c r="M508" s="36"/>
      <c r="N508" s="36"/>
      <c r="O508" s="36"/>
      <c r="P508" s="36"/>
      <c r="Q508" s="36"/>
      <c r="R508" s="36"/>
      <c r="S508" s="36"/>
      <c r="T508" s="36"/>
      <c r="U508" s="36"/>
      <c r="V508" s="36"/>
      <c r="W508" s="36"/>
      <c r="X508" s="36"/>
      <c r="Y508" s="36"/>
      <c r="Z508" s="36"/>
      <c r="AA508" s="36"/>
      <c r="AB508" s="36"/>
      <c r="AC508" s="36"/>
    </row>
    <row r="509" spans="1:29" ht="36" customHeight="1">
      <c r="A509" s="100"/>
      <c r="B509" s="463"/>
      <c r="C509" s="100"/>
      <c r="D509" s="100"/>
      <c r="E509" s="99"/>
      <c r="F509" s="627"/>
      <c r="G509" s="627"/>
      <c r="H509" s="100"/>
      <c r="I509" s="100"/>
      <c r="J509" s="35"/>
      <c r="K509" s="36"/>
      <c r="L509" s="36"/>
      <c r="M509" s="36"/>
      <c r="N509" s="36"/>
      <c r="O509" s="36"/>
      <c r="P509" s="36"/>
      <c r="Q509" s="36"/>
      <c r="R509" s="36"/>
      <c r="S509" s="36"/>
      <c r="T509" s="36"/>
      <c r="U509" s="36"/>
      <c r="V509" s="36"/>
      <c r="W509" s="36"/>
      <c r="X509" s="36"/>
      <c r="Y509" s="36"/>
      <c r="Z509" s="36"/>
      <c r="AA509" s="36"/>
      <c r="AB509" s="36"/>
      <c r="AC509" s="36"/>
    </row>
    <row r="510" spans="1:29" ht="15.75" customHeight="1">
      <c r="A510" s="100"/>
      <c r="B510" s="463"/>
      <c r="C510" s="100"/>
      <c r="D510" s="100"/>
      <c r="E510" s="99"/>
      <c r="F510" s="627"/>
      <c r="G510" s="627"/>
      <c r="H510" s="100"/>
      <c r="I510" s="100"/>
      <c r="J510" s="35"/>
      <c r="K510" s="36"/>
      <c r="L510" s="36"/>
      <c r="M510" s="36"/>
      <c r="N510" s="36"/>
      <c r="O510" s="36"/>
      <c r="P510" s="36"/>
      <c r="Q510" s="36"/>
      <c r="R510" s="36"/>
      <c r="S510" s="36"/>
      <c r="T510" s="36"/>
      <c r="U510" s="36"/>
      <c r="V510" s="36"/>
      <c r="W510" s="36"/>
      <c r="X510" s="36"/>
      <c r="Y510" s="36"/>
      <c r="Z510" s="36"/>
      <c r="AA510" s="36"/>
      <c r="AB510" s="36"/>
      <c r="AC510" s="36"/>
    </row>
    <row r="511" spans="1:29" ht="36" customHeight="1">
      <c r="A511" s="100"/>
      <c r="B511" s="463"/>
      <c r="C511" s="100"/>
      <c r="D511" s="100"/>
      <c r="E511" s="99"/>
      <c r="F511" s="627"/>
      <c r="G511" s="627"/>
      <c r="H511" s="100"/>
      <c r="I511" s="100"/>
      <c r="J511" s="35"/>
      <c r="K511" s="36"/>
      <c r="L511" s="36"/>
      <c r="M511" s="36"/>
      <c r="N511" s="36"/>
      <c r="O511" s="36"/>
      <c r="P511" s="36"/>
      <c r="Q511" s="36"/>
      <c r="R511" s="36"/>
      <c r="S511" s="36"/>
      <c r="T511" s="36"/>
      <c r="U511" s="36"/>
      <c r="V511" s="36"/>
      <c r="W511" s="36"/>
      <c r="X511" s="36"/>
      <c r="Y511" s="36"/>
      <c r="Z511" s="36"/>
      <c r="AA511" s="36"/>
      <c r="AB511" s="36"/>
      <c r="AC511" s="36"/>
    </row>
    <row r="512" spans="1:29" ht="36" customHeight="1">
      <c r="A512" s="100"/>
      <c r="B512" s="463"/>
      <c r="C512" s="100"/>
      <c r="D512" s="100"/>
      <c r="E512" s="99"/>
      <c r="F512" s="627"/>
      <c r="G512" s="627"/>
      <c r="H512" s="100"/>
      <c r="I512" s="100"/>
      <c r="J512" s="35"/>
      <c r="K512" s="36"/>
      <c r="L512" s="36"/>
      <c r="M512" s="36"/>
      <c r="N512" s="36"/>
      <c r="O512" s="36"/>
      <c r="P512" s="36"/>
      <c r="Q512" s="36"/>
      <c r="R512" s="36"/>
      <c r="S512" s="36"/>
      <c r="T512" s="36"/>
      <c r="U512" s="36"/>
      <c r="V512" s="36"/>
      <c r="W512" s="36"/>
      <c r="X512" s="36"/>
      <c r="Y512" s="36"/>
      <c r="Z512" s="36"/>
      <c r="AA512" s="36"/>
      <c r="AB512" s="36"/>
      <c r="AC512" s="36"/>
    </row>
    <row r="513" spans="1:29" ht="36" customHeight="1">
      <c r="A513" s="100"/>
      <c r="B513" s="463"/>
      <c r="C513" s="100"/>
      <c r="D513" s="100"/>
      <c r="E513" s="99"/>
      <c r="F513" s="627"/>
      <c r="G513" s="627"/>
      <c r="H513" s="100"/>
      <c r="I513" s="100"/>
      <c r="J513" s="35"/>
      <c r="K513" s="36"/>
      <c r="L513" s="36"/>
      <c r="M513" s="36"/>
      <c r="N513" s="36"/>
      <c r="O513" s="36"/>
      <c r="P513" s="36"/>
      <c r="Q513" s="36"/>
      <c r="R513" s="36"/>
      <c r="S513" s="36"/>
      <c r="T513" s="36"/>
      <c r="U513" s="36"/>
      <c r="V513" s="36"/>
      <c r="W513" s="36"/>
      <c r="X513" s="36"/>
      <c r="Y513" s="36"/>
      <c r="Z513" s="36"/>
      <c r="AA513" s="36"/>
      <c r="AB513" s="36"/>
      <c r="AC513" s="36"/>
    </row>
    <row r="514" spans="1:29" ht="36" customHeight="1">
      <c r="A514" s="100"/>
      <c r="B514" s="463"/>
      <c r="C514" s="100"/>
      <c r="D514" s="100"/>
      <c r="E514" s="99"/>
      <c r="F514" s="627"/>
      <c r="G514" s="627"/>
      <c r="H514" s="100"/>
      <c r="I514" s="100"/>
      <c r="J514" s="35"/>
      <c r="K514" s="36"/>
      <c r="L514" s="36"/>
      <c r="M514" s="36"/>
      <c r="N514" s="36"/>
      <c r="O514" s="36"/>
      <c r="P514" s="36"/>
      <c r="Q514" s="36"/>
      <c r="R514" s="36"/>
      <c r="S514" s="36"/>
      <c r="T514" s="36"/>
      <c r="U514" s="36"/>
      <c r="V514" s="36"/>
      <c r="W514" s="36"/>
      <c r="X514" s="36"/>
      <c r="Y514" s="36"/>
      <c r="Z514" s="36"/>
      <c r="AA514" s="36"/>
      <c r="AB514" s="36"/>
      <c r="AC514" s="36"/>
    </row>
    <row r="515" spans="1:29" ht="24" customHeight="1">
      <c r="A515" s="100"/>
      <c r="B515" s="463"/>
      <c r="C515" s="100"/>
      <c r="D515" s="100"/>
      <c r="E515" s="99"/>
      <c r="F515" s="627"/>
      <c r="G515" s="627"/>
      <c r="H515" s="100"/>
      <c r="I515" s="100"/>
      <c r="J515" s="35"/>
      <c r="K515" s="36"/>
      <c r="L515" s="36"/>
      <c r="M515" s="36"/>
      <c r="N515" s="36"/>
      <c r="O515" s="36"/>
      <c r="P515" s="36"/>
      <c r="Q515" s="36"/>
      <c r="R515" s="36"/>
      <c r="S515" s="36"/>
      <c r="T515" s="36"/>
      <c r="U515" s="36"/>
      <c r="V515" s="36"/>
      <c r="W515" s="36"/>
      <c r="X515" s="36"/>
      <c r="Y515" s="36"/>
      <c r="Z515" s="36"/>
      <c r="AA515" s="36"/>
      <c r="AB515" s="36"/>
      <c r="AC515" s="36"/>
    </row>
    <row r="516" spans="1:29" ht="60" customHeight="1">
      <c r="A516" s="619"/>
      <c r="B516" s="463"/>
      <c r="C516" s="100"/>
      <c r="D516" s="100"/>
      <c r="E516" s="99"/>
      <c r="F516" s="627"/>
      <c r="G516" s="627"/>
      <c r="H516" s="100"/>
      <c r="I516" s="100"/>
      <c r="J516" s="35"/>
      <c r="K516" s="36"/>
      <c r="L516" s="36"/>
      <c r="M516" s="36"/>
      <c r="N516" s="36"/>
      <c r="O516" s="36"/>
      <c r="P516" s="36"/>
      <c r="Q516" s="36"/>
      <c r="R516" s="36"/>
      <c r="S516" s="36"/>
      <c r="T516" s="36"/>
      <c r="U516" s="36"/>
      <c r="V516" s="36"/>
      <c r="W516" s="36"/>
      <c r="X516" s="36"/>
      <c r="Y516" s="36"/>
      <c r="Z516" s="36"/>
      <c r="AA516" s="36"/>
      <c r="AB516" s="36"/>
      <c r="AC516" s="36"/>
    </row>
    <row r="517" spans="1:29" ht="24" customHeight="1">
      <c r="A517" s="619"/>
      <c r="B517" s="463"/>
      <c r="C517" s="100"/>
      <c r="D517" s="100"/>
      <c r="E517" s="99"/>
      <c r="F517" s="627"/>
      <c r="G517" s="627"/>
      <c r="H517" s="100"/>
      <c r="I517" s="100"/>
      <c r="J517" s="35"/>
      <c r="K517" s="36"/>
      <c r="L517" s="36"/>
      <c r="M517" s="36"/>
      <c r="N517" s="36"/>
      <c r="O517" s="36"/>
      <c r="P517" s="36"/>
      <c r="Q517" s="36"/>
      <c r="R517" s="36"/>
      <c r="S517" s="36"/>
      <c r="T517" s="36"/>
      <c r="U517" s="36"/>
      <c r="V517" s="36"/>
      <c r="W517" s="36"/>
      <c r="X517" s="36"/>
      <c r="Y517" s="36"/>
      <c r="Z517" s="36"/>
      <c r="AA517" s="36"/>
      <c r="AB517" s="36"/>
      <c r="AC517" s="36"/>
    </row>
    <row r="518" spans="1:29" ht="36" customHeight="1">
      <c r="A518" s="619"/>
      <c r="B518" s="463"/>
      <c r="C518" s="100"/>
      <c r="D518" s="100"/>
      <c r="E518" s="99"/>
      <c r="F518" s="627"/>
      <c r="G518" s="627"/>
      <c r="H518" s="100"/>
      <c r="I518" s="100"/>
      <c r="J518" s="35"/>
      <c r="K518" s="36"/>
      <c r="L518" s="36"/>
      <c r="M518" s="36"/>
      <c r="N518" s="36"/>
      <c r="O518" s="36"/>
      <c r="P518" s="36"/>
      <c r="Q518" s="36"/>
      <c r="R518" s="36"/>
      <c r="S518" s="36"/>
      <c r="T518" s="36"/>
      <c r="U518" s="36"/>
      <c r="V518" s="36"/>
      <c r="W518" s="36"/>
      <c r="X518" s="36"/>
      <c r="Y518" s="36"/>
      <c r="Z518" s="36"/>
      <c r="AA518" s="36"/>
      <c r="AB518" s="36"/>
      <c r="AC518" s="36"/>
    </row>
    <row r="519" spans="1:29" ht="48" customHeight="1">
      <c r="A519" s="619"/>
      <c r="B519" s="463"/>
      <c r="C519" s="100"/>
      <c r="D519" s="100"/>
      <c r="E519" s="99"/>
      <c r="F519" s="627"/>
      <c r="G519" s="627"/>
      <c r="H519" s="100"/>
      <c r="I519" s="100"/>
      <c r="J519" s="35"/>
      <c r="K519" s="36"/>
      <c r="L519" s="36"/>
      <c r="M519" s="36"/>
      <c r="N519" s="36"/>
      <c r="O519" s="36"/>
      <c r="P519" s="36"/>
      <c r="Q519" s="36"/>
      <c r="R519" s="36"/>
      <c r="S519" s="36"/>
      <c r="T519" s="36"/>
      <c r="U519" s="36"/>
      <c r="V519" s="36"/>
      <c r="W519" s="36"/>
      <c r="X519" s="36"/>
      <c r="Y519" s="36"/>
      <c r="Z519" s="36"/>
      <c r="AA519" s="36"/>
      <c r="AB519" s="36"/>
      <c r="AC519" s="36"/>
    </row>
    <row r="520" spans="1:29" ht="24" customHeight="1">
      <c r="A520" s="619"/>
      <c r="B520" s="463"/>
      <c r="C520" s="100"/>
      <c r="D520" s="100"/>
      <c r="E520" s="99"/>
      <c r="F520" s="627"/>
      <c r="G520" s="627"/>
      <c r="H520" s="100"/>
      <c r="I520" s="100"/>
      <c r="J520" s="35"/>
      <c r="K520" s="36"/>
      <c r="L520" s="36"/>
      <c r="M520" s="36"/>
      <c r="N520" s="36"/>
      <c r="O520" s="36"/>
      <c r="P520" s="36"/>
      <c r="Q520" s="36"/>
      <c r="R520" s="36"/>
      <c r="S520" s="36"/>
      <c r="T520" s="36"/>
      <c r="U520" s="36"/>
      <c r="V520" s="36"/>
      <c r="W520" s="36"/>
      <c r="X520" s="36"/>
      <c r="Y520" s="36"/>
      <c r="Z520" s="36"/>
      <c r="AA520" s="36"/>
      <c r="AB520" s="36"/>
      <c r="AC520" s="36"/>
    </row>
    <row r="521" spans="1:29" ht="36" customHeight="1">
      <c r="A521" s="619"/>
      <c r="B521" s="463"/>
      <c r="C521" s="100"/>
      <c r="D521" s="100"/>
      <c r="E521" s="99"/>
      <c r="F521" s="627"/>
      <c r="G521" s="627"/>
      <c r="H521" s="100"/>
      <c r="I521" s="100"/>
      <c r="J521" s="35"/>
      <c r="K521" s="36"/>
      <c r="L521" s="36"/>
      <c r="M521" s="36"/>
      <c r="N521" s="36"/>
      <c r="O521" s="36"/>
      <c r="P521" s="36"/>
      <c r="Q521" s="36"/>
      <c r="R521" s="36"/>
      <c r="S521" s="36"/>
      <c r="T521" s="36"/>
      <c r="U521" s="36"/>
      <c r="V521" s="36"/>
      <c r="W521" s="36"/>
      <c r="X521" s="36"/>
      <c r="Y521" s="36"/>
      <c r="Z521" s="36"/>
      <c r="AA521" s="36"/>
      <c r="AB521" s="36"/>
      <c r="AC521" s="36"/>
    </row>
    <row r="522" spans="1:29" ht="60" customHeight="1">
      <c r="A522" s="619"/>
      <c r="B522" s="463"/>
      <c r="C522" s="100"/>
      <c r="D522" s="100"/>
      <c r="E522" s="99"/>
      <c r="F522" s="627"/>
      <c r="G522" s="627"/>
      <c r="H522" s="100"/>
      <c r="I522" s="100"/>
      <c r="J522" s="35"/>
      <c r="K522" s="36"/>
      <c r="L522" s="36"/>
      <c r="M522" s="36"/>
      <c r="N522" s="36"/>
      <c r="O522" s="36"/>
      <c r="P522" s="36"/>
      <c r="Q522" s="36"/>
      <c r="R522" s="36"/>
      <c r="S522" s="36"/>
      <c r="T522" s="36"/>
      <c r="U522" s="36"/>
      <c r="V522" s="36"/>
      <c r="W522" s="36"/>
      <c r="X522" s="36"/>
      <c r="Y522" s="36"/>
      <c r="Z522" s="36"/>
      <c r="AA522" s="36"/>
      <c r="AB522" s="36"/>
      <c r="AC522" s="36"/>
    </row>
    <row r="523" spans="1:29" ht="24" customHeight="1">
      <c r="A523" s="100"/>
      <c r="B523" s="463"/>
      <c r="C523" s="100"/>
      <c r="D523" s="100"/>
      <c r="E523" s="99"/>
      <c r="F523" s="627"/>
      <c r="G523" s="627"/>
      <c r="H523" s="100"/>
      <c r="I523" s="100"/>
      <c r="J523" s="35"/>
      <c r="K523" s="36"/>
      <c r="L523" s="36"/>
      <c r="M523" s="36"/>
      <c r="N523" s="36"/>
      <c r="O523" s="36"/>
      <c r="P523" s="36"/>
      <c r="Q523" s="36"/>
      <c r="R523" s="36"/>
      <c r="S523" s="36"/>
      <c r="T523" s="36"/>
      <c r="U523" s="36"/>
      <c r="V523" s="36"/>
      <c r="W523" s="36"/>
      <c r="X523" s="36"/>
      <c r="Y523" s="36"/>
      <c r="Z523" s="36"/>
      <c r="AA523" s="36"/>
      <c r="AB523" s="36"/>
      <c r="AC523" s="36"/>
    </row>
    <row r="524" spans="1:29" ht="24" customHeight="1">
      <c r="A524" s="100"/>
      <c r="B524" s="463"/>
      <c r="C524" s="100"/>
      <c r="D524" s="100"/>
      <c r="E524" s="99"/>
      <c r="F524" s="627"/>
      <c r="G524" s="627"/>
      <c r="H524" s="100"/>
      <c r="I524" s="100"/>
      <c r="J524" s="35"/>
      <c r="K524" s="36"/>
      <c r="L524" s="36"/>
      <c r="M524" s="36"/>
      <c r="N524" s="36"/>
      <c r="O524" s="36"/>
      <c r="P524" s="36"/>
      <c r="Q524" s="36"/>
      <c r="R524" s="36"/>
      <c r="S524" s="36"/>
      <c r="T524" s="36"/>
      <c r="U524" s="36"/>
      <c r="V524" s="36"/>
      <c r="W524" s="36"/>
      <c r="X524" s="36"/>
      <c r="Y524" s="36"/>
      <c r="Z524" s="36"/>
      <c r="AA524" s="36"/>
      <c r="AB524" s="36"/>
      <c r="AC524" s="36"/>
    </row>
    <row r="525" spans="1:29" ht="24" customHeight="1">
      <c r="A525" s="100"/>
      <c r="B525" s="463"/>
      <c r="C525" s="100"/>
      <c r="D525" s="100"/>
      <c r="E525" s="99"/>
      <c r="F525" s="627"/>
      <c r="G525" s="627"/>
      <c r="H525" s="100"/>
      <c r="I525" s="100"/>
      <c r="J525" s="35"/>
      <c r="K525" s="36"/>
      <c r="L525" s="36"/>
      <c r="M525" s="36"/>
      <c r="N525" s="36"/>
      <c r="O525" s="36"/>
      <c r="P525" s="36"/>
      <c r="Q525" s="36"/>
      <c r="R525" s="36"/>
      <c r="S525" s="36"/>
      <c r="T525" s="36"/>
      <c r="U525" s="36"/>
      <c r="V525" s="36"/>
      <c r="W525" s="36"/>
      <c r="X525" s="36"/>
      <c r="Y525" s="36"/>
      <c r="Z525" s="36"/>
      <c r="AA525" s="36"/>
      <c r="AB525" s="36"/>
      <c r="AC525" s="36"/>
    </row>
    <row r="526" spans="1:29" ht="36" customHeight="1">
      <c r="A526" s="100"/>
      <c r="B526" s="463"/>
      <c r="C526" s="100"/>
      <c r="D526" s="100"/>
      <c r="E526" s="99"/>
      <c r="F526" s="627"/>
      <c r="G526" s="627"/>
      <c r="H526" s="100"/>
      <c r="I526" s="100"/>
      <c r="J526" s="35"/>
      <c r="K526" s="36"/>
      <c r="L526" s="36"/>
      <c r="M526" s="36"/>
      <c r="N526" s="36"/>
      <c r="O526" s="36"/>
      <c r="P526" s="36"/>
      <c r="Q526" s="36"/>
      <c r="R526" s="36"/>
      <c r="S526" s="36"/>
      <c r="T526" s="36"/>
      <c r="U526" s="36"/>
      <c r="V526" s="36"/>
      <c r="W526" s="36"/>
      <c r="X526" s="36"/>
      <c r="Y526" s="36"/>
      <c r="Z526" s="36"/>
      <c r="AA526" s="36"/>
      <c r="AB526" s="36"/>
      <c r="AC526" s="36"/>
    </row>
    <row r="527" spans="1:29" ht="36" customHeight="1">
      <c r="A527" s="100"/>
      <c r="B527" s="463"/>
      <c r="C527" s="100"/>
      <c r="D527" s="100"/>
      <c r="E527" s="99"/>
      <c r="F527" s="627"/>
      <c r="G527" s="627"/>
      <c r="H527" s="100"/>
      <c r="I527" s="100"/>
      <c r="J527" s="35"/>
      <c r="K527" s="36"/>
      <c r="L527" s="36"/>
      <c r="M527" s="36"/>
      <c r="N527" s="36"/>
      <c r="O527" s="36"/>
      <c r="P527" s="36"/>
      <c r="Q527" s="36"/>
      <c r="R527" s="36"/>
      <c r="S527" s="36"/>
      <c r="T527" s="36"/>
      <c r="U527" s="36"/>
      <c r="V527" s="36"/>
      <c r="W527" s="36"/>
      <c r="X527" s="36"/>
      <c r="Y527" s="36"/>
      <c r="Z527" s="36"/>
      <c r="AA527" s="36"/>
      <c r="AB527" s="36"/>
      <c r="AC527" s="36"/>
    </row>
    <row r="528" spans="1:29" ht="24" customHeight="1">
      <c r="A528" s="100"/>
      <c r="B528" s="463"/>
      <c r="C528" s="100"/>
      <c r="D528" s="100"/>
      <c r="E528" s="99"/>
      <c r="F528" s="627"/>
      <c r="G528" s="627"/>
      <c r="H528" s="100"/>
      <c r="I528" s="100"/>
      <c r="J528" s="35"/>
      <c r="K528" s="36"/>
      <c r="L528" s="36"/>
      <c r="M528" s="36"/>
      <c r="N528" s="36"/>
      <c r="O528" s="36"/>
      <c r="P528" s="36"/>
      <c r="Q528" s="36"/>
      <c r="R528" s="36"/>
      <c r="S528" s="36"/>
      <c r="T528" s="36"/>
      <c r="U528" s="36"/>
      <c r="V528" s="36"/>
      <c r="W528" s="36"/>
      <c r="X528" s="36"/>
      <c r="Y528" s="36"/>
      <c r="Z528" s="36"/>
      <c r="AA528" s="36"/>
      <c r="AB528" s="36"/>
      <c r="AC528" s="36"/>
    </row>
    <row r="529" spans="1:29" ht="36" customHeight="1">
      <c r="A529" s="100"/>
      <c r="B529" s="463"/>
      <c r="C529" s="100"/>
      <c r="D529" s="100"/>
      <c r="E529" s="99"/>
      <c r="F529" s="627"/>
      <c r="G529" s="627"/>
      <c r="H529" s="100"/>
      <c r="I529" s="100"/>
      <c r="J529" s="35"/>
      <c r="K529" s="36"/>
      <c r="L529" s="36"/>
      <c r="M529" s="36"/>
      <c r="N529" s="36"/>
      <c r="O529" s="36"/>
      <c r="P529" s="36"/>
      <c r="Q529" s="36"/>
      <c r="R529" s="36"/>
      <c r="S529" s="36"/>
      <c r="T529" s="36"/>
      <c r="U529" s="36"/>
      <c r="V529" s="36"/>
      <c r="W529" s="36"/>
      <c r="X529" s="36"/>
      <c r="Y529" s="36"/>
      <c r="Z529" s="36"/>
      <c r="AA529" s="36"/>
      <c r="AB529" s="36"/>
      <c r="AC529" s="36"/>
    </row>
    <row r="530" spans="1:29" ht="24" customHeight="1">
      <c r="A530" s="100"/>
      <c r="B530" s="463"/>
      <c r="C530" s="100"/>
      <c r="D530" s="100"/>
      <c r="E530" s="99"/>
      <c r="F530" s="627"/>
      <c r="G530" s="627"/>
      <c r="H530" s="100"/>
      <c r="I530" s="100"/>
      <c r="J530" s="35"/>
      <c r="K530" s="36"/>
      <c r="L530" s="36"/>
      <c r="M530" s="36"/>
      <c r="N530" s="36"/>
      <c r="O530" s="36"/>
      <c r="P530" s="36"/>
      <c r="Q530" s="36"/>
      <c r="R530" s="36"/>
      <c r="S530" s="36"/>
      <c r="T530" s="36"/>
      <c r="U530" s="36"/>
      <c r="V530" s="36"/>
      <c r="W530" s="36"/>
      <c r="X530" s="36"/>
      <c r="Y530" s="36"/>
      <c r="Z530" s="36"/>
      <c r="AA530" s="36"/>
      <c r="AB530" s="36"/>
      <c r="AC530" s="36"/>
    </row>
    <row r="531" spans="1:29" ht="48" customHeight="1">
      <c r="A531" s="100"/>
      <c r="B531" s="463"/>
      <c r="C531" s="100"/>
      <c r="D531" s="100"/>
      <c r="E531" s="99"/>
      <c r="F531" s="627"/>
      <c r="G531" s="627"/>
      <c r="H531" s="100"/>
      <c r="I531" s="100"/>
      <c r="J531" s="35"/>
      <c r="K531" s="36"/>
      <c r="L531" s="36"/>
      <c r="M531" s="36"/>
      <c r="N531" s="36"/>
      <c r="O531" s="36"/>
      <c r="P531" s="36"/>
      <c r="Q531" s="36"/>
      <c r="R531" s="36"/>
      <c r="S531" s="36"/>
      <c r="T531" s="36"/>
      <c r="U531" s="36"/>
      <c r="V531" s="36"/>
      <c r="W531" s="36"/>
      <c r="X531" s="36"/>
      <c r="Y531" s="36"/>
      <c r="Z531" s="36"/>
      <c r="AA531" s="36"/>
      <c r="AB531" s="36"/>
      <c r="AC531" s="36"/>
    </row>
    <row r="532" spans="1:29" ht="36" customHeight="1">
      <c r="A532" s="100"/>
      <c r="B532" s="463"/>
      <c r="C532" s="100"/>
      <c r="D532" s="100"/>
      <c r="E532" s="99"/>
      <c r="F532" s="627"/>
      <c r="G532" s="627"/>
      <c r="H532" s="100"/>
      <c r="I532" s="100"/>
      <c r="J532" s="35"/>
      <c r="K532" s="36"/>
      <c r="L532" s="36"/>
      <c r="M532" s="36"/>
      <c r="N532" s="36"/>
      <c r="O532" s="36"/>
      <c r="P532" s="36"/>
      <c r="Q532" s="36"/>
      <c r="R532" s="36"/>
      <c r="S532" s="36"/>
      <c r="T532" s="36"/>
      <c r="U532" s="36"/>
      <c r="V532" s="36"/>
      <c r="W532" s="36"/>
      <c r="X532" s="36"/>
      <c r="Y532" s="36"/>
      <c r="Z532" s="36"/>
      <c r="AA532" s="36"/>
      <c r="AB532" s="36"/>
      <c r="AC532" s="36"/>
    </row>
    <row r="533" spans="1:29" ht="24" customHeight="1">
      <c r="A533" s="100"/>
      <c r="B533" s="463"/>
      <c r="C533" s="100"/>
      <c r="D533" s="100"/>
      <c r="E533" s="99"/>
      <c r="F533" s="627"/>
      <c r="G533" s="627"/>
      <c r="H533" s="100"/>
      <c r="I533" s="100"/>
      <c r="J533" s="35"/>
      <c r="K533" s="36"/>
      <c r="L533" s="36"/>
      <c r="M533" s="36"/>
      <c r="N533" s="36"/>
      <c r="O533" s="36"/>
      <c r="P533" s="36"/>
      <c r="Q533" s="36"/>
      <c r="R533" s="36"/>
      <c r="S533" s="36"/>
      <c r="T533" s="36"/>
      <c r="U533" s="36"/>
      <c r="V533" s="36"/>
      <c r="W533" s="36"/>
      <c r="X533" s="36"/>
      <c r="Y533" s="36"/>
      <c r="Z533" s="36"/>
      <c r="AA533" s="36"/>
      <c r="AB533" s="36"/>
      <c r="AC533" s="36"/>
    </row>
    <row r="534" spans="1:29" ht="36" customHeight="1">
      <c r="A534" s="100"/>
      <c r="B534" s="463"/>
      <c r="C534" s="100"/>
      <c r="D534" s="100"/>
      <c r="E534" s="99"/>
      <c r="F534" s="627"/>
      <c r="G534" s="627"/>
      <c r="H534" s="100"/>
      <c r="I534" s="100"/>
      <c r="J534" s="35"/>
      <c r="K534" s="36"/>
      <c r="L534" s="36"/>
      <c r="M534" s="36"/>
      <c r="N534" s="36"/>
      <c r="O534" s="36"/>
      <c r="P534" s="36"/>
      <c r="Q534" s="36"/>
      <c r="R534" s="36"/>
      <c r="S534" s="36"/>
      <c r="T534" s="36"/>
      <c r="U534" s="36"/>
      <c r="V534" s="36"/>
      <c r="W534" s="36"/>
      <c r="X534" s="36"/>
      <c r="Y534" s="36"/>
      <c r="Z534" s="36"/>
      <c r="AA534" s="36"/>
      <c r="AB534" s="36"/>
      <c r="AC534" s="36"/>
    </row>
    <row r="535" spans="1:29" ht="24" customHeight="1">
      <c r="A535" s="100"/>
      <c r="B535" s="463"/>
      <c r="C535" s="100"/>
      <c r="D535" s="100"/>
      <c r="E535" s="99"/>
      <c r="F535" s="627"/>
      <c r="G535" s="627"/>
      <c r="H535" s="100"/>
      <c r="I535" s="100"/>
      <c r="J535" s="35"/>
      <c r="K535" s="36"/>
      <c r="L535" s="36"/>
      <c r="M535" s="36"/>
      <c r="N535" s="36"/>
      <c r="O535" s="36"/>
      <c r="P535" s="36"/>
      <c r="Q535" s="36"/>
      <c r="R535" s="36"/>
      <c r="S535" s="36"/>
      <c r="T535" s="36"/>
      <c r="U535" s="36"/>
      <c r="V535" s="36"/>
      <c r="W535" s="36"/>
      <c r="X535" s="36"/>
      <c r="Y535" s="36"/>
      <c r="Z535" s="36"/>
      <c r="AA535" s="36"/>
      <c r="AB535" s="36"/>
      <c r="AC535" s="36"/>
    </row>
    <row r="536" spans="1:29" ht="36" customHeight="1">
      <c r="A536" s="100"/>
      <c r="B536" s="463"/>
      <c r="C536" s="100"/>
      <c r="D536" s="100"/>
      <c r="E536" s="99"/>
      <c r="F536" s="627"/>
      <c r="G536" s="627"/>
      <c r="H536" s="100"/>
      <c r="I536" s="100"/>
      <c r="J536" s="35"/>
      <c r="K536" s="36"/>
      <c r="L536" s="36"/>
      <c r="M536" s="36"/>
      <c r="N536" s="36"/>
      <c r="O536" s="36"/>
      <c r="P536" s="36"/>
      <c r="Q536" s="36"/>
      <c r="R536" s="36"/>
      <c r="S536" s="36"/>
      <c r="T536" s="36"/>
      <c r="U536" s="36"/>
      <c r="V536" s="36"/>
      <c r="W536" s="36"/>
      <c r="X536" s="36"/>
      <c r="Y536" s="36"/>
      <c r="Z536" s="36"/>
      <c r="AA536" s="36"/>
      <c r="AB536" s="36"/>
      <c r="AC536" s="36"/>
    </row>
    <row r="537" spans="1:29" ht="48" customHeight="1">
      <c r="A537" s="100"/>
      <c r="B537" s="463"/>
      <c r="C537" s="100"/>
      <c r="D537" s="100"/>
      <c r="E537" s="99"/>
      <c r="F537" s="627"/>
      <c r="G537" s="627"/>
      <c r="H537" s="100"/>
      <c r="I537" s="100"/>
      <c r="J537" s="35"/>
      <c r="K537" s="36"/>
      <c r="L537" s="36"/>
      <c r="M537" s="36"/>
      <c r="N537" s="36"/>
      <c r="O537" s="36"/>
      <c r="P537" s="36"/>
      <c r="Q537" s="36"/>
      <c r="R537" s="36"/>
      <c r="S537" s="36"/>
      <c r="T537" s="36"/>
      <c r="U537" s="36"/>
      <c r="V537" s="36"/>
      <c r="W537" s="36"/>
      <c r="X537" s="36"/>
      <c r="Y537" s="36"/>
      <c r="Z537" s="36"/>
      <c r="AA537" s="36"/>
      <c r="AB537" s="36"/>
      <c r="AC537" s="36"/>
    </row>
    <row r="538" spans="1:29" ht="24" customHeight="1">
      <c r="A538" s="100"/>
      <c r="B538" s="463"/>
      <c r="C538" s="100"/>
      <c r="D538" s="100"/>
      <c r="E538" s="99"/>
      <c r="F538" s="627"/>
      <c r="G538" s="627"/>
      <c r="H538" s="100"/>
      <c r="I538" s="100"/>
      <c r="J538" s="35"/>
      <c r="K538" s="36"/>
      <c r="L538" s="36"/>
      <c r="M538" s="36"/>
      <c r="N538" s="36"/>
      <c r="O538" s="36"/>
      <c r="P538" s="36"/>
      <c r="Q538" s="36"/>
      <c r="R538" s="36"/>
      <c r="S538" s="36"/>
      <c r="T538" s="36"/>
      <c r="U538" s="36"/>
      <c r="V538" s="36"/>
      <c r="W538" s="36"/>
      <c r="X538" s="36"/>
      <c r="Y538" s="36"/>
      <c r="Z538" s="36"/>
      <c r="AA538" s="36"/>
      <c r="AB538" s="36"/>
      <c r="AC538" s="36"/>
    </row>
    <row r="539" spans="1:29" ht="24" customHeight="1">
      <c r="A539" s="100"/>
      <c r="B539" s="463"/>
      <c r="C539" s="100"/>
      <c r="D539" s="100"/>
      <c r="E539" s="99"/>
      <c r="F539" s="627"/>
      <c r="G539" s="627"/>
      <c r="H539" s="100"/>
      <c r="I539" s="100"/>
      <c r="J539" s="35"/>
      <c r="K539" s="36"/>
      <c r="L539" s="36"/>
      <c r="M539" s="36"/>
      <c r="N539" s="36"/>
      <c r="O539" s="36"/>
      <c r="P539" s="36"/>
      <c r="Q539" s="36"/>
      <c r="R539" s="36"/>
      <c r="S539" s="36"/>
      <c r="T539" s="36"/>
      <c r="U539" s="36"/>
      <c r="V539" s="36"/>
      <c r="W539" s="36"/>
      <c r="X539" s="36"/>
      <c r="Y539" s="36"/>
      <c r="Z539" s="36"/>
      <c r="AA539" s="36"/>
      <c r="AB539" s="36"/>
      <c r="AC539" s="36"/>
    </row>
    <row r="540" spans="1:29" ht="36" customHeight="1">
      <c r="A540" s="100"/>
      <c r="B540" s="463"/>
      <c r="C540" s="100"/>
      <c r="D540" s="100"/>
      <c r="E540" s="99"/>
      <c r="F540" s="627"/>
      <c r="G540" s="627"/>
      <c r="H540" s="100"/>
      <c r="I540" s="100"/>
      <c r="J540" s="35"/>
      <c r="K540" s="36"/>
      <c r="L540" s="36"/>
      <c r="M540" s="36"/>
      <c r="N540" s="36"/>
      <c r="O540" s="36"/>
      <c r="P540" s="36"/>
      <c r="Q540" s="36"/>
      <c r="R540" s="36"/>
      <c r="S540" s="36"/>
      <c r="T540" s="36"/>
      <c r="U540" s="36"/>
      <c r="V540" s="36"/>
      <c r="W540" s="36"/>
      <c r="X540" s="36"/>
      <c r="Y540" s="36"/>
      <c r="Z540" s="36"/>
      <c r="AA540" s="36"/>
      <c r="AB540" s="36"/>
      <c r="AC540" s="36"/>
    </row>
    <row r="541" spans="1:29" ht="108" customHeight="1">
      <c r="A541" s="100"/>
      <c r="B541" s="463"/>
      <c r="C541" s="100"/>
      <c r="D541" s="100"/>
      <c r="E541" s="99"/>
      <c r="F541" s="627"/>
      <c r="G541" s="627"/>
      <c r="H541" s="100"/>
      <c r="I541" s="100"/>
      <c r="J541" s="35"/>
      <c r="K541" s="36"/>
      <c r="L541" s="36"/>
      <c r="M541" s="36"/>
      <c r="N541" s="36"/>
      <c r="O541" s="36"/>
      <c r="P541" s="36"/>
      <c r="Q541" s="36"/>
      <c r="R541" s="36"/>
      <c r="S541" s="36"/>
      <c r="T541" s="36"/>
      <c r="U541" s="36"/>
      <c r="V541" s="36"/>
      <c r="W541" s="36"/>
      <c r="X541" s="36"/>
      <c r="Y541" s="36"/>
      <c r="Z541" s="36"/>
      <c r="AA541" s="36"/>
      <c r="AB541" s="36"/>
      <c r="AC541" s="36"/>
    </row>
    <row r="542" spans="1:29" ht="24" customHeight="1">
      <c r="A542" s="100"/>
      <c r="B542" s="463"/>
      <c r="C542" s="100"/>
      <c r="D542" s="100"/>
      <c r="E542" s="99"/>
      <c r="F542" s="627"/>
      <c r="G542" s="627"/>
      <c r="H542" s="100"/>
      <c r="I542" s="100"/>
      <c r="J542" s="35"/>
      <c r="K542" s="36"/>
      <c r="L542" s="36"/>
      <c r="M542" s="36"/>
      <c r="N542" s="36"/>
      <c r="O542" s="36"/>
      <c r="P542" s="36"/>
      <c r="Q542" s="36"/>
      <c r="R542" s="36"/>
      <c r="S542" s="36"/>
      <c r="T542" s="36"/>
      <c r="U542" s="36"/>
      <c r="V542" s="36"/>
      <c r="W542" s="36"/>
      <c r="X542" s="36"/>
      <c r="Y542" s="36"/>
      <c r="Z542" s="36"/>
      <c r="AA542" s="36"/>
      <c r="AB542" s="36"/>
      <c r="AC542" s="36"/>
    </row>
    <row r="543" spans="1:29" ht="24" customHeight="1">
      <c r="A543" s="100"/>
      <c r="B543" s="463"/>
      <c r="C543" s="100"/>
      <c r="D543" s="100"/>
      <c r="E543" s="99"/>
      <c r="F543" s="627"/>
      <c r="G543" s="627"/>
      <c r="H543" s="100"/>
      <c r="I543" s="100"/>
      <c r="J543" s="35"/>
      <c r="K543" s="36"/>
      <c r="L543" s="36"/>
      <c r="M543" s="36"/>
      <c r="N543" s="36"/>
      <c r="O543" s="36"/>
      <c r="P543" s="36"/>
      <c r="Q543" s="36"/>
      <c r="R543" s="36"/>
      <c r="S543" s="36"/>
      <c r="T543" s="36"/>
      <c r="U543" s="36"/>
      <c r="V543" s="36"/>
      <c r="W543" s="36"/>
      <c r="X543" s="36"/>
      <c r="Y543" s="36"/>
      <c r="Z543" s="36"/>
      <c r="AA543" s="36"/>
      <c r="AB543" s="36"/>
      <c r="AC543" s="36"/>
    </row>
    <row r="544" spans="1:29" ht="12" customHeight="1">
      <c r="A544" s="100"/>
      <c r="B544" s="463"/>
      <c r="C544" s="100"/>
      <c r="D544" s="100"/>
      <c r="E544" s="99"/>
      <c r="F544" s="627"/>
      <c r="G544" s="627"/>
      <c r="H544" s="100"/>
      <c r="I544" s="100"/>
      <c r="J544" s="35"/>
      <c r="K544" s="36"/>
      <c r="L544" s="36"/>
      <c r="M544" s="36"/>
      <c r="N544" s="36"/>
      <c r="O544" s="36"/>
      <c r="P544" s="36"/>
      <c r="Q544" s="36"/>
      <c r="R544" s="36"/>
      <c r="S544" s="36"/>
      <c r="T544" s="36"/>
      <c r="U544" s="36"/>
      <c r="V544" s="36"/>
      <c r="W544" s="36"/>
      <c r="X544" s="36"/>
      <c r="Y544" s="36"/>
      <c r="Z544" s="36"/>
      <c r="AA544" s="36"/>
      <c r="AB544" s="36"/>
      <c r="AC544" s="36"/>
    </row>
    <row r="545" spans="1:29" ht="24" customHeight="1">
      <c r="A545" s="100"/>
      <c r="B545" s="463"/>
      <c r="C545" s="100"/>
      <c r="D545" s="100"/>
      <c r="E545" s="99"/>
      <c r="F545" s="627"/>
      <c r="G545" s="627"/>
      <c r="H545" s="100"/>
      <c r="I545" s="100"/>
      <c r="J545" s="35"/>
      <c r="K545" s="36"/>
      <c r="L545" s="36"/>
      <c r="M545" s="36"/>
      <c r="N545" s="36"/>
      <c r="O545" s="36"/>
      <c r="P545" s="36"/>
      <c r="Q545" s="36"/>
      <c r="R545" s="36"/>
      <c r="S545" s="36"/>
      <c r="T545" s="36"/>
      <c r="U545" s="36"/>
      <c r="V545" s="36"/>
      <c r="W545" s="36"/>
      <c r="X545" s="36"/>
      <c r="Y545" s="36"/>
      <c r="Z545" s="36"/>
      <c r="AA545" s="36"/>
      <c r="AB545" s="36"/>
      <c r="AC545" s="36"/>
    </row>
    <row r="546" spans="1:29" ht="24" customHeight="1">
      <c r="A546" s="100"/>
      <c r="B546" s="463"/>
      <c r="C546" s="100"/>
      <c r="D546" s="100"/>
      <c r="E546" s="99"/>
      <c r="F546" s="627"/>
      <c r="G546" s="627"/>
      <c r="H546" s="100"/>
      <c r="I546" s="100"/>
      <c r="J546" s="35"/>
      <c r="K546" s="36"/>
      <c r="L546" s="36"/>
      <c r="M546" s="36"/>
      <c r="N546" s="36"/>
      <c r="O546" s="36"/>
      <c r="P546" s="36"/>
      <c r="Q546" s="36"/>
      <c r="R546" s="36"/>
      <c r="S546" s="36"/>
      <c r="T546" s="36"/>
      <c r="U546" s="36"/>
      <c r="V546" s="36"/>
      <c r="W546" s="36"/>
      <c r="X546" s="36"/>
      <c r="Y546" s="36"/>
      <c r="Z546" s="36"/>
      <c r="AA546" s="36"/>
      <c r="AB546" s="36"/>
      <c r="AC546" s="36"/>
    </row>
    <row r="547" spans="1:29" ht="24" customHeight="1">
      <c r="A547" s="100"/>
      <c r="B547" s="463"/>
      <c r="C547" s="100"/>
      <c r="D547" s="100"/>
      <c r="E547" s="99"/>
      <c r="F547" s="627"/>
      <c r="G547" s="627"/>
      <c r="H547" s="100"/>
      <c r="I547" s="100"/>
      <c r="J547" s="35"/>
      <c r="K547" s="36"/>
      <c r="L547" s="36"/>
      <c r="M547" s="36"/>
      <c r="N547" s="36"/>
      <c r="O547" s="36"/>
      <c r="P547" s="36"/>
      <c r="Q547" s="36"/>
      <c r="R547" s="36"/>
      <c r="S547" s="36"/>
      <c r="T547" s="36"/>
      <c r="U547" s="36"/>
      <c r="V547" s="36"/>
      <c r="W547" s="36"/>
      <c r="X547" s="36"/>
      <c r="Y547" s="36"/>
      <c r="Z547" s="36"/>
      <c r="AA547" s="36"/>
      <c r="AB547" s="36"/>
      <c r="AC547" s="36"/>
    </row>
    <row r="548" spans="1:29" ht="36" customHeight="1">
      <c r="A548" s="100"/>
      <c r="B548" s="463"/>
      <c r="C548" s="100"/>
      <c r="D548" s="100"/>
      <c r="E548" s="99"/>
      <c r="F548" s="627"/>
      <c r="G548" s="627"/>
      <c r="H548" s="100"/>
      <c r="I548" s="100"/>
      <c r="J548" s="35"/>
      <c r="K548" s="36"/>
      <c r="L548" s="36"/>
      <c r="M548" s="36"/>
      <c r="N548" s="36"/>
      <c r="O548" s="36"/>
      <c r="P548" s="36"/>
      <c r="Q548" s="36"/>
      <c r="R548" s="36"/>
      <c r="S548" s="36"/>
      <c r="T548" s="36"/>
      <c r="U548" s="36"/>
      <c r="V548" s="36"/>
      <c r="W548" s="36"/>
      <c r="X548" s="36"/>
      <c r="Y548" s="36"/>
      <c r="Z548" s="36"/>
      <c r="AA548" s="36"/>
      <c r="AB548" s="36"/>
      <c r="AC548" s="36"/>
    </row>
    <row r="549" spans="1:29" ht="24" customHeight="1">
      <c r="A549" s="100"/>
      <c r="B549" s="463"/>
      <c r="C549" s="100"/>
      <c r="D549" s="100"/>
      <c r="E549" s="99"/>
      <c r="F549" s="627"/>
      <c r="G549" s="627"/>
      <c r="H549" s="100"/>
      <c r="I549" s="100"/>
      <c r="J549" s="35"/>
      <c r="K549" s="36"/>
      <c r="L549" s="36"/>
      <c r="M549" s="36"/>
      <c r="N549" s="36"/>
      <c r="O549" s="36"/>
      <c r="P549" s="36"/>
      <c r="Q549" s="36"/>
      <c r="R549" s="36"/>
      <c r="S549" s="36"/>
      <c r="T549" s="36"/>
      <c r="U549" s="36"/>
      <c r="V549" s="36"/>
      <c r="W549" s="36"/>
      <c r="X549" s="36"/>
      <c r="Y549" s="36"/>
      <c r="Z549" s="36"/>
      <c r="AA549" s="36"/>
      <c r="AB549" s="36"/>
      <c r="AC549" s="36"/>
    </row>
    <row r="550" spans="1:29" ht="24" customHeight="1">
      <c r="A550" s="100"/>
      <c r="B550" s="463"/>
      <c r="C550" s="100"/>
      <c r="D550" s="100"/>
      <c r="E550" s="99"/>
      <c r="F550" s="627"/>
      <c r="G550" s="627"/>
      <c r="H550" s="100"/>
      <c r="I550" s="100"/>
      <c r="J550" s="35"/>
      <c r="K550" s="36"/>
      <c r="L550" s="36"/>
      <c r="M550" s="36"/>
      <c r="N550" s="36"/>
      <c r="O550" s="36"/>
      <c r="P550" s="36"/>
      <c r="Q550" s="36"/>
      <c r="R550" s="36"/>
      <c r="S550" s="36"/>
      <c r="T550" s="36"/>
      <c r="U550" s="36"/>
      <c r="V550" s="36"/>
      <c r="W550" s="36"/>
      <c r="X550" s="36"/>
      <c r="Y550" s="36"/>
      <c r="Z550" s="36"/>
      <c r="AA550" s="36"/>
      <c r="AB550" s="36"/>
      <c r="AC550" s="36"/>
    </row>
    <row r="551" spans="1:29" ht="36" customHeight="1">
      <c r="A551" s="100"/>
      <c r="B551" s="463"/>
      <c r="C551" s="100"/>
      <c r="D551" s="100"/>
      <c r="E551" s="99"/>
      <c r="F551" s="627"/>
      <c r="G551" s="627"/>
      <c r="H551" s="100"/>
      <c r="I551" s="100"/>
      <c r="J551" s="35"/>
      <c r="K551" s="36"/>
      <c r="L551" s="36"/>
      <c r="M551" s="36"/>
      <c r="N551" s="36"/>
      <c r="O551" s="36"/>
      <c r="P551" s="36"/>
      <c r="Q551" s="36"/>
      <c r="R551" s="36"/>
      <c r="S551" s="36"/>
      <c r="T551" s="36"/>
      <c r="U551" s="36"/>
      <c r="V551" s="36"/>
      <c r="W551" s="36"/>
      <c r="X551" s="36"/>
      <c r="Y551" s="36"/>
      <c r="Z551" s="36"/>
      <c r="AA551" s="36"/>
      <c r="AB551" s="36"/>
      <c r="AC551" s="36"/>
    </row>
    <row r="552" spans="1:29" ht="12" customHeight="1">
      <c r="A552" s="100"/>
      <c r="B552" s="463"/>
      <c r="C552" s="100"/>
      <c r="D552" s="100"/>
      <c r="E552" s="99"/>
      <c r="F552" s="627"/>
      <c r="G552" s="627"/>
      <c r="H552" s="100"/>
      <c r="I552" s="100"/>
      <c r="J552" s="35"/>
      <c r="K552" s="36"/>
      <c r="L552" s="36"/>
      <c r="M552" s="36"/>
      <c r="N552" s="36"/>
      <c r="O552" s="36"/>
      <c r="P552" s="36"/>
      <c r="Q552" s="36"/>
      <c r="R552" s="36"/>
      <c r="S552" s="36"/>
      <c r="T552" s="36"/>
      <c r="U552" s="36"/>
      <c r="V552" s="36"/>
      <c r="W552" s="36"/>
      <c r="X552" s="36"/>
      <c r="Y552" s="36"/>
      <c r="Z552" s="36"/>
      <c r="AA552" s="36"/>
      <c r="AB552" s="36"/>
      <c r="AC552" s="36"/>
    </row>
    <row r="553" spans="1:29" ht="12" customHeight="1">
      <c r="A553" s="100"/>
      <c r="B553" s="463"/>
      <c r="C553" s="100"/>
      <c r="D553" s="100"/>
      <c r="E553" s="99"/>
      <c r="F553" s="627"/>
      <c r="G553" s="627"/>
      <c r="H553" s="100"/>
      <c r="I553" s="100"/>
      <c r="J553" s="35"/>
      <c r="K553" s="36"/>
      <c r="L553" s="36"/>
      <c r="M553" s="36"/>
      <c r="N553" s="36"/>
      <c r="O553" s="36"/>
      <c r="P553" s="36"/>
      <c r="Q553" s="36"/>
      <c r="R553" s="36"/>
      <c r="S553" s="36"/>
      <c r="T553" s="36"/>
      <c r="U553" s="36"/>
      <c r="V553" s="36"/>
      <c r="W553" s="36"/>
      <c r="X553" s="36"/>
      <c r="Y553" s="36"/>
      <c r="Z553" s="36"/>
      <c r="AA553" s="36"/>
      <c r="AB553" s="36"/>
      <c r="AC553" s="36"/>
    </row>
    <row r="554" spans="1:29" ht="24" customHeight="1">
      <c r="A554" s="100"/>
      <c r="B554" s="463"/>
      <c r="C554" s="100"/>
      <c r="D554" s="100"/>
      <c r="E554" s="99"/>
      <c r="F554" s="627"/>
      <c r="G554" s="627"/>
      <c r="H554" s="100"/>
      <c r="I554" s="100"/>
      <c r="J554" s="35"/>
      <c r="K554" s="36"/>
      <c r="L554" s="36"/>
      <c r="M554" s="36"/>
      <c r="N554" s="36"/>
      <c r="O554" s="36"/>
      <c r="P554" s="36"/>
      <c r="Q554" s="36"/>
      <c r="R554" s="36"/>
      <c r="S554" s="36"/>
      <c r="T554" s="36"/>
      <c r="U554" s="36"/>
      <c r="V554" s="36"/>
      <c r="W554" s="36"/>
      <c r="X554" s="36"/>
      <c r="Y554" s="36"/>
      <c r="Z554" s="36"/>
      <c r="AA554" s="36"/>
      <c r="AB554" s="36"/>
      <c r="AC554" s="36"/>
    </row>
    <row r="555" spans="1:29" ht="24" customHeight="1">
      <c r="A555" s="100"/>
      <c r="B555" s="463"/>
      <c r="C555" s="100"/>
      <c r="D555" s="100"/>
      <c r="E555" s="99"/>
      <c r="F555" s="627"/>
      <c r="G555" s="627"/>
      <c r="H555" s="100"/>
      <c r="I555" s="100"/>
      <c r="J555" s="35"/>
      <c r="K555" s="36"/>
      <c r="L555" s="36"/>
      <c r="M555" s="36"/>
      <c r="N555" s="36"/>
      <c r="O555" s="36"/>
      <c r="P555" s="36"/>
      <c r="Q555" s="36"/>
      <c r="R555" s="36"/>
      <c r="S555" s="36"/>
      <c r="T555" s="36"/>
      <c r="U555" s="36"/>
      <c r="V555" s="36"/>
      <c r="W555" s="36"/>
      <c r="X555" s="36"/>
      <c r="Y555" s="36"/>
      <c r="Z555" s="36"/>
      <c r="AA555" s="36"/>
      <c r="AB555" s="36"/>
      <c r="AC555" s="36"/>
    </row>
    <row r="556" spans="1:29" ht="24" customHeight="1">
      <c r="A556" s="100"/>
      <c r="B556" s="463"/>
      <c r="C556" s="100"/>
      <c r="D556" s="100"/>
      <c r="E556" s="99"/>
      <c r="F556" s="627"/>
      <c r="G556" s="627"/>
      <c r="H556" s="100"/>
      <c r="I556" s="100"/>
      <c r="J556" s="35"/>
      <c r="K556" s="36"/>
      <c r="L556" s="36"/>
      <c r="M556" s="36"/>
      <c r="N556" s="36"/>
      <c r="O556" s="36"/>
      <c r="P556" s="36"/>
      <c r="Q556" s="36"/>
      <c r="R556" s="36"/>
      <c r="S556" s="36"/>
      <c r="T556" s="36"/>
      <c r="U556" s="36"/>
      <c r="V556" s="36"/>
      <c r="W556" s="36"/>
      <c r="X556" s="36"/>
      <c r="Y556" s="36"/>
      <c r="Z556" s="36"/>
      <c r="AA556" s="36"/>
      <c r="AB556" s="36"/>
      <c r="AC556" s="36"/>
    </row>
    <row r="557" spans="1:29" ht="24" customHeight="1">
      <c r="A557" s="100"/>
      <c r="B557" s="463"/>
      <c r="C557" s="100"/>
      <c r="D557" s="100"/>
      <c r="E557" s="99"/>
      <c r="F557" s="627"/>
      <c r="G557" s="627"/>
      <c r="H557" s="100"/>
      <c r="I557" s="100"/>
      <c r="J557" s="35"/>
      <c r="K557" s="36"/>
      <c r="L557" s="36"/>
      <c r="M557" s="36"/>
      <c r="N557" s="36"/>
      <c r="O557" s="36"/>
      <c r="P557" s="36"/>
      <c r="Q557" s="36"/>
      <c r="R557" s="36"/>
      <c r="S557" s="36"/>
      <c r="T557" s="36"/>
      <c r="U557" s="36"/>
      <c r="V557" s="36"/>
      <c r="W557" s="36"/>
      <c r="X557" s="36"/>
      <c r="Y557" s="36"/>
      <c r="Z557" s="36"/>
      <c r="AA557" s="36"/>
      <c r="AB557" s="36"/>
      <c r="AC557" s="36"/>
    </row>
    <row r="558" spans="1:29" ht="12" customHeight="1">
      <c r="A558" s="100"/>
      <c r="B558" s="463"/>
      <c r="C558" s="100"/>
      <c r="D558" s="100"/>
      <c r="E558" s="99"/>
      <c r="F558" s="627"/>
      <c r="G558" s="627"/>
      <c r="H558" s="100"/>
      <c r="I558" s="100"/>
      <c r="J558" s="35"/>
      <c r="K558" s="36"/>
      <c r="L558" s="36"/>
      <c r="M558" s="36"/>
      <c r="N558" s="36"/>
      <c r="O558" s="36"/>
      <c r="P558" s="36"/>
      <c r="Q558" s="36"/>
      <c r="R558" s="36"/>
      <c r="S558" s="36"/>
      <c r="T558" s="36"/>
      <c r="U558" s="36"/>
      <c r="V558" s="36"/>
      <c r="W558" s="36"/>
      <c r="X558" s="36"/>
      <c r="Y558" s="36"/>
      <c r="Z558" s="36"/>
      <c r="AA558" s="36"/>
      <c r="AB558" s="36"/>
      <c r="AC558" s="36"/>
    </row>
    <row r="559" spans="1:29" ht="36" customHeight="1">
      <c r="A559" s="100"/>
      <c r="B559" s="463"/>
      <c r="C559" s="100"/>
      <c r="D559" s="100"/>
      <c r="E559" s="99"/>
      <c r="F559" s="627"/>
      <c r="G559" s="627"/>
      <c r="H559" s="100"/>
      <c r="I559" s="100"/>
      <c r="J559" s="35"/>
      <c r="K559" s="36"/>
      <c r="L559" s="36"/>
      <c r="M559" s="36"/>
      <c r="N559" s="36"/>
      <c r="O559" s="36"/>
      <c r="P559" s="36"/>
      <c r="Q559" s="36"/>
      <c r="R559" s="36"/>
      <c r="S559" s="36"/>
      <c r="T559" s="36"/>
      <c r="U559" s="36"/>
      <c r="V559" s="36"/>
      <c r="W559" s="36"/>
      <c r="X559" s="36"/>
      <c r="Y559" s="36"/>
      <c r="Z559" s="36"/>
      <c r="AA559" s="36"/>
      <c r="AB559" s="36"/>
      <c r="AC559" s="36"/>
    </row>
    <row r="560" spans="1:29" ht="60" customHeight="1">
      <c r="A560" s="100"/>
      <c r="B560" s="463"/>
      <c r="C560" s="100"/>
      <c r="D560" s="100"/>
      <c r="E560" s="99"/>
      <c r="F560" s="627"/>
      <c r="G560" s="627"/>
      <c r="H560" s="100"/>
      <c r="I560" s="100"/>
      <c r="J560" s="35"/>
      <c r="K560" s="36"/>
      <c r="L560" s="36"/>
      <c r="M560" s="36"/>
      <c r="N560" s="36"/>
      <c r="O560" s="36"/>
      <c r="P560" s="36"/>
      <c r="Q560" s="36"/>
      <c r="R560" s="36"/>
      <c r="S560" s="36"/>
      <c r="T560" s="36"/>
      <c r="U560" s="36"/>
      <c r="V560" s="36"/>
      <c r="W560" s="36"/>
      <c r="X560" s="36"/>
      <c r="Y560" s="36"/>
      <c r="Z560" s="36"/>
      <c r="AA560" s="36"/>
      <c r="AB560" s="36"/>
      <c r="AC560" s="36"/>
    </row>
    <row r="561" spans="1:29" ht="12" customHeight="1">
      <c r="A561" s="100"/>
      <c r="B561" s="630"/>
      <c r="C561" s="100"/>
      <c r="D561" s="100"/>
      <c r="E561" s="99"/>
      <c r="F561" s="627"/>
      <c r="G561" s="627"/>
      <c r="H561" s="100"/>
      <c r="I561" s="100"/>
      <c r="J561" s="35"/>
      <c r="K561" s="36"/>
      <c r="L561" s="36"/>
      <c r="M561" s="36"/>
      <c r="N561" s="36"/>
      <c r="O561" s="36"/>
      <c r="P561" s="36"/>
      <c r="Q561" s="36"/>
      <c r="R561" s="36"/>
      <c r="S561" s="36"/>
      <c r="T561" s="36"/>
      <c r="U561" s="36"/>
      <c r="V561" s="36"/>
      <c r="W561" s="36"/>
      <c r="X561" s="36"/>
      <c r="Y561" s="36"/>
      <c r="Z561" s="36"/>
      <c r="AA561" s="36"/>
      <c r="AB561" s="36"/>
      <c r="AC561" s="36"/>
    </row>
    <row r="562" spans="1:29" ht="12" customHeight="1">
      <c r="A562" s="100"/>
      <c r="B562" s="631"/>
      <c r="C562" s="100"/>
      <c r="D562" s="100"/>
      <c r="E562" s="99"/>
      <c r="F562" s="627"/>
      <c r="G562" s="627"/>
      <c r="H562" s="100"/>
      <c r="I562" s="100"/>
      <c r="J562" s="35"/>
      <c r="K562" s="36"/>
      <c r="L562" s="36"/>
      <c r="M562" s="36"/>
      <c r="N562" s="36"/>
      <c r="O562" s="36"/>
      <c r="P562" s="36"/>
      <c r="Q562" s="36"/>
      <c r="R562" s="36"/>
      <c r="S562" s="36"/>
      <c r="T562" s="36"/>
      <c r="U562" s="36"/>
      <c r="V562" s="36"/>
      <c r="W562" s="36"/>
      <c r="X562" s="36"/>
      <c r="Y562" s="36"/>
      <c r="Z562" s="36"/>
      <c r="AA562" s="36"/>
      <c r="AB562" s="36"/>
      <c r="AC562" s="36"/>
    </row>
    <row r="563" spans="1:29" ht="12" customHeight="1">
      <c r="A563" s="100"/>
      <c r="B563" s="631"/>
      <c r="C563" s="632"/>
      <c r="D563" s="100"/>
      <c r="E563" s="99"/>
      <c r="F563" s="627"/>
      <c r="G563" s="627"/>
      <c r="H563" s="100"/>
      <c r="I563" s="100"/>
      <c r="J563" s="35"/>
      <c r="K563" s="36"/>
      <c r="L563" s="36"/>
      <c r="M563" s="36"/>
      <c r="N563" s="36"/>
      <c r="O563" s="36"/>
      <c r="P563" s="36"/>
      <c r="Q563" s="36"/>
      <c r="R563" s="36"/>
      <c r="S563" s="36"/>
      <c r="T563" s="36"/>
      <c r="U563" s="36"/>
      <c r="V563" s="36"/>
      <c r="W563" s="36"/>
      <c r="X563" s="36"/>
      <c r="Y563" s="36"/>
      <c r="Z563" s="36"/>
      <c r="AA563" s="36"/>
      <c r="AB563" s="36"/>
      <c r="AC563" s="36"/>
    </row>
    <row r="564" spans="1:29" ht="60" customHeight="1">
      <c r="A564" s="81"/>
      <c r="B564" s="94"/>
      <c r="C564" s="81"/>
      <c r="D564" s="81"/>
      <c r="E564" s="80"/>
      <c r="F564" s="620"/>
      <c r="G564" s="620"/>
      <c r="H564" s="81"/>
      <c r="I564" s="81"/>
      <c r="J564" s="35"/>
      <c r="K564" s="36"/>
      <c r="L564" s="36"/>
      <c r="M564" s="36"/>
      <c r="N564" s="36"/>
      <c r="O564" s="36"/>
      <c r="P564" s="36"/>
      <c r="Q564" s="36"/>
      <c r="R564" s="36"/>
      <c r="S564" s="36"/>
      <c r="T564" s="36"/>
      <c r="U564" s="36"/>
      <c r="V564" s="36"/>
      <c r="W564" s="36"/>
      <c r="X564" s="36"/>
      <c r="Y564" s="36"/>
      <c r="Z564" s="36"/>
      <c r="AA564" s="36"/>
      <c r="AB564" s="36"/>
      <c r="AC564" s="36"/>
    </row>
    <row r="565" spans="1:29" ht="48" customHeight="1">
      <c r="A565" s="81"/>
      <c r="B565" s="94"/>
      <c r="C565" s="81"/>
      <c r="D565" s="81"/>
      <c r="E565" s="80"/>
      <c r="F565" s="620"/>
      <c r="G565" s="620"/>
      <c r="H565" s="81"/>
      <c r="I565" s="81"/>
      <c r="J565" s="35"/>
      <c r="K565" s="36"/>
      <c r="L565" s="36"/>
      <c r="M565" s="36"/>
      <c r="N565" s="36"/>
      <c r="O565" s="36"/>
      <c r="P565" s="36"/>
      <c r="Q565" s="36"/>
      <c r="R565" s="36"/>
      <c r="S565" s="36"/>
      <c r="T565" s="36"/>
      <c r="U565" s="36"/>
      <c r="V565" s="36"/>
      <c r="W565" s="36"/>
      <c r="X565" s="36"/>
      <c r="Y565" s="36"/>
      <c r="Z565" s="36"/>
      <c r="AA565" s="36"/>
      <c r="AB565" s="36"/>
      <c r="AC565" s="36"/>
    </row>
    <row r="566" spans="1:29" ht="36" customHeight="1">
      <c r="A566" s="81"/>
      <c r="B566" s="94"/>
      <c r="C566" s="81"/>
      <c r="D566" s="81"/>
      <c r="E566" s="80"/>
      <c r="F566" s="620"/>
      <c r="G566" s="620"/>
      <c r="H566" s="81"/>
      <c r="I566" s="81"/>
      <c r="J566" s="35"/>
      <c r="K566" s="36"/>
      <c r="L566" s="36"/>
      <c r="M566" s="36"/>
      <c r="N566" s="36"/>
      <c r="O566" s="36"/>
      <c r="P566" s="36"/>
      <c r="Q566" s="36"/>
      <c r="R566" s="36"/>
      <c r="S566" s="36"/>
      <c r="T566" s="36"/>
      <c r="U566" s="36"/>
      <c r="V566" s="36"/>
      <c r="W566" s="36"/>
      <c r="X566" s="36"/>
      <c r="Y566" s="36"/>
      <c r="Z566" s="36"/>
      <c r="AA566" s="36"/>
      <c r="AB566" s="36"/>
      <c r="AC566" s="36"/>
    </row>
    <row r="567" spans="1:29" ht="48" customHeight="1">
      <c r="A567" s="81"/>
      <c r="B567" s="94"/>
      <c r="C567" s="81"/>
      <c r="D567" s="81"/>
      <c r="E567" s="80"/>
      <c r="F567" s="620"/>
      <c r="G567" s="620"/>
      <c r="H567" s="81"/>
      <c r="I567" s="81"/>
      <c r="J567" s="35"/>
      <c r="K567" s="36"/>
      <c r="L567" s="36"/>
      <c r="M567" s="36"/>
      <c r="N567" s="36"/>
      <c r="O567" s="36"/>
      <c r="P567" s="36"/>
      <c r="Q567" s="36"/>
      <c r="R567" s="36"/>
      <c r="S567" s="36"/>
      <c r="T567" s="36"/>
      <c r="U567" s="36"/>
      <c r="V567" s="36"/>
      <c r="W567" s="36"/>
      <c r="X567" s="36"/>
      <c r="Y567" s="36"/>
      <c r="Z567" s="36"/>
      <c r="AA567" s="36"/>
      <c r="AB567" s="36"/>
      <c r="AC567" s="36"/>
    </row>
    <row r="568" spans="1:29" ht="28.5" customHeight="1">
      <c r="A568" s="81"/>
      <c r="B568" s="94"/>
      <c r="C568" s="81"/>
      <c r="D568" s="81"/>
      <c r="E568" s="80"/>
      <c r="F568" s="620"/>
      <c r="G568" s="620"/>
      <c r="H568" s="81"/>
      <c r="I568" s="81"/>
      <c r="J568" s="35"/>
      <c r="K568" s="36"/>
      <c r="L568" s="36"/>
      <c r="M568" s="36"/>
      <c r="N568" s="36"/>
      <c r="O568" s="36"/>
      <c r="P568" s="36"/>
      <c r="Q568" s="36"/>
      <c r="R568" s="36"/>
      <c r="S568" s="36"/>
      <c r="T568" s="36"/>
      <c r="U568" s="36"/>
      <c r="V568" s="36"/>
      <c r="W568" s="36"/>
      <c r="X568" s="36"/>
      <c r="Y568" s="36"/>
      <c r="Z568" s="36"/>
      <c r="AA568" s="36"/>
      <c r="AB568" s="36"/>
      <c r="AC568" s="36"/>
    </row>
    <row r="569" spans="1:29" ht="180" customHeight="1">
      <c r="A569" s="81"/>
      <c r="B569" s="94"/>
      <c r="C569" s="81"/>
      <c r="D569" s="81"/>
      <c r="E569" s="80"/>
      <c r="F569" s="620"/>
      <c r="G569" s="620"/>
      <c r="H569" s="81"/>
      <c r="I569" s="81"/>
      <c r="J569" s="35"/>
      <c r="K569" s="36"/>
      <c r="L569" s="36"/>
      <c r="M569" s="36"/>
      <c r="N569" s="36"/>
      <c r="O569" s="36"/>
      <c r="P569" s="36"/>
      <c r="Q569" s="36"/>
      <c r="R569" s="36"/>
      <c r="S569" s="36"/>
      <c r="T569" s="36"/>
      <c r="U569" s="36"/>
      <c r="V569" s="36"/>
      <c r="W569" s="36"/>
      <c r="X569" s="36"/>
      <c r="Y569" s="36"/>
      <c r="Z569" s="36"/>
      <c r="AA569" s="36"/>
      <c r="AB569" s="36"/>
      <c r="AC569" s="36"/>
    </row>
    <row r="570" spans="1:29" ht="24" customHeight="1">
      <c r="A570" s="81"/>
      <c r="B570" s="94"/>
      <c r="C570" s="81"/>
      <c r="D570" s="81"/>
      <c r="E570" s="80"/>
      <c r="F570" s="620"/>
      <c r="G570" s="620"/>
      <c r="H570" s="81"/>
      <c r="I570" s="81"/>
      <c r="J570" s="35"/>
      <c r="K570" s="36"/>
      <c r="L570" s="36"/>
      <c r="M570" s="36"/>
      <c r="N570" s="36"/>
      <c r="O570" s="36"/>
      <c r="P570" s="36"/>
      <c r="Q570" s="36"/>
      <c r="R570" s="36"/>
      <c r="S570" s="36"/>
      <c r="T570" s="36"/>
      <c r="U570" s="36"/>
      <c r="V570" s="36"/>
      <c r="W570" s="36"/>
      <c r="X570" s="36"/>
      <c r="Y570" s="36"/>
      <c r="Z570" s="36"/>
      <c r="AA570" s="36"/>
      <c r="AB570" s="36"/>
      <c r="AC570" s="36"/>
    </row>
    <row r="571" spans="1:29" ht="24" customHeight="1">
      <c r="A571" s="81"/>
      <c r="B571" s="94"/>
      <c r="C571" s="81"/>
      <c r="D571" s="81"/>
      <c r="E571" s="80"/>
      <c r="F571" s="620"/>
      <c r="G571" s="620"/>
      <c r="H571" s="81"/>
      <c r="I571" s="81"/>
      <c r="J571" s="35"/>
      <c r="K571" s="36"/>
      <c r="L571" s="36"/>
      <c r="M571" s="36"/>
      <c r="N571" s="36"/>
      <c r="O571" s="36"/>
      <c r="P571" s="36"/>
      <c r="Q571" s="36"/>
      <c r="R571" s="36"/>
      <c r="S571" s="36"/>
      <c r="T571" s="36"/>
      <c r="U571" s="36"/>
      <c r="V571" s="36"/>
      <c r="W571" s="36"/>
      <c r="X571" s="36"/>
      <c r="Y571" s="36"/>
      <c r="Z571" s="36"/>
      <c r="AA571" s="36"/>
      <c r="AB571" s="36"/>
      <c r="AC571" s="36"/>
    </row>
    <row r="572" spans="1:29" ht="36" customHeight="1">
      <c r="A572" s="81"/>
      <c r="B572" s="81"/>
      <c r="C572" s="81"/>
      <c r="D572" s="81"/>
      <c r="E572" s="80"/>
      <c r="F572" s="620"/>
      <c r="G572" s="620"/>
      <c r="H572" s="81"/>
      <c r="I572" s="81"/>
      <c r="J572" s="35"/>
      <c r="K572" s="36"/>
      <c r="L572" s="36"/>
      <c r="M572" s="36"/>
      <c r="N572" s="36"/>
      <c r="O572" s="36"/>
      <c r="P572" s="36"/>
      <c r="Q572" s="36"/>
      <c r="R572" s="36"/>
      <c r="S572" s="36"/>
      <c r="T572" s="36"/>
      <c r="U572" s="36"/>
      <c r="V572" s="36"/>
      <c r="W572" s="36"/>
      <c r="X572" s="36"/>
      <c r="Y572" s="36"/>
      <c r="Z572" s="36"/>
      <c r="AA572" s="36"/>
      <c r="AB572" s="36"/>
      <c r="AC572" s="36"/>
    </row>
    <row r="573" spans="1:29" ht="36" customHeight="1">
      <c r="A573" s="81"/>
      <c r="B573" s="94"/>
      <c r="C573" s="81"/>
      <c r="D573" s="81"/>
      <c r="E573" s="80"/>
      <c r="F573" s="620"/>
      <c r="G573" s="620"/>
      <c r="H573" s="81"/>
      <c r="I573" s="81"/>
      <c r="J573" s="35"/>
      <c r="K573" s="36"/>
      <c r="L573" s="36"/>
      <c r="M573" s="36"/>
      <c r="N573" s="36"/>
      <c r="O573" s="36"/>
      <c r="P573" s="36"/>
      <c r="Q573" s="36"/>
      <c r="R573" s="36"/>
      <c r="S573" s="36"/>
      <c r="T573" s="36"/>
      <c r="U573" s="36"/>
      <c r="V573" s="36"/>
      <c r="W573" s="36"/>
      <c r="X573" s="36"/>
      <c r="Y573" s="36"/>
      <c r="Z573" s="36"/>
      <c r="AA573" s="36"/>
      <c r="AB573" s="36"/>
      <c r="AC573" s="36"/>
    </row>
    <row r="574" spans="1:29" ht="24" customHeight="1">
      <c r="A574" s="81"/>
      <c r="B574" s="94"/>
      <c r="C574" s="81"/>
      <c r="D574" s="81"/>
      <c r="E574" s="80"/>
      <c r="F574" s="620"/>
      <c r="G574" s="620"/>
      <c r="H574" s="81"/>
      <c r="I574" s="81"/>
      <c r="J574" s="35"/>
      <c r="K574" s="36"/>
      <c r="L574" s="36"/>
      <c r="M574" s="36"/>
      <c r="N574" s="36"/>
      <c r="O574" s="36"/>
      <c r="P574" s="36"/>
      <c r="Q574" s="36"/>
      <c r="R574" s="36"/>
      <c r="S574" s="36"/>
      <c r="T574" s="36"/>
      <c r="U574" s="36"/>
      <c r="V574" s="36"/>
      <c r="W574" s="36"/>
      <c r="X574" s="36"/>
      <c r="Y574" s="36"/>
      <c r="Z574" s="36"/>
      <c r="AA574" s="36"/>
      <c r="AB574" s="36"/>
      <c r="AC574" s="36"/>
    </row>
    <row r="575" spans="1:29" ht="24" customHeight="1">
      <c r="A575" s="81"/>
      <c r="B575" s="94"/>
      <c r="C575" s="81"/>
      <c r="D575" s="81"/>
      <c r="E575" s="80"/>
      <c r="F575" s="620"/>
      <c r="G575" s="620"/>
      <c r="H575" s="81"/>
      <c r="I575" s="81"/>
      <c r="J575" s="35"/>
      <c r="K575" s="36"/>
      <c r="L575" s="36"/>
      <c r="M575" s="36"/>
      <c r="N575" s="36"/>
      <c r="O575" s="36"/>
      <c r="P575" s="36"/>
      <c r="Q575" s="36"/>
      <c r="R575" s="36"/>
      <c r="S575" s="36"/>
      <c r="T575" s="36"/>
      <c r="U575" s="36"/>
      <c r="V575" s="36"/>
      <c r="W575" s="36"/>
      <c r="X575" s="36"/>
      <c r="Y575" s="36"/>
      <c r="Z575" s="36"/>
      <c r="AA575" s="36"/>
      <c r="AB575" s="36"/>
      <c r="AC575" s="36"/>
    </row>
    <row r="576" spans="1:29" ht="48" customHeight="1">
      <c r="A576" s="81"/>
      <c r="B576" s="94"/>
      <c r="C576" s="81"/>
      <c r="D576" s="81"/>
      <c r="E576" s="80"/>
      <c r="F576" s="620"/>
      <c r="G576" s="620"/>
      <c r="H576" s="81"/>
      <c r="I576" s="81"/>
      <c r="J576" s="35"/>
      <c r="K576" s="36"/>
      <c r="L576" s="36"/>
      <c r="M576" s="36"/>
      <c r="N576" s="36"/>
      <c r="O576" s="36"/>
      <c r="P576" s="36"/>
      <c r="Q576" s="36"/>
      <c r="R576" s="36"/>
      <c r="S576" s="36"/>
      <c r="T576" s="36"/>
      <c r="U576" s="36"/>
      <c r="V576" s="36"/>
      <c r="W576" s="36"/>
      <c r="X576" s="36"/>
      <c r="Y576" s="36"/>
      <c r="Z576" s="36"/>
      <c r="AA576" s="36"/>
      <c r="AB576" s="36"/>
      <c r="AC576" s="36"/>
    </row>
    <row r="577" spans="1:29" ht="36" customHeight="1">
      <c r="A577" s="81"/>
      <c r="B577" s="94"/>
      <c r="C577" s="81"/>
      <c r="D577" s="81"/>
      <c r="E577" s="80"/>
      <c r="F577" s="620"/>
      <c r="G577" s="620"/>
      <c r="H577" s="81"/>
      <c r="I577" s="81"/>
      <c r="J577" s="35"/>
      <c r="K577" s="36"/>
      <c r="L577" s="36"/>
      <c r="M577" s="36"/>
      <c r="N577" s="36"/>
      <c r="O577" s="36"/>
      <c r="P577" s="36"/>
      <c r="Q577" s="36"/>
      <c r="R577" s="36"/>
      <c r="S577" s="36"/>
      <c r="T577" s="36"/>
      <c r="U577" s="36"/>
      <c r="V577" s="36"/>
      <c r="W577" s="36"/>
      <c r="X577" s="36"/>
      <c r="Y577" s="36"/>
      <c r="Z577" s="36"/>
      <c r="AA577" s="36"/>
      <c r="AB577" s="36"/>
      <c r="AC577" s="36"/>
    </row>
    <row r="578" spans="1:29" ht="36" customHeight="1">
      <c r="A578" s="81"/>
      <c r="B578" s="94"/>
      <c r="C578" s="81"/>
      <c r="D578" s="81"/>
      <c r="E578" s="80"/>
      <c r="F578" s="620"/>
      <c r="G578" s="620"/>
      <c r="H578" s="81"/>
      <c r="I578" s="81"/>
      <c r="J578" s="35"/>
      <c r="K578" s="36"/>
      <c r="L578" s="36"/>
      <c r="M578" s="36"/>
      <c r="N578" s="36"/>
      <c r="O578" s="36"/>
      <c r="P578" s="36"/>
      <c r="Q578" s="36"/>
      <c r="R578" s="36"/>
      <c r="S578" s="36"/>
      <c r="T578" s="36"/>
      <c r="U578" s="36"/>
      <c r="V578" s="36"/>
      <c r="W578" s="36"/>
      <c r="X578" s="36"/>
      <c r="Y578" s="36"/>
      <c r="Z578" s="36"/>
      <c r="AA578" s="36"/>
      <c r="AB578" s="36"/>
      <c r="AC578" s="36"/>
    </row>
    <row r="579" spans="1:29" ht="24" customHeight="1">
      <c r="A579" s="81"/>
      <c r="B579" s="94"/>
      <c r="C579" s="81"/>
      <c r="D579" s="81"/>
      <c r="E579" s="80"/>
      <c r="F579" s="620"/>
      <c r="G579" s="620"/>
      <c r="H579" s="81"/>
      <c r="I579" s="81"/>
      <c r="J579" s="35"/>
      <c r="K579" s="36"/>
      <c r="L579" s="36"/>
      <c r="M579" s="36"/>
      <c r="N579" s="36"/>
      <c r="O579" s="36"/>
      <c r="P579" s="36"/>
      <c r="Q579" s="36"/>
      <c r="R579" s="36"/>
      <c r="S579" s="36"/>
      <c r="T579" s="36"/>
      <c r="U579" s="36"/>
      <c r="V579" s="36"/>
      <c r="W579" s="36"/>
      <c r="X579" s="36"/>
      <c r="Y579" s="36"/>
      <c r="Z579" s="36"/>
      <c r="AA579" s="36"/>
      <c r="AB579" s="36"/>
      <c r="AC579" s="36"/>
    </row>
    <row r="580" spans="1:29" ht="36" customHeight="1">
      <c r="A580" s="81"/>
      <c r="B580" s="94"/>
      <c r="C580" s="81"/>
      <c r="D580" s="81"/>
      <c r="E580" s="80"/>
      <c r="F580" s="620"/>
      <c r="G580" s="620"/>
      <c r="H580" s="81"/>
      <c r="I580" s="81"/>
      <c r="J580" s="35"/>
      <c r="K580" s="36"/>
      <c r="L580" s="36"/>
      <c r="M580" s="36"/>
      <c r="N580" s="36"/>
      <c r="O580" s="36"/>
      <c r="P580" s="36"/>
      <c r="Q580" s="36"/>
      <c r="R580" s="36"/>
      <c r="S580" s="36"/>
      <c r="T580" s="36"/>
      <c r="U580" s="36"/>
      <c r="V580" s="36"/>
      <c r="W580" s="36"/>
      <c r="X580" s="36"/>
      <c r="Y580" s="36"/>
      <c r="Z580" s="36"/>
      <c r="AA580" s="36"/>
      <c r="AB580" s="36"/>
      <c r="AC580" s="36"/>
    </row>
    <row r="581" spans="1:29" ht="24" customHeight="1">
      <c r="A581" s="81"/>
      <c r="B581" s="94"/>
      <c r="C581" s="81"/>
      <c r="D581" s="81"/>
      <c r="E581" s="80"/>
      <c r="F581" s="620"/>
      <c r="G581" s="620"/>
      <c r="H581" s="81"/>
      <c r="I581" s="81"/>
      <c r="J581" s="35"/>
      <c r="K581" s="36"/>
      <c r="L581" s="36"/>
      <c r="M581" s="36"/>
      <c r="N581" s="36"/>
      <c r="O581" s="36"/>
      <c r="P581" s="36"/>
      <c r="Q581" s="36"/>
      <c r="R581" s="36"/>
      <c r="S581" s="36"/>
      <c r="T581" s="36"/>
      <c r="U581" s="36"/>
      <c r="V581" s="36"/>
      <c r="W581" s="36"/>
      <c r="X581" s="36"/>
      <c r="Y581" s="36"/>
      <c r="Z581" s="36"/>
      <c r="AA581" s="36"/>
      <c r="AB581" s="36"/>
      <c r="AC581" s="36"/>
    </row>
    <row r="582" spans="1:29" ht="24" customHeight="1">
      <c r="A582" s="81"/>
      <c r="B582" s="94"/>
      <c r="C582" s="81"/>
      <c r="D582" s="81"/>
      <c r="E582" s="80"/>
      <c r="F582" s="620"/>
      <c r="G582" s="620"/>
      <c r="H582" s="81"/>
      <c r="I582" s="81"/>
      <c r="J582" s="35"/>
      <c r="K582" s="36"/>
      <c r="L582" s="36"/>
      <c r="M582" s="36"/>
      <c r="N582" s="36"/>
      <c r="O582" s="36"/>
      <c r="P582" s="36"/>
      <c r="Q582" s="36"/>
      <c r="R582" s="36"/>
      <c r="S582" s="36"/>
      <c r="T582" s="36"/>
      <c r="U582" s="36"/>
      <c r="V582" s="36"/>
      <c r="W582" s="36"/>
      <c r="X582" s="36"/>
      <c r="Y582" s="36"/>
      <c r="Z582" s="36"/>
      <c r="AA582" s="36"/>
      <c r="AB582" s="36"/>
      <c r="AC582" s="36"/>
    </row>
    <row r="583" spans="1:29" ht="24" customHeight="1">
      <c r="A583" s="81"/>
      <c r="B583" s="94"/>
      <c r="C583" s="81"/>
      <c r="D583" s="81"/>
      <c r="E583" s="80"/>
      <c r="F583" s="620"/>
      <c r="G583" s="620"/>
      <c r="H583" s="81"/>
      <c r="I583" s="81"/>
      <c r="J583" s="35"/>
      <c r="K583" s="36"/>
      <c r="L583" s="36"/>
      <c r="M583" s="36"/>
      <c r="N583" s="36"/>
      <c r="O583" s="36"/>
      <c r="P583" s="36"/>
      <c r="Q583" s="36"/>
      <c r="R583" s="36"/>
      <c r="S583" s="36"/>
      <c r="T583" s="36"/>
      <c r="U583" s="36"/>
      <c r="V583" s="36"/>
      <c r="W583" s="36"/>
      <c r="X583" s="36"/>
      <c r="Y583" s="36"/>
      <c r="Z583" s="36"/>
      <c r="AA583" s="36"/>
      <c r="AB583" s="36"/>
      <c r="AC583" s="36"/>
    </row>
    <row r="584" spans="1:29" ht="24" customHeight="1">
      <c r="A584" s="81"/>
      <c r="B584" s="94"/>
      <c r="C584" s="81"/>
      <c r="D584" s="81"/>
      <c r="E584" s="80"/>
      <c r="F584" s="620"/>
      <c r="G584" s="620"/>
      <c r="H584" s="81"/>
      <c r="I584" s="81"/>
      <c r="J584" s="35"/>
      <c r="K584" s="36"/>
      <c r="L584" s="36"/>
      <c r="M584" s="36"/>
      <c r="N584" s="36"/>
      <c r="O584" s="36"/>
      <c r="P584" s="36"/>
      <c r="Q584" s="36"/>
      <c r="R584" s="36"/>
      <c r="S584" s="36"/>
      <c r="T584" s="36"/>
      <c r="U584" s="36"/>
      <c r="V584" s="36"/>
      <c r="W584" s="36"/>
      <c r="X584" s="36"/>
      <c r="Y584" s="36"/>
      <c r="Z584" s="36"/>
      <c r="AA584" s="36"/>
      <c r="AB584" s="36"/>
      <c r="AC584" s="36"/>
    </row>
    <row r="585" spans="1:29" ht="24" customHeight="1">
      <c r="A585" s="81"/>
      <c r="B585" s="94"/>
      <c r="C585" s="81"/>
      <c r="D585" s="81"/>
      <c r="E585" s="80"/>
      <c r="F585" s="620"/>
      <c r="G585" s="620"/>
      <c r="H585" s="81"/>
      <c r="I585" s="81"/>
      <c r="J585" s="35"/>
      <c r="K585" s="36"/>
      <c r="L585" s="36"/>
      <c r="M585" s="36"/>
      <c r="N585" s="36"/>
      <c r="O585" s="36"/>
      <c r="P585" s="36"/>
      <c r="Q585" s="36"/>
      <c r="R585" s="36"/>
      <c r="S585" s="36"/>
      <c r="T585" s="36"/>
      <c r="U585" s="36"/>
      <c r="V585" s="36"/>
      <c r="W585" s="36"/>
      <c r="X585" s="36"/>
      <c r="Y585" s="36"/>
      <c r="Z585" s="36"/>
      <c r="AA585" s="36"/>
      <c r="AB585" s="36"/>
      <c r="AC585" s="36"/>
    </row>
    <row r="586" spans="1:29" ht="36" customHeight="1">
      <c r="A586" s="81"/>
      <c r="B586" s="94"/>
      <c r="C586" s="81"/>
      <c r="D586" s="81"/>
      <c r="E586" s="80"/>
      <c r="F586" s="620"/>
      <c r="G586" s="620"/>
      <c r="H586" s="81"/>
      <c r="I586" s="81"/>
      <c r="J586" s="35"/>
      <c r="K586" s="36"/>
      <c r="L586" s="36"/>
      <c r="M586" s="36"/>
      <c r="N586" s="36"/>
      <c r="O586" s="36"/>
      <c r="P586" s="36"/>
      <c r="Q586" s="36"/>
      <c r="R586" s="36"/>
      <c r="S586" s="36"/>
      <c r="T586" s="36"/>
      <c r="U586" s="36"/>
      <c r="V586" s="36"/>
      <c r="W586" s="36"/>
      <c r="X586" s="36"/>
      <c r="Y586" s="36"/>
      <c r="Z586" s="36"/>
      <c r="AA586" s="36"/>
      <c r="AB586" s="36"/>
      <c r="AC586" s="36"/>
    </row>
    <row r="587" spans="1:29" ht="36" customHeight="1">
      <c r="A587" s="81"/>
      <c r="B587" s="94"/>
      <c r="C587" s="81"/>
      <c r="D587" s="81"/>
      <c r="E587" s="80"/>
      <c r="F587" s="620"/>
      <c r="G587" s="620"/>
      <c r="H587" s="81"/>
      <c r="I587" s="81"/>
      <c r="J587" s="35"/>
      <c r="K587" s="36"/>
      <c r="L587" s="36"/>
      <c r="M587" s="36"/>
      <c r="N587" s="36"/>
      <c r="O587" s="36"/>
      <c r="P587" s="36"/>
      <c r="Q587" s="36"/>
      <c r="R587" s="36"/>
      <c r="S587" s="36"/>
      <c r="T587" s="36"/>
      <c r="U587" s="36"/>
      <c r="V587" s="36"/>
      <c r="W587" s="36"/>
      <c r="X587" s="36"/>
      <c r="Y587" s="36"/>
      <c r="Z587" s="36"/>
      <c r="AA587" s="36"/>
      <c r="AB587" s="36"/>
      <c r="AC587" s="36"/>
    </row>
    <row r="588" spans="1:29" ht="24" customHeight="1">
      <c r="A588" s="81"/>
      <c r="B588" s="94"/>
      <c r="C588" s="81"/>
      <c r="D588" s="81"/>
      <c r="E588" s="80"/>
      <c r="F588" s="620"/>
      <c r="G588" s="620"/>
      <c r="H588" s="81"/>
      <c r="I588" s="81"/>
      <c r="J588" s="35"/>
      <c r="K588" s="36"/>
      <c r="L588" s="36"/>
      <c r="M588" s="36"/>
      <c r="N588" s="36"/>
      <c r="O588" s="36"/>
      <c r="P588" s="36"/>
      <c r="Q588" s="36"/>
      <c r="R588" s="36"/>
      <c r="S588" s="36"/>
      <c r="T588" s="36"/>
      <c r="U588" s="36"/>
      <c r="V588" s="36"/>
      <c r="W588" s="36"/>
      <c r="X588" s="36"/>
      <c r="Y588" s="36"/>
      <c r="Z588" s="36"/>
      <c r="AA588" s="36"/>
      <c r="AB588" s="36"/>
      <c r="AC588" s="36"/>
    </row>
    <row r="589" spans="1:29" ht="48" customHeight="1">
      <c r="A589" s="81"/>
      <c r="B589" s="94"/>
      <c r="C589" s="81"/>
      <c r="D589" s="81"/>
      <c r="E589" s="80"/>
      <c r="F589" s="620"/>
      <c r="G589" s="620"/>
      <c r="H589" s="81"/>
      <c r="I589" s="81"/>
      <c r="J589" s="35"/>
      <c r="K589" s="36"/>
      <c r="L589" s="36"/>
      <c r="M589" s="36"/>
      <c r="N589" s="36"/>
      <c r="O589" s="36"/>
      <c r="P589" s="36"/>
      <c r="Q589" s="36"/>
      <c r="R589" s="36"/>
      <c r="S589" s="36"/>
      <c r="T589" s="36"/>
      <c r="U589" s="36"/>
      <c r="V589" s="36"/>
      <c r="W589" s="36"/>
      <c r="X589" s="36"/>
      <c r="Y589" s="36"/>
      <c r="Z589" s="36"/>
      <c r="AA589" s="36"/>
      <c r="AB589" s="36"/>
      <c r="AC589" s="36"/>
    </row>
    <row r="590" spans="1:29" ht="60" customHeight="1">
      <c r="A590" s="81"/>
      <c r="B590" s="94"/>
      <c r="C590" s="81"/>
      <c r="D590" s="81"/>
      <c r="E590" s="80"/>
      <c r="F590" s="620"/>
      <c r="G590" s="620"/>
      <c r="H590" s="81"/>
      <c r="I590" s="81"/>
      <c r="J590" s="35"/>
      <c r="K590" s="36"/>
      <c r="L590" s="36"/>
      <c r="M590" s="36"/>
      <c r="N590" s="36"/>
      <c r="O590" s="36"/>
      <c r="P590" s="36"/>
      <c r="Q590" s="36"/>
      <c r="R590" s="36"/>
      <c r="S590" s="36"/>
      <c r="T590" s="36"/>
      <c r="U590" s="36"/>
      <c r="V590" s="36"/>
      <c r="W590" s="36"/>
      <c r="X590" s="36"/>
      <c r="Y590" s="36"/>
      <c r="Z590" s="36"/>
      <c r="AA590" s="36"/>
      <c r="AB590" s="36"/>
      <c r="AC590" s="36"/>
    </row>
    <row r="591" spans="1:29" ht="24" customHeight="1">
      <c r="A591" s="81"/>
      <c r="B591" s="94"/>
      <c r="C591" s="81"/>
      <c r="D591" s="81"/>
      <c r="E591" s="80"/>
      <c r="F591" s="620"/>
      <c r="G591" s="620"/>
      <c r="H591" s="81"/>
      <c r="I591" s="81"/>
      <c r="J591" s="35"/>
      <c r="K591" s="36"/>
      <c r="L591" s="36"/>
      <c r="M591" s="36"/>
      <c r="N591" s="36"/>
      <c r="O591" s="36"/>
      <c r="P591" s="36"/>
      <c r="Q591" s="36"/>
      <c r="R591" s="36"/>
      <c r="S591" s="36"/>
      <c r="T591" s="36"/>
      <c r="U591" s="36"/>
      <c r="V591" s="36"/>
      <c r="W591" s="36"/>
      <c r="X591" s="36"/>
      <c r="Y591" s="36"/>
      <c r="Z591" s="36"/>
      <c r="AA591" s="36"/>
      <c r="AB591" s="36"/>
      <c r="AC591" s="36"/>
    </row>
    <row r="592" spans="1:29" ht="24" customHeight="1">
      <c r="A592" s="81"/>
      <c r="B592" s="94"/>
      <c r="C592" s="81"/>
      <c r="D592" s="81"/>
      <c r="E592" s="80"/>
      <c r="F592" s="620"/>
      <c r="G592" s="620"/>
      <c r="H592" s="81"/>
      <c r="I592" s="81"/>
      <c r="J592" s="35"/>
      <c r="K592" s="36"/>
      <c r="L592" s="36"/>
      <c r="M592" s="36"/>
      <c r="N592" s="36"/>
      <c r="O592" s="36"/>
      <c r="P592" s="36"/>
      <c r="Q592" s="36"/>
      <c r="R592" s="36"/>
      <c r="S592" s="36"/>
      <c r="T592" s="36"/>
      <c r="U592" s="36"/>
      <c r="V592" s="36"/>
      <c r="W592" s="36"/>
      <c r="X592" s="36"/>
      <c r="Y592" s="36"/>
      <c r="Z592" s="36"/>
      <c r="AA592" s="36"/>
      <c r="AB592" s="36"/>
      <c r="AC592" s="36"/>
    </row>
    <row r="593" spans="1:29" ht="36" customHeight="1">
      <c r="A593" s="81"/>
      <c r="B593" s="94"/>
      <c r="C593" s="81"/>
      <c r="D593" s="81"/>
      <c r="E593" s="80"/>
      <c r="F593" s="620"/>
      <c r="G593" s="620"/>
      <c r="H593" s="81"/>
      <c r="I593" s="81"/>
      <c r="J593" s="35"/>
      <c r="K593" s="36"/>
      <c r="L593" s="36"/>
      <c r="M593" s="36"/>
      <c r="N593" s="36"/>
      <c r="O593" s="36"/>
      <c r="P593" s="36"/>
      <c r="Q593" s="36"/>
      <c r="R593" s="36"/>
      <c r="S593" s="36"/>
      <c r="T593" s="36"/>
      <c r="U593" s="36"/>
      <c r="V593" s="36"/>
      <c r="W593" s="36"/>
      <c r="X593" s="36"/>
      <c r="Y593" s="36"/>
      <c r="Z593" s="36"/>
      <c r="AA593" s="36"/>
      <c r="AB593" s="36"/>
      <c r="AC593" s="36"/>
    </row>
    <row r="594" spans="1:29" ht="24" customHeight="1">
      <c r="A594" s="81"/>
      <c r="B594" s="94"/>
      <c r="C594" s="81"/>
      <c r="D594" s="81"/>
      <c r="E594" s="80"/>
      <c r="F594" s="620"/>
      <c r="G594" s="620"/>
      <c r="H594" s="81"/>
      <c r="I594" s="81"/>
      <c r="J594" s="35"/>
      <c r="K594" s="36"/>
      <c r="L594" s="36"/>
      <c r="M594" s="36"/>
      <c r="N594" s="36"/>
      <c r="O594" s="36"/>
      <c r="P594" s="36"/>
      <c r="Q594" s="36"/>
      <c r="R594" s="36"/>
      <c r="S594" s="36"/>
      <c r="T594" s="36"/>
      <c r="U594" s="36"/>
      <c r="V594" s="36"/>
      <c r="W594" s="36"/>
      <c r="X594" s="36"/>
      <c r="Y594" s="36"/>
      <c r="Z594" s="36"/>
      <c r="AA594" s="36"/>
      <c r="AB594" s="36"/>
      <c r="AC594" s="36"/>
    </row>
    <row r="595" spans="1:29" ht="72" customHeight="1">
      <c r="A595" s="81"/>
      <c r="B595" s="94"/>
      <c r="C595" s="81"/>
      <c r="D595" s="81"/>
      <c r="E595" s="80"/>
      <c r="F595" s="620"/>
      <c r="G595" s="620"/>
      <c r="H595" s="81"/>
      <c r="I595" s="81"/>
      <c r="J595" s="35"/>
      <c r="K595" s="36"/>
      <c r="L595" s="36"/>
      <c r="M595" s="36"/>
      <c r="N595" s="36"/>
      <c r="O595" s="36"/>
      <c r="P595" s="36"/>
      <c r="Q595" s="36"/>
      <c r="R595" s="36"/>
      <c r="S595" s="36"/>
      <c r="T595" s="36"/>
      <c r="U595" s="36"/>
      <c r="V595" s="36"/>
      <c r="W595" s="36"/>
      <c r="X595" s="36"/>
      <c r="Y595" s="36"/>
      <c r="Z595" s="36"/>
      <c r="AA595" s="36"/>
      <c r="AB595" s="36"/>
      <c r="AC595" s="36"/>
    </row>
    <row r="596" spans="1:29" ht="24" customHeight="1">
      <c r="A596" s="81"/>
      <c r="B596" s="94"/>
      <c r="C596" s="81"/>
      <c r="D596" s="81"/>
      <c r="E596" s="80"/>
      <c r="F596" s="620"/>
      <c r="G596" s="620"/>
      <c r="H596" s="81"/>
      <c r="I596" s="81"/>
      <c r="J596" s="35"/>
      <c r="K596" s="36"/>
      <c r="L596" s="36"/>
      <c r="M596" s="36"/>
      <c r="N596" s="36"/>
      <c r="O596" s="36"/>
      <c r="P596" s="36"/>
      <c r="Q596" s="36"/>
      <c r="R596" s="36"/>
      <c r="S596" s="36"/>
      <c r="T596" s="36"/>
      <c r="U596" s="36"/>
      <c r="V596" s="36"/>
      <c r="W596" s="36"/>
      <c r="X596" s="36"/>
      <c r="Y596" s="36"/>
      <c r="Z596" s="36"/>
      <c r="AA596" s="36"/>
      <c r="AB596" s="36"/>
      <c r="AC596" s="36"/>
    </row>
    <row r="597" spans="1:29" ht="36" customHeight="1">
      <c r="A597" s="81"/>
      <c r="B597" s="94"/>
      <c r="C597" s="81"/>
      <c r="D597" s="81"/>
      <c r="E597" s="80"/>
      <c r="F597" s="620"/>
      <c r="G597" s="620"/>
      <c r="H597" s="81"/>
      <c r="I597" s="81"/>
      <c r="J597" s="35"/>
      <c r="K597" s="36"/>
      <c r="L597" s="36"/>
      <c r="M597" s="36"/>
      <c r="N597" s="36"/>
      <c r="O597" s="36"/>
      <c r="P597" s="36"/>
      <c r="Q597" s="36"/>
      <c r="R597" s="36"/>
      <c r="S597" s="36"/>
      <c r="T597" s="36"/>
      <c r="U597" s="36"/>
      <c r="V597" s="36"/>
      <c r="W597" s="36"/>
      <c r="X597" s="36"/>
      <c r="Y597" s="36"/>
      <c r="Z597" s="36"/>
      <c r="AA597" s="36"/>
      <c r="AB597" s="36"/>
      <c r="AC597" s="36"/>
    </row>
    <row r="598" spans="1:29" ht="24" customHeight="1">
      <c r="A598" s="81"/>
      <c r="B598" s="94"/>
      <c r="C598" s="81"/>
      <c r="D598" s="81"/>
      <c r="E598" s="80"/>
      <c r="F598" s="620"/>
      <c r="G598" s="620"/>
      <c r="H598" s="81"/>
      <c r="I598" s="81"/>
      <c r="J598" s="35"/>
      <c r="K598" s="36"/>
      <c r="L598" s="36"/>
      <c r="M598" s="36"/>
      <c r="N598" s="36"/>
      <c r="O598" s="36"/>
      <c r="P598" s="36"/>
      <c r="Q598" s="36"/>
      <c r="R598" s="36"/>
      <c r="S598" s="36"/>
      <c r="T598" s="36"/>
      <c r="U598" s="36"/>
      <c r="V598" s="36"/>
      <c r="W598" s="36"/>
      <c r="X598" s="36"/>
      <c r="Y598" s="36"/>
      <c r="Z598" s="36"/>
      <c r="AA598" s="36"/>
      <c r="AB598" s="36"/>
      <c r="AC598" s="36"/>
    </row>
    <row r="599" spans="1:29" ht="72" customHeight="1">
      <c r="A599" s="81"/>
      <c r="B599" s="94"/>
      <c r="C599" s="81"/>
      <c r="D599" s="81"/>
      <c r="E599" s="80"/>
      <c r="F599" s="620"/>
      <c r="G599" s="620"/>
      <c r="H599" s="81"/>
      <c r="I599" s="81"/>
      <c r="J599" s="35"/>
      <c r="K599" s="36"/>
      <c r="L599" s="36"/>
      <c r="M599" s="36"/>
      <c r="N599" s="36"/>
      <c r="O599" s="36"/>
      <c r="P599" s="36"/>
      <c r="Q599" s="36"/>
      <c r="R599" s="36"/>
      <c r="S599" s="36"/>
      <c r="T599" s="36"/>
      <c r="U599" s="36"/>
      <c r="V599" s="36"/>
      <c r="W599" s="36"/>
      <c r="X599" s="36"/>
      <c r="Y599" s="36"/>
      <c r="Z599" s="36"/>
      <c r="AA599" s="36"/>
      <c r="AB599" s="36"/>
      <c r="AC599" s="36"/>
    </row>
    <row r="600" spans="1:29" ht="24" customHeight="1">
      <c r="A600" s="81"/>
      <c r="B600" s="94"/>
      <c r="C600" s="81"/>
      <c r="D600" s="81"/>
      <c r="E600" s="80"/>
      <c r="F600" s="620"/>
      <c r="G600" s="620"/>
      <c r="H600" s="81"/>
      <c r="I600" s="81"/>
      <c r="J600" s="35"/>
      <c r="K600" s="36"/>
      <c r="L600" s="36"/>
      <c r="M600" s="36"/>
      <c r="N600" s="36"/>
      <c r="O600" s="36"/>
      <c r="P600" s="36"/>
      <c r="Q600" s="36"/>
      <c r="R600" s="36"/>
      <c r="S600" s="36"/>
      <c r="T600" s="36"/>
      <c r="U600" s="36"/>
      <c r="V600" s="36"/>
      <c r="W600" s="36"/>
      <c r="X600" s="36"/>
      <c r="Y600" s="36"/>
      <c r="Z600" s="36"/>
      <c r="AA600" s="36"/>
      <c r="AB600" s="36"/>
      <c r="AC600" s="36"/>
    </row>
    <row r="601" spans="1:29" ht="24" customHeight="1">
      <c r="A601" s="81"/>
      <c r="B601" s="94"/>
      <c r="C601" s="81"/>
      <c r="D601" s="81"/>
      <c r="E601" s="80"/>
      <c r="F601" s="620"/>
      <c r="G601" s="620"/>
      <c r="H601" s="81"/>
      <c r="I601" s="81"/>
      <c r="J601" s="35"/>
      <c r="K601" s="36"/>
      <c r="L601" s="36"/>
      <c r="M601" s="36"/>
      <c r="N601" s="36"/>
      <c r="O601" s="36"/>
      <c r="P601" s="36"/>
      <c r="Q601" s="36"/>
      <c r="R601" s="36"/>
      <c r="S601" s="36"/>
      <c r="T601" s="36"/>
      <c r="U601" s="36"/>
      <c r="V601" s="36"/>
      <c r="W601" s="36"/>
      <c r="X601" s="36"/>
      <c r="Y601" s="36"/>
      <c r="Z601" s="36"/>
      <c r="AA601" s="36"/>
      <c r="AB601" s="36"/>
      <c r="AC601" s="36"/>
    </row>
    <row r="602" spans="1:29" ht="60" customHeight="1">
      <c r="A602" s="81"/>
      <c r="B602" s="94"/>
      <c r="C602" s="81"/>
      <c r="D602" s="81"/>
      <c r="E602" s="80"/>
      <c r="F602" s="620"/>
      <c r="G602" s="620"/>
      <c r="H602" s="81"/>
      <c r="I602" s="81"/>
      <c r="J602" s="35"/>
      <c r="K602" s="36"/>
      <c r="L602" s="36"/>
      <c r="M602" s="36"/>
      <c r="N602" s="36"/>
      <c r="O602" s="36"/>
      <c r="P602" s="36"/>
      <c r="Q602" s="36"/>
      <c r="R602" s="36"/>
      <c r="S602" s="36"/>
      <c r="T602" s="36"/>
      <c r="U602" s="36"/>
      <c r="V602" s="36"/>
      <c r="W602" s="36"/>
      <c r="X602" s="36"/>
      <c r="Y602" s="36"/>
      <c r="Z602" s="36"/>
      <c r="AA602" s="36"/>
      <c r="AB602" s="36"/>
      <c r="AC602" s="36"/>
    </row>
    <row r="603" spans="1:29" ht="24" customHeight="1">
      <c r="A603" s="81"/>
      <c r="B603" s="94"/>
      <c r="C603" s="81"/>
      <c r="D603" s="81"/>
      <c r="E603" s="80"/>
      <c r="F603" s="620"/>
      <c r="G603" s="620"/>
      <c r="H603" s="81"/>
      <c r="I603" s="81"/>
      <c r="J603" s="35"/>
      <c r="K603" s="36"/>
      <c r="L603" s="36"/>
      <c r="M603" s="36"/>
      <c r="N603" s="36"/>
      <c r="O603" s="36"/>
      <c r="P603" s="36"/>
      <c r="Q603" s="36"/>
      <c r="R603" s="36"/>
      <c r="S603" s="36"/>
      <c r="T603" s="36"/>
      <c r="U603" s="36"/>
      <c r="V603" s="36"/>
      <c r="W603" s="36"/>
      <c r="X603" s="36"/>
      <c r="Y603" s="36"/>
      <c r="Z603" s="36"/>
      <c r="AA603" s="36"/>
      <c r="AB603" s="36"/>
      <c r="AC603" s="36"/>
    </row>
    <row r="604" spans="1:29" ht="72" customHeight="1">
      <c r="A604" s="81"/>
      <c r="B604" s="94"/>
      <c r="C604" s="81"/>
      <c r="D604" s="81"/>
      <c r="E604" s="80"/>
      <c r="F604" s="620"/>
      <c r="G604" s="620"/>
      <c r="H604" s="81"/>
      <c r="I604" s="81"/>
      <c r="J604" s="35"/>
      <c r="K604" s="36"/>
      <c r="L604" s="36"/>
      <c r="M604" s="36"/>
      <c r="N604" s="36"/>
      <c r="O604" s="36"/>
      <c r="P604" s="36"/>
      <c r="Q604" s="36"/>
      <c r="R604" s="36"/>
      <c r="S604" s="36"/>
      <c r="T604" s="36"/>
      <c r="U604" s="36"/>
      <c r="V604" s="36"/>
      <c r="W604" s="36"/>
      <c r="X604" s="36"/>
      <c r="Y604" s="36"/>
      <c r="Z604" s="36"/>
      <c r="AA604" s="36"/>
      <c r="AB604" s="36"/>
      <c r="AC604" s="36"/>
    </row>
    <row r="605" spans="1:29" ht="48" customHeight="1">
      <c r="A605" s="81"/>
      <c r="B605" s="94"/>
      <c r="C605" s="81"/>
      <c r="D605" s="81"/>
      <c r="E605" s="80"/>
      <c r="F605" s="620"/>
      <c r="G605" s="620"/>
      <c r="H605" s="81"/>
      <c r="I605" s="81"/>
      <c r="J605" s="35"/>
      <c r="K605" s="36"/>
      <c r="L605" s="36"/>
      <c r="M605" s="36"/>
      <c r="N605" s="36"/>
      <c r="O605" s="36"/>
      <c r="P605" s="36"/>
      <c r="Q605" s="36"/>
      <c r="R605" s="36"/>
      <c r="S605" s="36"/>
      <c r="T605" s="36"/>
      <c r="U605" s="36"/>
      <c r="V605" s="36"/>
      <c r="W605" s="36"/>
      <c r="X605" s="36"/>
      <c r="Y605" s="36"/>
      <c r="Z605" s="36"/>
      <c r="AA605" s="36"/>
      <c r="AB605" s="36"/>
      <c r="AC605" s="36"/>
    </row>
    <row r="606" spans="1:29" ht="24" customHeight="1">
      <c r="A606" s="81"/>
      <c r="B606" s="94"/>
      <c r="C606" s="81"/>
      <c r="D606" s="81"/>
      <c r="E606" s="80"/>
      <c r="F606" s="620"/>
      <c r="G606" s="620"/>
      <c r="H606" s="81"/>
      <c r="I606" s="81"/>
      <c r="J606" s="35"/>
      <c r="K606" s="36"/>
      <c r="L606" s="36"/>
      <c r="M606" s="36"/>
      <c r="N606" s="36"/>
      <c r="O606" s="36"/>
      <c r="P606" s="36"/>
      <c r="Q606" s="36"/>
      <c r="R606" s="36"/>
      <c r="S606" s="36"/>
      <c r="T606" s="36"/>
      <c r="U606" s="36"/>
      <c r="V606" s="36"/>
      <c r="W606" s="36"/>
      <c r="X606" s="36"/>
      <c r="Y606" s="36"/>
      <c r="Z606" s="36"/>
      <c r="AA606" s="36"/>
      <c r="AB606" s="36"/>
      <c r="AC606" s="36"/>
    </row>
    <row r="607" spans="1:29" ht="24" customHeight="1">
      <c r="A607" s="81"/>
      <c r="B607" s="94"/>
      <c r="C607" s="81"/>
      <c r="D607" s="81"/>
      <c r="E607" s="80"/>
      <c r="F607" s="620"/>
      <c r="G607" s="620"/>
      <c r="H607" s="81"/>
      <c r="I607" s="81"/>
      <c r="J607" s="35"/>
      <c r="K607" s="36"/>
      <c r="L607" s="36"/>
      <c r="M607" s="36"/>
      <c r="N607" s="36"/>
      <c r="O607" s="36"/>
      <c r="P607" s="36"/>
      <c r="Q607" s="36"/>
      <c r="R607" s="36"/>
      <c r="S607" s="36"/>
      <c r="T607" s="36"/>
      <c r="U607" s="36"/>
      <c r="V607" s="36"/>
      <c r="W607" s="36"/>
      <c r="X607" s="36"/>
      <c r="Y607" s="36"/>
      <c r="Z607" s="36"/>
      <c r="AA607" s="36"/>
      <c r="AB607" s="36"/>
      <c r="AC607" s="36"/>
    </row>
    <row r="608" spans="1:29" ht="24" customHeight="1">
      <c r="A608" s="81"/>
      <c r="B608" s="94"/>
      <c r="C608" s="81"/>
      <c r="D608" s="81"/>
      <c r="E608" s="80"/>
      <c r="F608" s="620"/>
      <c r="G608" s="620"/>
      <c r="H608" s="81"/>
      <c r="I608" s="81"/>
      <c r="J608" s="35"/>
      <c r="K608" s="36"/>
      <c r="L608" s="36"/>
      <c r="M608" s="36"/>
      <c r="N608" s="36"/>
      <c r="O608" s="36"/>
      <c r="P608" s="36"/>
      <c r="Q608" s="36"/>
      <c r="R608" s="36"/>
      <c r="S608" s="36"/>
      <c r="T608" s="36"/>
      <c r="U608" s="36"/>
      <c r="V608" s="36"/>
      <c r="W608" s="36"/>
      <c r="X608" s="36"/>
      <c r="Y608" s="36"/>
      <c r="Z608" s="36"/>
      <c r="AA608" s="36"/>
      <c r="AB608" s="36"/>
      <c r="AC608" s="36"/>
    </row>
    <row r="609" spans="1:29" ht="60" customHeight="1">
      <c r="A609" s="81"/>
      <c r="B609" s="94"/>
      <c r="C609" s="81"/>
      <c r="D609" s="81"/>
      <c r="E609" s="80"/>
      <c r="F609" s="620"/>
      <c r="G609" s="620"/>
      <c r="H609" s="81"/>
      <c r="I609" s="81"/>
      <c r="J609" s="35"/>
      <c r="K609" s="36"/>
      <c r="L609" s="36"/>
      <c r="M609" s="36"/>
      <c r="N609" s="36"/>
      <c r="O609" s="36"/>
      <c r="P609" s="36"/>
      <c r="Q609" s="36"/>
      <c r="R609" s="36"/>
      <c r="S609" s="36"/>
      <c r="T609" s="36"/>
      <c r="U609" s="36"/>
      <c r="V609" s="36"/>
      <c r="W609" s="36"/>
      <c r="X609" s="36"/>
      <c r="Y609" s="36"/>
      <c r="Z609" s="36"/>
      <c r="AA609" s="36"/>
      <c r="AB609" s="36"/>
      <c r="AC609" s="36"/>
    </row>
    <row r="610" spans="1:29" ht="36" customHeight="1">
      <c r="A610" s="81"/>
      <c r="B610" s="94"/>
      <c r="C610" s="81"/>
      <c r="D610" s="81"/>
      <c r="E610" s="80"/>
      <c r="F610" s="620"/>
      <c r="G610" s="620"/>
      <c r="H610" s="81"/>
      <c r="I610" s="81"/>
      <c r="J610" s="35"/>
      <c r="K610" s="36"/>
      <c r="L610" s="36"/>
      <c r="M610" s="36"/>
      <c r="N610" s="36"/>
      <c r="O610" s="36"/>
      <c r="P610" s="36"/>
      <c r="Q610" s="36"/>
      <c r="R610" s="36"/>
      <c r="S610" s="36"/>
      <c r="T610" s="36"/>
      <c r="U610" s="36"/>
      <c r="V610" s="36"/>
      <c r="W610" s="36"/>
      <c r="X610" s="36"/>
      <c r="Y610" s="36"/>
      <c r="Z610" s="36"/>
      <c r="AA610" s="36"/>
      <c r="AB610" s="36"/>
      <c r="AC610" s="36"/>
    </row>
    <row r="611" spans="1:29" ht="24" customHeight="1">
      <c r="A611" s="81"/>
      <c r="B611" s="94"/>
      <c r="C611" s="81"/>
      <c r="D611" s="81"/>
      <c r="E611" s="80"/>
      <c r="F611" s="620"/>
      <c r="G611" s="620"/>
      <c r="H611" s="81"/>
      <c r="I611" s="81"/>
      <c r="J611" s="35"/>
      <c r="K611" s="36"/>
      <c r="L611" s="36"/>
      <c r="M611" s="36"/>
      <c r="N611" s="36"/>
      <c r="O611" s="36"/>
      <c r="P611" s="36"/>
      <c r="Q611" s="36"/>
      <c r="R611" s="36"/>
      <c r="S611" s="36"/>
      <c r="T611" s="36"/>
      <c r="U611" s="36"/>
      <c r="V611" s="36"/>
      <c r="W611" s="36"/>
      <c r="X611" s="36"/>
      <c r="Y611" s="36"/>
      <c r="Z611" s="36"/>
      <c r="AA611" s="36"/>
      <c r="AB611" s="36"/>
      <c r="AC611" s="36"/>
    </row>
    <row r="612" spans="1:29" ht="36" customHeight="1">
      <c r="A612" s="81"/>
      <c r="B612" s="94"/>
      <c r="C612" s="81"/>
      <c r="D612" s="81"/>
      <c r="E612" s="80"/>
      <c r="F612" s="620"/>
      <c r="G612" s="620"/>
      <c r="H612" s="81"/>
      <c r="I612" s="81"/>
      <c r="J612" s="35"/>
      <c r="K612" s="36"/>
      <c r="L612" s="36"/>
      <c r="M612" s="36"/>
      <c r="N612" s="36"/>
      <c r="O612" s="36"/>
      <c r="P612" s="36"/>
      <c r="Q612" s="36"/>
      <c r="R612" s="36"/>
      <c r="S612" s="36"/>
      <c r="T612" s="36"/>
      <c r="U612" s="36"/>
      <c r="V612" s="36"/>
      <c r="W612" s="36"/>
      <c r="X612" s="36"/>
      <c r="Y612" s="36"/>
      <c r="Z612" s="36"/>
      <c r="AA612" s="36"/>
      <c r="AB612" s="36"/>
      <c r="AC612" s="36"/>
    </row>
    <row r="613" spans="1:29" ht="48" customHeight="1">
      <c r="A613" s="81"/>
      <c r="B613" s="94"/>
      <c r="C613" s="81"/>
      <c r="D613" s="81"/>
      <c r="E613" s="80"/>
      <c r="F613" s="620"/>
      <c r="G613" s="620"/>
      <c r="H613" s="81"/>
      <c r="I613" s="81"/>
      <c r="J613" s="35"/>
      <c r="K613" s="36"/>
      <c r="L613" s="36"/>
      <c r="M613" s="36"/>
      <c r="N613" s="36"/>
      <c r="O613" s="36"/>
      <c r="P613" s="36"/>
      <c r="Q613" s="36"/>
      <c r="R613" s="36"/>
      <c r="S613" s="36"/>
      <c r="T613" s="36"/>
      <c r="U613" s="36"/>
      <c r="V613" s="36"/>
      <c r="W613" s="36"/>
      <c r="X613" s="36"/>
      <c r="Y613" s="36"/>
      <c r="Z613" s="36"/>
      <c r="AA613" s="36"/>
      <c r="AB613" s="36"/>
      <c r="AC613" s="36"/>
    </row>
    <row r="614" spans="1:29" ht="96" customHeight="1">
      <c r="A614" s="81"/>
      <c r="B614" s="94"/>
      <c r="C614" s="81"/>
      <c r="D614" s="81"/>
      <c r="E614" s="80"/>
      <c r="F614" s="620"/>
      <c r="G614" s="620"/>
      <c r="H614" s="81"/>
      <c r="I614" s="81"/>
      <c r="J614" s="35"/>
      <c r="K614" s="36"/>
      <c r="L614" s="36"/>
      <c r="M614" s="36"/>
      <c r="N614" s="36"/>
      <c r="O614" s="36"/>
      <c r="P614" s="36"/>
      <c r="Q614" s="36"/>
      <c r="R614" s="36"/>
      <c r="S614" s="36"/>
      <c r="T614" s="36"/>
      <c r="U614" s="36"/>
      <c r="V614" s="36"/>
      <c r="W614" s="36"/>
      <c r="X614" s="36"/>
      <c r="Y614" s="36"/>
      <c r="Z614" s="36"/>
      <c r="AA614" s="36"/>
      <c r="AB614" s="36"/>
      <c r="AC614" s="36"/>
    </row>
    <row r="615" spans="1:29" ht="75.75" customHeight="1">
      <c r="A615" s="81"/>
      <c r="B615" s="94"/>
      <c r="C615" s="81"/>
      <c r="D615" s="81"/>
      <c r="E615" s="80"/>
      <c r="F615" s="620"/>
      <c r="G615" s="620"/>
      <c r="H615" s="81"/>
      <c r="I615" s="81"/>
      <c r="J615" s="35"/>
      <c r="K615" s="36"/>
      <c r="L615" s="36"/>
      <c r="M615" s="36"/>
      <c r="N615" s="36"/>
      <c r="O615" s="36"/>
      <c r="P615" s="36"/>
      <c r="Q615" s="36"/>
      <c r="R615" s="36"/>
      <c r="S615" s="36"/>
      <c r="T615" s="36"/>
      <c r="U615" s="36"/>
      <c r="V615" s="36"/>
      <c r="W615" s="36"/>
      <c r="X615" s="36"/>
      <c r="Y615" s="36"/>
      <c r="Z615" s="36"/>
      <c r="AA615" s="36"/>
      <c r="AB615" s="36"/>
      <c r="AC615" s="36"/>
    </row>
    <row r="616" spans="1:29" ht="84" customHeight="1">
      <c r="A616" s="81"/>
      <c r="B616" s="94"/>
      <c r="C616" s="81"/>
      <c r="D616" s="81"/>
      <c r="E616" s="80"/>
      <c r="F616" s="620"/>
      <c r="G616" s="620"/>
      <c r="H616" s="81"/>
      <c r="I616" s="81"/>
      <c r="J616" s="35"/>
      <c r="K616" s="36"/>
      <c r="L616" s="36"/>
      <c r="M616" s="36"/>
      <c r="N616" s="36"/>
      <c r="O616" s="36"/>
      <c r="P616" s="36"/>
      <c r="Q616" s="36"/>
      <c r="R616" s="36"/>
      <c r="S616" s="36"/>
      <c r="T616" s="36"/>
      <c r="U616" s="36"/>
      <c r="V616" s="36"/>
      <c r="W616" s="36"/>
      <c r="X616" s="36"/>
      <c r="Y616" s="36"/>
      <c r="Z616" s="36"/>
      <c r="AA616" s="36"/>
      <c r="AB616" s="36"/>
      <c r="AC616" s="36"/>
    </row>
    <row r="617" spans="1:29" ht="48" customHeight="1">
      <c r="A617" s="81"/>
      <c r="B617" s="94"/>
      <c r="C617" s="81"/>
      <c r="D617" s="81"/>
      <c r="E617" s="80"/>
      <c r="F617" s="620"/>
      <c r="G617" s="620"/>
      <c r="H617" s="81"/>
      <c r="I617" s="81"/>
      <c r="J617" s="35"/>
      <c r="K617" s="36"/>
      <c r="L617" s="36"/>
      <c r="M617" s="36"/>
      <c r="N617" s="36"/>
      <c r="O617" s="36"/>
      <c r="P617" s="36"/>
      <c r="Q617" s="36"/>
      <c r="R617" s="36"/>
      <c r="S617" s="36"/>
      <c r="T617" s="36"/>
      <c r="U617" s="36"/>
      <c r="V617" s="36"/>
      <c r="W617" s="36"/>
      <c r="X617" s="36"/>
      <c r="Y617" s="36"/>
      <c r="Z617" s="36"/>
      <c r="AA617" s="36"/>
      <c r="AB617" s="36"/>
      <c r="AC617" s="36"/>
    </row>
    <row r="618" spans="1:29" ht="72" customHeight="1">
      <c r="A618" s="81"/>
      <c r="B618" s="94"/>
      <c r="C618" s="81"/>
      <c r="D618" s="81"/>
      <c r="E618" s="80"/>
      <c r="F618" s="620"/>
      <c r="G618" s="620"/>
      <c r="H618" s="81"/>
      <c r="I618" s="81"/>
      <c r="J618" s="35"/>
      <c r="K618" s="36"/>
      <c r="L618" s="36"/>
      <c r="M618" s="36"/>
      <c r="N618" s="36"/>
      <c r="O618" s="36"/>
      <c r="P618" s="36"/>
      <c r="Q618" s="36"/>
      <c r="R618" s="36"/>
      <c r="S618" s="36"/>
      <c r="T618" s="36"/>
      <c r="U618" s="36"/>
      <c r="V618" s="36"/>
      <c r="W618" s="36"/>
      <c r="X618" s="36"/>
      <c r="Y618" s="36"/>
      <c r="Z618" s="36"/>
      <c r="AA618" s="36"/>
      <c r="AB618" s="36"/>
      <c r="AC618" s="36"/>
    </row>
    <row r="619" spans="1:29" ht="53.25" customHeight="1">
      <c r="A619" s="81"/>
      <c r="B619" s="94"/>
      <c r="C619" s="81"/>
      <c r="D619" s="81"/>
      <c r="E619" s="80"/>
      <c r="F619" s="620"/>
      <c r="G619" s="620"/>
      <c r="H619" s="81"/>
      <c r="I619" s="81"/>
      <c r="J619" s="35"/>
      <c r="K619" s="36"/>
      <c r="L619" s="36"/>
      <c r="M619" s="36"/>
      <c r="N619" s="36"/>
      <c r="O619" s="36"/>
      <c r="P619" s="36"/>
      <c r="Q619" s="36"/>
      <c r="R619" s="36"/>
      <c r="S619" s="36"/>
      <c r="T619" s="36"/>
      <c r="U619" s="36"/>
      <c r="V619" s="36"/>
      <c r="W619" s="36"/>
      <c r="X619" s="36"/>
      <c r="Y619" s="36"/>
      <c r="Z619" s="36"/>
      <c r="AA619" s="36"/>
      <c r="AB619" s="36"/>
      <c r="AC619" s="36"/>
    </row>
    <row r="620" spans="1:29" ht="54" customHeight="1">
      <c r="A620" s="81"/>
      <c r="B620" s="94"/>
      <c r="C620" s="81"/>
      <c r="D620" s="81"/>
      <c r="E620" s="80"/>
      <c r="F620" s="620"/>
      <c r="G620" s="620"/>
      <c r="H620" s="81"/>
      <c r="I620" s="81"/>
      <c r="J620" s="35"/>
      <c r="K620" s="36"/>
      <c r="L620" s="36"/>
      <c r="M620" s="36"/>
      <c r="N620" s="36"/>
      <c r="O620" s="36"/>
      <c r="P620" s="36"/>
      <c r="Q620" s="36"/>
      <c r="R620" s="36"/>
      <c r="S620" s="36"/>
      <c r="T620" s="36"/>
      <c r="U620" s="36"/>
      <c r="V620" s="36"/>
      <c r="W620" s="36"/>
      <c r="X620" s="36"/>
      <c r="Y620" s="36"/>
      <c r="Z620" s="36"/>
      <c r="AA620" s="36"/>
      <c r="AB620" s="36"/>
      <c r="AC620" s="36"/>
    </row>
    <row r="621" spans="1:29" ht="57" customHeight="1">
      <c r="A621" s="81"/>
      <c r="B621" s="94"/>
      <c r="C621" s="81"/>
      <c r="D621" s="81"/>
      <c r="E621" s="80"/>
      <c r="F621" s="620"/>
      <c r="G621" s="620"/>
      <c r="H621" s="81"/>
      <c r="I621" s="81"/>
      <c r="J621" s="35"/>
      <c r="K621" s="36"/>
      <c r="L621" s="36"/>
      <c r="M621" s="36"/>
      <c r="N621" s="36"/>
      <c r="O621" s="36"/>
      <c r="P621" s="36"/>
      <c r="Q621" s="36"/>
      <c r="R621" s="36"/>
      <c r="S621" s="36"/>
      <c r="T621" s="36"/>
      <c r="U621" s="36"/>
      <c r="V621" s="36"/>
      <c r="W621" s="36"/>
      <c r="X621" s="36"/>
      <c r="Y621" s="36"/>
      <c r="Z621" s="36"/>
      <c r="AA621" s="36"/>
      <c r="AB621" s="36"/>
      <c r="AC621" s="36"/>
    </row>
    <row r="622" spans="1:29" ht="47.25" customHeight="1">
      <c r="A622" s="81"/>
      <c r="B622" s="94"/>
      <c r="C622" s="81"/>
      <c r="D622" s="81"/>
      <c r="E622" s="80"/>
      <c r="F622" s="620"/>
      <c r="G622" s="620"/>
      <c r="H622" s="81"/>
      <c r="I622" s="81"/>
      <c r="J622" s="35"/>
      <c r="K622" s="36"/>
      <c r="L622" s="36"/>
      <c r="M622" s="36"/>
      <c r="N622" s="36"/>
      <c r="O622" s="36"/>
      <c r="P622" s="36"/>
      <c r="Q622" s="36"/>
      <c r="R622" s="36"/>
      <c r="S622" s="36"/>
      <c r="T622" s="36"/>
      <c r="U622" s="36"/>
      <c r="V622" s="36"/>
      <c r="W622" s="36"/>
      <c r="X622" s="36"/>
      <c r="Y622" s="36"/>
      <c r="Z622" s="36"/>
      <c r="AA622" s="36"/>
      <c r="AB622" s="36"/>
      <c r="AC622" s="36"/>
    </row>
    <row r="623" spans="1:29" ht="36" customHeight="1">
      <c r="A623" s="81"/>
      <c r="B623" s="94"/>
      <c r="C623" s="81"/>
      <c r="D623" s="81"/>
      <c r="E623" s="80"/>
      <c r="F623" s="620"/>
      <c r="G623" s="620"/>
      <c r="H623" s="81"/>
      <c r="I623" s="81"/>
      <c r="J623" s="35"/>
      <c r="K623" s="36"/>
      <c r="L623" s="36"/>
      <c r="M623" s="36"/>
      <c r="N623" s="36"/>
      <c r="O623" s="36"/>
      <c r="P623" s="36"/>
      <c r="Q623" s="36"/>
      <c r="R623" s="36"/>
      <c r="S623" s="36"/>
      <c r="T623" s="36"/>
      <c r="U623" s="36"/>
      <c r="V623" s="36"/>
      <c r="W623" s="36"/>
      <c r="X623" s="36"/>
      <c r="Y623" s="36"/>
      <c r="Z623" s="36"/>
      <c r="AA623" s="36"/>
      <c r="AB623" s="36"/>
      <c r="AC623" s="36"/>
    </row>
    <row r="624" spans="1:29" ht="36" customHeight="1">
      <c r="A624" s="81"/>
      <c r="B624" s="94"/>
      <c r="C624" s="81"/>
      <c r="D624" s="81"/>
      <c r="E624" s="80"/>
      <c r="F624" s="620"/>
      <c r="G624" s="620"/>
      <c r="H624" s="81"/>
      <c r="I624" s="81"/>
      <c r="J624" s="35"/>
      <c r="K624" s="36"/>
      <c r="L624" s="36"/>
      <c r="M624" s="36"/>
      <c r="N624" s="36"/>
      <c r="O624" s="36"/>
      <c r="P624" s="36"/>
      <c r="Q624" s="36"/>
      <c r="R624" s="36"/>
      <c r="S624" s="36"/>
      <c r="T624" s="36"/>
      <c r="U624" s="36"/>
      <c r="V624" s="36"/>
      <c r="W624" s="36"/>
      <c r="X624" s="36"/>
      <c r="Y624" s="36"/>
      <c r="Z624" s="36"/>
      <c r="AA624" s="36"/>
      <c r="AB624" s="36"/>
      <c r="AC624" s="36"/>
    </row>
    <row r="625" spans="1:29" ht="36" customHeight="1">
      <c r="A625" s="624"/>
      <c r="B625" s="94"/>
      <c r="C625" s="81"/>
      <c r="D625" s="81"/>
      <c r="E625" s="80"/>
      <c r="F625" s="620"/>
      <c r="G625" s="620"/>
      <c r="H625" s="81"/>
      <c r="I625" s="81"/>
      <c r="J625" s="35"/>
      <c r="K625" s="36"/>
      <c r="L625" s="36"/>
      <c r="M625" s="36"/>
      <c r="N625" s="36"/>
      <c r="O625" s="36"/>
      <c r="P625" s="36"/>
      <c r="Q625" s="36"/>
      <c r="R625" s="36"/>
      <c r="S625" s="36"/>
      <c r="T625" s="36"/>
      <c r="U625" s="36"/>
      <c r="V625" s="36"/>
      <c r="W625" s="36"/>
      <c r="X625" s="36"/>
      <c r="Y625" s="36"/>
      <c r="Z625" s="36"/>
      <c r="AA625" s="36"/>
      <c r="AB625" s="36"/>
      <c r="AC625" s="36"/>
    </row>
    <row r="626" spans="1:29" ht="48" customHeight="1">
      <c r="A626" s="624"/>
      <c r="B626" s="94"/>
      <c r="C626" s="81"/>
      <c r="D626" s="81"/>
      <c r="E626" s="80"/>
      <c r="F626" s="620"/>
      <c r="G626" s="620"/>
      <c r="H626" s="81"/>
      <c r="I626" s="81"/>
      <c r="J626" s="35"/>
      <c r="K626" s="36"/>
      <c r="L626" s="36"/>
      <c r="M626" s="36"/>
      <c r="N626" s="36"/>
      <c r="O626" s="36"/>
      <c r="P626" s="36"/>
      <c r="Q626" s="36"/>
      <c r="R626" s="36"/>
      <c r="S626" s="36"/>
      <c r="T626" s="36"/>
      <c r="U626" s="36"/>
      <c r="V626" s="36"/>
      <c r="W626" s="36"/>
      <c r="X626" s="36"/>
      <c r="Y626" s="36"/>
      <c r="Z626" s="36"/>
      <c r="AA626" s="36"/>
      <c r="AB626" s="36"/>
      <c r="AC626" s="36"/>
    </row>
    <row r="627" spans="1:29" ht="36" customHeight="1">
      <c r="A627" s="624"/>
      <c r="B627" s="633"/>
      <c r="C627" s="100"/>
      <c r="D627" s="100"/>
      <c r="E627" s="99"/>
      <c r="F627" s="627"/>
      <c r="G627" s="627"/>
      <c r="H627" s="100"/>
      <c r="I627" s="100"/>
      <c r="J627" s="35"/>
      <c r="K627" s="36"/>
      <c r="L627" s="36"/>
      <c r="M627" s="36"/>
      <c r="N627" s="36"/>
      <c r="O627" s="36"/>
      <c r="P627" s="36"/>
      <c r="Q627" s="36"/>
      <c r="R627" s="36"/>
      <c r="S627" s="36"/>
      <c r="T627" s="36"/>
      <c r="U627" s="36"/>
      <c r="V627" s="36"/>
      <c r="W627" s="36"/>
      <c r="X627" s="36"/>
      <c r="Y627" s="36"/>
      <c r="Z627" s="36"/>
      <c r="AA627" s="36"/>
      <c r="AB627" s="36"/>
      <c r="AC627" s="36"/>
    </row>
    <row r="628" spans="1:29" ht="36" customHeight="1">
      <c r="A628" s="624"/>
      <c r="B628" s="633"/>
      <c r="C628" s="100"/>
      <c r="D628" s="100"/>
      <c r="E628" s="99"/>
      <c r="F628" s="627"/>
      <c r="G628" s="627"/>
      <c r="H628" s="100"/>
      <c r="I628" s="100"/>
      <c r="J628" s="35"/>
      <c r="K628" s="36"/>
      <c r="L628" s="36"/>
      <c r="M628" s="36"/>
      <c r="N628" s="36"/>
      <c r="O628" s="36"/>
      <c r="P628" s="36"/>
      <c r="Q628" s="36"/>
      <c r="R628" s="36"/>
      <c r="S628" s="36"/>
      <c r="T628" s="36"/>
      <c r="U628" s="36"/>
      <c r="V628" s="36"/>
      <c r="W628" s="36"/>
      <c r="X628" s="36"/>
      <c r="Y628" s="36"/>
      <c r="Z628" s="36"/>
      <c r="AA628" s="36"/>
      <c r="AB628" s="36"/>
      <c r="AC628" s="36"/>
    </row>
    <row r="629" spans="1:29" ht="36" customHeight="1">
      <c r="A629" s="619"/>
      <c r="B629" s="94"/>
      <c r="C629" s="81"/>
      <c r="D629" s="81"/>
      <c r="E629" s="80"/>
      <c r="F629" s="620"/>
      <c r="G629" s="620"/>
      <c r="H629" s="81"/>
      <c r="I629" s="81"/>
      <c r="J629" s="35"/>
      <c r="K629" s="36"/>
      <c r="L629" s="36"/>
      <c r="M629" s="36"/>
      <c r="N629" s="36"/>
      <c r="O629" s="36"/>
      <c r="P629" s="36"/>
      <c r="Q629" s="36"/>
      <c r="R629" s="36"/>
      <c r="S629" s="36"/>
      <c r="T629" s="36"/>
      <c r="U629" s="36"/>
      <c r="V629" s="36"/>
      <c r="W629" s="36"/>
      <c r="X629" s="36"/>
      <c r="Y629" s="36"/>
      <c r="Z629" s="36"/>
      <c r="AA629" s="36"/>
      <c r="AB629" s="36"/>
      <c r="AC629" s="36"/>
    </row>
    <row r="630" spans="1:29" ht="48" customHeight="1">
      <c r="A630" s="619"/>
      <c r="B630" s="94"/>
      <c r="C630" s="81"/>
      <c r="D630" s="81"/>
      <c r="E630" s="80"/>
      <c r="F630" s="620"/>
      <c r="G630" s="620"/>
      <c r="H630" s="81"/>
      <c r="I630" s="81"/>
      <c r="J630" s="35"/>
      <c r="K630" s="36"/>
      <c r="L630" s="36"/>
      <c r="M630" s="36"/>
      <c r="N630" s="36"/>
      <c r="O630" s="36"/>
      <c r="P630" s="36"/>
      <c r="Q630" s="36"/>
      <c r="R630" s="36"/>
      <c r="S630" s="36"/>
      <c r="T630" s="36"/>
      <c r="U630" s="36"/>
      <c r="V630" s="36"/>
      <c r="W630" s="36"/>
      <c r="X630" s="36"/>
      <c r="Y630" s="36"/>
      <c r="Z630" s="36"/>
      <c r="AA630" s="36"/>
      <c r="AB630" s="36"/>
      <c r="AC630" s="36"/>
    </row>
    <row r="631" spans="1:29" ht="36" customHeight="1">
      <c r="A631" s="619"/>
      <c r="B631" s="94"/>
      <c r="C631" s="81"/>
      <c r="D631" s="81"/>
      <c r="E631" s="80"/>
      <c r="F631" s="620"/>
      <c r="G631" s="620"/>
      <c r="H631" s="81"/>
      <c r="I631" s="81"/>
      <c r="J631" s="35"/>
      <c r="K631" s="36"/>
      <c r="L631" s="36"/>
      <c r="M631" s="36"/>
      <c r="N631" s="36"/>
      <c r="O631" s="36"/>
      <c r="P631" s="36"/>
      <c r="Q631" s="36"/>
      <c r="R631" s="36"/>
      <c r="S631" s="36"/>
      <c r="T631" s="36"/>
      <c r="U631" s="36"/>
      <c r="V631" s="36"/>
      <c r="W631" s="36"/>
      <c r="X631" s="36"/>
      <c r="Y631" s="36"/>
      <c r="Z631" s="36"/>
      <c r="AA631" s="36"/>
      <c r="AB631" s="36"/>
      <c r="AC631" s="36"/>
    </row>
    <row r="632" spans="1:29" ht="24" customHeight="1">
      <c r="A632" s="619"/>
      <c r="B632" s="94"/>
      <c r="C632" s="81"/>
      <c r="D632" s="81"/>
      <c r="E632" s="80"/>
      <c r="F632" s="620"/>
      <c r="G632" s="620"/>
      <c r="H632" s="81"/>
      <c r="I632" s="81"/>
      <c r="J632" s="35"/>
      <c r="K632" s="36"/>
      <c r="L632" s="36"/>
      <c r="M632" s="36"/>
      <c r="N632" s="36"/>
      <c r="O632" s="36"/>
      <c r="P632" s="36"/>
      <c r="Q632" s="36"/>
      <c r="R632" s="36"/>
      <c r="S632" s="36"/>
      <c r="T632" s="36"/>
      <c r="U632" s="36"/>
      <c r="V632" s="36"/>
      <c r="W632" s="36"/>
      <c r="X632" s="36"/>
      <c r="Y632" s="36"/>
      <c r="Z632" s="36"/>
      <c r="AA632" s="36"/>
      <c r="AB632" s="36"/>
      <c r="AC632" s="36"/>
    </row>
    <row r="633" spans="1:29" ht="24" customHeight="1">
      <c r="A633" s="619"/>
      <c r="B633" s="94"/>
      <c r="C633" s="81"/>
      <c r="D633" s="81"/>
      <c r="E633" s="80"/>
      <c r="F633" s="620"/>
      <c r="G633" s="620"/>
      <c r="H633" s="81"/>
      <c r="I633" s="81"/>
      <c r="J633" s="35"/>
      <c r="K633" s="36"/>
      <c r="L633" s="36"/>
      <c r="M633" s="36"/>
      <c r="N633" s="36"/>
      <c r="O633" s="36"/>
      <c r="P633" s="36"/>
      <c r="Q633" s="36"/>
      <c r="R633" s="36"/>
      <c r="S633" s="36"/>
      <c r="T633" s="36"/>
      <c r="U633" s="36"/>
      <c r="V633" s="36"/>
      <c r="W633" s="36"/>
      <c r="X633" s="36"/>
      <c r="Y633" s="36"/>
      <c r="Z633" s="36"/>
      <c r="AA633" s="36"/>
      <c r="AB633" s="36"/>
      <c r="AC633" s="36"/>
    </row>
    <row r="634" spans="1:29" ht="24" customHeight="1">
      <c r="A634" s="619"/>
      <c r="B634" s="94"/>
      <c r="C634" s="81"/>
      <c r="D634" s="81"/>
      <c r="E634" s="80"/>
      <c r="F634" s="620"/>
      <c r="G634" s="620"/>
      <c r="H634" s="81"/>
      <c r="I634" s="81"/>
      <c r="J634" s="35"/>
      <c r="K634" s="36"/>
      <c r="L634" s="36"/>
      <c r="M634" s="36"/>
      <c r="N634" s="36"/>
      <c r="O634" s="36"/>
      <c r="P634" s="36"/>
      <c r="Q634" s="36"/>
      <c r="R634" s="36"/>
      <c r="S634" s="36"/>
      <c r="T634" s="36"/>
      <c r="U634" s="36"/>
      <c r="V634" s="36"/>
      <c r="W634" s="36"/>
      <c r="X634" s="36"/>
      <c r="Y634" s="36"/>
      <c r="Z634" s="36"/>
      <c r="AA634" s="36"/>
      <c r="AB634" s="36"/>
      <c r="AC634" s="36"/>
    </row>
    <row r="635" spans="1:29" ht="24" customHeight="1">
      <c r="A635" s="619"/>
      <c r="B635" s="94"/>
      <c r="C635" s="81"/>
      <c r="D635" s="81"/>
      <c r="E635" s="80"/>
      <c r="F635" s="620"/>
      <c r="G635" s="620"/>
      <c r="H635" s="81"/>
      <c r="I635" s="81"/>
      <c r="J635" s="35"/>
      <c r="K635" s="36"/>
      <c r="L635" s="36"/>
      <c r="M635" s="36"/>
      <c r="N635" s="36"/>
      <c r="O635" s="36"/>
      <c r="P635" s="36"/>
      <c r="Q635" s="36"/>
      <c r="R635" s="36"/>
      <c r="S635" s="36"/>
      <c r="T635" s="36"/>
      <c r="U635" s="36"/>
      <c r="V635" s="36"/>
      <c r="W635" s="36"/>
      <c r="X635" s="36"/>
      <c r="Y635" s="36"/>
      <c r="Z635" s="36"/>
      <c r="AA635" s="36"/>
      <c r="AB635" s="36"/>
      <c r="AC635" s="36"/>
    </row>
    <row r="636" spans="1:29" ht="36" customHeight="1">
      <c r="A636" s="619"/>
      <c r="B636" s="94"/>
      <c r="C636" s="81"/>
      <c r="D636" s="81"/>
      <c r="E636" s="80"/>
      <c r="F636" s="620"/>
      <c r="G636" s="620"/>
      <c r="H636" s="81"/>
      <c r="I636" s="81"/>
      <c r="J636" s="35"/>
      <c r="K636" s="36"/>
      <c r="L636" s="36"/>
      <c r="M636" s="36"/>
      <c r="N636" s="36"/>
      <c r="O636" s="36"/>
      <c r="P636" s="36"/>
      <c r="Q636" s="36"/>
      <c r="R636" s="36"/>
      <c r="S636" s="36"/>
      <c r="T636" s="36"/>
      <c r="U636" s="36"/>
      <c r="V636" s="36"/>
      <c r="W636" s="36"/>
      <c r="X636" s="36"/>
      <c r="Y636" s="36"/>
      <c r="Z636" s="36"/>
      <c r="AA636" s="36"/>
      <c r="AB636" s="36"/>
      <c r="AC636" s="36"/>
    </row>
    <row r="637" spans="1:29" ht="36" customHeight="1">
      <c r="A637" s="619"/>
      <c r="B637" s="94"/>
      <c r="C637" s="81"/>
      <c r="D637" s="81"/>
      <c r="E637" s="80"/>
      <c r="F637" s="620"/>
      <c r="G637" s="620"/>
      <c r="H637" s="81"/>
      <c r="I637" s="81"/>
      <c r="J637" s="35"/>
      <c r="K637" s="36"/>
      <c r="L637" s="36"/>
      <c r="M637" s="36"/>
      <c r="N637" s="36"/>
      <c r="O637" s="36"/>
      <c r="P637" s="36"/>
      <c r="Q637" s="36"/>
      <c r="R637" s="36"/>
      <c r="S637" s="36"/>
      <c r="T637" s="36"/>
      <c r="U637" s="36"/>
      <c r="V637" s="36"/>
      <c r="W637" s="36"/>
      <c r="X637" s="36"/>
      <c r="Y637" s="36"/>
      <c r="Z637" s="36"/>
      <c r="AA637" s="36"/>
      <c r="AB637" s="36"/>
      <c r="AC637" s="36"/>
    </row>
    <row r="638" spans="1:29" ht="36" customHeight="1">
      <c r="A638" s="619"/>
      <c r="B638" s="94"/>
      <c r="C638" s="81"/>
      <c r="D638" s="81"/>
      <c r="E638" s="80"/>
      <c r="F638" s="620"/>
      <c r="G638" s="620"/>
      <c r="H638" s="81"/>
      <c r="I638" s="81"/>
      <c r="J638" s="35"/>
      <c r="K638" s="36"/>
      <c r="L638" s="36"/>
      <c r="M638" s="36"/>
      <c r="N638" s="36"/>
      <c r="O638" s="36"/>
      <c r="P638" s="36"/>
      <c r="Q638" s="36"/>
      <c r="R638" s="36"/>
      <c r="S638" s="36"/>
      <c r="T638" s="36"/>
      <c r="U638" s="36"/>
      <c r="V638" s="36"/>
      <c r="W638" s="36"/>
      <c r="X638" s="36"/>
      <c r="Y638" s="36"/>
      <c r="Z638" s="36"/>
      <c r="AA638" s="36"/>
      <c r="AB638" s="36"/>
      <c r="AC638" s="36"/>
    </row>
    <row r="639" spans="1:29" ht="24" customHeight="1">
      <c r="A639" s="619"/>
      <c r="B639" s="94"/>
      <c r="C639" s="81"/>
      <c r="D639" s="81"/>
      <c r="E639" s="80"/>
      <c r="F639" s="620"/>
      <c r="G639" s="620"/>
      <c r="H639" s="81"/>
      <c r="I639" s="81"/>
      <c r="J639" s="35"/>
      <c r="K639" s="36"/>
      <c r="L639" s="36"/>
      <c r="M639" s="36"/>
      <c r="N639" s="36"/>
      <c r="O639" s="36"/>
      <c r="P639" s="36"/>
      <c r="Q639" s="36"/>
      <c r="R639" s="36"/>
      <c r="S639" s="36"/>
      <c r="T639" s="36"/>
      <c r="U639" s="36"/>
      <c r="V639" s="36"/>
      <c r="W639" s="36"/>
      <c r="X639" s="36"/>
      <c r="Y639" s="36"/>
      <c r="Z639" s="36"/>
      <c r="AA639" s="36"/>
      <c r="AB639" s="36"/>
      <c r="AC639" s="36"/>
    </row>
    <row r="640" spans="1:29" ht="24" customHeight="1">
      <c r="A640" s="619"/>
      <c r="B640" s="94"/>
      <c r="C640" s="81"/>
      <c r="D640" s="81"/>
      <c r="E640" s="80"/>
      <c r="F640" s="620"/>
      <c r="G640" s="620"/>
      <c r="H640" s="81"/>
      <c r="I640" s="81"/>
      <c r="J640" s="35"/>
      <c r="K640" s="36"/>
      <c r="L640" s="36"/>
      <c r="M640" s="36"/>
      <c r="N640" s="36"/>
      <c r="O640" s="36"/>
      <c r="P640" s="36"/>
      <c r="Q640" s="36"/>
      <c r="R640" s="36"/>
      <c r="S640" s="36"/>
      <c r="T640" s="36"/>
      <c r="U640" s="36"/>
      <c r="V640" s="36"/>
      <c r="W640" s="36"/>
      <c r="X640" s="36"/>
      <c r="Y640" s="36"/>
      <c r="Z640" s="36"/>
      <c r="AA640" s="36"/>
      <c r="AB640" s="36"/>
      <c r="AC640" s="36"/>
    </row>
    <row r="641" spans="1:29" ht="24" customHeight="1">
      <c r="A641" s="619"/>
      <c r="B641" s="94"/>
      <c r="C641" s="81"/>
      <c r="D641" s="81"/>
      <c r="E641" s="80"/>
      <c r="F641" s="620"/>
      <c r="G641" s="620"/>
      <c r="H641" s="81"/>
      <c r="I641" s="81"/>
      <c r="J641" s="35"/>
      <c r="K641" s="36"/>
      <c r="L641" s="36"/>
      <c r="M641" s="36"/>
      <c r="N641" s="36"/>
      <c r="O641" s="36"/>
      <c r="P641" s="36"/>
      <c r="Q641" s="36"/>
      <c r="R641" s="36"/>
      <c r="S641" s="36"/>
      <c r="T641" s="36"/>
      <c r="U641" s="36"/>
      <c r="V641" s="36"/>
      <c r="W641" s="36"/>
      <c r="X641" s="36"/>
      <c r="Y641" s="36"/>
      <c r="Z641" s="36"/>
      <c r="AA641" s="36"/>
      <c r="AB641" s="36"/>
      <c r="AC641" s="36"/>
    </row>
    <row r="642" spans="1:29" ht="36" customHeight="1">
      <c r="A642" s="619"/>
      <c r="B642" s="94"/>
      <c r="C642" s="81"/>
      <c r="D642" s="81"/>
      <c r="E642" s="80"/>
      <c r="F642" s="620"/>
      <c r="G642" s="620"/>
      <c r="H642" s="81"/>
      <c r="I642" s="81"/>
      <c r="J642" s="35"/>
      <c r="K642" s="36"/>
      <c r="L642" s="36"/>
      <c r="M642" s="36"/>
      <c r="N642" s="36"/>
      <c r="O642" s="36"/>
      <c r="P642" s="36"/>
      <c r="Q642" s="36"/>
      <c r="R642" s="36"/>
      <c r="S642" s="36"/>
      <c r="T642" s="36"/>
      <c r="U642" s="36"/>
      <c r="V642" s="36"/>
      <c r="W642" s="36"/>
      <c r="X642" s="36"/>
      <c r="Y642" s="36"/>
      <c r="Z642" s="36"/>
      <c r="AA642" s="36"/>
      <c r="AB642" s="36"/>
      <c r="AC642" s="36"/>
    </row>
    <row r="643" spans="1:29" ht="24" customHeight="1">
      <c r="A643" s="619"/>
      <c r="B643" s="94"/>
      <c r="C643" s="81"/>
      <c r="D643" s="81"/>
      <c r="E643" s="80"/>
      <c r="F643" s="620"/>
      <c r="G643" s="620"/>
      <c r="H643" s="81"/>
      <c r="I643" s="81"/>
      <c r="J643" s="35"/>
      <c r="K643" s="36"/>
      <c r="L643" s="36"/>
      <c r="M643" s="36"/>
      <c r="N643" s="36"/>
      <c r="O643" s="36"/>
      <c r="P643" s="36"/>
      <c r="Q643" s="36"/>
      <c r="R643" s="36"/>
      <c r="S643" s="36"/>
      <c r="T643" s="36"/>
      <c r="U643" s="36"/>
      <c r="V643" s="36"/>
      <c r="W643" s="36"/>
      <c r="X643" s="36"/>
      <c r="Y643" s="36"/>
      <c r="Z643" s="36"/>
      <c r="AA643" s="36"/>
      <c r="AB643" s="36"/>
      <c r="AC643" s="36"/>
    </row>
    <row r="644" spans="1:29" ht="48" customHeight="1">
      <c r="A644" s="619"/>
      <c r="B644" s="94"/>
      <c r="C644" s="81"/>
      <c r="D644" s="81"/>
      <c r="E644" s="80"/>
      <c r="F644" s="620"/>
      <c r="G644" s="620"/>
      <c r="H644" s="81"/>
      <c r="I644" s="81"/>
      <c r="J644" s="35"/>
      <c r="K644" s="36"/>
      <c r="L644" s="36"/>
      <c r="M644" s="36"/>
      <c r="N644" s="36"/>
      <c r="O644" s="36"/>
      <c r="P644" s="36"/>
      <c r="Q644" s="36"/>
      <c r="R644" s="36"/>
      <c r="S644" s="36"/>
      <c r="T644" s="36"/>
      <c r="U644" s="36"/>
      <c r="V644" s="36"/>
      <c r="W644" s="36"/>
      <c r="X644" s="36"/>
      <c r="Y644" s="36"/>
      <c r="Z644" s="36"/>
      <c r="AA644" s="36"/>
      <c r="AB644" s="36"/>
      <c r="AC644" s="36"/>
    </row>
    <row r="645" spans="1:29" ht="12" customHeight="1">
      <c r="A645" s="619"/>
      <c r="B645" s="94"/>
      <c r="C645" s="81"/>
      <c r="D645" s="81"/>
      <c r="E645" s="80"/>
      <c r="F645" s="620"/>
      <c r="G645" s="620"/>
      <c r="H645" s="81"/>
      <c r="I645" s="81"/>
      <c r="J645" s="35"/>
      <c r="K645" s="36"/>
      <c r="L645" s="36"/>
      <c r="M645" s="36"/>
      <c r="N645" s="36"/>
      <c r="O645" s="36"/>
      <c r="P645" s="36"/>
      <c r="Q645" s="36"/>
      <c r="R645" s="36"/>
      <c r="S645" s="36"/>
      <c r="T645" s="36"/>
      <c r="U645" s="36"/>
      <c r="V645" s="36"/>
      <c r="W645" s="36"/>
      <c r="X645" s="36"/>
      <c r="Y645" s="36"/>
      <c r="Z645" s="36"/>
      <c r="AA645" s="36"/>
      <c r="AB645" s="36"/>
      <c r="AC645" s="36"/>
    </row>
    <row r="646" spans="1:29" ht="24" customHeight="1">
      <c r="A646" s="619"/>
      <c r="B646" s="94"/>
      <c r="C646" s="81"/>
      <c r="D646" s="81"/>
      <c r="E646" s="80"/>
      <c r="F646" s="620"/>
      <c r="G646" s="620"/>
      <c r="H646" s="81"/>
      <c r="I646" s="81"/>
      <c r="J646" s="35"/>
      <c r="K646" s="36"/>
      <c r="L646" s="36"/>
      <c r="M646" s="36"/>
      <c r="N646" s="36"/>
      <c r="O646" s="36"/>
      <c r="P646" s="36"/>
      <c r="Q646" s="36"/>
      <c r="R646" s="36"/>
      <c r="S646" s="36"/>
      <c r="T646" s="36"/>
      <c r="U646" s="36"/>
      <c r="V646" s="36"/>
      <c r="W646" s="36"/>
      <c r="X646" s="36"/>
      <c r="Y646" s="36"/>
      <c r="Z646" s="36"/>
      <c r="AA646" s="36"/>
      <c r="AB646" s="36"/>
      <c r="AC646" s="36"/>
    </row>
    <row r="647" spans="1:29" ht="48" customHeight="1">
      <c r="A647" s="619"/>
      <c r="B647" s="94"/>
      <c r="C647" s="81"/>
      <c r="D647" s="81"/>
      <c r="E647" s="80"/>
      <c r="F647" s="620"/>
      <c r="G647" s="620"/>
      <c r="H647" s="81"/>
      <c r="I647" s="81"/>
      <c r="J647" s="35"/>
      <c r="K647" s="36"/>
      <c r="L647" s="36"/>
      <c r="M647" s="36"/>
      <c r="N647" s="36"/>
      <c r="O647" s="36"/>
      <c r="P647" s="36"/>
      <c r="Q647" s="36"/>
      <c r="R647" s="36"/>
      <c r="S647" s="36"/>
      <c r="T647" s="36"/>
      <c r="U647" s="36"/>
      <c r="V647" s="36"/>
      <c r="W647" s="36"/>
      <c r="X647" s="36"/>
      <c r="Y647" s="36"/>
      <c r="Z647" s="36"/>
      <c r="AA647" s="36"/>
      <c r="AB647" s="36"/>
      <c r="AC647" s="36"/>
    </row>
    <row r="648" spans="1:29" ht="36" customHeight="1">
      <c r="A648" s="619"/>
      <c r="B648" s="94"/>
      <c r="C648" s="81"/>
      <c r="D648" s="81"/>
      <c r="E648" s="80"/>
      <c r="F648" s="620"/>
      <c r="G648" s="620"/>
      <c r="H648" s="81"/>
      <c r="I648" s="81"/>
      <c r="J648" s="35"/>
      <c r="K648" s="36"/>
      <c r="L648" s="36"/>
      <c r="M648" s="36"/>
      <c r="N648" s="36"/>
      <c r="O648" s="36"/>
      <c r="P648" s="36"/>
      <c r="Q648" s="36"/>
      <c r="R648" s="36"/>
      <c r="S648" s="36"/>
      <c r="T648" s="36"/>
      <c r="U648" s="36"/>
      <c r="V648" s="36"/>
      <c r="W648" s="36"/>
      <c r="X648" s="36"/>
      <c r="Y648" s="36"/>
      <c r="Z648" s="36"/>
      <c r="AA648" s="36"/>
      <c r="AB648" s="36"/>
      <c r="AC648" s="36"/>
    </row>
    <row r="649" spans="1:29" ht="36" customHeight="1">
      <c r="A649" s="619"/>
      <c r="B649" s="94"/>
      <c r="C649" s="81"/>
      <c r="D649" s="81"/>
      <c r="E649" s="80"/>
      <c r="F649" s="620"/>
      <c r="G649" s="620"/>
      <c r="H649" s="81"/>
      <c r="I649" s="81"/>
      <c r="J649" s="35"/>
      <c r="K649" s="36"/>
      <c r="L649" s="36"/>
      <c r="M649" s="36"/>
      <c r="N649" s="36"/>
      <c r="O649" s="36"/>
      <c r="P649" s="36"/>
      <c r="Q649" s="36"/>
      <c r="R649" s="36"/>
      <c r="S649" s="36"/>
      <c r="T649" s="36"/>
      <c r="U649" s="36"/>
      <c r="V649" s="36"/>
      <c r="W649" s="36"/>
      <c r="X649" s="36"/>
      <c r="Y649" s="36"/>
      <c r="Z649" s="36"/>
      <c r="AA649" s="36"/>
      <c r="AB649" s="36"/>
      <c r="AC649" s="36"/>
    </row>
    <row r="650" spans="1:29" ht="36" customHeight="1">
      <c r="A650" s="619"/>
      <c r="B650" s="94"/>
      <c r="C650" s="81"/>
      <c r="D650" s="81"/>
      <c r="E650" s="80"/>
      <c r="F650" s="620"/>
      <c r="G650" s="620"/>
      <c r="H650" s="81"/>
      <c r="I650" s="81"/>
      <c r="J650" s="35"/>
      <c r="K650" s="36"/>
      <c r="L650" s="36"/>
      <c r="M650" s="36"/>
      <c r="N650" s="36"/>
      <c r="O650" s="36"/>
      <c r="P650" s="36"/>
      <c r="Q650" s="36"/>
      <c r="R650" s="36"/>
      <c r="S650" s="36"/>
      <c r="T650" s="36"/>
      <c r="U650" s="36"/>
      <c r="V650" s="36"/>
      <c r="W650" s="36"/>
      <c r="X650" s="36"/>
      <c r="Y650" s="36"/>
      <c r="Z650" s="36"/>
      <c r="AA650" s="36"/>
      <c r="AB650" s="36"/>
      <c r="AC650" s="36"/>
    </row>
    <row r="651" spans="1:29" ht="24" customHeight="1">
      <c r="A651" s="81"/>
      <c r="B651" s="94"/>
      <c r="C651" s="81"/>
      <c r="D651" s="81"/>
      <c r="E651" s="80"/>
      <c r="F651" s="620"/>
      <c r="G651" s="620"/>
      <c r="H651" s="81"/>
      <c r="I651" s="81"/>
      <c r="J651" s="35"/>
      <c r="K651" s="36"/>
      <c r="L651" s="36"/>
      <c r="M651" s="36"/>
      <c r="N651" s="36"/>
      <c r="O651" s="36"/>
      <c r="P651" s="36"/>
      <c r="Q651" s="36"/>
      <c r="R651" s="36"/>
      <c r="S651" s="36"/>
      <c r="T651" s="36"/>
      <c r="U651" s="36"/>
      <c r="V651" s="36"/>
      <c r="W651" s="36"/>
      <c r="X651" s="36"/>
      <c r="Y651" s="36"/>
      <c r="Z651" s="36"/>
      <c r="AA651" s="36"/>
      <c r="AB651" s="36"/>
      <c r="AC651" s="36"/>
    </row>
    <row r="652" spans="1:29" ht="36" customHeight="1">
      <c r="A652" s="81"/>
      <c r="B652" s="94"/>
      <c r="C652" s="81"/>
      <c r="D652" s="81"/>
      <c r="E652" s="80"/>
      <c r="F652" s="620"/>
      <c r="G652" s="620"/>
      <c r="H652" s="81"/>
      <c r="I652" s="81"/>
      <c r="J652" s="35"/>
      <c r="K652" s="36"/>
      <c r="L652" s="36"/>
      <c r="M652" s="36"/>
      <c r="N652" s="36"/>
      <c r="O652" s="36"/>
      <c r="P652" s="36"/>
      <c r="Q652" s="36"/>
      <c r="R652" s="36"/>
      <c r="S652" s="36"/>
      <c r="T652" s="36"/>
      <c r="U652" s="36"/>
      <c r="V652" s="36"/>
      <c r="W652" s="36"/>
      <c r="X652" s="36"/>
      <c r="Y652" s="36"/>
      <c r="Z652" s="36"/>
      <c r="AA652" s="36"/>
      <c r="AB652" s="36"/>
      <c r="AC652" s="36"/>
    </row>
    <row r="653" spans="1:29" ht="36" customHeight="1">
      <c r="A653" s="81"/>
      <c r="B653" s="94"/>
      <c r="C653" s="81"/>
      <c r="D653" s="81"/>
      <c r="E653" s="80"/>
      <c r="F653" s="620"/>
      <c r="G653" s="620"/>
      <c r="H653" s="81"/>
      <c r="I653" s="81"/>
      <c r="J653" s="35"/>
      <c r="K653" s="36"/>
      <c r="L653" s="36"/>
      <c r="M653" s="36"/>
      <c r="N653" s="36"/>
      <c r="O653" s="36"/>
      <c r="P653" s="36"/>
      <c r="Q653" s="36"/>
      <c r="R653" s="36"/>
      <c r="S653" s="36"/>
      <c r="T653" s="36"/>
      <c r="U653" s="36"/>
      <c r="V653" s="36"/>
      <c r="W653" s="36"/>
      <c r="X653" s="36"/>
      <c r="Y653" s="36"/>
      <c r="Z653" s="36"/>
      <c r="AA653" s="36"/>
      <c r="AB653" s="36"/>
      <c r="AC653" s="36"/>
    </row>
    <row r="654" spans="1:29" ht="60" customHeight="1">
      <c r="A654" s="81"/>
      <c r="B654" s="94"/>
      <c r="C654" s="81"/>
      <c r="D654" s="81"/>
      <c r="E654" s="80"/>
      <c r="F654" s="620"/>
      <c r="G654" s="620"/>
      <c r="H654" s="81"/>
      <c r="I654" s="81"/>
      <c r="J654" s="35"/>
      <c r="K654" s="36"/>
      <c r="L654" s="36"/>
      <c r="M654" s="36"/>
      <c r="N654" s="36"/>
      <c r="O654" s="36"/>
      <c r="P654" s="36"/>
      <c r="Q654" s="36"/>
      <c r="R654" s="36"/>
      <c r="S654" s="36"/>
      <c r="T654" s="36"/>
      <c r="U654" s="36"/>
      <c r="V654" s="36"/>
      <c r="W654" s="36"/>
      <c r="X654" s="36"/>
      <c r="Y654" s="36"/>
      <c r="Z654" s="36"/>
      <c r="AA654" s="36"/>
      <c r="AB654" s="36"/>
      <c r="AC654" s="36"/>
    </row>
    <row r="655" spans="1:29" ht="24" customHeight="1">
      <c r="A655" s="81"/>
      <c r="B655" s="94"/>
      <c r="C655" s="81"/>
      <c r="D655" s="81"/>
      <c r="E655" s="80"/>
      <c r="F655" s="620"/>
      <c r="G655" s="620"/>
      <c r="H655" s="81"/>
      <c r="I655" s="81"/>
      <c r="J655" s="35"/>
      <c r="K655" s="36"/>
      <c r="L655" s="36"/>
      <c r="M655" s="36"/>
      <c r="N655" s="36"/>
      <c r="O655" s="36"/>
      <c r="P655" s="36"/>
      <c r="Q655" s="36"/>
      <c r="R655" s="36"/>
      <c r="S655" s="36"/>
      <c r="T655" s="36"/>
      <c r="U655" s="36"/>
      <c r="V655" s="36"/>
      <c r="W655" s="36"/>
      <c r="X655" s="36"/>
      <c r="Y655" s="36"/>
      <c r="Z655" s="36"/>
      <c r="AA655" s="36"/>
      <c r="AB655" s="36"/>
      <c r="AC655" s="36"/>
    </row>
    <row r="656" spans="1:29" ht="24" customHeight="1">
      <c r="A656" s="81"/>
      <c r="B656" s="94"/>
      <c r="C656" s="81"/>
      <c r="D656" s="81"/>
      <c r="E656" s="80"/>
      <c r="F656" s="620"/>
      <c r="G656" s="620"/>
      <c r="H656" s="81"/>
      <c r="I656" s="81"/>
      <c r="J656" s="35"/>
      <c r="K656" s="36"/>
      <c r="L656" s="36"/>
      <c r="M656" s="36"/>
      <c r="N656" s="36"/>
      <c r="O656" s="36"/>
      <c r="P656" s="36"/>
      <c r="Q656" s="36"/>
      <c r="R656" s="36"/>
      <c r="S656" s="36"/>
      <c r="T656" s="36"/>
      <c r="U656" s="36"/>
      <c r="V656" s="36"/>
      <c r="W656" s="36"/>
      <c r="X656" s="36"/>
      <c r="Y656" s="36"/>
      <c r="Z656" s="36"/>
      <c r="AA656" s="36"/>
      <c r="AB656" s="36"/>
      <c r="AC656" s="36"/>
    </row>
    <row r="657" spans="1:29" ht="24" customHeight="1">
      <c r="A657" s="81"/>
      <c r="B657" s="94"/>
      <c r="C657" s="81"/>
      <c r="D657" s="81"/>
      <c r="E657" s="80"/>
      <c r="F657" s="620"/>
      <c r="G657" s="620"/>
      <c r="H657" s="81"/>
      <c r="I657" s="81"/>
      <c r="J657" s="35"/>
      <c r="K657" s="36"/>
      <c r="L657" s="36"/>
      <c r="M657" s="36"/>
      <c r="N657" s="36"/>
      <c r="O657" s="36"/>
      <c r="P657" s="36"/>
      <c r="Q657" s="36"/>
      <c r="R657" s="36"/>
      <c r="S657" s="36"/>
      <c r="T657" s="36"/>
      <c r="U657" s="36"/>
      <c r="V657" s="36"/>
      <c r="W657" s="36"/>
      <c r="X657" s="36"/>
      <c r="Y657" s="36"/>
      <c r="Z657" s="36"/>
      <c r="AA657" s="36"/>
      <c r="AB657" s="36"/>
      <c r="AC657" s="36"/>
    </row>
    <row r="658" spans="1:29" ht="36" customHeight="1">
      <c r="A658" s="81"/>
      <c r="B658" s="94"/>
      <c r="C658" s="81"/>
      <c r="D658" s="81"/>
      <c r="E658" s="80"/>
      <c r="F658" s="620"/>
      <c r="G658" s="620"/>
      <c r="H658" s="81"/>
      <c r="I658" s="81"/>
      <c r="J658" s="35"/>
      <c r="K658" s="36"/>
      <c r="L658" s="36"/>
      <c r="M658" s="36"/>
      <c r="N658" s="36"/>
      <c r="O658" s="36"/>
      <c r="P658" s="36"/>
      <c r="Q658" s="36"/>
      <c r="R658" s="36"/>
      <c r="S658" s="36"/>
      <c r="T658" s="36"/>
      <c r="U658" s="36"/>
      <c r="V658" s="36"/>
      <c r="W658" s="36"/>
      <c r="X658" s="36"/>
      <c r="Y658" s="36"/>
      <c r="Z658" s="36"/>
      <c r="AA658" s="36"/>
      <c r="AB658" s="36"/>
      <c r="AC658" s="36"/>
    </row>
    <row r="659" spans="1:29" ht="36" customHeight="1">
      <c r="A659" s="81"/>
      <c r="B659" s="94"/>
      <c r="C659" s="81"/>
      <c r="D659" s="81"/>
      <c r="E659" s="80"/>
      <c r="F659" s="620"/>
      <c r="G659" s="620"/>
      <c r="H659" s="81"/>
      <c r="I659" s="81"/>
      <c r="J659" s="35"/>
      <c r="K659" s="36"/>
      <c r="L659" s="36"/>
      <c r="M659" s="36"/>
      <c r="N659" s="36"/>
      <c r="O659" s="36"/>
      <c r="P659" s="36"/>
      <c r="Q659" s="36"/>
      <c r="R659" s="36"/>
      <c r="S659" s="36"/>
      <c r="T659" s="36"/>
      <c r="U659" s="36"/>
      <c r="V659" s="36"/>
      <c r="W659" s="36"/>
      <c r="X659" s="36"/>
      <c r="Y659" s="36"/>
      <c r="Z659" s="36"/>
      <c r="AA659" s="36"/>
      <c r="AB659" s="36"/>
      <c r="AC659" s="36"/>
    </row>
    <row r="660" spans="1:29" ht="48" customHeight="1">
      <c r="A660" s="81"/>
      <c r="B660" s="94"/>
      <c r="C660" s="81"/>
      <c r="D660" s="81"/>
      <c r="E660" s="80"/>
      <c r="F660" s="620"/>
      <c r="G660" s="620"/>
      <c r="H660" s="81"/>
      <c r="I660" s="81"/>
      <c r="J660" s="35"/>
      <c r="K660" s="36"/>
      <c r="L660" s="36"/>
      <c r="M660" s="36"/>
      <c r="N660" s="36"/>
      <c r="O660" s="36"/>
      <c r="P660" s="36"/>
      <c r="Q660" s="36"/>
      <c r="R660" s="36"/>
      <c r="S660" s="36"/>
      <c r="T660" s="36"/>
      <c r="U660" s="36"/>
      <c r="V660" s="36"/>
      <c r="W660" s="36"/>
      <c r="X660" s="36"/>
      <c r="Y660" s="36"/>
      <c r="Z660" s="36"/>
      <c r="AA660" s="36"/>
      <c r="AB660" s="36"/>
      <c r="AC660" s="36"/>
    </row>
    <row r="661" spans="1:29" ht="48" customHeight="1">
      <c r="A661" s="81"/>
      <c r="B661" s="94"/>
      <c r="C661" s="81"/>
      <c r="D661" s="81"/>
      <c r="E661" s="80"/>
      <c r="F661" s="620"/>
      <c r="G661" s="620"/>
      <c r="H661" s="81"/>
      <c r="I661" s="81"/>
      <c r="J661" s="35"/>
      <c r="K661" s="36"/>
      <c r="L661" s="36"/>
      <c r="M661" s="36"/>
      <c r="N661" s="36"/>
      <c r="O661" s="36"/>
      <c r="P661" s="36"/>
      <c r="Q661" s="36"/>
      <c r="R661" s="36"/>
      <c r="S661" s="36"/>
      <c r="T661" s="36"/>
      <c r="U661" s="36"/>
      <c r="V661" s="36"/>
      <c r="W661" s="36"/>
      <c r="X661" s="36"/>
      <c r="Y661" s="36"/>
      <c r="Z661" s="36"/>
      <c r="AA661" s="36"/>
      <c r="AB661" s="36"/>
      <c r="AC661" s="36"/>
    </row>
    <row r="662" spans="1:29" ht="36" customHeight="1">
      <c r="A662" s="81"/>
      <c r="B662" s="94"/>
      <c r="C662" s="81"/>
      <c r="D662" s="81"/>
      <c r="E662" s="80"/>
      <c r="F662" s="620"/>
      <c r="G662" s="620"/>
      <c r="H662" s="81"/>
      <c r="I662" s="81"/>
      <c r="J662" s="35"/>
      <c r="K662" s="36"/>
      <c r="L662" s="36"/>
      <c r="M662" s="36"/>
      <c r="N662" s="36"/>
      <c r="O662" s="36"/>
      <c r="P662" s="36"/>
      <c r="Q662" s="36"/>
      <c r="R662" s="36"/>
      <c r="S662" s="36"/>
      <c r="T662" s="36"/>
      <c r="U662" s="36"/>
      <c r="V662" s="36"/>
      <c r="W662" s="36"/>
      <c r="X662" s="36"/>
      <c r="Y662" s="36"/>
      <c r="Z662" s="36"/>
      <c r="AA662" s="36"/>
      <c r="AB662" s="36"/>
      <c r="AC662" s="36"/>
    </row>
    <row r="663" spans="1:29" ht="36" customHeight="1">
      <c r="A663" s="81"/>
      <c r="B663" s="94"/>
      <c r="C663" s="81"/>
      <c r="D663" s="81"/>
      <c r="E663" s="80"/>
      <c r="F663" s="620"/>
      <c r="G663" s="620"/>
      <c r="H663" s="81"/>
      <c r="I663" s="81"/>
      <c r="J663" s="35"/>
      <c r="K663" s="36"/>
      <c r="L663" s="36"/>
      <c r="M663" s="36"/>
      <c r="N663" s="36"/>
      <c r="O663" s="36"/>
      <c r="P663" s="36"/>
      <c r="Q663" s="36"/>
      <c r="R663" s="36"/>
      <c r="S663" s="36"/>
      <c r="T663" s="36"/>
      <c r="U663" s="36"/>
      <c r="V663" s="36"/>
      <c r="W663" s="36"/>
      <c r="X663" s="36"/>
      <c r="Y663" s="36"/>
      <c r="Z663" s="36"/>
      <c r="AA663" s="36"/>
      <c r="AB663" s="36"/>
      <c r="AC663" s="36"/>
    </row>
    <row r="664" spans="1:29" ht="48" customHeight="1">
      <c r="A664" s="81"/>
      <c r="B664" s="94"/>
      <c r="C664" s="81"/>
      <c r="D664" s="81"/>
      <c r="E664" s="80"/>
      <c r="F664" s="620"/>
      <c r="G664" s="620"/>
      <c r="H664" s="81"/>
      <c r="I664" s="81"/>
      <c r="J664" s="35"/>
      <c r="K664" s="36"/>
      <c r="L664" s="36"/>
      <c r="M664" s="36"/>
      <c r="N664" s="36"/>
      <c r="O664" s="36"/>
      <c r="P664" s="36"/>
      <c r="Q664" s="36"/>
      <c r="R664" s="36"/>
      <c r="S664" s="36"/>
      <c r="T664" s="36"/>
      <c r="U664" s="36"/>
      <c r="V664" s="36"/>
      <c r="W664" s="36"/>
      <c r="X664" s="36"/>
      <c r="Y664" s="36"/>
      <c r="Z664" s="36"/>
      <c r="AA664" s="36"/>
      <c r="AB664" s="36"/>
      <c r="AC664" s="36"/>
    </row>
    <row r="665" spans="1:29" ht="48" customHeight="1">
      <c r="A665" s="81"/>
      <c r="B665" s="94"/>
      <c r="C665" s="81"/>
      <c r="D665" s="81"/>
      <c r="E665" s="80"/>
      <c r="F665" s="620"/>
      <c r="G665" s="620"/>
      <c r="H665" s="81"/>
      <c r="I665" s="81"/>
      <c r="J665" s="35"/>
      <c r="K665" s="36"/>
      <c r="L665" s="36"/>
      <c r="M665" s="36"/>
      <c r="N665" s="36"/>
      <c r="O665" s="36"/>
      <c r="P665" s="36"/>
      <c r="Q665" s="36"/>
      <c r="R665" s="36"/>
      <c r="S665" s="36"/>
      <c r="T665" s="36"/>
      <c r="U665" s="36"/>
      <c r="V665" s="36"/>
      <c r="W665" s="36"/>
      <c r="X665" s="36"/>
      <c r="Y665" s="36"/>
      <c r="Z665" s="36"/>
      <c r="AA665" s="36"/>
      <c r="AB665" s="36"/>
      <c r="AC665" s="36"/>
    </row>
    <row r="666" spans="1:29" ht="36" customHeight="1">
      <c r="A666" s="81"/>
      <c r="B666" s="94"/>
      <c r="C666" s="81"/>
      <c r="D666" s="81"/>
      <c r="E666" s="80"/>
      <c r="F666" s="620"/>
      <c r="G666" s="620"/>
      <c r="H666" s="81"/>
      <c r="I666" s="81"/>
      <c r="J666" s="35"/>
      <c r="K666" s="36"/>
      <c r="L666" s="36"/>
      <c r="M666" s="36"/>
      <c r="N666" s="36"/>
      <c r="O666" s="36"/>
      <c r="P666" s="36"/>
      <c r="Q666" s="36"/>
      <c r="R666" s="36"/>
      <c r="S666" s="36"/>
      <c r="T666" s="36"/>
      <c r="U666" s="36"/>
      <c r="V666" s="36"/>
      <c r="W666" s="36"/>
      <c r="X666" s="36"/>
      <c r="Y666" s="36"/>
      <c r="Z666" s="36"/>
      <c r="AA666" s="36"/>
      <c r="AB666" s="36"/>
      <c r="AC666" s="36"/>
    </row>
    <row r="667" spans="1:29" ht="48" customHeight="1">
      <c r="A667" s="81"/>
      <c r="B667" s="94"/>
      <c r="C667" s="81"/>
      <c r="D667" s="81"/>
      <c r="E667" s="80"/>
      <c r="F667" s="620"/>
      <c r="G667" s="620"/>
      <c r="H667" s="81"/>
      <c r="I667" s="81"/>
      <c r="J667" s="35"/>
      <c r="K667" s="36"/>
      <c r="L667" s="36"/>
      <c r="M667" s="36"/>
      <c r="N667" s="36"/>
      <c r="O667" s="36"/>
      <c r="P667" s="36"/>
      <c r="Q667" s="36"/>
      <c r="R667" s="36"/>
      <c r="S667" s="36"/>
      <c r="T667" s="36"/>
      <c r="U667" s="36"/>
      <c r="V667" s="36"/>
      <c r="W667" s="36"/>
      <c r="X667" s="36"/>
      <c r="Y667" s="36"/>
      <c r="Z667" s="36"/>
      <c r="AA667" s="36"/>
      <c r="AB667" s="36"/>
      <c r="AC667" s="36"/>
    </row>
    <row r="668" spans="1:29" ht="84" customHeight="1">
      <c r="A668" s="81"/>
      <c r="B668" s="94"/>
      <c r="C668" s="81"/>
      <c r="D668" s="81"/>
      <c r="E668" s="80"/>
      <c r="F668" s="620"/>
      <c r="G668" s="620"/>
      <c r="H668" s="81"/>
      <c r="I668" s="81"/>
      <c r="J668" s="35"/>
      <c r="K668" s="36"/>
      <c r="L668" s="36"/>
      <c r="M668" s="36"/>
      <c r="N668" s="36"/>
      <c r="O668" s="36"/>
      <c r="P668" s="36"/>
      <c r="Q668" s="36"/>
      <c r="R668" s="36"/>
      <c r="S668" s="36"/>
      <c r="T668" s="36"/>
      <c r="U668" s="36"/>
      <c r="V668" s="36"/>
      <c r="W668" s="36"/>
      <c r="X668" s="36"/>
      <c r="Y668" s="36"/>
      <c r="Z668" s="36"/>
      <c r="AA668" s="36"/>
      <c r="AB668" s="36"/>
      <c r="AC668" s="36"/>
    </row>
    <row r="669" spans="1:29" ht="36" customHeight="1">
      <c r="A669" s="81"/>
      <c r="B669" s="94"/>
      <c r="C669" s="81"/>
      <c r="D669" s="81"/>
      <c r="E669" s="80"/>
      <c r="F669" s="620"/>
      <c r="G669" s="620"/>
      <c r="H669" s="81"/>
      <c r="I669" s="81"/>
      <c r="J669" s="35"/>
      <c r="K669" s="36"/>
      <c r="L669" s="36"/>
      <c r="M669" s="36"/>
      <c r="N669" s="36"/>
      <c r="O669" s="36"/>
      <c r="P669" s="36"/>
      <c r="Q669" s="36"/>
      <c r="R669" s="36"/>
      <c r="S669" s="36"/>
      <c r="T669" s="36"/>
      <c r="U669" s="36"/>
      <c r="V669" s="36"/>
      <c r="W669" s="36"/>
      <c r="X669" s="36"/>
      <c r="Y669" s="36"/>
      <c r="Z669" s="36"/>
      <c r="AA669" s="36"/>
      <c r="AB669" s="36"/>
      <c r="AC669" s="36"/>
    </row>
    <row r="670" spans="1:29" ht="36" customHeight="1">
      <c r="A670" s="81"/>
      <c r="B670" s="94"/>
      <c r="C670" s="81"/>
      <c r="D670" s="81"/>
      <c r="E670" s="80"/>
      <c r="F670" s="620"/>
      <c r="G670" s="620"/>
      <c r="H670" s="81"/>
      <c r="I670" s="81"/>
      <c r="J670" s="35"/>
      <c r="K670" s="36"/>
      <c r="L670" s="36"/>
      <c r="M670" s="36"/>
      <c r="N670" s="36"/>
      <c r="O670" s="36"/>
      <c r="P670" s="36"/>
      <c r="Q670" s="36"/>
      <c r="R670" s="36"/>
      <c r="S670" s="36"/>
      <c r="T670" s="36"/>
      <c r="U670" s="36"/>
      <c r="V670" s="36"/>
      <c r="W670" s="36"/>
      <c r="X670" s="36"/>
      <c r="Y670" s="36"/>
      <c r="Z670" s="36"/>
      <c r="AA670" s="36"/>
      <c r="AB670" s="36"/>
      <c r="AC670" s="36"/>
    </row>
    <row r="671" spans="1:29" ht="48" customHeight="1">
      <c r="A671" s="81"/>
      <c r="B671" s="94"/>
      <c r="C671" s="81"/>
      <c r="D671" s="81"/>
      <c r="E671" s="80"/>
      <c r="F671" s="620"/>
      <c r="G671" s="620"/>
      <c r="H671" s="81"/>
      <c r="I671" s="81"/>
      <c r="J671" s="35"/>
      <c r="K671" s="36"/>
      <c r="L671" s="36"/>
      <c r="M671" s="36"/>
      <c r="N671" s="36"/>
      <c r="O671" s="36"/>
      <c r="P671" s="36"/>
      <c r="Q671" s="36"/>
      <c r="R671" s="36"/>
      <c r="S671" s="36"/>
      <c r="T671" s="36"/>
      <c r="U671" s="36"/>
      <c r="V671" s="36"/>
      <c r="W671" s="36"/>
      <c r="X671" s="36"/>
      <c r="Y671" s="36"/>
      <c r="Z671" s="36"/>
      <c r="AA671" s="36"/>
      <c r="AB671" s="36"/>
      <c r="AC671" s="36"/>
    </row>
    <row r="672" spans="1:29" ht="36" customHeight="1">
      <c r="A672" s="81"/>
      <c r="B672" s="94"/>
      <c r="C672" s="81"/>
      <c r="D672" s="81"/>
      <c r="E672" s="80"/>
      <c r="F672" s="620"/>
      <c r="G672" s="620"/>
      <c r="H672" s="81"/>
      <c r="I672" s="81"/>
      <c r="J672" s="35"/>
      <c r="K672" s="36"/>
      <c r="L672" s="36"/>
      <c r="M672" s="36"/>
      <c r="N672" s="36"/>
      <c r="O672" s="36"/>
      <c r="P672" s="36"/>
      <c r="Q672" s="36"/>
      <c r="R672" s="36"/>
      <c r="S672" s="36"/>
      <c r="T672" s="36"/>
      <c r="U672" s="36"/>
      <c r="V672" s="36"/>
      <c r="W672" s="36"/>
      <c r="X672" s="36"/>
      <c r="Y672" s="36"/>
      <c r="Z672" s="36"/>
      <c r="AA672" s="36"/>
      <c r="AB672" s="36"/>
      <c r="AC672" s="36"/>
    </row>
    <row r="673" spans="1:29" ht="48" customHeight="1">
      <c r="A673" s="81"/>
      <c r="B673" s="94"/>
      <c r="C673" s="81"/>
      <c r="D673" s="81"/>
      <c r="E673" s="80"/>
      <c r="F673" s="620"/>
      <c r="G673" s="620"/>
      <c r="H673" s="81"/>
      <c r="I673" s="81"/>
      <c r="J673" s="35"/>
      <c r="K673" s="36"/>
      <c r="L673" s="36"/>
      <c r="M673" s="36"/>
      <c r="N673" s="36"/>
      <c r="O673" s="36"/>
      <c r="P673" s="36"/>
      <c r="Q673" s="36"/>
      <c r="R673" s="36"/>
      <c r="S673" s="36"/>
      <c r="T673" s="36"/>
      <c r="U673" s="36"/>
      <c r="V673" s="36"/>
      <c r="W673" s="36"/>
      <c r="X673" s="36"/>
      <c r="Y673" s="36"/>
      <c r="Z673" s="36"/>
      <c r="AA673" s="36"/>
      <c r="AB673" s="36"/>
      <c r="AC673" s="36"/>
    </row>
    <row r="674" spans="1:29" ht="24" customHeight="1">
      <c r="A674" s="81"/>
      <c r="B674" s="94"/>
      <c r="C674" s="81"/>
      <c r="D674" s="81"/>
      <c r="E674" s="80"/>
      <c r="F674" s="620"/>
      <c r="G674" s="620"/>
      <c r="H674" s="81"/>
      <c r="I674" s="81"/>
      <c r="J674" s="35"/>
      <c r="K674" s="36"/>
      <c r="L674" s="36"/>
      <c r="M674" s="36"/>
      <c r="N674" s="36"/>
      <c r="O674" s="36"/>
      <c r="P674" s="36"/>
      <c r="Q674" s="36"/>
      <c r="R674" s="36"/>
      <c r="S674" s="36"/>
      <c r="T674" s="36"/>
      <c r="U674" s="36"/>
      <c r="V674" s="36"/>
      <c r="W674" s="36"/>
      <c r="X674" s="36"/>
      <c r="Y674" s="36"/>
      <c r="Z674" s="36"/>
      <c r="AA674" s="36"/>
      <c r="AB674" s="36"/>
      <c r="AC674" s="36"/>
    </row>
    <row r="675" spans="1:29" ht="24" customHeight="1">
      <c r="A675" s="81"/>
      <c r="B675" s="94"/>
      <c r="C675" s="81"/>
      <c r="D675" s="81"/>
      <c r="E675" s="80"/>
      <c r="F675" s="620"/>
      <c r="G675" s="620"/>
      <c r="H675" s="81"/>
      <c r="I675" s="81"/>
      <c r="J675" s="35"/>
      <c r="K675" s="36"/>
      <c r="L675" s="36"/>
      <c r="M675" s="36"/>
      <c r="N675" s="36"/>
      <c r="O675" s="36"/>
      <c r="P675" s="36"/>
      <c r="Q675" s="36"/>
      <c r="R675" s="36"/>
      <c r="S675" s="36"/>
      <c r="T675" s="36"/>
      <c r="U675" s="36"/>
      <c r="V675" s="36"/>
      <c r="W675" s="36"/>
      <c r="X675" s="36"/>
      <c r="Y675" s="36"/>
      <c r="Z675" s="36"/>
      <c r="AA675" s="36"/>
      <c r="AB675" s="36"/>
      <c r="AC675" s="36"/>
    </row>
    <row r="676" spans="1:29" ht="12" customHeight="1">
      <c r="A676" s="81"/>
      <c r="B676" s="94"/>
      <c r="C676" s="81"/>
      <c r="D676" s="81"/>
      <c r="E676" s="80"/>
      <c r="F676" s="620"/>
      <c r="G676" s="620"/>
      <c r="H676" s="81"/>
      <c r="I676" s="81"/>
      <c r="J676" s="35"/>
      <c r="K676" s="36"/>
      <c r="L676" s="36"/>
      <c r="M676" s="36"/>
      <c r="N676" s="36"/>
      <c r="O676" s="36"/>
      <c r="P676" s="36"/>
      <c r="Q676" s="36"/>
      <c r="R676" s="36"/>
      <c r="S676" s="36"/>
      <c r="T676" s="36"/>
      <c r="U676" s="36"/>
      <c r="V676" s="36"/>
      <c r="W676" s="36"/>
      <c r="X676" s="36"/>
      <c r="Y676" s="36"/>
      <c r="Z676" s="36"/>
      <c r="AA676" s="36"/>
      <c r="AB676" s="36"/>
      <c r="AC676" s="36"/>
    </row>
    <row r="677" spans="1:29" ht="36" customHeight="1">
      <c r="A677" s="81"/>
      <c r="B677" s="94"/>
      <c r="C677" s="81"/>
      <c r="D677" s="81"/>
      <c r="E677" s="80"/>
      <c r="F677" s="620"/>
      <c r="G677" s="620"/>
      <c r="H677" s="81"/>
      <c r="I677" s="81"/>
      <c r="J677" s="35"/>
      <c r="K677" s="36"/>
      <c r="L677" s="36"/>
      <c r="M677" s="36"/>
      <c r="N677" s="36"/>
      <c r="O677" s="36"/>
      <c r="P677" s="36"/>
      <c r="Q677" s="36"/>
      <c r="R677" s="36"/>
      <c r="S677" s="36"/>
      <c r="T677" s="36"/>
      <c r="U677" s="36"/>
      <c r="V677" s="36"/>
      <c r="W677" s="36"/>
      <c r="X677" s="36"/>
      <c r="Y677" s="36"/>
      <c r="Z677" s="36"/>
      <c r="AA677" s="36"/>
      <c r="AB677" s="36"/>
      <c r="AC677" s="36"/>
    </row>
    <row r="678" spans="1:29" ht="12" customHeight="1">
      <c r="A678" s="81"/>
      <c r="B678" s="94"/>
      <c r="C678" s="81"/>
      <c r="D678" s="81"/>
      <c r="E678" s="80"/>
      <c r="F678" s="620"/>
      <c r="G678" s="620"/>
      <c r="H678" s="81"/>
      <c r="I678" s="81"/>
      <c r="J678" s="35"/>
      <c r="K678" s="36"/>
      <c r="L678" s="36"/>
      <c r="M678" s="36"/>
      <c r="N678" s="36"/>
      <c r="O678" s="36"/>
      <c r="P678" s="36"/>
      <c r="Q678" s="36"/>
      <c r="R678" s="36"/>
      <c r="S678" s="36"/>
      <c r="T678" s="36"/>
      <c r="U678" s="36"/>
      <c r="V678" s="36"/>
      <c r="W678" s="36"/>
      <c r="X678" s="36"/>
      <c r="Y678" s="36"/>
      <c r="Z678" s="36"/>
      <c r="AA678" s="36"/>
      <c r="AB678" s="36"/>
      <c r="AC678" s="36"/>
    </row>
    <row r="679" spans="1:29" ht="72" customHeight="1">
      <c r="A679" s="81"/>
      <c r="B679" s="81"/>
      <c r="C679" s="81"/>
      <c r="D679" s="81"/>
      <c r="E679" s="80"/>
      <c r="F679" s="620"/>
      <c r="G679" s="620"/>
      <c r="H679" s="81"/>
      <c r="I679" s="81"/>
      <c r="J679" s="35"/>
      <c r="K679" s="36"/>
      <c r="L679" s="36"/>
      <c r="M679" s="36"/>
      <c r="N679" s="36"/>
      <c r="O679" s="36"/>
      <c r="P679" s="36"/>
      <c r="Q679" s="36"/>
      <c r="R679" s="36"/>
      <c r="S679" s="36"/>
      <c r="T679" s="36"/>
      <c r="U679" s="36"/>
      <c r="V679" s="36"/>
      <c r="W679" s="36"/>
      <c r="X679" s="36"/>
      <c r="Y679" s="36"/>
      <c r="Z679" s="36"/>
      <c r="AA679" s="36"/>
      <c r="AB679" s="36"/>
      <c r="AC679" s="36"/>
    </row>
    <row r="680" spans="1:29" ht="108" customHeight="1">
      <c r="A680" s="81"/>
      <c r="B680" s="94"/>
      <c r="C680" s="81"/>
      <c r="D680" s="81"/>
      <c r="E680" s="80"/>
      <c r="F680" s="620"/>
      <c r="G680" s="620"/>
      <c r="H680" s="81"/>
      <c r="I680" s="81"/>
      <c r="J680" s="35"/>
      <c r="K680" s="36"/>
      <c r="L680" s="36"/>
      <c r="M680" s="36"/>
      <c r="N680" s="36"/>
      <c r="O680" s="36"/>
      <c r="P680" s="36"/>
      <c r="Q680" s="36"/>
      <c r="R680" s="36"/>
      <c r="S680" s="36"/>
      <c r="T680" s="36"/>
      <c r="U680" s="36"/>
      <c r="V680" s="36"/>
      <c r="W680" s="36"/>
      <c r="X680" s="36"/>
      <c r="Y680" s="36"/>
      <c r="Z680" s="36"/>
      <c r="AA680" s="36"/>
      <c r="AB680" s="36"/>
      <c r="AC680" s="36"/>
    </row>
    <row r="681" spans="1:29" ht="24" customHeight="1">
      <c r="A681" s="81"/>
      <c r="B681" s="94"/>
      <c r="C681" s="81"/>
      <c r="D681" s="81"/>
      <c r="E681" s="80"/>
      <c r="F681" s="620"/>
      <c r="G681" s="620"/>
      <c r="H681" s="81"/>
      <c r="I681" s="81"/>
      <c r="J681" s="35"/>
      <c r="K681" s="36"/>
      <c r="L681" s="36"/>
      <c r="M681" s="36"/>
      <c r="N681" s="36"/>
      <c r="O681" s="36"/>
      <c r="P681" s="36"/>
      <c r="Q681" s="36"/>
      <c r="R681" s="36"/>
      <c r="S681" s="36"/>
      <c r="T681" s="36"/>
      <c r="U681" s="36"/>
      <c r="V681" s="36"/>
      <c r="W681" s="36"/>
      <c r="X681" s="36"/>
      <c r="Y681" s="36"/>
      <c r="Z681" s="36"/>
      <c r="AA681" s="36"/>
      <c r="AB681" s="36"/>
      <c r="AC681" s="36"/>
    </row>
    <row r="682" spans="1:29" ht="24" customHeight="1">
      <c r="A682" s="81"/>
      <c r="B682" s="94"/>
      <c r="C682" s="81"/>
      <c r="D682" s="81"/>
      <c r="E682" s="80"/>
      <c r="F682" s="620"/>
      <c r="G682" s="620"/>
      <c r="H682" s="81"/>
      <c r="I682" s="81"/>
      <c r="J682" s="35"/>
      <c r="K682" s="36"/>
      <c r="L682" s="36"/>
      <c r="M682" s="36"/>
      <c r="N682" s="36"/>
      <c r="O682" s="36"/>
      <c r="P682" s="36"/>
      <c r="Q682" s="36"/>
      <c r="R682" s="36"/>
      <c r="S682" s="36"/>
      <c r="T682" s="36"/>
      <c r="U682" s="36"/>
      <c r="V682" s="36"/>
      <c r="W682" s="36"/>
      <c r="X682" s="36"/>
      <c r="Y682" s="36"/>
      <c r="Z682" s="36"/>
      <c r="AA682" s="36"/>
      <c r="AB682" s="36"/>
      <c r="AC682" s="36"/>
    </row>
    <row r="683" spans="1:29" ht="24" customHeight="1">
      <c r="A683" s="81"/>
      <c r="B683" s="94"/>
      <c r="C683" s="81"/>
      <c r="D683" s="81"/>
      <c r="E683" s="80"/>
      <c r="F683" s="620"/>
      <c r="G683" s="620"/>
      <c r="H683" s="81"/>
      <c r="I683" s="81"/>
      <c r="J683" s="35"/>
      <c r="K683" s="36"/>
      <c r="L683" s="36"/>
      <c r="M683" s="36"/>
      <c r="N683" s="36"/>
      <c r="O683" s="36"/>
      <c r="P683" s="36"/>
      <c r="Q683" s="36"/>
      <c r="R683" s="36"/>
      <c r="S683" s="36"/>
      <c r="T683" s="36"/>
      <c r="U683" s="36"/>
      <c r="V683" s="36"/>
      <c r="W683" s="36"/>
      <c r="X683" s="36"/>
      <c r="Y683" s="36"/>
      <c r="Z683" s="36"/>
      <c r="AA683" s="36"/>
      <c r="AB683" s="36"/>
      <c r="AC683" s="36"/>
    </row>
    <row r="684" spans="1:29" ht="24" customHeight="1">
      <c r="A684" s="81"/>
      <c r="B684" s="94"/>
      <c r="C684" s="81"/>
      <c r="D684" s="81"/>
      <c r="E684" s="80"/>
      <c r="F684" s="620"/>
      <c r="G684" s="620"/>
      <c r="H684" s="81"/>
      <c r="I684" s="81"/>
      <c r="J684" s="35"/>
      <c r="K684" s="36"/>
      <c r="L684" s="36"/>
      <c r="M684" s="36"/>
      <c r="N684" s="36"/>
      <c r="O684" s="36"/>
      <c r="P684" s="36"/>
      <c r="Q684" s="36"/>
      <c r="R684" s="36"/>
      <c r="S684" s="36"/>
      <c r="T684" s="36"/>
      <c r="U684" s="36"/>
      <c r="V684" s="36"/>
      <c r="W684" s="36"/>
      <c r="X684" s="36"/>
      <c r="Y684" s="36"/>
      <c r="Z684" s="36"/>
      <c r="AA684" s="36"/>
      <c r="AB684" s="36"/>
      <c r="AC684" s="36"/>
    </row>
    <row r="685" spans="1:29" ht="36" customHeight="1">
      <c r="A685" s="81"/>
      <c r="B685" s="94"/>
      <c r="C685" s="81"/>
      <c r="D685" s="81"/>
      <c r="E685" s="80"/>
      <c r="F685" s="620"/>
      <c r="G685" s="620"/>
      <c r="H685" s="81"/>
      <c r="I685" s="81"/>
      <c r="J685" s="35"/>
      <c r="K685" s="36"/>
      <c r="L685" s="36"/>
      <c r="M685" s="36"/>
      <c r="N685" s="36"/>
      <c r="O685" s="36"/>
      <c r="P685" s="36"/>
      <c r="Q685" s="36"/>
      <c r="R685" s="36"/>
      <c r="S685" s="36"/>
      <c r="T685" s="36"/>
      <c r="U685" s="36"/>
      <c r="V685" s="36"/>
      <c r="W685" s="36"/>
      <c r="X685" s="36"/>
      <c r="Y685" s="36"/>
      <c r="Z685" s="36"/>
      <c r="AA685" s="36"/>
      <c r="AB685" s="36"/>
      <c r="AC685" s="36"/>
    </row>
    <row r="686" spans="1:29" ht="24" customHeight="1">
      <c r="A686" s="619"/>
      <c r="B686" s="94"/>
      <c r="C686" s="81"/>
      <c r="D686" s="81"/>
      <c r="E686" s="80"/>
      <c r="F686" s="620"/>
      <c r="G686" s="620"/>
      <c r="H686" s="81"/>
      <c r="I686" s="81"/>
      <c r="J686" s="35"/>
      <c r="K686" s="36"/>
      <c r="L686" s="36"/>
      <c r="M686" s="36"/>
      <c r="N686" s="36"/>
      <c r="O686" s="36"/>
      <c r="P686" s="36"/>
      <c r="Q686" s="36"/>
      <c r="R686" s="36"/>
      <c r="S686" s="36"/>
      <c r="T686" s="36"/>
      <c r="U686" s="36"/>
      <c r="V686" s="36"/>
      <c r="W686" s="36"/>
      <c r="X686" s="36"/>
      <c r="Y686" s="36"/>
      <c r="Z686" s="36"/>
      <c r="AA686" s="36"/>
      <c r="AB686" s="36"/>
      <c r="AC686" s="36"/>
    </row>
    <row r="687" spans="1:29" ht="24" customHeight="1">
      <c r="A687" s="81"/>
      <c r="B687" s="81"/>
      <c r="C687" s="81"/>
      <c r="D687" s="81"/>
      <c r="E687" s="80"/>
      <c r="F687" s="620"/>
      <c r="G687" s="620"/>
      <c r="H687" s="81"/>
      <c r="I687" s="81"/>
      <c r="J687" s="35"/>
      <c r="K687" s="36"/>
      <c r="L687" s="36"/>
      <c r="M687" s="36"/>
      <c r="N687" s="36"/>
      <c r="O687" s="36"/>
      <c r="P687" s="36"/>
      <c r="Q687" s="36"/>
      <c r="R687" s="36"/>
      <c r="S687" s="36"/>
      <c r="T687" s="36"/>
      <c r="U687" s="36"/>
      <c r="V687" s="36"/>
      <c r="W687" s="36"/>
      <c r="X687" s="36"/>
      <c r="Y687" s="36"/>
      <c r="Z687" s="36"/>
      <c r="AA687" s="36"/>
      <c r="AB687" s="36"/>
      <c r="AC687" s="36"/>
    </row>
    <row r="688" spans="1:29" ht="36" customHeight="1">
      <c r="A688" s="81"/>
      <c r="B688" s="81"/>
      <c r="C688" s="81"/>
      <c r="D688" s="81"/>
      <c r="E688" s="80"/>
      <c r="F688" s="620"/>
      <c r="G688" s="620"/>
      <c r="H688" s="81"/>
      <c r="I688" s="81"/>
      <c r="J688" s="35"/>
      <c r="K688" s="36"/>
      <c r="L688" s="36"/>
      <c r="M688" s="36"/>
      <c r="N688" s="36"/>
      <c r="O688" s="36"/>
      <c r="P688" s="36"/>
      <c r="Q688" s="36"/>
      <c r="R688" s="36"/>
      <c r="S688" s="36"/>
      <c r="T688" s="36"/>
      <c r="U688" s="36"/>
      <c r="V688" s="36"/>
      <c r="W688" s="36"/>
      <c r="X688" s="36"/>
      <c r="Y688" s="36"/>
      <c r="Z688" s="36"/>
      <c r="AA688" s="36"/>
      <c r="AB688" s="36"/>
      <c r="AC688" s="36"/>
    </row>
    <row r="689" spans="1:29" ht="24" customHeight="1">
      <c r="A689" s="81"/>
      <c r="B689" s="81"/>
      <c r="C689" s="81"/>
      <c r="D689" s="81"/>
      <c r="E689" s="80"/>
      <c r="F689" s="620"/>
      <c r="G689" s="620"/>
      <c r="H689" s="81"/>
      <c r="I689" s="81"/>
      <c r="J689" s="35"/>
      <c r="K689" s="36"/>
      <c r="L689" s="36"/>
      <c r="M689" s="36"/>
      <c r="N689" s="36"/>
      <c r="O689" s="36"/>
      <c r="P689" s="36"/>
      <c r="Q689" s="36"/>
      <c r="R689" s="36"/>
      <c r="S689" s="36"/>
      <c r="T689" s="36"/>
      <c r="U689" s="36"/>
      <c r="V689" s="36"/>
      <c r="W689" s="36"/>
      <c r="X689" s="36"/>
      <c r="Y689" s="36"/>
      <c r="Z689" s="36"/>
      <c r="AA689" s="36"/>
      <c r="AB689" s="36"/>
      <c r="AC689" s="36"/>
    </row>
    <row r="690" spans="1:29" ht="36" customHeight="1">
      <c r="A690" s="81"/>
      <c r="B690" s="81"/>
      <c r="C690" s="81"/>
      <c r="D690" s="81"/>
      <c r="E690" s="80"/>
      <c r="F690" s="620"/>
      <c r="G690" s="620"/>
      <c r="H690" s="81"/>
      <c r="I690" s="81"/>
      <c r="J690" s="35"/>
      <c r="K690" s="36"/>
      <c r="L690" s="36"/>
      <c r="M690" s="36"/>
      <c r="N690" s="36"/>
      <c r="O690" s="36"/>
      <c r="P690" s="36"/>
      <c r="Q690" s="36"/>
      <c r="R690" s="36"/>
      <c r="S690" s="36"/>
      <c r="T690" s="36"/>
      <c r="U690" s="36"/>
      <c r="V690" s="36"/>
      <c r="W690" s="36"/>
      <c r="X690" s="36"/>
      <c r="Y690" s="36"/>
      <c r="Z690" s="36"/>
      <c r="AA690" s="36"/>
      <c r="AB690" s="36"/>
      <c r="AC690" s="36"/>
    </row>
    <row r="691" spans="1:29" ht="24" customHeight="1">
      <c r="A691" s="81"/>
      <c r="B691" s="94"/>
      <c r="C691" s="81"/>
      <c r="D691" s="81"/>
      <c r="E691" s="80"/>
      <c r="F691" s="620"/>
      <c r="G691" s="620"/>
      <c r="H691" s="81"/>
      <c r="I691" s="81"/>
      <c r="J691" s="35"/>
      <c r="K691" s="36"/>
      <c r="L691" s="36"/>
      <c r="M691" s="36"/>
      <c r="N691" s="36"/>
      <c r="O691" s="36"/>
      <c r="P691" s="36"/>
      <c r="Q691" s="36"/>
      <c r="R691" s="36"/>
      <c r="S691" s="36"/>
      <c r="T691" s="36"/>
      <c r="U691" s="36"/>
      <c r="V691" s="36"/>
      <c r="W691" s="36"/>
      <c r="X691" s="36"/>
      <c r="Y691" s="36"/>
      <c r="Z691" s="36"/>
      <c r="AA691" s="36"/>
      <c r="AB691" s="36"/>
      <c r="AC691" s="36"/>
    </row>
    <row r="692" spans="1:29" ht="24" customHeight="1">
      <c r="A692" s="81"/>
      <c r="B692" s="81"/>
      <c r="C692" s="81"/>
      <c r="D692" s="81"/>
      <c r="E692" s="80"/>
      <c r="F692" s="620"/>
      <c r="G692" s="620"/>
      <c r="H692" s="81"/>
      <c r="I692" s="81"/>
      <c r="J692" s="35"/>
      <c r="K692" s="36"/>
      <c r="L692" s="36"/>
      <c r="M692" s="36"/>
      <c r="N692" s="36"/>
      <c r="O692" s="36"/>
      <c r="P692" s="36"/>
      <c r="Q692" s="36"/>
      <c r="R692" s="36"/>
      <c r="S692" s="36"/>
      <c r="T692" s="36"/>
      <c r="U692" s="36"/>
      <c r="V692" s="36"/>
      <c r="W692" s="36"/>
      <c r="X692" s="36"/>
      <c r="Y692" s="36"/>
      <c r="Z692" s="36"/>
      <c r="AA692" s="36"/>
      <c r="AB692" s="36"/>
      <c r="AC692" s="36"/>
    </row>
    <row r="693" spans="1:29" ht="204" customHeight="1">
      <c r="A693" s="81"/>
      <c r="B693" s="81"/>
      <c r="C693" s="81"/>
      <c r="D693" s="81"/>
      <c r="E693" s="80"/>
      <c r="F693" s="620"/>
      <c r="G693" s="620"/>
      <c r="H693" s="81"/>
      <c r="I693" s="81"/>
      <c r="J693" s="35"/>
      <c r="K693" s="36"/>
      <c r="L693" s="36"/>
      <c r="M693" s="36"/>
      <c r="N693" s="36"/>
      <c r="O693" s="36"/>
      <c r="P693" s="36"/>
      <c r="Q693" s="36"/>
      <c r="R693" s="36"/>
      <c r="S693" s="36"/>
      <c r="T693" s="36"/>
      <c r="U693" s="36"/>
      <c r="V693" s="36"/>
      <c r="W693" s="36"/>
      <c r="X693" s="36"/>
      <c r="Y693" s="36"/>
      <c r="Z693" s="36"/>
      <c r="AA693" s="36"/>
      <c r="AB693" s="36"/>
      <c r="AC693" s="36"/>
    </row>
    <row r="694" spans="1:29" ht="24" customHeight="1">
      <c r="A694" s="619"/>
      <c r="B694" s="81"/>
      <c r="C694" s="81"/>
      <c r="D694" s="81"/>
      <c r="E694" s="80"/>
      <c r="F694" s="620"/>
      <c r="G694" s="620"/>
      <c r="H694" s="81"/>
      <c r="I694" s="81"/>
      <c r="J694" s="35"/>
      <c r="K694" s="36"/>
      <c r="L694" s="36"/>
      <c r="M694" s="36"/>
      <c r="N694" s="36"/>
      <c r="O694" s="36"/>
      <c r="P694" s="36"/>
      <c r="Q694" s="36"/>
      <c r="R694" s="36"/>
      <c r="S694" s="36"/>
      <c r="T694" s="36"/>
      <c r="U694" s="36"/>
      <c r="V694" s="36"/>
      <c r="W694" s="36"/>
      <c r="X694" s="36"/>
      <c r="Y694" s="36"/>
      <c r="Z694" s="36"/>
      <c r="AA694" s="36"/>
      <c r="AB694" s="36"/>
      <c r="AC694" s="36"/>
    </row>
    <row r="695" spans="1:29" ht="48" customHeight="1">
      <c r="A695" s="100"/>
      <c r="B695" s="100"/>
      <c r="C695" s="100"/>
      <c r="D695" s="100"/>
      <c r="E695" s="99"/>
      <c r="F695" s="627"/>
      <c r="G695" s="627"/>
      <c r="H695" s="100"/>
      <c r="I695" s="100"/>
      <c r="J695" s="35"/>
      <c r="K695" s="36"/>
      <c r="L695" s="36"/>
      <c r="M695" s="36"/>
      <c r="N695" s="36"/>
      <c r="O695" s="36"/>
      <c r="P695" s="36"/>
      <c r="Q695" s="36"/>
      <c r="R695" s="36"/>
      <c r="S695" s="36"/>
      <c r="T695" s="36"/>
      <c r="U695" s="36"/>
      <c r="V695" s="36"/>
      <c r="W695" s="36"/>
      <c r="X695" s="36"/>
      <c r="Y695" s="36"/>
      <c r="Z695" s="36"/>
      <c r="AA695" s="36"/>
      <c r="AB695" s="36"/>
      <c r="AC695" s="36"/>
    </row>
    <row r="696" spans="1:29" ht="48" customHeight="1">
      <c r="A696" s="81"/>
      <c r="B696" s="81"/>
      <c r="C696" s="81"/>
      <c r="D696" s="81"/>
      <c r="E696" s="80"/>
      <c r="F696" s="620"/>
      <c r="G696" s="620"/>
      <c r="H696" s="81"/>
      <c r="I696" s="81"/>
      <c r="J696" s="35"/>
      <c r="K696" s="36"/>
      <c r="L696" s="36"/>
      <c r="M696" s="36"/>
      <c r="N696" s="36"/>
      <c r="O696" s="36"/>
      <c r="P696" s="36"/>
      <c r="Q696" s="36"/>
      <c r="R696" s="36"/>
      <c r="S696" s="36"/>
      <c r="T696" s="36"/>
      <c r="U696" s="36"/>
      <c r="V696" s="36"/>
      <c r="W696" s="36"/>
      <c r="X696" s="36"/>
      <c r="Y696" s="36"/>
      <c r="Z696" s="36"/>
      <c r="AA696" s="36"/>
      <c r="AB696" s="36"/>
      <c r="AC696" s="36"/>
    </row>
    <row r="697" spans="1:29" ht="48" customHeight="1">
      <c r="A697" s="81"/>
      <c r="B697" s="81"/>
      <c r="C697" s="81"/>
      <c r="D697" s="81"/>
      <c r="E697" s="80"/>
      <c r="F697" s="620"/>
      <c r="G697" s="620"/>
      <c r="H697" s="81"/>
      <c r="I697" s="81"/>
      <c r="J697" s="35"/>
      <c r="K697" s="36"/>
      <c r="L697" s="36"/>
      <c r="M697" s="36"/>
      <c r="N697" s="36"/>
      <c r="O697" s="36"/>
      <c r="P697" s="36"/>
      <c r="Q697" s="36"/>
      <c r="R697" s="36"/>
      <c r="S697" s="36"/>
      <c r="T697" s="36"/>
      <c r="U697" s="36"/>
      <c r="V697" s="36"/>
      <c r="W697" s="36"/>
      <c r="X697" s="36"/>
      <c r="Y697" s="36"/>
      <c r="Z697" s="36"/>
      <c r="AA697" s="36"/>
      <c r="AB697" s="36"/>
      <c r="AC697" s="36"/>
    </row>
    <row r="698" spans="1:29" ht="36" customHeight="1">
      <c r="A698" s="81"/>
      <c r="B698" s="81"/>
      <c r="C698" s="81"/>
      <c r="D698" s="81"/>
      <c r="E698" s="80"/>
      <c r="F698" s="620"/>
      <c r="G698" s="620"/>
      <c r="H698" s="81"/>
      <c r="I698" s="81"/>
      <c r="J698" s="35"/>
      <c r="K698" s="36"/>
      <c r="L698" s="36"/>
      <c r="M698" s="36"/>
      <c r="N698" s="36"/>
      <c r="O698" s="36"/>
      <c r="P698" s="36"/>
      <c r="Q698" s="36"/>
      <c r="R698" s="36"/>
      <c r="S698" s="36"/>
      <c r="T698" s="36"/>
      <c r="U698" s="36"/>
      <c r="V698" s="36"/>
      <c r="W698" s="36"/>
      <c r="X698" s="36"/>
      <c r="Y698" s="36"/>
      <c r="Z698" s="36"/>
      <c r="AA698" s="36"/>
      <c r="AB698" s="36"/>
      <c r="AC698" s="36"/>
    </row>
    <row r="699" spans="1:29" ht="24" customHeight="1">
      <c r="A699" s="81"/>
      <c r="B699" s="81"/>
      <c r="C699" s="81"/>
      <c r="D699" s="81"/>
      <c r="E699" s="80"/>
      <c r="F699" s="620"/>
      <c r="G699" s="620"/>
      <c r="H699" s="81"/>
      <c r="I699" s="81"/>
      <c r="J699" s="35"/>
      <c r="K699" s="36"/>
      <c r="L699" s="36"/>
      <c r="M699" s="36"/>
      <c r="N699" s="36"/>
      <c r="O699" s="36"/>
      <c r="P699" s="36"/>
      <c r="Q699" s="36"/>
      <c r="R699" s="36"/>
      <c r="S699" s="36"/>
      <c r="T699" s="36"/>
      <c r="U699" s="36"/>
      <c r="V699" s="36"/>
      <c r="W699" s="36"/>
      <c r="X699" s="36"/>
      <c r="Y699" s="36"/>
      <c r="Z699" s="36"/>
      <c r="AA699" s="36"/>
      <c r="AB699" s="36"/>
      <c r="AC699" s="36"/>
    </row>
    <row r="700" spans="1:29" ht="24" customHeight="1">
      <c r="A700" s="81"/>
      <c r="B700" s="81"/>
      <c r="C700" s="81"/>
      <c r="D700" s="81"/>
      <c r="E700" s="80"/>
      <c r="F700" s="620"/>
      <c r="G700" s="620"/>
      <c r="H700" s="81"/>
      <c r="I700" s="81"/>
      <c r="J700" s="35"/>
      <c r="K700" s="36"/>
      <c r="L700" s="36"/>
      <c r="M700" s="36"/>
      <c r="N700" s="36"/>
      <c r="O700" s="36"/>
      <c r="P700" s="36"/>
      <c r="Q700" s="36"/>
      <c r="R700" s="36"/>
      <c r="S700" s="36"/>
      <c r="T700" s="36"/>
      <c r="U700" s="36"/>
      <c r="V700" s="36"/>
      <c r="W700" s="36"/>
      <c r="X700" s="36"/>
      <c r="Y700" s="36"/>
      <c r="Z700" s="36"/>
      <c r="AA700" s="36"/>
      <c r="AB700" s="36"/>
      <c r="AC700" s="36"/>
    </row>
    <row r="701" spans="1:29" ht="36" customHeight="1">
      <c r="A701" s="81"/>
      <c r="B701" s="81"/>
      <c r="C701" s="81"/>
      <c r="D701" s="81"/>
      <c r="E701" s="80"/>
      <c r="F701" s="620"/>
      <c r="G701" s="620"/>
      <c r="H701" s="81"/>
      <c r="I701" s="81"/>
      <c r="J701" s="35"/>
      <c r="K701" s="36"/>
      <c r="L701" s="36"/>
      <c r="M701" s="36"/>
      <c r="N701" s="36"/>
      <c r="O701" s="36"/>
      <c r="P701" s="36"/>
      <c r="Q701" s="36"/>
      <c r="R701" s="36"/>
      <c r="S701" s="36"/>
      <c r="T701" s="36"/>
      <c r="U701" s="36"/>
      <c r="V701" s="36"/>
      <c r="W701" s="36"/>
      <c r="X701" s="36"/>
      <c r="Y701" s="36"/>
      <c r="Z701" s="36"/>
      <c r="AA701" s="36"/>
      <c r="AB701" s="36"/>
      <c r="AC701" s="36"/>
    </row>
    <row r="702" spans="1:29" ht="36" customHeight="1">
      <c r="A702" s="81"/>
      <c r="B702" s="81"/>
      <c r="C702" s="81"/>
      <c r="D702" s="81"/>
      <c r="E702" s="80"/>
      <c r="F702" s="620"/>
      <c r="G702" s="620"/>
      <c r="H702" s="81"/>
      <c r="I702" s="81"/>
      <c r="J702" s="35"/>
      <c r="K702" s="36"/>
      <c r="L702" s="36"/>
      <c r="M702" s="36"/>
      <c r="N702" s="36"/>
      <c r="O702" s="36"/>
      <c r="P702" s="36"/>
      <c r="Q702" s="36"/>
      <c r="R702" s="36"/>
      <c r="S702" s="36"/>
      <c r="T702" s="36"/>
      <c r="U702" s="36"/>
      <c r="V702" s="36"/>
      <c r="W702" s="36"/>
      <c r="X702" s="36"/>
      <c r="Y702" s="36"/>
      <c r="Z702" s="36"/>
      <c r="AA702" s="36"/>
      <c r="AB702" s="36"/>
      <c r="AC702" s="36"/>
    </row>
    <row r="703" spans="1:29" ht="24" customHeight="1">
      <c r="A703" s="81"/>
      <c r="B703" s="81"/>
      <c r="C703" s="81"/>
      <c r="D703" s="81"/>
      <c r="E703" s="80"/>
      <c r="F703" s="620"/>
      <c r="G703" s="620"/>
      <c r="H703" s="81"/>
      <c r="I703" s="81"/>
      <c r="J703" s="35"/>
      <c r="K703" s="36"/>
      <c r="L703" s="36"/>
      <c r="M703" s="36"/>
      <c r="N703" s="36"/>
      <c r="O703" s="36"/>
      <c r="P703" s="36"/>
      <c r="Q703" s="36"/>
      <c r="R703" s="36"/>
      <c r="S703" s="36"/>
      <c r="T703" s="36"/>
      <c r="U703" s="36"/>
      <c r="V703" s="36"/>
      <c r="W703" s="36"/>
      <c r="X703" s="36"/>
      <c r="Y703" s="36"/>
      <c r="Z703" s="36"/>
      <c r="AA703" s="36"/>
      <c r="AB703" s="36"/>
      <c r="AC703" s="36"/>
    </row>
    <row r="704" spans="1:29" ht="36" customHeight="1">
      <c r="A704" s="81"/>
      <c r="B704" s="81"/>
      <c r="C704" s="81"/>
      <c r="D704" s="81"/>
      <c r="E704" s="80"/>
      <c r="F704" s="620"/>
      <c r="G704" s="620"/>
      <c r="H704" s="81"/>
      <c r="I704" s="81"/>
      <c r="J704" s="35"/>
      <c r="K704" s="36"/>
      <c r="L704" s="36"/>
      <c r="M704" s="36"/>
      <c r="N704" s="36"/>
      <c r="O704" s="36"/>
      <c r="P704" s="36"/>
      <c r="Q704" s="36"/>
      <c r="R704" s="36"/>
      <c r="S704" s="36"/>
      <c r="T704" s="36"/>
      <c r="U704" s="36"/>
      <c r="V704" s="36"/>
      <c r="W704" s="36"/>
      <c r="X704" s="36"/>
      <c r="Y704" s="36"/>
      <c r="Z704" s="36"/>
      <c r="AA704" s="36"/>
      <c r="AB704" s="36"/>
      <c r="AC704" s="36"/>
    </row>
    <row r="705" spans="1:29" ht="24" customHeight="1">
      <c r="A705" s="81"/>
      <c r="B705" s="81"/>
      <c r="C705" s="81"/>
      <c r="D705" s="81"/>
      <c r="E705" s="80"/>
      <c r="F705" s="620"/>
      <c r="G705" s="620"/>
      <c r="H705" s="81"/>
      <c r="I705" s="81"/>
      <c r="J705" s="240"/>
      <c r="K705" s="241"/>
      <c r="L705" s="36"/>
      <c r="M705" s="36"/>
      <c r="N705" s="36"/>
      <c r="O705" s="36"/>
      <c r="P705" s="36"/>
      <c r="Q705" s="36"/>
      <c r="R705" s="36"/>
      <c r="S705" s="36"/>
      <c r="T705" s="36"/>
      <c r="U705" s="36"/>
      <c r="V705" s="36"/>
      <c r="W705" s="36"/>
      <c r="X705" s="36"/>
      <c r="Y705" s="36"/>
      <c r="Z705" s="36"/>
      <c r="AA705" s="36"/>
      <c r="AB705" s="36"/>
      <c r="AC705" s="36"/>
    </row>
    <row r="706" spans="1:29" ht="24" customHeight="1">
      <c r="A706" s="81"/>
      <c r="B706" s="81"/>
      <c r="C706" s="81"/>
      <c r="D706" s="81"/>
      <c r="E706" s="80"/>
      <c r="F706" s="620"/>
      <c r="G706" s="620"/>
      <c r="H706" s="81"/>
      <c r="I706" s="81"/>
      <c r="J706" s="35"/>
      <c r="K706" s="242"/>
      <c r="L706" s="36"/>
      <c r="M706" s="36"/>
      <c r="N706" s="36"/>
      <c r="O706" s="36"/>
      <c r="P706" s="36"/>
      <c r="Q706" s="36"/>
      <c r="R706" s="36"/>
      <c r="S706" s="36"/>
      <c r="T706" s="36"/>
      <c r="U706" s="36"/>
      <c r="V706" s="36"/>
      <c r="W706" s="36"/>
      <c r="X706" s="36"/>
      <c r="Y706" s="36"/>
      <c r="Z706" s="36"/>
      <c r="AA706" s="36"/>
      <c r="AB706" s="36"/>
      <c r="AC706" s="36"/>
    </row>
    <row r="707" spans="1:29" ht="36" customHeight="1">
      <c r="A707" s="81"/>
      <c r="B707" s="81"/>
      <c r="C707" s="81"/>
      <c r="D707" s="81"/>
      <c r="E707" s="80"/>
      <c r="F707" s="620"/>
      <c r="G707" s="620"/>
      <c r="H707" s="81"/>
      <c r="I707" s="81"/>
      <c r="J707" s="243"/>
      <c r="K707" s="241"/>
      <c r="L707" s="36"/>
      <c r="M707" s="36"/>
      <c r="N707" s="36"/>
      <c r="O707" s="36"/>
      <c r="P707" s="36"/>
      <c r="Q707" s="36"/>
      <c r="R707" s="36"/>
      <c r="S707" s="36"/>
      <c r="T707" s="36"/>
      <c r="U707" s="36"/>
      <c r="V707" s="36"/>
      <c r="W707" s="36"/>
      <c r="X707" s="36"/>
      <c r="Y707" s="36"/>
      <c r="Z707" s="36"/>
      <c r="AA707" s="36"/>
      <c r="AB707" s="36"/>
      <c r="AC707" s="36"/>
    </row>
    <row r="708" spans="1:29" ht="24" customHeight="1">
      <c r="A708" s="81"/>
      <c r="B708" s="81"/>
      <c r="C708" s="81"/>
      <c r="D708" s="81"/>
      <c r="E708" s="80"/>
      <c r="F708" s="620"/>
      <c r="G708" s="620"/>
      <c r="H708" s="81"/>
      <c r="I708" s="81"/>
      <c r="J708" s="240"/>
      <c r="K708" s="241"/>
      <c r="L708" s="36"/>
      <c r="M708" s="36"/>
      <c r="N708" s="36"/>
      <c r="O708" s="36"/>
      <c r="P708" s="36"/>
      <c r="Q708" s="36"/>
      <c r="R708" s="36"/>
      <c r="S708" s="36"/>
      <c r="T708" s="36"/>
      <c r="U708" s="36"/>
      <c r="V708" s="36"/>
      <c r="W708" s="36"/>
      <c r="X708" s="36"/>
      <c r="Y708" s="36"/>
      <c r="Z708" s="36"/>
      <c r="AA708" s="36"/>
      <c r="AB708" s="36"/>
      <c r="AC708" s="36"/>
    </row>
    <row r="709" spans="1:29" ht="36" customHeight="1">
      <c r="A709" s="81"/>
      <c r="B709" s="81"/>
      <c r="C709" s="81"/>
      <c r="D709" s="81"/>
      <c r="E709" s="80"/>
      <c r="F709" s="620"/>
      <c r="G709" s="620"/>
      <c r="H709" s="81"/>
      <c r="I709" s="81"/>
      <c r="J709" s="35"/>
      <c r="K709" s="36"/>
      <c r="L709" s="36"/>
      <c r="M709" s="36"/>
      <c r="N709" s="36"/>
      <c r="O709" s="36"/>
      <c r="P709" s="36"/>
      <c r="Q709" s="36"/>
      <c r="R709" s="36"/>
      <c r="S709" s="36"/>
      <c r="T709" s="36"/>
      <c r="U709" s="36"/>
      <c r="V709" s="36"/>
      <c r="W709" s="36"/>
      <c r="X709" s="36"/>
      <c r="Y709" s="36"/>
      <c r="Z709" s="36"/>
      <c r="AA709" s="36"/>
      <c r="AB709" s="36"/>
      <c r="AC709" s="36"/>
    </row>
    <row r="710" spans="1:29" ht="72" customHeight="1">
      <c r="A710" s="81"/>
      <c r="B710" s="81"/>
      <c r="C710" s="81"/>
      <c r="D710" s="81"/>
      <c r="E710" s="80"/>
      <c r="F710" s="620"/>
      <c r="G710" s="620"/>
      <c r="H710" s="81"/>
      <c r="I710" s="81"/>
      <c r="J710" s="35"/>
      <c r="K710" s="36"/>
      <c r="L710" s="36"/>
      <c r="M710" s="36"/>
      <c r="N710" s="36"/>
      <c r="O710" s="36"/>
      <c r="P710" s="36"/>
      <c r="Q710" s="241"/>
      <c r="R710" s="36"/>
      <c r="S710" s="241"/>
      <c r="T710" s="36"/>
      <c r="U710" s="36"/>
      <c r="V710" s="36"/>
      <c r="W710" s="36"/>
      <c r="X710" s="36"/>
      <c r="Y710" s="36"/>
      <c r="Z710" s="36"/>
      <c r="AA710" s="36"/>
      <c r="AB710" s="36"/>
      <c r="AC710" s="36"/>
    </row>
    <row r="711" spans="1:29" ht="24" customHeight="1">
      <c r="A711" s="81"/>
      <c r="B711" s="81"/>
      <c r="C711" s="81"/>
      <c r="D711" s="81"/>
      <c r="E711" s="80"/>
      <c r="F711" s="620"/>
      <c r="G711" s="620"/>
      <c r="H711" s="81"/>
      <c r="I711" s="81"/>
      <c r="J711" s="35"/>
      <c r="K711" s="36"/>
      <c r="L711" s="36"/>
      <c r="M711" s="36"/>
      <c r="N711" s="36"/>
      <c r="O711" s="36"/>
      <c r="P711" s="36"/>
      <c r="Q711" s="36"/>
      <c r="R711" s="36"/>
      <c r="S711" s="36"/>
      <c r="T711" s="36"/>
      <c r="U711" s="36"/>
      <c r="V711" s="36"/>
      <c r="W711" s="36"/>
      <c r="X711" s="36"/>
      <c r="Y711" s="36"/>
      <c r="Z711" s="36"/>
      <c r="AA711" s="36"/>
      <c r="AB711" s="36"/>
      <c r="AC711" s="36"/>
    </row>
    <row r="712" spans="1:29" ht="24" customHeight="1">
      <c r="A712" s="81"/>
      <c r="B712" s="81"/>
      <c r="C712" s="81"/>
      <c r="D712" s="81"/>
      <c r="E712" s="80"/>
      <c r="F712" s="620"/>
      <c r="G712" s="620"/>
      <c r="H712" s="81"/>
      <c r="I712" s="81"/>
      <c r="J712" s="35"/>
      <c r="K712" s="36"/>
      <c r="L712" s="36"/>
      <c r="M712" s="36"/>
      <c r="N712" s="36"/>
      <c r="O712" s="36"/>
      <c r="P712" s="36"/>
      <c r="Q712" s="36"/>
      <c r="R712" s="36"/>
      <c r="S712" s="36"/>
      <c r="T712" s="36"/>
      <c r="U712" s="36"/>
      <c r="V712" s="36"/>
      <c r="W712" s="36"/>
      <c r="X712" s="36"/>
      <c r="Y712" s="36"/>
      <c r="Z712" s="36"/>
      <c r="AA712" s="36"/>
      <c r="AB712" s="36"/>
      <c r="AC712" s="36"/>
    </row>
    <row r="713" spans="1:29" ht="84" customHeight="1">
      <c r="A713" s="81"/>
      <c r="B713" s="81"/>
      <c r="C713" s="81"/>
      <c r="D713" s="81"/>
      <c r="E713" s="80"/>
      <c r="F713" s="620"/>
      <c r="G713" s="620"/>
      <c r="H713" s="81"/>
      <c r="I713" s="81"/>
      <c r="J713" s="35"/>
      <c r="K713" s="36"/>
      <c r="L713" s="36"/>
      <c r="M713" s="36"/>
      <c r="N713" s="36"/>
      <c r="O713" s="36"/>
      <c r="P713" s="36"/>
      <c r="Q713" s="36"/>
      <c r="R713" s="36"/>
      <c r="S713" s="36"/>
      <c r="T713" s="36"/>
      <c r="U713" s="36"/>
      <c r="V713" s="36"/>
      <c r="W713" s="36"/>
      <c r="X713" s="36"/>
      <c r="Y713" s="36"/>
      <c r="Z713" s="36"/>
      <c r="AA713" s="36"/>
      <c r="AB713" s="36"/>
      <c r="AC713" s="36"/>
    </row>
    <row r="714" spans="1:29" ht="72" customHeight="1">
      <c r="A714" s="81"/>
      <c r="B714" s="81"/>
      <c r="C714" s="81"/>
      <c r="D714" s="81"/>
      <c r="E714" s="80"/>
      <c r="F714" s="620"/>
      <c r="G714" s="620"/>
      <c r="H714" s="81"/>
      <c r="I714" s="81"/>
      <c r="J714" s="35"/>
      <c r="K714" s="36"/>
      <c r="L714" s="36"/>
      <c r="M714" s="36"/>
      <c r="N714" s="36"/>
      <c r="O714" s="36"/>
      <c r="P714" s="36"/>
      <c r="Q714" s="36"/>
      <c r="R714" s="36"/>
      <c r="S714" s="36"/>
      <c r="T714" s="36"/>
      <c r="U714" s="36"/>
      <c r="V714" s="36"/>
      <c r="W714" s="36"/>
      <c r="X714" s="36"/>
      <c r="Y714" s="36"/>
      <c r="Z714" s="36"/>
      <c r="AA714" s="36"/>
      <c r="AB714" s="36"/>
      <c r="AC714" s="36"/>
    </row>
    <row r="715" spans="1:29" ht="24" customHeight="1">
      <c r="A715" s="81"/>
      <c r="B715" s="81"/>
      <c r="C715" s="81"/>
      <c r="D715" s="81"/>
      <c r="E715" s="80"/>
      <c r="F715" s="620"/>
      <c r="G715" s="620"/>
      <c r="H715" s="81"/>
      <c r="I715" s="81"/>
      <c r="J715" s="35"/>
      <c r="K715" s="36"/>
      <c r="L715" s="36"/>
      <c r="M715" s="36"/>
      <c r="N715" s="36"/>
      <c r="O715" s="36"/>
      <c r="P715" s="36"/>
      <c r="Q715" s="36"/>
      <c r="R715" s="36"/>
      <c r="S715" s="36"/>
      <c r="T715" s="36"/>
      <c r="U715" s="36"/>
      <c r="V715" s="36"/>
      <c r="W715" s="36"/>
      <c r="X715" s="36"/>
      <c r="Y715" s="36"/>
      <c r="Z715" s="36"/>
      <c r="AA715" s="36"/>
      <c r="AB715" s="36"/>
      <c r="AC715" s="36"/>
    </row>
    <row r="716" spans="1:29" ht="36" customHeight="1">
      <c r="A716" s="81"/>
      <c r="B716" s="81"/>
      <c r="C716" s="81"/>
      <c r="D716" s="81"/>
      <c r="E716" s="80"/>
      <c r="F716" s="620"/>
      <c r="G716" s="620"/>
      <c r="H716" s="81"/>
      <c r="I716" s="81"/>
      <c r="J716" s="35"/>
      <c r="K716" s="36"/>
      <c r="L716" s="36"/>
      <c r="M716" s="36"/>
      <c r="N716" s="36"/>
      <c r="O716" s="36"/>
      <c r="P716" s="36"/>
      <c r="Q716" s="36"/>
      <c r="R716" s="36"/>
      <c r="S716" s="36"/>
      <c r="T716" s="36"/>
      <c r="U716" s="36"/>
      <c r="V716" s="36"/>
      <c r="W716" s="36"/>
      <c r="X716" s="36"/>
      <c r="Y716" s="36"/>
      <c r="Z716" s="36"/>
      <c r="AA716" s="36"/>
      <c r="AB716" s="36"/>
      <c r="AC716" s="36"/>
    </row>
    <row r="717" spans="1:29" ht="48" customHeight="1">
      <c r="A717" s="81"/>
      <c r="B717" s="81"/>
      <c r="C717" s="81"/>
      <c r="D717" s="81"/>
      <c r="E717" s="80"/>
      <c r="F717" s="620"/>
      <c r="G717" s="620"/>
      <c r="H717" s="81"/>
      <c r="I717" s="81"/>
      <c r="J717" s="35"/>
      <c r="K717" s="36"/>
      <c r="L717" s="36"/>
      <c r="M717" s="36"/>
      <c r="N717" s="36"/>
      <c r="O717" s="36"/>
      <c r="P717" s="36"/>
      <c r="Q717" s="36"/>
      <c r="R717" s="36"/>
      <c r="S717" s="36"/>
      <c r="T717" s="36"/>
      <c r="U717" s="36"/>
      <c r="V717" s="36"/>
      <c r="W717" s="36"/>
      <c r="X717" s="36"/>
      <c r="Y717" s="36"/>
      <c r="Z717" s="36"/>
      <c r="AA717" s="36"/>
      <c r="AB717" s="36"/>
      <c r="AC717" s="36"/>
    </row>
    <row r="718" spans="1:29" ht="36" customHeight="1">
      <c r="A718" s="81"/>
      <c r="B718" s="81"/>
      <c r="C718" s="81"/>
      <c r="D718" s="81"/>
      <c r="E718" s="80"/>
      <c r="F718" s="620"/>
      <c r="G718" s="620"/>
      <c r="H718" s="81"/>
      <c r="I718" s="81"/>
      <c r="J718" s="35"/>
      <c r="K718" s="36"/>
      <c r="L718" s="36"/>
      <c r="M718" s="36"/>
      <c r="N718" s="36"/>
      <c r="O718" s="36"/>
      <c r="P718" s="36"/>
      <c r="Q718" s="36"/>
      <c r="R718" s="36"/>
      <c r="S718" s="36"/>
      <c r="T718" s="36"/>
      <c r="U718" s="36"/>
      <c r="V718" s="36"/>
      <c r="W718" s="36"/>
      <c r="X718" s="36"/>
      <c r="Y718" s="36"/>
      <c r="Z718" s="36"/>
      <c r="AA718" s="36"/>
      <c r="AB718" s="36"/>
      <c r="AC718" s="36"/>
    </row>
    <row r="719" spans="1:29" ht="48" customHeight="1">
      <c r="A719" s="81"/>
      <c r="B719" s="81"/>
      <c r="C719" s="81"/>
      <c r="D719" s="81"/>
      <c r="E719" s="80"/>
      <c r="F719" s="620"/>
      <c r="G719" s="620"/>
      <c r="H719" s="81"/>
      <c r="I719" s="81"/>
      <c r="J719" s="35"/>
      <c r="K719" s="36"/>
      <c r="L719" s="36"/>
      <c r="M719" s="36"/>
      <c r="N719" s="36"/>
      <c r="O719" s="36"/>
      <c r="P719" s="36"/>
      <c r="Q719" s="36"/>
      <c r="R719" s="36"/>
      <c r="S719" s="36"/>
      <c r="T719" s="36"/>
      <c r="U719" s="36"/>
      <c r="V719" s="36"/>
      <c r="W719" s="36"/>
      <c r="X719" s="36"/>
      <c r="Y719" s="36"/>
      <c r="Z719" s="36"/>
      <c r="AA719" s="36"/>
      <c r="AB719" s="36"/>
      <c r="AC719" s="36"/>
    </row>
    <row r="720" spans="1:29" ht="24" customHeight="1">
      <c r="A720" s="81"/>
      <c r="B720" s="81"/>
      <c r="C720" s="81"/>
      <c r="D720" s="81"/>
      <c r="E720" s="80"/>
      <c r="F720" s="620"/>
      <c r="G720" s="620"/>
      <c r="H720" s="81"/>
      <c r="I720" s="81"/>
      <c r="J720" s="35"/>
      <c r="K720" s="36"/>
      <c r="L720" s="36"/>
      <c r="M720" s="36"/>
      <c r="N720" s="36"/>
      <c r="O720" s="36"/>
      <c r="P720" s="36"/>
      <c r="Q720" s="36"/>
      <c r="R720" s="36"/>
      <c r="S720" s="36"/>
      <c r="T720" s="36"/>
      <c r="U720" s="36"/>
      <c r="V720" s="36"/>
      <c r="W720" s="36"/>
      <c r="X720" s="36"/>
      <c r="Y720" s="36"/>
      <c r="Z720" s="36"/>
      <c r="AA720" s="36"/>
      <c r="AB720" s="36"/>
      <c r="AC720" s="36"/>
    </row>
    <row r="721" spans="1:29" ht="24" customHeight="1">
      <c r="A721" s="81"/>
      <c r="B721" s="81"/>
      <c r="C721" s="81"/>
      <c r="D721" s="81"/>
      <c r="E721" s="80"/>
      <c r="F721" s="620"/>
      <c r="G721" s="620"/>
      <c r="H721" s="81"/>
      <c r="I721" s="81"/>
      <c r="J721" s="35"/>
      <c r="K721" s="36"/>
      <c r="L721" s="36"/>
      <c r="M721" s="36"/>
      <c r="N721" s="36"/>
      <c r="O721" s="36"/>
      <c r="P721" s="36"/>
      <c r="Q721" s="36"/>
      <c r="R721" s="36"/>
      <c r="S721" s="36"/>
      <c r="T721" s="36"/>
      <c r="U721" s="36"/>
      <c r="V721" s="36"/>
      <c r="W721" s="36"/>
      <c r="X721" s="36"/>
      <c r="Y721" s="36"/>
      <c r="Z721" s="36"/>
      <c r="AA721" s="36"/>
      <c r="AB721" s="36"/>
      <c r="AC721" s="36"/>
    </row>
    <row r="722" spans="1:29" ht="36" customHeight="1">
      <c r="A722" s="81"/>
      <c r="B722" s="81"/>
      <c r="C722" s="81"/>
      <c r="D722" s="81"/>
      <c r="E722" s="80"/>
      <c r="F722" s="620"/>
      <c r="G722" s="620"/>
      <c r="H722" s="81"/>
      <c r="I722" s="81"/>
      <c r="J722" s="35"/>
      <c r="K722" s="36"/>
      <c r="L722" s="36"/>
      <c r="M722" s="36"/>
      <c r="N722" s="36"/>
      <c r="O722" s="36"/>
      <c r="P722" s="36"/>
      <c r="Q722" s="36"/>
      <c r="R722" s="36"/>
      <c r="S722" s="36"/>
      <c r="T722" s="36"/>
      <c r="U722" s="36"/>
      <c r="V722" s="36"/>
      <c r="W722" s="36"/>
      <c r="X722" s="36"/>
      <c r="Y722" s="36"/>
      <c r="Z722" s="36"/>
      <c r="AA722" s="36"/>
      <c r="AB722" s="36"/>
      <c r="AC722" s="36"/>
    </row>
    <row r="723" spans="1:29" ht="48" customHeight="1">
      <c r="A723" s="81"/>
      <c r="B723" s="81"/>
      <c r="C723" s="81"/>
      <c r="D723" s="81"/>
      <c r="E723" s="80"/>
      <c r="F723" s="620"/>
      <c r="G723" s="620"/>
      <c r="H723" s="81"/>
      <c r="I723" s="81"/>
      <c r="J723" s="35"/>
      <c r="K723" s="36"/>
      <c r="L723" s="36"/>
      <c r="M723" s="36"/>
      <c r="N723" s="36"/>
      <c r="O723" s="36"/>
      <c r="P723" s="36"/>
      <c r="Q723" s="36"/>
      <c r="R723" s="36"/>
      <c r="S723" s="36"/>
      <c r="T723" s="36"/>
      <c r="U723" s="36"/>
      <c r="V723" s="36"/>
      <c r="W723" s="36"/>
      <c r="X723" s="36"/>
      <c r="Y723" s="36"/>
      <c r="Z723" s="36"/>
      <c r="AA723" s="36"/>
      <c r="AB723" s="36"/>
      <c r="AC723" s="36"/>
    </row>
    <row r="724" spans="1:29" ht="36" customHeight="1">
      <c r="A724" s="81"/>
      <c r="B724" s="81"/>
      <c r="C724" s="81"/>
      <c r="D724" s="81"/>
      <c r="E724" s="80"/>
      <c r="F724" s="620"/>
      <c r="G724" s="620"/>
      <c r="H724" s="81"/>
      <c r="I724" s="81"/>
      <c r="J724" s="35"/>
      <c r="K724" s="36"/>
      <c r="L724" s="36"/>
      <c r="M724" s="36"/>
      <c r="N724" s="36"/>
      <c r="O724" s="36"/>
      <c r="P724" s="36"/>
      <c r="Q724" s="36"/>
      <c r="R724" s="36"/>
      <c r="S724" s="36"/>
      <c r="T724" s="36"/>
      <c r="U724" s="36"/>
      <c r="V724" s="36"/>
      <c r="W724" s="36"/>
      <c r="X724" s="36"/>
      <c r="Y724" s="36"/>
      <c r="Z724" s="36"/>
      <c r="AA724" s="36"/>
      <c r="AB724" s="36"/>
      <c r="AC724" s="36"/>
    </row>
    <row r="725" spans="1:29" ht="24" customHeight="1">
      <c r="A725" s="81"/>
      <c r="B725" s="81"/>
      <c r="C725" s="81"/>
      <c r="D725" s="81"/>
      <c r="E725" s="80"/>
      <c r="F725" s="620"/>
      <c r="G725" s="620"/>
      <c r="H725" s="81"/>
      <c r="I725" s="81"/>
      <c r="J725" s="35"/>
      <c r="K725" s="36"/>
      <c r="L725" s="36"/>
      <c r="M725" s="36"/>
      <c r="N725" s="36"/>
      <c r="O725" s="36"/>
      <c r="P725" s="36"/>
      <c r="Q725" s="36"/>
      <c r="R725" s="36"/>
      <c r="S725" s="36"/>
      <c r="T725" s="36"/>
      <c r="U725" s="36"/>
      <c r="V725" s="36"/>
      <c r="W725" s="36"/>
      <c r="X725" s="36"/>
      <c r="Y725" s="36"/>
      <c r="Z725" s="36"/>
      <c r="AA725" s="36"/>
      <c r="AB725" s="36"/>
      <c r="AC725" s="36"/>
    </row>
    <row r="726" spans="1:29" ht="36" customHeight="1">
      <c r="A726" s="619"/>
      <c r="B726" s="81"/>
      <c r="C726" s="81"/>
      <c r="D726" s="81"/>
      <c r="E726" s="80"/>
      <c r="F726" s="620"/>
      <c r="G726" s="620"/>
      <c r="H726" s="81"/>
      <c r="I726" s="81"/>
      <c r="J726" s="35"/>
      <c r="K726" s="36"/>
      <c r="L726" s="36"/>
      <c r="M726" s="36"/>
      <c r="N726" s="36"/>
      <c r="O726" s="36"/>
      <c r="P726" s="36"/>
      <c r="Q726" s="36"/>
      <c r="R726" s="36"/>
      <c r="S726" s="36"/>
      <c r="T726" s="36"/>
      <c r="U726" s="36"/>
      <c r="V726" s="36"/>
      <c r="W726" s="36"/>
      <c r="X726" s="36"/>
      <c r="Y726" s="36"/>
      <c r="Z726" s="36"/>
      <c r="AA726" s="36"/>
      <c r="AB726" s="36"/>
      <c r="AC726" s="36"/>
    </row>
    <row r="727" spans="1:29" ht="24" customHeight="1">
      <c r="A727" s="619"/>
      <c r="B727" s="81"/>
      <c r="C727" s="81"/>
      <c r="D727" s="81"/>
      <c r="E727" s="80"/>
      <c r="F727" s="620"/>
      <c r="G727" s="620"/>
      <c r="H727" s="81"/>
      <c r="I727" s="81"/>
      <c r="J727" s="35"/>
      <c r="K727" s="36"/>
      <c r="L727" s="36"/>
      <c r="M727" s="36"/>
      <c r="N727" s="36"/>
      <c r="O727" s="36"/>
      <c r="P727" s="36"/>
      <c r="Q727" s="36"/>
      <c r="R727" s="36"/>
      <c r="S727" s="36"/>
      <c r="T727" s="36"/>
      <c r="U727" s="36"/>
      <c r="V727" s="36"/>
      <c r="W727" s="36"/>
      <c r="X727" s="36"/>
      <c r="Y727" s="36"/>
      <c r="Z727" s="36"/>
      <c r="AA727" s="36"/>
      <c r="AB727" s="36"/>
      <c r="AC727" s="36"/>
    </row>
    <row r="728" spans="1:29" ht="24" customHeight="1">
      <c r="A728" s="619"/>
      <c r="B728" s="81"/>
      <c r="C728" s="81"/>
      <c r="D728" s="81"/>
      <c r="E728" s="80"/>
      <c r="F728" s="620"/>
      <c r="G728" s="620"/>
      <c r="H728" s="81"/>
      <c r="I728" s="81"/>
      <c r="J728" s="35"/>
      <c r="K728" s="36"/>
      <c r="L728" s="36"/>
      <c r="M728" s="36"/>
      <c r="N728" s="36"/>
      <c r="O728" s="36"/>
      <c r="P728" s="36"/>
      <c r="Q728" s="36"/>
      <c r="R728" s="36"/>
      <c r="S728" s="36"/>
      <c r="T728" s="36"/>
      <c r="U728" s="36"/>
      <c r="V728" s="36"/>
      <c r="W728" s="36"/>
      <c r="X728" s="36"/>
      <c r="Y728" s="36"/>
      <c r="Z728" s="36"/>
      <c r="AA728" s="36"/>
      <c r="AB728" s="36"/>
      <c r="AC728" s="36"/>
    </row>
    <row r="729" spans="1:29" ht="36" customHeight="1">
      <c r="A729" s="619"/>
      <c r="B729" s="81"/>
      <c r="C729" s="81"/>
      <c r="D729" s="81"/>
      <c r="E729" s="80"/>
      <c r="F729" s="620"/>
      <c r="G729" s="620"/>
      <c r="H729" s="81"/>
      <c r="I729" s="81"/>
      <c r="J729" s="35"/>
      <c r="K729" s="36"/>
      <c r="L729" s="36"/>
      <c r="M729" s="36"/>
      <c r="N729" s="36"/>
      <c r="O729" s="36"/>
      <c r="P729" s="36"/>
      <c r="Q729" s="36"/>
      <c r="R729" s="36"/>
      <c r="S729" s="36"/>
      <c r="T729" s="36"/>
      <c r="U729" s="36"/>
      <c r="V729" s="36"/>
      <c r="W729" s="36"/>
      <c r="X729" s="36"/>
      <c r="Y729" s="36"/>
      <c r="Z729" s="36"/>
      <c r="AA729" s="36"/>
      <c r="AB729" s="36"/>
      <c r="AC729" s="36"/>
    </row>
    <row r="730" spans="1:29" ht="36" customHeight="1">
      <c r="A730" s="81"/>
      <c r="B730" s="81"/>
      <c r="C730" s="81"/>
      <c r="D730" s="81"/>
      <c r="E730" s="80"/>
      <c r="F730" s="620"/>
      <c r="G730" s="620"/>
      <c r="H730" s="81"/>
      <c r="I730" s="81"/>
      <c r="J730" s="35"/>
      <c r="K730" s="36"/>
      <c r="L730" s="36"/>
      <c r="M730" s="36"/>
      <c r="N730" s="36"/>
      <c r="O730" s="36"/>
      <c r="P730" s="36"/>
      <c r="Q730" s="36"/>
      <c r="R730" s="36"/>
      <c r="S730" s="36"/>
      <c r="T730" s="36"/>
      <c r="U730" s="36"/>
      <c r="V730" s="36"/>
      <c r="W730" s="36"/>
      <c r="X730" s="36"/>
      <c r="Y730" s="36"/>
      <c r="Z730" s="36"/>
      <c r="AA730" s="36"/>
      <c r="AB730" s="36"/>
      <c r="AC730" s="36"/>
    </row>
    <row r="731" spans="1:29" ht="48" customHeight="1">
      <c r="A731" s="81"/>
      <c r="B731" s="81"/>
      <c r="C731" s="81"/>
      <c r="D731" s="81"/>
      <c r="E731" s="80"/>
      <c r="F731" s="620"/>
      <c r="G731" s="620"/>
      <c r="H731" s="81"/>
      <c r="I731" s="81"/>
      <c r="J731" s="35"/>
      <c r="K731" s="36"/>
      <c r="L731" s="36"/>
      <c r="M731" s="36"/>
      <c r="N731" s="36"/>
      <c r="O731" s="36"/>
      <c r="P731" s="36"/>
      <c r="Q731" s="36"/>
      <c r="R731" s="36"/>
      <c r="S731" s="36"/>
      <c r="T731" s="36"/>
      <c r="U731" s="36"/>
      <c r="V731" s="36"/>
      <c r="W731" s="36"/>
      <c r="X731" s="36"/>
      <c r="Y731" s="36"/>
      <c r="Z731" s="36"/>
      <c r="AA731" s="36"/>
      <c r="AB731" s="36"/>
      <c r="AC731" s="36"/>
    </row>
    <row r="732" spans="1:29" ht="36" customHeight="1">
      <c r="A732" s="81"/>
      <c r="B732" s="81"/>
      <c r="C732" s="81"/>
      <c r="D732" s="81"/>
      <c r="E732" s="80"/>
      <c r="F732" s="620"/>
      <c r="G732" s="620"/>
      <c r="H732" s="81"/>
      <c r="I732" s="81"/>
      <c r="J732" s="35"/>
      <c r="K732" s="36"/>
      <c r="L732" s="36"/>
      <c r="M732" s="36"/>
      <c r="N732" s="36"/>
      <c r="O732" s="36"/>
      <c r="P732" s="36"/>
      <c r="Q732" s="36"/>
      <c r="R732" s="36"/>
      <c r="S732" s="36"/>
      <c r="T732" s="36"/>
      <c r="U732" s="36"/>
      <c r="V732" s="36"/>
      <c r="W732" s="36"/>
      <c r="X732" s="36"/>
      <c r="Y732" s="36"/>
      <c r="Z732" s="36"/>
      <c r="AA732" s="36"/>
      <c r="AB732" s="36"/>
      <c r="AC732" s="36"/>
    </row>
    <row r="733" spans="1:29" ht="36" customHeight="1">
      <c r="A733" s="81"/>
      <c r="B733" s="81"/>
      <c r="C733" s="81"/>
      <c r="D733" s="81"/>
      <c r="E733" s="80"/>
      <c r="F733" s="620"/>
      <c r="G733" s="620"/>
      <c r="H733" s="81"/>
      <c r="I733" s="81"/>
      <c r="J733" s="35"/>
      <c r="K733" s="36"/>
      <c r="L733" s="36"/>
      <c r="M733" s="36"/>
      <c r="N733" s="36"/>
      <c r="O733" s="36"/>
      <c r="P733" s="36"/>
      <c r="Q733" s="36"/>
      <c r="R733" s="36"/>
      <c r="S733" s="36"/>
      <c r="T733" s="36"/>
      <c r="U733" s="36"/>
      <c r="V733" s="36"/>
      <c r="W733" s="36"/>
      <c r="X733" s="36"/>
      <c r="Y733" s="36"/>
      <c r="Z733" s="36"/>
      <c r="AA733" s="36"/>
      <c r="AB733" s="36"/>
      <c r="AC733" s="36"/>
    </row>
    <row r="734" spans="1:29" ht="36" customHeight="1">
      <c r="A734" s="81"/>
      <c r="B734" s="81"/>
      <c r="C734" s="81"/>
      <c r="D734" s="81"/>
      <c r="E734" s="80"/>
      <c r="F734" s="620"/>
      <c r="G734" s="620"/>
      <c r="H734" s="81"/>
      <c r="I734" s="81"/>
      <c r="J734" s="35"/>
      <c r="K734" s="36"/>
      <c r="L734" s="36"/>
      <c r="M734" s="36"/>
      <c r="N734" s="36"/>
      <c r="O734" s="36"/>
      <c r="P734" s="36"/>
      <c r="Q734" s="36"/>
      <c r="R734" s="36"/>
      <c r="S734" s="36"/>
      <c r="T734" s="36"/>
      <c r="U734" s="36"/>
      <c r="V734" s="36"/>
      <c r="W734" s="36"/>
      <c r="X734" s="36"/>
      <c r="Y734" s="36"/>
      <c r="Z734" s="36"/>
      <c r="AA734" s="36"/>
      <c r="AB734" s="36"/>
      <c r="AC734" s="36"/>
    </row>
    <row r="735" spans="1:29" ht="48" customHeight="1">
      <c r="A735" s="81"/>
      <c r="B735" s="81"/>
      <c r="C735" s="81"/>
      <c r="D735" s="81"/>
      <c r="E735" s="80"/>
      <c r="F735" s="620"/>
      <c r="G735" s="620"/>
      <c r="H735" s="81"/>
      <c r="I735" s="81"/>
      <c r="J735" s="35"/>
      <c r="K735" s="36"/>
      <c r="L735" s="36"/>
      <c r="M735" s="36"/>
      <c r="N735" s="36"/>
      <c r="O735" s="36"/>
      <c r="P735" s="36"/>
      <c r="Q735" s="36"/>
      <c r="R735" s="36"/>
      <c r="S735" s="36"/>
      <c r="T735" s="36"/>
      <c r="U735" s="36"/>
      <c r="V735" s="36"/>
      <c r="W735" s="36"/>
      <c r="X735" s="36"/>
      <c r="Y735" s="36"/>
      <c r="Z735" s="36"/>
      <c r="AA735" s="36"/>
      <c r="AB735" s="36"/>
      <c r="AC735" s="36"/>
    </row>
    <row r="736" spans="1:29" ht="36" customHeight="1">
      <c r="A736" s="81"/>
      <c r="B736" s="81"/>
      <c r="C736" s="81"/>
      <c r="D736" s="81"/>
      <c r="E736" s="80"/>
      <c r="F736" s="620"/>
      <c r="G736" s="620"/>
      <c r="H736" s="81"/>
      <c r="I736" s="81"/>
      <c r="J736" s="35"/>
      <c r="K736" s="36"/>
      <c r="L736" s="36"/>
      <c r="M736" s="36"/>
      <c r="N736" s="36"/>
      <c r="O736" s="36"/>
      <c r="P736" s="36"/>
      <c r="Q736" s="36"/>
      <c r="R736" s="36"/>
      <c r="S736" s="36"/>
      <c r="T736" s="36"/>
      <c r="U736" s="36"/>
      <c r="V736" s="36"/>
      <c r="W736" s="36"/>
      <c r="X736" s="36"/>
      <c r="Y736" s="36"/>
      <c r="Z736" s="36"/>
      <c r="AA736" s="36"/>
      <c r="AB736" s="36"/>
      <c r="AC736" s="36"/>
    </row>
    <row r="737" spans="1:29" ht="36" customHeight="1">
      <c r="A737" s="81"/>
      <c r="B737" s="81"/>
      <c r="C737" s="81"/>
      <c r="D737" s="81"/>
      <c r="E737" s="80"/>
      <c r="F737" s="620"/>
      <c r="G737" s="620"/>
      <c r="H737" s="81"/>
      <c r="I737" s="81"/>
      <c r="J737" s="35"/>
      <c r="K737" s="36"/>
      <c r="L737" s="36"/>
      <c r="M737" s="36"/>
      <c r="N737" s="36"/>
      <c r="O737" s="36"/>
      <c r="P737" s="36"/>
      <c r="Q737" s="36"/>
      <c r="R737" s="36"/>
      <c r="S737" s="36"/>
      <c r="T737" s="36"/>
      <c r="U737" s="36"/>
      <c r="V737" s="36"/>
      <c r="W737" s="36"/>
      <c r="X737" s="36"/>
      <c r="Y737" s="36"/>
      <c r="Z737" s="36"/>
      <c r="AA737" s="36"/>
      <c r="AB737" s="36"/>
      <c r="AC737" s="36"/>
    </row>
    <row r="738" spans="1:29" ht="36" customHeight="1">
      <c r="A738" s="81"/>
      <c r="B738" s="81"/>
      <c r="C738" s="81"/>
      <c r="D738" s="81"/>
      <c r="E738" s="80"/>
      <c r="F738" s="620"/>
      <c r="G738" s="620"/>
      <c r="H738" s="81"/>
      <c r="I738" s="81"/>
      <c r="J738" s="35"/>
      <c r="K738" s="36"/>
      <c r="L738" s="36"/>
      <c r="M738" s="36"/>
      <c r="N738" s="36"/>
      <c r="O738" s="36"/>
      <c r="P738" s="36"/>
      <c r="Q738" s="36"/>
      <c r="R738" s="36"/>
      <c r="S738" s="36"/>
      <c r="T738" s="36"/>
      <c r="U738" s="36"/>
      <c r="V738" s="36"/>
      <c r="W738" s="36"/>
      <c r="X738" s="36"/>
      <c r="Y738" s="36"/>
      <c r="Z738" s="36"/>
      <c r="AA738" s="36"/>
      <c r="AB738" s="36"/>
      <c r="AC738" s="36"/>
    </row>
    <row r="739" spans="1:29" ht="36" customHeight="1">
      <c r="A739" s="81"/>
      <c r="B739" s="81"/>
      <c r="C739" s="81"/>
      <c r="D739" s="81"/>
      <c r="E739" s="80"/>
      <c r="F739" s="620"/>
      <c r="G739" s="620"/>
      <c r="H739" s="81"/>
      <c r="I739" s="81"/>
      <c r="J739" s="35"/>
      <c r="K739" s="36"/>
      <c r="L739" s="36"/>
      <c r="M739" s="36"/>
      <c r="N739" s="36"/>
      <c r="O739" s="36"/>
      <c r="P739" s="36"/>
      <c r="Q739" s="36"/>
      <c r="R739" s="36"/>
      <c r="S739" s="36"/>
      <c r="T739" s="36"/>
      <c r="U739" s="36"/>
      <c r="V739" s="36"/>
      <c r="W739" s="36"/>
      <c r="X739" s="36"/>
      <c r="Y739" s="36"/>
      <c r="Z739" s="36"/>
      <c r="AA739" s="36"/>
      <c r="AB739" s="36"/>
      <c r="AC739" s="36"/>
    </row>
    <row r="740" spans="1:29" ht="24" customHeight="1">
      <c r="A740" s="81"/>
      <c r="B740" s="81"/>
      <c r="C740" s="81"/>
      <c r="D740" s="81"/>
      <c r="E740" s="80"/>
      <c r="F740" s="620"/>
      <c r="G740" s="620"/>
      <c r="H740" s="81"/>
      <c r="I740" s="81"/>
      <c r="J740" s="35"/>
      <c r="K740" s="36"/>
      <c r="L740" s="36"/>
      <c r="M740" s="36"/>
      <c r="N740" s="36"/>
      <c r="O740" s="36"/>
      <c r="P740" s="36"/>
      <c r="Q740" s="36"/>
      <c r="R740" s="36"/>
      <c r="S740" s="36"/>
      <c r="T740" s="36"/>
      <c r="U740" s="36"/>
      <c r="V740" s="36"/>
      <c r="W740" s="36"/>
      <c r="X740" s="36"/>
      <c r="Y740" s="36"/>
      <c r="Z740" s="36"/>
      <c r="AA740" s="36"/>
      <c r="AB740" s="36"/>
      <c r="AC740" s="36"/>
    </row>
    <row r="741" spans="1:29" ht="24" customHeight="1">
      <c r="A741" s="81"/>
      <c r="B741" s="81"/>
      <c r="C741" s="81"/>
      <c r="D741" s="81"/>
      <c r="E741" s="80"/>
      <c r="F741" s="620"/>
      <c r="G741" s="620"/>
      <c r="H741" s="81"/>
      <c r="I741" s="81"/>
      <c r="J741" s="35"/>
      <c r="K741" s="36"/>
      <c r="L741" s="36"/>
      <c r="M741" s="36"/>
      <c r="N741" s="36"/>
      <c r="O741" s="36"/>
      <c r="P741" s="36"/>
      <c r="Q741" s="36"/>
      <c r="R741" s="36"/>
      <c r="S741" s="36"/>
      <c r="T741" s="36"/>
      <c r="U741" s="36"/>
      <c r="V741" s="36"/>
      <c r="W741" s="36"/>
      <c r="X741" s="36"/>
      <c r="Y741" s="36"/>
      <c r="Z741" s="36"/>
      <c r="AA741" s="36"/>
      <c r="AB741" s="36"/>
      <c r="AC741" s="36"/>
    </row>
    <row r="742" spans="1:29" ht="36" customHeight="1">
      <c r="A742" s="81"/>
      <c r="B742" s="81"/>
      <c r="C742" s="81"/>
      <c r="D742" s="81"/>
      <c r="E742" s="80"/>
      <c r="F742" s="620"/>
      <c r="G742" s="620"/>
      <c r="H742" s="81"/>
      <c r="I742" s="81"/>
      <c r="J742" s="35"/>
      <c r="K742" s="36"/>
      <c r="L742" s="36"/>
      <c r="M742" s="36"/>
      <c r="N742" s="36"/>
      <c r="O742" s="36"/>
      <c r="P742" s="36"/>
      <c r="Q742" s="36"/>
      <c r="R742" s="36"/>
      <c r="S742" s="36"/>
      <c r="T742" s="36"/>
      <c r="U742" s="36"/>
      <c r="V742" s="36"/>
      <c r="W742" s="36"/>
      <c r="X742" s="36"/>
      <c r="Y742" s="36"/>
      <c r="Z742" s="36"/>
      <c r="AA742" s="36"/>
      <c r="AB742" s="36"/>
      <c r="AC742" s="36"/>
    </row>
    <row r="743" spans="1:29" ht="48" customHeight="1">
      <c r="A743" s="81"/>
      <c r="B743" s="81"/>
      <c r="C743" s="81"/>
      <c r="D743" s="81"/>
      <c r="E743" s="80"/>
      <c r="F743" s="620"/>
      <c r="G743" s="620"/>
      <c r="H743" s="81"/>
      <c r="I743" s="81"/>
      <c r="J743" s="35"/>
      <c r="K743" s="36"/>
      <c r="L743" s="36"/>
      <c r="M743" s="36"/>
      <c r="N743" s="36"/>
      <c r="O743" s="36"/>
      <c r="P743" s="36"/>
      <c r="Q743" s="36"/>
      <c r="R743" s="36"/>
      <c r="S743" s="36"/>
      <c r="T743" s="36"/>
      <c r="U743" s="36"/>
      <c r="V743" s="36"/>
      <c r="W743" s="36"/>
      <c r="X743" s="36"/>
      <c r="Y743" s="36"/>
      <c r="Z743" s="36"/>
      <c r="AA743" s="36"/>
      <c r="AB743" s="36"/>
      <c r="AC743" s="36"/>
    </row>
    <row r="744" spans="1:29" ht="24" customHeight="1">
      <c r="A744" s="81"/>
      <c r="B744" s="81"/>
      <c r="C744" s="81"/>
      <c r="D744" s="81"/>
      <c r="E744" s="80"/>
      <c r="F744" s="620"/>
      <c r="G744" s="620"/>
      <c r="H744" s="81"/>
      <c r="I744" s="81"/>
      <c r="J744" s="35"/>
      <c r="K744" s="36"/>
      <c r="L744" s="36"/>
      <c r="M744" s="36"/>
      <c r="N744" s="36"/>
      <c r="O744" s="36"/>
      <c r="P744" s="36"/>
      <c r="Q744" s="36"/>
      <c r="R744" s="36"/>
      <c r="S744" s="36"/>
      <c r="T744" s="36"/>
      <c r="U744" s="36"/>
      <c r="V744" s="36"/>
      <c r="W744" s="36"/>
      <c r="X744" s="36"/>
      <c r="Y744" s="36"/>
      <c r="Z744" s="36"/>
      <c r="AA744" s="36"/>
      <c r="AB744" s="36"/>
      <c r="AC744" s="36"/>
    </row>
    <row r="745" spans="1:29" ht="24" customHeight="1">
      <c r="A745" s="81"/>
      <c r="B745" s="81"/>
      <c r="C745" s="81"/>
      <c r="D745" s="81"/>
      <c r="E745" s="80"/>
      <c r="F745" s="620"/>
      <c r="G745" s="620"/>
      <c r="H745" s="81"/>
      <c r="I745" s="81"/>
      <c r="J745" s="35"/>
      <c r="K745" s="36"/>
      <c r="L745" s="36"/>
      <c r="M745" s="36"/>
      <c r="N745" s="36"/>
      <c r="O745" s="36"/>
      <c r="P745" s="36"/>
      <c r="Q745" s="36"/>
      <c r="R745" s="36"/>
      <c r="S745" s="36"/>
      <c r="T745" s="36"/>
      <c r="U745" s="36"/>
      <c r="V745" s="36"/>
      <c r="W745" s="36"/>
      <c r="X745" s="36"/>
      <c r="Y745" s="36"/>
      <c r="Z745" s="36"/>
      <c r="AA745" s="36"/>
      <c r="AB745" s="36"/>
      <c r="AC745" s="36"/>
    </row>
    <row r="746" spans="1:29" ht="48" customHeight="1">
      <c r="A746" s="81"/>
      <c r="B746" s="81"/>
      <c r="C746" s="81"/>
      <c r="D746" s="81"/>
      <c r="E746" s="80"/>
      <c r="F746" s="620"/>
      <c r="G746" s="620"/>
      <c r="H746" s="81"/>
      <c r="I746" s="81"/>
      <c r="J746" s="35"/>
      <c r="K746" s="36"/>
      <c r="L746" s="36"/>
      <c r="M746" s="36"/>
      <c r="N746" s="36"/>
      <c r="O746" s="36"/>
      <c r="P746" s="36"/>
      <c r="Q746" s="36"/>
      <c r="R746" s="36"/>
      <c r="S746" s="36"/>
      <c r="T746" s="36"/>
      <c r="U746" s="36"/>
      <c r="V746" s="36"/>
      <c r="W746" s="36"/>
      <c r="X746" s="36"/>
      <c r="Y746" s="36"/>
      <c r="Z746" s="36"/>
      <c r="AA746" s="36"/>
      <c r="AB746" s="36"/>
      <c r="AC746" s="36"/>
    </row>
    <row r="747" spans="1:29" ht="24" customHeight="1">
      <c r="A747" s="81"/>
      <c r="B747" s="81"/>
      <c r="C747" s="81"/>
      <c r="D747" s="81"/>
      <c r="E747" s="80"/>
      <c r="F747" s="620"/>
      <c r="G747" s="620"/>
      <c r="H747" s="81"/>
      <c r="I747" s="81"/>
      <c r="J747" s="35"/>
      <c r="K747" s="36"/>
      <c r="L747" s="36"/>
      <c r="M747" s="36"/>
      <c r="N747" s="36"/>
      <c r="O747" s="36"/>
      <c r="P747" s="36"/>
      <c r="Q747" s="36"/>
      <c r="R747" s="36"/>
      <c r="S747" s="36"/>
      <c r="T747" s="36"/>
      <c r="U747" s="36"/>
      <c r="V747" s="36"/>
      <c r="W747" s="36"/>
      <c r="X747" s="36"/>
      <c r="Y747" s="36"/>
      <c r="Z747" s="36"/>
      <c r="AA747" s="36"/>
      <c r="AB747" s="36"/>
      <c r="AC747" s="36"/>
    </row>
    <row r="748" spans="1:29" ht="24" customHeight="1">
      <c r="A748" s="81"/>
      <c r="B748" s="81"/>
      <c r="C748" s="81"/>
      <c r="D748" s="81"/>
      <c r="E748" s="80"/>
      <c r="F748" s="620"/>
      <c r="G748" s="620"/>
      <c r="H748" s="81"/>
      <c r="I748" s="81"/>
      <c r="J748" s="35"/>
      <c r="K748" s="36"/>
      <c r="L748" s="36"/>
      <c r="M748" s="36"/>
      <c r="N748" s="36"/>
      <c r="O748" s="36"/>
      <c r="P748" s="36"/>
      <c r="Q748" s="36"/>
      <c r="R748" s="36"/>
      <c r="S748" s="36"/>
      <c r="T748" s="36"/>
      <c r="U748" s="36"/>
      <c r="V748" s="36"/>
      <c r="W748" s="36"/>
      <c r="X748" s="36"/>
      <c r="Y748" s="36"/>
      <c r="Z748" s="36"/>
      <c r="AA748" s="36"/>
      <c r="AB748" s="36"/>
      <c r="AC748" s="36"/>
    </row>
    <row r="749" spans="1:29" ht="36" customHeight="1">
      <c r="A749" s="81"/>
      <c r="B749" s="81"/>
      <c r="C749" s="81"/>
      <c r="D749" s="81"/>
      <c r="E749" s="80"/>
      <c r="F749" s="620"/>
      <c r="G749" s="620"/>
      <c r="H749" s="81"/>
      <c r="I749" s="81"/>
      <c r="J749" s="35"/>
      <c r="K749" s="36"/>
      <c r="L749" s="36"/>
      <c r="M749" s="36"/>
      <c r="N749" s="36"/>
      <c r="O749" s="36"/>
      <c r="P749" s="36"/>
      <c r="Q749" s="36"/>
      <c r="R749" s="36"/>
      <c r="S749" s="36"/>
      <c r="T749" s="36"/>
      <c r="U749" s="36"/>
      <c r="V749" s="36"/>
      <c r="W749" s="36"/>
      <c r="X749" s="36"/>
      <c r="Y749" s="36"/>
      <c r="Z749" s="36"/>
      <c r="AA749" s="36"/>
      <c r="AB749" s="36"/>
      <c r="AC749" s="36"/>
    </row>
    <row r="750" spans="1:29" ht="36" customHeight="1">
      <c r="A750" s="81"/>
      <c r="B750" s="81"/>
      <c r="C750" s="81"/>
      <c r="D750" s="81"/>
      <c r="E750" s="80"/>
      <c r="F750" s="620"/>
      <c r="G750" s="620"/>
      <c r="H750" s="81"/>
      <c r="I750" s="81"/>
      <c r="J750" s="35"/>
      <c r="K750" s="36"/>
      <c r="L750" s="36"/>
      <c r="M750" s="36"/>
      <c r="N750" s="36"/>
      <c r="O750" s="36"/>
      <c r="P750" s="36"/>
      <c r="Q750" s="36"/>
      <c r="R750" s="36"/>
      <c r="S750" s="36"/>
      <c r="T750" s="36"/>
      <c r="U750" s="36"/>
      <c r="V750" s="36"/>
      <c r="W750" s="36"/>
      <c r="X750" s="36"/>
      <c r="Y750" s="36"/>
      <c r="Z750" s="36"/>
      <c r="AA750" s="36"/>
      <c r="AB750" s="36"/>
      <c r="AC750" s="36"/>
    </row>
    <row r="751" spans="1:29" ht="84" customHeight="1">
      <c r="A751" s="100"/>
      <c r="B751" s="100"/>
      <c r="C751" s="100"/>
      <c r="D751" s="100"/>
      <c r="E751" s="99"/>
      <c r="F751" s="627"/>
      <c r="G751" s="627"/>
      <c r="H751" s="100"/>
      <c r="I751" s="100"/>
      <c r="J751" s="35"/>
      <c r="K751" s="36"/>
      <c r="L751" s="36"/>
      <c r="M751" s="36"/>
      <c r="N751" s="36"/>
      <c r="O751" s="36"/>
      <c r="P751" s="36"/>
      <c r="Q751" s="36"/>
      <c r="R751" s="36"/>
      <c r="S751" s="36"/>
      <c r="T751" s="36"/>
      <c r="U751" s="36"/>
      <c r="V751" s="36"/>
      <c r="W751" s="36"/>
      <c r="X751" s="36"/>
      <c r="Y751" s="36"/>
      <c r="Z751" s="36"/>
      <c r="AA751" s="36"/>
      <c r="AB751" s="36"/>
      <c r="AC751" s="36"/>
    </row>
    <row r="752" spans="1:29" ht="180" customHeight="1">
      <c r="A752" s="100"/>
      <c r="B752" s="100"/>
      <c r="C752" s="100"/>
      <c r="D752" s="100"/>
      <c r="E752" s="99"/>
      <c r="F752" s="627"/>
      <c r="G752" s="627"/>
      <c r="H752" s="100"/>
      <c r="I752" s="100"/>
      <c r="J752" s="35"/>
      <c r="K752" s="36"/>
      <c r="L752" s="36"/>
      <c r="M752" s="36"/>
      <c r="N752" s="36"/>
      <c r="O752" s="36"/>
      <c r="P752" s="36"/>
      <c r="Q752" s="36"/>
      <c r="R752" s="36"/>
      <c r="S752" s="36"/>
      <c r="T752" s="36"/>
      <c r="U752" s="36"/>
      <c r="V752" s="36"/>
      <c r="W752" s="36"/>
      <c r="X752" s="36"/>
      <c r="Y752" s="36"/>
      <c r="Z752" s="36"/>
      <c r="AA752" s="36"/>
      <c r="AB752" s="36"/>
      <c r="AC752" s="36"/>
    </row>
    <row r="753" spans="1:29" ht="24" customHeight="1">
      <c r="A753" s="81"/>
      <c r="B753" s="81"/>
      <c r="C753" s="81"/>
      <c r="D753" s="81"/>
      <c r="E753" s="80"/>
      <c r="F753" s="620"/>
      <c r="G753" s="620"/>
      <c r="H753" s="81"/>
      <c r="I753" s="81"/>
      <c r="J753" s="35"/>
      <c r="K753" s="36"/>
      <c r="L753" s="36"/>
      <c r="M753" s="36"/>
      <c r="N753" s="36"/>
      <c r="O753" s="36"/>
      <c r="P753" s="36"/>
      <c r="Q753" s="36"/>
      <c r="R753" s="36"/>
      <c r="S753" s="36"/>
      <c r="T753" s="36"/>
      <c r="U753" s="36"/>
      <c r="V753" s="36"/>
      <c r="W753" s="36"/>
      <c r="X753" s="36"/>
      <c r="Y753" s="36"/>
      <c r="Z753" s="36"/>
      <c r="AA753" s="36"/>
      <c r="AB753" s="36"/>
      <c r="AC753" s="36"/>
    </row>
    <row r="754" spans="1:29" ht="36" customHeight="1">
      <c r="A754" s="81"/>
      <c r="B754" s="95"/>
      <c r="C754" s="81"/>
      <c r="D754" s="81"/>
      <c r="E754" s="80"/>
      <c r="F754" s="620"/>
      <c r="G754" s="620"/>
      <c r="H754" s="81"/>
      <c r="I754" s="81"/>
      <c r="J754" s="35"/>
      <c r="K754" s="36"/>
      <c r="L754" s="36"/>
      <c r="M754" s="36"/>
      <c r="N754" s="36"/>
      <c r="O754" s="36"/>
      <c r="P754" s="36"/>
      <c r="Q754" s="36"/>
      <c r="R754" s="36"/>
      <c r="S754" s="36"/>
      <c r="T754" s="36"/>
      <c r="U754" s="36"/>
      <c r="V754" s="36"/>
      <c r="W754" s="36"/>
      <c r="X754" s="36"/>
      <c r="Y754" s="36"/>
      <c r="Z754" s="36"/>
      <c r="AA754" s="36"/>
      <c r="AB754" s="36"/>
      <c r="AC754" s="36"/>
    </row>
    <row r="755" spans="1:29" ht="24" customHeight="1">
      <c r="A755" s="81"/>
      <c r="B755" s="95"/>
      <c r="C755" s="81"/>
      <c r="D755" s="81"/>
      <c r="E755" s="80"/>
      <c r="F755" s="620"/>
      <c r="G755" s="620"/>
      <c r="H755" s="81"/>
      <c r="I755" s="81"/>
      <c r="J755" s="35"/>
      <c r="K755" s="36"/>
      <c r="L755" s="36"/>
      <c r="M755" s="36"/>
      <c r="N755" s="36"/>
      <c r="O755" s="36"/>
      <c r="P755" s="36"/>
      <c r="Q755" s="36"/>
      <c r="R755" s="36"/>
      <c r="S755" s="36"/>
      <c r="T755" s="36"/>
      <c r="U755" s="36"/>
      <c r="V755" s="36"/>
      <c r="W755" s="36"/>
      <c r="X755" s="36"/>
      <c r="Y755" s="36"/>
      <c r="Z755" s="36"/>
      <c r="AA755" s="36"/>
      <c r="AB755" s="36"/>
      <c r="AC755" s="36"/>
    </row>
    <row r="756" spans="1:29" ht="36" customHeight="1">
      <c r="A756" s="81"/>
      <c r="B756" s="81"/>
      <c r="C756" s="81"/>
      <c r="D756" s="81"/>
      <c r="E756" s="80"/>
      <c r="F756" s="620"/>
      <c r="G756" s="620"/>
      <c r="H756" s="81"/>
      <c r="I756" s="81"/>
      <c r="J756" s="35"/>
      <c r="K756" s="36"/>
      <c r="L756" s="36"/>
      <c r="M756" s="36"/>
      <c r="N756" s="36"/>
      <c r="O756" s="36"/>
      <c r="P756" s="36"/>
      <c r="Q756" s="36"/>
      <c r="R756" s="36"/>
      <c r="S756" s="36"/>
      <c r="T756" s="36"/>
      <c r="U756" s="36"/>
      <c r="V756" s="36"/>
      <c r="W756" s="36"/>
      <c r="X756" s="36"/>
      <c r="Y756" s="36"/>
      <c r="Z756" s="36"/>
      <c r="AA756" s="36"/>
      <c r="AB756" s="36"/>
      <c r="AC756" s="36"/>
    </row>
    <row r="757" spans="1:29" ht="24" customHeight="1">
      <c r="A757" s="81"/>
      <c r="B757" s="95"/>
      <c r="C757" s="81"/>
      <c r="D757" s="81"/>
      <c r="E757" s="80"/>
      <c r="F757" s="620"/>
      <c r="G757" s="620"/>
      <c r="H757" s="81"/>
      <c r="I757" s="81"/>
      <c r="J757" s="35"/>
      <c r="K757" s="36"/>
      <c r="L757" s="36"/>
      <c r="M757" s="36"/>
      <c r="N757" s="36"/>
      <c r="O757" s="36"/>
      <c r="P757" s="36"/>
      <c r="Q757" s="36"/>
      <c r="R757" s="36"/>
      <c r="S757" s="36"/>
      <c r="T757" s="36"/>
      <c r="U757" s="36"/>
      <c r="V757" s="36"/>
      <c r="W757" s="36"/>
      <c r="X757" s="36"/>
      <c r="Y757" s="36"/>
      <c r="Z757" s="36"/>
      <c r="AA757" s="36"/>
      <c r="AB757" s="36"/>
      <c r="AC757" s="36"/>
    </row>
    <row r="758" spans="1:29" ht="36" customHeight="1">
      <c r="A758" s="619"/>
      <c r="B758" s="81"/>
      <c r="C758" s="81"/>
      <c r="D758" s="81"/>
      <c r="E758" s="80"/>
      <c r="F758" s="620"/>
      <c r="G758" s="620"/>
      <c r="H758" s="94"/>
      <c r="I758" s="81"/>
      <c r="J758" s="35"/>
      <c r="K758" s="36"/>
      <c r="L758" s="36"/>
      <c r="M758" s="36"/>
      <c r="N758" s="36"/>
      <c r="O758" s="36"/>
      <c r="P758" s="36"/>
      <c r="Q758" s="36"/>
      <c r="R758" s="36"/>
      <c r="S758" s="36"/>
      <c r="T758" s="36"/>
      <c r="U758" s="36"/>
      <c r="V758" s="36"/>
      <c r="W758" s="36"/>
      <c r="X758" s="36"/>
      <c r="Y758" s="36"/>
      <c r="Z758" s="36"/>
      <c r="AA758" s="36"/>
      <c r="AB758" s="36"/>
      <c r="AC758" s="36"/>
    </row>
    <row r="759" spans="1:29" ht="24" customHeight="1">
      <c r="A759" s="81"/>
      <c r="B759" s="94"/>
      <c r="C759" s="81"/>
      <c r="D759" s="81"/>
      <c r="E759" s="80"/>
      <c r="F759" s="620"/>
      <c r="G759" s="620"/>
      <c r="H759" s="94"/>
      <c r="I759" s="81"/>
      <c r="J759" s="35"/>
      <c r="K759" s="36"/>
      <c r="L759" s="36"/>
      <c r="M759" s="36"/>
      <c r="N759" s="36"/>
      <c r="O759" s="36"/>
      <c r="P759" s="36"/>
      <c r="Q759" s="36"/>
      <c r="R759" s="36"/>
      <c r="S759" s="36"/>
      <c r="T759" s="36"/>
      <c r="U759" s="36"/>
      <c r="V759" s="36"/>
      <c r="W759" s="36"/>
      <c r="X759" s="36"/>
      <c r="Y759" s="36"/>
      <c r="Z759" s="36"/>
      <c r="AA759" s="36"/>
      <c r="AB759" s="36"/>
      <c r="AC759" s="36"/>
    </row>
    <row r="760" spans="1:29" ht="24" customHeight="1">
      <c r="A760" s="81"/>
      <c r="B760" s="81"/>
      <c r="C760" s="81"/>
      <c r="D760" s="81"/>
      <c r="E760" s="80"/>
      <c r="F760" s="620"/>
      <c r="G760" s="620"/>
      <c r="H760" s="94"/>
      <c r="I760" s="81"/>
      <c r="J760" s="35"/>
      <c r="K760" s="36"/>
      <c r="L760" s="36"/>
      <c r="M760" s="36"/>
      <c r="N760" s="36"/>
      <c r="O760" s="36"/>
      <c r="P760" s="36"/>
      <c r="Q760" s="36"/>
      <c r="R760" s="36"/>
      <c r="S760" s="36"/>
      <c r="T760" s="36"/>
      <c r="U760" s="36"/>
      <c r="V760" s="36"/>
      <c r="W760" s="36"/>
      <c r="X760" s="36"/>
      <c r="Y760" s="36"/>
      <c r="Z760" s="36"/>
      <c r="AA760" s="36"/>
      <c r="AB760" s="36"/>
      <c r="AC760" s="36"/>
    </row>
    <row r="761" spans="1:29" ht="48" customHeight="1">
      <c r="A761" s="81"/>
      <c r="B761" s="81"/>
      <c r="C761" s="81"/>
      <c r="D761" s="81"/>
      <c r="E761" s="80"/>
      <c r="F761" s="620"/>
      <c r="G761" s="620"/>
      <c r="H761" s="94"/>
      <c r="I761" s="81"/>
      <c r="J761" s="35"/>
      <c r="K761" s="36"/>
      <c r="L761" s="36"/>
      <c r="M761" s="36"/>
      <c r="N761" s="36"/>
      <c r="O761" s="36"/>
      <c r="P761" s="36"/>
      <c r="Q761" s="36"/>
      <c r="R761" s="36"/>
      <c r="S761" s="36"/>
      <c r="T761" s="36"/>
      <c r="U761" s="36"/>
      <c r="V761" s="36"/>
      <c r="W761" s="36"/>
      <c r="X761" s="36"/>
      <c r="Y761" s="36"/>
      <c r="Z761" s="36"/>
      <c r="AA761" s="36"/>
      <c r="AB761" s="36"/>
      <c r="AC761" s="36"/>
    </row>
    <row r="762" spans="1:29" ht="48" customHeight="1">
      <c r="A762" s="81"/>
      <c r="B762" s="94"/>
      <c r="C762" s="81"/>
      <c r="D762" s="81"/>
      <c r="E762" s="80"/>
      <c r="F762" s="620"/>
      <c r="G762" s="620"/>
      <c r="H762" s="94"/>
      <c r="I762" s="81"/>
      <c r="J762" s="35"/>
      <c r="K762" s="36"/>
      <c r="L762" s="36"/>
      <c r="M762" s="36"/>
      <c r="N762" s="36"/>
      <c r="O762" s="36"/>
      <c r="P762" s="36"/>
      <c r="Q762" s="36"/>
      <c r="R762" s="36"/>
      <c r="S762" s="36"/>
      <c r="T762" s="36"/>
      <c r="U762" s="36"/>
      <c r="V762" s="36"/>
      <c r="W762" s="36"/>
      <c r="X762" s="36"/>
      <c r="Y762" s="36"/>
      <c r="Z762" s="36"/>
      <c r="AA762" s="36"/>
      <c r="AB762" s="36"/>
      <c r="AC762" s="36"/>
    </row>
    <row r="763" spans="1:29" ht="24" customHeight="1">
      <c r="A763" s="81"/>
      <c r="B763" s="94"/>
      <c r="C763" s="81"/>
      <c r="D763" s="81"/>
      <c r="E763" s="80"/>
      <c r="F763" s="620"/>
      <c r="G763" s="620"/>
      <c r="H763" s="94"/>
      <c r="I763" s="81"/>
      <c r="J763" s="35"/>
      <c r="K763" s="36"/>
      <c r="L763" s="36"/>
      <c r="M763" s="36"/>
      <c r="N763" s="36"/>
      <c r="O763" s="36"/>
      <c r="P763" s="36"/>
      <c r="Q763" s="36"/>
      <c r="R763" s="36"/>
      <c r="S763" s="36"/>
      <c r="T763" s="36"/>
      <c r="U763" s="36"/>
      <c r="V763" s="36"/>
      <c r="W763" s="36"/>
      <c r="X763" s="36"/>
      <c r="Y763" s="36"/>
      <c r="Z763" s="36"/>
      <c r="AA763" s="36"/>
      <c r="AB763" s="36"/>
      <c r="AC763" s="36"/>
    </row>
    <row r="764" spans="1:29" ht="36" customHeight="1">
      <c r="A764" s="81"/>
      <c r="B764" s="81"/>
      <c r="C764" s="81"/>
      <c r="D764" s="81"/>
      <c r="E764" s="80"/>
      <c r="F764" s="620"/>
      <c r="G764" s="620"/>
      <c r="H764" s="94"/>
      <c r="I764" s="81"/>
      <c r="J764" s="35"/>
      <c r="K764" s="36"/>
      <c r="L764" s="36"/>
      <c r="M764" s="36"/>
      <c r="N764" s="36"/>
      <c r="O764" s="36"/>
      <c r="P764" s="36"/>
      <c r="Q764" s="36"/>
      <c r="R764" s="36"/>
      <c r="S764" s="36"/>
      <c r="T764" s="36"/>
      <c r="U764" s="36"/>
      <c r="V764" s="36"/>
      <c r="W764" s="36"/>
      <c r="X764" s="36"/>
      <c r="Y764" s="36"/>
      <c r="Z764" s="36"/>
      <c r="AA764" s="36"/>
      <c r="AB764" s="36"/>
      <c r="AC764" s="36"/>
    </row>
    <row r="765" spans="1:29" ht="24" customHeight="1">
      <c r="A765" s="81"/>
      <c r="B765" s="81"/>
      <c r="C765" s="81"/>
      <c r="D765" s="81"/>
      <c r="E765" s="80"/>
      <c r="F765" s="620"/>
      <c r="G765" s="620"/>
      <c r="H765" s="94"/>
      <c r="I765" s="81"/>
      <c r="J765" s="35"/>
      <c r="K765" s="36"/>
      <c r="L765" s="36"/>
      <c r="M765" s="36"/>
      <c r="N765" s="36"/>
      <c r="O765" s="36"/>
      <c r="P765" s="36"/>
      <c r="Q765" s="36"/>
      <c r="R765" s="36"/>
      <c r="S765" s="36"/>
      <c r="T765" s="36"/>
      <c r="U765" s="36"/>
      <c r="V765" s="36"/>
      <c r="W765" s="36"/>
      <c r="X765" s="36"/>
      <c r="Y765" s="36"/>
      <c r="Z765" s="36"/>
      <c r="AA765" s="36"/>
      <c r="AB765" s="36"/>
      <c r="AC765" s="36"/>
    </row>
    <row r="766" spans="1:29" ht="24" customHeight="1">
      <c r="A766" s="81"/>
      <c r="B766" s="81"/>
      <c r="C766" s="81"/>
      <c r="D766" s="81"/>
      <c r="E766" s="80"/>
      <c r="F766" s="620"/>
      <c r="G766" s="620"/>
      <c r="H766" s="94"/>
      <c r="I766" s="81"/>
      <c r="J766" s="35"/>
      <c r="K766" s="36"/>
      <c r="L766" s="36"/>
      <c r="M766" s="36"/>
      <c r="N766" s="36"/>
      <c r="O766" s="36"/>
      <c r="P766" s="36"/>
      <c r="Q766" s="36"/>
      <c r="R766" s="36"/>
      <c r="S766" s="36"/>
      <c r="T766" s="36"/>
      <c r="U766" s="36"/>
      <c r="V766" s="36"/>
      <c r="W766" s="36"/>
      <c r="X766" s="36"/>
      <c r="Y766" s="36"/>
      <c r="Z766" s="36"/>
      <c r="AA766" s="36"/>
      <c r="AB766" s="36"/>
      <c r="AC766" s="36"/>
    </row>
    <row r="767" spans="1:29" ht="24" customHeight="1">
      <c r="A767" s="81"/>
      <c r="B767" s="81"/>
      <c r="C767" s="81"/>
      <c r="D767" s="81"/>
      <c r="E767" s="80"/>
      <c r="F767" s="620"/>
      <c r="G767" s="620"/>
      <c r="H767" s="94"/>
      <c r="I767" s="81"/>
      <c r="J767" s="35"/>
      <c r="K767" s="36"/>
      <c r="L767" s="36"/>
      <c r="M767" s="36"/>
      <c r="N767" s="36"/>
      <c r="O767" s="36"/>
      <c r="P767" s="36"/>
      <c r="Q767" s="36"/>
      <c r="R767" s="36"/>
      <c r="S767" s="36"/>
      <c r="T767" s="36"/>
      <c r="U767" s="36"/>
      <c r="V767" s="36"/>
      <c r="W767" s="36"/>
      <c r="X767" s="36"/>
      <c r="Y767" s="36"/>
      <c r="Z767" s="36"/>
      <c r="AA767" s="36"/>
      <c r="AB767" s="36"/>
      <c r="AC767" s="36"/>
    </row>
    <row r="768" spans="1:29" ht="36" customHeight="1">
      <c r="A768" s="81"/>
      <c r="B768" s="81"/>
      <c r="C768" s="81"/>
      <c r="D768" s="81"/>
      <c r="E768" s="80"/>
      <c r="F768" s="620"/>
      <c r="G768" s="620"/>
      <c r="H768" s="94"/>
      <c r="I768" s="81"/>
      <c r="J768" s="35"/>
      <c r="K768" s="36"/>
      <c r="L768" s="36"/>
      <c r="M768" s="36"/>
      <c r="N768" s="36"/>
      <c r="O768" s="36"/>
      <c r="P768" s="36"/>
      <c r="Q768" s="36"/>
      <c r="R768" s="36"/>
      <c r="S768" s="36"/>
      <c r="T768" s="36"/>
      <c r="U768" s="36"/>
      <c r="V768" s="36"/>
      <c r="W768" s="36"/>
      <c r="X768" s="36"/>
      <c r="Y768" s="36"/>
      <c r="Z768" s="36"/>
      <c r="AA768" s="36"/>
      <c r="AB768" s="36"/>
      <c r="AC768" s="36"/>
    </row>
    <row r="769" spans="1:29" ht="48" customHeight="1">
      <c r="A769" s="81"/>
      <c r="B769" s="81"/>
      <c r="C769" s="81"/>
      <c r="D769" s="81"/>
      <c r="E769" s="80"/>
      <c r="F769" s="620"/>
      <c r="G769" s="620"/>
      <c r="H769" s="94"/>
      <c r="I769" s="81"/>
      <c r="J769" s="35"/>
      <c r="K769" s="36"/>
      <c r="L769" s="36"/>
      <c r="M769" s="36"/>
      <c r="N769" s="36"/>
      <c r="O769" s="36"/>
      <c r="P769" s="36"/>
      <c r="Q769" s="36"/>
      <c r="R769" s="36"/>
      <c r="S769" s="36"/>
      <c r="T769" s="36"/>
      <c r="U769" s="36"/>
      <c r="V769" s="36"/>
      <c r="W769" s="36"/>
      <c r="X769" s="36"/>
      <c r="Y769" s="36"/>
      <c r="Z769" s="36"/>
      <c r="AA769" s="36"/>
      <c r="AB769" s="36"/>
      <c r="AC769" s="36"/>
    </row>
    <row r="770" spans="1:29" ht="24" customHeight="1">
      <c r="A770" s="81"/>
      <c r="B770" s="81"/>
      <c r="C770" s="81"/>
      <c r="D770" s="81"/>
      <c r="E770" s="80"/>
      <c r="F770" s="620"/>
      <c r="G770" s="620"/>
      <c r="H770" s="94"/>
      <c r="I770" s="81"/>
      <c r="J770" s="35"/>
      <c r="K770" s="36"/>
      <c r="L770" s="36"/>
      <c r="M770" s="36"/>
      <c r="N770" s="36"/>
      <c r="O770" s="36"/>
      <c r="P770" s="36"/>
      <c r="Q770" s="36"/>
      <c r="R770" s="36"/>
      <c r="S770" s="36"/>
      <c r="T770" s="36"/>
      <c r="U770" s="36"/>
      <c r="V770" s="36"/>
      <c r="W770" s="36"/>
      <c r="X770" s="36"/>
      <c r="Y770" s="36"/>
      <c r="Z770" s="36"/>
      <c r="AA770" s="36"/>
      <c r="AB770" s="36"/>
      <c r="AC770" s="36"/>
    </row>
    <row r="771" spans="1:29" ht="36" customHeight="1">
      <c r="A771" s="81"/>
      <c r="B771" s="81"/>
      <c r="C771" s="81"/>
      <c r="D771" s="81"/>
      <c r="E771" s="80"/>
      <c r="F771" s="620"/>
      <c r="G771" s="620"/>
      <c r="H771" s="94"/>
      <c r="I771" s="81"/>
      <c r="J771" s="35"/>
      <c r="K771" s="36"/>
      <c r="L771" s="36"/>
      <c r="M771" s="36"/>
      <c r="N771" s="36"/>
      <c r="O771" s="36"/>
      <c r="P771" s="36"/>
      <c r="Q771" s="36"/>
      <c r="R771" s="36"/>
      <c r="S771" s="36"/>
      <c r="T771" s="36"/>
      <c r="U771" s="36"/>
      <c r="V771" s="36"/>
      <c r="W771" s="36"/>
      <c r="X771" s="36"/>
      <c r="Y771" s="36"/>
      <c r="Z771" s="36"/>
      <c r="AA771" s="36"/>
      <c r="AB771" s="36"/>
      <c r="AC771" s="36"/>
    </row>
    <row r="772" spans="1:29" ht="48" customHeight="1">
      <c r="A772" s="81"/>
      <c r="B772" s="81"/>
      <c r="C772" s="81"/>
      <c r="D772" s="81"/>
      <c r="E772" s="80"/>
      <c r="F772" s="620"/>
      <c r="G772" s="620"/>
      <c r="H772" s="94"/>
      <c r="I772" s="81"/>
      <c r="J772" s="35"/>
      <c r="K772" s="36"/>
      <c r="L772" s="36"/>
      <c r="M772" s="36"/>
      <c r="N772" s="36"/>
      <c r="O772" s="36"/>
      <c r="P772" s="36"/>
      <c r="Q772" s="36"/>
      <c r="R772" s="36"/>
      <c r="S772" s="36"/>
      <c r="T772" s="36"/>
      <c r="U772" s="36"/>
      <c r="V772" s="36"/>
      <c r="W772" s="36"/>
      <c r="X772" s="36"/>
      <c r="Y772" s="36"/>
      <c r="Z772" s="36"/>
      <c r="AA772" s="36"/>
      <c r="AB772" s="36"/>
      <c r="AC772" s="36"/>
    </row>
    <row r="773" spans="1:29" ht="36" customHeight="1">
      <c r="A773" s="81"/>
      <c r="B773" s="81"/>
      <c r="C773" s="81"/>
      <c r="D773" s="81"/>
      <c r="E773" s="80"/>
      <c r="F773" s="620"/>
      <c r="G773" s="620"/>
      <c r="H773" s="94"/>
      <c r="I773" s="81"/>
      <c r="J773" s="35"/>
      <c r="K773" s="36"/>
      <c r="L773" s="36"/>
      <c r="M773" s="36"/>
      <c r="N773" s="36"/>
      <c r="O773" s="36"/>
      <c r="P773" s="36"/>
      <c r="Q773" s="36"/>
      <c r="R773" s="36"/>
      <c r="S773" s="36"/>
      <c r="T773" s="36"/>
      <c r="U773" s="36"/>
      <c r="V773" s="36"/>
      <c r="W773" s="36"/>
      <c r="X773" s="36"/>
      <c r="Y773" s="36"/>
      <c r="Z773" s="36"/>
      <c r="AA773" s="36"/>
      <c r="AB773" s="36"/>
      <c r="AC773" s="36"/>
    </row>
    <row r="774" spans="1:29" ht="24" customHeight="1">
      <c r="A774" s="81"/>
      <c r="B774" s="81"/>
      <c r="C774" s="81"/>
      <c r="D774" s="81"/>
      <c r="E774" s="80"/>
      <c r="F774" s="620"/>
      <c r="G774" s="620"/>
      <c r="H774" s="94"/>
      <c r="I774" s="81"/>
      <c r="J774" s="35"/>
      <c r="K774" s="36"/>
      <c r="L774" s="36"/>
      <c r="M774" s="36"/>
      <c r="N774" s="36"/>
      <c r="O774" s="36"/>
      <c r="P774" s="36"/>
      <c r="Q774" s="36"/>
      <c r="R774" s="36"/>
      <c r="S774" s="36"/>
      <c r="T774" s="36"/>
      <c r="U774" s="36"/>
      <c r="V774" s="36"/>
      <c r="W774" s="36"/>
      <c r="X774" s="36"/>
      <c r="Y774" s="36"/>
      <c r="Z774" s="36"/>
      <c r="AA774" s="36"/>
      <c r="AB774" s="36"/>
      <c r="AC774" s="36"/>
    </row>
    <row r="775" spans="1:29" ht="24" customHeight="1">
      <c r="A775" s="81"/>
      <c r="B775" s="81"/>
      <c r="C775" s="81"/>
      <c r="D775" s="81"/>
      <c r="E775" s="80"/>
      <c r="F775" s="620"/>
      <c r="G775" s="620"/>
      <c r="H775" s="94"/>
      <c r="I775" s="81"/>
      <c r="J775" s="35"/>
      <c r="K775" s="36"/>
      <c r="L775" s="36"/>
      <c r="M775" s="36"/>
      <c r="N775" s="36"/>
      <c r="O775" s="36"/>
      <c r="P775" s="36"/>
      <c r="Q775" s="36"/>
      <c r="R775" s="36"/>
      <c r="S775" s="36"/>
      <c r="T775" s="36"/>
      <c r="U775" s="36"/>
      <c r="V775" s="36"/>
      <c r="W775" s="36"/>
      <c r="X775" s="36"/>
      <c r="Y775" s="36"/>
      <c r="Z775" s="36"/>
      <c r="AA775" s="36"/>
      <c r="AB775" s="36"/>
      <c r="AC775" s="36"/>
    </row>
    <row r="776" spans="1:29" ht="36" customHeight="1">
      <c r="A776" s="81"/>
      <c r="B776" s="81"/>
      <c r="C776" s="81"/>
      <c r="D776" s="81"/>
      <c r="E776" s="80"/>
      <c r="F776" s="620"/>
      <c r="G776" s="620"/>
      <c r="H776" s="94"/>
      <c r="I776" s="81"/>
      <c r="J776" s="35"/>
      <c r="K776" s="36"/>
      <c r="L776" s="36"/>
      <c r="M776" s="36"/>
      <c r="N776" s="36"/>
      <c r="O776" s="36"/>
      <c r="P776" s="36"/>
      <c r="Q776" s="36"/>
      <c r="R776" s="36"/>
      <c r="S776" s="36"/>
      <c r="T776" s="36"/>
      <c r="U776" s="36"/>
      <c r="V776" s="36"/>
      <c r="W776" s="36"/>
      <c r="X776" s="36"/>
      <c r="Y776" s="36"/>
      <c r="Z776" s="36"/>
      <c r="AA776" s="36"/>
      <c r="AB776" s="36"/>
      <c r="AC776" s="36"/>
    </row>
    <row r="777" spans="1:29" ht="24" customHeight="1">
      <c r="A777" s="81"/>
      <c r="B777" s="81"/>
      <c r="C777" s="81"/>
      <c r="D777" s="81"/>
      <c r="E777" s="80"/>
      <c r="F777" s="620"/>
      <c r="G777" s="620"/>
      <c r="H777" s="94"/>
      <c r="I777" s="81"/>
      <c r="J777" s="35"/>
      <c r="K777" s="36"/>
      <c r="L777" s="36"/>
      <c r="M777" s="36"/>
      <c r="N777" s="36"/>
      <c r="O777" s="36"/>
      <c r="P777" s="36"/>
      <c r="Q777" s="36"/>
      <c r="R777" s="36"/>
      <c r="S777" s="36"/>
      <c r="T777" s="36"/>
      <c r="U777" s="36"/>
      <c r="V777" s="36"/>
      <c r="W777" s="36"/>
      <c r="X777" s="36"/>
      <c r="Y777" s="36"/>
      <c r="Z777" s="36"/>
      <c r="AA777" s="36"/>
      <c r="AB777" s="36"/>
      <c r="AC777" s="36"/>
    </row>
    <row r="778" spans="1:29" ht="24" customHeight="1">
      <c r="A778" s="81"/>
      <c r="B778" s="81"/>
      <c r="C778" s="81"/>
      <c r="D778" s="81"/>
      <c r="E778" s="80"/>
      <c r="F778" s="620"/>
      <c r="G778" s="620"/>
      <c r="H778" s="94"/>
      <c r="I778" s="81"/>
      <c r="J778" s="35"/>
      <c r="K778" s="36"/>
      <c r="L778" s="36"/>
      <c r="M778" s="36"/>
      <c r="N778" s="36"/>
      <c r="O778" s="36"/>
      <c r="P778" s="36"/>
      <c r="Q778" s="36"/>
      <c r="R778" s="36"/>
      <c r="S778" s="36"/>
      <c r="T778" s="36"/>
      <c r="U778" s="36"/>
      <c r="V778" s="36"/>
      <c r="W778" s="36"/>
      <c r="X778" s="36"/>
      <c r="Y778" s="36"/>
      <c r="Z778" s="36"/>
      <c r="AA778" s="36"/>
      <c r="AB778" s="36"/>
      <c r="AC778" s="36"/>
    </row>
    <row r="779" spans="1:29" ht="24" customHeight="1">
      <c r="A779" s="81"/>
      <c r="B779" s="81"/>
      <c r="C779" s="81"/>
      <c r="D779" s="81"/>
      <c r="E779" s="80"/>
      <c r="F779" s="620"/>
      <c r="G779" s="620"/>
      <c r="H779" s="94"/>
      <c r="I779" s="81"/>
      <c r="J779" s="35"/>
      <c r="K779" s="36"/>
      <c r="L779" s="36"/>
      <c r="M779" s="36"/>
      <c r="N779" s="36"/>
      <c r="O779" s="36"/>
      <c r="P779" s="36"/>
      <c r="Q779" s="36"/>
      <c r="R779" s="36"/>
      <c r="S779" s="36"/>
      <c r="T779" s="36"/>
      <c r="U779" s="36"/>
      <c r="V779" s="36"/>
      <c r="W779" s="36"/>
      <c r="X779" s="36"/>
      <c r="Y779" s="36"/>
      <c r="Z779" s="36"/>
      <c r="AA779" s="36"/>
      <c r="AB779" s="36"/>
      <c r="AC779" s="36"/>
    </row>
    <row r="780" spans="1:29" ht="24" customHeight="1">
      <c r="A780" s="81"/>
      <c r="B780" s="81"/>
      <c r="C780" s="81"/>
      <c r="D780" s="81"/>
      <c r="E780" s="80"/>
      <c r="F780" s="620"/>
      <c r="G780" s="620"/>
      <c r="H780" s="94"/>
      <c r="I780" s="81"/>
      <c r="J780" s="35"/>
      <c r="K780" s="36"/>
      <c r="L780" s="36"/>
      <c r="M780" s="36"/>
      <c r="N780" s="36"/>
      <c r="O780" s="36"/>
      <c r="P780" s="36"/>
      <c r="Q780" s="36"/>
      <c r="R780" s="36"/>
      <c r="S780" s="36"/>
      <c r="T780" s="36"/>
      <c r="U780" s="36"/>
      <c r="V780" s="36"/>
      <c r="W780" s="36"/>
      <c r="X780" s="36"/>
      <c r="Y780" s="36"/>
      <c r="Z780" s="36"/>
      <c r="AA780" s="36"/>
      <c r="AB780" s="36"/>
      <c r="AC780" s="36"/>
    </row>
    <row r="781" spans="1:29" ht="24" customHeight="1">
      <c r="A781" s="81"/>
      <c r="B781" s="81"/>
      <c r="C781" s="81"/>
      <c r="D781" s="81"/>
      <c r="E781" s="80"/>
      <c r="F781" s="620"/>
      <c r="G781" s="620"/>
      <c r="H781" s="94"/>
      <c r="I781" s="81"/>
      <c r="J781" s="35"/>
      <c r="K781" s="36"/>
      <c r="L781" s="36"/>
      <c r="M781" s="36"/>
      <c r="N781" s="36"/>
      <c r="O781" s="36"/>
      <c r="P781" s="36"/>
      <c r="Q781" s="36"/>
      <c r="R781" s="36"/>
      <c r="S781" s="36"/>
      <c r="T781" s="36"/>
      <c r="U781" s="36"/>
      <c r="V781" s="36"/>
      <c r="W781" s="36"/>
      <c r="X781" s="36"/>
      <c r="Y781" s="36"/>
      <c r="Z781" s="36"/>
      <c r="AA781" s="36"/>
      <c r="AB781" s="36"/>
      <c r="AC781" s="36"/>
    </row>
    <row r="782" spans="1:29" ht="24" customHeight="1">
      <c r="A782" s="81"/>
      <c r="B782" s="81"/>
      <c r="C782" s="81"/>
      <c r="D782" s="81"/>
      <c r="E782" s="80"/>
      <c r="F782" s="620"/>
      <c r="G782" s="620"/>
      <c r="H782" s="94"/>
      <c r="I782" s="81"/>
      <c r="J782" s="35"/>
      <c r="K782" s="36"/>
      <c r="L782" s="36"/>
      <c r="M782" s="36"/>
      <c r="N782" s="36"/>
      <c r="O782" s="36"/>
      <c r="P782" s="36"/>
      <c r="Q782" s="36"/>
      <c r="R782" s="36"/>
      <c r="S782" s="36"/>
      <c r="T782" s="36"/>
      <c r="U782" s="36"/>
      <c r="V782" s="36"/>
      <c r="W782" s="36"/>
      <c r="X782" s="36"/>
      <c r="Y782" s="36"/>
      <c r="Z782" s="36"/>
      <c r="AA782" s="36"/>
      <c r="AB782" s="36"/>
      <c r="AC782" s="36"/>
    </row>
    <row r="783" spans="1:29" ht="24" customHeight="1">
      <c r="A783" s="81"/>
      <c r="B783" s="81"/>
      <c r="C783" s="81"/>
      <c r="D783" s="81"/>
      <c r="E783" s="80"/>
      <c r="F783" s="620"/>
      <c r="G783" s="620"/>
      <c r="H783" s="94"/>
      <c r="I783" s="81"/>
      <c r="J783" s="35"/>
      <c r="K783" s="36"/>
      <c r="L783" s="36"/>
      <c r="M783" s="36"/>
      <c r="N783" s="36"/>
      <c r="O783" s="36"/>
      <c r="P783" s="36"/>
      <c r="Q783" s="36"/>
      <c r="R783" s="36"/>
      <c r="S783" s="36"/>
      <c r="T783" s="36"/>
      <c r="U783" s="36"/>
      <c r="V783" s="36"/>
      <c r="W783" s="36"/>
      <c r="X783" s="36"/>
      <c r="Y783" s="36"/>
      <c r="Z783" s="36"/>
      <c r="AA783" s="36"/>
      <c r="AB783" s="36"/>
      <c r="AC783" s="36"/>
    </row>
    <row r="784" spans="1:29" ht="36" customHeight="1">
      <c r="A784" s="81"/>
      <c r="B784" s="81"/>
      <c r="C784" s="81"/>
      <c r="D784" s="81"/>
      <c r="E784" s="80"/>
      <c r="F784" s="620"/>
      <c r="G784" s="620"/>
      <c r="H784" s="94"/>
      <c r="I784" s="81"/>
      <c r="J784" s="35"/>
      <c r="K784" s="36"/>
      <c r="L784" s="36"/>
      <c r="M784" s="36"/>
      <c r="N784" s="36"/>
      <c r="O784" s="36"/>
      <c r="P784" s="36"/>
      <c r="Q784" s="36"/>
      <c r="R784" s="36"/>
      <c r="S784" s="36"/>
      <c r="T784" s="36"/>
      <c r="U784" s="36"/>
      <c r="V784" s="36"/>
      <c r="W784" s="36"/>
      <c r="X784" s="36"/>
      <c r="Y784" s="36"/>
      <c r="Z784" s="36"/>
      <c r="AA784" s="36"/>
      <c r="AB784" s="36"/>
      <c r="AC784" s="36"/>
    </row>
    <row r="785" spans="1:29" ht="24" customHeight="1">
      <c r="A785" s="81"/>
      <c r="B785" s="81"/>
      <c r="C785" s="81"/>
      <c r="D785" s="81"/>
      <c r="E785" s="80"/>
      <c r="F785" s="620"/>
      <c r="G785" s="620"/>
      <c r="H785" s="94"/>
      <c r="I785" s="81"/>
      <c r="J785" s="35"/>
      <c r="K785" s="36"/>
      <c r="L785" s="36"/>
      <c r="M785" s="36"/>
      <c r="N785" s="36"/>
      <c r="O785" s="36"/>
      <c r="P785" s="36"/>
      <c r="Q785" s="36"/>
      <c r="R785" s="36"/>
      <c r="S785" s="36"/>
      <c r="T785" s="36"/>
      <c r="U785" s="36"/>
      <c r="V785" s="36"/>
      <c r="W785" s="36"/>
      <c r="X785" s="36"/>
      <c r="Y785" s="36"/>
      <c r="Z785" s="36"/>
      <c r="AA785" s="36"/>
      <c r="AB785" s="36"/>
      <c r="AC785" s="36"/>
    </row>
    <row r="786" spans="1:29" ht="24" customHeight="1">
      <c r="A786" s="81"/>
      <c r="B786" s="81"/>
      <c r="C786" s="81"/>
      <c r="D786" s="81"/>
      <c r="E786" s="80"/>
      <c r="F786" s="620"/>
      <c r="G786" s="620"/>
      <c r="H786" s="94"/>
      <c r="I786" s="81"/>
      <c r="J786" s="35"/>
      <c r="K786" s="36"/>
      <c r="L786" s="36"/>
      <c r="M786" s="36"/>
      <c r="N786" s="36"/>
      <c r="O786" s="36"/>
      <c r="P786" s="36"/>
      <c r="Q786" s="36"/>
      <c r="R786" s="36"/>
      <c r="S786" s="36"/>
      <c r="T786" s="36"/>
      <c r="U786" s="36"/>
      <c r="V786" s="36"/>
      <c r="W786" s="36"/>
      <c r="X786" s="36"/>
      <c r="Y786" s="36"/>
      <c r="Z786" s="36"/>
      <c r="AA786" s="36"/>
      <c r="AB786" s="36"/>
      <c r="AC786" s="36"/>
    </row>
    <row r="787" spans="1:29" ht="24" customHeight="1">
      <c r="A787" s="81"/>
      <c r="B787" s="81"/>
      <c r="C787" s="81"/>
      <c r="D787" s="81"/>
      <c r="E787" s="80"/>
      <c r="F787" s="620"/>
      <c r="G787" s="620"/>
      <c r="H787" s="94"/>
      <c r="I787" s="81"/>
      <c r="J787" s="35"/>
      <c r="K787" s="36"/>
      <c r="L787" s="36"/>
      <c r="M787" s="36"/>
      <c r="N787" s="36"/>
      <c r="O787" s="36"/>
      <c r="P787" s="36"/>
      <c r="Q787" s="36"/>
      <c r="R787" s="36"/>
      <c r="S787" s="36"/>
      <c r="T787" s="36"/>
      <c r="U787" s="36"/>
      <c r="V787" s="36"/>
      <c r="W787" s="36"/>
      <c r="X787" s="36"/>
      <c r="Y787" s="36"/>
      <c r="Z787" s="36"/>
      <c r="AA787" s="36"/>
      <c r="AB787" s="36"/>
      <c r="AC787" s="36"/>
    </row>
    <row r="788" spans="1:29" ht="24" customHeight="1">
      <c r="A788" s="81"/>
      <c r="B788" s="81"/>
      <c r="C788" s="81"/>
      <c r="D788" s="81"/>
      <c r="E788" s="80"/>
      <c r="F788" s="620"/>
      <c r="G788" s="620"/>
      <c r="H788" s="94"/>
      <c r="I788" s="81"/>
      <c r="J788" s="35"/>
      <c r="K788" s="36"/>
      <c r="L788" s="36"/>
      <c r="M788" s="36"/>
      <c r="N788" s="36"/>
      <c r="O788" s="36"/>
      <c r="P788" s="36"/>
      <c r="Q788" s="36"/>
      <c r="R788" s="36"/>
      <c r="S788" s="36"/>
      <c r="T788" s="36"/>
      <c r="U788" s="36"/>
      <c r="V788" s="36"/>
      <c r="W788" s="36"/>
      <c r="X788" s="36"/>
      <c r="Y788" s="36"/>
      <c r="Z788" s="36"/>
      <c r="AA788" s="36"/>
      <c r="AB788" s="36"/>
      <c r="AC788" s="36"/>
    </row>
    <row r="789" spans="1:29" ht="48" customHeight="1">
      <c r="A789" s="81"/>
      <c r="B789" s="81"/>
      <c r="C789" s="81"/>
      <c r="D789" s="81"/>
      <c r="E789" s="80"/>
      <c r="F789" s="620"/>
      <c r="G789" s="620"/>
      <c r="H789" s="94"/>
      <c r="I789" s="81"/>
      <c r="J789" s="35"/>
      <c r="K789" s="36"/>
      <c r="L789" s="36"/>
      <c r="M789" s="36"/>
      <c r="N789" s="36"/>
      <c r="O789" s="36"/>
      <c r="P789" s="36"/>
      <c r="Q789" s="36"/>
      <c r="R789" s="36"/>
      <c r="S789" s="36"/>
      <c r="T789" s="36"/>
      <c r="U789" s="36"/>
      <c r="V789" s="36"/>
      <c r="W789" s="36"/>
      <c r="X789" s="36"/>
      <c r="Y789" s="36"/>
      <c r="Z789" s="36"/>
      <c r="AA789" s="36"/>
      <c r="AB789" s="36"/>
      <c r="AC789" s="36"/>
    </row>
    <row r="790" spans="1:29" ht="36" customHeight="1">
      <c r="A790" s="81"/>
      <c r="B790" s="81"/>
      <c r="C790" s="81"/>
      <c r="D790" s="81"/>
      <c r="E790" s="80"/>
      <c r="F790" s="620"/>
      <c r="G790" s="620"/>
      <c r="H790" s="94"/>
      <c r="I790" s="81"/>
      <c r="J790" s="35"/>
      <c r="K790" s="36"/>
      <c r="L790" s="36"/>
      <c r="M790" s="36"/>
      <c r="N790" s="36"/>
      <c r="O790" s="36"/>
      <c r="P790" s="36"/>
      <c r="Q790" s="36"/>
      <c r="R790" s="36"/>
      <c r="S790" s="36"/>
      <c r="T790" s="36"/>
      <c r="U790" s="36"/>
      <c r="V790" s="36"/>
      <c r="W790" s="36"/>
      <c r="X790" s="36"/>
      <c r="Y790" s="36"/>
      <c r="Z790" s="36"/>
      <c r="AA790" s="36"/>
      <c r="AB790" s="36"/>
      <c r="AC790" s="36"/>
    </row>
    <row r="791" spans="1:29" ht="36" customHeight="1">
      <c r="A791" s="81"/>
      <c r="B791" s="94"/>
      <c r="C791" s="81"/>
      <c r="D791" s="81"/>
      <c r="E791" s="80"/>
      <c r="F791" s="620"/>
      <c r="G791" s="620"/>
      <c r="H791" s="94"/>
      <c r="I791" s="81"/>
      <c r="J791" s="35"/>
      <c r="K791" s="36"/>
      <c r="L791" s="36"/>
      <c r="M791" s="36"/>
      <c r="N791" s="36"/>
      <c r="O791" s="36"/>
      <c r="P791" s="36"/>
      <c r="Q791" s="36"/>
      <c r="R791" s="36"/>
      <c r="S791" s="36"/>
      <c r="T791" s="36"/>
      <c r="U791" s="36"/>
      <c r="V791" s="36"/>
      <c r="W791" s="36"/>
      <c r="X791" s="36"/>
      <c r="Y791" s="36"/>
      <c r="Z791" s="36"/>
      <c r="AA791" s="36"/>
      <c r="AB791" s="36"/>
      <c r="AC791" s="36"/>
    </row>
    <row r="792" spans="1:29" ht="24" customHeight="1">
      <c r="A792" s="81"/>
      <c r="B792" s="81"/>
      <c r="C792" s="81"/>
      <c r="D792" s="81"/>
      <c r="E792" s="80"/>
      <c r="F792" s="620"/>
      <c r="G792" s="620"/>
      <c r="H792" s="94"/>
      <c r="I792" s="81"/>
      <c r="J792" s="35"/>
      <c r="K792" s="36"/>
      <c r="L792" s="36"/>
      <c r="M792" s="36"/>
      <c r="N792" s="36"/>
      <c r="O792" s="36"/>
      <c r="P792" s="36"/>
      <c r="Q792" s="36"/>
      <c r="R792" s="36"/>
      <c r="S792" s="36"/>
      <c r="T792" s="36"/>
      <c r="U792" s="36"/>
      <c r="V792" s="36"/>
      <c r="W792" s="36"/>
      <c r="X792" s="36"/>
      <c r="Y792" s="36"/>
      <c r="Z792" s="36"/>
      <c r="AA792" s="36"/>
      <c r="AB792" s="36"/>
      <c r="AC792" s="36"/>
    </row>
    <row r="793" spans="1:29" ht="24" customHeight="1">
      <c r="A793" s="81"/>
      <c r="B793" s="81"/>
      <c r="C793" s="81"/>
      <c r="D793" s="81"/>
      <c r="E793" s="80"/>
      <c r="F793" s="620"/>
      <c r="G793" s="620"/>
      <c r="H793" s="94"/>
      <c r="I793" s="81"/>
      <c r="J793" s="35"/>
      <c r="K793" s="36"/>
      <c r="L793" s="36"/>
      <c r="M793" s="36"/>
      <c r="N793" s="36"/>
      <c r="O793" s="36"/>
      <c r="P793" s="36"/>
      <c r="Q793" s="36"/>
      <c r="R793" s="36"/>
      <c r="S793" s="36"/>
      <c r="T793" s="36"/>
      <c r="U793" s="36"/>
      <c r="V793" s="36"/>
      <c r="W793" s="36"/>
      <c r="X793" s="36"/>
      <c r="Y793" s="36"/>
      <c r="Z793" s="36"/>
      <c r="AA793" s="36"/>
      <c r="AB793" s="36"/>
      <c r="AC793" s="36"/>
    </row>
    <row r="794" spans="1:29" ht="24" customHeight="1">
      <c r="A794" s="81"/>
      <c r="B794" s="81"/>
      <c r="C794" s="81"/>
      <c r="D794" s="81"/>
      <c r="E794" s="80"/>
      <c r="F794" s="620"/>
      <c r="G794" s="620"/>
      <c r="H794" s="94"/>
      <c r="I794" s="81"/>
      <c r="J794" s="35"/>
      <c r="K794" s="36"/>
      <c r="L794" s="36"/>
      <c r="M794" s="36"/>
      <c r="N794" s="36"/>
      <c r="O794" s="36"/>
      <c r="P794" s="36"/>
      <c r="Q794" s="36"/>
      <c r="R794" s="36"/>
      <c r="S794" s="36"/>
      <c r="T794" s="36"/>
      <c r="U794" s="36"/>
      <c r="V794" s="36"/>
      <c r="W794" s="36"/>
      <c r="X794" s="36"/>
      <c r="Y794" s="36"/>
      <c r="Z794" s="36"/>
      <c r="AA794" s="36"/>
      <c r="AB794" s="36"/>
      <c r="AC794" s="36"/>
    </row>
    <row r="795" spans="1:29" ht="24" customHeight="1">
      <c r="A795" s="81"/>
      <c r="B795" s="81"/>
      <c r="C795" s="81"/>
      <c r="D795" s="81"/>
      <c r="E795" s="80"/>
      <c r="F795" s="620"/>
      <c r="G795" s="620"/>
      <c r="H795" s="94"/>
      <c r="I795" s="81"/>
      <c r="J795" s="35"/>
      <c r="K795" s="36"/>
      <c r="L795" s="36"/>
      <c r="M795" s="36"/>
      <c r="N795" s="36"/>
      <c r="O795" s="36"/>
      <c r="P795" s="36"/>
      <c r="Q795" s="36"/>
      <c r="R795" s="36"/>
      <c r="S795" s="36"/>
      <c r="T795" s="36"/>
      <c r="U795" s="36"/>
      <c r="V795" s="36"/>
      <c r="W795" s="36"/>
      <c r="X795" s="36"/>
      <c r="Y795" s="36"/>
      <c r="Z795" s="36"/>
      <c r="AA795" s="36"/>
      <c r="AB795" s="36"/>
      <c r="AC795" s="36"/>
    </row>
    <row r="796" spans="1:29" ht="24" customHeight="1">
      <c r="A796" s="81"/>
      <c r="B796" s="81"/>
      <c r="C796" s="81"/>
      <c r="D796" s="81"/>
      <c r="E796" s="80"/>
      <c r="F796" s="620"/>
      <c r="G796" s="620"/>
      <c r="H796" s="94"/>
      <c r="I796" s="81"/>
      <c r="J796" s="35"/>
      <c r="K796" s="36"/>
      <c r="L796" s="36"/>
      <c r="M796" s="36"/>
      <c r="N796" s="36"/>
      <c r="O796" s="36"/>
      <c r="P796" s="36"/>
      <c r="Q796" s="36"/>
      <c r="R796" s="36"/>
      <c r="S796" s="36"/>
      <c r="T796" s="36"/>
      <c r="U796" s="36"/>
      <c r="V796" s="36"/>
      <c r="W796" s="36"/>
      <c r="X796" s="36"/>
      <c r="Y796" s="36"/>
      <c r="Z796" s="36"/>
      <c r="AA796" s="36"/>
      <c r="AB796" s="36"/>
      <c r="AC796" s="36"/>
    </row>
    <row r="797" spans="1:29" ht="48" customHeight="1">
      <c r="A797" s="81"/>
      <c r="B797" s="81"/>
      <c r="C797" s="81"/>
      <c r="D797" s="81"/>
      <c r="E797" s="80"/>
      <c r="F797" s="620"/>
      <c r="G797" s="620"/>
      <c r="H797" s="94"/>
      <c r="I797" s="81"/>
      <c r="J797" s="35"/>
      <c r="K797" s="36"/>
      <c r="L797" s="36"/>
      <c r="M797" s="36"/>
      <c r="N797" s="36"/>
      <c r="O797" s="36"/>
      <c r="P797" s="36"/>
      <c r="Q797" s="36"/>
      <c r="R797" s="36"/>
      <c r="S797" s="36"/>
      <c r="T797" s="36"/>
      <c r="U797" s="36"/>
      <c r="V797" s="36"/>
      <c r="W797" s="36"/>
      <c r="X797" s="36"/>
      <c r="Y797" s="36"/>
      <c r="Z797" s="36"/>
      <c r="AA797" s="36"/>
      <c r="AB797" s="36"/>
      <c r="AC797" s="36"/>
    </row>
    <row r="798" spans="1:29" ht="24" customHeight="1">
      <c r="A798" s="81"/>
      <c r="B798" s="81"/>
      <c r="C798" s="81"/>
      <c r="D798" s="81"/>
      <c r="E798" s="80"/>
      <c r="F798" s="620"/>
      <c r="G798" s="620"/>
      <c r="H798" s="94"/>
      <c r="I798" s="81"/>
      <c r="J798" s="35"/>
      <c r="K798" s="36"/>
      <c r="L798" s="36"/>
      <c r="M798" s="36"/>
      <c r="N798" s="36"/>
      <c r="O798" s="36"/>
      <c r="P798" s="36"/>
      <c r="Q798" s="36"/>
      <c r="R798" s="36"/>
      <c r="S798" s="36"/>
      <c r="T798" s="36"/>
      <c r="U798" s="36"/>
      <c r="V798" s="36"/>
      <c r="W798" s="36"/>
      <c r="X798" s="36"/>
      <c r="Y798" s="36"/>
      <c r="Z798" s="36"/>
      <c r="AA798" s="36"/>
      <c r="AB798" s="36"/>
      <c r="AC798" s="36"/>
    </row>
    <row r="799" spans="1:29" ht="36" customHeight="1">
      <c r="A799" s="81"/>
      <c r="B799" s="81"/>
      <c r="C799" s="81"/>
      <c r="D799" s="81"/>
      <c r="E799" s="80"/>
      <c r="F799" s="620"/>
      <c r="G799" s="620"/>
      <c r="H799" s="94"/>
      <c r="I799" s="81"/>
      <c r="J799" s="35"/>
      <c r="K799" s="36"/>
      <c r="L799" s="36"/>
      <c r="M799" s="36"/>
      <c r="N799" s="36"/>
      <c r="O799" s="36"/>
      <c r="P799" s="36"/>
      <c r="Q799" s="36"/>
      <c r="R799" s="36"/>
      <c r="S799" s="36"/>
      <c r="T799" s="36"/>
      <c r="U799" s="36"/>
      <c r="V799" s="36"/>
      <c r="W799" s="36"/>
      <c r="X799" s="36"/>
      <c r="Y799" s="36"/>
      <c r="Z799" s="36"/>
      <c r="AA799" s="36"/>
      <c r="AB799" s="36"/>
      <c r="AC799" s="36"/>
    </row>
    <row r="800" spans="1:29" ht="36" customHeight="1">
      <c r="A800" s="81"/>
      <c r="B800" s="81"/>
      <c r="C800" s="81"/>
      <c r="D800" s="81"/>
      <c r="E800" s="80"/>
      <c r="F800" s="620"/>
      <c r="G800" s="620"/>
      <c r="H800" s="94"/>
      <c r="I800" s="81"/>
      <c r="J800" s="35"/>
      <c r="K800" s="36"/>
      <c r="L800" s="36"/>
      <c r="M800" s="36"/>
      <c r="N800" s="36"/>
      <c r="O800" s="36"/>
      <c r="P800" s="36"/>
      <c r="Q800" s="36"/>
      <c r="R800" s="36"/>
      <c r="S800" s="36"/>
      <c r="T800" s="36"/>
      <c r="U800" s="36"/>
      <c r="V800" s="36"/>
      <c r="W800" s="36"/>
      <c r="X800" s="36"/>
      <c r="Y800" s="36"/>
      <c r="Z800" s="36"/>
      <c r="AA800" s="36"/>
      <c r="AB800" s="36"/>
      <c r="AC800" s="36"/>
    </row>
    <row r="801" spans="1:29" ht="36" customHeight="1">
      <c r="A801" s="81"/>
      <c r="B801" s="81"/>
      <c r="C801" s="81"/>
      <c r="D801" s="81"/>
      <c r="E801" s="80"/>
      <c r="F801" s="620"/>
      <c r="G801" s="620"/>
      <c r="H801" s="94"/>
      <c r="I801" s="81"/>
      <c r="J801" s="35"/>
      <c r="K801" s="36"/>
      <c r="L801" s="36"/>
      <c r="M801" s="36"/>
      <c r="N801" s="36"/>
      <c r="O801" s="36"/>
      <c r="P801" s="36"/>
      <c r="Q801" s="36"/>
      <c r="R801" s="36"/>
      <c r="S801" s="36"/>
      <c r="T801" s="36"/>
      <c r="U801" s="36"/>
      <c r="V801" s="36"/>
      <c r="W801" s="36"/>
      <c r="X801" s="36"/>
      <c r="Y801" s="36"/>
      <c r="Z801" s="36"/>
      <c r="AA801" s="36"/>
      <c r="AB801" s="36"/>
      <c r="AC801" s="36"/>
    </row>
    <row r="802" spans="1:29" ht="24" customHeight="1">
      <c r="A802" s="81"/>
      <c r="B802" s="81"/>
      <c r="C802" s="81"/>
      <c r="D802" s="81"/>
      <c r="E802" s="80"/>
      <c r="F802" s="620"/>
      <c r="G802" s="620"/>
      <c r="H802" s="94"/>
      <c r="I802" s="81"/>
      <c r="J802" s="35"/>
      <c r="K802" s="36"/>
      <c r="L802" s="36"/>
      <c r="M802" s="36"/>
      <c r="N802" s="36"/>
      <c r="O802" s="36"/>
      <c r="P802" s="36"/>
      <c r="Q802" s="36"/>
      <c r="R802" s="36"/>
      <c r="S802" s="36"/>
      <c r="T802" s="36"/>
      <c r="U802" s="36"/>
      <c r="V802" s="36"/>
      <c r="W802" s="36"/>
      <c r="X802" s="36"/>
      <c r="Y802" s="36"/>
      <c r="Z802" s="36"/>
      <c r="AA802" s="36"/>
      <c r="AB802" s="36"/>
      <c r="AC802" s="36"/>
    </row>
    <row r="803" spans="1:29" ht="24" customHeight="1">
      <c r="A803" s="81"/>
      <c r="B803" s="81"/>
      <c r="C803" s="81"/>
      <c r="D803" s="81"/>
      <c r="E803" s="80"/>
      <c r="F803" s="620"/>
      <c r="G803" s="620"/>
      <c r="H803" s="94"/>
      <c r="I803" s="81"/>
      <c r="J803" s="35"/>
      <c r="K803" s="36"/>
      <c r="L803" s="36"/>
      <c r="M803" s="36"/>
      <c r="N803" s="36"/>
      <c r="O803" s="36"/>
      <c r="P803" s="36"/>
      <c r="Q803" s="36"/>
      <c r="R803" s="36"/>
      <c r="S803" s="36"/>
      <c r="T803" s="36"/>
      <c r="U803" s="36"/>
      <c r="V803" s="36"/>
      <c r="W803" s="36"/>
      <c r="X803" s="36"/>
      <c r="Y803" s="36"/>
      <c r="Z803" s="36"/>
      <c r="AA803" s="36"/>
      <c r="AB803" s="36"/>
      <c r="AC803" s="36"/>
    </row>
    <row r="804" spans="1:29" ht="24" customHeight="1">
      <c r="A804" s="81"/>
      <c r="B804" s="81"/>
      <c r="C804" s="81"/>
      <c r="D804" s="81"/>
      <c r="E804" s="80"/>
      <c r="F804" s="620"/>
      <c r="G804" s="620"/>
      <c r="H804" s="94"/>
      <c r="I804" s="81"/>
      <c r="J804" s="35"/>
      <c r="K804" s="36"/>
      <c r="L804" s="36"/>
      <c r="M804" s="36"/>
      <c r="N804" s="36"/>
      <c r="O804" s="36"/>
      <c r="P804" s="36"/>
      <c r="Q804" s="36"/>
      <c r="R804" s="36"/>
      <c r="S804" s="36"/>
      <c r="T804" s="36"/>
      <c r="U804" s="36"/>
      <c r="V804" s="36"/>
      <c r="W804" s="36"/>
      <c r="X804" s="36"/>
      <c r="Y804" s="36"/>
      <c r="Z804" s="36"/>
      <c r="AA804" s="36"/>
      <c r="AB804" s="36"/>
      <c r="AC804" s="36"/>
    </row>
    <row r="805" spans="1:29" ht="84" customHeight="1">
      <c r="A805" s="81"/>
      <c r="B805" s="81"/>
      <c r="C805" s="81"/>
      <c r="D805" s="81"/>
      <c r="E805" s="80"/>
      <c r="F805" s="620"/>
      <c r="G805" s="620"/>
      <c r="H805" s="94"/>
      <c r="I805" s="81"/>
      <c r="J805" s="35"/>
      <c r="K805" s="36"/>
      <c r="L805" s="36"/>
      <c r="M805" s="36"/>
      <c r="N805" s="36"/>
      <c r="O805" s="36"/>
      <c r="P805" s="36"/>
      <c r="Q805" s="36"/>
      <c r="R805" s="36"/>
      <c r="S805" s="36"/>
      <c r="T805" s="36"/>
      <c r="U805" s="36"/>
      <c r="V805" s="36"/>
      <c r="W805" s="36"/>
      <c r="X805" s="36"/>
      <c r="Y805" s="36"/>
      <c r="Z805" s="36"/>
      <c r="AA805" s="36"/>
      <c r="AB805" s="36"/>
      <c r="AC805" s="36"/>
    </row>
    <row r="806" spans="1:29" ht="24" customHeight="1">
      <c r="A806" s="81"/>
      <c r="B806" s="81"/>
      <c r="C806" s="81"/>
      <c r="D806" s="81"/>
      <c r="E806" s="80"/>
      <c r="F806" s="620"/>
      <c r="G806" s="620"/>
      <c r="H806" s="94"/>
      <c r="I806" s="81"/>
      <c r="J806" s="35"/>
      <c r="K806" s="36"/>
      <c r="L806" s="36"/>
      <c r="M806" s="36"/>
      <c r="N806" s="36"/>
      <c r="O806" s="36"/>
      <c r="P806" s="36"/>
      <c r="Q806" s="36"/>
      <c r="R806" s="36"/>
      <c r="S806" s="36"/>
      <c r="T806" s="36"/>
      <c r="U806" s="36"/>
      <c r="V806" s="36"/>
      <c r="W806" s="36"/>
      <c r="X806" s="36"/>
      <c r="Y806" s="36"/>
      <c r="Z806" s="36"/>
      <c r="AA806" s="36"/>
      <c r="AB806" s="36"/>
      <c r="AC806" s="36"/>
    </row>
    <row r="807" spans="1:29" ht="60" customHeight="1">
      <c r="A807" s="81"/>
      <c r="B807" s="81"/>
      <c r="C807" s="81"/>
      <c r="D807" s="81"/>
      <c r="E807" s="80"/>
      <c r="F807" s="620"/>
      <c r="G807" s="620"/>
      <c r="H807" s="94"/>
      <c r="I807" s="81"/>
      <c r="J807" s="35"/>
      <c r="K807" s="36"/>
      <c r="L807" s="36"/>
      <c r="M807" s="36"/>
      <c r="N807" s="36"/>
      <c r="O807" s="36"/>
      <c r="P807" s="36"/>
      <c r="Q807" s="36"/>
      <c r="R807" s="36"/>
      <c r="S807" s="36"/>
      <c r="T807" s="36"/>
      <c r="U807" s="36"/>
      <c r="V807" s="36"/>
      <c r="W807" s="36"/>
      <c r="X807" s="36"/>
      <c r="Y807" s="36"/>
      <c r="Z807" s="36"/>
      <c r="AA807" s="36"/>
      <c r="AB807" s="36"/>
      <c r="AC807" s="36"/>
    </row>
    <row r="808" spans="1:29" ht="36" customHeight="1">
      <c r="A808" s="81"/>
      <c r="B808" s="81"/>
      <c r="C808" s="81"/>
      <c r="D808" s="81"/>
      <c r="E808" s="80"/>
      <c r="F808" s="620"/>
      <c r="G808" s="620"/>
      <c r="H808" s="94"/>
      <c r="I808" s="81"/>
      <c r="J808" s="35"/>
      <c r="K808" s="36"/>
      <c r="L808" s="36"/>
      <c r="M808" s="36"/>
      <c r="N808" s="36"/>
      <c r="O808" s="36"/>
      <c r="P808" s="36"/>
      <c r="Q808" s="36"/>
      <c r="R808" s="36"/>
      <c r="S808" s="36"/>
      <c r="T808" s="36"/>
      <c r="U808" s="36"/>
      <c r="V808" s="36"/>
      <c r="W808" s="36"/>
      <c r="X808" s="36"/>
      <c r="Y808" s="36"/>
      <c r="Z808" s="36"/>
      <c r="AA808" s="36"/>
      <c r="AB808" s="36"/>
      <c r="AC808" s="36"/>
    </row>
    <row r="809" spans="1:29" ht="36" customHeight="1">
      <c r="A809" s="81"/>
      <c r="B809" s="81"/>
      <c r="C809" s="81"/>
      <c r="D809" s="81"/>
      <c r="E809" s="80"/>
      <c r="F809" s="620"/>
      <c r="G809" s="620"/>
      <c r="H809" s="94"/>
      <c r="I809" s="81"/>
      <c r="J809" s="35"/>
      <c r="K809" s="36"/>
      <c r="L809" s="36"/>
      <c r="M809" s="36"/>
      <c r="N809" s="36"/>
      <c r="O809" s="36"/>
      <c r="P809" s="36"/>
      <c r="Q809" s="36"/>
      <c r="R809" s="36"/>
      <c r="S809" s="36"/>
      <c r="T809" s="36"/>
      <c r="U809" s="36"/>
      <c r="V809" s="36"/>
      <c r="W809" s="36"/>
      <c r="X809" s="36"/>
      <c r="Y809" s="36"/>
      <c r="Z809" s="36"/>
      <c r="AA809" s="36"/>
      <c r="AB809" s="36"/>
      <c r="AC809" s="36"/>
    </row>
    <row r="810" spans="1:29" ht="84" customHeight="1">
      <c r="A810" s="81"/>
      <c r="B810" s="94"/>
      <c r="C810" s="81"/>
      <c r="D810" s="81"/>
      <c r="E810" s="80"/>
      <c r="F810" s="620"/>
      <c r="G810" s="620"/>
      <c r="H810" s="94"/>
      <c r="I810" s="81"/>
      <c r="J810" s="35"/>
      <c r="K810" s="36"/>
      <c r="L810" s="36"/>
      <c r="M810" s="36"/>
      <c r="N810" s="36"/>
      <c r="O810" s="36"/>
      <c r="P810" s="36"/>
      <c r="Q810" s="36"/>
      <c r="R810" s="36"/>
      <c r="S810" s="36"/>
      <c r="T810" s="36"/>
      <c r="U810" s="36"/>
      <c r="V810" s="36"/>
      <c r="W810" s="36"/>
      <c r="X810" s="36"/>
      <c r="Y810" s="36"/>
      <c r="Z810" s="36"/>
      <c r="AA810" s="36"/>
      <c r="AB810" s="36"/>
      <c r="AC810" s="36"/>
    </row>
    <row r="811" spans="1:29" ht="48" customHeight="1">
      <c r="A811" s="81"/>
      <c r="B811" s="81"/>
      <c r="C811" s="81"/>
      <c r="D811" s="81"/>
      <c r="E811" s="80"/>
      <c r="F811" s="620"/>
      <c r="G811" s="620"/>
      <c r="H811" s="94"/>
      <c r="I811" s="81"/>
      <c r="J811" s="35"/>
      <c r="K811" s="36"/>
      <c r="L811" s="36"/>
      <c r="M811" s="36"/>
      <c r="N811" s="36"/>
      <c r="O811" s="36"/>
      <c r="P811" s="36"/>
      <c r="Q811" s="36"/>
      <c r="R811" s="36"/>
      <c r="S811" s="36"/>
      <c r="T811" s="36"/>
      <c r="U811" s="36"/>
      <c r="V811" s="36"/>
      <c r="W811" s="36"/>
      <c r="X811" s="36"/>
      <c r="Y811" s="36"/>
      <c r="Z811" s="36"/>
      <c r="AA811" s="36"/>
      <c r="AB811" s="36"/>
      <c r="AC811" s="36"/>
    </row>
    <row r="812" spans="1:29" ht="36" customHeight="1">
      <c r="A812" s="81"/>
      <c r="B812" s="81"/>
      <c r="C812" s="81"/>
      <c r="D812" s="81"/>
      <c r="E812" s="80"/>
      <c r="F812" s="620"/>
      <c r="G812" s="620"/>
      <c r="H812" s="94"/>
      <c r="I812" s="81"/>
      <c r="J812" s="35"/>
      <c r="K812" s="36"/>
      <c r="L812" s="36"/>
      <c r="M812" s="36"/>
      <c r="N812" s="36"/>
      <c r="O812" s="36"/>
      <c r="P812" s="36"/>
      <c r="Q812" s="36"/>
      <c r="R812" s="36"/>
      <c r="S812" s="36"/>
      <c r="T812" s="36"/>
      <c r="U812" s="36"/>
      <c r="V812" s="36"/>
      <c r="W812" s="36"/>
      <c r="X812" s="36"/>
      <c r="Y812" s="36"/>
      <c r="Z812" s="36"/>
      <c r="AA812" s="36"/>
      <c r="AB812" s="36"/>
      <c r="AC812" s="36"/>
    </row>
    <row r="813" spans="1:29" ht="36" customHeight="1">
      <c r="A813" s="81"/>
      <c r="B813" s="81"/>
      <c r="C813" s="81"/>
      <c r="D813" s="81"/>
      <c r="E813" s="80"/>
      <c r="F813" s="620"/>
      <c r="G813" s="620"/>
      <c r="H813" s="94"/>
      <c r="I813" s="81"/>
      <c r="J813" s="35"/>
      <c r="K813" s="36"/>
      <c r="L813" s="36"/>
      <c r="M813" s="36"/>
      <c r="N813" s="36"/>
      <c r="O813" s="36"/>
      <c r="P813" s="36"/>
      <c r="Q813" s="36"/>
      <c r="R813" s="36"/>
      <c r="S813" s="36"/>
      <c r="T813" s="36"/>
      <c r="U813" s="36"/>
      <c r="V813" s="36"/>
      <c r="W813" s="36"/>
      <c r="X813" s="36"/>
      <c r="Y813" s="36"/>
      <c r="Z813" s="36"/>
      <c r="AA813" s="36"/>
      <c r="AB813" s="36"/>
      <c r="AC813" s="36"/>
    </row>
    <row r="814" spans="1:29" ht="36" customHeight="1">
      <c r="A814" s="81"/>
      <c r="B814" s="81"/>
      <c r="C814" s="81"/>
      <c r="D814" s="81"/>
      <c r="E814" s="80"/>
      <c r="F814" s="620"/>
      <c r="G814" s="620"/>
      <c r="H814" s="94"/>
      <c r="I814" s="81"/>
      <c r="J814" s="35"/>
      <c r="K814" s="36"/>
      <c r="L814" s="36"/>
      <c r="M814" s="36"/>
      <c r="N814" s="36"/>
      <c r="O814" s="36"/>
      <c r="P814" s="36"/>
      <c r="Q814" s="36"/>
      <c r="R814" s="36"/>
      <c r="S814" s="36"/>
      <c r="T814" s="36"/>
      <c r="U814" s="36"/>
      <c r="V814" s="36"/>
      <c r="W814" s="36"/>
      <c r="X814" s="36"/>
      <c r="Y814" s="36"/>
      <c r="Z814" s="36"/>
      <c r="AA814" s="36"/>
      <c r="AB814" s="36"/>
      <c r="AC814" s="36"/>
    </row>
    <row r="815" spans="1:29" ht="48" customHeight="1">
      <c r="A815" s="81"/>
      <c r="B815" s="81"/>
      <c r="C815" s="81"/>
      <c r="D815" s="81"/>
      <c r="E815" s="80"/>
      <c r="F815" s="620"/>
      <c r="G815" s="620"/>
      <c r="H815" s="94"/>
      <c r="I815" s="81"/>
      <c r="J815" s="35"/>
      <c r="K815" s="36"/>
      <c r="L815" s="36"/>
      <c r="M815" s="36"/>
      <c r="N815" s="36"/>
      <c r="O815" s="36"/>
      <c r="P815" s="36"/>
      <c r="Q815" s="36"/>
      <c r="R815" s="36"/>
      <c r="S815" s="36"/>
      <c r="T815" s="36"/>
      <c r="U815" s="36"/>
      <c r="V815" s="36"/>
      <c r="W815" s="36"/>
      <c r="X815" s="36"/>
      <c r="Y815" s="36"/>
      <c r="Z815" s="36"/>
      <c r="AA815" s="36"/>
      <c r="AB815" s="36"/>
      <c r="AC815" s="36"/>
    </row>
    <row r="816" spans="1:29" ht="48" customHeight="1">
      <c r="A816" s="81"/>
      <c r="B816" s="81"/>
      <c r="C816" s="81"/>
      <c r="D816" s="81"/>
      <c r="E816" s="80"/>
      <c r="F816" s="620"/>
      <c r="G816" s="620"/>
      <c r="H816" s="94"/>
      <c r="I816" s="81"/>
      <c r="J816" s="35"/>
      <c r="K816" s="36"/>
      <c r="L816" s="36"/>
      <c r="M816" s="36"/>
      <c r="N816" s="36"/>
      <c r="O816" s="36"/>
      <c r="P816" s="36"/>
      <c r="Q816" s="36"/>
      <c r="R816" s="36"/>
      <c r="S816" s="36"/>
      <c r="T816" s="36"/>
      <c r="U816" s="36"/>
      <c r="V816" s="36"/>
      <c r="W816" s="36"/>
      <c r="X816" s="36"/>
      <c r="Y816" s="36"/>
      <c r="Z816" s="36"/>
      <c r="AA816" s="36"/>
      <c r="AB816" s="36"/>
      <c r="AC816" s="36"/>
    </row>
    <row r="817" spans="1:29" ht="48" customHeight="1">
      <c r="A817" s="81"/>
      <c r="B817" s="81"/>
      <c r="C817" s="81"/>
      <c r="D817" s="81"/>
      <c r="E817" s="80"/>
      <c r="F817" s="620"/>
      <c r="G817" s="620"/>
      <c r="H817" s="94"/>
      <c r="I817" s="81"/>
      <c r="J817" s="35"/>
      <c r="K817" s="36"/>
      <c r="L817" s="36"/>
      <c r="M817" s="36"/>
      <c r="N817" s="36"/>
      <c r="O817" s="36"/>
      <c r="P817" s="36"/>
      <c r="Q817" s="36"/>
      <c r="R817" s="36"/>
      <c r="S817" s="36"/>
      <c r="T817" s="36"/>
      <c r="U817" s="36"/>
      <c r="V817" s="36"/>
      <c r="W817" s="36"/>
      <c r="X817" s="36"/>
      <c r="Y817" s="36"/>
      <c r="Z817" s="36"/>
      <c r="AA817" s="36"/>
      <c r="AB817" s="36"/>
      <c r="AC817" s="36"/>
    </row>
    <row r="818" spans="1:29" ht="36" customHeight="1">
      <c r="A818" s="81"/>
      <c r="B818" s="81"/>
      <c r="C818" s="81"/>
      <c r="D818" s="81"/>
      <c r="E818" s="80"/>
      <c r="F818" s="620"/>
      <c r="G818" s="620"/>
      <c r="H818" s="94"/>
      <c r="I818" s="81"/>
      <c r="J818" s="35"/>
      <c r="K818" s="36"/>
      <c r="L818" s="36"/>
      <c r="M818" s="36"/>
      <c r="N818" s="36"/>
      <c r="O818" s="36"/>
      <c r="P818" s="36"/>
      <c r="Q818" s="36"/>
      <c r="R818" s="36"/>
      <c r="S818" s="36"/>
      <c r="T818" s="36"/>
      <c r="U818" s="36"/>
      <c r="V818" s="36"/>
      <c r="W818" s="36"/>
      <c r="X818" s="36"/>
      <c r="Y818" s="36"/>
      <c r="Z818" s="36"/>
      <c r="AA818" s="36"/>
      <c r="AB818" s="36"/>
      <c r="AC818" s="36"/>
    </row>
    <row r="819" spans="1:29" ht="24" customHeight="1">
      <c r="A819" s="81"/>
      <c r="B819" s="81"/>
      <c r="C819" s="81"/>
      <c r="D819" s="81"/>
      <c r="E819" s="80"/>
      <c r="F819" s="620"/>
      <c r="G819" s="620"/>
      <c r="H819" s="94"/>
      <c r="I819" s="81"/>
      <c r="J819" s="35"/>
      <c r="K819" s="36"/>
      <c r="L819" s="36"/>
      <c r="M819" s="36"/>
      <c r="N819" s="36"/>
      <c r="O819" s="36"/>
      <c r="P819" s="36"/>
      <c r="Q819" s="36"/>
      <c r="R819" s="36"/>
      <c r="S819" s="36"/>
      <c r="T819" s="36"/>
      <c r="U819" s="36"/>
      <c r="V819" s="36"/>
      <c r="W819" s="36"/>
      <c r="X819" s="36"/>
      <c r="Y819" s="36"/>
      <c r="Z819" s="36"/>
      <c r="AA819" s="36"/>
      <c r="AB819" s="36"/>
      <c r="AC819" s="36"/>
    </row>
    <row r="820" spans="1:29" ht="36" customHeight="1">
      <c r="A820" s="81"/>
      <c r="B820" s="81"/>
      <c r="C820" s="81"/>
      <c r="D820" s="81"/>
      <c r="E820" s="80"/>
      <c r="F820" s="620"/>
      <c r="G820" s="620"/>
      <c r="H820" s="94"/>
      <c r="I820" s="81"/>
      <c r="J820" s="35"/>
      <c r="K820" s="36"/>
      <c r="L820" s="36"/>
      <c r="M820" s="36"/>
      <c r="N820" s="36"/>
      <c r="O820" s="36"/>
      <c r="P820" s="36"/>
      <c r="Q820" s="36"/>
      <c r="R820" s="36"/>
      <c r="S820" s="36"/>
      <c r="T820" s="36"/>
      <c r="U820" s="36"/>
      <c r="V820" s="36"/>
      <c r="W820" s="36"/>
      <c r="X820" s="36"/>
      <c r="Y820" s="36"/>
      <c r="Z820" s="36"/>
      <c r="AA820" s="36"/>
      <c r="AB820" s="36"/>
      <c r="AC820" s="36"/>
    </row>
    <row r="821" spans="1:29" ht="36" customHeight="1">
      <c r="A821" s="81"/>
      <c r="B821" s="81"/>
      <c r="C821" s="81"/>
      <c r="D821" s="81"/>
      <c r="E821" s="80"/>
      <c r="F821" s="620"/>
      <c r="G821" s="620"/>
      <c r="H821" s="94"/>
      <c r="I821" s="81"/>
      <c r="J821" s="35"/>
      <c r="K821" s="36"/>
      <c r="L821" s="36"/>
      <c r="M821" s="36"/>
      <c r="N821" s="36"/>
      <c r="O821" s="36"/>
      <c r="P821" s="36"/>
      <c r="Q821" s="36"/>
      <c r="R821" s="36"/>
      <c r="S821" s="36"/>
      <c r="T821" s="36"/>
      <c r="U821" s="36"/>
      <c r="V821" s="36"/>
      <c r="W821" s="36"/>
      <c r="X821" s="36"/>
      <c r="Y821" s="36"/>
      <c r="Z821" s="36"/>
      <c r="AA821" s="36"/>
      <c r="AB821" s="36"/>
      <c r="AC821" s="36"/>
    </row>
    <row r="822" spans="1:29" ht="36" customHeight="1">
      <c r="A822" s="81"/>
      <c r="B822" s="81"/>
      <c r="C822" s="81"/>
      <c r="D822" s="81"/>
      <c r="E822" s="80"/>
      <c r="F822" s="620"/>
      <c r="G822" s="620"/>
      <c r="H822" s="94"/>
      <c r="I822" s="81"/>
      <c r="J822" s="35"/>
      <c r="K822" s="36"/>
      <c r="L822" s="36"/>
      <c r="M822" s="36"/>
      <c r="N822" s="36"/>
      <c r="O822" s="36"/>
      <c r="P822" s="36"/>
      <c r="Q822" s="36"/>
      <c r="R822" s="36"/>
      <c r="S822" s="36"/>
      <c r="T822" s="36"/>
      <c r="U822" s="36"/>
      <c r="V822" s="36"/>
      <c r="W822" s="36"/>
      <c r="X822" s="36"/>
      <c r="Y822" s="36"/>
      <c r="Z822" s="36"/>
      <c r="AA822" s="36"/>
      <c r="AB822" s="36"/>
      <c r="AC822" s="36"/>
    </row>
    <row r="823" spans="1:29" ht="36" customHeight="1">
      <c r="A823" s="81"/>
      <c r="B823" s="81"/>
      <c r="C823" s="81"/>
      <c r="D823" s="81"/>
      <c r="E823" s="80"/>
      <c r="F823" s="620"/>
      <c r="G823" s="620"/>
      <c r="H823" s="94"/>
      <c r="I823" s="81"/>
      <c r="J823" s="35"/>
      <c r="K823" s="36"/>
      <c r="L823" s="36"/>
      <c r="M823" s="36"/>
      <c r="N823" s="36"/>
      <c r="O823" s="36"/>
      <c r="P823" s="36"/>
      <c r="Q823" s="36"/>
      <c r="R823" s="36"/>
      <c r="S823" s="36"/>
      <c r="T823" s="36"/>
      <c r="U823" s="36"/>
      <c r="V823" s="36"/>
      <c r="W823" s="36"/>
      <c r="X823" s="36"/>
      <c r="Y823" s="36"/>
      <c r="Z823" s="36"/>
      <c r="AA823" s="36"/>
      <c r="AB823" s="36"/>
      <c r="AC823" s="36"/>
    </row>
    <row r="824" spans="1:29" ht="288" customHeight="1">
      <c r="A824" s="619"/>
      <c r="B824" s="81"/>
      <c r="C824" s="81"/>
      <c r="D824" s="81"/>
      <c r="E824" s="80"/>
      <c r="F824" s="620"/>
      <c r="G824" s="620"/>
      <c r="H824" s="94"/>
      <c r="I824" s="81"/>
      <c r="J824" s="35"/>
      <c r="K824" s="36"/>
      <c r="L824" s="36"/>
      <c r="M824" s="36"/>
      <c r="N824" s="36"/>
      <c r="O824" s="36"/>
      <c r="P824" s="36"/>
      <c r="Q824" s="36"/>
      <c r="R824" s="36"/>
      <c r="S824" s="36"/>
      <c r="T824" s="36"/>
      <c r="U824" s="36"/>
      <c r="V824" s="36"/>
      <c r="W824" s="36"/>
      <c r="X824" s="36"/>
      <c r="Y824" s="36"/>
      <c r="Z824" s="36"/>
      <c r="AA824" s="36"/>
      <c r="AB824" s="36"/>
      <c r="AC824" s="36"/>
    </row>
    <row r="825" spans="1:29" ht="24" customHeight="1">
      <c r="A825" s="619"/>
      <c r="B825" s="81"/>
      <c r="C825" s="81"/>
      <c r="D825" s="81"/>
      <c r="E825" s="80"/>
      <c r="F825" s="620"/>
      <c r="G825" s="620"/>
      <c r="H825" s="94"/>
      <c r="I825" s="81"/>
      <c r="J825" s="35"/>
      <c r="K825" s="36"/>
      <c r="L825" s="36"/>
      <c r="M825" s="36"/>
      <c r="N825" s="36"/>
      <c r="O825" s="36"/>
      <c r="P825" s="36"/>
      <c r="Q825" s="36"/>
      <c r="R825" s="36"/>
      <c r="S825" s="36"/>
      <c r="T825" s="36"/>
      <c r="U825" s="36"/>
      <c r="V825" s="36"/>
      <c r="W825" s="36"/>
      <c r="X825" s="36"/>
      <c r="Y825" s="36"/>
      <c r="Z825" s="36"/>
      <c r="AA825" s="36"/>
      <c r="AB825" s="36"/>
      <c r="AC825" s="36"/>
    </row>
    <row r="826" spans="1:29" ht="60" customHeight="1">
      <c r="A826" s="619"/>
      <c r="B826" s="81"/>
      <c r="C826" s="81"/>
      <c r="D826" s="81"/>
      <c r="E826" s="80"/>
      <c r="F826" s="620"/>
      <c r="G826" s="620"/>
      <c r="H826" s="94"/>
      <c r="I826" s="81"/>
      <c r="J826" s="35"/>
      <c r="K826" s="36"/>
      <c r="L826" s="36"/>
      <c r="M826" s="36"/>
      <c r="N826" s="36"/>
      <c r="O826" s="36"/>
      <c r="P826" s="36"/>
      <c r="Q826" s="36"/>
      <c r="R826" s="36"/>
      <c r="S826" s="36"/>
      <c r="T826" s="36"/>
      <c r="U826" s="36"/>
      <c r="V826" s="36"/>
      <c r="W826" s="36"/>
      <c r="X826" s="36"/>
      <c r="Y826" s="36"/>
      <c r="Z826" s="36"/>
      <c r="AA826" s="36"/>
      <c r="AB826" s="36"/>
      <c r="AC826" s="36"/>
    </row>
    <row r="827" spans="1:29" ht="24" customHeight="1">
      <c r="A827" s="619"/>
      <c r="B827" s="81"/>
      <c r="C827" s="81"/>
      <c r="D827" s="81"/>
      <c r="E827" s="80"/>
      <c r="F827" s="620"/>
      <c r="G827" s="620"/>
      <c r="H827" s="94"/>
      <c r="I827" s="81"/>
      <c r="J827" s="35"/>
      <c r="K827" s="36"/>
      <c r="L827" s="36"/>
      <c r="M827" s="36"/>
      <c r="N827" s="36"/>
      <c r="O827" s="36"/>
      <c r="P827" s="36"/>
      <c r="Q827" s="36"/>
      <c r="R827" s="36"/>
      <c r="S827" s="36"/>
      <c r="T827" s="36"/>
      <c r="U827" s="36"/>
      <c r="V827" s="36"/>
      <c r="W827" s="36"/>
      <c r="X827" s="36"/>
      <c r="Y827" s="36"/>
      <c r="Z827" s="36"/>
      <c r="AA827" s="36"/>
      <c r="AB827" s="36"/>
      <c r="AC827" s="36"/>
    </row>
    <row r="828" spans="1:29" ht="36" customHeight="1">
      <c r="A828" s="619"/>
      <c r="B828" s="81"/>
      <c r="C828" s="81"/>
      <c r="D828" s="81"/>
      <c r="E828" s="80"/>
      <c r="F828" s="620"/>
      <c r="G828" s="620"/>
      <c r="H828" s="94"/>
      <c r="I828" s="81"/>
      <c r="J828" s="35"/>
      <c r="K828" s="36"/>
      <c r="L828" s="36"/>
      <c r="M828" s="36"/>
      <c r="N828" s="36"/>
      <c r="O828" s="36"/>
      <c r="P828" s="36"/>
      <c r="Q828" s="36"/>
      <c r="R828" s="36"/>
      <c r="S828" s="36"/>
      <c r="T828" s="36"/>
      <c r="U828" s="36"/>
      <c r="V828" s="36"/>
      <c r="W828" s="36"/>
      <c r="X828" s="36"/>
      <c r="Y828" s="36"/>
      <c r="Z828" s="36"/>
      <c r="AA828" s="36"/>
      <c r="AB828" s="36"/>
      <c r="AC828" s="36"/>
    </row>
    <row r="829" spans="1:29" ht="24" customHeight="1">
      <c r="A829" s="619"/>
      <c r="B829" s="81"/>
      <c r="C829" s="81"/>
      <c r="D829" s="81"/>
      <c r="E829" s="80"/>
      <c r="F829" s="620"/>
      <c r="G829" s="620"/>
      <c r="H829" s="94"/>
      <c r="I829" s="81"/>
      <c r="J829" s="35"/>
      <c r="K829" s="36"/>
      <c r="L829" s="36"/>
      <c r="M829" s="36"/>
      <c r="N829" s="36"/>
      <c r="O829" s="36"/>
      <c r="P829" s="36"/>
      <c r="Q829" s="36"/>
      <c r="R829" s="36"/>
      <c r="S829" s="36"/>
      <c r="T829" s="36"/>
      <c r="U829" s="36"/>
      <c r="V829" s="36"/>
      <c r="W829" s="36"/>
      <c r="X829" s="36"/>
      <c r="Y829" s="36"/>
      <c r="Z829" s="36"/>
      <c r="AA829" s="36"/>
      <c r="AB829" s="36"/>
      <c r="AC829" s="36"/>
    </row>
    <row r="830" spans="1:29" ht="48" customHeight="1">
      <c r="A830" s="619"/>
      <c r="B830" s="81"/>
      <c r="C830" s="81"/>
      <c r="D830" s="81"/>
      <c r="E830" s="80"/>
      <c r="F830" s="620"/>
      <c r="G830" s="620"/>
      <c r="H830" s="94"/>
      <c r="I830" s="81"/>
      <c r="J830" s="35"/>
      <c r="K830" s="36"/>
      <c r="L830" s="36"/>
      <c r="M830" s="36"/>
      <c r="N830" s="36"/>
      <c r="O830" s="36"/>
      <c r="P830" s="36"/>
      <c r="Q830" s="36"/>
      <c r="R830" s="36"/>
      <c r="S830" s="36"/>
      <c r="T830" s="36"/>
      <c r="U830" s="36"/>
      <c r="V830" s="36"/>
      <c r="W830" s="36"/>
      <c r="X830" s="36"/>
      <c r="Y830" s="36"/>
      <c r="Z830" s="36"/>
      <c r="AA830" s="36"/>
      <c r="AB830" s="36"/>
      <c r="AC830" s="36"/>
    </row>
    <row r="831" spans="1:29" ht="36" customHeight="1">
      <c r="A831" s="619"/>
      <c r="B831" s="81"/>
      <c r="C831" s="81"/>
      <c r="D831" s="81"/>
      <c r="E831" s="80"/>
      <c r="F831" s="620"/>
      <c r="G831" s="620"/>
      <c r="H831" s="94"/>
      <c r="I831" s="81"/>
      <c r="J831" s="35"/>
      <c r="K831" s="36"/>
      <c r="L831" s="36"/>
      <c r="M831" s="36"/>
      <c r="N831" s="36"/>
      <c r="O831" s="36"/>
      <c r="P831" s="36"/>
      <c r="Q831" s="36"/>
      <c r="R831" s="36"/>
      <c r="S831" s="36"/>
      <c r="T831" s="36"/>
      <c r="U831" s="36"/>
      <c r="V831" s="36"/>
      <c r="W831" s="36"/>
      <c r="X831" s="36"/>
      <c r="Y831" s="36"/>
      <c r="Z831" s="36"/>
      <c r="AA831" s="36"/>
      <c r="AB831" s="36"/>
      <c r="AC831" s="36"/>
    </row>
    <row r="832" spans="1:29" ht="24" customHeight="1">
      <c r="A832" s="619"/>
      <c r="B832" s="81"/>
      <c r="C832" s="81"/>
      <c r="D832" s="81"/>
      <c r="E832" s="80"/>
      <c r="F832" s="620"/>
      <c r="G832" s="620"/>
      <c r="H832" s="94"/>
      <c r="I832" s="81"/>
      <c r="J832" s="35"/>
      <c r="K832" s="36"/>
      <c r="L832" s="36"/>
      <c r="M832" s="36"/>
      <c r="N832" s="36"/>
      <c r="O832" s="36"/>
      <c r="P832" s="36"/>
      <c r="Q832" s="36"/>
      <c r="R832" s="36"/>
      <c r="S832" s="36"/>
      <c r="T832" s="36"/>
      <c r="U832" s="36"/>
      <c r="V832" s="36"/>
      <c r="W832" s="36"/>
      <c r="X832" s="36"/>
      <c r="Y832" s="36"/>
      <c r="Z832" s="36"/>
      <c r="AA832" s="36"/>
      <c r="AB832" s="36"/>
      <c r="AC832" s="36"/>
    </row>
    <row r="833" spans="1:29" ht="24" customHeight="1">
      <c r="A833" s="619"/>
      <c r="B833" s="81"/>
      <c r="C833" s="81"/>
      <c r="D833" s="81"/>
      <c r="E833" s="80"/>
      <c r="F833" s="620"/>
      <c r="G833" s="620"/>
      <c r="H833" s="94"/>
      <c r="I833" s="81"/>
      <c r="J833" s="35"/>
      <c r="K833" s="36"/>
      <c r="L833" s="36"/>
      <c r="M833" s="36"/>
      <c r="N833" s="36"/>
      <c r="O833" s="36"/>
      <c r="P833" s="36"/>
      <c r="Q833" s="36"/>
      <c r="R833" s="36"/>
      <c r="S833" s="36"/>
      <c r="T833" s="36"/>
      <c r="U833" s="36"/>
      <c r="V833" s="36"/>
      <c r="W833" s="36"/>
      <c r="X833" s="36"/>
      <c r="Y833" s="36"/>
      <c r="Z833" s="36"/>
      <c r="AA833" s="36"/>
      <c r="AB833" s="36"/>
      <c r="AC833" s="36"/>
    </row>
    <row r="834" spans="1:29" ht="60" customHeight="1">
      <c r="A834" s="619"/>
      <c r="B834" s="81"/>
      <c r="C834" s="81"/>
      <c r="D834" s="81"/>
      <c r="E834" s="80"/>
      <c r="F834" s="620"/>
      <c r="G834" s="620"/>
      <c r="H834" s="94"/>
      <c r="I834" s="81"/>
      <c r="J834" s="35"/>
      <c r="K834" s="36"/>
      <c r="L834" s="36"/>
      <c r="M834" s="36"/>
      <c r="N834" s="36"/>
      <c r="O834" s="36"/>
      <c r="P834" s="36"/>
      <c r="Q834" s="36"/>
      <c r="R834" s="36"/>
      <c r="S834" s="36"/>
      <c r="T834" s="36"/>
      <c r="U834" s="36"/>
      <c r="V834" s="36"/>
      <c r="W834" s="36"/>
      <c r="X834" s="36"/>
      <c r="Y834" s="36"/>
      <c r="Z834" s="36"/>
      <c r="AA834" s="36"/>
      <c r="AB834" s="36"/>
      <c r="AC834" s="36"/>
    </row>
    <row r="835" spans="1:29" ht="24" customHeight="1">
      <c r="A835" s="619"/>
      <c r="B835" s="81"/>
      <c r="C835" s="81"/>
      <c r="D835" s="81"/>
      <c r="E835" s="80"/>
      <c r="F835" s="620"/>
      <c r="G835" s="620"/>
      <c r="H835" s="94"/>
      <c r="I835" s="81"/>
      <c r="J835" s="35"/>
      <c r="K835" s="36"/>
      <c r="L835" s="36"/>
      <c r="M835" s="36"/>
      <c r="N835" s="36"/>
      <c r="O835" s="36"/>
      <c r="P835" s="36"/>
      <c r="Q835" s="36"/>
      <c r="R835" s="36"/>
      <c r="S835" s="36"/>
      <c r="T835" s="36"/>
      <c r="U835" s="36"/>
      <c r="V835" s="36"/>
      <c r="W835" s="36"/>
      <c r="X835" s="36"/>
      <c r="Y835" s="36"/>
      <c r="Z835" s="36"/>
      <c r="AA835" s="36"/>
      <c r="AB835" s="36"/>
      <c r="AC835" s="36"/>
    </row>
    <row r="836" spans="1:29" ht="36" customHeight="1">
      <c r="A836" s="619"/>
      <c r="B836" s="81"/>
      <c r="C836" s="81"/>
      <c r="D836" s="81"/>
      <c r="E836" s="80"/>
      <c r="F836" s="620"/>
      <c r="G836" s="620"/>
      <c r="H836" s="94"/>
      <c r="I836" s="81"/>
      <c r="J836" s="35"/>
      <c r="K836" s="36"/>
      <c r="L836" s="36"/>
      <c r="M836" s="36"/>
      <c r="N836" s="36"/>
      <c r="O836" s="36"/>
      <c r="P836" s="36"/>
      <c r="Q836" s="36"/>
      <c r="R836" s="36"/>
      <c r="S836" s="36"/>
      <c r="T836" s="36"/>
      <c r="U836" s="36"/>
      <c r="V836" s="36"/>
      <c r="W836" s="36"/>
      <c r="X836" s="36"/>
      <c r="Y836" s="36"/>
      <c r="Z836" s="36"/>
      <c r="AA836" s="36"/>
      <c r="AB836" s="36"/>
      <c r="AC836" s="36"/>
    </row>
    <row r="837" spans="1:29" ht="36" customHeight="1">
      <c r="A837" s="619"/>
      <c r="B837" s="81"/>
      <c r="C837" s="81"/>
      <c r="D837" s="81"/>
      <c r="E837" s="80"/>
      <c r="F837" s="620"/>
      <c r="G837" s="620"/>
      <c r="H837" s="94"/>
      <c r="I837" s="81"/>
      <c r="J837" s="35"/>
      <c r="K837" s="36"/>
      <c r="L837" s="36"/>
      <c r="M837" s="36"/>
      <c r="N837" s="36"/>
      <c r="O837" s="36"/>
      <c r="P837" s="36"/>
      <c r="Q837" s="36"/>
      <c r="R837" s="36"/>
      <c r="S837" s="36"/>
      <c r="T837" s="36"/>
      <c r="U837" s="36"/>
      <c r="V837" s="36"/>
      <c r="W837" s="36"/>
      <c r="X837" s="36"/>
      <c r="Y837" s="36"/>
      <c r="Z837" s="36"/>
      <c r="AA837" s="36"/>
      <c r="AB837" s="36"/>
      <c r="AC837" s="36"/>
    </row>
    <row r="838" spans="1:29" ht="24" customHeight="1">
      <c r="A838" s="81"/>
      <c r="B838" s="81"/>
      <c r="C838" s="81"/>
      <c r="D838" s="81"/>
      <c r="E838" s="80"/>
      <c r="F838" s="620"/>
      <c r="G838" s="620"/>
      <c r="H838" s="94"/>
      <c r="I838" s="81"/>
      <c r="J838" s="35"/>
      <c r="K838" s="36"/>
      <c r="L838" s="36"/>
      <c r="M838" s="36"/>
      <c r="N838" s="36"/>
      <c r="O838" s="36"/>
      <c r="P838" s="36"/>
      <c r="Q838" s="36"/>
      <c r="R838" s="36"/>
      <c r="S838" s="36"/>
      <c r="T838" s="36"/>
      <c r="U838" s="36"/>
      <c r="V838" s="36"/>
      <c r="W838" s="36"/>
      <c r="X838" s="36"/>
      <c r="Y838" s="36"/>
      <c r="Z838" s="36"/>
      <c r="AA838" s="36"/>
      <c r="AB838" s="36"/>
      <c r="AC838" s="36"/>
    </row>
    <row r="839" spans="1:29" ht="24" customHeight="1">
      <c r="A839" s="81"/>
      <c r="B839" s="81"/>
      <c r="C839" s="81"/>
      <c r="D839" s="81"/>
      <c r="E839" s="80"/>
      <c r="F839" s="620"/>
      <c r="G839" s="620"/>
      <c r="H839" s="94"/>
      <c r="I839" s="81"/>
      <c r="J839" s="35"/>
      <c r="K839" s="36"/>
      <c r="L839" s="36"/>
      <c r="M839" s="36"/>
      <c r="N839" s="36"/>
      <c r="O839" s="36"/>
      <c r="P839" s="36"/>
      <c r="Q839" s="36"/>
      <c r="R839" s="36"/>
      <c r="S839" s="36"/>
      <c r="T839" s="36"/>
      <c r="U839" s="36"/>
      <c r="V839" s="36"/>
      <c r="W839" s="36"/>
      <c r="X839" s="36"/>
      <c r="Y839" s="36"/>
      <c r="Z839" s="36"/>
      <c r="AA839" s="36"/>
      <c r="AB839" s="36"/>
      <c r="AC839" s="36"/>
    </row>
    <row r="840" spans="1:29" ht="24" customHeight="1">
      <c r="A840" s="619"/>
      <c r="B840" s="81"/>
      <c r="C840" s="81"/>
      <c r="D840" s="81"/>
      <c r="E840" s="80"/>
      <c r="F840" s="620"/>
      <c r="G840" s="620"/>
      <c r="H840" s="94"/>
      <c r="I840" s="81"/>
      <c r="J840" s="35"/>
      <c r="K840" s="36"/>
      <c r="L840" s="36"/>
      <c r="M840" s="36"/>
      <c r="N840" s="36"/>
      <c r="O840" s="36"/>
      <c r="P840" s="36"/>
      <c r="Q840" s="36"/>
      <c r="R840" s="36"/>
      <c r="S840" s="36"/>
      <c r="T840" s="36"/>
      <c r="U840" s="36"/>
      <c r="V840" s="36"/>
      <c r="W840" s="36"/>
      <c r="X840" s="36"/>
      <c r="Y840" s="36"/>
      <c r="Z840" s="36"/>
      <c r="AA840" s="36"/>
      <c r="AB840" s="36"/>
      <c r="AC840" s="36"/>
    </row>
    <row r="841" spans="1:29" ht="24" customHeight="1">
      <c r="A841" s="619"/>
      <c r="B841" s="81"/>
      <c r="C841" s="81"/>
      <c r="D841" s="81"/>
      <c r="E841" s="80"/>
      <c r="F841" s="620"/>
      <c r="G841" s="620"/>
      <c r="H841" s="94"/>
      <c r="I841" s="81"/>
      <c r="J841" s="35"/>
      <c r="K841" s="36"/>
      <c r="L841" s="36"/>
      <c r="M841" s="36"/>
      <c r="N841" s="36"/>
      <c r="O841" s="36"/>
      <c r="P841" s="36"/>
      <c r="Q841" s="36"/>
      <c r="R841" s="36"/>
      <c r="S841" s="36"/>
      <c r="T841" s="36"/>
      <c r="U841" s="36"/>
      <c r="V841" s="36"/>
      <c r="W841" s="36"/>
      <c r="X841" s="36"/>
      <c r="Y841" s="36"/>
      <c r="Z841" s="36"/>
      <c r="AA841" s="36"/>
      <c r="AB841" s="36"/>
      <c r="AC841" s="36"/>
    </row>
    <row r="842" spans="1:29" ht="24" customHeight="1">
      <c r="A842" s="619"/>
      <c r="B842" s="81"/>
      <c r="C842" s="81"/>
      <c r="D842" s="81"/>
      <c r="E842" s="80"/>
      <c r="F842" s="620"/>
      <c r="G842" s="620"/>
      <c r="H842" s="94"/>
      <c r="I842" s="81"/>
      <c r="J842" s="35"/>
      <c r="K842" s="36"/>
      <c r="L842" s="36"/>
      <c r="M842" s="36"/>
      <c r="N842" s="36"/>
      <c r="O842" s="36"/>
      <c r="P842" s="36"/>
      <c r="Q842" s="36"/>
      <c r="R842" s="36"/>
      <c r="S842" s="36"/>
      <c r="T842" s="36"/>
      <c r="U842" s="36"/>
      <c r="V842" s="36"/>
      <c r="W842" s="36"/>
      <c r="X842" s="36"/>
      <c r="Y842" s="36"/>
      <c r="Z842" s="36"/>
      <c r="AA842" s="36"/>
      <c r="AB842" s="36"/>
      <c r="AC842" s="36"/>
    </row>
    <row r="843" spans="1:29" ht="72" customHeight="1">
      <c r="A843" s="81"/>
      <c r="B843" s="81"/>
      <c r="C843" s="81"/>
      <c r="D843" s="81"/>
      <c r="E843" s="80"/>
      <c r="F843" s="620"/>
      <c r="G843" s="620"/>
      <c r="H843" s="94"/>
      <c r="I843" s="81"/>
      <c r="J843" s="35"/>
      <c r="K843" s="36"/>
      <c r="L843" s="36"/>
      <c r="M843" s="36"/>
      <c r="N843" s="36"/>
      <c r="O843" s="36"/>
      <c r="P843" s="36"/>
      <c r="Q843" s="36"/>
      <c r="R843" s="36"/>
      <c r="S843" s="36"/>
      <c r="T843" s="36"/>
      <c r="U843" s="36"/>
      <c r="V843" s="36"/>
      <c r="W843" s="36"/>
      <c r="X843" s="36"/>
      <c r="Y843" s="36"/>
      <c r="Z843" s="36"/>
      <c r="AA843" s="36"/>
      <c r="AB843" s="36"/>
      <c r="AC843" s="36"/>
    </row>
    <row r="844" spans="1:29" ht="24" customHeight="1">
      <c r="A844" s="81"/>
      <c r="B844" s="81"/>
      <c r="C844" s="81"/>
      <c r="D844" s="81"/>
      <c r="E844" s="80"/>
      <c r="F844" s="620"/>
      <c r="G844" s="620"/>
      <c r="H844" s="94"/>
      <c r="I844" s="81"/>
      <c r="J844" s="35"/>
      <c r="K844" s="36"/>
      <c r="L844" s="36"/>
      <c r="M844" s="36"/>
      <c r="N844" s="36"/>
      <c r="O844" s="36"/>
      <c r="P844" s="36"/>
      <c r="Q844" s="36"/>
      <c r="R844" s="36"/>
      <c r="S844" s="36"/>
      <c r="T844" s="36"/>
      <c r="U844" s="36"/>
      <c r="V844" s="36"/>
      <c r="W844" s="36"/>
      <c r="X844" s="36"/>
      <c r="Y844" s="36"/>
      <c r="Z844" s="36"/>
      <c r="AA844" s="36"/>
      <c r="AB844" s="36"/>
      <c r="AC844" s="36"/>
    </row>
    <row r="845" spans="1:29" ht="60" customHeight="1">
      <c r="A845" s="81"/>
      <c r="B845" s="81"/>
      <c r="C845" s="81"/>
      <c r="D845" s="81"/>
      <c r="E845" s="80"/>
      <c r="F845" s="620"/>
      <c r="G845" s="620"/>
      <c r="H845" s="94"/>
      <c r="I845" s="81"/>
      <c r="J845" s="35"/>
      <c r="K845" s="36"/>
      <c r="L845" s="36"/>
      <c r="M845" s="36"/>
      <c r="N845" s="36"/>
      <c r="O845" s="36"/>
      <c r="P845" s="36"/>
      <c r="Q845" s="36"/>
      <c r="R845" s="36"/>
      <c r="S845" s="36"/>
      <c r="T845" s="36"/>
      <c r="U845" s="36"/>
      <c r="V845" s="36"/>
      <c r="W845" s="36"/>
      <c r="X845" s="36"/>
      <c r="Y845" s="36"/>
      <c r="Z845" s="36"/>
      <c r="AA845" s="36"/>
      <c r="AB845" s="36"/>
      <c r="AC845" s="36"/>
    </row>
    <row r="846" spans="1:29" ht="72" customHeight="1">
      <c r="A846" s="81"/>
      <c r="B846" s="81"/>
      <c r="C846" s="81"/>
      <c r="D846" s="81"/>
      <c r="E846" s="80"/>
      <c r="F846" s="620"/>
      <c r="G846" s="620"/>
      <c r="H846" s="94"/>
      <c r="I846" s="81"/>
      <c r="J846" s="35"/>
      <c r="K846" s="36"/>
      <c r="L846" s="36"/>
      <c r="M846" s="36"/>
      <c r="N846" s="36"/>
      <c r="O846" s="36"/>
      <c r="P846" s="36"/>
      <c r="Q846" s="36"/>
      <c r="R846" s="36"/>
      <c r="S846" s="36"/>
      <c r="T846" s="36"/>
      <c r="U846" s="36"/>
      <c r="V846" s="36"/>
      <c r="W846" s="36"/>
      <c r="X846" s="36"/>
      <c r="Y846" s="36"/>
      <c r="Z846" s="36"/>
      <c r="AA846" s="36"/>
      <c r="AB846" s="36"/>
      <c r="AC846" s="36"/>
    </row>
    <row r="847" spans="1:29" ht="36" customHeight="1">
      <c r="A847" s="81"/>
      <c r="B847" s="81"/>
      <c r="C847" s="81"/>
      <c r="D847" s="81"/>
      <c r="E847" s="80"/>
      <c r="F847" s="620"/>
      <c r="G847" s="620"/>
      <c r="H847" s="94"/>
      <c r="I847" s="81"/>
      <c r="J847" s="35"/>
      <c r="K847" s="36"/>
      <c r="L847" s="36"/>
      <c r="M847" s="36"/>
      <c r="N847" s="36"/>
      <c r="O847" s="36"/>
      <c r="P847" s="36"/>
      <c r="Q847" s="36"/>
      <c r="R847" s="36"/>
      <c r="S847" s="36"/>
      <c r="T847" s="36"/>
      <c r="U847" s="36"/>
      <c r="V847" s="36"/>
      <c r="W847" s="36"/>
      <c r="X847" s="36"/>
      <c r="Y847" s="36"/>
      <c r="Z847" s="36"/>
      <c r="AA847" s="36"/>
      <c r="AB847" s="36"/>
      <c r="AC847" s="36"/>
    </row>
    <row r="848" spans="1:29" ht="36" customHeight="1">
      <c r="A848" s="81"/>
      <c r="B848" s="81"/>
      <c r="C848" s="81"/>
      <c r="D848" s="81"/>
      <c r="E848" s="80"/>
      <c r="F848" s="620"/>
      <c r="G848" s="620"/>
      <c r="H848" s="94"/>
      <c r="I848" s="81"/>
      <c r="J848" s="35"/>
      <c r="K848" s="36"/>
      <c r="L848" s="36"/>
      <c r="M848" s="36"/>
      <c r="N848" s="36"/>
      <c r="O848" s="36"/>
      <c r="P848" s="36"/>
      <c r="Q848" s="36"/>
      <c r="R848" s="36"/>
      <c r="S848" s="36"/>
      <c r="T848" s="36"/>
      <c r="U848" s="36"/>
      <c r="V848" s="36"/>
      <c r="W848" s="36"/>
      <c r="X848" s="36"/>
      <c r="Y848" s="36"/>
      <c r="Z848" s="36"/>
      <c r="AA848" s="36"/>
      <c r="AB848" s="36"/>
      <c r="AC848" s="36"/>
    </row>
    <row r="849" spans="1:29" ht="24" customHeight="1">
      <c r="A849" s="81"/>
      <c r="B849" s="81"/>
      <c r="C849" s="81"/>
      <c r="D849" s="81"/>
      <c r="E849" s="80"/>
      <c r="F849" s="620"/>
      <c r="G849" s="620"/>
      <c r="H849" s="94"/>
      <c r="I849" s="81"/>
      <c r="J849" s="35"/>
      <c r="K849" s="36"/>
      <c r="L849" s="36"/>
      <c r="M849" s="36"/>
      <c r="N849" s="36"/>
      <c r="O849" s="36"/>
      <c r="P849" s="36"/>
      <c r="Q849" s="36"/>
      <c r="R849" s="36"/>
      <c r="S849" s="36"/>
      <c r="T849" s="36"/>
      <c r="U849" s="36"/>
      <c r="V849" s="36"/>
      <c r="W849" s="36"/>
      <c r="X849" s="36"/>
      <c r="Y849" s="36"/>
      <c r="Z849" s="36"/>
      <c r="AA849" s="36"/>
      <c r="AB849" s="36"/>
      <c r="AC849" s="36"/>
    </row>
    <row r="850" spans="1:29" ht="24" customHeight="1">
      <c r="A850" s="81"/>
      <c r="B850" s="81"/>
      <c r="C850" s="81"/>
      <c r="D850" s="81"/>
      <c r="E850" s="80"/>
      <c r="F850" s="620"/>
      <c r="G850" s="620"/>
      <c r="H850" s="94"/>
      <c r="I850" s="81"/>
      <c r="J850" s="35"/>
      <c r="K850" s="36"/>
      <c r="L850" s="36"/>
      <c r="M850" s="36"/>
      <c r="N850" s="36"/>
      <c r="O850" s="36"/>
      <c r="P850" s="36"/>
      <c r="Q850" s="36"/>
      <c r="R850" s="36"/>
      <c r="S850" s="36"/>
      <c r="T850" s="36"/>
      <c r="U850" s="36"/>
      <c r="V850" s="36"/>
      <c r="W850" s="36"/>
      <c r="X850" s="36"/>
      <c r="Y850" s="36"/>
      <c r="Z850" s="36"/>
      <c r="AA850" s="36"/>
      <c r="AB850" s="36"/>
      <c r="AC850" s="36"/>
    </row>
    <row r="851" spans="1:29" ht="36" customHeight="1">
      <c r="A851" s="81"/>
      <c r="B851" s="81"/>
      <c r="C851" s="81"/>
      <c r="D851" s="81"/>
      <c r="E851" s="80"/>
      <c r="F851" s="620"/>
      <c r="G851" s="620"/>
      <c r="H851" s="94"/>
      <c r="I851" s="81"/>
      <c r="J851" s="35"/>
      <c r="K851" s="36"/>
      <c r="L851" s="36"/>
      <c r="M851" s="36"/>
      <c r="N851" s="36"/>
      <c r="O851" s="36"/>
      <c r="P851" s="36"/>
      <c r="Q851" s="36"/>
      <c r="R851" s="36"/>
      <c r="S851" s="36"/>
      <c r="T851" s="36"/>
      <c r="U851" s="36"/>
      <c r="V851" s="36"/>
      <c r="W851" s="36"/>
      <c r="X851" s="36"/>
      <c r="Y851" s="36"/>
      <c r="Z851" s="36"/>
      <c r="AA851" s="36"/>
      <c r="AB851" s="36"/>
      <c r="AC851" s="36"/>
    </row>
    <row r="852" spans="1:29" ht="36" customHeight="1">
      <c r="A852" s="81"/>
      <c r="B852" s="81"/>
      <c r="C852" s="81"/>
      <c r="D852" s="81"/>
      <c r="E852" s="80"/>
      <c r="F852" s="620"/>
      <c r="G852" s="620"/>
      <c r="H852" s="94"/>
      <c r="I852" s="81"/>
      <c r="J852" s="35"/>
      <c r="K852" s="36"/>
      <c r="L852" s="36"/>
      <c r="M852" s="36"/>
      <c r="N852" s="36"/>
      <c r="O852" s="36"/>
      <c r="P852" s="36"/>
      <c r="Q852" s="36"/>
      <c r="R852" s="36"/>
      <c r="S852" s="36"/>
      <c r="T852" s="36"/>
      <c r="U852" s="36"/>
      <c r="V852" s="36"/>
      <c r="W852" s="36"/>
      <c r="X852" s="36"/>
      <c r="Y852" s="36"/>
      <c r="Z852" s="36"/>
      <c r="AA852" s="36"/>
      <c r="AB852" s="36"/>
      <c r="AC852" s="36"/>
    </row>
    <row r="853" spans="1:29" ht="36" customHeight="1">
      <c r="A853" s="81"/>
      <c r="B853" s="81"/>
      <c r="C853" s="81"/>
      <c r="D853" s="81"/>
      <c r="E853" s="80"/>
      <c r="F853" s="620"/>
      <c r="G853" s="620"/>
      <c r="H853" s="94"/>
      <c r="I853" s="81"/>
      <c r="J853" s="35"/>
      <c r="K853" s="36"/>
      <c r="L853" s="36"/>
      <c r="M853" s="36"/>
      <c r="N853" s="36"/>
      <c r="O853" s="36"/>
      <c r="P853" s="36"/>
      <c r="Q853" s="36"/>
      <c r="R853" s="36"/>
      <c r="S853" s="36"/>
      <c r="T853" s="36"/>
      <c r="U853" s="36"/>
      <c r="V853" s="36"/>
      <c r="W853" s="36"/>
      <c r="X853" s="36"/>
      <c r="Y853" s="36"/>
      <c r="Z853" s="36"/>
      <c r="AA853" s="36"/>
      <c r="AB853" s="36"/>
      <c r="AC853" s="36"/>
    </row>
    <row r="854" spans="1:29" ht="36" customHeight="1">
      <c r="A854" s="81"/>
      <c r="B854" s="81"/>
      <c r="C854" s="81"/>
      <c r="D854" s="81"/>
      <c r="E854" s="80"/>
      <c r="F854" s="620"/>
      <c r="G854" s="620"/>
      <c r="H854" s="94"/>
      <c r="I854" s="81"/>
      <c r="J854" s="35"/>
      <c r="K854" s="36"/>
      <c r="L854" s="36"/>
      <c r="M854" s="36"/>
      <c r="N854" s="36"/>
      <c r="O854" s="36"/>
      <c r="P854" s="36"/>
      <c r="Q854" s="36"/>
      <c r="R854" s="36"/>
      <c r="S854" s="36"/>
      <c r="T854" s="36"/>
      <c r="U854" s="36"/>
      <c r="V854" s="36"/>
      <c r="W854" s="36"/>
      <c r="X854" s="36"/>
      <c r="Y854" s="36"/>
      <c r="Z854" s="36"/>
      <c r="AA854" s="36"/>
      <c r="AB854" s="36"/>
      <c r="AC854" s="36"/>
    </row>
    <row r="855" spans="1:29" ht="24" customHeight="1">
      <c r="A855" s="81"/>
      <c r="B855" s="81"/>
      <c r="C855" s="81"/>
      <c r="D855" s="81"/>
      <c r="E855" s="80"/>
      <c r="F855" s="620"/>
      <c r="G855" s="620"/>
      <c r="H855" s="94"/>
      <c r="I855" s="81"/>
      <c r="J855" s="35"/>
      <c r="K855" s="36"/>
      <c r="L855" s="36"/>
      <c r="M855" s="36"/>
      <c r="N855" s="36"/>
      <c r="O855" s="36"/>
      <c r="P855" s="36"/>
      <c r="Q855" s="36"/>
      <c r="R855" s="36"/>
      <c r="S855" s="36"/>
      <c r="T855" s="36"/>
      <c r="U855" s="36"/>
      <c r="V855" s="36"/>
      <c r="W855" s="36"/>
      <c r="X855" s="36"/>
      <c r="Y855" s="36"/>
      <c r="Z855" s="36"/>
      <c r="AA855" s="36"/>
      <c r="AB855" s="36"/>
      <c r="AC855" s="36"/>
    </row>
    <row r="856" spans="1:29" ht="48" customHeight="1">
      <c r="A856" s="81"/>
      <c r="B856" s="81"/>
      <c r="C856" s="81"/>
      <c r="D856" s="81"/>
      <c r="E856" s="80"/>
      <c r="F856" s="620"/>
      <c r="G856" s="620"/>
      <c r="H856" s="94"/>
      <c r="I856" s="81"/>
      <c r="J856" s="35"/>
      <c r="K856" s="36"/>
      <c r="L856" s="36"/>
      <c r="M856" s="36"/>
      <c r="N856" s="36"/>
      <c r="O856" s="36"/>
      <c r="P856" s="36"/>
      <c r="Q856" s="36"/>
      <c r="R856" s="36"/>
      <c r="S856" s="36"/>
      <c r="T856" s="36"/>
      <c r="U856" s="36"/>
      <c r="V856" s="36"/>
      <c r="W856" s="36"/>
      <c r="X856" s="36"/>
      <c r="Y856" s="36"/>
      <c r="Z856" s="36"/>
      <c r="AA856" s="36"/>
      <c r="AB856" s="36"/>
      <c r="AC856" s="36"/>
    </row>
    <row r="857" spans="1:29" ht="36" customHeight="1">
      <c r="A857" s="81"/>
      <c r="B857" s="81"/>
      <c r="C857" s="81"/>
      <c r="D857" s="81"/>
      <c r="E857" s="80"/>
      <c r="F857" s="620"/>
      <c r="G857" s="620"/>
      <c r="H857" s="94"/>
      <c r="I857" s="81"/>
      <c r="J857" s="35"/>
      <c r="K857" s="36"/>
      <c r="L857" s="36"/>
      <c r="M857" s="36"/>
      <c r="N857" s="36"/>
      <c r="O857" s="36"/>
      <c r="P857" s="36"/>
      <c r="Q857" s="36"/>
      <c r="R857" s="36"/>
      <c r="S857" s="36"/>
      <c r="T857" s="36"/>
      <c r="U857" s="36"/>
      <c r="V857" s="36"/>
      <c r="W857" s="36"/>
      <c r="X857" s="36"/>
      <c r="Y857" s="36"/>
      <c r="Z857" s="36"/>
      <c r="AA857" s="36"/>
      <c r="AB857" s="36"/>
      <c r="AC857" s="36"/>
    </row>
    <row r="858" spans="1:29" ht="48" customHeight="1">
      <c r="A858" s="81"/>
      <c r="B858" s="81"/>
      <c r="C858" s="81"/>
      <c r="D858" s="81"/>
      <c r="E858" s="80"/>
      <c r="F858" s="620"/>
      <c r="G858" s="620"/>
      <c r="H858" s="94"/>
      <c r="I858" s="81"/>
      <c r="J858" s="35"/>
      <c r="K858" s="36"/>
      <c r="L858" s="36"/>
      <c r="M858" s="36"/>
      <c r="N858" s="36"/>
      <c r="O858" s="36"/>
      <c r="P858" s="36"/>
      <c r="Q858" s="36"/>
      <c r="R858" s="36"/>
      <c r="S858" s="36"/>
      <c r="T858" s="36"/>
      <c r="U858" s="36"/>
      <c r="V858" s="36"/>
      <c r="W858" s="36"/>
      <c r="X858" s="36"/>
      <c r="Y858" s="36"/>
      <c r="Z858" s="36"/>
      <c r="AA858" s="36"/>
      <c r="AB858" s="36"/>
      <c r="AC858" s="36"/>
    </row>
    <row r="859" spans="1:29" ht="24" customHeight="1">
      <c r="A859" s="81"/>
      <c r="B859" s="81"/>
      <c r="C859" s="81"/>
      <c r="D859" s="81"/>
      <c r="E859" s="80"/>
      <c r="F859" s="620"/>
      <c r="G859" s="620"/>
      <c r="H859" s="94"/>
      <c r="I859" s="81"/>
      <c r="J859" s="35"/>
      <c r="K859" s="36"/>
      <c r="L859" s="36"/>
      <c r="M859" s="36"/>
      <c r="N859" s="36"/>
      <c r="O859" s="36"/>
      <c r="P859" s="36"/>
      <c r="Q859" s="36"/>
      <c r="R859" s="36"/>
      <c r="S859" s="36"/>
      <c r="T859" s="36"/>
      <c r="U859" s="36"/>
      <c r="V859" s="36"/>
      <c r="W859" s="36"/>
      <c r="X859" s="36"/>
      <c r="Y859" s="36"/>
      <c r="Z859" s="36"/>
      <c r="AA859" s="36"/>
      <c r="AB859" s="36"/>
      <c r="AC859" s="36"/>
    </row>
    <row r="860" spans="1:29" ht="48" customHeight="1">
      <c r="A860" s="81"/>
      <c r="B860" s="81"/>
      <c r="C860" s="81"/>
      <c r="D860" s="81"/>
      <c r="E860" s="80"/>
      <c r="F860" s="620"/>
      <c r="G860" s="620"/>
      <c r="H860" s="94"/>
      <c r="I860" s="81"/>
      <c r="J860" s="35"/>
      <c r="K860" s="36"/>
      <c r="L860" s="36"/>
      <c r="M860" s="36"/>
      <c r="N860" s="36"/>
      <c r="O860" s="36"/>
      <c r="P860" s="36"/>
      <c r="Q860" s="36"/>
      <c r="R860" s="36"/>
      <c r="S860" s="36"/>
      <c r="T860" s="36"/>
      <c r="U860" s="36"/>
      <c r="V860" s="36"/>
      <c r="W860" s="36"/>
      <c r="X860" s="36"/>
      <c r="Y860" s="36"/>
      <c r="Z860" s="36"/>
      <c r="AA860" s="36"/>
      <c r="AB860" s="36"/>
      <c r="AC860" s="36"/>
    </row>
    <row r="861" spans="1:29" ht="24" customHeight="1">
      <c r="A861" s="81"/>
      <c r="B861" s="81"/>
      <c r="C861" s="81"/>
      <c r="D861" s="81"/>
      <c r="E861" s="80"/>
      <c r="F861" s="620"/>
      <c r="G861" s="620"/>
      <c r="H861" s="94"/>
      <c r="I861" s="81"/>
      <c r="J861" s="35"/>
      <c r="K861" s="36"/>
      <c r="L861" s="36"/>
      <c r="M861" s="36"/>
      <c r="N861" s="36"/>
      <c r="O861" s="36"/>
      <c r="P861" s="36"/>
      <c r="Q861" s="36"/>
      <c r="R861" s="36"/>
      <c r="S861" s="36"/>
      <c r="T861" s="36"/>
      <c r="U861" s="36"/>
      <c r="V861" s="36"/>
      <c r="W861" s="36"/>
      <c r="X861" s="36"/>
      <c r="Y861" s="36"/>
      <c r="Z861" s="36"/>
      <c r="AA861" s="36"/>
      <c r="AB861" s="36"/>
      <c r="AC861" s="36"/>
    </row>
    <row r="862" spans="1:29" ht="36" customHeight="1">
      <c r="A862" s="81"/>
      <c r="B862" s="81"/>
      <c r="C862" s="81"/>
      <c r="D862" s="81"/>
      <c r="E862" s="80"/>
      <c r="F862" s="620"/>
      <c r="G862" s="620"/>
      <c r="H862" s="94"/>
      <c r="I862" s="81"/>
      <c r="J862" s="35"/>
      <c r="K862" s="36"/>
      <c r="L862" s="36"/>
      <c r="M862" s="36"/>
      <c r="N862" s="36"/>
      <c r="O862" s="36"/>
      <c r="P862" s="36"/>
      <c r="Q862" s="36"/>
      <c r="R862" s="36"/>
      <c r="S862" s="36"/>
      <c r="T862" s="36"/>
      <c r="U862" s="36"/>
      <c r="V862" s="36"/>
      <c r="W862" s="36"/>
      <c r="X862" s="36"/>
      <c r="Y862" s="36"/>
      <c r="Z862" s="36"/>
      <c r="AA862" s="36"/>
      <c r="AB862" s="36"/>
      <c r="AC862" s="36"/>
    </row>
    <row r="863" spans="1:29" ht="24" customHeight="1">
      <c r="A863" s="81"/>
      <c r="B863" s="81"/>
      <c r="C863" s="81"/>
      <c r="D863" s="81"/>
      <c r="E863" s="80"/>
      <c r="F863" s="620"/>
      <c r="G863" s="620"/>
      <c r="H863" s="94"/>
      <c r="I863" s="81"/>
      <c r="J863" s="35"/>
      <c r="K863" s="36"/>
      <c r="L863" s="36"/>
      <c r="M863" s="36"/>
      <c r="N863" s="36"/>
      <c r="O863" s="36"/>
      <c r="P863" s="36"/>
      <c r="Q863" s="36"/>
      <c r="R863" s="36"/>
      <c r="S863" s="36"/>
      <c r="T863" s="36"/>
      <c r="U863" s="36"/>
      <c r="V863" s="36"/>
      <c r="W863" s="36"/>
      <c r="X863" s="36"/>
      <c r="Y863" s="36"/>
      <c r="Z863" s="36"/>
      <c r="AA863" s="36"/>
      <c r="AB863" s="36"/>
      <c r="AC863" s="36"/>
    </row>
    <row r="864" spans="1:29" ht="48" customHeight="1">
      <c r="A864" s="81"/>
      <c r="B864" s="81"/>
      <c r="C864" s="81"/>
      <c r="D864" s="81"/>
      <c r="E864" s="80"/>
      <c r="F864" s="620"/>
      <c r="G864" s="620"/>
      <c r="H864" s="94"/>
      <c r="I864" s="81"/>
      <c r="J864" s="35"/>
      <c r="K864" s="36"/>
      <c r="L864" s="36"/>
      <c r="M864" s="36"/>
      <c r="N864" s="36"/>
      <c r="O864" s="36"/>
      <c r="P864" s="36"/>
      <c r="Q864" s="36"/>
      <c r="R864" s="36"/>
      <c r="S864" s="36"/>
      <c r="T864" s="36"/>
      <c r="U864" s="36"/>
      <c r="V864" s="36"/>
      <c r="W864" s="36"/>
      <c r="X864" s="36"/>
      <c r="Y864" s="36"/>
      <c r="Z864" s="36"/>
      <c r="AA864" s="36"/>
      <c r="AB864" s="36"/>
      <c r="AC864" s="36"/>
    </row>
    <row r="865" spans="1:29" ht="24" customHeight="1">
      <c r="A865" s="81"/>
      <c r="B865" s="81"/>
      <c r="C865" s="81"/>
      <c r="D865" s="81"/>
      <c r="E865" s="80"/>
      <c r="F865" s="620"/>
      <c r="G865" s="620"/>
      <c r="H865" s="94"/>
      <c r="I865" s="81"/>
      <c r="J865" s="35"/>
      <c r="K865" s="36"/>
      <c r="L865" s="36"/>
      <c r="M865" s="36"/>
      <c r="N865" s="36"/>
      <c r="O865" s="36"/>
      <c r="P865" s="36"/>
      <c r="Q865" s="36"/>
      <c r="R865" s="36"/>
      <c r="S865" s="36"/>
      <c r="T865" s="36"/>
      <c r="U865" s="36"/>
      <c r="V865" s="36"/>
      <c r="W865" s="36"/>
      <c r="X865" s="36"/>
      <c r="Y865" s="36"/>
      <c r="Z865" s="36"/>
      <c r="AA865" s="36"/>
      <c r="AB865" s="36"/>
      <c r="AC865" s="36"/>
    </row>
    <row r="866" spans="1:29" ht="24" customHeight="1">
      <c r="A866" s="81"/>
      <c r="B866" s="81"/>
      <c r="C866" s="81"/>
      <c r="D866" s="81"/>
      <c r="E866" s="80"/>
      <c r="F866" s="620"/>
      <c r="G866" s="620"/>
      <c r="H866" s="94"/>
      <c r="I866" s="81"/>
      <c r="J866" s="35"/>
      <c r="K866" s="36"/>
      <c r="L866" s="36"/>
      <c r="M866" s="36"/>
      <c r="N866" s="36"/>
      <c r="O866" s="36"/>
      <c r="P866" s="36"/>
      <c r="Q866" s="36"/>
      <c r="R866" s="36"/>
      <c r="S866" s="36"/>
      <c r="T866" s="36"/>
      <c r="U866" s="36"/>
      <c r="V866" s="36"/>
      <c r="W866" s="36"/>
      <c r="X866" s="36"/>
      <c r="Y866" s="36"/>
      <c r="Z866" s="36"/>
      <c r="AA866" s="36"/>
      <c r="AB866" s="36"/>
      <c r="AC866" s="36"/>
    </row>
    <row r="867" spans="1:29" ht="36" customHeight="1">
      <c r="A867" s="81"/>
      <c r="B867" s="81"/>
      <c r="C867" s="81"/>
      <c r="D867" s="81"/>
      <c r="E867" s="80"/>
      <c r="F867" s="620"/>
      <c r="G867" s="620"/>
      <c r="H867" s="94"/>
      <c r="I867" s="81"/>
      <c r="J867" s="35"/>
      <c r="K867" s="36"/>
      <c r="L867" s="36"/>
      <c r="M867" s="36"/>
      <c r="N867" s="36"/>
      <c r="O867" s="36"/>
      <c r="P867" s="36"/>
      <c r="Q867" s="36"/>
      <c r="R867" s="36"/>
      <c r="S867" s="36"/>
      <c r="T867" s="36"/>
      <c r="U867" s="36"/>
      <c r="V867" s="36"/>
      <c r="W867" s="36"/>
      <c r="X867" s="36"/>
      <c r="Y867" s="36"/>
      <c r="Z867" s="36"/>
      <c r="AA867" s="36"/>
      <c r="AB867" s="36"/>
      <c r="AC867" s="36"/>
    </row>
    <row r="868" spans="1:29" ht="24" customHeight="1">
      <c r="A868" s="81"/>
      <c r="B868" s="81"/>
      <c r="C868" s="81"/>
      <c r="D868" s="81"/>
      <c r="E868" s="80"/>
      <c r="F868" s="620"/>
      <c r="G868" s="620"/>
      <c r="H868" s="94"/>
      <c r="I868" s="81"/>
      <c r="J868" s="35"/>
      <c r="K868" s="36"/>
      <c r="L868" s="36"/>
      <c r="M868" s="36"/>
      <c r="N868" s="36"/>
      <c r="O868" s="36"/>
      <c r="P868" s="36"/>
      <c r="Q868" s="36"/>
      <c r="R868" s="36"/>
      <c r="S868" s="36"/>
      <c r="T868" s="36"/>
      <c r="U868" s="36"/>
      <c r="V868" s="36"/>
      <c r="W868" s="36"/>
      <c r="X868" s="36"/>
      <c r="Y868" s="36"/>
      <c r="Z868" s="36"/>
      <c r="AA868" s="36"/>
      <c r="AB868" s="36"/>
      <c r="AC868" s="36"/>
    </row>
    <row r="869" spans="1:29" ht="24" customHeight="1">
      <c r="A869" s="81"/>
      <c r="B869" s="81"/>
      <c r="C869" s="81"/>
      <c r="D869" s="81"/>
      <c r="E869" s="80"/>
      <c r="F869" s="620"/>
      <c r="G869" s="620"/>
      <c r="H869" s="94"/>
      <c r="I869" s="81"/>
      <c r="J869" s="35"/>
      <c r="K869" s="36"/>
      <c r="L869" s="36"/>
      <c r="M869" s="36"/>
      <c r="N869" s="36"/>
      <c r="O869" s="36"/>
      <c r="P869" s="36"/>
      <c r="Q869" s="36"/>
      <c r="R869" s="36"/>
      <c r="S869" s="36"/>
      <c r="T869" s="36"/>
      <c r="U869" s="36"/>
      <c r="V869" s="36"/>
      <c r="W869" s="36"/>
      <c r="X869" s="36"/>
      <c r="Y869" s="36"/>
      <c r="Z869" s="36"/>
      <c r="AA869" s="36"/>
      <c r="AB869" s="36"/>
      <c r="AC869" s="36"/>
    </row>
    <row r="870" spans="1:29" ht="12" customHeight="1">
      <c r="A870" s="619"/>
      <c r="B870" s="81"/>
      <c r="C870" s="81"/>
      <c r="D870" s="81"/>
      <c r="E870" s="80"/>
      <c r="F870" s="620"/>
      <c r="G870" s="620"/>
      <c r="H870" s="94"/>
      <c r="I870" s="81"/>
      <c r="J870" s="35"/>
      <c r="K870" s="36"/>
      <c r="L870" s="36"/>
      <c r="M870" s="36"/>
      <c r="N870" s="36"/>
      <c r="O870" s="36"/>
      <c r="P870" s="36"/>
      <c r="Q870" s="36"/>
      <c r="R870" s="36"/>
      <c r="S870" s="36"/>
      <c r="T870" s="36"/>
      <c r="U870" s="36"/>
      <c r="V870" s="36"/>
      <c r="W870" s="36"/>
      <c r="X870" s="36"/>
      <c r="Y870" s="36"/>
      <c r="Z870" s="36"/>
      <c r="AA870" s="36"/>
      <c r="AB870" s="36"/>
      <c r="AC870" s="36"/>
    </row>
    <row r="871" spans="1:29" ht="48" customHeight="1">
      <c r="A871" s="81"/>
      <c r="B871" s="81"/>
      <c r="C871" s="81"/>
      <c r="D871" s="81"/>
      <c r="E871" s="80"/>
      <c r="F871" s="620"/>
      <c r="G871" s="620"/>
      <c r="H871" s="94"/>
      <c r="I871" s="81"/>
      <c r="J871" s="35"/>
      <c r="K871" s="36"/>
      <c r="L871" s="36"/>
      <c r="M871" s="36"/>
      <c r="N871" s="36"/>
      <c r="O871" s="36"/>
      <c r="P871" s="36"/>
      <c r="Q871" s="36"/>
      <c r="R871" s="36"/>
      <c r="S871" s="36"/>
      <c r="T871" s="36"/>
      <c r="U871" s="36"/>
      <c r="V871" s="36"/>
      <c r="W871" s="36"/>
      <c r="X871" s="36"/>
      <c r="Y871" s="36"/>
      <c r="Z871" s="36"/>
      <c r="AA871" s="36"/>
      <c r="AB871" s="36"/>
      <c r="AC871" s="36"/>
    </row>
    <row r="872" spans="1:29" ht="24" customHeight="1">
      <c r="A872" s="81"/>
      <c r="B872" s="81"/>
      <c r="C872" s="81"/>
      <c r="D872" s="81"/>
      <c r="E872" s="80"/>
      <c r="F872" s="620"/>
      <c r="G872" s="620"/>
      <c r="H872" s="94"/>
      <c r="I872" s="81"/>
      <c r="J872" s="35"/>
      <c r="K872" s="36"/>
      <c r="L872" s="36"/>
      <c r="M872" s="36"/>
      <c r="N872" s="36"/>
      <c r="O872" s="36"/>
      <c r="P872" s="36"/>
      <c r="Q872" s="36"/>
      <c r="R872" s="36"/>
      <c r="S872" s="36"/>
      <c r="T872" s="36"/>
      <c r="U872" s="36"/>
      <c r="V872" s="36"/>
      <c r="W872" s="36"/>
      <c r="X872" s="36"/>
      <c r="Y872" s="36"/>
      <c r="Z872" s="36"/>
      <c r="AA872" s="36"/>
      <c r="AB872" s="36"/>
      <c r="AC872" s="36"/>
    </row>
    <row r="873" spans="1:29" ht="36" customHeight="1">
      <c r="A873" s="81"/>
      <c r="B873" s="81"/>
      <c r="C873" s="81"/>
      <c r="D873" s="81"/>
      <c r="E873" s="80"/>
      <c r="F873" s="620"/>
      <c r="G873" s="620"/>
      <c r="H873" s="94"/>
      <c r="I873" s="81"/>
      <c r="J873" s="35"/>
      <c r="K873" s="36"/>
      <c r="L873" s="36"/>
      <c r="M873" s="36"/>
      <c r="N873" s="36"/>
      <c r="O873" s="36"/>
      <c r="P873" s="36"/>
      <c r="Q873" s="36"/>
      <c r="R873" s="36"/>
      <c r="S873" s="36"/>
      <c r="T873" s="36"/>
      <c r="U873" s="36"/>
      <c r="V873" s="36"/>
      <c r="W873" s="36"/>
      <c r="X873" s="36"/>
      <c r="Y873" s="36"/>
      <c r="Z873" s="36"/>
      <c r="AA873" s="36"/>
      <c r="AB873" s="36"/>
      <c r="AC873" s="36"/>
    </row>
    <row r="874" spans="1:29" ht="36" customHeight="1">
      <c r="A874" s="81"/>
      <c r="B874" s="81"/>
      <c r="C874" s="81"/>
      <c r="D874" s="81"/>
      <c r="E874" s="80"/>
      <c r="F874" s="620"/>
      <c r="G874" s="620"/>
      <c r="H874" s="94"/>
      <c r="I874" s="81"/>
      <c r="J874" s="35"/>
      <c r="K874" s="36"/>
      <c r="L874" s="36"/>
      <c r="M874" s="36"/>
      <c r="N874" s="36"/>
      <c r="O874" s="36"/>
      <c r="P874" s="36"/>
      <c r="Q874" s="36"/>
      <c r="R874" s="36"/>
      <c r="S874" s="36"/>
      <c r="T874" s="36"/>
      <c r="U874" s="36"/>
      <c r="V874" s="36"/>
      <c r="W874" s="36"/>
      <c r="X874" s="36"/>
      <c r="Y874" s="36"/>
      <c r="Z874" s="36"/>
      <c r="AA874" s="36"/>
      <c r="AB874" s="36"/>
      <c r="AC874" s="36"/>
    </row>
    <row r="875" spans="1:29" ht="48" customHeight="1">
      <c r="A875" s="81"/>
      <c r="B875" s="81"/>
      <c r="C875" s="81"/>
      <c r="D875" s="81"/>
      <c r="E875" s="80"/>
      <c r="F875" s="620"/>
      <c r="G875" s="620"/>
      <c r="H875" s="634"/>
      <c r="I875" s="95"/>
      <c r="J875" s="35"/>
      <c r="K875" s="36"/>
      <c r="L875" s="36"/>
      <c r="M875" s="36"/>
      <c r="N875" s="36"/>
      <c r="O875" s="36"/>
      <c r="P875" s="36"/>
      <c r="Q875" s="36"/>
      <c r="R875" s="36"/>
      <c r="S875" s="36"/>
      <c r="T875" s="36"/>
      <c r="U875" s="36"/>
      <c r="V875" s="36"/>
      <c r="W875" s="36"/>
      <c r="X875" s="36"/>
      <c r="Y875" s="36"/>
      <c r="Z875" s="36"/>
      <c r="AA875" s="36"/>
      <c r="AB875" s="36"/>
      <c r="AC875" s="36"/>
    </row>
    <row r="876" spans="1:29" ht="24" customHeight="1">
      <c r="A876" s="81"/>
      <c r="B876" s="94"/>
      <c r="C876" s="81"/>
      <c r="D876" s="81"/>
      <c r="E876" s="80"/>
      <c r="F876" s="620"/>
      <c r="G876" s="620"/>
      <c r="H876" s="94"/>
      <c r="I876" s="81"/>
      <c r="J876" s="35"/>
      <c r="K876" s="36"/>
      <c r="L876" s="36"/>
      <c r="M876" s="36"/>
      <c r="N876" s="36"/>
      <c r="O876" s="36"/>
      <c r="P876" s="36"/>
      <c r="Q876" s="36"/>
      <c r="R876" s="36"/>
      <c r="S876" s="36"/>
      <c r="T876" s="36"/>
      <c r="U876" s="36"/>
      <c r="V876" s="36"/>
      <c r="W876" s="36"/>
      <c r="X876" s="36"/>
      <c r="Y876" s="36"/>
      <c r="Z876" s="36"/>
      <c r="AA876" s="36"/>
      <c r="AB876" s="36"/>
      <c r="AC876" s="36"/>
    </row>
    <row r="877" spans="1:29" ht="36" customHeight="1">
      <c r="A877" s="81"/>
      <c r="B877" s="94"/>
      <c r="C877" s="81"/>
      <c r="D877" s="81"/>
      <c r="E877" s="80"/>
      <c r="F877" s="620"/>
      <c r="G877" s="620"/>
      <c r="H877" s="94"/>
      <c r="I877" s="81"/>
      <c r="J877" s="35"/>
      <c r="K877" s="36"/>
      <c r="L877" s="36"/>
      <c r="M877" s="36"/>
      <c r="N877" s="36"/>
      <c r="O877" s="36"/>
      <c r="P877" s="36"/>
      <c r="Q877" s="36"/>
      <c r="R877" s="36"/>
      <c r="S877" s="36"/>
      <c r="T877" s="36"/>
      <c r="U877" s="36"/>
      <c r="V877" s="36"/>
      <c r="W877" s="36"/>
      <c r="X877" s="36"/>
      <c r="Y877" s="36"/>
      <c r="Z877" s="36"/>
      <c r="AA877" s="36"/>
      <c r="AB877" s="36"/>
      <c r="AC877" s="36"/>
    </row>
    <row r="878" spans="1:29" ht="24" customHeight="1">
      <c r="A878" s="81"/>
      <c r="B878" s="94"/>
      <c r="C878" s="81"/>
      <c r="D878" s="81"/>
      <c r="E878" s="80"/>
      <c r="F878" s="620"/>
      <c r="G878" s="620"/>
      <c r="H878" s="94"/>
      <c r="I878" s="81"/>
      <c r="J878" s="35"/>
      <c r="K878" s="36"/>
      <c r="L878" s="36"/>
      <c r="M878" s="36"/>
      <c r="N878" s="36"/>
      <c r="O878" s="36"/>
      <c r="P878" s="36"/>
      <c r="Q878" s="36"/>
      <c r="R878" s="36"/>
      <c r="S878" s="36"/>
      <c r="T878" s="36"/>
      <c r="U878" s="36"/>
      <c r="V878" s="36"/>
      <c r="W878" s="36"/>
      <c r="X878" s="36"/>
      <c r="Y878" s="36"/>
      <c r="Z878" s="36"/>
      <c r="AA878" s="36"/>
      <c r="AB878" s="36"/>
      <c r="AC878" s="36"/>
    </row>
    <row r="879" spans="1:29" ht="24" customHeight="1">
      <c r="A879" s="81"/>
      <c r="B879" s="94"/>
      <c r="C879" s="81"/>
      <c r="D879" s="81"/>
      <c r="E879" s="80"/>
      <c r="F879" s="620"/>
      <c r="G879" s="620"/>
      <c r="H879" s="94"/>
      <c r="I879" s="81"/>
      <c r="J879" s="35"/>
      <c r="K879" s="36"/>
      <c r="L879" s="36"/>
      <c r="M879" s="36"/>
      <c r="N879" s="36"/>
      <c r="O879" s="36"/>
      <c r="P879" s="36"/>
      <c r="Q879" s="36"/>
      <c r="R879" s="36"/>
      <c r="S879" s="36"/>
      <c r="T879" s="36"/>
      <c r="U879" s="36"/>
      <c r="V879" s="36"/>
      <c r="W879" s="36"/>
      <c r="X879" s="36"/>
      <c r="Y879" s="36"/>
      <c r="Z879" s="36"/>
      <c r="AA879" s="36"/>
      <c r="AB879" s="36"/>
      <c r="AC879" s="36"/>
    </row>
    <row r="880" spans="1:29" ht="36" customHeight="1">
      <c r="A880" s="81"/>
      <c r="B880" s="94"/>
      <c r="C880" s="81"/>
      <c r="D880" s="81"/>
      <c r="E880" s="80"/>
      <c r="F880" s="620"/>
      <c r="G880" s="620"/>
      <c r="H880" s="94"/>
      <c r="I880" s="81"/>
      <c r="J880" s="35"/>
      <c r="K880" s="36"/>
      <c r="L880" s="36"/>
      <c r="M880" s="36"/>
      <c r="N880" s="36"/>
      <c r="O880" s="36"/>
      <c r="P880" s="36"/>
      <c r="Q880" s="36"/>
      <c r="R880" s="36"/>
      <c r="S880" s="36"/>
      <c r="T880" s="36"/>
      <c r="U880" s="36"/>
      <c r="V880" s="36"/>
      <c r="W880" s="36"/>
      <c r="X880" s="36"/>
      <c r="Y880" s="36"/>
      <c r="Z880" s="36"/>
      <c r="AA880" s="36"/>
      <c r="AB880" s="36"/>
      <c r="AC880" s="36"/>
    </row>
    <row r="881" spans="1:29" ht="15" customHeight="1">
      <c r="A881" s="81"/>
      <c r="B881" s="94"/>
      <c r="C881" s="81"/>
      <c r="D881" s="81"/>
      <c r="E881" s="80"/>
      <c r="F881" s="620"/>
      <c r="G881" s="620"/>
      <c r="H881" s="94"/>
      <c r="I881" s="81"/>
      <c r="J881" s="35"/>
      <c r="K881" s="36"/>
      <c r="L881" s="36"/>
      <c r="M881" s="36"/>
      <c r="N881" s="36"/>
      <c r="O881" s="36"/>
      <c r="P881" s="36"/>
      <c r="Q881" s="36"/>
      <c r="R881" s="36"/>
      <c r="S881" s="36"/>
      <c r="T881" s="36"/>
      <c r="U881" s="36"/>
      <c r="V881" s="36"/>
      <c r="W881" s="36"/>
      <c r="X881" s="36"/>
      <c r="Y881" s="36"/>
      <c r="Z881" s="36"/>
      <c r="AA881" s="36"/>
      <c r="AB881" s="36"/>
      <c r="AC881" s="36"/>
    </row>
    <row r="882" spans="1:29" ht="72" customHeight="1">
      <c r="A882" s="81"/>
      <c r="B882" s="94"/>
      <c r="C882" s="81"/>
      <c r="D882" s="81"/>
      <c r="E882" s="80"/>
      <c r="F882" s="620"/>
      <c r="G882" s="620"/>
      <c r="H882" s="94"/>
      <c r="I882" s="81"/>
      <c r="J882" s="35"/>
      <c r="K882" s="36"/>
      <c r="L882" s="36"/>
      <c r="M882" s="36"/>
      <c r="N882" s="36"/>
      <c r="O882" s="36"/>
      <c r="P882" s="36"/>
      <c r="Q882" s="36"/>
      <c r="R882" s="36"/>
      <c r="S882" s="36"/>
      <c r="T882" s="36"/>
      <c r="U882" s="36"/>
      <c r="V882" s="36"/>
      <c r="W882" s="36"/>
      <c r="X882" s="36"/>
      <c r="Y882" s="36"/>
      <c r="Z882" s="36"/>
      <c r="AA882" s="36"/>
      <c r="AB882" s="36"/>
      <c r="AC882" s="36"/>
    </row>
    <row r="883" spans="1:29" ht="24" customHeight="1">
      <c r="A883" s="81"/>
      <c r="B883" s="94"/>
      <c r="C883" s="81"/>
      <c r="D883" s="81"/>
      <c r="E883" s="80"/>
      <c r="F883" s="620"/>
      <c r="G883" s="620"/>
      <c r="H883" s="94"/>
      <c r="I883" s="81"/>
      <c r="J883" s="35"/>
      <c r="K883" s="36"/>
      <c r="L883" s="36"/>
      <c r="M883" s="36"/>
      <c r="N883" s="36"/>
      <c r="O883" s="36"/>
      <c r="P883" s="36"/>
      <c r="Q883" s="36"/>
      <c r="R883" s="36"/>
      <c r="S883" s="36"/>
      <c r="T883" s="36"/>
      <c r="U883" s="36"/>
      <c r="V883" s="36"/>
      <c r="W883" s="36"/>
      <c r="X883" s="36"/>
      <c r="Y883" s="36"/>
      <c r="Z883" s="36"/>
      <c r="AA883" s="36"/>
      <c r="AB883" s="36"/>
      <c r="AC883" s="36"/>
    </row>
    <row r="884" spans="1:29" ht="24" customHeight="1">
      <c r="A884" s="81"/>
      <c r="B884" s="94"/>
      <c r="C884" s="81"/>
      <c r="D884" s="81"/>
      <c r="E884" s="80"/>
      <c r="F884" s="620"/>
      <c r="G884" s="620"/>
      <c r="H884" s="94"/>
      <c r="I884" s="81"/>
      <c r="J884" s="35"/>
      <c r="K884" s="36"/>
      <c r="L884" s="36"/>
      <c r="M884" s="36"/>
      <c r="N884" s="36"/>
      <c r="O884" s="36"/>
      <c r="P884" s="36"/>
      <c r="Q884" s="36"/>
      <c r="R884" s="36"/>
      <c r="S884" s="36"/>
      <c r="T884" s="36"/>
      <c r="U884" s="36"/>
      <c r="V884" s="36"/>
      <c r="W884" s="36"/>
      <c r="X884" s="36"/>
      <c r="Y884" s="36"/>
      <c r="Z884" s="36"/>
      <c r="AA884" s="36"/>
      <c r="AB884" s="36"/>
      <c r="AC884" s="36"/>
    </row>
    <row r="885" spans="1:29" ht="12" customHeight="1">
      <c r="A885" s="81"/>
      <c r="B885" s="94"/>
      <c r="C885" s="81"/>
      <c r="D885" s="81"/>
      <c r="E885" s="80"/>
      <c r="F885" s="620"/>
      <c r="G885" s="620"/>
      <c r="H885" s="94"/>
      <c r="I885" s="81"/>
      <c r="J885" s="35"/>
      <c r="K885" s="36"/>
      <c r="L885" s="36"/>
      <c r="M885" s="36"/>
      <c r="N885" s="36"/>
      <c r="O885" s="36"/>
      <c r="P885" s="36"/>
      <c r="Q885" s="36"/>
      <c r="R885" s="36"/>
      <c r="S885" s="36"/>
      <c r="T885" s="36"/>
      <c r="U885" s="36"/>
      <c r="V885" s="36"/>
      <c r="W885" s="36"/>
      <c r="X885" s="36"/>
      <c r="Y885" s="36"/>
      <c r="Z885" s="36"/>
      <c r="AA885" s="36"/>
      <c r="AB885" s="36"/>
      <c r="AC885" s="36"/>
    </row>
    <row r="886" spans="1:29" ht="12" customHeight="1">
      <c r="A886" s="81"/>
      <c r="B886" s="94"/>
      <c r="C886" s="81"/>
      <c r="D886" s="81"/>
      <c r="E886" s="80"/>
      <c r="F886" s="620"/>
      <c r="G886" s="620"/>
      <c r="H886" s="94"/>
      <c r="I886" s="81"/>
      <c r="J886" s="35"/>
      <c r="K886" s="36"/>
      <c r="L886" s="36"/>
      <c r="M886" s="36"/>
      <c r="N886" s="36"/>
      <c r="O886" s="36"/>
      <c r="P886" s="36"/>
      <c r="Q886" s="36"/>
      <c r="R886" s="36"/>
      <c r="S886" s="36"/>
      <c r="T886" s="36"/>
      <c r="U886" s="36"/>
      <c r="V886" s="36"/>
      <c r="W886" s="36"/>
      <c r="X886" s="36"/>
      <c r="Y886" s="36"/>
      <c r="Z886" s="36"/>
      <c r="AA886" s="36"/>
      <c r="AB886" s="36"/>
      <c r="AC886" s="36"/>
    </row>
    <row r="887" spans="1:29" ht="24" customHeight="1">
      <c r="A887" s="619"/>
      <c r="B887" s="94"/>
      <c r="C887" s="81"/>
      <c r="D887" s="81"/>
      <c r="E887" s="80"/>
      <c r="F887" s="620"/>
      <c r="G887" s="620"/>
      <c r="H887" s="94"/>
      <c r="I887" s="81"/>
      <c r="J887" s="35"/>
      <c r="K887" s="36"/>
      <c r="L887" s="36"/>
      <c r="M887" s="36"/>
      <c r="N887" s="36"/>
      <c r="O887" s="36"/>
      <c r="P887" s="36"/>
      <c r="Q887" s="36"/>
      <c r="R887" s="36"/>
      <c r="S887" s="36"/>
      <c r="T887" s="36"/>
      <c r="U887" s="36"/>
      <c r="V887" s="36"/>
      <c r="W887" s="36"/>
      <c r="X887" s="36"/>
      <c r="Y887" s="36"/>
      <c r="Z887" s="36"/>
      <c r="AA887" s="36"/>
      <c r="AB887" s="36"/>
      <c r="AC887" s="36"/>
    </row>
    <row r="888" spans="1:29" ht="132" customHeight="1">
      <c r="A888" s="81"/>
      <c r="B888" s="94"/>
      <c r="C888" s="81"/>
      <c r="D888" s="81"/>
      <c r="E888" s="80"/>
      <c r="F888" s="620"/>
      <c r="G888" s="620"/>
      <c r="H888" s="94"/>
      <c r="I888" s="81"/>
      <c r="J888" s="35"/>
      <c r="K888" s="36"/>
      <c r="L888" s="36"/>
      <c r="M888" s="36"/>
      <c r="N888" s="36"/>
      <c r="O888" s="36"/>
      <c r="P888" s="36"/>
      <c r="Q888" s="36"/>
      <c r="R888" s="36"/>
      <c r="S888" s="36"/>
      <c r="T888" s="36"/>
      <c r="U888" s="36"/>
      <c r="V888" s="36"/>
      <c r="W888" s="36"/>
      <c r="X888" s="36"/>
      <c r="Y888" s="36"/>
      <c r="Z888" s="36"/>
      <c r="AA888" s="36"/>
      <c r="AB888" s="36"/>
      <c r="AC888" s="36"/>
    </row>
    <row r="889" spans="1:29" ht="24" customHeight="1">
      <c r="A889" s="81"/>
      <c r="B889" s="94"/>
      <c r="C889" s="81"/>
      <c r="D889" s="81"/>
      <c r="E889" s="80"/>
      <c r="F889" s="620"/>
      <c r="G889" s="620"/>
      <c r="H889" s="94"/>
      <c r="I889" s="81"/>
      <c r="J889" s="35"/>
      <c r="K889" s="36"/>
      <c r="L889" s="36"/>
      <c r="M889" s="36"/>
      <c r="N889" s="36"/>
      <c r="O889" s="36"/>
      <c r="P889" s="36"/>
      <c r="Q889" s="36"/>
      <c r="R889" s="36"/>
      <c r="S889" s="36"/>
      <c r="T889" s="36"/>
      <c r="U889" s="36"/>
      <c r="V889" s="36"/>
      <c r="W889" s="36"/>
      <c r="X889" s="36"/>
      <c r="Y889" s="36"/>
      <c r="Z889" s="36"/>
      <c r="AA889" s="36"/>
      <c r="AB889" s="36"/>
      <c r="AC889" s="36"/>
    </row>
    <row r="890" spans="1:29" ht="156" customHeight="1">
      <c r="A890" s="81"/>
      <c r="B890" s="94"/>
      <c r="C890" s="94"/>
      <c r="D890" s="81"/>
      <c r="E890" s="80"/>
      <c r="F890" s="620"/>
      <c r="G890" s="620"/>
      <c r="H890" s="94"/>
      <c r="I890" s="81"/>
      <c r="J890" s="35"/>
      <c r="K890" s="36"/>
      <c r="L890" s="36"/>
      <c r="M890" s="36"/>
      <c r="N890" s="36"/>
      <c r="O890" s="36"/>
      <c r="P890" s="36"/>
      <c r="Q890" s="36"/>
      <c r="R890" s="36"/>
      <c r="S890" s="36"/>
      <c r="T890" s="36"/>
      <c r="U890" s="36"/>
      <c r="V890" s="36"/>
      <c r="W890" s="36"/>
      <c r="X890" s="36"/>
      <c r="Y890" s="36"/>
      <c r="Z890" s="36"/>
      <c r="AA890" s="36"/>
      <c r="AB890" s="36"/>
      <c r="AC890" s="36"/>
    </row>
    <row r="891" spans="1:29" ht="96" customHeight="1">
      <c r="A891" s="81"/>
      <c r="B891" s="94"/>
      <c r="C891" s="81"/>
      <c r="D891" s="81"/>
      <c r="E891" s="80"/>
      <c r="F891" s="620"/>
      <c r="G891" s="620"/>
      <c r="H891" s="94"/>
      <c r="I891" s="81"/>
      <c r="J891" s="35"/>
      <c r="K891" s="36"/>
      <c r="L891" s="36"/>
      <c r="M891" s="36"/>
      <c r="N891" s="36"/>
      <c r="O891" s="36"/>
      <c r="P891" s="36"/>
      <c r="Q891" s="36"/>
      <c r="R891" s="36"/>
      <c r="S891" s="36"/>
      <c r="T891" s="36"/>
      <c r="U891" s="36"/>
      <c r="V891" s="36"/>
      <c r="W891" s="36"/>
      <c r="X891" s="36"/>
      <c r="Y891" s="36"/>
      <c r="Z891" s="36"/>
      <c r="AA891" s="36"/>
      <c r="AB891" s="36"/>
      <c r="AC891" s="36"/>
    </row>
    <row r="892" spans="1:29" ht="156" customHeight="1">
      <c r="A892" s="81"/>
      <c r="B892" s="634"/>
      <c r="C892" s="95"/>
      <c r="D892" s="81"/>
      <c r="E892" s="80"/>
      <c r="F892" s="620"/>
      <c r="G892" s="620"/>
      <c r="H892" s="94"/>
      <c r="I892" s="81"/>
      <c r="J892" s="35"/>
      <c r="K892" s="36"/>
      <c r="L892" s="36"/>
      <c r="M892" s="36"/>
      <c r="N892" s="36"/>
      <c r="O892" s="36"/>
      <c r="P892" s="36"/>
      <c r="Q892" s="36"/>
      <c r="R892" s="36"/>
      <c r="S892" s="36"/>
      <c r="T892" s="36"/>
      <c r="U892" s="36"/>
      <c r="V892" s="36"/>
      <c r="W892" s="36"/>
      <c r="X892" s="36"/>
      <c r="Y892" s="36"/>
      <c r="Z892" s="36"/>
      <c r="AA892" s="36"/>
      <c r="AB892" s="36"/>
      <c r="AC892" s="36"/>
    </row>
    <row r="893" spans="1:29" ht="216" customHeight="1">
      <c r="A893" s="81"/>
      <c r="B893" s="94"/>
      <c r="C893" s="81"/>
      <c r="D893" s="81"/>
      <c r="E893" s="80"/>
      <c r="F893" s="620"/>
      <c r="G893" s="620"/>
      <c r="H893" s="94"/>
      <c r="I893" s="81"/>
      <c r="J893" s="35"/>
      <c r="K893" s="36"/>
      <c r="L893" s="36"/>
      <c r="M893" s="36"/>
      <c r="N893" s="36"/>
      <c r="O893" s="36"/>
      <c r="P893" s="36"/>
      <c r="Q893" s="36"/>
      <c r="R893" s="36"/>
      <c r="S893" s="36"/>
      <c r="T893" s="36"/>
      <c r="U893" s="36"/>
      <c r="V893" s="36"/>
      <c r="W893" s="36"/>
      <c r="X893" s="36"/>
      <c r="Y893" s="36"/>
      <c r="Z893" s="36"/>
      <c r="AA893" s="36"/>
      <c r="AB893" s="36"/>
      <c r="AC893" s="36"/>
    </row>
    <row r="894" spans="1:29" ht="240" customHeight="1">
      <c r="A894" s="81"/>
      <c r="B894" s="94"/>
      <c r="C894" s="81"/>
      <c r="D894" s="81"/>
      <c r="E894" s="80"/>
      <c r="F894" s="620"/>
      <c r="G894" s="620"/>
      <c r="H894" s="94"/>
      <c r="I894" s="81"/>
      <c r="J894" s="35"/>
      <c r="K894" s="36"/>
      <c r="L894" s="36"/>
      <c r="M894" s="36"/>
      <c r="N894" s="36"/>
      <c r="O894" s="36"/>
      <c r="P894" s="36"/>
      <c r="Q894" s="36"/>
      <c r="R894" s="36"/>
      <c r="S894" s="36"/>
      <c r="T894" s="36"/>
      <c r="U894" s="36"/>
      <c r="V894" s="36"/>
      <c r="W894" s="36"/>
      <c r="X894" s="36"/>
      <c r="Y894" s="36"/>
      <c r="Z894" s="36"/>
      <c r="AA894" s="36"/>
      <c r="AB894" s="36"/>
      <c r="AC894" s="36"/>
    </row>
    <row r="895" spans="1:29" ht="192" customHeight="1">
      <c r="A895" s="81"/>
      <c r="B895" s="634"/>
      <c r="C895" s="81"/>
      <c r="D895" s="81"/>
      <c r="E895" s="80"/>
      <c r="F895" s="620"/>
      <c r="G895" s="620"/>
      <c r="H895" s="94"/>
      <c r="I895" s="81"/>
      <c r="J895" s="35"/>
      <c r="K895" s="36"/>
      <c r="L895" s="36"/>
      <c r="M895" s="36"/>
      <c r="N895" s="36"/>
      <c r="O895" s="36"/>
      <c r="P895" s="36"/>
      <c r="Q895" s="36"/>
      <c r="R895" s="36"/>
      <c r="S895" s="36"/>
      <c r="T895" s="36"/>
      <c r="U895" s="36"/>
      <c r="V895" s="36"/>
      <c r="W895" s="36"/>
      <c r="X895" s="36"/>
      <c r="Y895" s="36"/>
      <c r="Z895" s="36"/>
      <c r="AA895" s="36"/>
      <c r="AB895" s="36"/>
      <c r="AC895" s="36"/>
    </row>
    <row r="896" spans="1:29" ht="24" customHeight="1">
      <c r="A896" s="619"/>
      <c r="B896" s="94"/>
      <c r="C896" s="81"/>
      <c r="D896" s="81"/>
      <c r="E896" s="80"/>
      <c r="F896" s="620"/>
      <c r="G896" s="620"/>
      <c r="H896" s="94"/>
      <c r="I896" s="81"/>
      <c r="J896" s="35"/>
      <c r="K896" s="36"/>
      <c r="L896" s="36"/>
      <c r="M896" s="36"/>
      <c r="N896" s="36"/>
      <c r="O896" s="36"/>
      <c r="P896" s="36"/>
      <c r="Q896" s="36"/>
      <c r="R896" s="36"/>
      <c r="S896" s="36"/>
      <c r="T896" s="36"/>
      <c r="U896" s="36"/>
      <c r="V896" s="36"/>
      <c r="W896" s="36"/>
      <c r="X896" s="36"/>
      <c r="Y896" s="36"/>
      <c r="Z896" s="36"/>
      <c r="AA896" s="36"/>
      <c r="AB896" s="36"/>
      <c r="AC896" s="36"/>
    </row>
    <row r="897" spans="1:29" ht="108" customHeight="1">
      <c r="A897" s="81"/>
      <c r="B897" s="81"/>
      <c r="C897" s="81"/>
      <c r="D897" s="81"/>
      <c r="E897" s="80"/>
      <c r="F897" s="620"/>
      <c r="G897" s="620"/>
      <c r="H897" s="94"/>
      <c r="I897" s="81"/>
      <c r="J897" s="35"/>
      <c r="K897" s="36"/>
      <c r="L897" s="36"/>
      <c r="M897" s="36"/>
      <c r="N897" s="36"/>
      <c r="O897" s="36"/>
      <c r="P897" s="36"/>
      <c r="Q897" s="36"/>
      <c r="R897" s="36"/>
      <c r="S897" s="36"/>
      <c r="T897" s="36"/>
      <c r="U897" s="36"/>
      <c r="V897" s="36"/>
      <c r="W897" s="36"/>
      <c r="X897" s="36"/>
      <c r="Y897" s="36"/>
      <c r="Z897" s="36"/>
      <c r="AA897" s="36"/>
      <c r="AB897" s="36"/>
      <c r="AC897" s="36"/>
    </row>
    <row r="898" spans="1:29" ht="409.5" customHeight="1">
      <c r="A898" s="81"/>
      <c r="B898" s="94"/>
      <c r="C898" s="81"/>
      <c r="D898" s="81"/>
      <c r="E898" s="80"/>
      <c r="F898" s="620"/>
      <c r="G898" s="620"/>
      <c r="H898" s="94"/>
      <c r="I898" s="81"/>
      <c r="J898" s="35"/>
      <c r="K898" s="36"/>
      <c r="L898" s="36"/>
      <c r="M898" s="36"/>
      <c r="N898" s="36"/>
      <c r="O898" s="36"/>
      <c r="P898" s="36"/>
      <c r="Q898" s="36"/>
      <c r="R898" s="36"/>
      <c r="S898" s="36"/>
      <c r="T898" s="36"/>
      <c r="U898" s="36"/>
      <c r="V898" s="36"/>
      <c r="W898" s="36"/>
      <c r="X898" s="36"/>
      <c r="Y898" s="36"/>
      <c r="Z898" s="36"/>
      <c r="AA898" s="36"/>
      <c r="AB898" s="36"/>
      <c r="AC898" s="36"/>
    </row>
    <row r="899" spans="1:29" ht="168" customHeight="1">
      <c r="A899" s="81"/>
      <c r="B899" s="81"/>
      <c r="C899" s="81"/>
      <c r="D899" s="81"/>
      <c r="E899" s="80"/>
      <c r="F899" s="620"/>
      <c r="G899" s="620"/>
      <c r="H899" s="94"/>
      <c r="I899" s="81"/>
      <c r="J899" s="35"/>
      <c r="K899" s="36"/>
      <c r="L899" s="36"/>
      <c r="M899" s="36"/>
      <c r="N899" s="36"/>
      <c r="O899" s="36"/>
      <c r="P899" s="36"/>
      <c r="Q899" s="36"/>
      <c r="R899" s="36"/>
      <c r="S899" s="36"/>
      <c r="T899" s="36"/>
      <c r="U899" s="36"/>
      <c r="V899" s="36"/>
      <c r="W899" s="36"/>
      <c r="X899" s="36"/>
      <c r="Y899" s="36"/>
      <c r="Z899" s="36"/>
      <c r="AA899" s="36"/>
      <c r="AB899" s="36"/>
      <c r="AC899" s="36"/>
    </row>
    <row r="900" spans="1:29" ht="276" customHeight="1">
      <c r="A900" s="81"/>
      <c r="B900" s="81"/>
      <c r="C900" s="81"/>
      <c r="D900" s="81"/>
      <c r="E900" s="80"/>
      <c r="F900" s="620"/>
      <c r="G900" s="620"/>
      <c r="H900" s="94"/>
      <c r="I900" s="81"/>
      <c r="J900" s="35"/>
      <c r="K900" s="36"/>
      <c r="L900" s="36"/>
      <c r="M900" s="36"/>
      <c r="N900" s="36"/>
      <c r="O900" s="36"/>
      <c r="P900" s="36"/>
      <c r="Q900" s="36"/>
      <c r="R900" s="36"/>
      <c r="S900" s="36"/>
      <c r="T900" s="36"/>
      <c r="U900" s="36"/>
      <c r="V900" s="36"/>
      <c r="W900" s="36"/>
      <c r="X900" s="36"/>
      <c r="Y900" s="36"/>
      <c r="Z900" s="36"/>
      <c r="AA900" s="36"/>
      <c r="AB900" s="36"/>
      <c r="AC900" s="36"/>
    </row>
    <row r="901" spans="1:29" ht="180" customHeight="1">
      <c r="A901" s="81"/>
      <c r="B901" s="81"/>
      <c r="C901" s="81"/>
      <c r="D901" s="81"/>
      <c r="E901" s="80"/>
      <c r="F901" s="620"/>
      <c r="G901" s="620"/>
      <c r="H901" s="94"/>
      <c r="I901" s="81"/>
      <c r="J901" s="35"/>
      <c r="K901" s="36"/>
      <c r="L901" s="36"/>
      <c r="M901" s="36"/>
      <c r="N901" s="36"/>
      <c r="O901" s="36"/>
      <c r="P901" s="36"/>
      <c r="Q901" s="36"/>
      <c r="R901" s="36"/>
      <c r="S901" s="36"/>
      <c r="T901" s="36"/>
      <c r="U901" s="36"/>
      <c r="V901" s="36"/>
      <c r="W901" s="36"/>
      <c r="X901" s="36"/>
      <c r="Y901" s="36"/>
      <c r="Z901" s="36"/>
      <c r="AA901" s="36"/>
      <c r="AB901" s="36"/>
      <c r="AC901" s="36"/>
    </row>
    <row r="902" spans="1:29" ht="168" customHeight="1">
      <c r="A902" s="476"/>
      <c r="B902" s="81"/>
      <c r="C902" s="81"/>
      <c r="D902" s="100"/>
      <c r="E902" s="99"/>
      <c r="F902" s="627"/>
      <c r="G902" s="627"/>
      <c r="H902" s="463"/>
      <c r="I902" s="81"/>
      <c r="J902" s="35"/>
      <c r="K902" s="36"/>
      <c r="L902" s="36"/>
      <c r="M902" s="36"/>
      <c r="N902" s="36"/>
      <c r="O902" s="36"/>
      <c r="P902" s="36"/>
      <c r="Q902" s="36"/>
      <c r="R902" s="36"/>
      <c r="S902" s="36"/>
      <c r="T902" s="36"/>
      <c r="U902" s="36"/>
      <c r="V902" s="36"/>
      <c r="W902" s="36"/>
      <c r="X902" s="36"/>
      <c r="Y902" s="36"/>
      <c r="Z902" s="36"/>
      <c r="AA902" s="36"/>
      <c r="AB902" s="36"/>
      <c r="AC902" s="36"/>
    </row>
    <row r="903" spans="1:29" ht="132" customHeight="1">
      <c r="A903" s="81"/>
      <c r="B903" s="81"/>
      <c r="C903" s="81"/>
      <c r="D903" s="81"/>
      <c r="E903" s="80"/>
      <c r="F903" s="620"/>
      <c r="G903" s="620"/>
      <c r="H903" s="94"/>
      <c r="I903" s="81"/>
      <c r="J903" s="35"/>
      <c r="K903" s="36"/>
      <c r="L903" s="36"/>
      <c r="M903" s="36"/>
      <c r="N903" s="36"/>
      <c r="O903" s="36"/>
      <c r="P903" s="36"/>
      <c r="Q903" s="36"/>
      <c r="R903" s="36"/>
      <c r="S903" s="36"/>
      <c r="T903" s="36"/>
      <c r="U903" s="36"/>
      <c r="V903" s="36"/>
      <c r="W903" s="36"/>
      <c r="X903" s="36"/>
      <c r="Y903" s="36"/>
      <c r="Z903" s="36"/>
      <c r="AA903" s="36"/>
      <c r="AB903" s="36"/>
      <c r="AC903" s="36"/>
    </row>
    <row r="904" spans="1:29" ht="108" customHeight="1">
      <c r="A904" s="81"/>
      <c r="B904" s="81"/>
      <c r="C904" s="81"/>
      <c r="D904" s="81"/>
      <c r="E904" s="80"/>
      <c r="F904" s="620"/>
      <c r="G904" s="620"/>
      <c r="H904" s="94"/>
      <c r="I904" s="81"/>
      <c r="J904" s="35"/>
      <c r="K904" s="36"/>
      <c r="L904" s="36"/>
      <c r="M904" s="36"/>
      <c r="N904" s="36"/>
      <c r="O904" s="36"/>
      <c r="P904" s="36"/>
      <c r="Q904" s="36"/>
      <c r="R904" s="36"/>
      <c r="S904" s="36"/>
      <c r="T904" s="36"/>
      <c r="U904" s="36"/>
      <c r="V904" s="36"/>
      <c r="W904" s="36"/>
      <c r="X904" s="36"/>
      <c r="Y904" s="36"/>
      <c r="Z904" s="36"/>
      <c r="AA904" s="36"/>
      <c r="AB904" s="36"/>
      <c r="AC904" s="36"/>
    </row>
    <row r="905" spans="1:29" ht="409.5" customHeight="1">
      <c r="A905" s="81"/>
      <c r="B905" s="81"/>
      <c r="C905" s="81"/>
      <c r="D905" s="81"/>
      <c r="E905" s="80"/>
      <c r="F905" s="620"/>
      <c r="G905" s="620"/>
      <c r="H905" s="94"/>
      <c r="I905" s="81"/>
      <c r="J905" s="35"/>
      <c r="K905" s="36"/>
      <c r="L905" s="36"/>
      <c r="M905" s="36"/>
      <c r="N905" s="36"/>
      <c r="O905" s="36"/>
      <c r="P905" s="36"/>
      <c r="Q905" s="36"/>
      <c r="R905" s="36"/>
      <c r="S905" s="36"/>
      <c r="T905" s="36"/>
      <c r="U905" s="36"/>
      <c r="V905" s="36"/>
      <c r="W905" s="36"/>
      <c r="X905" s="36"/>
      <c r="Y905" s="36"/>
      <c r="Z905" s="36"/>
      <c r="AA905" s="36"/>
      <c r="AB905" s="36"/>
      <c r="AC905" s="36"/>
    </row>
    <row r="906" spans="1:29" ht="216" customHeight="1">
      <c r="A906" s="81"/>
      <c r="B906" s="81"/>
      <c r="C906" s="81"/>
      <c r="D906" s="81"/>
      <c r="E906" s="80"/>
      <c r="F906" s="620"/>
      <c r="G906" s="620"/>
      <c r="H906" s="94"/>
      <c r="I906" s="81"/>
      <c r="J906" s="35"/>
      <c r="K906" s="36"/>
      <c r="L906" s="36"/>
      <c r="M906" s="36"/>
      <c r="N906" s="36"/>
      <c r="O906" s="36"/>
      <c r="P906" s="36"/>
      <c r="Q906" s="36"/>
      <c r="R906" s="36"/>
      <c r="S906" s="36"/>
      <c r="T906" s="36"/>
      <c r="U906" s="36"/>
      <c r="V906" s="36"/>
      <c r="W906" s="36"/>
      <c r="X906" s="36"/>
      <c r="Y906" s="36"/>
      <c r="Z906" s="36"/>
      <c r="AA906" s="36"/>
      <c r="AB906" s="36"/>
      <c r="AC906" s="36"/>
    </row>
    <row r="907" spans="1:29" ht="84" customHeight="1">
      <c r="A907" s="81"/>
      <c r="B907" s="81"/>
      <c r="C907" s="81"/>
      <c r="D907" s="81"/>
      <c r="E907" s="80"/>
      <c r="F907" s="620"/>
      <c r="G907" s="620"/>
      <c r="H907" s="94"/>
      <c r="I907" s="81"/>
      <c r="J907" s="35"/>
      <c r="K907" s="36"/>
      <c r="L907" s="36"/>
      <c r="M907" s="36"/>
      <c r="N907" s="36"/>
      <c r="O907" s="36"/>
      <c r="P907" s="36"/>
      <c r="Q907" s="36"/>
      <c r="R907" s="36"/>
      <c r="S907" s="36"/>
      <c r="T907" s="36"/>
      <c r="U907" s="36"/>
      <c r="V907" s="36"/>
      <c r="W907" s="36"/>
      <c r="X907" s="36"/>
      <c r="Y907" s="36"/>
      <c r="Z907" s="36"/>
      <c r="AA907" s="36"/>
      <c r="AB907" s="36"/>
      <c r="AC907" s="36"/>
    </row>
    <row r="908" spans="1:29" ht="180" customHeight="1">
      <c r="A908" s="81"/>
      <c r="B908" s="81"/>
      <c r="C908" s="81"/>
      <c r="D908" s="81"/>
      <c r="E908" s="80"/>
      <c r="F908" s="620"/>
      <c r="G908" s="620"/>
      <c r="H908" s="94"/>
      <c r="I908" s="81"/>
      <c r="J908" s="35"/>
      <c r="K908" s="36"/>
      <c r="L908" s="36"/>
      <c r="M908" s="36"/>
      <c r="N908" s="36"/>
      <c r="O908" s="36"/>
      <c r="P908" s="36"/>
      <c r="Q908" s="36"/>
      <c r="R908" s="36"/>
      <c r="S908" s="36"/>
      <c r="T908" s="36"/>
      <c r="U908" s="36"/>
      <c r="V908" s="36"/>
      <c r="W908" s="36"/>
      <c r="X908" s="36"/>
      <c r="Y908" s="36"/>
      <c r="Z908" s="36"/>
      <c r="AA908" s="36"/>
      <c r="AB908" s="36"/>
      <c r="AC908" s="36"/>
    </row>
    <row r="909" spans="1:29" ht="60" customHeight="1">
      <c r="A909" s="81"/>
      <c r="B909" s="81"/>
      <c r="C909" s="81"/>
      <c r="D909" s="81"/>
      <c r="E909" s="80"/>
      <c r="F909" s="620"/>
      <c r="G909" s="620"/>
      <c r="H909" s="94"/>
      <c r="I909" s="81"/>
      <c r="J909" s="35"/>
      <c r="K909" s="36"/>
      <c r="L909" s="36"/>
      <c r="M909" s="36"/>
      <c r="N909" s="36"/>
      <c r="O909" s="36"/>
      <c r="P909" s="36"/>
      <c r="Q909" s="36"/>
      <c r="R909" s="36"/>
      <c r="S909" s="36"/>
      <c r="T909" s="36"/>
      <c r="U909" s="36"/>
      <c r="V909" s="36"/>
      <c r="W909" s="36"/>
      <c r="X909" s="36"/>
      <c r="Y909" s="36"/>
      <c r="Z909" s="36"/>
      <c r="AA909" s="36"/>
      <c r="AB909" s="36"/>
      <c r="AC909" s="36"/>
    </row>
    <row r="910" spans="1:29" ht="252" customHeight="1">
      <c r="A910" s="81"/>
      <c r="B910" s="81"/>
      <c r="C910" s="81"/>
      <c r="D910" s="81"/>
      <c r="E910" s="80"/>
      <c r="F910" s="620"/>
      <c r="G910" s="620"/>
      <c r="H910" s="94"/>
      <c r="I910" s="81"/>
      <c r="J910" s="35"/>
      <c r="K910" s="36"/>
      <c r="L910" s="36"/>
      <c r="M910" s="36"/>
      <c r="N910" s="36"/>
      <c r="O910" s="36"/>
      <c r="P910" s="36"/>
      <c r="Q910" s="36"/>
      <c r="R910" s="36"/>
      <c r="S910" s="36"/>
      <c r="T910" s="36"/>
      <c r="U910" s="36"/>
      <c r="V910" s="36"/>
      <c r="W910" s="36"/>
      <c r="X910" s="36"/>
      <c r="Y910" s="36"/>
      <c r="Z910" s="36"/>
      <c r="AA910" s="36"/>
      <c r="AB910" s="36"/>
      <c r="AC910" s="36"/>
    </row>
    <row r="911" spans="1:29" ht="36" customHeight="1">
      <c r="A911" s="81"/>
      <c r="B911" s="94"/>
      <c r="C911" s="81"/>
      <c r="D911" s="81"/>
      <c r="E911" s="80"/>
      <c r="F911" s="620"/>
      <c r="G911" s="620"/>
      <c r="H911" s="94"/>
      <c r="I911" s="81"/>
      <c r="J911" s="35"/>
      <c r="K911" s="36"/>
      <c r="L911" s="36"/>
      <c r="M911" s="36"/>
      <c r="N911" s="36"/>
      <c r="O911" s="36"/>
      <c r="P911" s="36"/>
      <c r="Q911" s="36"/>
      <c r="R911" s="36"/>
      <c r="S911" s="36"/>
      <c r="T911" s="36"/>
      <c r="U911" s="36"/>
      <c r="V911" s="36"/>
      <c r="W911" s="36"/>
      <c r="X911" s="36"/>
      <c r="Y911" s="36"/>
      <c r="Z911" s="36"/>
      <c r="AA911" s="36"/>
      <c r="AB911" s="36"/>
      <c r="AC911" s="36"/>
    </row>
    <row r="912" spans="1:29" ht="168" customHeight="1">
      <c r="A912" s="81"/>
      <c r="B912" s="94"/>
      <c r="C912" s="81"/>
      <c r="D912" s="81"/>
      <c r="E912" s="80"/>
      <c r="F912" s="620"/>
      <c r="G912" s="620"/>
      <c r="H912" s="94"/>
      <c r="I912" s="81"/>
      <c r="J912" s="35"/>
      <c r="K912" s="36"/>
      <c r="L912" s="36"/>
      <c r="M912" s="36"/>
      <c r="N912" s="36"/>
      <c r="O912" s="36"/>
      <c r="P912" s="36"/>
      <c r="Q912" s="36"/>
      <c r="R912" s="36"/>
      <c r="S912" s="36"/>
      <c r="T912" s="36"/>
      <c r="U912" s="36"/>
      <c r="V912" s="36"/>
      <c r="W912" s="36"/>
      <c r="X912" s="36"/>
      <c r="Y912" s="36"/>
      <c r="Z912" s="36"/>
      <c r="AA912" s="36"/>
      <c r="AB912" s="36"/>
      <c r="AC912" s="36"/>
    </row>
    <row r="913" spans="1:29" ht="120" customHeight="1">
      <c r="A913" s="81"/>
      <c r="B913" s="94"/>
      <c r="C913" s="81"/>
      <c r="D913" s="81"/>
      <c r="E913" s="80"/>
      <c r="F913" s="620"/>
      <c r="G913" s="620"/>
      <c r="H913" s="94"/>
      <c r="I913" s="81"/>
      <c r="J913" s="35"/>
      <c r="K913" s="36"/>
      <c r="L913" s="36"/>
      <c r="M913" s="36"/>
      <c r="N913" s="36"/>
      <c r="O913" s="36"/>
      <c r="P913" s="36"/>
      <c r="Q913" s="36"/>
      <c r="R913" s="36"/>
      <c r="S913" s="36"/>
      <c r="T913" s="36"/>
      <c r="U913" s="36"/>
      <c r="V913" s="36"/>
      <c r="W913" s="36"/>
      <c r="X913" s="36"/>
      <c r="Y913" s="36"/>
      <c r="Z913" s="36"/>
      <c r="AA913" s="36"/>
      <c r="AB913" s="36"/>
      <c r="AC913" s="36"/>
    </row>
    <row r="914" spans="1:29" ht="96" customHeight="1">
      <c r="A914" s="81"/>
      <c r="B914" s="81"/>
      <c r="C914" s="81"/>
      <c r="D914" s="81"/>
      <c r="E914" s="80"/>
      <c r="F914" s="620"/>
      <c r="G914" s="620"/>
      <c r="H914" s="94"/>
      <c r="I914" s="81"/>
      <c r="J914" s="35"/>
      <c r="K914" s="36"/>
      <c r="L914" s="36"/>
      <c r="M914" s="36"/>
      <c r="N914" s="36"/>
      <c r="O914" s="36"/>
      <c r="P914" s="36"/>
      <c r="Q914" s="36"/>
      <c r="R914" s="36"/>
      <c r="S914" s="36"/>
      <c r="T914" s="36"/>
      <c r="U914" s="36"/>
      <c r="V914" s="36"/>
      <c r="W914" s="36"/>
      <c r="X914" s="36"/>
      <c r="Y914" s="36"/>
      <c r="Z914" s="36"/>
      <c r="AA914" s="36"/>
      <c r="AB914" s="36"/>
      <c r="AC914" s="36"/>
    </row>
    <row r="915" spans="1:29" ht="409.5" customHeight="1">
      <c r="A915" s="81"/>
      <c r="B915" s="94"/>
      <c r="C915" s="81"/>
      <c r="D915" s="81"/>
      <c r="E915" s="80"/>
      <c r="F915" s="620"/>
      <c r="G915" s="620"/>
      <c r="H915" s="94"/>
      <c r="I915" s="81"/>
      <c r="J915" s="35"/>
      <c r="K915" s="36"/>
      <c r="L915" s="36"/>
      <c r="M915" s="36"/>
      <c r="N915" s="36"/>
      <c r="O915" s="36"/>
      <c r="P915" s="36"/>
      <c r="Q915" s="36"/>
      <c r="R915" s="36"/>
      <c r="S915" s="36"/>
      <c r="T915" s="36"/>
      <c r="U915" s="36"/>
      <c r="V915" s="36"/>
      <c r="W915" s="36"/>
      <c r="X915" s="36"/>
      <c r="Y915" s="36"/>
      <c r="Z915" s="36"/>
      <c r="AA915" s="36"/>
      <c r="AB915" s="36"/>
      <c r="AC915" s="36"/>
    </row>
    <row r="916" spans="1:29" ht="108" customHeight="1">
      <c r="A916" s="81"/>
      <c r="B916" s="81"/>
      <c r="C916" s="81"/>
      <c r="D916" s="81"/>
      <c r="E916" s="80"/>
      <c r="F916" s="620"/>
      <c r="G916" s="620"/>
      <c r="H916" s="94"/>
      <c r="I916" s="81"/>
      <c r="J916" s="35"/>
      <c r="K916" s="36"/>
      <c r="L916" s="36"/>
      <c r="M916" s="36"/>
      <c r="N916" s="36"/>
      <c r="O916" s="36"/>
      <c r="P916" s="36"/>
      <c r="Q916" s="36"/>
      <c r="R916" s="36"/>
      <c r="S916" s="36"/>
      <c r="T916" s="36"/>
      <c r="U916" s="36"/>
      <c r="V916" s="36"/>
      <c r="W916" s="36"/>
      <c r="X916" s="36"/>
      <c r="Y916" s="36"/>
      <c r="Z916" s="36"/>
      <c r="AA916" s="36"/>
      <c r="AB916" s="36"/>
      <c r="AC916" s="36"/>
    </row>
    <row r="917" spans="1:29" ht="96" customHeight="1">
      <c r="A917" s="81"/>
      <c r="B917" s="81"/>
      <c r="C917" s="81"/>
      <c r="D917" s="81"/>
      <c r="E917" s="80"/>
      <c r="F917" s="620"/>
      <c r="G917" s="620"/>
      <c r="H917" s="94"/>
      <c r="I917" s="81"/>
      <c r="J917" s="35"/>
      <c r="K917" s="36"/>
      <c r="L917" s="36"/>
      <c r="M917" s="36"/>
      <c r="N917" s="36"/>
      <c r="O917" s="36"/>
      <c r="P917" s="36"/>
      <c r="Q917" s="36"/>
      <c r="R917" s="36"/>
      <c r="S917" s="36"/>
      <c r="T917" s="36"/>
      <c r="U917" s="36"/>
      <c r="V917" s="36"/>
      <c r="W917" s="36"/>
      <c r="X917" s="36"/>
      <c r="Y917" s="36"/>
      <c r="Z917" s="36"/>
      <c r="AA917" s="36"/>
      <c r="AB917" s="36"/>
      <c r="AC917" s="36"/>
    </row>
    <row r="918" spans="1:29" ht="144" customHeight="1">
      <c r="A918" s="81"/>
      <c r="B918" s="81"/>
      <c r="C918" s="81"/>
      <c r="D918" s="81"/>
      <c r="E918" s="80"/>
      <c r="F918" s="620"/>
      <c r="G918" s="620"/>
      <c r="H918" s="94"/>
      <c r="I918" s="81"/>
      <c r="J918" s="35"/>
      <c r="K918" s="36"/>
      <c r="L918" s="36"/>
      <c r="M918" s="36"/>
      <c r="N918" s="36"/>
      <c r="O918" s="36"/>
      <c r="P918" s="36"/>
      <c r="Q918" s="36"/>
      <c r="R918" s="36"/>
      <c r="S918" s="36"/>
      <c r="T918" s="36"/>
      <c r="U918" s="36"/>
      <c r="V918" s="36"/>
      <c r="W918" s="36"/>
      <c r="X918" s="36"/>
      <c r="Y918" s="36"/>
      <c r="Z918" s="36"/>
      <c r="AA918" s="36"/>
      <c r="AB918" s="36"/>
      <c r="AC918" s="36"/>
    </row>
    <row r="919" spans="1:29" ht="108" customHeight="1">
      <c r="A919" s="81"/>
      <c r="B919" s="81"/>
      <c r="C919" s="81"/>
      <c r="D919" s="81"/>
      <c r="E919" s="80"/>
      <c r="F919" s="620"/>
      <c r="G919" s="620"/>
      <c r="H919" s="94"/>
      <c r="I919" s="81"/>
      <c r="J919" s="35"/>
      <c r="K919" s="36"/>
      <c r="L919" s="36"/>
      <c r="M919" s="36"/>
      <c r="N919" s="36"/>
      <c r="O919" s="36"/>
      <c r="P919" s="36"/>
      <c r="Q919" s="36"/>
      <c r="R919" s="36"/>
      <c r="S919" s="36"/>
      <c r="T919" s="36"/>
      <c r="U919" s="36"/>
      <c r="V919" s="36"/>
      <c r="W919" s="36"/>
      <c r="X919" s="36"/>
      <c r="Y919" s="36"/>
      <c r="Z919" s="36"/>
      <c r="AA919" s="36"/>
      <c r="AB919" s="36"/>
      <c r="AC919" s="36"/>
    </row>
    <row r="920" spans="1:29" ht="120" customHeight="1">
      <c r="A920" s="81"/>
      <c r="B920" s="81"/>
      <c r="C920" s="81"/>
      <c r="D920" s="81"/>
      <c r="E920" s="80"/>
      <c r="F920" s="620"/>
      <c r="G920" s="620"/>
      <c r="H920" s="94"/>
      <c r="I920" s="81"/>
      <c r="J920" s="35"/>
      <c r="K920" s="36"/>
      <c r="L920" s="36"/>
      <c r="M920" s="36"/>
      <c r="N920" s="36"/>
      <c r="O920" s="36"/>
      <c r="P920" s="36"/>
      <c r="Q920" s="36"/>
      <c r="R920" s="36"/>
      <c r="S920" s="36"/>
      <c r="T920" s="36"/>
      <c r="U920" s="36"/>
      <c r="V920" s="36"/>
      <c r="W920" s="36"/>
      <c r="X920" s="36"/>
      <c r="Y920" s="36"/>
      <c r="Z920" s="36"/>
      <c r="AA920" s="36"/>
      <c r="AB920" s="36"/>
      <c r="AC920" s="36"/>
    </row>
    <row r="921" spans="1:29" ht="132" customHeight="1">
      <c r="A921" s="81"/>
      <c r="B921" s="81"/>
      <c r="C921" s="81"/>
      <c r="D921" s="81"/>
      <c r="E921" s="80"/>
      <c r="F921" s="620"/>
      <c r="G921" s="620"/>
      <c r="H921" s="94"/>
      <c r="I921" s="81"/>
      <c r="J921" s="35"/>
      <c r="K921" s="36"/>
      <c r="L921" s="36"/>
      <c r="M921" s="36"/>
      <c r="N921" s="36"/>
      <c r="O921" s="36"/>
      <c r="P921" s="36"/>
      <c r="Q921" s="36"/>
      <c r="R921" s="36"/>
      <c r="S921" s="36"/>
      <c r="T921" s="36"/>
      <c r="U921" s="36"/>
      <c r="V921" s="36"/>
      <c r="W921" s="36"/>
      <c r="X921" s="36"/>
      <c r="Y921" s="36"/>
      <c r="Z921" s="36"/>
      <c r="AA921" s="36"/>
      <c r="AB921" s="36"/>
      <c r="AC921" s="36"/>
    </row>
    <row r="922" spans="1:29" ht="168" customHeight="1">
      <c r="A922" s="81"/>
      <c r="B922" s="81"/>
      <c r="C922" s="81"/>
      <c r="D922" s="81"/>
      <c r="E922" s="80"/>
      <c r="F922" s="620"/>
      <c r="G922" s="620"/>
      <c r="H922" s="94"/>
      <c r="I922" s="81"/>
      <c r="J922" s="35"/>
      <c r="K922" s="36"/>
      <c r="L922" s="36"/>
      <c r="M922" s="36"/>
      <c r="N922" s="36"/>
      <c r="O922" s="36"/>
      <c r="P922" s="36"/>
      <c r="Q922" s="36"/>
      <c r="R922" s="36"/>
      <c r="S922" s="36"/>
      <c r="T922" s="36"/>
      <c r="U922" s="36"/>
      <c r="V922" s="36"/>
      <c r="W922" s="36"/>
      <c r="X922" s="36"/>
      <c r="Y922" s="36"/>
      <c r="Z922" s="36"/>
      <c r="AA922" s="36"/>
      <c r="AB922" s="36"/>
      <c r="AC922" s="36"/>
    </row>
    <row r="923" spans="1:29" ht="72" customHeight="1">
      <c r="A923" s="81"/>
      <c r="B923" s="81"/>
      <c r="C923" s="81"/>
      <c r="D923" s="81"/>
      <c r="E923" s="80"/>
      <c r="F923" s="620"/>
      <c r="G923" s="620"/>
      <c r="H923" s="94"/>
      <c r="I923" s="81"/>
      <c r="J923" s="35"/>
      <c r="K923" s="36"/>
      <c r="L923" s="36"/>
      <c r="M923" s="36"/>
      <c r="N923" s="36"/>
      <c r="O923" s="36"/>
      <c r="P923" s="36"/>
      <c r="Q923" s="36"/>
      <c r="R923" s="36"/>
      <c r="S923" s="36"/>
      <c r="T923" s="36"/>
      <c r="U923" s="36"/>
      <c r="V923" s="36"/>
      <c r="W923" s="36"/>
      <c r="X923" s="36"/>
      <c r="Y923" s="36"/>
      <c r="Z923" s="36"/>
      <c r="AA923" s="36"/>
      <c r="AB923" s="36"/>
      <c r="AC923" s="36"/>
    </row>
    <row r="924" spans="1:29" ht="336" customHeight="1">
      <c r="A924" s="81"/>
      <c r="B924" s="81"/>
      <c r="C924" s="81"/>
      <c r="D924" s="81"/>
      <c r="E924" s="80"/>
      <c r="F924" s="620"/>
      <c r="G924" s="620"/>
      <c r="H924" s="94"/>
      <c r="I924" s="81"/>
      <c r="J924" s="35"/>
      <c r="K924" s="36"/>
      <c r="L924" s="36"/>
      <c r="M924" s="36"/>
      <c r="N924" s="36"/>
      <c r="O924" s="36"/>
      <c r="P924" s="36"/>
      <c r="Q924" s="36"/>
      <c r="R924" s="36"/>
      <c r="S924" s="36"/>
      <c r="T924" s="36"/>
      <c r="U924" s="36"/>
      <c r="V924" s="36"/>
      <c r="W924" s="36"/>
      <c r="X924" s="36"/>
      <c r="Y924" s="36"/>
      <c r="Z924" s="36"/>
      <c r="AA924" s="36"/>
      <c r="AB924" s="36"/>
      <c r="AC924" s="36"/>
    </row>
    <row r="925" spans="1:29" ht="48" customHeight="1">
      <c r="A925" s="81"/>
      <c r="B925" s="81"/>
      <c r="C925" s="81"/>
      <c r="D925" s="81"/>
      <c r="E925" s="80"/>
      <c r="F925" s="620"/>
      <c r="G925" s="620"/>
      <c r="H925" s="94"/>
      <c r="I925" s="81"/>
      <c r="J925" s="35"/>
      <c r="K925" s="36"/>
      <c r="L925" s="36"/>
      <c r="M925" s="36"/>
      <c r="N925" s="36"/>
      <c r="O925" s="36"/>
      <c r="P925" s="36"/>
      <c r="Q925" s="36"/>
      <c r="R925" s="36"/>
      <c r="S925" s="36"/>
      <c r="T925" s="36"/>
      <c r="U925" s="36"/>
      <c r="V925" s="36"/>
      <c r="W925" s="36"/>
      <c r="X925" s="36"/>
      <c r="Y925" s="36"/>
      <c r="Z925" s="36"/>
      <c r="AA925" s="36"/>
      <c r="AB925" s="36"/>
      <c r="AC925" s="36"/>
    </row>
    <row r="926" spans="1:29" ht="24" customHeight="1">
      <c r="A926" s="81"/>
      <c r="B926" s="94"/>
      <c r="C926" s="81"/>
      <c r="D926" s="81"/>
      <c r="E926" s="80"/>
      <c r="F926" s="620"/>
      <c r="G926" s="620"/>
      <c r="H926" s="94"/>
      <c r="I926" s="81"/>
      <c r="J926" s="35"/>
      <c r="K926" s="36"/>
      <c r="L926" s="36"/>
      <c r="M926" s="36"/>
      <c r="N926" s="36"/>
      <c r="O926" s="36"/>
      <c r="P926" s="36"/>
      <c r="Q926" s="36"/>
      <c r="R926" s="36"/>
      <c r="S926" s="36"/>
      <c r="T926" s="36"/>
      <c r="U926" s="36"/>
      <c r="V926" s="36"/>
      <c r="W926" s="36"/>
      <c r="X926" s="36"/>
      <c r="Y926" s="36"/>
      <c r="Z926" s="36"/>
      <c r="AA926" s="36"/>
      <c r="AB926" s="36"/>
      <c r="AC926" s="36"/>
    </row>
    <row r="927" spans="1:29" ht="192" customHeight="1">
      <c r="A927" s="81"/>
      <c r="B927" s="81"/>
      <c r="C927" s="81"/>
      <c r="D927" s="81"/>
      <c r="E927" s="80"/>
      <c r="F927" s="620"/>
      <c r="G927" s="620"/>
      <c r="H927" s="94"/>
      <c r="I927" s="81"/>
      <c r="J927" s="35"/>
      <c r="K927" s="36"/>
      <c r="L927" s="36"/>
      <c r="M927" s="36"/>
      <c r="N927" s="36"/>
      <c r="O927" s="36"/>
      <c r="P927" s="36"/>
      <c r="Q927" s="36"/>
      <c r="R927" s="36"/>
      <c r="S927" s="36"/>
      <c r="T927" s="36"/>
      <c r="U927" s="36"/>
      <c r="V927" s="36"/>
      <c r="W927" s="36"/>
      <c r="X927" s="36"/>
      <c r="Y927" s="36"/>
      <c r="Z927" s="36"/>
      <c r="AA927" s="36"/>
      <c r="AB927" s="36"/>
      <c r="AC927" s="36"/>
    </row>
    <row r="928" spans="1:29" ht="12" customHeight="1">
      <c r="A928" s="81"/>
      <c r="B928" s="81"/>
      <c r="C928" s="81"/>
      <c r="D928" s="81"/>
      <c r="E928" s="80"/>
      <c r="F928" s="620"/>
      <c r="G928" s="620"/>
      <c r="H928" s="94"/>
      <c r="I928" s="81"/>
      <c r="J928" s="35"/>
      <c r="K928" s="36"/>
      <c r="L928" s="36"/>
      <c r="M928" s="36"/>
      <c r="N928" s="36"/>
      <c r="O928" s="36"/>
      <c r="P928" s="36"/>
      <c r="Q928" s="36"/>
      <c r="R928" s="36"/>
      <c r="S928" s="36"/>
      <c r="T928" s="36"/>
      <c r="U928" s="36"/>
      <c r="V928" s="36"/>
      <c r="W928" s="36"/>
      <c r="X928" s="36"/>
      <c r="Y928" s="36"/>
      <c r="Z928" s="36"/>
      <c r="AA928" s="36"/>
      <c r="AB928" s="36"/>
      <c r="AC928" s="36"/>
    </row>
    <row r="929" spans="1:29" ht="264" customHeight="1">
      <c r="A929" s="81"/>
      <c r="B929" s="81"/>
      <c r="C929" s="81"/>
      <c r="D929" s="81"/>
      <c r="E929" s="80"/>
      <c r="F929" s="620"/>
      <c r="G929" s="620"/>
      <c r="H929" s="94"/>
      <c r="I929" s="81"/>
      <c r="J929" s="35"/>
      <c r="K929" s="36"/>
      <c r="L929" s="36"/>
      <c r="M929" s="36"/>
      <c r="N929" s="36"/>
      <c r="O929" s="36"/>
      <c r="P929" s="36"/>
      <c r="Q929" s="36"/>
      <c r="R929" s="36"/>
      <c r="S929" s="36"/>
      <c r="T929" s="36"/>
      <c r="U929" s="36"/>
      <c r="V929" s="36"/>
      <c r="W929" s="36"/>
      <c r="X929" s="36"/>
      <c r="Y929" s="36"/>
      <c r="Z929" s="36"/>
      <c r="AA929" s="36"/>
      <c r="AB929" s="36"/>
      <c r="AC929" s="36"/>
    </row>
    <row r="930" spans="1:29" ht="24" customHeight="1">
      <c r="A930" s="81"/>
      <c r="B930" s="81"/>
      <c r="C930" s="81"/>
      <c r="D930" s="81"/>
      <c r="E930" s="80"/>
      <c r="F930" s="620"/>
      <c r="G930" s="620"/>
      <c r="H930" s="94"/>
      <c r="I930" s="81"/>
      <c r="J930" s="35"/>
      <c r="K930" s="36"/>
      <c r="L930" s="36"/>
      <c r="M930" s="36"/>
      <c r="N930" s="36"/>
      <c r="O930" s="36"/>
      <c r="P930" s="36"/>
      <c r="Q930" s="36"/>
      <c r="R930" s="36"/>
      <c r="S930" s="36"/>
      <c r="T930" s="36"/>
      <c r="U930" s="36"/>
      <c r="V930" s="36"/>
      <c r="W930" s="36"/>
      <c r="X930" s="36"/>
      <c r="Y930" s="36"/>
      <c r="Z930" s="36"/>
      <c r="AA930" s="36"/>
      <c r="AB930" s="36"/>
      <c r="AC930" s="36"/>
    </row>
    <row r="931" spans="1:29" ht="119.25" customHeight="1">
      <c r="A931" s="81"/>
      <c r="B931" s="81"/>
      <c r="C931" s="81"/>
      <c r="D931" s="81"/>
      <c r="E931" s="80"/>
      <c r="F931" s="620"/>
      <c r="G931" s="620"/>
      <c r="H931" s="94"/>
      <c r="I931" s="81"/>
      <c r="J931" s="35"/>
      <c r="K931" s="36"/>
      <c r="L931" s="36"/>
      <c r="M931" s="36"/>
      <c r="N931" s="36"/>
      <c r="O931" s="36"/>
      <c r="P931" s="36"/>
      <c r="Q931" s="36"/>
      <c r="R931" s="36"/>
      <c r="S931" s="36"/>
      <c r="T931" s="36"/>
      <c r="U931" s="36"/>
      <c r="V931" s="36"/>
      <c r="W931" s="36"/>
      <c r="X931" s="36"/>
      <c r="Y931" s="36"/>
      <c r="Z931" s="36"/>
      <c r="AA931" s="36"/>
      <c r="AB931" s="36"/>
      <c r="AC931" s="36"/>
    </row>
    <row r="932" spans="1:29" ht="96" customHeight="1">
      <c r="A932" s="476"/>
      <c r="B932" s="81"/>
      <c r="C932" s="100"/>
      <c r="D932" s="100"/>
      <c r="E932" s="99"/>
      <c r="F932" s="627"/>
      <c r="G932" s="627"/>
      <c r="H932" s="463"/>
      <c r="I932" s="81"/>
      <c r="J932" s="35"/>
      <c r="K932" s="36"/>
      <c r="L932" s="36"/>
      <c r="M932" s="36"/>
      <c r="N932" s="36"/>
      <c r="O932" s="36"/>
      <c r="P932" s="36"/>
      <c r="Q932" s="36"/>
      <c r="R932" s="36"/>
      <c r="S932" s="36"/>
      <c r="T932" s="36"/>
      <c r="U932" s="36"/>
      <c r="V932" s="36"/>
      <c r="W932" s="36"/>
      <c r="X932" s="36"/>
      <c r="Y932" s="36"/>
      <c r="Z932" s="36"/>
      <c r="AA932" s="36"/>
      <c r="AB932" s="36"/>
      <c r="AC932" s="36"/>
    </row>
    <row r="933" spans="1:29" ht="132" customHeight="1">
      <c r="A933" s="81"/>
      <c r="B933" s="81"/>
      <c r="C933" s="81"/>
      <c r="D933" s="81"/>
      <c r="E933" s="80"/>
      <c r="F933" s="620"/>
      <c r="G933" s="620"/>
      <c r="H933" s="94"/>
      <c r="I933" s="81"/>
      <c r="J933" s="35"/>
      <c r="K933" s="36"/>
      <c r="L933" s="36"/>
      <c r="M933" s="36"/>
      <c r="N933" s="36"/>
      <c r="O933" s="36"/>
      <c r="P933" s="36"/>
      <c r="Q933" s="36"/>
      <c r="R933" s="36"/>
      <c r="S933" s="36"/>
      <c r="T933" s="36"/>
      <c r="U933" s="36"/>
      <c r="V933" s="36"/>
      <c r="W933" s="36"/>
      <c r="X933" s="36"/>
      <c r="Y933" s="36"/>
      <c r="Z933" s="36"/>
      <c r="AA933" s="36"/>
      <c r="AB933" s="36"/>
      <c r="AC933" s="36"/>
    </row>
    <row r="934" spans="1:29" ht="132" customHeight="1">
      <c r="A934" s="476"/>
      <c r="B934" s="81"/>
      <c r="C934" s="100"/>
      <c r="D934" s="100"/>
      <c r="E934" s="99"/>
      <c r="F934" s="627"/>
      <c r="G934" s="627"/>
      <c r="H934" s="463"/>
      <c r="I934" s="81"/>
      <c r="J934" s="35"/>
      <c r="K934" s="36"/>
      <c r="L934" s="36"/>
      <c r="M934" s="36"/>
      <c r="N934" s="36"/>
      <c r="O934" s="36"/>
      <c r="P934" s="36"/>
      <c r="Q934" s="36"/>
      <c r="R934" s="36"/>
      <c r="S934" s="36"/>
      <c r="T934" s="36"/>
      <c r="U934" s="36"/>
      <c r="V934" s="36"/>
      <c r="W934" s="36"/>
      <c r="X934" s="36"/>
      <c r="Y934" s="36"/>
      <c r="Z934" s="36"/>
      <c r="AA934" s="36"/>
      <c r="AB934" s="36"/>
      <c r="AC934" s="36"/>
    </row>
    <row r="935" spans="1:29" ht="409.5" customHeight="1">
      <c r="A935" s="81"/>
      <c r="B935" s="94"/>
      <c r="C935" s="81"/>
      <c r="D935" s="81"/>
      <c r="E935" s="80"/>
      <c r="F935" s="620"/>
      <c r="G935" s="620"/>
      <c r="H935" s="94"/>
      <c r="I935" s="81"/>
      <c r="J935" s="35"/>
      <c r="K935" s="36"/>
      <c r="L935" s="36"/>
      <c r="M935" s="36"/>
      <c r="N935" s="36"/>
      <c r="O935" s="36"/>
      <c r="P935" s="36"/>
      <c r="Q935" s="36"/>
      <c r="R935" s="36"/>
      <c r="S935" s="36"/>
      <c r="T935" s="36"/>
      <c r="U935" s="36"/>
      <c r="V935" s="36"/>
      <c r="W935" s="36"/>
      <c r="X935" s="36"/>
      <c r="Y935" s="36"/>
      <c r="Z935" s="36"/>
      <c r="AA935" s="36"/>
      <c r="AB935" s="36"/>
      <c r="AC935" s="36"/>
    </row>
    <row r="936" spans="1:29" ht="36" customHeight="1">
      <c r="A936" s="81"/>
      <c r="B936" s="81"/>
      <c r="C936" s="81"/>
      <c r="D936" s="81"/>
      <c r="E936" s="80"/>
      <c r="F936" s="620"/>
      <c r="G936" s="620"/>
      <c r="H936" s="94"/>
      <c r="I936" s="81"/>
      <c r="J936" s="35"/>
      <c r="K936" s="36"/>
      <c r="L936" s="36"/>
      <c r="M936" s="36"/>
      <c r="N936" s="36"/>
      <c r="O936" s="36"/>
      <c r="P936" s="36"/>
      <c r="Q936" s="36"/>
      <c r="R936" s="36"/>
      <c r="S936" s="36"/>
      <c r="T936" s="36"/>
      <c r="U936" s="36"/>
      <c r="V936" s="36"/>
      <c r="W936" s="36"/>
      <c r="X936" s="36"/>
      <c r="Y936" s="36"/>
      <c r="Z936" s="36"/>
      <c r="AA936" s="36"/>
      <c r="AB936" s="36"/>
      <c r="AC936" s="36"/>
    </row>
    <row r="937" spans="1:29" ht="119.25" customHeight="1">
      <c r="A937" s="81"/>
      <c r="B937" s="81"/>
      <c r="C937" s="100"/>
      <c r="D937" s="100"/>
      <c r="E937" s="99"/>
      <c r="F937" s="627"/>
      <c r="G937" s="620"/>
      <c r="H937" s="94"/>
      <c r="I937" s="81"/>
      <c r="J937" s="35"/>
      <c r="K937" s="36"/>
      <c r="L937" s="36"/>
      <c r="M937" s="36"/>
      <c r="N937" s="36"/>
      <c r="O937" s="36"/>
      <c r="P937" s="36"/>
      <c r="Q937" s="36"/>
      <c r="R937" s="36"/>
      <c r="S937" s="36"/>
      <c r="T937" s="36"/>
      <c r="U937" s="36"/>
      <c r="V937" s="36"/>
      <c r="W937" s="36"/>
      <c r="X937" s="36"/>
      <c r="Y937" s="36"/>
      <c r="Z937" s="36"/>
      <c r="AA937" s="36"/>
      <c r="AB937" s="36"/>
      <c r="AC937" s="36"/>
    </row>
    <row r="938" spans="1:29" ht="84" customHeight="1">
      <c r="A938" s="81"/>
      <c r="B938" s="81"/>
      <c r="C938" s="81"/>
      <c r="D938" s="81"/>
      <c r="E938" s="80"/>
      <c r="F938" s="620"/>
      <c r="G938" s="620"/>
      <c r="H938" s="94"/>
      <c r="I938" s="81"/>
      <c r="J938" s="35"/>
      <c r="K938" s="36"/>
      <c r="L938" s="36"/>
      <c r="M938" s="36"/>
      <c r="N938" s="36"/>
      <c r="O938" s="36"/>
      <c r="P938" s="36"/>
      <c r="Q938" s="36"/>
      <c r="R938" s="36"/>
      <c r="S938" s="36"/>
      <c r="T938" s="36"/>
      <c r="U938" s="36"/>
      <c r="V938" s="36"/>
      <c r="W938" s="36"/>
      <c r="X938" s="36"/>
      <c r="Y938" s="36"/>
      <c r="Z938" s="36"/>
      <c r="AA938" s="36"/>
      <c r="AB938" s="36"/>
      <c r="AC938" s="36"/>
    </row>
    <row r="939" spans="1:29" ht="264" customHeight="1">
      <c r="A939" s="81"/>
      <c r="B939" s="81"/>
      <c r="C939" s="81"/>
      <c r="D939" s="81"/>
      <c r="E939" s="80"/>
      <c r="F939" s="620"/>
      <c r="G939" s="620"/>
      <c r="H939" s="94"/>
      <c r="I939" s="81"/>
      <c r="J939" s="35"/>
      <c r="K939" s="36"/>
      <c r="L939" s="36"/>
      <c r="M939" s="36"/>
      <c r="N939" s="36"/>
      <c r="O939" s="36"/>
      <c r="P939" s="36"/>
      <c r="Q939" s="36"/>
      <c r="R939" s="36"/>
      <c r="S939" s="36"/>
      <c r="T939" s="36"/>
      <c r="U939" s="36"/>
      <c r="V939" s="36"/>
      <c r="W939" s="36"/>
      <c r="X939" s="36"/>
      <c r="Y939" s="36"/>
      <c r="Z939" s="36"/>
      <c r="AA939" s="36"/>
      <c r="AB939" s="36"/>
      <c r="AC939" s="36"/>
    </row>
    <row r="940" spans="1:29" ht="276" customHeight="1">
      <c r="A940" s="81"/>
      <c r="B940" s="81"/>
      <c r="C940" s="81"/>
      <c r="D940" s="81"/>
      <c r="E940" s="80"/>
      <c r="F940" s="620"/>
      <c r="G940" s="620"/>
      <c r="H940" s="94"/>
      <c r="I940" s="81"/>
      <c r="J940" s="35"/>
      <c r="K940" s="36"/>
      <c r="L940" s="36"/>
      <c r="M940" s="36"/>
      <c r="N940" s="36"/>
      <c r="O940" s="36"/>
      <c r="P940" s="36"/>
      <c r="Q940" s="36"/>
      <c r="R940" s="36"/>
      <c r="S940" s="36"/>
      <c r="T940" s="36"/>
      <c r="U940" s="36"/>
      <c r="V940" s="36"/>
      <c r="W940" s="36"/>
      <c r="X940" s="36"/>
      <c r="Y940" s="36"/>
      <c r="Z940" s="36"/>
      <c r="AA940" s="36"/>
      <c r="AB940" s="36"/>
      <c r="AC940" s="36"/>
    </row>
    <row r="941" spans="1:29" ht="24" customHeight="1">
      <c r="A941" s="81"/>
      <c r="B941" s="81"/>
      <c r="C941" s="81"/>
      <c r="D941" s="81"/>
      <c r="E941" s="80"/>
      <c r="F941" s="620"/>
      <c r="G941" s="620"/>
      <c r="H941" s="94"/>
      <c r="I941" s="81"/>
      <c r="J941" s="35"/>
      <c r="K941" s="36"/>
      <c r="L941" s="36"/>
      <c r="M941" s="36"/>
      <c r="N941" s="36"/>
      <c r="O941" s="36"/>
      <c r="P941" s="36"/>
      <c r="Q941" s="36"/>
      <c r="R941" s="36"/>
      <c r="S941" s="36"/>
      <c r="T941" s="36"/>
      <c r="U941" s="36"/>
      <c r="V941" s="36"/>
      <c r="W941" s="36"/>
      <c r="X941" s="36"/>
      <c r="Y941" s="36"/>
      <c r="Z941" s="36"/>
      <c r="AA941" s="36"/>
      <c r="AB941" s="36"/>
      <c r="AC941" s="36"/>
    </row>
    <row r="942" spans="1:29" ht="180" customHeight="1">
      <c r="A942" s="81"/>
      <c r="B942" s="94"/>
      <c r="C942" s="100"/>
      <c r="D942" s="100"/>
      <c r="E942" s="99"/>
      <c r="F942" s="627"/>
      <c r="G942" s="620"/>
      <c r="H942" s="100"/>
      <c r="I942" s="81"/>
      <c r="J942" s="35"/>
      <c r="K942" s="36"/>
      <c r="L942" s="36"/>
      <c r="M942" s="36"/>
      <c r="N942" s="36"/>
      <c r="O942" s="36"/>
      <c r="P942" s="36"/>
      <c r="Q942" s="36"/>
      <c r="R942" s="36"/>
      <c r="S942" s="36"/>
      <c r="T942" s="36"/>
      <c r="U942" s="36"/>
      <c r="V942" s="36"/>
      <c r="W942" s="36"/>
      <c r="X942" s="36"/>
      <c r="Y942" s="36"/>
      <c r="Z942" s="36"/>
      <c r="AA942" s="36"/>
      <c r="AB942" s="36"/>
      <c r="AC942" s="36"/>
    </row>
    <row r="943" spans="1:29" ht="96" customHeight="1">
      <c r="A943" s="81"/>
      <c r="B943" s="94"/>
      <c r="C943" s="100"/>
      <c r="D943" s="100"/>
      <c r="E943" s="99"/>
      <c r="F943" s="627"/>
      <c r="G943" s="620"/>
      <c r="H943" s="100"/>
      <c r="I943" s="81"/>
      <c r="J943" s="35"/>
      <c r="K943" s="36"/>
      <c r="L943" s="36"/>
      <c r="M943" s="36"/>
      <c r="N943" s="36"/>
      <c r="O943" s="36"/>
      <c r="P943" s="36"/>
      <c r="Q943" s="36"/>
      <c r="R943" s="36"/>
      <c r="S943" s="36"/>
      <c r="T943" s="36"/>
      <c r="U943" s="36"/>
      <c r="V943" s="36"/>
      <c r="W943" s="36"/>
      <c r="X943" s="36"/>
      <c r="Y943" s="36"/>
      <c r="Z943" s="36"/>
      <c r="AA943" s="36"/>
      <c r="AB943" s="36"/>
      <c r="AC943" s="36"/>
    </row>
    <row r="944" spans="1:29" ht="108" customHeight="1">
      <c r="A944" s="81"/>
      <c r="B944" s="81"/>
      <c r="C944" s="81"/>
      <c r="D944" s="81"/>
      <c r="E944" s="80"/>
      <c r="F944" s="620"/>
      <c r="G944" s="620"/>
      <c r="H944" s="94"/>
      <c r="I944" s="81"/>
      <c r="J944" s="35"/>
      <c r="K944" s="36"/>
      <c r="L944" s="36"/>
      <c r="M944" s="36"/>
      <c r="N944" s="36"/>
      <c r="O944" s="36"/>
      <c r="P944" s="36"/>
      <c r="Q944" s="36"/>
      <c r="R944" s="36"/>
      <c r="S944" s="36"/>
      <c r="T944" s="36"/>
      <c r="U944" s="36"/>
      <c r="V944" s="36"/>
      <c r="W944" s="36"/>
      <c r="X944" s="36"/>
      <c r="Y944" s="36"/>
      <c r="Z944" s="36"/>
      <c r="AA944" s="36"/>
      <c r="AB944" s="36"/>
      <c r="AC944" s="36"/>
    </row>
    <row r="945" spans="1:29" ht="84" customHeight="1">
      <c r="A945" s="81"/>
      <c r="B945" s="81"/>
      <c r="C945" s="81"/>
      <c r="D945" s="81"/>
      <c r="E945" s="80"/>
      <c r="F945" s="620"/>
      <c r="G945" s="620"/>
      <c r="H945" s="94"/>
      <c r="I945" s="81"/>
      <c r="J945" s="35"/>
      <c r="K945" s="36"/>
      <c r="L945" s="36"/>
      <c r="M945" s="36"/>
      <c r="N945" s="36"/>
      <c r="O945" s="36"/>
      <c r="P945" s="36"/>
      <c r="Q945" s="36"/>
      <c r="R945" s="36"/>
      <c r="S945" s="36"/>
      <c r="T945" s="36"/>
      <c r="U945" s="36"/>
      <c r="V945" s="36"/>
      <c r="W945" s="36"/>
      <c r="X945" s="36"/>
      <c r="Y945" s="36"/>
      <c r="Z945" s="36"/>
      <c r="AA945" s="36"/>
      <c r="AB945" s="36"/>
      <c r="AC945" s="36"/>
    </row>
    <row r="946" spans="1:29" ht="72" customHeight="1">
      <c r="A946" s="81"/>
      <c r="B946" s="81"/>
      <c r="C946" s="81"/>
      <c r="D946" s="81"/>
      <c r="E946" s="80"/>
      <c r="F946" s="620"/>
      <c r="G946" s="620"/>
      <c r="H946" s="94"/>
      <c r="I946" s="81"/>
      <c r="J946" s="35"/>
      <c r="K946" s="36"/>
      <c r="L946" s="36"/>
      <c r="M946" s="36"/>
      <c r="N946" s="36"/>
      <c r="O946" s="36"/>
      <c r="P946" s="36"/>
      <c r="Q946" s="36"/>
      <c r="R946" s="36"/>
      <c r="S946" s="36"/>
      <c r="T946" s="36"/>
      <c r="U946" s="36"/>
      <c r="V946" s="36"/>
      <c r="W946" s="36"/>
      <c r="X946" s="36"/>
      <c r="Y946" s="36"/>
      <c r="Z946" s="36"/>
      <c r="AA946" s="36"/>
      <c r="AB946" s="36"/>
      <c r="AC946" s="36"/>
    </row>
    <row r="947" spans="1:29" ht="180" customHeight="1">
      <c r="A947" s="81"/>
      <c r="B947" s="81"/>
      <c r="C947" s="81"/>
      <c r="D947" s="81"/>
      <c r="E947" s="80"/>
      <c r="F947" s="620"/>
      <c r="G947" s="620"/>
      <c r="H947" s="94"/>
      <c r="I947" s="81"/>
      <c r="J947" s="35"/>
      <c r="K947" s="36"/>
      <c r="L947" s="36"/>
      <c r="M947" s="36"/>
      <c r="N947" s="36"/>
      <c r="O947" s="36"/>
      <c r="P947" s="36"/>
      <c r="Q947" s="36"/>
      <c r="R947" s="36"/>
      <c r="S947" s="36"/>
      <c r="T947" s="36"/>
      <c r="U947" s="36"/>
      <c r="V947" s="36"/>
      <c r="W947" s="36"/>
      <c r="X947" s="36"/>
      <c r="Y947" s="36"/>
      <c r="Z947" s="36"/>
      <c r="AA947" s="36"/>
      <c r="AB947" s="36"/>
      <c r="AC947" s="36"/>
    </row>
    <row r="948" spans="1:29" ht="72" customHeight="1">
      <c r="A948" s="619"/>
      <c r="B948" s="81"/>
      <c r="C948" s="81"/>
      <c r="D948" s="81"/>
      <c r="E948" s="80"/>
      <c r="F948" s="620"/>
      <c r="G948" s="620"/>
      <c r="H948" s="94"/>
      <c r="I948" s="81"/>
      <c r="J948" s="35"/>
      <c r="K948" s="36"/>
      <c r="L948" s="36"/>
      <c r="M948" s="36"/>
      <c r="N948" s="36"/>
      <c r="O948" s="36"/>
      <c r="P948" s="36"/>
      <c r="Q948" s="36"/>
      <c r="R948" s="36"/>
      <c r="S948" s="36"/>
      <c r="T948" s="36"/>
      <c r="U948" s="36"/>
      <c r="V948" s="36"/>
      <c r="W948" s="36"/>
      <c r="X948" s="36"/>
      <c r="Y948" s="36"/>
      <c r="Z948" s="36"/>
      <c r="AA948" s="36"/>
      <c r="AB948" s="36"/>
      <c r="AC948" s="36"/>
    </row>
    <row r="949" spans="1:29" ht="192" customHeight="1">
      <c r="A949" s="619"/>
      <c r="B949" s="81"/>
      <c r="C949" s="81"/>
      <c r="D949" s="81"/>
      <c r="E949" s="80"/>
      <c r="F949" s="620"/>
      <c r="G949" s="620"/>
      <c r="H949" s="94"/>
      <c r="I949" s="81"/>
      <c r="J949" s="35"/>
      <c r="K949" s="36"/>
      <c r="L949" s="36"/>
      <c r="M949" s="36"/>
      <c r="N949" s="36"/>
      <c r="O949" s="36"/>
      <c r="P949" s="36"/>
      <c r="Q949" s="36"/>
      <c r="R949" s="36"/>
      <c r="S949" s="36"/>
      <c r="T949" s="36"/>
      <c r="U949" s="36"/>
      <c r="V949" s="36"/>
      <c r="W949" s="36"/>
      <c r="X949" s="36"/>
      <c r="Y949" s="36"/>
      <c r="Z949" s="36"/>
      <c r="AA949" s="36"/>
      <c r="AB949" s="36"/>
      <c r="AC949" s="36"/>
    </row>
    <row r="950" spans="1:29" ht="60" customHeight="1">
      <c r="A950" s="619"/>
      <c r="B950" s="81"/>
      <c r="C950" s="81"/>
      <c r="D950" s="81"/>
      <c r="E950" s="80"/>
      <c r="F950" s="620"/>
      <c r="G950" s="620"/>
      <c r="H950" s="94"/>
      <c r="I950" s="81"/>
      <c r="J950" s="35"/>
      <c r="K950" s="36"/>
      <c r="L950" s="36"/>
      <c r="M950" s="36"/>
      <c r="N950" s="36"/>
      <c r="O950" s="36"/>
      <c r="P950" s="36"/>
      <c r="Q950" s="36"/>
      <c r="R950" s="36"/>
      <c r="S950" s="36"/>
      <c r="T950" s="36"/>
      <c r="U950" s="36"/>
      <c r="V950" s="36"/>
      <c r="W950" s="36"/>
      <c r="X950" s="36"/>
      <c r="Y950" s="36"/>
      <c r="Z950" s="36"/>
      <c r="AA950" s="36"/>
      <c r="AB950" s="36"/>
      <c r="AC950" s="36"/>
    </row>
    <row r="951" spans="1:29" ht="84" customHeight="1">
      <c r="A951" s="619"/>
      <c r="B951" s="81"/>
      <c r="C951" s="81"/>
      <c r="D951" s="81"/>
      <c r="E951" s="80"/>
      <c r="F951" s="620"/>
      <c r="G951" s="620"/>
      <c r="H951" s="94"/>
      <c r="I951" s="81"/>
      <c r="J951" s="35"/>
      <c r="K951" s="36"/>
      <c r="L951" s="36"/>
      <c r="M951" s="36"/>
      <c r="N951" s="36"/>
      <c r="O951" s="36"/>
      <c r="P951" s="36"/>
      <c r="Q951" s="36"/>
      <c r="R951" s="36"/>
      <c r="S951" s="36"/>
      <c r="T951" s="36"/>
      <c r="U951" s="36"/>
      <c r="V951" s="36"/>
      <c r="W951" s="36"/>
      <c r="X951" s="36"/>
      <c r="Y951" s="36"/>
      <c r="Z951" s="36"/>
      <c r="AA951" s="36"/>
      <c r="AB951" s="36"/>
      <c r="AC951" s="36"/>
    </row>
    <row r="952" spans="1:29" ht="228" customHeight="1">
      <c r="A952" s="619"/>
      <c r="B952" s="81"/>
      <c r="C952" s="100"/>
      <c r="D952" s="100"/>
      <c r="E952" s="99"/>
      <c r="F952" s="627"/>
      <c r="G952" s="620"/>
      <c r="H952" s="100"/>
      <c r="I952" s="81"/>
      <c r="J952" s="35"/>
      <c r="K952" s="36"/>
      <c r="L952" s="36"/>
      <c r="M952" s="36"/>
      <c r="N952" s="36"/>
      <c r="O952" s="36"/>
      <c r="P952" s="36"/>
      <c r="Q952" s="36"/>
      <c r="R952" s="36"/>
      <c r="S952" s="36"/>
      <c r="T952" s="36"/>
      <c r="U952" s="36"/>
      <c r="V952" s="36"/>
      <c r="W952" s="36"/>
      <c r="X952" s="36"/>
      <c r="Y952" s="36"/>
      <c r="Z952" s="36"/>
      <c r="AA952" s="36"/>
      <c r="AB952" s="36"/>
      <c r="AC952" s="36"/>
    </row>
    <row r="953" spans="1:29" ht="84" customHeight="1">
      <c r="A953" s="619"/>
      <c r="B953" s="81"/>
      <c r="C953" s="81"/>
      <c r="D953" s="81"/>
      <c r="E953" s="80"/>
      <c r="F953" s="620"/>
      <c r="G953" s="620"/>
      <c r="H953" s="94"/>
      <c r="I953" s="81"/>
      <c r="J953" s="35"/>
      <c r="K953" s="36"/>
      <c r="L953" s="36"/>
      <c r="M953" s="36"/>
      <c r="N953" s="36"/>
      <c r="O953" s="36"/>
      <c r="P953" s="36"/>
      <c r="Q953" s="36"/>
      <c r="R953" s="36"/>
      <c r="S953" s="36"/>
      <c r="T953" s="36"/>
      <c r="U953" s="36"/>
      <c r="V953" s="36"/>
      <c r="W953" s="36"/>
      <c r="X953" s="36"/>
      <c r="Y953" s="36"/>
      <c r="Z953" s="36"/>
      <c r="AA953" s="36"/>
      <c r="AB953" s="36"/>
      <c r="AC953" s="36"/>
    </row>
    <row r="954" spans="1:29" ht="144" customHeight="1">
      <c r="A954" s="619"/>
      <c r="B954" s="81"/>
      <c r="C954" s="81"/>
      <c r="D954" s="81"/>
      <c r="E954" s="80"/>
      <c r="F954" s="620"/>
      <c r="G954" s="620"/>
      <c r="H954" s="94"/>
      <c r="I954" s="81"/>
      <c r="J954" s="35"/>
      <c r="K954" s="36"/>
      <c r="L954" s="36"/>
      <c r="M954" s="36"/>
      <c r="N954" s="36"/>
      <c r="O954" s="36"/>
      <c r="P954" s="36"/>
      <c r="Q954" s="36"/>
      <c r="R954" s="36"/>
      <c r="S954" s="36"/>
      <c r="T954" s="36"/>
      <c r="U954" s="36"/>
      <c r="V954" s="36"/>
      <c r="W954" s="36"/>
      <c r="X954" s="36"/>
      <c r="Y954" s="36"/>
      <c r="Z954" s="36"/>
      <c r="AA954" s="36"/>
      <c r="AB954" s="36"/>
      <c r="AC954" s="36"/>
    </row>
    <row r="955" spans="1:29" ht="409.5" customHeight="1">
      <c r="A955" s="619"/>
      <c r="B955" s="81"/>
      <c r="C955" s="81"/>
      <c r="D955" s="81"/>
      <c r="E955" s="80"/>
      <c r="F955" s="620"/>
      <c r="G955" s="620"/>
      <c r="H955" s="94"/>
      <c r="I955" s="81"/>
      <c r="J955" s="35"/>
      <c r="K955" s="36"/>
      <c r="L955" s="36"/>
      <c r="M955" s="36"/>
      <c r="N955" s="36"/>
      <c r="O955" s="36"/>
      <c r="P955" s="36"/>
      <c r="Q955" s="36"/>
      <c r="R955" s="36"/>
      <c r="S955" s="36"/>
      <c r="T955" s="36"/>
      <c r="U955" s="36"/>
      <c r="V955" s="36"/>
      <c r="W955" s="36"/>
      <c r="X955" s="36"/>
      <c r="Y955" s="36"/>
      <c r="Z955" s="36"/>
      <c r="AA955" s="36"/>
      <c r="AB955" s="36"/>
      <c r="AC955" s="36"/>
    </row>
    <row r="956" spans="1:29" ht="96" customHeight="1">
      <c r="A956" s="619"/>
      <c r="B956" s="81"/>
      <c r="C956" s="81"/>
      <c r="D956" s="81"/>
      <c r="E956" s="80"/>
      <c r="F956" s="620"/>
      <c r="G956" s="620"/>
      <c r="H956" s="94"/>
      <c r="I956" s="81"/>
      <c r="J956" s="35"/>
      <c r="K956" s="36"/>
      <c r="L956" s="36"/>
      <c r="M956" s="36"/>
      <c r="N956" s="36"/>
      <c r="O956" s="36"/>
      <c r="P956" s="36"/>
      <c r="Q956" s="36"/>
      <c r="R956" s="36"/>
      <c r="S956" s="36"/>
      <c r="T956" s="36"/>
      <c r="U956" s="36"/>
      <c r="V956" s="36"/>
      <c r="W956" s="36"/>
      <c r="X956" s="36"/>
      <c r="Y956" s="36"/>
      <c r="Z956" s="36"/>
      <c r="AA956" s="36"/>
      <c r="AB956" s="36"/>
      <c r="AC956" s="36"/>
    </row>
    <row r="957" spans="1:29" ht="180" customHeight="1">
      <c r="A957" s="619"/>
      <c r="B957" s="81"/>
      <c r="C957" s="81"/>
      <c r="D957" s="81"/>
      <c r="E957" s="80"/>
      <c r="F957" s="620"/>
      <c r="G957" s="620"/>
      <c r="H957" s="94"/>
      <c r="I957" s="81"/>
      <c r="J957" s="35"/>
      <c r="K957" s="36"/>
      <c r="L957" s="36"/>
      <c r="M957" s="36"/>
      <c r="N957" s="36"/>
      <c r="O957" s="36"/>
      <c r="P957" s="36"/>
      <c r="Q957" s="36"/>
      <c r="R957" s="36"/>
      <c r="S957" s="36"/>
      <c r="T957" s="36"/>
      <c r="U957" s="36"/>
      <c r="V957" s="36"/>
      <c r="W957" s="36"/>
      <c r="X957" s="36"/>
      <c r="Y957" s="36"/>
      <c r="Z957" s="36"/>
      <c r="AA957" s="36"/>
      <c r="AB957" s="36"/>
      <c r="AC957" s="36"/>
    </row>
    <row r="958" spans="1:29" ht="156" customHeight="1">
      <c r="A958" s="619"/>
      <c r="B958" s="81"/>
      <c r="C958" s="100"/>
      <c r="D958" s="100"/>
      <c r="E958" s="99"/>
      <c r="F958" s="627"/>
      <c r="G958" s="627"/>
      <c r="H958" s="463"/>
      <c r="I958" s="100"/>
      <c r="J958" s="35"/>
      <c r="K958" s="36"/>
      <c r="L958" s="36"/>
      <c r="M958" s="36"/>
      <c r="N958" s="36"/>
      <c r="O958" s="36"/>
      <c r="P958" s="36"/>
      <c r="Q958" s="36"/>
      <c r="R958" s="36"/>
      <c r="S958" s="36"/>
      <c r="T958" s="36"/>
      <c r="U958" s="36"/>
      <c r="V958" s="36"/>
      <c r="W958" s="36"/>
      <c r="X958" s="36"/>
      <c r="Y958" s="36"/>
      <c r="Z958" s="36"/>
      <c r="AA958" s="36"/>
      <c r="AB958" s="36"/>
      <c r="AC958" s="36"/>
    </row>
    <row r="959" spans="1:29" ht="144" customHeight="1">
      <c r="A959" s="81"/>
      <c r="B959" s="81"/>
      <c r="C959" s="81"/>
      <c r="D959" s="81"/>
      <c r="E959" s="80"/>
      <c r="F959" s="620"/>
      <c r="G959" s="620"/>
      <c r="H959" s="94"/>
      <c r="I959" s="81"/>
      <c r="J959" s="35"/>
      <c r="K959" s="36"/>
      <c r="L959" s="36"/>
      <c r="M959" s="36"/>
      <c r="N959" s="36"/>
      <c r="O959" s="36"/>
      <c r="P959" s="36"/>
      <c r="Q959" s="36"/>
      <c r="R959" s="36"/>
      <c r="S959" s="36"/>
      <c r="T959" s="36"/>
      <c r="U959" s="36"/>
      <c r="V959" s="36"/>
      <c r="W959" s="36"/>
      <c r="X959" s="36"/>
      <c r="Y959" s="36"/>
      <c r="Z959" s="36"/>
      <c r="AA959" s="36"/>
      <c r="AB959" s="36"/>
      <c r="AC959" s="36"/>
    </row>
    <row r="960" spans="1:29" ht="228" customHeight="1">
      <c r="A960" s="81"/>
      <c r="B960" s="81"/>
      <c r="C960" s="100"/>
      <c r="D960" s="100"/>
      <c r="E960" s="99"/>
      <c r="F960" s="627"/>
      <c r="G960" s="620"/>
      <c r="H960" s="94"/>
      <c r="I960" s="81"/>
      <c r="J960" s="35"/>
      <c r="K960" s="36"/>
      <c r="L960" s="36"/>
      <c r="M960" s="36"/>
      <c r="N960" s="36"/>
      <c r="O960" s="36"/>
      <c r="P960" s="36"/>
      <c r="Q960" s="36"/>
      <c r="R960" s="36"/>
      <c r="S960" s="36"/>
      <c r="T960" s="36"/>
      <c r="U960" s="36"/>
      <c r="V960" s="36"/>
      <c r="W960" s="36"/>
      <c r="X960" s="36"/>
      <c r="Y960" s="36"/>
      <c r="Z960" s="36"/>
      <c r="AA960" s="36"/>
      <c r="AB960" s="36"/>
      <c r="AC960" s="36"/>
    </row>
    <row r="961" spans="1:29" ht="204" customHeight="1">
      <c r="A961" s="81"/>
      <c r="B961" s="81"/>
      <c r="C961" s="81"/>
      <c r="D961" s="81"/>
      <c r="E961" s="80"/>
      <c r="F961" s="620"/>
      <c r="G961" s="620"/>
      <c r="H961" s="94"/>
      <c r="I961" s="81"/>
      <c r="J961" s="35"/>
      <c r="K961" s="36"/>
      <c r="L961" s="36"/>
      <c r="M961" s="36"/>
      <c r="N961" s="36"/>
      <c r="O961" s="36"/>
      <c r="P961" s="36"/>
      <c r="Q961" s="36"/>
      <c r="R961" s="36"/>
      <c r="S961" s="36"/>
      <c r="T961" s="36"/>
      <c r="U961" s="36"/>
      <c r="V961" s="36"/>
      <c r="W961" s="36"/>
      <c r="X961" s="36"/>
      <c r="Y961" s="36"/>
      <c r="Z961" s="36"/>
      <c r="AA961" s="36"/>
      <c r="AB961" s="36"/>
      <c r="AC961" s="36"/>
    </row>
    <row r="962" spans="1:29" ht="168" customHeight="1">
      <c r="A962" s="81"/>
      <c r="B962" s="81"/>
      <c r="C962" s="81"/>
      <c r="D962" s="81"/>
      <c r="E962" s="80"/>
      <c r="F962" s="620"/>
      <c r="G962" s="620"/>
      <c r="H962" s="94"/>
      <c r="I962" s="81"/>
      <c r="J962" s="35"/>
      <c r="K962" s="36"/>
      <c r="L962" s="36"/>
      <c r="M962" s="36"/>
      <c r="N962" s="36"/>
      <c r="O962" s="36"/>
      <c r="P962" s="36"/>
      <c r="Q962" s="36"/>
      <c r="R962" s="36"/>
      <c r="S962" s="36"/>
      <c r="T962" s="36"/>
      <c r="U962" s="36"/>
      <c r="V962" s="36"/>
      <c r="W962" s="36"/>
      <c r="X962" s="36"/>
      <c r="Y962" s="36"/>
      <c r="Z962" s="36"/>
      <c r="AA962" s="36"/>
      <c r="AB962" s="36"/>
      <c r="AC962" s="36"/>
    </row>
    <row r="963" spans="1:29" ht="240" customHeight="1">
      <c r="A963" s="81"/>
      <c r="B963" s="81"/>
      <c r="C963" s="81"/>
      <c r="D963" s="81"/>
      <c r="E963" s="80"/>
      <c r="F963" s="620"/>
      <c r="G963" s="620"/>
      <c r="H963" s="94"/>
      <c r="I963" s="81"/>
      <c r="J963" s="35"/>
      <c r="K963" s="36"/>
      <c r="L963" s="36"/>
      <c r="M963" s="36"/>
      <c r="N963" s="36"/>
      <c r="O963" s="36"/>
      <c r="P963" s="36"/>
      <c r="Q963" s="36"/>
      <c r="R963" s="36"/>
      <c r="S963" s="36"/>
      <c r="T963" s="36"/>
      <c r="U963" s="36"/>
      <c r="V963" s="36"/>
      <c r="W963" s="36"/>
      <c r="X963" s="36"/>
      <c r="Y963" s="36"/>
      <c r="Z963" s="36"/>
      <c r="AA963" s="36"/>
      <c r="AB963" s="36"/>
      <c r="AC963" s="36"/>
    </row>
    <row r="964" spans="1:29" ht="204" customHeight="1">
      <c r="A964" s="81"/>
      <c r="B964" s="81"/>
      <c r="C964" s="81"/>
      <c r="D964" s="81"/>
      <c r="E964" s="80"/>
      <c r="F964" s="620"/>
      <c r="G964" s="620"/>
      <c r="H964" s="94"/>
      <c r="I964" s="81"/>
      <c r="J964" s="35"/>
      <c r="K964" s="36"/>
      <c r="L964" s="36"/>
      <c r="M964" s="36"/>
      <c r="N964" s="36"/>
      <c r="O964" s="36"/>
      <c r="P964" s="36"/>
      <c r="Q964" s="36"/>
      <c r="R964" s="36"/>
      <c r="S964" s="36"/>
      <c r="T964" s="36"/>
      <c r="U964" s="36"/>
      <c r="V964" s="36"/>
      <c r="W964" s="36"/>
      <c r="X964" s="36"/>
      <c r="Y964" s="36"/>
      <c r="Z964" s="36"/>
      <c r="AA964" s="36"/>
      <c r="AB964" s="36"/>
      <c r="AC964" s="36"/>
    </row>
    <row r="965" spans="1:29" ht="264" customHeight="1">
      <c r="A965" s="81"/>
      <c r="B965" s="81"/>
      <c r="C965" s="81"/>
      <c r="D965" s="81"/>
      <c r="E965" s="80"/>
      <c r="F965" s="620"/>
      <c r="G965" s="620"/>
      <c r="H965" s="94"/>
      <c r="I965" s="81"/>
      <c r="J965" s="35"/>
      <c r="K965" s="36"/>
      <c r="L965" s="36"/>
      <c r="M965" s="36"/>
      <c r="N965" s="36"/>
      <c r="O965" s="36"/>
      <c r="P965" s="36"/>
      <c r="Q965" s="36"/>
      <c r="R965" s="36"/>
      <c r="S965" s="36"/>
      <c r="T965" s="36"/>
      <c r="U965" s="36"/>
      <c r="V965" s="36"/>
      <c r="W965" s="36"/>
      <c r="X965" s="36"/>
      <c r="Y965" s="36"/>
      <c r="Z965" s="36"/>
      <c r="AA965" s="36"/>
      <c r="AB965" s="36"/>
      <c r="AC965" s="36"/>
    </row>
    <row r="966" spans="1:29" ht="60" customHeight="1">
      <c r="A966" s="81"/>
      <c r="B966" s="81"/>
      <c r="C966" s="81"/>
      <c r="D966" s="81"/>
      <c r="E966" s="80"/>
      <c r="F966" s="620"/>
      <c r="G966" s="620"/>
      <c r="H966" s="94"/>
      <c r="I966" s="81"/>
      <c r="J966" s="35"/>
      <c r="K966" s="36"/>
      <c r="L966" s="36"/>
      <c r="M966" s="36"/>
      <c r="N966" s="36"/>
      <c r="O966" s="36"/>
      <c r="P966" s="36"/>
      <c r="Q966" s="36"/>
      <c r="R966" s="36"/>
      <c r="S966" s="36"/>
      <c r="T966" s="36"/>
      <c r="U966" s="36"/>
      <c r="V966" s="36"/>
      <c r="W966" s="36"/>
      <c r="X966" s="36"/>
      <c r="Y966" s="36"/>
      <c r="Z966" s="36"/>
      <c r="AA966" s="36"/>
      <c r="AB966" s="36"/>
      <c r="AC966" s="36"/>
    </row>
    <row r="967" spans="1:29" ht="36" customHeight="1">
      <c r="A967" s="81"/>
      <c r="B967" s="81"/>
      <c r="C967" s="81"/>
      <c r="D967" s="81"/>
      <c r="E967" s="80"/>
      <c r="F967" s="620"/>
      <c r="G967" s="620"/>
      <c r="H967" s="94"/>
      <c r="I967" s="81"/>
      <c r="J967" s="35"/>
      <c r="K967" s="36"/>
      <c r="L967" s="36"/>
      <c r="M967" s="36"/>
      <c r="N967" s="36"/>
      <c r="O967" s="36"/>
      <c r="P967" s="36"/>
      <c r="Q967" s="36"/>
      <c r="R967" s="36"/>
      <c r="S967" s="36"/>
      <c r="T967" s="36"/>
      <c r="U967" s="36"/>
      <c r="V967" s="36"/>
      <c r="W967" s="36"/>
      <c r="X967" s="36"/>
      <c r="Y967" s="36"/>
      <c r="Z967" s="36"/>
      <c r="AA967" s="36"/>
      <c r="AB967" s="36"/>
      <c r="AC967" s="36"/>
    </row>
    <row r="968" spans="1:29" ht="216" customHeight="1">
      <c r="A968" s="81"/>
      <c r="B968" s="81"/>
      <c r="C968" s="100"/>
      <c r="D968" s="100"/>
      <c r="E968" s="99"/>
      <c r="F968" s="627"/>
      <c r="G968" s="620"/>
      <c r="H968" s="100"/>
      <c r="I968" s="81"/>
      <c r="J968" s="35"/>
      <c r="K968" s="36"/>
      <c r="L968" s="36"/>
      <c r="M968" s="36"/>
      <c r="N968" s="36"/>
      <c r="O968" s="36"/>
      <c r="P968" s="36"/>
      <c r="Q968" s="36"/>
      <c r="R968" s="36"/>
      <c r="S968" s="36"/>
      <c r="T968" s="36"/>
      <c r="U968" s="36"/>
      <c r="V968" s="36"/>
      <c r="W968" s="36"/>
      <c r="X968" s="36"/>
      <c r="Y968" s="36"/>
      <c r="Z968" s="36"/>
      <c r="AA968" s="36"/>
      <c r="AB968" s="36"/>
      <c r="AC968" s="36"/>
    </row>
    <row r="969" spans="1:29" ht="72" customHeight="1">
      <c r="A969" s="81"/>
      <c r="B969" s="81"/>
      <c r="C969" s="81"/>
      <c r="D969" s="81"/>
      <c r="E969" s="80"/>
      <c r="F969" s="620"/>
      <c r="G969" s="620"/>
      <c r="H969" s="94"/>
      <c r="I969" s="81"/>
      <c r="J969" s="35"/>
      <c r="K969" s="36"/>
      <c r="L969" s="36"/>
      <c r="M969" s="36"/>
      <c r="N969" s="36"/>
      <c r="O969" s="36"/>
      <c r="P969" s="36"/>
      <c r="Q969" s="36"/>
      <c r="R969" s="36"/>
      <c r="S969" s="36"/>
      <c r="T969" s="36"/>
      <c r="U969" s="36"/>
      <c r="V969" s="36"/>
      <c r="W969" s="36"/>
      <c r="X969" s="36"/>
      <c r="Y969" s="36"/>
      <c r="Z969" s="36"/>
      <c r="AA969" s="36"/>
      <c r="AB969" s="36"/>
      <c r="AC969" s="36"/>
    </row>
    <row r="970" spans="1:29" ht="72" customHeight="1">
      <c r="A970" s="81"/>
      <c r="B970" s="81"/>
      <c r="C970" s="81"/>
      <c r="D970" s="81"/>
      <c r="E970" s="80"/>
      <c r="F970" s="620"/>
      <c r="G970" s="620"/>
      <c r="H970" s="94"/>
      <c r="I970" s="81"/>
      <c r="J970" s="35"/>
      <c r="K970" s="36"/>
      <c r="L970" s="36"/>
      <c r="M970" s="36"/>
      <c r="N970" s="36"/>
      <c r="O970" s="36"/>
      <c r="P970" s="36"/>
      <c r="Q970" s="36"/>
      <c r="R970" s="36"/>
      <c r="S970" s="36"/>
      <c r="T970" s="36"/>
      <c r="U970" s="36"/>
      <c r="V970" s="36"/>
      <c r="W970" s="36"/>
      <c r="X970" s="36"/>
      <c r="Y970" s="36"/>
      <c r="Z970" s="36"/>
      <c r="AA970" s="36"/>
      <c r="AB970" s="36"/>
      <c r="AC970" s="36"/>
    </row>
    <row r="971" spans="1:29" ht="48" customHeight="1">
      <c r="A971" s="81"/>
      <c r="B971" s="81"/>
      <c r="C971" s="81"/>
      <c r="D971" s="81"/>
      <c r="E971" s="80"/>
      <c r="F971" s="620"/>
      <c r="G971" s="620"/>
      <c r="H971" s="94"/>
      <c r="I971" s="81"/>
      <c r="J971" s="35"/>
      <c r="K971" s="36"/>
      <c r="L971" s="36"/>
      <c r="M971" s="36"/>
      <c r="N971" s="36"/>
      <c r="O971" s="36"/>
      <c r="P971" s="36"/>
      <c r="Q971" s="36"/>
      <c r="R971" s="36"/>
      <c r="S971" s="36"/>
      <c r="T971" s="36"/>
      <c r="U971" s="36"/>
      <c r="V971" s="36"/>
      <c r="W971" s="36"/>
      <c r="X971" s="36"/>
      <c r="Y971" s="36"/>
      <c r="Z971" s="36"/>
      <c r="AA971" s="36"/>
      <c r="AB971" s="36"/>
      <c r="AC971" s="36"/>
    </row>
    <row r="972" spans="1:29" ht="24" customHeight="1">
      <c r="A972" s="81"/>
      <c r="B972" s="81"/>
      <c r="C972" s="81"/>
      <c r="D972" s="81"/>
      <c r="E972" s="80"/>
      <c r="F972" s="620"/>
      <c r="G972" s="620"/>
      <c r="H972" s="94"/>
      <c r="I972" s="81"/>
      <c r="J972" s="35"/>
      <c r="K972" s="36"/>
      <c r="L972" s="36"/>
      <c r="M972" s="36"/>
      <c r="N972" s="36"/>
      <c r="O972" s="36"/>
      <c r="P972" s="36"/>
      <c r="Q972" s="36"/>
      <c r="R972" s="36"/>
      <c r="S972" s="36"/>
      <c r="T972" s="36"/>
      <c r="U972" s="36"/>
      <c r="V972" s="36"/>
      <c r="W972" s="36"/>
      <c r="X972" s="36"/>
      <c r="Y972" s="36"/>
      <c r="Z972" s="36"/>
      <c r="AA972" s="36"/>
      <c r="AB972" s="36"/>
      <c r="AC972" s="36"/>
    </row>
    <row r="973" spans="1:29" ht="216" customHeight="1">
      <c r="A973" s="81"/>
      <c r="B973" s="81"/>
      <c r="C973" s="81"/>
      <c r="D973" s="81"/>
      <c r="E973" s="80"/>
      <c r="F973" s="620"/>
      <c r="G973" s="620"/>
      <c r="H973" s="94"/>
      <c r="I973" s="81"/>
      <c r="J973" s="35"/>
      <c r="K973" s="36"/>
      <c r="L973" s="36"/>
      <c r="M973" s="36"/>
      <c r="N973" s="36"/>
      <c r="O973" s="36"/>
      <c r="P973" s="36"/>
      <c r="Q973" s="36"/>
      <c r="R973" s="36"/>
      <c r="S973" s="36"/>
      <c r="T973" s="36"/>
      <c r="U973" s="36"/>
      <c r="V973" s="36"/>
      <c r="W973" s="36"/>
      <c r="X973" s="36"/>
      <c r="Y973" s="36"/>
      <c r="Z973" s="36"/>
      <c r="AA973" s="36"/>
      <c r="AB973" s="36"/>
      <c r="AC973" s="36"/>
    </row>
    <row r="974" spans="1:29" ht="276" customHeight="1">
      <c r="A974" s="81"/>
      <c r="B974" s="81"/>
      <c r="C974" s="81"/>
      <c r="D974" s="81"/>
      <c r="E974" s="80"/>
      <c r="F974" s="620"/>
      <c r="G974" s="620"/>
      <c r="H974" s="94"/>
      <c r="I974" s="81"/>
      <c r="J974" s="35"/>
      <c r="K974" s="36"/>
      <c r="L974" s="36"/>
      <c r="M974" s="36"/>
      <c r="N974" s="36"/>
      <c r="O974" s="36"/>
      <c r="P974" s="36"/>
      <c r="Q974" s="36"/>
      <c r="R974" s="36"/>
      <c r="S974" s="36"/>
      <c r="T974" s="36"/>
      <c r="U974" s="36"/>
      <c r="V974" s="36"/>
      <c r="W974" s="36"/>
      <c r="X974" s="36"/>
      <c r="Y974" s="36"/>
      <c r="Z974" s="36"/>
      <c r="AA974" s="36"/>
      <c r="AB974" s="36"/>
      <c r="AC974" s="36"/>
    </row>
    <row r="975" spans="1:29" ht="132" customHeight="1">
      <c r="A975" s="81"/>
      <c r="B975" s="81"/>
      <c r="C975" s="100"/>
      <c r="D975" s="100"/>
      <c r="E975" s="99"/>
      <c r="F975" s="627"/>
      <c r="G975" s="627"/>
      <c r="H975" s="463"/>
      <c r="I975" s="81"/>
      <c r="J975" s="35"/>
      <c r="K975" s="36"/>
      <c r="L975" s="36"/>
      <c r="M975" s="36"/>
      <c r="N975" s="36"/>
      <c r="O975" s="36"/>
      <c r="P975" s="36"/>
      <c r="Q975" s="36"/>
      <c r="R975" s="36"/>
      <c r="S975" s="36"/>
      <c r="T975" s="36"/>
      <c r="U975" s="36"/>
      <c r="V975" s="36"/>
      <c r="W975" s="36"/>
      <c r="X975" s="36"/>
      <c r="Y975" s="36"/>
      <c r="Z975" s="36"/>
      <c r="AA975" s="36"/>
      <c r="AB975" s="36"/>
      <c r="AC975" s="36"/>
    </row>
    <row r="976" spans="1:29" ht="60" customHeight="1">
      <c r="A976" s="81"/>
      <c r="B976" s="81"/>
      <c r="C976" s="100"/>
      <c r="D976" s="100"/>
      <c r="E976" s="99"/>
      <c r="F976" s="627"/>
      <c r="G976" s="620"/>
      <c r="H976" s="94"/>
      <c r="I976" s="81"/>
      <c r="J976" s="35"/>
      <c r="K976" s="36"/>
      <c r="L976" s="36"/>
      <c r="M976" s="36"/>
      <c r="N976" s="36"/>
      <c r="O976" s="36"/>
      <c r="P976" s="36"/>
      <c r="Q976" s="36"/>
      <c r="R976" s="36"/>
      <c r="S976" s="36"/>
      <c r="T976" s="36"/>
      <c r="U976" s="36"/>
      <c r="V976" s="36"/>
      <c r="W976" s="36"/>
      <c r="X976" s="36"/>
      <c r="Y976" s="36"/>
      <c r="Z976" s="36"/>
      <c r="AA976" s="36"/>
      <c r="AB976" s="36"/>
      <c r="AC976" s="36"/>
    </row>
    <row r="977" spans="1:29" ht="96" customHeight="1">
      <c r="A977" s="81"/>
      <c r="B977" s="81"/>
      <c r="C977" s="81"/>
      <c r="D977" s="81"/>
      <c r="E977" s="80"/>
      <c r="F977" s="620"/>
      <c r="G977" s="620"/>
      <c r="H977" s="94"/>
      <c r="I977" s="81"/>
      <c r="J977" s="35"/>
      <c r="K977" s="36"/>
      <c r="L977" s="36"/>
      <c r="M977" s="36"/>
      <c r="N977" s="36"/>
      <c r="O977" s="36"/>
      <c r="P977" s="36"/>
      <c r="Q977" s="36"/>
      <c r="R977" s="36"/>
      <c r="S977" s="36"/>
      <c r="T977" s="36"/>
      <c r="U977" s="36"/>
      <c r="V977" s="36"/>
      <c r="W977" s="36"/>
      <c r="X977" s="36"/>
      <c r="Y977" s="36"/>
      <c r="Z977" s="36"/>
      <c r="AA977" s="36"/>
      <c r="AB977" s="36"/>
      <c r="AC977" s="36"/>
    </row>
    <row r="978" spans="1:29" ht="108" customHeight="1">
      <c r="A978" s="81"/>
      <c r="B978" s="81"/>
      <c r="C978" s="81"/>
      <c r="D978" s="81"/>
      <c r="E978" s="80"/>
      <c r="F978" s="620"/>
      <c r="G978" s="620"/>
      <c r="H978" s="94"/>
      <c r="I978" s="81"/>
      <c r="J978" s="35"/>
      <c r="K978" s="36"/>
      <c r="L978" s="36"/>
      <c r="M978" s="36"/>
      <c r="N978" s="36"/>
      <c r="O978" s="36"/>
      <c r="P978" s="36"/>
      <c r="Q978" s="36"/>
      <c r="R978" s="36"/>
      <c r="S978" s="36"/>
      <c r="T978" s="36"/>
      <c r="U978" s="36"/>
      <c r="V978" s="36"/>
      <c r="W978" s="36"/>
      <c r="X978" s="36"/>
      <c r="Y978" s="36"/>
      <c r="Z978" s="36"/>
      <c r="AA978" s="36"/>
      <c r="AB978" s="36"/>
      <c r="AC978" s="36"/>
    </row>
    <row r="979" spans="1:29" ht="164.25" customHeight="1">
      <c r="A979" s="81"/>
      <c r="B979" s="81"/>
      <c r="C979" s="81"/>
      <c r="D979" s="81"/>
      <c r="E979" s="80"/>
      <c r="F979" s="620"/>
      <c r="G979" s="620"/>
      <c r="H979" s="94"/>
      <c r="I979" s="81"/>
      <c r="J979" s="35"/>
      <c r="K979" s="36"/>
      <c r="L979" s="36"/>
      <c r="M979" s="36"/>
      <c r="N979" s="36"/>
      <c r="O979" s="36"/>
      <c r="P979" s="36"/>
      <c r="Q979" s="36"/>
      <c r="R979" s="36"/>
      <c r="S979" s="36"/>
      <c r="T979" s="36"/>
      <c r="U979" s="36"/>
      <c r="V979" s="36"/>
      <c r="W979" s="36"/>
      <c r="X979" s="36"/>
      <c r="Y979" s="36"/>
      <c r="Z979" s="36"/>
      <c r="AA979" s="36"/>
      <c r="AB979" s="36"/>
      <c r="AC979" s="36"/>
    </row>
    <row r="980" spans="1:29" ht="132" customHeight="1">
      <c r="A980" s="81"/>
      <c r="B980" s="81"/>
      <c r="C980" s="81"/>
      <c r="D980" s="81"/>
      <c r="E980" s="80"/>
      <c r="F980" s="620"/>
      <c r="G980" s="620"/>
      <c r="H980" s="94"/>
      <c r="I980" s="81"/>
      <c r="J980" s="35"/>
      <c r="K980" s="36"/>
      <c r="L980" s="36"/>
      <c r="M980" s="36"/>
      <c r="N980" s="36"/>
      <c r="O980" s="36"/>
      <c r="P980" s="36"/>
      <c r="Q980" s="36"/>
      <c r="R980" s="36"/>
      <c r="S980" s="36"/>
      <c r="T980" s="36"/>
      <c r="U980" s="36"/>
      <c r="V980" s="36"/>
      <c r="W980" s="36"/>
      <c r="X980" s="36"/>
      <c r="Y980" s="36"/>
      <c r="Z980" s="36"/>
      <c r="AA980" s="36"/>
      <c r="AB980" s="36"/>
      <c r="AC980" s="36"/>
    </row>
    <row r="981" spans="1:29" ht="96" customHeight="1">
      <c r="A981" s="81"/>
      <c r="B981" s="81"/>
      <c r="C981" s="81"/>
      <c r="D981" s="81"/>
      <c r="E981" s="80"/>
      <c r="F981" s="620"/>
      <c r="G981" s="620"/>
      <c r="H981" s="94"/>
      <c r="I981" s="81"/>
      <c r="J981" s="35"/>
      <c r="K981" s="36"/>
      <c r="L981" s="36"/>
      <c r="M981" s="36"/>
      <c r="N981" s="36"/>
      <c r="O981" s="36"/>
      <c r="P981" s="36"/>
      <c r="Q981" s="36"/>
      <c r="R981" s="36"/>
      <c r="S981" s="36"/>
      <c r="T981" s="36"/>
      <c r="U981" s="36"/>
      <c r="V981" s="36"/>
      <c r="W981" s="36"/>
      <c r="X981" s="36"/>
      <c r="Y981" s="36"/>
      <c r="Z981" s="36"/>
      <c r="AA981" s="36"/>
      <c r="AB981" s="36"/>
      <c r="AC981" s="36"/>
    </row>
    <row r="982" spans="1:29" ht="108" customHeight="1">
      <c r="A982" s="81"/>
      <c r="B982" s="81"/>
      <c r="C982" s="81"/>
      <c r="D982" s="81"/>
      <c r="E982" s="80"/>
      <c r="F982" s="620"/>
      <c r="G982" s="620"/>
      <c r="H982" s="94"/>
      <c r="I982" s="81"/>
      <c r="J982" s="35"/>
      <c r="K982" s="36"/>
      <c r="L982" s="36"/>
      <c r="M982" s="36"/>
      <c r="N982" s="36"/>
      <c r="O982" s="36"/>
      <c r="P982" s="36"/>
      <c r="Q982" s="36"/>
      <c r="R982" s="36"/>
      <c r="S982" s="36"/>
      <c r="T982" s="36"/>
      <c r="U982" s="36"/>
      <c r="V982" s="36"/>
      <c r="W982" s="36"/>
      <c r="X982" s="36"/>
      <c r="Y982" s="36"/>
      <c r="Z982" s="36"/>
      <c r="AA982" s="36"/>
      <c r="AB982" s="36"/>
      <c r="AC982" s="36"/>
    </row>
    <row r="983" spans="1:29" ht="99.75" customHeight="1">
      <c r="A983" s="81"/>
      <c r="B983" s="81"/>
      <c r="C983" s="81"/>
      <c r="D983" s="81"/>
      <c r="E983" s="80"/>
      <c r="F983" s="620"/>
      <c r="G983" s="620"/>
      <c r="H983" s="94"/>
      <c r="I983" s="81"/>
      <c r="J983" s="35"/>
      <c r="K983" s="36"/>
      <c r="L983" s="36"/>
      <c r="M983" s="36"/>
      <c r="N983" s="36"/>
      <c r="O983" s="36"/>
      <c r="P983" s="36"/>
      <c r="Q983" s="36"/>
      <c r="R983" s="36"/>
      <c r="S983" s="36"/>
      <c r="T983" s="36"/>
      <c r="U983" s="36"/>
      <c r="V983" s="36"/>
      <c r="W983" s="36"/>
      <c r="X983" s="36"/>
      <c r="Y983" s="36"/>
      <c r="Z983" s="36"/>
      <c r="AA983" s="36"/>
      <c r="AB983" s="36"/>
      <c r="AC983" s="36"/>
    </row>
    <row r="984" spans="1:29" ht="204" customHeight="1">
      <c r="A984" s="81"/>
      <c r="B984" s="81"/>
      <c r="C984" s="100"/>
      <c r="D984" s="100"/>
      <c r="E984" s="99"/>
      <c r="F984" s="627"/>
      <c r="G984" s="620"/>
      <c r="H984" s="94"/>
      <c r="I984" s="81"/>
      <c r="J984" s="35"/>
      <c r="K984" s="36"/>
      <c r="L984" s="36"/>
      <c r="M984" s="36"/>
      <c r="N984" s="36"/>
      <c r="O984" s="36"/>
      <c r="P984" s="36"/>
      <c r="Q984" s="36"/>
      <c r="R984" s="36"/>
      <c r="S984" s="36"/>
      <c r="T984" s="36"/>
      <c r="U984" s="36"/>
      <c r="V984" s="36"/>
      <c r="W984" s="36"/>
      <c r="X984" s="36"/>
      <c r="Y984" s="36"/>
      <c r="Z984" s="36"/>
      <c r="AA984" s="36"/>
      <c r="AB984" s="36"/>
      <c r="AC984" s="36"/>
    </row>
    <row r="985" spans="1:29" ht="12" customHeight="1">
      <c r="A985" s="81"/>
      <c r="B985" s="81"/>
      <c r="C985" s="100"/>
      <c r="D985" s="100"/>
      <c r="E985" s="99"/>
      <c r="F985" s="627"/>
      <c r="G985" s="620"/>
      <c r="H985" s="94"/>
      <c r="I985" s="81"/>
      <c r="J985" s="35"/>
      <c r="K985" s="36"/>
      <c r="L985" s="36"/>
      <c r="M985" s="36"/>
      <c r="N985" s="36"/>
      <c r="O985" s="36"/>
      <c r="P985" s="36"/>
      <c r="Q985" s="36"/>
      <c r="R985" s="36"/>
      <c r="S985" s="36"/>
      <c r="T985" s="36"/>
      <c r="U985" s="36"/>
      <c r="V985" s="36"/>
      <c r="W985" s="36"/>
      <c r="X985" s="36"/>
      <c r="Y985" s="36"/>
      <c r="Z985" s="36"/>
      <c r="AA985" s="36"/>
      <c r="AB985" s="36"/>
      <c r="AC985" s="36"/>
    </row>
    <row r="986" spans="1:29" ht="48" customHeight="1">
      <c r="A986" s="81"/>
      <c r="B986" s="81"/>
      <c r="C986" s="100"/>
      <c r="D986" s="100"/>
      <c r="E986" s="99"/>
      <c r="F986" s="627"/>
      <c r="G986" s="620"/>
      <c r="H986" s="100"/>
      <c r="I986" s="81"/>
      <c r="J986" s="246"/>
      <c r="K986" s="36"/>
      <c r="L986" s="36"/>
      <c r="M986" s="36"/>
      <c r="N986" s="36"/>
      <c r="O986" s="36"/>
      <c r="P986" s="36"/>
      <c r="Q986" s="36"/>
      <c r="R986" s="36"/>
      <c r="S986" s="36"/>
      <c r="T986" s="36"/>
      <c r="U986" s="36"/>
      <c r="V986" s="36"/>
      <c r="W986" s="36"/>
      <c r="X986" s="36"/>
      <c r="Y986" s="36"/>
      <c r="Z986" s="36"/>
      <c r="AA986" s="36"/>
      <c r="AB986" s="36"/>
      <c r="AC986" s="36"/>
    </row>
    <row r="987" spans="1:29" ht="24" customHeight="1">
      <c r="A987" s="81"/>
      <c r="B987" s="81"/>
      <c r="C987" s="100"/>
      <c r="D987" s="100"/>
      <c r="E987" s="99"/>
      <c r="F987" s="627"/>
      <c r="G987" s="620"/>
      <c r="H987" s="100"/>
      <c r="I987" s="81"/>
      <c r="J987" s="35"/>
      <c r="K987" s="36"/>
      <c r="L987" s="36"/>
      <c r="M987" s="36"/>
      <c r="N987" s="36"/>
      <c r="O987" s="36"/>
      <c r="P987" s="36"/>
      <c r="Q987" s="36"/>
      <c r="R987" s="36"/>
      <c r="S987" s="36"/>
      <c r="T987" s="36"/>
      <c r="U987" s="36"/>
      <c r="V987" s="36"/>
      <c r="W987" s="36"/>
      <c r="X987" s="36"/>
      <c r="Y987" s="36"/>
      <c r="Z987" s="36"/>
      <c r="AA987" s="36"/>
      <c r="AB987" s="36"/>
      <c r="AC987" s="36"/>
    </row>
    <row r="988" spans="1:29" ht="12" customHeight="1">
      <c r="A988" s="81"/>
      <c r="B988" s="94"/>
      <c r="C988" s="100"/>
      <c r="D988" s="100"/>
      <c r="E988" s="99"/>
      <c r="F988" s="627"/>
      <c r="G988" s="620"/>
      <c r="H988" s="100"/>
      <c r="I988" s="81"/>
      <c r="J988" s="35"/>
      <c r="K988" s="36"/>
      <c r="L988" s="36"/>
      <c r="M988" s="36"/>
      <c r="N988" s="36"/>
      <c r="O988" s="36"/>
      <c r="P988" s="36"/>
      <c r="Q988" s="36"/>
      <c r="R988" s="36"/>
      <c r="S988" s="36"/>
      <c r="T988" s="36"/>
      <c r="U988" s="36"/>
      <c r="V988" s="36"/>
      <c r="W988" s="36"/>
      <c r="X988" s="36"/>
      <c r="Y988" s="36"/>
      <c r="Z988" s="36"/>
      <c r="AA988" s="36"/>
      <c r="AB988" s="36"/>
      <c r="AC988" s="36"/>
    </row>
    <row r="989" spans="1:29" ht="36" customHeight="1">
      <c r="A989" s="81"/>
      <c r="B989" s="81"/>
      <c r="C989" s="100"/>
      <c r="D989" s="100"/>
      <c r="E989" s="99"/>
      <c r="F989" s="627"/>
      <c r="G989" s="620"/>
      <c r="H989" s="100"/>
      <c r="I989" s="81"/>
      <c r="J989" s="35"/>
      <c r="K989" s="36"/>
      <c r="L989" s="36"/>
      <c r="M989" s="36"/>
      <c r="N989" s="36"/>
      <c r="O989" s="36"/>
      <c r="P989" s="36"/>
      <c r="Q989" s="36"/>
      <c r="R989" s="36"/>
      <c r="S989" s="36"/>
      <c r="T989" s="36"/>
      <c r="U989" s="36"/>
      <c r="V989" s="36"/>
      <c r="W989" s="36"/>
      <c r="X989" s="36"/>
      <c r="Y989" s="36"/>
      <c r="Z989" s="36"/>
      <c r="AA989" s="36"/>
      <c r="AB989" s="36"/>
      <c r="AC989" s="36"/>
    </row>
    <row r="990" spans="1:29" ht="12" customHeight="1">
      <c r="A990" s="625"/>
      <c r="B990" s="94"/>
      <c r="C990" s="81"/>
      <c r="D990" s="81"/>
      <c r="E990" s="80"/>
      <c r="F990" s="620"/>
      <c r="G990" s="620"/>
      <c r="H990" s="94"/>
      <c r="I990" s="81"/>
      <c r="J990" s="35"/>
      <c r="K990" s="36"/>
      <c r="L990" s="36"/>
      <c r="M990" s="36"/>
      <c r="N990" s="36"/>
      <c r="O990" s="36"/>
      <c r="P990" s="36"/>
      <c r="Q990" s="36"/>
      <c r="R990" s="36"/>
      <c r="S990" s="36"/>
      <c r="T990" s="36"/>
      <c r="U990" s="36"/>
      <c r="V990" s="36"/>
      <c r="W990" s="36"/>
      <c r="X990" s="36"/>
      <c r="Y990" s="36"/>
      <c r="Z990" s="36"/>
      <c r="AA990" s="36"/>
      <c r="AB990" s="36"/>
      <c r="AC990" s="36"/>
    </row>
    <row r="991" spans="1:29" ht="24" customHeight="1">
      <c r="A991" s="81"/>
      <c r="B991" s="81"/>
      <c r="C991" s="81"/>
      <c r="D991" s="81"/>
      <c r="E991" s="80"/>
      <c r="F991" s="620"/>
      <c r="G991" s="620"/>
      <c r="H991" s="94"/>
      <c r="I991" s="81"/>
      <c r="J991" s="35"/>
      <c r="K991" s="36"/>
      <c r="L991" s="36"/>
      <c r="M991" s="36"/>
      <c r="N991" s="36"/>
      <c r="O991" s="36"/>
      <c r="P991" s="36"/>
      <c r="Q991" s="36"/>
      <c r="R991" s="36"/>
      <c r="S991" s="36"/>
      <c r="T991" s="36"/>
      <c r="U991" s="36"/>
      <c r="V991" s="36"/>
      <c r="W991" s="36"/>
      <c r="X991" s="36"/>
      <c r="Y991" s="36"/>
      <c r="Z991" s="36"/>
      <c r="AA991" s="36"/>
      <c r="AB991" s="36"/>
      <c r="AC991" s="36"/>
    </row>
    <row r="992" spans="1:29" ht="72" customHeight="1">
      <c r="A992" s="81"/>
      <c r="B992" s="81"/>
      <c r="C992" s="81"/>
      <c r="D992" s="81"/>
      <c r="E992" s="80"/>
      <c r="F992" s="620"/>
      <c r="G992" s="620"/>
      <c r="H992" s="94"/>
      <c r="I992" s="81"/>
      <c r="J992" s="35"/>
      <c r="K992" s="36"/>
      <c r="L992" s="36"/>
      <c r="M992" s="36"/>
      <c r="N992" s="36"/>
      <c r="O992" s="36"/>
      <c r="P992" s="36"/>
      <c r="Q992" s="36"/>
      <c r="R992" s="36"/>
      <c r="S992" s="36"/>
      <c r="T992" s="36"/>
      <c r="U992" s="36"/>
      <c r="V992" s="36"/>
      <c r="W992" s="36"/>
      <c r="X992" s="36"/>
      <c r="Y992" s="36"/>
      <c r="Z992" s="36"/>
      <c r="AA992" s="36"/>
      <c r="AB992" s="36"/>
      <c r="AC992" s="36"/>
    </row>
    <row r="993" spans="1:29" ht="24" customHeight="1">
      <c r="A993" s="81"/>
      <c r="B993" s="81"/>
      <c r="C993" s="81"/>
      <c r="D993" s="81"/>
      <c r="E993" s="80"/>
      <c r="F993" s="620"/>
      <c r="G993" s="620"/>
      <c r="H993" s="94"/>
      <c r="I993" s="81"/>
      <c r="J993" s="35"/>
      <c r="K993" s="36"/>
      <c r="L993" s="36"/>
      <c r="M993" s="36"/>
      <c r="N993" s="36"/>
      <c r="O993" s="36"/>
      <c r="P993" s="36"/>
      <c r="Q993" s="36"/>
      <c r="R993" s="36"/>
      <c r="S993" s="36"/>
      <c r="T993" s="36"/>
      <c r="U993" s="36"/>
      <c r="V993" s="36"/>
      <c r="W993" s="36"/>
      <c r="X993" s="36"/>
      <c r="Y993" s="36"/>
      <c r="Z993" s="36"/>
      <c r="AA993" s="36"/>
      <c r="AB993" s="36"/>
      <c r="AC993" s="36"/>
    </row>
    <row r="994" spans="1:29" ht="84" customHeight="1">
      <c r="A994" s="81"/>
      <c r="B994" s="81"/>
      <c r="C994" s="81"/>
      <c r="D994" s="81"/>
      <c r="E994" s="80"/>
      <c r="F994" s="620"/>
      <c r="G994" s="620"/>
      <c r="H994" s="94"/>
      <c r="I994" s="81"/>
      <c r="J994" s="246"/>
      <c r="K994" s="36"/>
      <c r="L994" s="36"/>
      <c r="M994" s="36"/>
      <c r="N994" s="36"/>
      <c r="O994" s="36"/>
      <c r="P994" s="36"/>
      <c r="Q994" s="36"/>
      <c r="R994" s="36"/>
      <c r="S994" s="36"/>
      <c r="T994" s="36"/>
      <c r="U994" s="36"/>
      <c r="V994" s="36"/>
      <c r="W994" s="36"/>
      <c r="X994" s="36"/>
      <c r="Y994" s="36"/>
      <c r="Z994" s="36"/>
      <c r="AA994" s="36"/>
      <c r="AB994" s="36"/>
      <c r="AC994" s="36"/>
    </row>
    <row r="995" spans="1:29" ht="60" customHeight="1">
      <c r="A995" s="81"/>
      <c r="B995" s="81"/>
      <c r="C995" s="81"/>
      <c r="D995" s="81"/>
      <c r="E995" s="80"/>
      <c r="F995" s="620"/>
      <c r="G995" s="620"/>
      <c r="H995" s="94"/>
      <c r="I995" s="81"/>
      <c r="J995" s="248"/>
      <c r="K995" s="36"/>
      <c r="L995" s="36"/>
      <c r="M995" s="36"/>
      <c r="N995" s="36"/>
      <c r="O995" s="36"/>
      <c r="P995" s="36"/>
      <c r="Q995" s="36"/>
      <c r="R995" s="36"/>
      <c r="S995" s="36"/>
      <c r="T995" s="36"/>
      <c r="U995" s="36"/>
      <c r="V995" s="36"/>
      <c r="W995" s="36"/>
      <c r="X995" s="36"/>
      <c r="Y995" s="36"/>
      <c r="Z995" s="36"/>
      <c r="AA995" s="36"/>
      <c r="AB995" s="36"/>
      <c r="AC995" s="36"/>
    </row>
    <row r="996" spans="1:29" ht="12" customHeight="1">
      <c r="A996" s="81"/>
      <c r="B996" s="81"/>
      <c r="C996" s="81"/>
      <c r="D996" s="81"/>
      <c r="E996" s="80"/>
      <c r="F996" s="620"/>
      <c r="G996" s="620"/>
      <c r="H996" s="94"/>
      <c r="I996" s="81"/>
      <c r="J996" s="35"/>
      <c r="K996" s="36"/>
      <c r="L996" s="36"/>
      <c r="M996" s="36"/>
      <c r="N996" s="36"/>
      <c r="O996" s="36"/>
      <c r="P996" s="36"/>
      <c r="Q996" s="36"/>
      <c r="R996" s="36"/>
      <c r="S996" s="36"/>
      <c r="T996" s="36"/>
      <c r="U996" s="36"/>
      <c r="V996" s="36"/>
      <c r="W996" s="36"/>
      <c r="X996" s="36"/>
      <c r="Y996" s="36"/>
      <c r="Z996" s="36"/>
      <c r="AA996" s="36"/>
      <c r="AB996" s="36"/>
      <c r="AC996" s="36"/>
    </row>
    <row r="997" spans="1:29" ht="48" customHeight="1">
      <c r="A997" s="81"/>
      <c r="B997" s="81"/>
      <c r="C997" s="81"/>
      <c r="D997" s="81"/>
      <c r="E997" s="80"/>
      <c r="F997" s="620"/>
      <c r="G997" s="620"/>
      <c r="H997" s="94"/>
      <c r="I997" s="81"/>
      <c r="J997" s="35"/>
      <c r="K997" s="36"/>
      <c r="L997" s="36"/>
      <c r="M997" s="36"/>
      <c r="N997" s="36"/>
      <c r="O997" s="36"/>
      <c r="P997" s="36"/>
      <c r="Q997" s="36"/>
      <c r="R997" s="36"/>
      <c r="S997" s="36"/>
      <c r="T997" s="36"/>
      <c r="U997" s="36"/>
      <c r="V997" s="36"/>
      <c r="W997" s="36"/>
      <c r="X997" s="36"/>
      <c r="Y997" s="36"/>
      <c r="Z997" s="36"/>
      <c r="AA997" s="36"/>
      <c r="AB997" s="36"/>
      <c r="AC997" s="36"/>
    </row>
    <row r="998" spans="1:29" ht="12" customHeight="1">
      <c r="A998" s="81"/>
      <c r="B998" s="81"/>
      <c r="C998" s="81"/>
      <c r="D998" s="81"/>
      <c r="E998" s="80"/>
      <c r="F998" s="620"/>
      <c r="G998" s="620"/>
      <c r="H998" s="94"/>
      <c r="I998" s="81"/>
      <c r="J998" s="35"/>
      <c r="K998" s="36"/>
      <c r="L998" s="36"/>
      <c r="M998" s="36"/>
      <c r="N998" s="36"/>
      <c r="O998" s="36"/>
      <c r="P998" s="36"/>
      <c r="Q998" s="36"/>
      <c r="R998" s="36"/>
      <c r="S998" s="36"/>
      <c r="T998" s="36"/>
      <c r="U998" s="36"/>
      <c r="V998" s="36"/>
      <c r="W998" s="36"/>
      <c r="X998" s="36"/>
      <c r="Y998" s="36"/>
      <c r="Z998" s="36"/>
      <c r="AA998" s="36"/>
      <c r="AB998" s="36"/>
      <c r="AC998" s="36"/>
    </row>
    <row r="999" spans="1:29" ht="12" customHeight="1">
      <c r="A999" s="81"/>
      <c r="B999" s="81"/>
      <c r="C999" s="81"/>
      <c r="D999" s="81"/>
      <c r="E999" s="80"/>
      <c r="F999" s="620"/>
      <c r="G999" s="620"/>
      <c r="H999" s="94"/>
      <c r="I999" s="81"/>
      <c r="J999" s="35"/>
      <c r="K999" s="36"/>
      <c r="L999" s="36"/>
      <c r="M999" s="36"/>
      <c r="N999" s="36"/>
      <c r="O999" s="36"/>
      <c r="P999" s="36"/>
      <c r="Q999" s="36"/>
      <c r="R999" s="36"/>
      <c r="S999" s="36"/>
      <c r="T999" s="36"/>
      <c r="U999" s="36"/>
      <c r="V999" s="36"/>
      <c r="W999" s="36"/>
      <c r="X999" s="36"/>
      <c r="Y999" s="36"/>
      <c r="Z999" s="36"/>
      <c r="AA999" s="36"/>
      <c r="AB999" s="36"/>
      <c r="AC999" s="36"/>
    </row>
    <row r="1000" spans="1:29" ht="36" customHeight="1">
      <c r="A1000" s="81"/>
      <c r="B1000" s="81"/>
      <c r="C1000" s="81"/>
      <c r="D1000" s="81"/>
      <c r="E1000" s="80"/>
      <c r="F1000" s="620"/>
      <c r="G1000" s="620"/>
      <c r="H1000" s="94"/>
      <c r="I1000" s="81"/>
      <c r="J1000" s="35"/>
      <c r="K1000" s="36"/>
      <c r="L1000" s="36"/>
      <c r="M1000" s="36"/>
      <c r="N1000" s="36"/>
      <c r="O1000" s="36"/>
      <c r="P1000" s="36"/>
      <c r="Q1000" s="36"/>
      <c r="R1000" s="36"/>
      <c r="S1000" s="36"/>
      <c r="T1000" s="36"/>
      <c r="U1000" s="36"/>
      <c r="V1000" s="36"/>
      <c r="W1000" s="36"/>
      <c r="X1000" s="36"/>
      <c r="Y1000" s="36"/>
      <c r="Z1000" s="36"/>
      <c r="AA1000" s="36"/>
      <c r="AB1000" s="36"/>
      <c r="AC1000" s="36"/>
    </row>
    <row r="1001" spans="1:29" ht="60" customHeight="1">
      <c r="A1001" s="81"/>
      <c r="B1001" s="81"/>
      <c r="C1001" s="81"/>
      <c r="D1001" s="81"/>
      <c r="E1001" s="80"/>
      <c r="F1001" s="620"/>
      <c r="G1001" s="620"/>
      <c r="H1001" s="94"/>
      <c r="I1001" s="81"/>
      <c r="J1001" s="35"/>
      <c r="K1001" s="36"/>
      <c r="L1001" s="36"/>
      <c r="M1001" s="36"/>
      <c r="N1001" s="36"/>
      <c r="O1001" s="36"/>
      <c r="P1001" s="36"/>
      <c r="Q1001" s="36"/>
      <c r="R1001" s="36"/>
      <c r="S1001" s="36"/>
      <c r="T1001" s="36"/>
      <c r="U1001" s="36"/>
      <c r="V1001" s="36"/>
      <c r="W1001" s="36"/>
      <c r="X1001" s="36"/>
      <c r="Y1001" s="36"/>
      <c r="Z1001" s="36"/>
      <c r="AA1001" s="36"/>
      <c r="AB1001" s="36"/>
      <c r="AC1001" s="36"/>
    </row>
    <row r="1002" spans="1:29" ht="84" customHeight="1">
      <c r="A1002" s="81"/>
      <c r="B1002" s="81"/>
      <c r="C1002" s="81"/>
      <c r="D1002" s="81"/>
      <c r="E1002" s="80"/>
      <c r="F1002" s="620"/>
      <c r="G1002" s="620"/>
      <c r="H1002" s="94"/>
      <c r="I1002" s="81"/>
      <c r="J1002" s="35"/>
      <c r="K1002" s="36"/>
      <c r="L1002" s="36"/>
      <c r="M1002" s="36"/>
      <c r="N1002" s="36"/>
      <c r="O1002" s="36"/>
      <c r="P1002" s="36"/>
      <c r="Q1002" s="36"/>
      <c r="R1002" s="36"/>
      <c r="S1002" s="36"/>
      <c r="T1002" s="36"/>
      <c r="U1002" s="36"/>
      <c r="V1002" s="36"/>
      <c r="W1002" s="36"/>
      <c r="X1002" s="36"/>
      <c r="Y1002" s="36"/>
      <c r="Z1002" s="36"/>
      <c r="AA1002" s="36"/>
      <c r="AB1002" s="36"/>
      <c r="AC1002" s="36"/>
    </row>
    <row r="1003" spans="1:29" ht="84" customHeight="1">
      <c r="A1003" s="81"/>
      <c r="B1003" s="81"/>
      <c r="C1003" s="81"/>
      <c r="D1003" s="81"/>
      <c r="E1003" s="80"/>
      <c r="F1003" s="620"/>
      <c r="G1003" s="620"/>
      <c r="H1003" s="94"/>
      <c r="I1003" s="81"/>
      <c r="J1003" s="35"/>
      <c r="K1003" s="36"/>
      <c r="L1003" s="36"/>
      <c r="M1003" s="36"/>
      <c r="N1003" s="36"/>
      <c r="O1003" s="36"/>
      <c r="P1003" s="36"/>
      <c r="Q1003" s="36"/>
      <c r="R1003" s="36"/>
      <c r="S1003" s="36"/>
      <c r="T1003" s="36"/>
      <c r="U1003" s="36"/>
      <c r="V1003" s="36"/>
      <c r="W1003" s="36"/>
      <c r="X1003" s="36"/>
      <c r="Y1003" s="36"/>
      <c r="Z1003" s="36"/>
      <c r="AA1003" s="36"/>
      <c r="AB1003" s="36"/>
      <c r="AC1003" s="36"/>
    </row>
    <row r="1004" spans="1:29" ht="24" customHeight="1">
      <c r="A1004" s="81"/>
      <c r="B1004" s="81"/>
      <c r="C1004" s="81"/>
      <c r="D1004" s="81"/>
      <c r="E1004" s="80"/>
      <c r="F1004" s="620"/>
      <c r="G1004" s="620"/>
      <c r="H1004" s="94"/>
      <c r="I1004" s="81"/>
      <c r="J1004" s="35"/>
      <c r="K1004" s="36"/>
      <c r="L1004" s="36"/>
      <c r="M1004" s="36"/>
      <c r="N1004" s="36"/>
      <c r="O1004" s="36"/>
      <c r="P1004" s="36"/>
      <c r="Q1004" s="36"/>
      <c r="R1004" s="36"/>
      <c r="S1004" s="36"/>
      <c r="T1004" s="36"/>
      <c r="U1004" s="36"/>
      <c r="V1004" s="36"/>
      <c r="W1004" s="36"/>
      <c r="X1004" s="36"/>
      <c r="Y1004" s="36"/>
      <c r="Z1004" s="36"/>
      <c r="AA1004" s="36"/>
      <c r="AB1004" s="36"/>
      <c r="AC1004" s="36"/>
    </row>
    <row r="1005" spans="1:29" ht="48" customHeight="1">
      <c r="A1005" s="81"/>
      <c r="B1005" s="94"/>
      <c r="C1005" s="81"/>
      <c r="D1005" s="81"/>
      <c r="E1005" s="80"/>
      <c r="F1005" s="620"/>
      <c r="G1005" s="620"/>
      <c r="H1005" s="94"/>
      <c r="I1005" s="81"/>
      <c r="J1005" s="35"/>
      <c r="K1005" s="36"/>
      <c r="L1005" s="36"/>
      <c r="M1005" s="36"/>
      <c r="N1005" s="36"/>
      <c r="O1005" s="36"/>
      <c r="P1005" s="36"/>
      <c r="Q1005" s="36"/>
      <c r="R1005" s="36"/>
      <c r="S1005" s="36"/>
      <c r="T1005" s="36"/>
      <c r="U1005" s="36"/>
      <c r="V1005" s="36"/>
      <c r="W1005" s="36"/>
      <c r="X1005" s="36"/>
      <c r="Y1005" s="36"/>
      <c r="Z1005" s="36"/>
      <c r="AA1005" s="36"/>
      <c r="AB1005" s="36"/>
      <c r="AC1005" s="36"/>
    </row>
    <row r="1006" spans="1:29" ht="24" customHeight="1">
      <c r="A1006" s="81"/>
      <c r="B1006" s="81"/>
      <c r="C1006" s="81"/>
      <c r="D1006" s="81"/>
      <c r="E1006" s="80"/>
      <c r="F1006" s="620"/>
      <c r="G1006" s="620"/>
      <c r="H1006" s="94"/>
      <c r="I1006" s="81"/>
      <c r="J1006" s="35"/>
      <c r="K1006" s="36"/>
      <c r="L1006" s="36"/>
      <c r="M1006" s="36"/>
      <c r="N1006" s="36"/>
      <c r="O1006" s="36"/>
      <c r="P1006" s="36"/>
      <c r="Q1006" s="36"/>
      <c r="R1006" s="36"/>
      <c r="S1006" s="36"/>
      <c r="T1006" s="36"/>
      <c r="U1006" s="36"/>
      <c r="V1006" s="36"/>
      <c r="W1006" s="36"/>
      <c r="X1006" s="36"/>
      <c r="Y1006" s="36"/>
      <c r="Z1006" s="36"/>
      <c r="AA1006" s="36"/>
      <c r="AB1006" s="36"/>
      <c r="AC1006" s="36"/>
    </row>
    <row r="1007" spans="1:29" ht="24" customHeight="1">
      <c r="A1007" s="81"/>
      <c r="B1007" s="81"/>
      <c r="C1007" s="81"/>
      <c r="D1007" s="81"/>
      <c r="E1007" s="80"/>
      <c r="F1007" s="620"/>
      <c r="G1007" s="620"/>
      <c r="H1007" s="94"/>
      <c r="I1007" s="81"/>
      <c r="J1007" s="35"/>
      <c r="K1007" s="36"/>
      <c r="L1007" s="36"/>
      <c r="M1007" s="36"/>
      <c r="N1007" s="36"/>
      <c r="O1007" s="36"/>
      <c r="P1007" s="36"/>
      <c r="Q1007" s="36"/>
      <c r="R1007" s="36"/>
      <c r="S1007" s="36"/>
      <c r="T1007" s="36"/>
      <c r="U1007" s="36"/>
      <c r="V1007" s="36"/>
      <c r="W1007" s="36"/>
      <c r="X1007" s="36"/>
      <c r="Y1007" s="36"/>
      <c r="Z1007" s="36"/>
      <c r="AA1007" s="36"/>
      <c r="AB1007" s="36"/>
      <c r="AC1007" s="36"/>
    </row>
    <row r="1008" spans="1:29" ht="60" customHeight="1">
      <c r="A1008" s="81"/>
      <c r="B1008" s="81"/>
      <c r="C1008" s="81"/>
      <c r="D1008" s="81"/>
      <c r="E1008" s="80"/>
      <c r="F1008" s="620"/>
      <c r="G1008" s="620"/>
      <c r="H1008" s="94"/>
      <c r="I1008" s="81"/>
      <c r="J1008" s="35"/>
      <c r="K1008" s="36"/>
      <c r="L1008" s="36"/>
      <c r="M1008" s="36"/>
      <c r="N1008" s="36"/>
      <c r="O1008" s="36"/>
      <c r="P1008" s="36"/>
      <c r="Q1008" s="36"/>
      <c r="R1008" s="36"/>
      <c r="S1008" s="36"/>
      <c r="T1008" s="36"/>
      <c r="U1008" s="36"/>
      <c r="V1008" s="36"/>
      <c r="W1008" s="36"/>
      <c r="X1008" s="36"/>
      <c r="Y1008" s="36"/>
      <c r="Z1008" s="36"/>
      <c r="AA1008" s="36"/>
      <c r="AB1008" s="36"/>
      <c r="AC1008" s="36"/>
    </row>
    <row r="1009" spans="1:29" ht="60" customHeight="1">
      <c r="A1009" s="81"/>
      <c r="B1009" s="81"/>
      <c r="C1009" s="81"/>
      <c r="D1009" s="81"/>
      <c r="E1009" s="80"/>
      <c r="F1009" s="620"/>
      <c r="G1009" s="620"/>
      <c r="H1009" s="94"/>
      <c r="I1009" s="81"/>
      <c r="J1009" s="35"/>
      <c r="K1009" s="36"/>
      <c r="L1009" s="36"/>
      <c r="M1009" s="36"/>
      <c r="N1009" s="36"/>
      <c r="O1009" s="36"/>
      <c r="P1009" s="36"/>
      <c r="Q1009" s="36"/>
      <c r="R1009" s="36"/>
      <c r="S1009" s="36"/>
      <c r="T1009" s="36"/>
      <c r="U1009" s="36"/>
      <c r="V1009" s="36"/>
      <c r="W1009" s="36"/>
      <c r="X1009" s="36"/>
      <c r="Y1009" s="36"/>
      <c r="Z1009" s="36"/>
      <c r="AA1009" s="36"/>
      <c r="AB1009" s="36"/>
      <c r="AC1009" s="36"/>
    </row>
    <row r="1010" spans="1:29" ht="24" customHeight="1">
      <c r="A1010" s="81"/>
      <c r="B1010" s="81"/>
      <c r="C1010" s="81"/>
      <c r="D1010" s="81"/>
      <c r="E1010" s="80"/>
      <c r="F1010" s="620"/>
      <c r="G1010" s="620"/>
      <c r="H1010" s="94"/>
      <c r="I1010" s="81"/>
      <c r="J1010" s="35"/>
      <c r="K1010" s="36"/>
      <c r="L1010" s="36"/>
      <c r="M1010" s="36"/>
      <c r="N1010" s="36"/>
      <c r="O1010" s="36"/>
      <c r="P1010" s="36"/>
      <c r="Q1010" s="36"/>
      <c r="R1010" s="36"/>
      <c r="S1010" s="36"/>
      <c r="T1010" s="36"/>
      <c r="U1010" s="36"/>
      <c r="V1010" s="36"/>
      <c r="W1010" s="36"/>
      <c r="X1010" s="36"/>
      <c r="Y1010" s="36"/>
      <c r="Z1010" s="36"/>
      <c r="AA1010" s="36"/>
      <c r="AB1010" s="36"/>
      <c r="AC1010" s="36"/>
    </row>
    <row r="1011" spans="1:29" ht="19.5" customHeight="1">
      <c r="A1011" s="81"/>
      <c r="B1011" s="81"/>
      <c r="C1011" s="81"/>
      <c r="D1011" s="81"/>
      <c r="E1011" s="80"/>
      <c r="F1011" s="620"/>
      <c r="G1011" s="620"/>
      <c r="H1011" s="94"/>
      <c r="I1011" s="81"/>
      <c r="J1011" s="36"/>
      <c r="K1011" s="36"/>
      <c r="L1011" s="36"/>
      <c r="M1011" s="36"/>
      <c r="N1011" s="36"/>
      <c r="O1011" s="36"/>
      <c r="P1011" s="36"/>
      <c r="Q1011" s="36"/>
      <c r="R1011" s="36"/>
      <c r="S1011" s="36"/>
      <c r="T1011" s="36"/>
      <c r="U1011" s="36"/>
      <c r="V1011" s="36"/>
      <c r="W1011" s="36"/>
      <c r="X1011" s="36"/>
      <c r="Y1011" s="36"/>
      <c r="Z1011" s="36"/>
      <c r="AA1011" s="36"/>
      <c r="AB1011" s="36"/>
      <c r="AC1011" s="36"/>
    </row>
    <row r="1012" spans="1:29" ht="30" customHeight="1">
      <c r="A1012" s="81"/>
      <c r="B1012" s="81"/>
      <c r="C1012" s="81"/>
      <c r="D1012" s="81"/>
      <c r="E1012" s="80"/>
      <c r="F1012" s="620"/>
      <c r="G1012" s="620"/>
      <c r="H1012" s="94"/>
      <c r="I1012" s="81"/>
      <c r="J1012" s="36"/>
      <c r="K1012" s="36"/>
      <c r="L1012" s="36"/>
      <c r="M1012" s="36"/>
      <c r="N1012" s="36"/>
      <c r="O1012" s="36"/>
      <c r="P1012" s="36"/>
      <c r="Q1012" s="36"/>
      <c r="R1012" s="36"/>
      <c r="S1012" s="36"/>
      <c r="T1012" s="36"/>
      <c r="U1012" s="36"/>
      <c r="V1012" s="36"/>
      <c r="W1012" s="36"/>
      <c r="X1012" s="36"/>
      <c r="Y1012" s="36"/>
      <c r="Z1012" s="36"/>
      <c r="AA1012" s="36"/>
      <c r="AB1012" s="36"/>
      <c r="AC1012" s="36"/>
    </row>
    <row r="1013" spans="1:29" ht="24" customHeight="1">
      <c r="A1013" s="81"/>
      <c r="B1013" s="81"/>
      <c r="C1013" s="81"/>
      <c r="D1013" s="81"/>
      <c r="E1013" s="80"/>
      <c r="F1013" s="620"/>
      <c r="G1013" s="620"/>
      <c r="H1013" s="94"/>
      <c r="I1013" s="81"/>
      <c r="J1013" s="35"/>
      <c r="K1013" s="36"/>
      <c r="L1013" s="36"/>
      <c r="M1013" s="36"/>
      <c r="N1013" s="36"/>
      <c r="O1013" s="36"/>
      <c r="P1013" s="36"/>
      <c r="Q1013" s="36"/>
      <c r="R1013" s="36"/>
      <c r="S1013" s="36"/>
      <c r="T1013" s="36"/>
      <c r="U1013" s="36"/>
      <c r="V1013" s="36"/>
      <c r="W1013" s="36"/>
      <c r="X1013" s="36"/>
      <c r="Y1013" s="36"/>
      <c r="Z1013" s="36"/>
      <c r="AA1013" s="36"/>
      <c r="AB1013" s="36"/>
      <c r="AC1013" s="36"/>
    </row>
    <row r="1014" spans="1:29" ht="36" customHeight="1">
      <c r="A1014" s="81"/>
      <c r="B1014" s="81"/>
      <c r="C1014" s="81"/>
      <c r="D1014" s="81"/>
      <c r="E1014" s="80"/>
      <c r="F1014" s="620"/>
      <c r="G1014" s="620"/>
      <c r="H1014" s="94"/>
      <c r="I1014" s="81"/>
      <c r="J1014" s="35"/>
      <c r="K1014" s="36"/>
      <c r="L1014" s="36"/>
      <c r="M1014" s="36"/>
      <c r="N1014" s="36"/>
      <c r="O1014" s="36"/>
      <c r="P1014" s="36"/>
      <c r="Q1014" s="36"/>
      <c r="R1014" s="36"/>
      <c r="S1014" s="36"/>
      <c r="T1014" s="36"/>
      <c r="U1014" s="36"/>
      <c r="V1014" s="36"/>
      <c r="W1014" s="36"/>
      <c r="X1014" s="36"/>
      <c r="Y1014" s="36"/>
      <c r="Z1014" s="36"/>
      <c r="AA1014" s="36"/>
      <c r="AB1014" s="36"/>
      <c r="AC1014" s="36"/>
    </row>
    <row r="1015" spans="1:29" ht="12" customHeight="1">
      <c r="A1015" s="81"/>
      <c r="B1015" s="81"/>
      <c r="C1015" s="81"/>
      <c r="D1015" s="81"/>
      <c r="E1015" s="80"/>
      <c r="F1015" s="620"/>
      <c r="G1015" s="620"/>
      <c r="H1015" s="94"/>
      <c r="I1015" s="81"/>
      <c r="J1015" s="35"/>
      <c r="K1015" s="36"/>
      <c r="L1015" s="36"/>
      <c r="M1015" s="36"/>
      <c r="N1015" s="36"/>
      <c r="O1015" s="36"/>
      <c r="P1015" s="36"/>
      <c r="Q1015" s="36"/>
      <c r="R1015" s="36"/>
      <c r="S1015" s="36"/>
      <c r="T1015" s="36"/>
      <c r="U1015" s="36"/>
      <c r="V1015" s="36"/>
      <c r="W1015" s="36"/>
      <c r="X1015" s="36"/>
      <c r="Y1015" s="36"/>
      <c r="Z1015" s="36"/>
      <c r="AA1015" s="36"/>
      <c r="AB1015" s="36"/>
      <c r="AC1015" s="36"/>
    </row>
    <row r="1016" spans="1:29" ht="24" customHeight="1">
      <c r="A1016" s="81"/>
      <c r="B1016" s="81"/>
      <c r="C1016" s="81"/>
      <c r="D1016" s="81"/>
      <c r="E1016" s="80"/>
      <c r="F1016" s="620"/>
      <c r="G1016" s="620"/>
      <c r="H1016" s="94"/>
      <c r="I1016" s="81"/>
      <c r="J1016" s="35"/>
      <c r="K1016" s="36"/>
      <c r="L1016" s="36"/>
      <c r="M1016" s="36"/>
      <c r="N1016" s="36"/>
      <c r="O1016" s="36"/>
      <c r="P1016" s="36"/>
      <c r="Q1016" s="36"/>
      <c r="R1016" s="36"/>
      <c r="S1016" s="36"/>
      <c r="T1016" s="36"/>
      <c r="U1016" s="36"/>
      <c r="V1016" s="36"/>
      <c r="W1016" s="36"/>
      <c r="X1016" s="36"/>
      <c r="Y1016" s="36"/>
      <c r="Z1016" s="36"/>
      <c r="AA1016" s="36"/>
      <c r="AB1016" s="36"/>
      <c r="AC1016" s="36"/>
    </row>
    <row r="1017" spans="1:29" ht="24" customHeight="1">
      <c r="A1017" s="81"/>
      <c r="B1017" s="81"/>
      <c r="C1017" s="81"/>
      <c r="D1017" s="81"/>
      <c r="E1017" s="80"/>
      <c r="F1017" s="620"/>
      <c r="G1017" s="620"/>
      <c r="H1017" s="94"/>
      <c r="I1017" s="81"/>
      <c r="J1017" s="35"/>
      <c r="K1017" s="36"/>
      <c r="L1017" s="36"/>
      <c r="M1017" s="36"/>
      <c r="N1017" s="36"/>
      <c r="O1017" s="36"/>
      <c r="P1017" s="36"/>
      <c r="Q1017" s="36"/>
      <c r="R1017" s="36"/>
      <c r="S1017" s="36"/>
      <c r="T1017" s="36"/>
      <c r="U1017" s="36"/>
      <c r="V1017" s="36"/>
      <c r="W1017" s="36"/>
      <c r="X1017" s="36"/>
      <c r="Y1017" s="36"/>
      <c r="Z1017" s="36"/>
      <c r="AA1017" s="36"/>
      <c r="AB1017" s="36"/>
      <c r="AC1017" s="36"/>
    </row>
    <row r="1018" spans="1:29" ht="24" customHeight="1">
      <c r="A1018" s="81"/>
      <c r="B1018" s="81"/>
      <c r="C1018" s="81"/>
      <c r="D1018" s="81"/>
      <c r="E1018" s="80"/>
      <c r="F1018" s="620"/>
      <c r="G1018" s="620"/>
      <c r="H1018" s="94"/>
      <c r="I1018" s="81"/>
      <c r="J1018" s="35"/>
      <c r="K1018" s="36"/>
      <c r="L1018" s="36"/>
      <c r="M1018" s="36"/>
      <c r="N1018" s="36"/>
      <c r="O1018" s="36"/>
      <c r="P1018" s="36"/>
      <c r="Q1018" s="36"/>
      <c r="R1018" s="36"/>
      <c r="S1018" s="36"/>
      <c r="T1018" s="36"/>
      <c r="U1018" s="36"/>
      <c r="V1018" s="36"/>
      <c r="W1018" s="36"/>
      <c r="X1018" s="36"/>
      <c r="Y1018" s="36"/>
      <c r="Z1018" s="36"/>
      <c r="AA1018" s="36"/>
      <c r="AB1018" s="36"/>
      <c r="AC1018" s="36"/>
    </row>
    <row r="1019" spans="1:29" ht="48" customHeight="1">
      <c r="A1019" s="81"/>
      <c r="B1019" s="81"/>
      <c r="C1019" s="81"/>
      <c r="D1019" s="81"/>
      <c r="E1019" s="80"/>
      <c r="F1019" s="620"/>
      <c r="G1019" s="620"/>
      <c r="H1019" s="94"/>
      <c r="I1019" s="81"/>
      <c r="J1019" s="35"/>
      <c r="K1019" s="36"/>
      <c r="L1019" s="36"/>
      <c r="M1019" s="36"/>
      <c r="N1019" s="36"/>
      <c r="O1019" s="36"/>
      <c r="P1019" s="36"/>
      <c r="Q1019" s="36"/>
      <c r="R1019" s="36"/>
      <c r="S1019" s="36"/>
      <c r="T1019" s="36"/>
      <c r="U1019" s="36"/>
      <c r="V1019" s="36"/>
      <c r="W1019" s="36"/>
      <c r="X1019" s="36"/>
      <c r="Y1019" s="36"/>
      <c r="Z1019" s="36"/>
      <c r="AA1019" s="36"/>
      <c r="AB1019" s="36"/>
      <c r="AC1019" s="36"/>
    </row>
    <row r="1020" spans="1:29" ht="24" customHeight="1">
      <c r="A1020" s="81"/>
      <c r="B1020" s="81"/>
      <c r="C1020" s="81"/>
      <c r="D1020" s="81"/>
      <c r="E1020" s="80"/>
      <c r="F1020" s="620"/>
      <c r="G1020" s="620"/>
      <c r="H1020" s="94"/>
      <c r="I1020" s="81"/>
      <c r="J1020" s="35"/>
      <c r="K1020" s="36"/>
      <c r="L1020" s="36"/>
      <c r="M1020" s="36"/>
      <c r="N1020" s="36"/>
      <c r="O1020" s="36"/>
      <c r="P1020" s="36"/>
      <c r="Q1020" s="36"/>
      <c r="R1020" s="36"/>
      <c r="S1020" s="36"/>
      <c r="T1020" s="36"/>
      <c r="U1020" s="36"/>
      <c r="V1020" s="36"/>
      <c r="W1020" s="36"/>
      <c r="X1020" s="36"/>
      <c r="Y1020" s="36"/>
      <c r="Z1020" s="36"/>
      <c r="AA1020" s="36"/>
      <c r="AB1020" s="36"/>
      <c r="AC1020" s="36"/>
    </row>
    <row r="1021" spans="1:29" ht="36" customHeight="1">
      <c r="A1021" s="81"/>
      <c r="B1021" s="81"/>
      <c r="C1021" s="81"/>
      <c r="D1021" s="81"/>
      <c r="E1021" s="80"/>
      <c r="F1021" s="620"/>
      <c r="G1021" s="620"/>
      <c r="H1021" s="94"/>
      <c r="I1021" s="81"/>
      <c r="J1021" s="35"/>
      <c r="K1021" s="36"/>
      <c r="L1021" s="36"/>
      <c r="M1021" s="36"/>
      <c r="N1021" s="36"/>
      <c r="O1021" s="36"/>
      <c r="P1021" s="36"/>
      <c r="Q1021" s="36"/>
      <c r="R1021" s="36"/>
      <c r="S1021" s="36"/>
      <c r="T1021" s="36"/>
      <c r="U1021" s="36"/>
      <c r="V1021" s="36"/>
      <c r="W1021" s="36"/>
      <c r="X1021" s="36"/>
      <c r="Y1021" s="36"/>
      <c r="Z1021" s="36"/>
      <c r="AA1021" s="36"/>
      <c r="AB1021" s="36"/>
      <c r="AC1021" s="36"/>
    </row>
    <row r="1022" spans="1:29" ht="120" customHeight="1">
      <c r="A1022" s="81"/>
      <c r="B1022" s="81"/>
      <c r="C1022" s="81"/>
      <c r="D1022" s="81"/>
      <c r="E1022" s="80"/>
      <c r="F1022" s="620"/>
      <c r="G1022" s="620"/>
      <c r="H1022" s="94"/>
      <c r="I1022" s="81"/>
      <c r="J1022" s="35"/>
      <c r="K1022" s="36"/>
      <c r="L1022" s="36"/>
      <c r="M1022" s="36"/>
      <c r="N1022" s="36"/>
      <c r="O1022" s="36"/>
      <c r="P1022" s="36"/>
      <c r="Q1022" s="36"/>
      <c r="R1022" s="36"/>
      <c r="S1022" s="36"/>
      <c r="T1022" s="36"/>
      <c r="U1022" s="36"/>
      <c r="V1022" s="36"/>
      <c r="W1022" s="36"/>
      <c r="X1022" s="36"/>
      <c r="Y1022" s="36"/>
      <c r="Z1022" s="36"/>
      <c r="AA1022" s="36"/>
      <c r="AB1022" s="36"/>
      <c r="AC1022" s="36"/>
    </row>
    <row r="1023" spans="1:29" ht="48" customHeight="1">
      <c r="A1023" s="81"/>
      <c r="B1023" s="81"/>
      <c r="C1023" s="81"/>
      <c r="D1023" s="81"/>
      <c r="E1023" s="80"/>
      <c r="F1023" s="620"/>
      <c r="G1023" s="620"/>
      <c r="H1023" s="94"/>
      <c r="I1023" s="81"/>
      <c r="J1023" s="35"/>
      <c r="K1023" s="36"/>
      <c r="L1023" s="36"/>
      <c r="M1023" s="36"/>
      <c r="N1023" s="36"/>
      <c r="O1023" s="36"/>
      <c r="P1023" s="36"/>
      <c r="Q1023" s="36"/>
      <c r="R1023" s="36"/>
      <c r="S1023" s="36"/>
      <c r="T1023" s="36"/>
      <c r="U1023" s="36"/>
      <c r="V1023" s="36"/>
      <c r="W1023" s="36"/>
      <c r="X1023" s="36"/>
      <c r="Y1023" s="36"/>
      <c r="Z1023" s="36"/>
      <c r="AA1023" s="36"/>
      <c r="AB1023" s="36"/>
      <c r="AC1023" s="36"/>
    </row>
    <row r="1024" spans="1:29" ht="24" customHeight="1">
      <c r="A1024" s="81"/>
      <c r="B1024" s="94"/>
      <c r="C1024" s="81"/>
      <c r="D1024" s="81"/>
      <c r="E1024" s="80"/>
      <c r="F1024" s="620"/>
      <c r="G1024" s="620"/>
      <c r="H1024" s="94"/>
      <c r="I1024" s="81"/>
      <c r="J1024" s="248"/>
      <c r="K1024" s="36"/>
      <c r="L1024" s="36"/>
      <c r="M1024" s="36"/>
      <c r="N1024" s="36"/>
      <c r="O1024" s="36"/>
      <c r="P1024" s="36"/>
      <c r="Q1024" s="36"/>
      <c r="R1024" s="36"/>
      <c r="S1024" s="36"/>
      <c r="T1024" s="36"/>
      <c r="U1024" s="36"/>
      <c r="V1024" s="36"/>
      <c r="W1024" s="36"/>
      <c r="X1024" s="36"/>
      <c r="Y1024" s="36"/>
      <c r="Z1024" s="36"/>
      <c r="AA1024" s="36"/>
      <c r="AB1024" s="36"/>
      <c r="AC1024" s="36"/>
    </row>
    <row r="1025" spans="1:29" ht="24" customHeight="1">
      <c r="A1025" s="81"/>
      <c r="B1025" s="81"/>
      <c r="C1025" s="81"/>
      <c r="D1025" s="81"/>
      <c r="E1025" s="80"/>
      <c r="F1025" s="620"/>
      <c r="G1025" s="620"/>
      <c r="H1025" s="94"/>
      <c r="I1025" s="81"/>
      <c r="J1025" s="35"/>
      <c r="K1025" s="36"/>
      <c r="L1025" s="36"/>
      <c r="M1025" s="36"/>
      <c r="N1025" s="36"/>
      <c r="O1025" s="36"/>
      <c r="P1025" s="36"/>
      <c r="Q1025" s="36"/>
      <c r="R1025" s="36"/>
      <c r="S1025" s="36"/>
      <c r="T1025" s="36"/>
      <c r="U1025" s="36"/>
      <c r="V1025" s="36"/>
      <c r="W1025" s="36"/>
      <c r="X1025" s="36"/>
      <c r="Y1025" s="36"/>
      <c r="Z1025" s="36"/>
      <c r="AA1025" s="36"/>
      <c r="AB1025" s="36"/>
      <c r="AC1025" s="36"/>
    </row>
    <row r="1026" spans="1:29" ht="24" customHeight="1">
      <c r="A1026" s="81"/>
      <c r="B1026" s="81"/>
      <c r="C1026" s="81"/>
      <c r="D1026" s="81"/>
      <c r="E1026" s="80"/>
      <c r="F1026" s="620"/>
      <c r="G1026" s="620"/>
      <c r="H1026" s="94"/>
      <c r="I1026" s="81"/>
      <c r="J1026" s="35"/>
      <c r="K1026" s="36"/>
      <c r="L1026" s="36"/>
      <c r="M1026" s="36"/>
      <c r="N1026" s="36"/>
      <c r="O1026" s="36"/>
      <c r="P1026" s="36"/>
      <c r="Q1026" s="36"/>
      <c r="R1026" s="36"/>
      <c r="S1026" s="36"/>
      <c r="T1026" s="36"/>
      <c r="U1026" s="36"/>
      <c r="V1026" s="36"/>
      <c r="W1026" s="36"/>
      <c r="X1026" s="36"/>
      <c r="Y1026" s="36"/>
      <c r="Z1026" s="36"/>
      <c r="AA1026" s="36"/>
      <c r="AB1026" s="36"/>
      <c r="AC1026" s="36"/>
    </row>
    <row r="1027" spans="1:29" ht="36" customHeight="1">
      <c r="A1027" s="81"/>
      <c r="B1027" s="81"/>
      <c r="C1027" s="81"/>
      <c r="D1027" s="81"/>
      <c r="E1027" s="80"/>
      <c r="F1027" s="620"/>
      <c r="G1027" s="620"/>
      <c r="H1027" s="94"/>
      <c r="I1027" s="81"/>
      <c r="J1027" s="35"/>
      <c r="K1027" s="36"/>
      <c r="L1027" s="36"/>
      <c r="M1027" s="36"/>
      <c r="N1027" s="36"/>
      <c r="O1027" s="36"/>
      <c r="P1027" s="36"/>
      <c r="Q1027" s="36"/>
      <c r="R1027" s="36"/>
      <c r="S1027" s="36"/>
      <c r="T1027" s="36"/>
      <c r="U1027" s="36"/>
      <c r="V1027" s="36"/>
      <c r="W1027" s="36"/>
      <c r="X1027" s="36"/>
      <c r="Y1027" s="36"/>
      <c r="Z1027" s="36"/>
      <c r="AA1027" s="36"/>
      <c r="AB1027" s="36"/>
      <c r="AC1027" s="36"/>
    </row>
    <row r="1028" spans="1:29" ht="24" customHeight="1">
      <c r="A1028" s="81"/>
      <c r="B1028" s="94"/>
      <c r="C1028" s="81"/>
      <c r="D1028" s="81"/>
      <c r="E1028" s="80"/>
      <c r="F1028" s="620"/>
      <c r="G1028" s="620"/>
      <c r="H1028" s="94"/>
      <c r="I1028" s="81"/>
      <c r="J1028" s="35"/>
      <c r="K1028" s="36"/>
      <c r="L1028" s="36"/>
      <c r="M1028" s="36"/>
      <c r="N1028" s="36"/>
      <c r="O1028" s="36"/>
      <c r="P1028" s="36"/>
      <c r="Q1028" s="36"/>
      <c r="R1028" s="36"/>
      <c r="S1028" s="36"/>
      <c r="T1028" s="36"/>
      <c r="U1028" s="36"/>
      <c r="V1028" s="36"/>
      <c r="W1028" s="36"/>
      <c r="X1028" s="36"/>
      <c r="Y1028" s="36"/>
      <c r="Z1028" s="36"/>
      <c r="AA1028" s="36"/>
      <c r="AB1028" s="36"/>
      <c r="AC1028" s="36"/>
    </row>
    <row r="1029" spans="1:29" ht="36" customHeight="1">
      <c r="A1029" s="81"/>
      <c r="B1029" s="81"/>
      <c r="C1029" s="81"/>
      <c r="D1029" s="81"/>
      <c r="E1029" s="80"/>
      <c r="F1029" s="620"/>
      <c r="G1029" s="620"/>
      <c r="H1029" s="94"/>
      <c r="I1029" s="81"/>
      <c r="J1029" s="35"/>
      <c r="K1029" s="36"/>
      <c r="L1029" s="36"/>
      <c r="M1029" s="36"/>
      <c r="N1029" s="36"/>
      <c r="O1029" s="36"/>
      <c r="P1029" s="36"/>
      <c r="Q1029" s="36"/>
      <c r="R1029" s="36"/>
      <c r="S1029" s="36"/>
      <c r="T1029" s="36"/>
      <c r="U1029" s="36"/>
      <c r="V1029" s="36"/>
      <c r="W1029" s="36"/>
      <c r="X1029" s="36"/>
      <c r="Y1029" s="36"/>
      <c r="Z1029" s="36"/>
      <c r="AA1029" s="36"/>
      <c r="AB1029" s="36"/>
      <c r="AC1029" s="36"/>
    </row>
    <row r="1030" spans="1:29" ht="36" customHeight="1">
      <c r="A1030" s="81"/>
      <c r="B1030" s="81"/>
      <c r="C1030" s="81"/>
      <c r="D1030" s="81"/>
      <c r="E1030" s="80"/>
      <c r="F1030" s="620"/>
      <c r="G1030" s="620"/>
      <c r="H1030" s="94"/>
      <c r="I1030" s="81"/>
      <c r="J1030" s="35"/>
      <c r="K1030" s="36"/>
      <c r="L1030" s="36"/>
      <c r="M1030" s="36"/>
      <c r="N1030" s="36"/>
      <c r="O1030" s="36"/>
      <c r="P1030" s="36"/>
      <c r="Q1030" s="36"/>
      <c r="R1030" s="36"/>
      <c r="S1030" s="36"/>
      <c r="T1030" s="36"/>
      <c r="U1030" s="36"/>
      <c r="V1030" s="36"/>
      <c r="W1030" s="36"/>
      <c r="X1030" s="36"/>
      <c r="Y1030" s="36"/>
      <c r="Z1030" s="36"/>
      <c r="AA1030" s="36"/>
      <c r="AB1030" s="36"/>
      <c r="AC1030" s="36"/>
    </row>
    <row r="1031" spans="1:29" ht="36" customHeight="1">
      <c r="A1031" s="81"/>
      <c r="B1031" s="81"/>
      <c r="C1031" s="81"/>
      <c r="D1031" s="81"/>
      <c r="E1031" s="80"/>
      <c r="F1031" s="620"/>
      <c r="G1031" s="620"/>
      <c r="H1031" s="94"/>
      <c r="I1031" s="81"/>
      <c r="J1031" s="35"/>
      <c r="K1031" s="36"/>
      <c r="L1031" s="36"/>
      <c r="M1031" s="36"/>
      <c r="N1031" s="36"/>
      <c r="O1031" s="36"/>
      <c r="P1031" s="36"/>
      <c r="Q1031" s="36"/>
      <c r="R1031" s="36"/>
      <c r="S1031" s="36"/>
      <c r="T1031" s="36"/>
      <c r="U1031" s="36"/>
      <c r="V1031" s="36"/>
      <c r="W1031" s="36"/>
      <c r="X1031" s="36"/>
      <c r="Y1031" s="36"/>
      <c r="Z1031" s="36"/>
      <c r="AA1031" s="36"/>
      <c r="AB1031" s="36"/>
      <c r="AC1031" s="36"/>
    </row>
    <row r="1032" spans="1:29" ht="24" customHeight="1">
      <c r="A1032" s="81"/>
      <c r="B1032" s="94"/>
      <c r="C1032" s="81"/>
      <c r="D1032" s="81"/>
      <c r="E1032" s="80"/>
      <c r="F1032" s="620"/>
      <c r="G1032" s="620"/>
      <c r="H1032" s="94"/>
      <c r="I1032" s="81"/>
      <c r="J1032" s="35"/>
      <c r="K1032" s="36"/>
      <c r="L1032" s="36"/>
      <c r="M1032" s="36"/>
      <c r="N1032" s="36"/>
      <c r="O1032" s="36"/>
      <c r="P1032" s="36"/>
      <c r="Q1032" s="36"/>
      <c r="R1032" s="36"/>
      <c r="S1032" s="36"/>
      <c r="T1032" s="36"/>
      <c r="U1032" s="36"/>
      <c r="V1032" s="36"/>
      <c r="W1032" s="36"/>
      <c r="X1032" s="36"/>
      <c r="Y1032" s="36"/>
      <c r="Z1032" s="36"/>
      <c r="AA1032" s="36"/>
      <c r="AB1032" s="36"/>
      <c r="AC1032" s="36"/>
    </row>
    <row r="1033" spans="1:29" ht="24" customHeight="1">
      <c r="A1033" s="81"/>
      <c r="B1033" s="94"/>
      <c r="C1033" s="81"/>
      <c r="D1033" s="81"/>
      <c r="E1033" s="80"/>
      <c r="F1033" s="620"/>
      <c r="G1033" s="620"/>
      <c r="H1033" s="94"/>
      <c r="I1033" s="81"/>
      <c r="J1033" s="35"/>
      <c r="K1033" s="36"/>
      <c r="L1033" s="36"/>
      <c r="M1033" s="36"/>
      <c r="N1033" s="36"/>
      <c r="O1033" s="36"/>
      <c r="P1033" s="36"/>
      <c r="Q1033" s="36"/>
      <c r="R1033" s="36"/>
      <c r="S1033" s="36"/>
      <c r="T1033" s="36"/>
      <c r="U1033" s="36"/>
      <c r="V1033" s="36"/>
      <c r="W1033" s="36"/>
      <c r="X1033" s="36"/>
      <c r="Y1033" s="36"/>
      <c r="Z1033" s="36"/>
      <c r="AA1033" s="36"/>
      <c r="AB1033" s="36"/>
      <c r="AC1033" s="36"/>
    </row>
    <row r="1034" spans="1:29" ht="24" customHeight="1">
      <c r="A1034" s="81"/>
      <c r="B1034" s="94"/>
      <c r="C1034" s="81"/>
      <c r="D1034" s="81"/>
      <c r="E1034" s="80"/>
      <c r="F1034" s="620"/>
      <c r="G1034" s="620"/>
      <c r="H1034" s="94"/>
      <c r="I1034" s="81"/>
      <c r="J1034" s="35"/>
      <c r="K1034" s="36"/>
      <c r="L1034" s="36"/>
      <c r="M1034" s="36"/>
      <c r="N1034" s="36"/>
      <c r="O1034" s="36"/>
      <c r="P1034" s="36"/>
      <c r="Q1034" s="36"/>
      <c r="R1034" s="36"/>
      <c r="S1034" s="36"/>
      <c r="T1034" s="36"/>
      <c r="U1034" s="36"/>
      <c r="V1034" s="36"/>
      <c r="W1034" s="36"/>
      <c r="X1034" s="36"/>
      <c r="Y1034" s="36"/>
      <c r="Z1034" s="36"/>
      <c r="AA1034" s="36"/>
      <c r="AB1034" s="36"/>
      <c r="AC1034" s="36"/>
    </row>
    <row r="1035" spans="1:29" ht="24" customHeight="1">
      <c r="A1035" s="81"/>
      <c r="B1035" s="94"/>
      <c r="C1035" s="81"/>
      <c r="D1035" s="81"/>
      <c r="E1035" s="80"/>
      <c r="F1035" s="620"/>
      <c r="G1035" s="620"/>
      <c r="H1035" s="94"/>
      <c r="I1035" s="81"/>
      <c r="J1035" s="35"/>
      <c r="K1035" s="36"/>
      <c r="L1035" s="36"/>
      <c r="M1035" s="36"/>
      <c r="N1035" s="36"/>
      <c r="O1035" s="36"/>
      <c r="P1035" s="36"/>
      <c r="Q1035" s="36"/>
      <c r="R1035" s="36"/>
      <c r="S1035" s="36"/>
      <c r="T1035" s="36"/>
      <c r="U1035" s="36"/>
      <c r="V1035" s="36"/>
      <c r="W1035" s="36"/>
      <c r="X1035" s="36"/>
      <c r="Y1035" s="36"/>
      <c r="Z1035" s="36"/>
      <c r="AA1035" s="36"/>
      <c r="AB1035" s="36"/>
      <c r="AC1035" s="36"/>
    </row>
    <row r="1036" spans="1:29" ht="24" customHeight="1">
      <c r="A1036" s="81"/>
      <c r="B1036" s="81"/>
      <c r="C1036" s="81"/>
      <c r="D1036" s="81"/>
      <c r="E1036" s="80"/>
      <c r="F1036" s="620"/>
      <c r="G1036" s="620"/>
      <c r="H1036" s="94"/>
      <c r="I1036" s="81"/>
      <c r="J1036" s="35"/>
      <c r="K1036" s="36"/>
      <c r="L1036" s="36"/>
      <c r="M1036" s="36"/>
      <c r="N1036" s="36"/>
      <c r="O1036" s="36"/>
      <c r="P1036" s="36"/>
      <c r="Q1036" s="36"/>
      <c r="R1036" s="36"/>
      <c r="S1036" s="36"/>
      <c r="T1036" s="36"/>
      <c r="U1036" s="36"/>
      <c r="V1036" s="36"/>
      <c r="W1036" s="36"/>
      <c r="X1036" s="36"/>
      <c r="Y1036" s="36"/>
      <c r="Z1036" s="36"/>
      <c r="AA1036" s="36"/>
      <c r="AB1036" s="36"/>
      <c r="AC1036" s="36"/>
    </row>
    <row r="1037" spans="1:29" ht="36" customHeight="1">
      <c r="A1037" s="81"/>
      <c r="B1037" s="81"/>
      <c r="C1037" s="81"/>
      <c r="D1037" s="81"/>
      <c r="E1037" s="80"/>
      <c r="F1037" s="620"/>
      <c r="G1037" s="620"/>
      <c r="H1037" s="94"/>
      <c r="I1037" s="81"/>
      <c r="J1037" s="35"/>
      <c r="K1037" s="36"/>
      <c r="L1037" s="36"/>
      <c r="M1037" s="36"/>
      <c r="N1037" s="36"/>
      <c r="O1037" s="36"/>
      <c r="P1037" s="36"/>
      <c r="Q1037" s="36"/>
      <c r="R1037" s="36"/>
      <c r="S1037" s="36"/>
      <c r="T1037" s="36"/>
      <c r="U1037" s="36"/>
      <c r="V1037" s="36"/>
      <c r="W1037" s="36"/>
      <c r="X1037" s="36"/>
      <c r="Y1037" s="36"/>
      <c r="Z1037" s="36"/>
      <c r="AA1037" s="36"/>
      <c r="AB1037" s="36"/>
      <c r="AC1037" s="36"/>
    </row>
    <row r="1038" spans="1:29" ht="48" customHeight="1">
      <c r="A1038" s="81"/>
      <c r="B1038" s="81"/>
      <c r="C1038" s="81"/>
      <c r="D1038" s="81"/>
      <c r="E1038" s="80"/>
      <c r="F1038" s="620"/>
      <c r="G1038" s="620"/>
      <c r="H1038" s="94"/>
      <c r="I1038" s="81"/>
      <c r="J1038" s="35"/>
      <c r="K1038" s="36"/>
      <c r="L1038" s="36"/>
      <c r="M1038" s="36"/>
      <c r="N1038" s="36"/>
      <c r="O1038" s="36"/>
      <c r="P1038" s="36"/>
      <c r="Q1038" s="36"/>
      <c r="R1038" s="36"/>
      <c r="S1038" s="36"/>
      <c r="T1038" s="36"/>
      <c r="U1038" s="36"/>
      <c r="V1038" s="36"/>
      <c r="W1038" s="36"/>
      <c r="X1038" s="36"/>
      <c r="Y1038" s="36"/>
      <c r="Z1038" s="36"/>
      <c r="AA1038" s="36"/>
      <c r="AB1038" s="36"/>
      <c r="AC1038" s="36"/>
    </row>
    <row r="1039" spans="1:29" ht="24" customHeight="1">
      <c r="A1039" s="81"/>
      <c r="B1039" s="81"/>
      <c r="C1039" s="81"/>
      <c r="D1039" s="81"/>
      <c r="E1039" s="80"/>
      <c r="F1039" s="620"/>
      <c r="G1039" s="620"/>
      <c r="H1039" s="94"/>
      <c r="I1039" s="81"/>
      <c r="J1039" s="35"/>
      <c r="K1039" s="36"/>
      <c r="L1039" s="36"/>
      <c r="M1039" s="36"/>
      <c r="N1039" s="36"/>
      <c r="O1039" s="36"/>
      <c r="P1039" s="36"/>
      <c r="Q1039" s="36"/>
      <c r="R1039" s="36"/>
      <c r="S1039" s="36"/>
      <c r="T1039" s="36"/>
      <c r="U1039" s="36"/>
      <c r="V1039" s="36"/>
      <c r="W1039" s="36"/>
      <c r="X1039" s="36"/>
      <c r="Y1039" s="36"/>
      <c r="Z1039" s="36"/>
      <c r="AA1039" s="36"/>
      <c r="AB1039" s="36"/>
      <c r="AC1039" s="36"/>
    </row>
    <row r="1040" spans="1:29" ht="24" customHeight="1">
      <c r="A1040" s="81"/>
      <c r="B1040" s="81"/>
      <c r="C1040" s="81"/>
      <c r="D1040" s="81"/>
      <c r="E1040" s="80"/>
      <c r="F1040" s="620"/>
      <c r="G1040" s="620"/>
      <c r="H1040" s="94"/>
      <c r="I1040" s="81"/>
      <c r="J1040" s="35"/>
      <c r="K1040" s="36"/>
      <c r="L1040" s="36"/>
      <c r="M1040" s="36"/>
      <c r="N1040" s="36"/>
      <c r="O1040" s="36"/>
      <c r="P1040" s="36"/>
      <c r="Q1040" s="36"/>
      <c r="R1040" s="36"/>
      <c r="S1040" s="36"/>
      <c r="T1040" s="36"/>
      <c r="U1040" s="36"/>
      <c r="V1040" s="36"/>
      <c r="W1040" s="36"/>
      <c r="X1040" s="36"/>
      <c r="Y1040" s="36"/>
      <c r="Z1040" s="36"/>
      <c r="AA1040" s="36"/>
      <c r="AB1040" s="36"/>
      <c r="AC1040" s="36"/>
    </row>
    <row r="1041" spans="1:29" ht="60" customHeight="1">
      <c r="A1041" s="81"/>
      <c r="B1041" s="81"/>
      <c r="C1041" s="81"/>
      <c r="D1041" s="81"/>
      <c r="E1041" s="80"/>
      <c r="F1041" s="620"/>
      <c r="G1041" s="620"/>
      <c r="H1041" s="94"/>
      <c r="I1041" s="81"/>
      <c r="J1041" s="35"/>
      <c r="K1041" s="36"/>
      <c r="L1041" s="36"/>
      <c r="M1041" s="36"/>
      <c r="N1041" s="36"/>
      <c r="O1041" s="36"/>
      <c r="P1041" s="36"/>
      <c r="Q1041" s="36"/>
      <c r="R1041" s="36"/>
      <c r="S1041" s="36"/>
      <c r="T1041" s="36"/>
      <c r="U1041" s="36"/>
      <c r="V1041" s="36"/>
      <c r="W1041" s="36"/>
      <c r="X1041" s="36"/>
      <c r="Y1041" s="36"/>
      <c r="Z1041" s="36"/>
      <c r="AA1041" s="36"/>
      <c r="AB1041" s="36"/>
      <c r="AC1041" s="36"/>
    </row>
    <row r="1042" spans="1:29" ht="36" customHeight="1">
      <c r="A1042" s="81"/>
      <c r="B1042" s="81"/>
      <c r="C1042" s="81"/>
      <c r="D1042" s="81"/>
      <c r="E1042" s="80"/>
      <c r="F1042" s="620"/>
      <c r="G1042" s="620"/>
      <c r="H1042" s="94"/>
      <c r="I1042" s="81"/>
      <c r="J1042" s="35"/>
      <c r="K1042" s="36"/>
      <c r="L1042" s="36"/>
      <c r="M1042" s="36"/>
      <c r="N1042" s="36"/>
      <c r="O1042" s="36"/>
      <c r="P1042" s="36"/>
      <c r="Q1042" s="36"/>
      <c r="R1042" s="36"/>
      <c r="S1042" s="36"/>
      <c r="T1042" s="36"/>
      <c r="U1042" s="36"/>
      <c r="V1042" s="36"/>
      <c r="W1042" s="36"/>
      <c r="X1042" s="36"/>
      <c r="Y1042" s="36"/>
      <c r="Z1042" s="36"/>
      <c r="AA1042" s="36"/>
      <c r="AB1042" s="36"/>
      <c r="AC1042" s="36"/>
    </row>
    <row r="1043" spans="1:29" ht="24" customHeight="1">
      <c r="A1043" s="81"/>
      <c r="B1043" s="81"/>
      <c r="C1043" s="81"/>
      <c r="D1043" s="81"/>
      <c r="E1043" s="80"/>
      <c r="F1043" s="620"/>
      <c r="G1043" s="620"/>
      <c r="H1043" s="94"/>
      <c r="I1043" s="81"/>
      <c r="J1043" s="36"/>
      <c r="K1043" s="36"/>
      <c r="L1043" s="36"/>
      <c r="M1043" s="36"/>
      <c r="N1043" s="36"/>
      <c r="O1043" s="36"/>
      <c r="P1043" s="36"/>
      <c r="Q1043" s="36"/>
      <c r="R1043" s="36"/>
      <c r="S1043" s="36"/>
      <c r="T1043" s="36"/>
      <c r="U1043" s="36"/>
      <c r="V1043" s="36"/>
      <c r="W1043" s="36"/>
      <c r="X1043" s="36"/>
      <c r="Y1043" s="36"/>
      <c r="Z1043" s="36"/>
      <c r="AA1043" s="36"/>
      <c r="AB1043" s="36"/>
      <c r="AC1043" s="36"/>
    </row>
    <row r="1044" spans="1:29" ht="24" customHeight="1">
      <c r="A1044" s="81"/>
      <c r="B1044" s="81"/>
      <c r="C1044" s="81"/>
      <c r="D1044" s="81"/>
      <c r="E1044" s="80"/>
      <c r="F1044" s="620"/>
      <c r="G1044" s="620"/>
      <c r="H1044" s="94"/>
      <c r="I1044" s="81"/>
      <c r="J1044" s="36"/>
      <c r="K1044" s="36"/>
      <c r="L1044" s="36"/>
      <c r="M1044" s="36"/>
      <c r="N1044" s="36"/>
      <c r="O1044" s="36"/>
      <c r="P1044" s="36"/>
      <c r="Q1044" s="36"/>
      <c r="R1044" s="36"/>
      <c r="S1044" s="36"/>
      <c r="T1044" s="36"/>
      <c r="U1044" s="36"/>
      <c r="V1044" s="36"/>
      <c r="W1044" s="36"/>
      <c r="X1044" s="36"/>
      <c r="Y1044" s="36"/>
      <c r="Z1044" s="36"/>
      <c r="AA1044" s="36"/>
      <c r="AB1044" s="36"/>
      <c r="AC1044" s="36"/>
    </row>
    <row r="1045" spans="1:29" ht="48" customHeight="1">
      <c r="A1045" s="81"/>
      <c r="B1045" s="81"/>
      <c r="C1045" s="81"/>
      <c r="D1045" s="81"/>
      <c r="E1045" s="80"/>
      <c r="F1045" s="620"/>
      <c r="G1045" s="620"/>
      <c r="H1045" s="94"/>
      <c r="I1045" s="81"/>
      <c r="J1045" s="36"/>
      <c r="K1045" s="36"/>
      <c r="L1045" s="36"/>
      <c r="M1045" s="36"/>
      <c r="N1045" s="36"/>
      <c r="O1045" s="36"/>
      <c r="P1045" s="36"/>
      <c r="Q1045" s="36"/>
      <c r="R1045" s="36"/>
      <c r="S1045" s="36"/>
      <c r="T1045" s="36"/>
      <c r="U1045" s="36"/>
      <c r="V1045" s="36"/>
      <c r="W1045" s="36"/>
      <c r="X1045" s="36"/>
      <c r="Y1045" s="36"/>
      <c r="Z1045" s="36"/>
      <c r="AA1045" s="36"/>
      <c r="AB1045" s="36"/>
      <c r="AC1045" s="36"/>
    </row>
    <row r="1046" spans="1:29" ht="24" customHeight="1">
      <c r="A1046" s="81"/>
      <c r="B1046" s="81"/>
      <c r="C1046" s="81"/>
      <c r="D1046" s="81"/>
      <c r="E1046" s="80"/>
      <c r="F1046" s="620"/>
      <c r="G1046" s="620"/>
      <c r="H1046" s="94"/>
      <c r="I1046" s="81"/>
      <c r="J1046" s="36"/>
      <c r="K1046" s="36"/>
      <c r="L1046" s="36"/>
      <c r="M1046" s="36"/>
      <c r="N1046" s="36"/>
      <c r="O1046" s="36"/>
      <c r="P1046" s="36"/>
      <c r="Q1046" s="36"/>
      <c r="R1046" s="36"/>
      <c r="S1046" s="36"/>
      <c r="T1046" s="36"/>
      <c r="U1046" s="36"/>
      <c r="V1046" s="36"/>
      <c r="W1046" s="36"/>
      <c r="X1046" s="36"/>
      <c r="Y1046" s="36"/>
      <c r="Z1046" s="36"/>
      <c r="AA1046" s="36"/>
      <c r="AB1046" s="36"/>
      <c r="AC1046" s="36"/>
    </row>
    <row r="1047" spans="1:29" ht="42.75" customHeight="1">
      <c r="A1047" s="81"/>
      <c r="B1047" s="81"/>
      <c r="C1047" s="81"/>
      <c r="D1047" s="81"/>
      <c r="E1047" s="80"/>
      <c r="F1047" s="620"/>
      <c r="G1047" s="620"/>
      <c r="H1047" s="94"/>
      <c r="I1047" s="81"/>
      <c r="J1047" s="36"/>
      <c r="K1047" s="36"/>
      <c r="L1047" s="36"/>
      <c r="M1047" s="36"/>
      <c r="N1047" s="36"/>
      <c r="O1047" s="36"/>
      <c r="P1047" s="36"/>
      <c r="Q1047" s="36"/>
      <c r="R1047" s="36"/>
      <c r="S1047" s="36"/>
      <c r="T1047" s="36"/>
      <c r="U1047" s="36"/>
      <c r="V1047" s="36"/>
      <c r="W1047" s="36"/>
      <c r="X1047" s="36"/>
      <c r="Y1047" s="36"/>
      <c r="Z1047" s="36"/>
      <c r="AA1047" s="36"/>
      <c r="AB1047" s="36"/>
      <c r="AC1047" s="36"/>
    </row>
    <row r="1048" spans="1:29" ht="24" customHeight="1">
      <c r="A1048" s="81"/>
      <c r="B1048" s="94"/>
      <c r="C1048" s="81"/>
      <c r="D1048" s="81"/>
      <c r="E1048" s="80"/>
      <c r="F1048" s="620"/>
      <c r="G1048" s="620"/>
      <c r="H1048" s="94"/>
      <c r="I1048" s="81"/>
      <c r="J1048" s="36"/>
      <c r="K1048" s="36"/>
      <c r="L1048" s="36"/>
      <c r="M1048" s="36"/>
      <c r="N1048" s="36"/>
      <c r="O1048" s="36"/>
      <c r="P1048" s="36"/>
      <c r="Q1048" s="36"/>
      <c r="R1048" s="36"/>
      <c r="S1048" s="36"/>
      <c r="T1048" s="36"/>
      <c r="U1048" s="36"/>
      <c r="V1048" s="36"/>
      <c r="W1048" s="36"/>
      <c r="X1048" s="36"/>
      <c r="Y1048" s="36"/>
      <c r="Z1048" s="36"/>
      <c r="AA1048" s="36"/>
      <c r="AB1048" s="36"/>
      <c r="AC1048" s="36"/>
    </row>
    <row r="1049" spans="1:29" ht="24" customHeight="1">
      <c r="A1049" s="81"/>
      <c r="B1049" s="81"/>
      <c r="C1049" s="81"/>
      <c r="D1049" s="81"/>
      <c r="E1049" s="80"/>
      <c r="F1049" s="620"/>
      <c r="G1049" s="620"/>
      <c r="H1049" s="94"/>
      <c r="I1049" s="81"/>
      <c r="J1049" s="36"/>
      <c r="K1049" s="36"/>
      <c r="L1049" s="36"/>
      <c r="M1049" s="36"/>
      <c r="N1049" s="36"/>
      <c r="O1049" s="36"/>
      <c r="P1049" s="36"/>
      <c r="Q1049" s="36"/>
      <c r="R1049" s="36"/>
      <c r="S1049" s="36"/>
      <c r="T1049" s="36"/>
      <c r="U1049" s="36"/>
      <c r="V1049" s="36"/>
      <c r="W1049" s="36"/>
      <c r="X1049" s="36"/>
      <c r="Y1049" s="36"/>
      <c r="Z1049" s="36"/>
      <c r="AA1049" s="36"/>
      <c r="AB1049" s="36"/>
      <c r="AC1049" s="36"/>
    </row>
    <row r="1050" spans="1:29" ht="36" customHeight="1">
      <c r="A1050" s="81"/>
      <c r="B1050" s="81"/>
      <c r="C1050" s="81"/>
      <c r="D1050" s="81"/>
      <c r="E1050" s="80"/>
      <c r="F1050" s="620"/>
      <c r="G1050" s="620"/>
      <c r="H1050" s="94"/>
      <c r="I1050" s="81"/>
      <c r="J1050" s="36"/>
      <c r="K1050" s="36"/>
      <c r="L1050" s="36"/>
      <c r="M1050" s="36"/>
      <c r="N1050" s="36"/>
      <c r="O1050" s="36"/>
      <c r="P1050" s="36"/>
      <c r="Q1050" s="36"/>
      <c r="R1050" s="36"/>
      <c r="S1050" s="36"/>
      <c r="T1050" s="36"/>
      <c r="U1050" s="36"/>
      <c r="V1050" s="36"/>
      <c r="W1050" s="36"/>
      <c r="X1050" s="36"/>
      <c r="Y1050" s="36"/>
      <c r="Z1050" s="36"/>
      <c r="AA1050" s="36"/>
      <c r="AB1050" s="36"/>
      <c r="AC1050" s="36"/>
    </row>
    <row r="1051" spans="1:29" ht="24" customHeight="1">
      <c r="A1051" s="81"/>
      <c r="B1051" s="81"/>
      <c r="C1051" s="81"/>
      <c r="D1051" s="81"/>
      <c r="E1051" s="80"/>
      <c r="F1051" s="620"/>
      <c r="G1051" s="620"/>
      <c r="H1051" s="94"/>
      <c r="I1051" s="81"/>
      <c r="J1051" s="36"/>
      <c r="K1051" s="36"/>
      <c r="L1051" s="36"/>
      <c r="M1051" s="36"/>
      <c r="N1051" s="36"/>
      <c r="O1051" s="36"/>
      <c r="P1051" s="36"/>
      <c r="Q1051" s="36"/>
      <c r="R1051" s="36"/>
      <c r="S1051" s="36"/>
      <c r="T1051" s="36"/>
      <c r="U1051" s="36"/>
      <c r="V1051" s="36"/>
      <c r="W1051" s="36"/>
      <c r="X1051" s="36"/>
      <c r="Y1051" s="36"/>
      <c r="Z1051" s="36"/>
      <c r="AA1051" s="36"/>
      <c r="AB1051" s="36"/>
      <c r="AC1051" s="36"/>
    </row>
    <row r="1052" spans="1:29" ht="24" customHeight="1">
      <c r="A1052" s="81"/>
      <c r="B1052" s="94"/>
      <c r="C1052" s="81"/>
      <c r="D1052" s="81"/>
      <c r="E1052" s="80"/>
      <c r="F1052" s="620"/>
      <c r="G1052" s="620"/>
      <c r="H1052" s="94"/>
      <c r="I1052" s="81"/>
      <c r="J1052" s="36"/>
      <c r="K1052" s="36"/>
      <c r="L1052" s="36"/>
      <c r="M1052" s="36"/>
      <c r="N1052" s="36"/>
      <c r="O1052" s="36"/>
      <c r="P1052" s="36"/>
      <c r="Q1052" s="36"/>
      <c r="R1052" s="36"/>
      <c r="S1052" s="36"/>
      <c r="T1052" s="36"/>
      <c r="U1052" s="36"/>
      <c r="V1052" s="36"/>
      <c r="W1052" s="36"/>
      <c r="X1052" s="36"/>
      <c r="Y1052" s="36"/>
      <c r="Z1052" s="36"/>
      <c r="AA1052" s="36"/>
      <c r="AB1052" s="36"/>
      <c r="AC1052" s="36"/>
    </row>
    <row r="1053" spans="1:29" ht="15" customHeight="1">
      <c r="A1053" s="81"/>
      <c r="B1053" s="81"/>
      <c r="C1053" s="81"/>
      <c r="D1053" s="81"/>
      <c r="E1053" s="80"/>
      <c r="F1053" s="620"/>
      <c r="G1053" s="620"/>
      <c r="H1053" s="94"/>
      <c r="I1053" s="81"/>
      <c r="J1053" s="35"/>
      <c r="K1053" s="36"/>
      <c r="L1053" s="36"/>
      <c r="M1053" s="36"/>
      <c r="N1053" s="36"/>
      <c r="O1053" s="36"/>
      <c r="P1053" s="36"/>
      <c r="Q1053" s="36"/>
      <c r="R1053" s="36"/>
      <c r="S1053" s="36"/>
      <c r="T1053" s="36"/>
      <c r="U1053" s="36"/>
      <c r="V1053" s="36"/>
      <c r="W1053" s="36"/>
      <c r="X1053" s="36"/>
      <c r="Y1053" s="36"/>
      <c r="Z1053" s="36"/>
      <c r="AA1053" s="36"/>
      <c r="AB1053" s="36"/>
      <c r="AC1053" s="36"/>
    </row>
    <row r="1054" spans="1:29" ht="15" customHeight="1">
      <c r="A1054" s="81"/>
      <c r="B1054" s="81"/>
      <c r="C1054" s="81"/>
      <c r="D1054" s="81"/>
      <c r="E1054" s="80"/>
      <c r="F1054" s="620"/>
      <c r="G1054" s="620"/>
      <c r="H1054" s="94"/>
      <c r="I1054" s="81"/>
      <c r="J1054" s="35"/>
      <c r="K1054" s="36"/>
      <c r="L1054" s="36"/>
      <c r="M1054" s="36"/>
      <c r="N1054" s="36"/>
      <c r="O1054" s="36"/>
      <c r="P1054" s="36"/>
      <c r="Q1054" s="36"/>
      <c r="R1054" s="36"/>
      <c r="S1054" s="36"/>
      <c r="T1054" s="36"/>
      <c r="U1054" s="36"/>
      <c r="V1054" s="36"/>
      <c r="W1054" s="36"/>
      <c r="X1054" s="36"/>
      <c r="Y1054" s="36"/>
      <c r="Z1054" s="36"/>
      <c r="AA1054" s="36"/>
      <c r="AB1054" s="36"/>
      <c r="AC1054" s="36"/>
    </row>
    <row r="1055" spans="1:29" ht="46.5" customHeight="1">
      <c r="A1055" s="81"/>
      <c r="B1055" s="81"/>
      <c r="C1055" s="81"/>
      <c r="D1055" s="81"/>
      <c r="E1055" s="80"/>
      <c r="F1055" s="620"/>
      <c r="G1055" s="620"/>
      <c r="H1055" s="94"/>
      <c r="I1055" s="81"/>
      <c r="J1055" s="35"/>
      <c r="K1055" s="36"/>
      <c r="L1055" s="36"/>
      <c r="M1055" s="36"/>
      <c r="N1055" s="36"/>
      <c r="O1055" s="36"/>
      <c r="P1055" s="36"/>
      <c r="Q1055" s="36"/>
      <c r="R1055" s="36"/>
      <c r="S1055" s="36"/>
      <c r="T1055" s="36"/>
      <c r="U1055" s="36"/>
      <c r="V1055" s="36"/>
      <c r="W1055" s="36"/>
      <c r="X1055" s="36"/>
      <c r="Y1055" s="36"/>
      <c r="Z1055" s="36"/>
      <c r="AA1055" s="36"/>
      <c r="AB1055" s="36"/>
      <c r="AC1055" s="36"/>
    </row>
    <row r="1056" spans="1:29" ht="34.5" customHeight="1">
      <c r="A1056" s="81"/>
      <c r="B1056" s="81"/>
      <c r="C1056" s="81"/>
      <c r="D1056" s="81"/>
      <c r="E1056" s="80"/>
      <c r="F1056" s="620"/>
      <c r="G1056" s="620"/>
      <c r="H1056" s="94"/>
      <c r="I1056" s="81"/>
      <c r="J1056" s="35"/>
      <c r="K1056" s="36"/>
      <c r="L1056" s="36"/>
      <c r="M1056" s="36"/>
      <c r="N1056" s="36"/>
      <c r="O1056" s="36"/>
      <c r="P1056" s="36"/>
      <c r="Q1056" s="36"/>
      <c r="R1056" s="36"/>
      <c r="S1056" s="36"/>
      <c r="T1056" s="36"/>
      <c r="U1056" s="36"/>
      <c r="V1056" s="36"/>
      <c r="W1056" s="36"/>
      <c r="X1056" s="36"/>
      <c r="Y1056" s="36"/>
      <c r="Z1056" s="36"/>
      <c r="AA1056" s="36"/>
      <c r="AB1056" s="36"/>
      <c r="AC1056" s="36"/>
    </row>
    <row r="1057" spans="1:29" ht="60" customHeight="1">
      <c r="A1057" s="81"/>
      <c r="B1057" s="81"/>
      <c r="C1057" s="81"/>
      <c r="D1057" s="81"/>
      <c r="E1057" s="80"/>
      <c r="F1057" s="620"/>
      <c r="G1057" s="620"/>
      <c r="H1057" s="94"/>
      <c r="I1057" s="81"/>
      <c r="J1057" s="35"/>
      <c r="K1057" s="36"/>
      <c r="L1057" s="36"/>
      <c r="M1057" s="36"/>
      <c r="N1057" s="36"/>
      <c r="O1057" s="36"/>
      <c r="P1057" s="36"/>
      <c r="Q1057" s="36"/>
      <c r="R1057" s="36"/>
      <c r="S1057" s="36"/>
      <c r="T1057" s="36"/>
      <c r="U1057" s="36"/>
      <c r="V1057" s="36"/>
      <c r="W1057" s="36"/>
      <c r="X1057" s="36"/>
      <c r="Y1057" s="36"/>
      <c r="Z1057" s="36"/>
      <c r="AA1057" s="36"/>
      <c r="AB1057" s="36"/>
      <c r="AC1057" s="36"/>
    </row>
    <row r="1058" spans="1:29" ht="24" customHeight="1">
      <c r="A1058" s="81"/>
      <c r="B1058" s="81"/>
      <c r="C1058" s="81"/>
      <c r="D1058" s="81"/>
      <c r="E1058" s="80"/>
      <c r="F1058" s="620"/>
      <c r="G1058" s="620"/>
      <c r="H1058" s="94"/>
      <c r="I1058" s="81"/>
      <c r="J1058" s="35"/>
      <c r="K1058" s="36"/>
      <c r="L1058" s="36"/>
      <c r="M1058" s="36"/>
      <c r="N1058" s="36"/>
      <c r="O1058" s="36"/>
      <c r="P1058" s="36"/>
      <c r="Q1058" s="36"/>
      <c r="R1058" s="36"/>
      <c r="S1058" s="36"/>
      <c r="T1058" s="36"/>
      <c r="U1058" s="36"/>
      <c r="V1058" s="36"/>
      <c r="W1058" s="36"/>
      <c r="X1058" s="36"/>
      <c r="Y1058" s="36"/>
      <c r="Z1058" s="36"/>
      <c r="AA1058" s="36"/>
      <c r="AB1058" s="36"/>
      <c r="AC1058" s="36"/>
    </row>
    <row r="1059" spans="1:29" ht="48" customHeight="1">
      <c r="A1059" s="81"/>
      <c r="B1059" s="81"/>
      <c r="C1059" s="81"/>
      <c r="D1059" s="81"/>
      <c r="E1059" s="80"/>
      <c r="F1059" s="620"/>
      <c r="G1059" s="620"/>
      <c r="H1059" s="94"/>
      <c r="I1059" s="81"/>
      <c r="J1059" s="35"/>
      <c r="K1059" s="36"/>
      <c r="L1059" s="36"/>
      <c r="M1059" s="36"/>
      <c r="N1059" s="36"/>
      <c r="O1059" s="36"/>
      <c r="P1059" s="36"/>
      <c r="Q1059" s="36"/>
      <c r="R1059" s="36"/>
      <c r="S1059" s="36"/>
      <c r="T1059" s="36"/>
      <c r="U1059" s="36"/>
      <c r="V1059" s="36"/>
      <c r="W1059" s="36"/>
      <c r="X1059" s="36"/>
      <c r="Y1059" s="36"/>
      <c r="Z1059" s="36"/>
      <c r="AA1059" s="36"/>
      <c r="AB1059" s="36"/>
      <c r="AC1059" s="36"/>
    </row>
    <row r="1060" spans="1:29" ht="36" customHeight="1">
      <c r="A1060" s="81"/>
      <c r="B1060" s="81"/>
      <c r="C1060" s="81"/>
      <c r="D1060" s="81"/>
      <c r="E1060" s="80"/>
      <c r="F1060" s="620"/>
      <c r="G1060" s="620"/>
      <c r="H1060" s="94"/>
      <c r="I1060" s="81"/>
      <c r="J1060" s="35"/>
      <c r="K1060" s="36"/>
      <c r="L1060" s="36"/>
      <c r="M1060" s="36"/>
      <c r="N1060" s="36"/>
      <c r="O1060" s="36"/>
      <c r="P1060" s="36"/>
      <c r="Q1060" s="36"/>
      <c r="R1060" s="36"/>
      <c r="S1060" s="36"/>
      <c r="T1060" s="36"/>
      <c r="U1060" s="36"/>
      <c r="V1060" s="36"/>
      <c r="W1060" s="36"/>
      <c r="X1060" s="36"/>
      <c r="Y1060" s="36"/>
      <c r="Z1060" s="36"/>
      <c r="AA1060" s="36"/>
      <c r="AB1060" s="36"/>
      <c r="AC1060" s="36"/>
    </row>
    <row r="1061" spans="1:29" ht="24" customHeight="1">
      <c r="A1061" s="81"/>
      <c r="B1061" s="81"/>
      <c r="C1061" s="81"/>
      <c r="D1061" s="81"/>
      <c r="E1061" s="80"/>
      <c r="F1061" s="620"/>
      <c r="G1061" s="620"/>
      <c r="H1061" s="94"/>
      <c r="I1061" s="81"/>
      <c r="J1061" s="35"/>
      <c r="K1061" s="36"/>
      <c r="L1061" s="36"/>
      <c r="M1061" s="36"/>
      <c r="N1061" s="36"/>
      <c r="O1061" s="36"/>
      <c r="P1061" s="36"/>
      <c r="Q1061" s="36"/>
      <c r="R1061" s="36"/>
      <c r="S1061" s="36"/>
      <c r="T1061" s="36"/>
      <c r="U1061" s="36"/>
      <c r="V1061" s="36"/>
      <c r="W1061" s="36"/>
      <c r="X1061" s="36"/>
      <c r="Y1061" s="36"/>
      <c r="Z1061" s="36"/>
      <c r="AA1061" s="36"/>
      <c r="AB1061" s="36"/>
      <c r="AC1061" s="36"/>
    </row>
    <row r="1062" spans="1:29" ht="24" customHeight="1">
      <c r="A1062" s="81"/>
      <c r="B1062" s="81"/>
      <c r="C1062" s="81"/>
      <c r="D1062" s="81"/>
      <c r="E1062" s="80"/>
      <c r="F1062" s="620"/>
      <c r="G1062" s="620"/>
      <c r="H1062" s="94"/>
      <c r="I1062" s="81"/>
      <c r="J1062" s="35"/>
      <c r="K1062" s="36"/>
      <c r="L1062" s="36"/>
      <c r="M1062" s="36"/>
      <c r="N1062" s="36"/>
      <c r="O1062" s="36"/>
      <c r="P1062" s="36"/>
      <c r="Q1062" s="36"/>
      <c r="R1062" s="36"/>
      <c r="S1062" s="36"/>
      <c r="T1062" s="36"/>
      <c r="U1062" s="36"/>
      <c r="V1062" s="36"/>
      <c r="W1062" s="36"/>
      <c r="X1062" s="36"/>
      <c r="Y1062" s="36"/>
      <c r="Z1062" s="36"/>
      <c r="AA1062" s="36"/>
      <c r="AB1062" s="36"/>
      <c r="AC1062" s="36"/>
    </row>
    <row r="1063" spans="1:29" ht="24" customHeight="1">
      <c r="A1063" s="81"/>
      <c r="B1063" s="81"/>
      <c r="C1063" s="81"/>
      <c r="D1063" s="81"/>
      <c r="E1063" s="80"/>
      <c r="F1063" s="620"/>
      <c r="G1063" s="620"/>
      <c r="H1063" s="94"/>
      <c r="I1063" s="81"/>
      <c r="J1063" s="35"/>
      <c r="K1063" s="36"/>
      <c r="L1063" s="36"/>
      <c r="M1063" s="36"/>
      <c r="N1063" s="36"/>
      <c r="O1063" s="36"/>
      <c r="P1063" s="36"/>
      <c r="Q1063" s="36"/>
      <c r="R1063" s="36"/>
      <c r="S1063" s="36"/>
      <c r="T1063" s="36"/>
      <c r="U1063" s="36"/>
      <c r="V1063" s="36"/>
      <c r="W1063" s="36"/>
      <c r="X1063" s="36"/>
      <c r="Y1063" s="36"/>
      <c r="Z1063" s="36"/>
      <c r="AA1063" s="36"/>
      <c r="AB1063" s="36"/>
      <c r="AC1063" s="36"/>
    </row>
    <row r="1064" spans="1:29" ht="24" customHeight="1">
      <c r="A1064" s="81"/>
      <c r="B1064" s="81"/>
      <c r="C1064" s="81"/>
      <c r="D1064" s="81"/>
      <c r="E1064" s="80"/>
      <c r="F1064" s="620"/>
      <c r="G1064" s="620"/>
      <c r="H1064" s="94"/>
      <c r="I1064" s="81"/>
      <c r="J1064" s="35"/>
      <c r="K1064" s="36"/>
      <c r="L1064" s="36"/>
      <c r="M1064" s="36"/>
      <c r="N1064" s="36"/>
      <c r="O1064" s="36"/>
      <c r="P1064" s="36"/>
      <c r="Q1064" s="36"/>
      <c r="R1064" s="36"/>
      <c r="S1064" s="36"/>
      <c r="T1064" s="36"/>
      <c r="U1064" s="36"/>
      <c r="V1064" s="36"/>
      <c r="W1064" s="36"/>
      <c r="X1064" s="36"/>
      <c r="Y1064" s="36"/>
      <c r="Z1064" s="36"/>
      <c r="AA1064" s="36"/>
      <c r="AB1064" s="36"/>
      <c r="AC1064" s="36"/>
    </row>
    <row r="1065" spans="1:29" ht="24" customHeight="1">
      <c r="A1065" s="81"/>
      <c r="B1065" s="81"/>
      <c r="C1065" s="81"/>
      <c r="D1065" s="81"/>
      <c r="E1065" s="80"/>
      <c r="F1065" s="620"/>
      <c r="G1065" s="620"/>
      <c r="H1065" s="94"/>
      <c r="I1065" s="81"/>
      <c r="J1065" s="35"/>
      <c r="K1065" s="36"/>
      <c r="L1065" s="36"/>
      <c r="M1065" s="36"/>
      <c r="N1065" s="36"/>
      <c r="O1065" s="36"/>
      <c r="P1065" s="36"/>
      <c r="Q1065" s="36"/>
      <c r="R1065" s="36"/>
      <c r="S1065" s="36"/>
      <c r="T1065" s="36"/>
      <c r="U1065" s="36"/>
      <c r="V1065" s="36"/>
      <c r="W1065" s="36"/>
      <c r="X1065" s="36"/>
      <c r="Y1065" s="36"/>
      <c r="Z1065" s="36"/>
      <c r="AA1065" s="36"/>
      <c r="AB1065" s="36"/>
      <c r="AC1065" s="36"/>
    </row>
    <row r="1066" spans="1:29" ht="24" customHeight="1">
      <c r="A1066" s="81"/>
      <c r="B1066" s="81"/>
      <c r="C1066" s="81"/>
      <c r="D1066" s="81"/>
      <c r="E1066" s="80"/>
      <c r="F1066" s="620"/>
      <c r="G1066" s="620"/>
      <c r="H1066" s="94"/>
      <c r="I1066" s="81"/>
      <c r="J1066" s="35"/>
      <c r="K1066" s="36"/>
      <c r="L1066" s="36"/>
      <c r="M1066" s="36"/>
      <c r="N1066" s="36"/>
      <c r="O1066" s="36"/>
      <c r="P1066" s="36"/>
      <c r="Q1066" s="36"/>
      <c r="R1066" s="36"/>
      <c r="S1066" s="36"/>
      <c r="T1066" s="36"/>
      <c r="U1066" s="36"/>
      <c r="V1066" s="36"/>
      <c r="W1066" s="36"/>
      <c r="X1066" s="36"/>
      <c r="Y1066" s="36"/>
      <c r="Z1066" s="36"/>
      <c r="AA1066" s="36"/>
      <c r="AB1066" s="36"/>
      <c r="AC1066" s="36"/>
    </row>
    <row r="1067" spans="1:29" ht="24" customHeight="1">
      <c r="A1067" s="81"/>
      <c r="B1067" s="81"/>
      <c r="C1067" s="81"/>
      <c r="D1067" s="81"/>
      <c r="E1067" s="80"/>
      <c r="F1067" s="620"/>
      <c r="G1067" s="620"/>
      <c r="H1067" s="94"/>
      <c r="I1067" s="81"/>
      <c r="J1067" s="35"/>
      <c r="K1067" s="36"/>
      <c r="L1067" s="36"/>
      <c r="M1067" s="36"/>
      <c r="N1067" s="36"/>
      <c r="O1067" s="36"/>
      <c r="P1067" s="36"/>
      <c r="Q1067" s="36"/>
      <c r="R1067" s="36"/>
      <c r="S1067" s="36"/>
      <c r="T1067" s="36"/>
      <c r="U1067" s="36"/>
      <c r="V1067" s="36"/>
      <c r="W1067" s="36"/>
      <c r="X1067" s="36"/>
      <c r="Y1067" s="36"/>
      <c r="Z1067" s="36"/>
      <c r="AA1067" s="36"/>
      <c r="AB1067" s="36"/>
      <c r="AC1067" s="36"/>
    </row>
    <row r="1068" spans="1:29" ht="24" customHeight="1">
      <c r="A1068" s="81"/>
      <c r="B1068" s="81"/>
      <c r="C1068" s="81"/>
      <c r="D1068" s="81"/>
      <c r="E1068" s="80"/>
      <c r="F1068" s="620"/>
      <c r="G1068" s="620"/>
      <c r="H1068" s="94"/>
      <c r="I1068" s="81"/>
      <c r="J1068" s="35"/>
      <c r="K1068" s="36"/>
      <c r="L1068" s="36"/>
      <c r="M1068" s="36"/>
      <c r="N1068" s="36"/>
      <c r="O1068" s="36"/>
      <c r="P1068" s="36"/>
      <c r="Q1068" s="36"/>
      <c r="R1068" s="36"/>
      <c r="S1068" s="36"/>
      <c r="T1068" s="36"/>
      <c r="U1068" s="36"/>
      <c r="V1068" s="36"/>
      <c r="W1068" s="36"/>
      <c r="X1068" s="36"/>
      <c r="Y1068" s="36"/>
      <c r="Z1068" s="36"/>
      <c r="AA1068" s="36"/>
      <c r="AB1068" s="36"/>
      <c r="AC1068" s="36"/>
    </row>
    <row r="1069" spans="1:29" ht="24" customHeight="1">
      <c r="A1069" s="81"/>
      <c r="B1069" s="81"/>
      <c r="C1069" s="81"/>
      <c r="D1069" s="81"/>
      <c r="E1069" s="80"/>
      <c r="F1069" s="620"/>
      <c r="G1069" s="620"/>
      <c r="H1069" s="94"/>
      <c r="I1069" s="81"/>
      <c r="J1069" s="35"/>
      <c r="K1069" s="36"/>
      <c r="L1069" s="36"/>
      <c r="M1069" s="36"/>
      <c r="N1069" s="36"/>
      <c r="O1069" s="36"/>
      <c r="P1069" s="36"/>
      <c r="Q1069" s="36"/>
      <c r="R1069" s="36"/>
      <c r="S1069" s="36"/>
      <c r="T1069" s="36"/>
      <c r="U1069" s="36"/>
      <c r="V1069" s="36"/>
      <c r="W1069" s="36"/>
      <c r="X1069" s="36"/>
      <c r="Y1069" s="36"/>
      <c r="Z1069" s="36"/>
      <c r="AA1069" s="36"/>
      <c r="AB1069" s="36"/>
      <c r="AC1069" s="36"/>
    </row>
    <row r="1070" spans="1:29" ht="36" customHeight="1">
      <c r="A1070" s="81"/>
      <c r="B1070" s="81"/>
      <c r="C1070" s="81"/>
      <c r="D1070" s="81"/>
      <c r="E1070" s="80"/>
      <c r="F1070" s="620"/>
      <c r="G1070" s="620"/>
      <c r="H1070" s="94"/>
      <c r="I1070" s="81"/>
      <c r="J1070" s="35"/>
      <c r="K1070" s="36"/>
      <c r="L1070" s="36"/>
      <c r="M1070" s="36"/>
      <c r="N1070" s="36"/>
      <c r="O1070" s="36"/>
      <c r="P1070" s="36"/>
      <c r="Q1070" s="36"/>
      <c r="R1070" s="36"/>
      <c r="S1070" s="36"/>
      <c r="T1070" s="36"/>
      <c r="U1070" s="36"/>
      <c r="V1070" s="36"/>
      <c r="W1070" s="36"/>
      <c r="X1070" s="36"/>
      <c r="Y1070" s="36"/>
      <c r="Z1070" s="36"/>
      <c r="AA1070" s="36"/>
      <c r="AB1070" s="36"/>
      <c r="AC1070" s="36"/>
    </row>
    <row r="1071" spans="1:29" ht="48" customHeight="1">
      <c r="A1071" s="81"/>
      <c r="B1071" s="81"/>
      <c r="C1071" s="81"/>
      <c r="D1071" s="81"/>
      <c r="E1071" s="80"/>
      <c r="F1071" s="620"/>
      <c r="G1071" s="620"/>
      <c r="H1071" s="94"/>
      <c r="I1071" s="81"/>
      <c r="J1071" s="35"/>
      <c r="K1071" s="36"/>
      <c r="L1071" s="36"/>
      <c r="M1071" s="36"/>
      <c r="N1071" s="36"/>
      <c r="O1071" s="36"/>
      <c r="P1071" s="36"/>
      <c r="Q1071" s="36"/>
      <c r="R1071" s="36"/>
      <c r="S1071" s="36"/>
      <c r="T1071" s="36"/>
      <c r="U1071" s="36"/>
      <c r="V1071" s="36"/>
      <c r="W1071" s="36"/>
      <c r="X1071" s="36"/>
      <c r="Y1071" s="36"/>
      <c r="Z1071" s="36"/>
      <c r="AA1071" s="36"/>
      <c r="AB1071" s="36"/>
      <c r="AC1071" s="36"/>
    </row>
    <row r="1072" spans="1:29" ht="12" customHeight="1">
      <c r="A1072" s="81"/>
      <c r="B1072" s="81"/>
      <c r="C1072" s="81"/>
      <c r="D1072" s="81"/>
      <c r="E1072" s="80"/>
      <c r="F1072" s="620"/>
      <c r="G1072" s="620"/>
      <c r="H1072" s="94"/>
      <c r="I1072" s="81"/>
      <c r="J1072" s="35"/>
      <c r="K1072" s="36"/>
      <c r="L1072" s="36"/>
      <c r="M1072" s="36"/>
      <c r="N1072" s="36"/>
      <c r="O1072" s="36"/>
      <c r="P1072" s="36"/>
      <c r="Q1072" s="36"/>
      <c r="R1072" s="36"/>
      <c r="S1072" s="36"/>
      <c r="T1072" s="36"/>
      <c r="U1072" s="36"/>
      <c r="V1072" s="36"/>
      <c r="W1072" s="36"/>
      <c r="X1072" s="36"/>
      <c r="Y1072" s="36"/>
      <c r="Z1072" s="36"/>
      <c r="AA1072" s="36"/>
      <c r="AB1072" s="36"/>
      <c r="AC1072" s="36"/>
    </row>
    <row r="1073" spans="1:29" ht="12" customHeight="1">
      <c r="A1073" s="81"/>
      <c r="B1073" s="81"/>
      <c r="C1073" s="81"/>
      <c r="D1073" s="81"/>
      <c r="E1073" s="80"/>
      <c r="F1073" s="620"/>
      <c r="G1073" s="620"/>
      <c r="H1073" s="94"/>
      <c r="I1073" s="81"/>
      <c r="J1073" s="35"/>
      <c r="K1073" s="36"/>
      <c r="L1073" s="36"/>
      <c r="M1073" s="36"/>
      <c r="N1073" s="36"/>
      <c r="O1073" s="36"/>
      <c r="P1073" s="36"/>
      <c r="Q1073" s="36"/>
      <c r="R1073" s="36"/>
      <c r="S1073" s="36"/>
      <c r="T1073" s="36"/>
      <c r="U1073" s="36"/>
      <c r="V1073" s="36"/>
      <c r="W1073" s="36"/>
      <c r="X1073" s="36"/>
      <c r="Y1073" s="36"/>
      <c r="Z1073" s="36"/>
      <c r="AA1073" s="36"/>
      <c r="AB1073" s="36"/>
      <c r="AC1073" s="36"/>
    </row>
    <row r="1074" spans="1:29" ht="36" customHeight="1">
      <c r="A1074" s="81"/>
      <c r="B1074" s="81"/>
      <c r="C1074" s="81"/>
      <c r="D1074" s="81"/>
      <c r="E1074" s="80"/>
      <c r="F1074" s="620"/>
      <c r="G1074" s="620"/>
      <c r="H1074" s="94"/>
      <c r="I1074" s="81"/>
      <c r="J1074" s="35"/>
      <c r="K1074" s="36"/>
      <c r="L1074" s="36"/>
      <c r="M1074" s="36"/>
      <c r="N1074" s="36"/>
      <c r="O1074" s="36"/>
      <c r="P1074" s="36"/>
      <c r="Q1074" s="36"/>
      <c r="R1074" s="36"/>
      <c r="S1074" s="36"/>
      <c r="T1074" s="36"/>
      <c r="U1074" s="36"/>
      <c r="V1074" s="36"/>
      <c r="W1074" s="36"/>
      <c r="X1074" s="36"/>
      <c r="Y1074" s="36"/>
      <c r="Z1074" s="36"/>
      <c r="AA1074" s="36"/>
      <c r="AB1074" s="36"/>
      <c r="AC1074" s="36"/>
    </row>
    <row r="1075" spans="1:29" ht="36" customHeight="1">
      <c r="A1075" s="81"/>
      <c r="B1075" s="81"/>
      <c r="C1075" s="81"/>
      <c r="D1075" s="81"/>
      <c r="E1075" s="80"/>
      <c r="F1075" s="620"/>
      <c r="G1075" s="620"/>
      <c r="H1075" s="94"/>
      <c r="I1075" s="81"/>
      <c r="J1075" s="35"/>
      <c r="K1075" s="36"/>
      <c r="L1075" s="36"/>
      <c r="M1075" s="36"/>
      <c r="N1075" s="36"/>
      <c r="O1075" s="36"/>
      <c r="P1075" s="36"/>
      <c r="Q1075" s="36"/>
      <c r="R1075" s="36"/>
      <c r="S1075" s="36"/>
      <c r="T1075" s="36"/>
      <c r="U1075" s="36"/>
      <c r="V1075" s="36"/>
      <c r="W1075" s="36"/>
      <c r="X1075" s="36"/>
      <c r="Y1075" s="36"/>
      <c r="Z1075" s="36"/>
      <c r="AA1075" s="36"/>
      <c r="AB1075" s="36"/>
      <c r="AC1075" s="36"/>
    </row>
    <row r="1076" spans="1:29" ht="36" customHeight="1">
      <c r="A1076" s="81"/>
      <c r="B1076" s="81"/>
      <c r="C1076" s="81"/>
      <c r="D1076" s="81"/>
      <c r="E1076" s="80"/>
      <c r="F1076" s="620"/>
      <c r="G1076" s="620"/>
      <c r="H1076" s="94"/>
      <c r="I1076" s="81"/>
      <c r="J1076" s="35"/>
      <c r="K1076" s="36"/>
      <c r="L1076" s="36"/>
      <c r="M1076" s="36"/>
      <c r="N1076" s="36"/>
      <c r="O1076" s="36"/>
      <c r="P1076" s="36"/>
      <c r="Q1076" s="36"/>
      <c r="R1076" s="36"/>
      <c r="S1076" s="36"/>
      <c r="T1076" s="36"/>
      <c r="U1076" s="36"/>
      <c r="V1076" s="36"/>
      <c r="W1076" s="36"/>
      <c r="X1076" s="36"/>
      <c r="Y1076" s="36"/>
      <c r="Z1076" s="36"/>
      <c r="AA1076" s="36"/>
      <c r="AB1076" s="36"/>
      <c r="AC1076" s="36"/>
    </row>
    <row r="1077" spans="1:29" ht="36" customHeight="1">
      <c r="A1077" s="81"/>
      <c r="B1077" s="81"/>
      <c r="C1077" s="81"/>
      <c r="D1077" s="81"/>
      <c r="E1077" s="80"/>
      <c r="F1077" s="620"/>
      <c r="G1077" s="620"/>
      <c r="H1077" s="94"/>
      <c r="I1077" s="81"/>
      <c r="J1077" s="35"/>
      <c r="K1077" s="36"/>
      <c r="L1077" s="36"/>
      <c r="M1077" s="36"/>
      <c r="N1077" s="36"/>
      <c r="O1077" s="36"/>
      <c r="P1077" s="36"/>
      <c r="Q1077" s="36"/>
      <c r="R1077" s="36"/>
      <c r="S1077" s="36"/>
      <c r="T1077" s="36"/>
      <c r="U1077" s="36"/>
      <c r="V1077" s="36"/>
      <c r="W1077" s="36"/>
      <c r="X1077" s="36"/>
      <c r="Y1077" s="36"/>
      <c r="Z1077" s="36"/>
      <c r="AA1077" s="36"/>
      <c r="AB1077" s="36"/>
      <c r="AC1077" s="36"/>
    </row>
    <row r="1078" spans="1:29" ht="24" customHeight="1">
      <c r="A1078" s="81"/>
      <c r="B1078" s="81"/>
      <c r="C1078" s="81"/>
      <c r="D1078" s="81"/>
      <c r="E1078" s="80"/>
      <c r="F1078" s="620"/>
      <c r="G1078" s="620"/>
      <c r="H1078" s="94"/>
      <c r="I1078" s="81"/>
      <c r="J1078" s="35"/>
      <c r="K1078" s="36"/>
      <c r="L1078" s="36"/>
      <c r="M1078" s="36"/>
      <c r="N1078" s="36"/>
      <c r="O1078" s="36"/>
      <c r="P1078" s="36"/>
      <c r="Q1078" s="36"/>
      <c r="R1078" s="36"/>
      <c r="S1078" s="36"/>
      <c r="T1078" s="36"/>
      <c r="U1078" s="36"/>
      <c r="V1078" s="36"/>
      <c r="W1078" s="36"/>
      <c r="X1078" s="36"/>
      <c r="Y1078" s="36"/>
      <c r="Z1078" s="36"/>
      <c r="AA1078" s="36"/>
      <c r="AB1078" s="36"/>
      <c r="AC1078" s="36"/>
    </row>
    <row r="1079" spans="1:29" ht="24" customHeight="1">
      <c r="A1079" s="81"/>
      <c r="B1079" s="81"/>
      <c r="C1079" s="81"/>
      <c r="D1079" s="81"/>
      <c r="E1079" s="80"/>
      <c r="F1079" s="620"/>
      <c r="G1079" s="620"/>
      <c r="H1079" s="94"/>
      <c r="I1079" s="81"/>
      <c r="J1079" s="35"/>
      <c r="K1079" s="36"/>
      <c r="L1079" s="36"/>
      <c r="M1079" s="36"/>
      <c r="N1079" s="36"/>
      <c r="O1079" s="36"/>
      <c r="P1079" s="36"/>
      <c r="Q1079" s="36"/>
      <c r="R1079" s="36"/>
      <c r="S1079" s="36"/>
      <c r="T1079" s="36"/>
      <c r="U1079" s="36"/>
      <c r="V1079" s="36"/>
      <c r="W1079" s="36"/>
      <c r="X1079" s="36"/>
      <c r="Y1079" s="36"/>
      <c r="Z1079" s="36"/>
      <c r="AA1079" s="36"/>
      <c r="AB1079" s="36"/>
      <c r="AC1079" s="36"/>
    </row>
    <row r="1080" spans="1:29" ht="24" customHeight="1">
      <c r="A1080" s="81"/>
      <c r="B1080" s="81"/>
      <c r="C1080" s="81"/>
      <c r="D1080" s="81"/>
      <c r="E1080" s="80"/>
      <c r="F1080" s="620"/>
      <c r="G1080" s="620"/>
      <c r="H1080" s="94"/>
      <c r="I1080" s="81"/>
      <c r="J1080" s="35"/>
      <c r="K1080" s="36"/>
      <c r="L1080" s="36"/>
      <c r="M1080" s="36"/>
      <c r="N1080" s="36"/>
      <c r="O1080" s="36"/>
      <c r="P1080" s="36"/>
      <c r="Q1080" s="36"/>
      <c r="R1080" s="36"/>
      <c r="S1080" s="36"/>
      <c r="T1080" s="36"/>
      <c r="U1080" s="36"/>
      <c r="V1080" s="36"/>
      <c r="W1080" s="36"/>
      <c r="X1080" s="36"/>
      <c r="Y1080" s="36"/>
      <c r="Z1080" s="36"/>
      <c r="AA1080" s="36"/>
      <c r="AB1080" s="36"/>
      <c r="AC1080" s="36"/>
    </row>
    <row r="1081" spans="1:29" ht="24" customHeight="1">
      <c r="A1081" s="81"/>
      <c r="B1081" s="81"/>
      <c r="C1081" s="81"/>
      <c r="D1081" s="81"/>
      <c r="E1081" s="80"/>
      <c r="F1081" s="620"/>
      <c r="G1081" s="620"/>
      <c r="H1081" s="94"/>
      <c r="I1081" s="81"/>
      <c r="J1081" s="35"/>
      <c r="K1081" s="36"/>
      <c r="L1081" s="36"/>
      <c r="M1081" s="36"/>
      <c r="N1081" s="36"/>
      <c r="O1081" s="36"/>
      <c r="P1081" s="36"/>
      <c r="Q1081" s="36"/>
      <c r="R1081" s="36"/>
      <c r="S1081" s="36"/>
      <c r="T1081" s="36"/>
      <c r="U1081" s="36"/>
      <c r="V1081" s="36"/>
      <c r="W1081" s="36"/>
      <c r="X1081" s="36"/>
      <c r="Y1081" s="36"/>
      <c r="Z1081" s="36"/>
      <c r="AA1081" s="36"/>
      <c r="AB1081" s="36"/>
      <c r="AC1081" s="36"/>
    </row>
    <row r="1082" spans="1:29" ht="36" customHeight="1">
      <c r="A1082" s="81"/>
      <c r="B1082" s="81"/>
      <c r="C1082" s="81"/>
      <c r="D1082" s="81"/>
      <c r="E1082" s="80"/>
      <c r="F1082" s="620"/>
      <c r="G1082" s="620"/>
      <c r="H1082" s="94"/>
      <c r="I1082" s="81"/>
      <c r="J1082" s="35"/>
      <c r="K1082" s="36"/>
      <c r="L1082" s="36"/>
      <c r="M1082" s="36"/>
      <c r="N1082" s="36"/>
      <c r="O1082" s="36"/>
      <c r="P1082" s="36"/>
      <c r="Q1082" s="36"/>
      <c r="R1082" s="36"/>
      <c r="S1082" s="36"/>
      <c r="T1082" s="36"/>
      <c r="U1082" s="36"/>
      <c r="V1082" s="36"/>
      <c r="W1082" s="36"/>
      <c r="X1082" s="36"/>
      <c r="Y1082" s="36"/>
      <c r="Z1082" s="36"/>
      <c r="AA1082" s="36"/>
      <c r="AB1082" s="36"/>
      <c r="AC1082" s="36"/>
    </row>
    <row r="1083" spans="1:29" ht="24" customHeight="1">
      <c r="A1083" s="81"/>
      <c r="B1083" s="81"/>
      <c r="C1083" s="81"/>
      <c r="D1083" s="81"/>
      <c r="E1083" s="80"/>
      <c r="F1083" s="620"/>
      <c r="G1083" s="620"/>
      <c r="H1083" s="94"/>
      <c r="I1083" s="81"/>
      <c r="J1083" s="35"/>
      <c r="K1083" s="36"/>
      <c r="L1083" s="36"/>
      <c r="M1083" s="36"/>
      <c r="N1083" s="36"/>
      <c r="O1083" s="36"/>
      <c r="P1083" s="36"/>
      <c r="Q1083" s="36"/>
      <c r="R1083" s="36"/>
      <c r="S1083" s="36"/>
      <c r="T1083" s="36"/>
      <c r="U1083" s="36"/>
      <c r="V1083" s="36"/>
      <c r="W1083" s="36"/>
      <c r="X1083" s="36"/>
      <c r="Y1083" s="36"/>
      <c r="Z1083" s="36"/>
      <c r="AA1083" s="36"/>
      <c r="AB1083" s="36"/>
      <c r="AC1083" s="36"/>
    </row>
    <row r="1084" spans="1:29" ht="48" customHeight="1">
      <c r="A1084" s="81"/>
      <c r="B1084" s="94"/>
      <c r="C1084" s="81"/>
      <c r="D1084" s="81"/>
      <c r="E1084" s="80"/>
      <c r="F1084" s="620"/>
      <c r="G1084" s="620"/>
      <c r="H1084" s="94"/>
      <c r="I1084" s="81"/>
      <c r="J1084" s="35"/>
      <c r="K1084" s="36"/>
      <c r="L1084" s="36"/>
      <c r="M1084" s="36"/>
      <c r="N1084" s="36"/>
      <c r="O1084" s="36"/>
      <c r="P1084" s="36"/>
      <c r="Q1084" s="36"/>
      <c r="R1084" s="36"/>
      <c r="S1084" s="36"/>
      <c r="T1084" s="36"/>
      <c r="U1084" s="36"/>
      <c r="V1084" s="36"/>
      <c r="W1084" s="36"/>
      <c r="X1084" s="36"/>
      <c r="Y1084" s="36"/>
      <c r="Z1084" s="36"/>
      <c r="AA1084" s="36"/>
      <c r="AB1084" s="36"/>
      <c r="AC1084" s="36"/>
    </row>
    <row r="1085" spans="1:29" ht="24" customHeight="1">
      <c r="A1085" s="81"/>
      <c r="B1085" s="81"/>
      <c r="C1085" s="81"/>
      <c r="D1085" s="81"/>
      <c r="E1085" s="80"/>
      <c r="F1085" s="620"/>
      <c r="G1085" s="620"/>
      <c r="H1085" s="94"/>
      <c r="I1085" s="81"/>
      <c r="J1085" s="35"/>
      <c r="K1085" s="36"/>
      <c r="L1085" s="36"/>
      <c r="M1085" s="36"/>
      <c r="N1085" s="36"/>
      <c r="O1085" s="36"/>
      <c r="P1085" s="36"/>
      <c r="Q1085" s="36"/>
      <c r="R1085" s="36"/>
      <c r="S1085" s="36"/>
      <c r="T1085" s="36"/>
      <c r="U1085" s="36"/>
      <c r="V1085" s="36"/>
      <c r="W1085" s="36"/>
      <c r="X1085" s="36"/>
      <c r="Y1085" s="36"/>
      <c r="Z1085" s="36"/>
      <c r="AA1085" s="36"/>
      <c r="AB1085" s="36"/>
      <c r="AC1085" s="36"/>
    </row>
    <row r="1086" spans="1:29" ht="12" customHeight="1">
      <c r="A1086" s="81"/>
      <c r="B1086" s="81"/>
      <c r="C1086" s="81"/>
      <c r="D1086" s="81"/>
      <c r="E1086" s="80"/>
      <c r="F1086" s="620"/>
      <c r="G1086" s="620"/>
      <c r="H1086" s="94"/>
      <c r="I1086" s="81"/>
      <c r="J1086" s="35"/>
      <c r="K1086" s="36"/>
      <c r="L1086" s="36"/>
      <c r="M1086" s="36"/>
      <c r="N1086" s="36"/>
      <c r="O1086" s="36"/>
      <c r="P1086" s="36"/>
      <c r="Q1086" s="36"/>
      <c r="R1086" s="36"/>
      <c r="S1086" s="36"/>
      <c r="T1086" s="36"/>
      <c r="U1086" s="36"/>
      <c r="V1086" s="36"/>
      <c r="W1086" s="36"/>
      <c r="X1086" s="36"/>
      <c r="Y1086" s="36"/>
      <c r="Z1086" s="36"/>
      <c r="AA1086" s="36"/>
      <c r="AB1086" s="36"/>
      <c r="AC1086" s="36"/>
    </row>
    <row r="1087" spans="1:29" ht="24" customHeight="1">
      <c r="A1087" s="81"/>
      <c r="B1087" s="81"/>
      <c r="C1087" s="81"/>
      <c r="D1087" s="81"/>
      <c r="E1087" s="80"/>
      <c r="F1087" s="620"/>
      <c r="G1087" s="620"/>
      <c r="H1087" s="94"/>
      <c r="I1087" s="81"/>
      <c r="J1087" s="35"/>
      <c r="K1087" s="36"/>
      <c r="L1087" s="36"/>
      <c r="M1087" s="36"/>
      <c r="N1087" s="36"/>
      <c r="O1087" s="36"/>
      <c r="P1087" s="36"/>
      <c r="Q1087" s="36"/>
      <c r="R1087" s="36"/>
      <c r="S1087" s="36"/>
      <c r="T1087" s="36"/>
      <c r="U1087" s="36"/>
      <c r="V1087" s="36"/>
      <c r="W1087" s="36"/>
      <c r="X1087" s="36"/>
      <c r="Y1087" s="36"/>
      <c r="Z1087" s="36"/>
      <c r="AA1087" s="36"/>
      <c r="AB1087" s="36"/>
      <c r="AC1087" s="36"/>
    </row>
    <row r="1088" spans="1:29" ht="36" customHeight="1">
      <c r="A1088" s="81"/>
      <c r="B1088" s="81"/>
      <c r="C1088" s="81"/>
      <c r="D1088" s="81"/>
      <c r="E1088" s="80"/>
      <c r="F1088" s="620"/>
      <c r="G1088" s="620"/>
      <c r="H1088" s="94"/>
      <c r="I1088" s="81"/>
      <c r="J1088" s="35"/>
      <c r="K1088" s="36"/>
      <c r="L1088" s="36"/>
      <c r="M1088" s="36"/>
      <c r="N1088" s="36"/>
      <c r="O1088" s="36"/>
      <c r="P1088" s="36"/>
      <c r="Q1088" s="36"/>
      <c r="R1088" s="36"/>
      <c r="S1088" s="36"/>
      <c r="T1088" s="36"/>
      <c r="U1088" s="36"/>
      <c r="V1088" s="36"/>
      <c r="W1088" s="36"/>
      <c r="X1088" s="36"/>
      <c r="Y1088" s="36"/>
      <c r="Z1088" s="36"/>
      <c r="AA1088" s="36"/>
      <c r="AB1088" s="36"/>
      <c r="AC1088" s="36"/>
    </row>
    <row r="1089" spans="1:29" ht="36" customHeight="1">
      <c r="A1089" s="81"/>
      <c r="B1089" s="81"/>
      <c r="C1089" s="81"/>
      <c r="D1089" s="81"/>
      <c r="E1089" s="80"/>
      <c r="F1089" s="620"/>
      <c r="G1089" s="620"/>
      <c r="H1089" s="94"/>
      <c r="I1089" s="81"/>
      <c r="J1089" s="35"/>
      <c r="K1089" s="36"/>
      <c r="L1089" s="36"/>
      <c r="M1089" s="36"/>
      <c r="N1089" s="36"/>
      <c r="O1089" s="36"/>
      <c r="P1089" s="36"/>
      <c r="Q1089" s="36"/>
      <c r="R1089" s="36"/>
      <c r="S1089" s="36"/>
      <c r="T1089" s="36"/>
      <c r="U1089" s="36"/>
      <c r="V1089" s="36"/>
      <c r="W1089" s="36"/>
      <c r="X1089" s="36"/>
      <c r="Y1089" s="36"/>
      <c r="Z1089" s="36"/>
      <c r="AA1089" s="36"/>
      <c r="AB1089" s="36"/>
      <c r="AC1089" s="36"/>
    </row>
    <row r="1090" spans="1:29" ht="36" customHeight="1">
      <c r="A1090" s="81"/>
      <c r="B1090" s="81"/>
      <c r="C1090" s="81"/>
      <c r="D1090" s="81"/>
      <c r="E1090" s="80"/>
      <c r="F1090" s="620"/>
      <c r="G1090" s="620"/>
      <c r="H1090" s="94"/>
      <c r="I1090" s="81"/>
      <c r="J1090" s="35"/>
      <c r="K1090" s="36"/>
      <c r="L1090" s="36"/>
      <c r="M1090" s="36"/>
      <c r="N1090" s="36"/>
      <c r="O1090" s="36"/>
      <c r="P1090" s="36"/>
      <c r="Q1090" s="36"/>
      <c r="R1090" s="36"/>
      <c r="S1090" s="36"/>
      <c r="T1090" s="36"/>
      <c r="U1090" s="36"/>
      <c r="V1090" s="36"/>
      <c r="W1090" s="36"/>
      <c r="X1090" s="36"/>
      <c r="Y1090" s="36"/>
      <c r="Z1090" s="36"/>
      <c r="AA1090" s="36"/>
      <c r="AB1090" s="36"/>
      <c r="AC1090" s="36"/>
    </row>
    <row r="1091" spans="1:29" ht="36" customHeight="1">
      <c r="A1091" s="81"/>
      <c r="B1091" s="81"/>
      <c r="C1091" s="81"/>
      <c r="D1091" s="81"/>
      <c r="E1091" s="80"/>
      <c r="F1091" s="620"/>
      <c r="G1091" s="620"/>
      <c r="H1091" s="94"/>
      <c r="I1091" s="81"/>
      <c r="J1091" s="35"/>
      <c r="K1091" s="36"/>
      <c r="L1091" s="36"/>
      <c r="M1091" s="36"/>
      <c r="N1091" s="36"/>
      <c r="O1091" s="36"/>
      <c r="P1091" s="36"/>
      <c r="Q1091" s="36"/>
      <c r="R1091" s="36"/>
      <c r="S1091" s="36"/>
      <c r="T1091" s="36"/>
      <c r="U1091" s="36"/>
      <c r="V1091" s="36"/>
      <c r="W1091" s="36"/>
      <c r="X1091" s="36"/>
      <c r="Y1091" s="36"/>
      <c r="Z1091" s="36"/>
      <c r="AA1091" s="36"/>
      <c r="AB1091" s="36"/>
      <c r="AC1091" s="36"/>
    </row>
    <row r="1092" spans="1:29" ht="36" customHeight="1">
      <c r="A1092" s="81"/>
      <c r="B1092" s="81"/>
      <c r="C1092" s="81"/>
      <c r="D1092" s="81"/>
      <c r="E1092" s="80"/>
      <c r="F1092" s="620"/>
      <c r="G1092" s="620"/>
      <c r="H1092" s="94"/>
      <c r="I1092" s="81"/>
      <c r="J1092" s="36"/>
      <c r="K1092" s="36"/>
      <c r="L1092" s="36"/>
      <c r="M1092" s="36"/>
      <c r="N1092" s="36"/>
      <c r="O1092" s="36"/>
      <c r="P1092" s="36"/>
      <c r="Q1092" s="36"/>
      <c r="R1092" s="36"/>
      <c r="S1092" s="36"/>
      <c r="T1092" s="36"/>
      <c r="U1092" s="36"/>
      <c r="V1092" s="36"/>
      <c r="W1092" s="36"/>
      <c r="X1092" s="36"/>
      <c r="Y1092" s="36"/>
      <c r="Z1092" s="36"/>
      <c r="AA1092" s="36"/>
      <c r="AB1092" s="36"/>
      <c r="AC1092" s="36"/>
    </row>
    <row r="1093" spans="1:29" ht="36" customHeight="1">
      <c r="A1093" s="81"/>
      <c r="B1093" s="81"/>
      <c r="C1093" s="81"/>
      <c r="D1093" s="81"/>
      <c r="E1093" s="80"/>
      <c r="F1093" s="620"/>
      <c r="G1093" s="620"/>
      <c r="H1093" s="94"/>
      <c r="I1093" s="81"/>
      <c r="J1093" s="35"/>
      <c r="K1093" s="36"/>
      <c r="L1093" s="36"/>
      <c r="M1093" s="36"/>
      <c r="N1093" s="36"/>
      <c r="O1093" s="36"/>
      <c r="P1093" s="36"/>
      <c r="Q1093" s="36"/>
      <c r="R1093" s="36"/>
      <c r="S1093" s="36"/>
      <c r="T1093" s="36"/>
      <c r="U1093" s="36"/>
      <c r="V1093" s="36"/>
      <c r="W1093" s="36"/>
      <c r="X1093" s="36"/>
      <c r="Y1093" s="36"/>
      <c r="Z1093" s="36"/>
      <c r="AA1093" s="36"/>
      <c r="AB1093" s="36"/>
      <c r="AC1093" s="36"/>
    </row>
    <row r="1094" spans="1:29" ht="180" customHeight="1">
      <c r="A1094" s="81"/>
      <c r="B1094" s="81"/>
      <c r="C1094" s="81"/>
      <c r="D1094" s="81"/>
      <c r="E1094" s="80"/>
      <c r="F1094" s="620"/>
      <c r="G1094" s="620"/>
      <c r="H1094" s="94"/>
      <c r="I1094" s="81"/>
      <c r="J1094" s="35"/>
      <c r="K1094" s="36"/>
      <c r="L1094" s="36"/>
      <c r="M1094" s="36"/>
      <c r="N1094" s="36"/>
      <c r="O1094" s="36"/>
      <c r="P1094" s="36"/>
      <c r="Q1094" s="36"/>
      <c r="R1094" s="36"/>
      <c r="S1094" s="36"/>
      <c r="T1094" s="36"/>
      <c r="U1094" s="36"/>
      <c r="V1094" s="36"/>
      <c r="W1094" s="36"/>
      <c r="X1094" s="36"/>
      <c r="Y1094" s="36"/>
      <c r="Z1094" s="36"/>
      <c r="AA1094" s="36"/>
      <c r="AB1094" s="36"/>
      <c r="AC1094" s="36"/>
    </row>
    <row r="1095" spans="1:29" ht="24" customHeight="1">
      <c r="A1095" s="81"/>
      <c r="B1095" s="81"/>
      <c r="C1095" s="81"/>
      <c r="D1095" s="81"/>
      <c r="E1095" s="80"/>
      <c r="F1095" s="620"/>
      <c r="G1095" s="620"/>
      <c r="H1095" s="94"/>
      <c r="I1095" s="81"/>
      <c r="J1095" s="35"/>
      <c r="K1095" s="36"/>
      <c r="L1095" s="36"/>
      <c r="M1095" s="36"/>
      <c r="N1095" s="36"/>
      <c r="O1095" s="36"/>
      <c r="P1095" s="36"/>
      <c r="Q1095" s="36"/>
      <c r="R1095" s="36"/>
      <c r="S1095" s="36"/>
      <c r="T1095" s="36"/>
      <c r="U1095" s="36"/>
      <c r="V1095" s="36"/>
      <c r="W1095" s="36"/>
      <c r="X1095" s="36"/>
      <c r="Y1095" s="36"/>
      <c r="Z1095" s="36"/>
      <c r="AA1095" s="36"/>
      <c r="AB1095" s="36"/>
      <c r="AC1095" s="36"/>
    </row>
    <row r="1096" spans="1:29" ht="48" customHeight="1">
      <c r="A1096" s="81"/>
      <c r="B1096" s="81"/>
      <c r="C1096" s="81"/>
      <c r="D1096" s="81"/>
      <c r="E1096" s="80"/>
      <c r="F1096" s="620"/>
      <c r="G1096" s="620"/>
      <c r="H1096" s="94"/>
      <c r="I1096" s="81"/>
      <c r="J1096" s="35"/>
      <c r="K1096" s="36"/>
      <c r="L1096" s="36"/>
      <c r="M1096" s="36"/>
      <c r="N1096" s="36"/>
      <c r="O1096" s="36"/>
      <c r="P1096" s="36"/>
      <c r="Q1096" s="36"/>
      <c r="R1096" s="36"/>
      <c r="S1096" s="36"/>
      <c r="T1096" s="36"/>
      <c r="U1096" s="36"/>
      <c r="V1096" s="36"/>
      <c r="W1096" s="36"/>
      <c r="X1096" s="36"/>
      <c r="Y1096" s="36"/>
      <c r="Z1096" s="36"/>
      <c r="AA1096" s="36"/>
      <c r="AB1096" s="36"/>
      <c r="AC1096" s="36"/>
    </row>
    <row r="1097" spans="1:29" ht="24" customHeight="1">
      <c r="A1097" s="81"/>
      <c r="B1097" s="81"/>
      <c r="C1097" s="81"/>
      <c r="D1097" s="81"/>
      <c r="E1097" s="80"/>
      <c r="F1097" s="620"/>
      <c r="G1097" s="620"/>
      <c r="H1097" s="94"/>
      <c r="I1097" s="81"/>
      <c r="J1097" s="35"/>
      <c r="K1097" s="36"/>
      <c r="L1097" s="36"/>
      <c r="M1097" s="36"/>
      <c r="N1097" s="36"/>
      <c r="O1097" s="36"/>
      <c r="P1097" s="36"/>
      <c r="Q1097" s="36"/>
      <c r="R1097" s="36"/>
      <c r="S1097" s="36"/>
      <c r="T1097" s="36"/>
      <c r="U1097" s="36"/>
      <c r="V1097" s="36"/>
      <c r="W1097" s="36"/>
      <c r="X1097" s="36"/>
      <c r="Y1097" s="36"/>
      <c r="Z1097" s="36"/>
      <c r="AA1097" s="36"/>
      <c r="AB1097" s="36"/>
      <c r="AC1097" s="36"/>
    </row>
    <row r="1098" spans="1:29" ht="24" customHeight="1">
      <c r="A1098" s="81"/>
      <c r="B1098" s="463"/>
      <c r="C1098" s="100"/>
      <c r="D1098" s="81"/>
      <c r="E1098" s="80"/>
      <c r="F1098" s="620"/>
      <c r="G1098" s="620"/>
      <c r="H1098" s="94"/>
      <c r="I1098" s="81"/>
      <c r="J1098" s="35"/>
      <c r="K1098" s="36"/>
      <c r="L1098" s="36"/>
      <c r="M1098" s="36"/>
      <c r="N1098" s="36"/>
      <c r="O1098" s="36"/>
      <c r="P1098" s="36"/>
      <c r="Q1098" s="36"/>
      <c r="R1098" s="36"/>
      <c r="S1098" s="36"/>
      <c r="T1098" s="36"/>
      <c r="U1098" s="36"/>
      <c r="V1098" s="36"/>
      <c r="W1098" s="36"/>
      <c r="X1098" s="36"/>
      <c r="Y1098" s="36"/>
      <c r="Z1098" s="36"/>
      <c r="AA1098" s="36"/>
      <c r="AB1098" s="36"/>
      <c r="AC1098" s="36"/>
    </row>
    <row r="1099" spans="1:29" ht="36" customHeight="1">
      <c r="A1099" s="100"/>
      <c r="B1099" s="100"/>
      <c r="C1099" s="100"/>
      <c r="D1099" s="81"/>
      <c r="E1099" s="80"/>
      <c r="F1099" s="620"/>
      <c r="G1099" s="620"/>
      <c r="H1099" s="94"/>
      <c r="I1099" s="81"/>
      <c r="J1099" s="35"/>
      <c r="K1099" s="36"/>
      <c r="L1099" s="36"/>
      <c r="M1099" s="36"/>
      <c r="N1099" s="36"/>
      <c r="O1099" s="36"/>
      <c r="P1099" s="36"/>
      <c r="Q1099" s="36"/>
      <c r="R1099" s="36"/>
      <c r="S1099" s="36"/>
      <c r="T1099" s="36"/>
      <c r="U1099" s="36"/>
      <c r="V1099" s="36"/>
      <c r="W1099" s="36"/>
      <c r="X1099" s="36"/>
      <c r="Y1099" s="36"/>
      <c r="Z1099" s="36"/>
      <c r="AA1099" s="36"/>
      <c r="AB1099" s="36"/>
      <c r="AC1099" s="36"/>
    </row>
    <row r="1100" spans="1:29" ht="24" customHeight="1">
      <c r="A1100" s="100"/>
      <c r="B1100" s="100"/>
      <c r="C1100" s="100"/>
      <c r="D1100" s="81"/>
      <c r="E1100" s="80"/>
      <c r="F1100" s="620"/>
      <c r="G1100" s="620"/>
      <c r="H1100" s="94"/>
      <c r="I1100" s="81"/>
      <c r="J1100" s="35"/>
      <c r="K1100" s="36"/>
      <c r="L1100" s="36"/>
      <c r="M1100" s="36"/>
      <c r="N1100" s="36"/>
      <c r="O1100" s="36"/>
      <c r="P1100" s="36"/>
      <c r="Q1100" s="36"/>
      <c r="R1100" s="36"/>
      <c r="S1100" s="36"/>
      <c r="T1100" s="36"/>
      <c r="U1100" s="36"/>
      <c r="V1100" s="36"/>
      <c r="W1100" s="36"/>
      <c r="X1100" s="36"/>
      <c r="Y1100" s="36"/>
      <c r="Z1100" s="36"/>
      <c r="AA1100" s="36"/>
      <c r="AB1100" s="36"/>
      <c r="AC1100" s="36"/>
    </row>
    <row r="1101" spans="1:29" ht="48" customHeight="1">
      <c r="A1101" s="100"/>
      <c r="B1101" s="100"/>
      <c r="C1101" s="100"/>
      <c r="D1101" s="81"/>
      <c r="E1101" s="80"/>
      <c r="F1101" s="620"/>
      <c r="G1101" s="620"/>
      <c r="H1101" s="94"/>
      <c r="I1101" s="81"/>
      <c r="J1101" s="35"/>
      <c r="K1101" s="36"/>
      <c r="L1101" s="36"/>
      <c r="M1101" s="36"/>
      <c r="N1101" s="36"/>
      <c r="O1101" s="36"/>
      <c r="P1101" s="36"/>
      <c r="Q1101" s="36"/>
      <c r="R1101" s="36"/>
      <c r="S1101" s="36"/>
      <c r="T1101" s="36"/>
      <c r="U1101" s="36"/>
      <c r="V1101" s="36"/>
      <c r="W1101" s="36"/>
      <c r="X1101" s="36"/>
      <c r="Y1101" s="36"/>
      <c r="Z1101" s="36"/>
      <c r="AA1101" s="36"/>
      <c r="AB1101" s="36"/>
      <c r="AC1101" s="36"/>
    </row>
    <row r="1102" spans="1:29" ht="24" customHeight="1">
      <c r="A1102" s="100"/>
      <c r="B1102" s="463"/>
      <c r="C1102" s="100"/>
      <c r="D1102" s="81"/>
      <c r="E1102" s="80"/>
      <c r="F1102" s="620"/>
      <c r="G1102" s="620"/>
      <c r="H1102" s="94"/>
      <c r="I1102" s="81"/>
      <c r="J1102" s="35"/>
      <c r="K1102" s="36"/>
      <c r="L1102" s="36"/>
      <c r="M1102" s="36"/>
      <c r="N1102" s="36"/>
      <c r="O1102" s="36"/>
      <c r="P1102" s="36"/>
      <c r="Q1102" s="36"/>
      <c r="R1102" s="36"/>
      <c r="S1102" s="36"/>
      <c r="T1102" s="36"/>
      <c r="U1102" s="36"/>
      <c r="V1102" s="36"/>
      <c r="W1102" s="36"/>
      <c r="X1102" s="36"/>
      <c r="Y1102" s="36"/>
      <c r="Z1102" s="36"/>
      <c r="AA1102" s="36"/>
      <c r="AB1102" s="36"/>
      <c r="AC1102" s="36"/>
    </row>
    <row r="1103" spans="1:29" ht="48" customHeight="1">
      <c r="A1103" s="100"/>
      <c r="B1103" s="100"/>
      <c r="C1103" s="100"/>
      <c r="D1103" s="81"/>
      <c r="E1103" s="80"/>
      <c r="F1103" s="620"/>
      <c r="G1103" s="620"/>
      <c r="H1103" s="94"/>
      <c r="I1103" s="81"/>
      <c r="J1103" s="35"/>
      <c r="K1103" s="36"/>
      <c r="L1103" s="36"/>
      <c r="M1103" s="36"/>
      <c r="N1103" s="36"/>
      <c r="O1103" s="36"/>
      <c r="P1103" s="36"/>
      <c r="Q1103" s="36"/>
      <c r="R1103" s="36"/>
      <c r="S1103" s="36"/>
      <c r="T1103" s="36"/>
      <c r="U1103" s="36"/>
      <c r="V1103" s="36"/>
      <c r="W1103" s="36"/>
      <c r="X1103" s="36"/>
      <c r="Y1103" s="36"/>
      <c r="Z1103" s="36"/>
      <c r="AA1103" s="36"/>
      <c r="AB1103" s="36"/>
      <c r="AC1103" s="36"/>
    </row>
    <row r="1104" spans="1:29" ht="60" customHeight="1">
      <c r="A1104" s="100"/>
      <c r="B1104" s="100"/>
      <c r="C1104" s="100"/>
      <c r="D1104" s="81"/>
      <c r="E1104" s="80"/>
      <c r="F1104" s="620"/>
      <c r="G1104" s="620"/>
      <c r="H1104" s="94"/>
      <c r="I1104" s="81"/>
      <c r="J1104" s="35"/>
      <c r="K1104" s="36"/>
      <c r="L1104" s="36"/>
      <c r="M1104" s="36"/>
      <c r="N1104" s="36"/>
      <c r="O1104" s="36"/>
      <c r="P1104" s="36"/>
      <c r="Q1104" s="36"/>
      <c r="R1104" s="36"/>
      <c r="S1104" s="36"/>
      <c r="T1104" s="36"/>
      <c r="U1104" s="36"/>
      <c r="V1104" s="36"/>
      <c r="W1104" s="36"/>
      <c r="X1104" s="36"/>
      <c r="Y1104" s="36"/>
      <c r="Z1104" s="36"/>
      <c r="AA1104" s="36"/>
      <c r="AB1104" s="36"/>
      <c r="AC1104" s="36"/>
    </row>
    <row r="1105" spans="1:29" ht="48" customHeight="1">
      <c r="A1105" s="100"/>
      <c r="B1105" s="100"/>
      <c r="C1105" s="100"/>
      <c r="D1105" s="81"/>
      <c r="E1105" s="80"/>
      <c r="F1105" s="620"/>
      <c r="G1105" s="620"/>
      <c r="H1105" s="94"/>
      <c r="I1105" s="81"/>
      <c r="J1105" s="35"/>
      <c r="K1105" s="36"/>
      <c r="L1105" s="36"/>
      <c r="M1105" s="36"/>
      <c r="N1105" s="36"/>
      <c r="O1105" s="36"/>
      <c r="P1105" s="36"/>
      <c r="Q1105" s="36"/>
      <c r="R1105" s="36"/>
      <c r="S1105" s="36"/>
      <c r="T1105" s="36"/>
      <c r="U1105" s="36"/>
      <c r="V1105" s="36"/>
      <c r="W1105" s="36"/>
      <c r="X1105" s="36"/>
      <c r="Y1105" s="36"/>
      <c r="Z1105" s="36"/>
      <c r="AA1105" s="36"/>
      <c r="AB1105" s="36"/>
      <c r="AC1105" s="36"/>
    </row>
    <row r="1106" spans="1:29" ht="24" customHeight="1">
      <c r="A1106" s="100"/>
      <c r="B1106" s="100"/>
      <c r="C1106" s="100"/>
      <c r="D1106" s="81"/>
      <c r="E1106" s="80"/>
      <c r="F1106" s="620"/>
      <c r="G1106" s="620"/>
      <c r="H1106" s="94"/>
      <c r="I1106" s="81"/>
      <c r="J1106" s="35"/>
      <c r="K1106" s="36"/>
      <c r="L1106" s="36"/>
      <c r="M1106" s="36"/>
      <c r="N1106" s="36"/>
      <c r="O1106" s="36"/>
      <c r="P1106" s="36"/>
      <c r="Q1106" s="36"/>
      <c r="R1106" s="36"/>
      <c r="S1106" s="36"/>
      <c r="T1106" s="36"/>
      <c r="U1106" s="36"/>
      <c r="V1106" s="36"/>
      <c r="W1106" s="36"/>
      <c r="X1106" s="36"/>
      <c r="Y1106" s="36"/>
      <c r="Z1106" s="36"/>
      <c r="AA1106" s="36"/>
      <c r="AB1106" s="36"/>
      <c r="AC1106" s="36"/>
    </row>
    <row r="1107" spans="1:29" ht="24" customHeight="1">
      <c r="A1107" s="100"/>
      <c r="B1107" s="100"/>
      <c r="C1107" s="100"/>
      <c r="D1107" s="81"/>
      <c r="E1107" s="80"/>
      <c r="F1107" s="620"/>
      <c r="G1107" s="620"/>
      <c r="H1107" s="94"/>
      <c r="I1107" s="81"/>
      <c r="J1107" s="35"/>
      <c r="K1107" s="36"/>
      <c r="L1107" s="36"/>
      <c r="M1107" s="36"/>
      <c r="N1107" s="36"/>
      <c r="O1107" s="36"/>
      <c r="P1107" s="36"/>
      <c r="Q1107" s="36"/>
      <c r="R1107" s="36"/>
      <c r="S1107" s="36"/>
      <c r="T1107" s="36"/>
      <c r="U1107" s="36"/>
      <c r="V1107" s="36"/>
      <c r="W1107" s="36"/>
      <c r="X1107" s="36"/>
      <c r="Y1107" s="36"/>
      <c r="Z1107" s="36"/>
      <c r="AA1107" s="36"/>
      <c r="AB1107" s="36"/>
      <c r="AC1107" s="36"/>
    </row>
    <row r="1108" spans="1:29" ht="36" customHeight="1">
      <c r="A1108" s="100"/>
      <c r="B1108" s="100"/>
      <c r="C1108" s="100"/>
      <c r="D1108" s="81"/>
      <c r="E1108" s="80"/>
      <c r="F1108" s="620"/>
      <c r="G1108" s="620"/>
      <c r="H1108" s="94"/>
      <c r="I1108" s="81"/>
      <c r="J1108" s="35"/>
      <c r="K1108" s="36"/>
      <c r="L1108" s="36"/>
      <c r="M1108" s="36"/>
      <c r="N1108" s="36"/>
      <c r="O1108" s="36"/>
      <c r="P1108" s="36"/>
      <c r="Q1108" s="36"/>
      <c r="R1108" s="36"/>
      <c r="S1108" s="36"/>
      <c r="T1108" s="36"/>
      <c r="U1108" s="36"/>
      <c r="V1108" s="36"/>
      <c r="W1108" s="36"/>
      <c r="X1108" s="36"/>
      <c r="Y1108" s="36"/>
      <c r="Z1108" s="36"/>
      <c r="AA1108" s="36"/>
      <c r="AB1108" s="36"/>
      <c r="AC1108" s="36"/>
    </row>
    <row r="1109" spans="1:29" ht="24" customHeight="1">
      <c r="A1109" s="100"/>
      <c r="B1109" s="100"/>
      <c r="C1109" s="100"/>
      <c r="D1109" s="81"/>
      <c r="E1109" s="80"/>
      <c r="F1109" s="620"/>
      <c r="G1109" s="620"/>
      <c r="H1109" s="94"/>
      <c r="I1109" s="81"/>
      <c r="J1109" s="35"/>
      <c r="K1109" s="36"/>
      <c r="L1109" s="36"/>
      <c r="M1109" s="36"/>
      <c r="N1109" s="36"/>
      <c r="O1109" s="36"/>
      <c r="P1109" s="36"/>
      <c r="Q1109" s="36"/>
      <c r="R1109" s="36"/>
      <c r="S1109" s="36"/>
      <c r="T1109" s="36"/>
      <c r="U1109" s="36"/>
      <c r="V1109" s="36"/>
      <c r="W1109" s="36"/>
      <c r="X1109" s="36"/>
      <c r="Y1109" s="36"/>
      <c r="Z1109" s="36"/>
      <c r="AA1109" s="36"/>
      <c r="AB1109" s="36"/>
      <c r="AC1109" s="36"/>
    </row>
    <row r="1110" spans="1:29" ht="24" customHeight="1">
      <c r="A1110" s="100"/>
      <c r="B1110" s="100"/>
      <c r="C1110" s="100"/>
      <c r="D1110" s="81"/>
      <c r="E1110" s="80"/>
      <c r="F1110" s="620"/>
      <c r="G1110" s="620"/>
      <c r="H1110" s="94"/>
      <c r="I1110" s="81"/>
      <c r="J1110" s="35"/>
      <c r="K1110" s="36"/>
      <c r="L1110" s="36"/>
      <c r="M1110" s="36"/>
      <c r="N1110" s="36"/>
      <c r="O1110" s="36"/>
      <c r="P1110" s="36"/>
      <c r="Q1110" s="36"/>
      <c r="R1110" s="36"/>
      <c r="S1110" s="36"/>
      <c r="T1110" s="36"/>
      <c r="U1110" s="36"/>
      <c r="V1110" s="36"/>
      <c r="W1110" s="36"/>
      <c r="X1110" s="36"/>
      <c r="Y1110" s="36"/>
      <c r="Z1110" s="36"/>
      <c r="AA1110" s="36"/>
      <c r="AB1110" s="36"/>
      <c r="AC1110" s="36"/>
    </row>
    <row r="1111" spans="1:29" ht="36" customHeight="1">
      <c r="A1111" s="100"/>
      <c r="B1111" s="100"/>
      <c r="C1111" s="100"/>
      <c r="D1111" s="81"/>
      <c r="E1111" s="80"/>
      <c r="F1111" s="620"/>
      <c r="G1111" s="620"/>
      <c r="H1111" s="94"/>
      <c r="I1111" s="81"/>
      <c r="J1111" s="35"/>
      <c r="K1111" s="36"/>
      <c r="L1111" s="36"/>
      <c r="M1111" s="36"/>
      <c r="N1111" s="36"/>
      <c r="O1111" s="36"/>
      <c r="P1111" s="36"/>
      <c r="Q1111" s="36"/>
      <c r="R1111" s="36"/>
      <c r="S1111" s="36"/>
      <c r="T1111" s="36"/>
      <c r="U1111" s="36"/>
      <c r="V1111" s="36"/>
      <c r="W1111" s="36"/>
      <c r="X1111" s="36"/>
      <c r="Y1111" s="36"/>
      <c r="Z1111" s="36"/>
      <c r="AA1111" s="36"/>
      <c r="AB1111" s="36"/>
      <c r="AC1111" s="36"/>
    </row>
    <row r="1112" spans="1:29" ht="24" customHeight="1">
      <c r="A1112" s="100"/>
      <c r="B1112" s="100"/>
      <c r="C1112" s="100"/>
      <c r="D1112" s="81"/>
      <c r="E1112" s="80"/>
      <c r="F1112" s="620"/>
      <c r="G1112" s="620"/>
      <c r="H1112" s="94"/>
      <c r="I1112" s="81"/>
      <c r="J1112" s="35"/>
      <c r="K1112" s="36"/>
      <c r="L1112" s="36"/>
      <c r="M1112" s="36"/>
      <c r="N1112" s="36"/>
      <c r="O1112" s="36"/>
      <c r="P1112" s="36"/>
      <c r="Q1112" s="36"/>
      <c r="R1112" s="36"/>
      <c r="S1112" s="36"/>
      <c r="T1112" s="36"/>
      <c r="U1112" s="36"/>
      <c r="V1112" s="36"/>
      <c r="W1112" s="36"/>
      <c r="X1112" s="36"/>
      <c r="Y1112" s="36"/>
      <c r="Z1112" s="36"/>
      <c r="AA1112" s="36"/>
      <c r="AB1112" s="36"/>
      <c r="AC1112" s="36"/>
    </row>
    <row r="1113" spans="1:29" ht="24" customHeight="1">
      <c r="A1113" s="100"/>
      <c r="B1113" s="100"/>
      <c r="C1113" s="100"/>
      <c r="D1113" s="81"/>
      <c r="E1113" s="80"/>
      <c r="F1113" s="620"/>
      <c r="G1113" s="620"/>
      <c r="H1113" s="94"/>
      <c r="I1113" s="81"/>
      <c r="J1113" s="35"/>
      <c r="K1113" s="36"/>
      <c r="L1113" s="36"/>
      <c r="M1113" s="36"/>
      <c r="N1113" s="36"/>
      <c r="O1113" s="36"/>
      <c r="P1113" s="36"/>
      <c r="Q1113" s="36"/>
      <c r="R1113" s="36"/>
      <c r="S1113" s="36"/>
      <c r="T1113" s="36"/>
      <c r="U1113" s="36"/>
      <c r="V1113" s="36"/>
      <c r="W1113" s="36"/>
      <c r="X1113" s="36"/>
      <c r="Y1113" s="36"/>
      <c r="Z1113" s="36"/>
      <c r="AA1113" s="36"/>
      <c r="AB1113" s="36"/>
      <c r="AC1113" s="36"/>
    </row>
    <row r="1114" spans="1:29" ht="36" customHeight="1">
      <c r="A1114" s="100"/>
      <c r="B1114" s="463"/>
      <c r="C1114" s="100"/>
      <c r="D1114" s="81"/>
      <c r="E1114" s="80"/>
      <c r="F1114" s="620"/>
      <c r="G1114" s="620"/>
      <c r="H1114" s="94"/>
      <c r="I1114" s="81"/>
      <c r="J1114" s="35"/>
      <c r="K1114" s="36"/>
      <c r="L1114" s="36"/>
      <c r="M1114" s="36"/>
      <c r="N1114" s="36"/>
      <c r="O1114" s="36"/>
      <c r="P1114" s="36"/>
      <c r="Q1114" s="36"/>
      <c r="R1114" s="36"/>
      <c r="S1114" s="36"/>
      <c r="T1114" s="36"/>
      <c r="U1114" s="36"/>
      <c r="V1114" s="36"/>
      <c r="W1114" s="36"/>
      <c r="X1114" s="36"/>
      <c r="Y1114" s="36"/>
      <c r="Z1114" s="36"/>
      <c r="AA1114" s="36"/>
      <c r="AB1114" s="36"/>
      <c r="AC1114" s="36"/>
    </row>
    <row r="1115" spans="1:29" ht="36" customHeight="1">
      <c r="A1115" s="100"/>
      <c r="B1115" s="100"/>
      <c r="C1115" s="100"/>
      <c r="D1115" s="81"/>
      <c r="E1115" s="80"/>
      <c r="F1115" s="620"/>
      <c r="G1115" s="620"/>
      <c r="H1115" s="94"/>
      <c r="I1115" s="81"/>
      <c r="J1115" s="35"/>
      <c r="K1115" s="36"/>
      <c r="L1115" s="36"/>
      <c r="M1115" s="36"/>
      <c r="N1115" s="36"/>
      <c r="O1115" s="36"/>
      <c r="P1115" s="36"/>
      <c r="Q1115" s="36"/>
      <c r="R1115" s="36"/>
      <c r="S1115" s="36"/>
      <c r="T1115" s="36"/>
      <c r="U1115" s="36"/>
      <c r="V1115" s="36"/>
      <c r="W1115" s="36"/>
      <c r="X1115" s="36"/>
      <c r="Y1115" s="36"/>
      <c r="Z1115" s="36"/>
      <c r="AA1115" s="36"/>
      <c r="AB1115" s="36"/>
      <c r="AC1115" s="36"/>
    </row>
    <row r="1116" spans="1:29" ht="36" customHeight="1">
      <c r="A1116" s="100"/>
      <c r="B1116" s="100"/>
      <c r="C1116" s="100"/>
      <c r="D1116" s="81"/>
      <c r="E1116" s="80"/>
      <c r="F1116" s="620"/>
      <c r="G1116" s="620"/>
      <c r="H1116" s="94"/>
      <c r="I1116" s="81"/>
      <c r="J1116" s="35"/>
      <c r="K1116" s="36"/>
      <c r="L1116" s="36"/>
      <c r="M1116" s="36"/>
      <c r="N1116" s="36"/>
      <c r="O1116" s="36"/>
      <c r="P1116" s="36"/>
      <c r="Q1116" s="36"/>
      <c r="R1116" s="36"/>
      <c r="S1116" s="36"/>
      <c r="T1116" s="36"/>
      <c r="U1116" s="36"/>
      <c r="V1116" s="36"/>
      <c r="W1116" s="36"/>
      <c r="X1116" s="36"/>
      <c r="Y1116" s="36"/>
      <c r="Z1116" s="36"/>
      <c r="AA1116" s="36"/>
      <c r="AB1116" s="36"/>
      <c r="AC1116" s="36"/>
    </row>
    <row r="1117" spans="1:29" ht="36" customHeight="1">
      <c r="A1117" s="100"/>
      <c r="B1117" s="100"/>
      <c r="C1117" s="100"/>
      <c r="D1117" s="81"/>
      <c r="E1117" s="80"/>
      <c r="F1117" s="620"/>
      <c r="G1117" s="620"/>
      <c r="H1117" s="94"/>
      <c r="I1117" s="81"/>
      <c r="J1117" s="35"/>
      <c r="K1117" s="36"/>
      <c r="L1117" s="36"/>
      <c r="M1117" s="36"/>
      <c r="N1117" s="36"/>
      <c r="O1117" s="36"/>
      <c r="P1117" s="36"/>
      <c r="Q1117" s="36"/>
      <c r="R1117" s="36"/>
      <c r="S1117" s="36"/>
      <c r="T1117" s="36"/>
      <c r="U1117" s="36"/>
      <c r="V1117" s="36"/>
      <c r="W1117" s="36"/>
      <c r="X1117" s="36"/>
      <c r="Y1117" s="36"/>
      <c r="Z1117" s="36"/>
      <c r="AA1117" s="36"/>
      <c r="AB1117" s="36"/>
      <c r="AC1117" s="36"/>
    </row>
    <row r="1118" spans="1:29" ht="36" customHeight="1">
      <c r="A1118" s="100"/>
      <c r="B1118" s="463"/>
      <c r="C1118" s="100"/>
      <c r="D1118" s="81"/>
      <c r="E1118" s="80"/>
      <c r="F1118" s="620"/>
      <c r="G1118" s="620"/>
      <c r="H1118" s="94"/>
      <c r="I1118" s="81"/>
      <c r="J1118" s="35"/>
      <c r="K1118" s="36"/>
      <c r="L1118" s="36"/>
      <c r="M1118" s="36"/>
      <c r="N1118" s="36"/>
      <c r="O1118" s="36"/>
      <c r="P1118" s="36"/>
      <c r="Q1118" s="36"/>
      <c r="R1118" s="36"/>
      <c r="S1118" s="36"/>
      <c r="T1118" s="36"/>
      <c r="U1118" s="36"/>
      <c r="V1118" s="36"/>
      <c r="W1118" s="36"/>
      <c r="X1118" s="36"/>
      <c r="Y1118" s="36"/>
      <c r="Z1118" s="36"/>
      <c r="AA1118" s="36"/>
      <c r="AB1118" s="36"/>
      <c r="AC1118" s="36"/>
    </row>
    <row r="1119" spans="1:29" ht="24" customHeight="1">
      <c r="A1119" s="100"/>
      <c r="B1119" s="100"/>
      <c r="C1119" s="100"/>
      <c r="D1119" s="81"/>
      <c r="E1119" s="80"/>
      <c r="F1119" s="620"/>
      <c r="G1119" s="620"/>
      <c r="H1119" s="94"/>
      <c r="I1119" s="81"/>
      <c r="J1119" s="35"/>
      <c r="K1119" s="36"/>
      <c r="L1119" s="36"/>
      <c r="M1119" s="36"/>
      <c r="N1119" s="36"/>
      <c r="O1119" s="36"/>
      <c r="P1119" s="36"/>
      <c r="Q1119" s="36"/>
      <c r="R1119" s="36"/>
      <c r="S1119" s="36"/>
      <c r="T1119" s="36"/>
      <c r="U1119" s="36"/>
      <c r="V1119" s="36"/>
      <c r="W1119" s="36"/>
      <c r="X1119" s="36"/>
      <c r="Y1119" s="36"/>
      <c r="Z1119" s="36"/>
      <c r="AA1119" s="36"/>
      <c r="AB1119" s="36"/>
      <c r="AC1119" s="36"/>
    </row>
    <row r="1120" spans="1:29" ht="36" customHeight="1">
      <c r="A1120" s="100"/>
      <c r="B1120" s="100"/>
      <c r="C1120" s="100"/>
      <c r="D1120" s="81"/>
      <c r="E1120" s="80"/>
      <c r="F1120" s="620"/>
      <c r="G1120" s="620"/>
      <c r="H1120" s="94"/>
      <c r="I1120" s="81"/>
      <c r="J1120" s="35"/>
      <c r="K1120" s="36"/>
      <c r="L1120" s="36"/>
      <c r="M1120" s="36"/>
      <c r="N1120" s="36"/>
      <c r="O1120" s="36"/>
      <c r="P1120" s="36"/>
      <c r="Q1120" s="36"/>
      <c r="R1120" s="36"/>
      <c r="S1120" s="36"/>
      <c r="T1120" s="36"/>
      <c r="U1120" s="36"/>
      <c r="V1120" s="36"/>
      <c r="W1120" s="36"/>
      <c r="X1120" s="36"/>
      <c r="Y1120" s="36"/>
      <c r="Z1120" s="36"/>
      <c r="AA1120" s="36"/>
      <c r="AB1120" s="36"/>
      <c r="AC1120" s="36"/>
    </row>
    <row r="1121" spans="1:29" ht="24" customHeight="1">
      <c r="A1121" s="100"/>
      <c r="B1121" s="100"/>
      <c r="C1121" s="100"/>
      <c r="D1121" s="81"/>
      <c r="E1121" s="80"/>
      <c r="F1121" s="620"/>
      <c r="G1121" s="620"/>
      <c r="H1121" s="94"/>
      <c r="I1121" s="81"/>
      <c r="J1121" s="35"/>
      <c r="K1121" s="36"/>
      <c r="L1121" s="36"/>
      <c r="M1121" s="36"/>
      <c r="N1121" s="36"/>
      <c r="O1121" s="36"/>
      <c r="P1121" s="36"/>
      <c r="Q1121" s="36"/>
      <c r="R1121" s="36"/>
      <c r="S1121" s="36"/>
      <c r="T1121" s="36"/>
      <c r="U1121" s="36"/>
      <c r="V1121" s="36"/>
      <c r="W1121" s="36"/>
      <c r="X1121" s="36"/>
      <c r="Y1121" s="36"/>
      <c r="Z1121" s="36"/>
      <c r="AA1121" s="36"/>
      <c r="AB1121" s="36"/>
      <c r="AC1121" s="36"/>
    </row>
    <row r="1122" spans="1:29" ht="24" customHeight="1">
      <c r="A1122" s="100"/>
      <c r="B1122" s="100"/>
      <c r="C1122" s="100"/>
      <c r="D1122" s="81"/>
      <c r="E1122" s="80"/>
      <c r="F1122" s="620"/>
      <c r="G1122" s="620"/>
      <c r="H1122" s="94"/>
      <c r="I1122" s="81"/>
      <c r="J1122" s="35"/>
      <c r="K1122" s="36"/>
      <c r="L1122" s="36"/>
      <c r="M1122" s="36"/>
      <c r="N1122" s="36"/>
      <c r="O1122" s="36"/>
      <c r="P1122" s="36"/>
      <c r="Q1122" s="36"/>
      <c r="R1122" s="36"/>
      <c r="S1122" s="36"/>
      <c r="T1122" s="36"/>
      <c r="U1122" s="36"/>
      <c r="V1122" s="36"/>
      <c r="W1122" s="36"/>
      <c r="X1122" s="36"/>
      <c r="Y1122" s="36"/>
      <c r="Z1122" s="36"/>
      <c r="AA1122" s="36"/>
      <c r="AB1122" s="36"/>
      <c r="AC1122" s="36"/>
    </row>
    <row r="1123" spans="1:29" ht="24" customHeight="1">
      <c r="A1123" s="100"/>
      <c r="B1123" s="463"/>
      <c r="C1123" s="100"/>
      <c r="D1123" s="81"/>
      <c r="E1123" s="80"/>
      <c r="F1123" s="620"/>
      <c r="G1123" s="620"/>
      <c r="H1123" s="94"/>
      <c r="I1123" s="81"/>
      <c r="J1123" s="35"/>
      <c r="K1123" s="36"/>
      <c r="L1123" s="36"/>
      <c r="M1123" s="36"/>
      <c r="N1123" s="36"/>
      <c r="O1123" s="36"/>
      <c r="P1123" s="36"/>
      <c r="Q1123" s="36"/>
      <c r="R1123" s="36"/>
      <c r="S1123" s="36"/>
      <c r="T1123" s="36"/>
      <c r="U1123" s="36"/>
      <c r="V1123" s="36"/>
      <c r="W1123" s="36"/>
      <c r="X1123" s="36"/>
      <c r="Y1123" s="36"/>
      <c r="Z1123" s="36"/>
      <c r="AA1123" s="36"/>
      <c r="AB1123" s="36"/>
      <c r="AC1123" s="36"/>
    </row>
    <row r="1124" spans="1:29" ht="24" customHeight="1">
      <c r="A1124" s="100"/>
      <c r="B1124" s="100"/>
      <c r="C1124" s="100"/>
      <c r="D1124" s="81"/>
      <c r="E1124" s="80"/>
      <c r="F1124" s="620"/>
      <c r="G1124" s="620"/>
      <c r="H1124" s="94"/>
      <c r="I1124" s="81"/>
      <c r="J1124" s="35"/>
      <c r="K1124" s="36"/>
      <c r="L1124" s="36"/>
      <c r="M1124" s="36"/>
      <c r="N1124" s="36"/>
      <c r="O1124" s="36"/>
      <c r="P1124" s="36"/>
      <c r="Q1124" s="36"/>
      <c r="R1124" s="36"/>
      <c r="S1124" s="36"/>
      <c r="T1124" s="36"/>
      <c r="U1124" s="36"/>
      <c r="V1124" s="36"/>
      <c r="W1124" s="36"/>
      <c r="X1124" s="36"/>
      <c r="Y1124" s="36"/>
      <c r="Z1124" s="36"/>
      <c r="AA1124" s="36"/>
      <c r="AB1124" s="36"/>
      <c r="AC1124" s="36"/>
    </row>
    <row r="1125" spans="1:29" ht="24" customHeight="1">
      <c r="A1125" s="100"/>
      <c r="B1125" s="100"/>
      <c r="C1125" s="100"/>
      <c r="D1125" s="81"/>
      <c r="E1125" s="80"/>
      <c r="F1125" s="620"/>
      <c r="G1125" s="620"/>
      <c r="H1125" s="94"/>
      <c r="I1125" s="81"/>
      <c r="J1125" s="35"/>
      <c r="K1125" s="36"/>
      <c r="L1125" s="36"/>
      <c r="M1125" s="36"/>
      <c r="N1125" s="36"/>
      <c r="O1125" s="36"/>
      <c r="P1125" s="36"/>
      <c r="Q1125" s="36"/>
      <c r="R1125" s="36"/>
      <c r="S1125" s="36"/>
      <c r="T1125" s="36"/>
      <c r="U1125" s="36"/>
      <c r="V1125" s="36"/>
      <c r="W1125" s="36"/>
      <c r="X1125" s="36"/>
      <c r="Y1125" s="36"/>
      <c r="Z1125" s="36"/>
      <c r="AA1125" s="36"/>
      <c r="AB1125" s="36"/>
      <c r="AC1125" s="36"/>
    </row>
    <row r="1126" spans="1:29" ht="24" customHeight="1">
      <c r="A1126" s="100"/>
      <c r="B1126" s="100"/>
      <c r="C1126" s="100"/>
      <c r="D1126" s="81"/>
      <c r="E1126" s="80"/>
      <c r="F1126" s="620"/>
      <c r="G1126" s="620"/>
      <c r="H1126" s="94"/>
      <c r="I1126" s="81"/>
      <c r="J1126" s="35"/>
      <c r="K1126" s="36"/>
      <c r="L1126" s="36"/>
      <c r="M1126" s="36"/>
      <c r="N1126" s="36"/>
      <c r="O1126" s="36"/>
      <c r="P1126" s="36"/>
      <c r="Q1126" s="36"/>
      <c r="R1126" s="36"/>
      <c r="S1126" s="36"/>
      <c r="T1126" s="36"/>
      <c r="U1126" s="36"/>
      <c r="V1126" s="36"/>
      <c r="W1126" s="36"/>
      <c r="X1126" s="36"/>
      <c r="Y1126" s="36"/>
      <c r="Z1126" s="36"/>
      <c r="AA1126" s="36"/>
      <c r="AB1126" s="36"/>
      <c r="AC1126" s="36"/>
    </row>
    <row r="1127" spans="1:29" ht="36" customHeight="1">
      <c r="A1127" s="100"/>
      <c r="B1127" s="100"/>
      <c r="C1127" s="100"/>
      <c r="D1127" s="81"/>
      <c r="E1127" s="80"/>
      <c r="F1127" s="620"/>
      <c r="G1127" s="620"/>
      <c r="H1127" s="94"/>
      <c r="I1127" s="81"/>
      <c r="J1127" s="35"/>
      <c r="K1127" s="36"/>
      <c r="L1127" s="36"/>
      <c r="M1127" s="36"/>
      <c r="N1127" s="36"/>
      <c r="O1127" s="36"/>
      <c r="P1127" s="36"/>
      <c r="Q1127" s="36"/>
      <c r="R1127" s="36"/>
      <c r="S1127" s="36"/>
      <c r="T1127" s="36"/>
      <c r="U1127" s="36"/>
      <c r="V1127" s="36"/>
      <c r="W1127" s="36"/>
      <c r="X1127" s="36"/>
      <c r="Y1127" s="36"/>
      <c r="Z1127" s="36"/>
      <c r="AA1127" s="36"/>
      <c r="AB1127" s="36"/>
      <c r="AC1127" s="36"/>
    </row>
    <row r="1128" spans="1:29" ht="24" customHeight="1">
      <c r="A1128" s="100"/>
      <c r="B1128" s="463"/>
      <c r="C1128" s="100"/>
      <c r="D1128" s="81"/>
      <c r="E1128" s="80"/>
      <c r="F1128" s="620"/>
      <c r="G1128" s="620"/>
      <c r="H1128" s="94"/>
      <c r="I1128" s="81"/>
      <c r="J1128" s="35"/>
      <c r="K1128" s="36"/>
      <c r="L1128" s="36"/>
      <c r="M1128" s="36"/>
      <c r="N1128" s="36"/>
      <c r="O1128" s="36"/>
      <c r="P1128" s="36"/>
      <c r="Q1128" s="36"/>
      <c r="R1128" s="36"/>
      <c r="S1128" s="36"/>
      <c r="T1128" s="36"/>
      <c r="U1128" s="36"/>
      <c r="V1128" s="36"/>
      <c r="W1128" s="36"/>
      <c r="X1128" s="36"/>
      <c r="Y1128" s="36"/>
      <c r="Z1128" s="36"/>
      <c r="AA1128" s="36"/>
      <c r="AB1128" s="36"/>
      <c r="AC1128" s="36"/>
    </row>
    <row r="1129" spans="1:29" ht="24" customHeight="1">
      <c r="A1129" s="100"/>
      <c r="B1129" s="100"/>
      <c r="C1129" s="100"/>
      <c r="D1129" s="81"/>
      <c r="E1129" s="80"/>
      <c r="F1129" s="620"/>
      <c r="G1129" s="620"/>
      <c r="H1129" s="94"/>
      <c r="I1129" s="81"/>
      <c r="J1129" s="35"/>
      <c r="K1129" s="36"/>
      <c r="L1129" s="36"/>
      <c r="M1129" s="36"/>
      <c r="N1129" s="36"/>
      <c r="O1129" s="36"/>
      <c r="P1129" s="36"/>
      <c r="Q1129" s="36"/>
      <c r="R1129" s="36"/>
      <c r="S1129" s="36"/>
      <c r="T1129" s="36"/>
      <c r="U1129" s="36"/>
      <c r="V1129" s="36"/>
      <c r="W1129" s="36"/>
      <c r="X1129" s="36"/>
      <c r="Y1129" s="36"/>
      <c r="Z1129" s="36"/>
      <c r="AA1129" s="36"/>
      <c r="AB1129" s="36"/>
      <c r="AC1129" s="36"/>
    </row>
    <row r="1130" spans="1:29" ht="24" customHeight="1">
      <c r="A1130" s="100"/>
      <c r="B1130" s="100"/>
      <c r="C1130" s="100"/>
      <c r="D1130" s="81"/>
      <c r="E1130" s="80"/>
      <c r="F1130" s="620"/>
      <c r="G1130" s="620"/>
      <c r="H1130" s="94"/>
      <c r="I1130" s="81"/>
      <c r="J1130" s="35"/>
      <c r="K1130" s="36"/>
      <c r="L1130" s="36"/>
      <c r="M1130" s="36"/>
      <c r="N1130" s="36"/>
      <c r="O1130" s="36"/>
      <c r="P1130" s="36"/>
      <c r="Q1130" s="36"/>
      <c r="R1130" s="36"/>
      <c r="S1130" s="36"/>
      <c r="T1130" s="36"/>
      <c r="U1130" s="36"/>
      <c r="V1130" s="36"/>
      <c r="W1130" s="36"/>
      <c r="X1130" s="36"/>
      <c r="Y1130" s="36"/>
      <c r="Z1130" s="36"/>
      <c r="AA1130" s="36"/>
      <c r="AB1130" s="36"/>
      <c r="AC1130" s="36"/>
    </row>
    <row r="1131" spans="1:29" ht="48" customHeight="1">
      <c r="A1131" s="100"/>
      <c r="B1131" s="463"/>
      <c r="C1131" s="100"/>
      <c r="D1131" s="81"/>
      <c r="E1131" s="80"/>
      <c r="F1131" s="620"/>
      <c r="G1131" s="620"/>
      <c r="H1131" s="94"/>
      <c r="I1131" s="81"/>
      <c r="J1131" s="35"/>
      <c r="K1131" s="36"/>
      <c r="L1131" s="36"/>
      <c r="M1131" s="36"/>
      <c r="N1131" s="36"/>
      <c r="O1131" s="36"/>
      <c r="P1131" s="36"/>
      <c r="Q1131" s="36"/>
      <c r="R1131" s="36"/>
      <c r="S1131" s="36"/>
      <c r="T1131" s="36"/>
      <c r="U1131" s="36"/>
      <c r="V1131" s="36"/>
      <c r="W1131" s="36"/>
      <c r="X1131" s="36"/>
      <c r="Y1131" s="36"/>
      <c r="Z1131" s="36"/>
      <c r="AA1131" s="36"/>
      <c r="AB1131" s="36"/>
      <c r="AC1131" s="36"/>
    </row>
    <row r="1132" spans="1:29" ht="36" customHeight="1">
      <c r="A1132" s="100"/>
      <c r="B1132" s="100"/>
      <c r="C1132" s="100"/>
      <c r="D1132" s="81"/>
      <c r="E1132" s="80"/>
      <c r="F1132" s="620"/>
      <c r="G1132" s="620"/>
      <c r="H1132" s="94"/>
      <c r="I1132" s="81"/>
      <c r="J1132" s="35"/>
      <c r="K1132" s="36"/>
      <c r="L1132" s="36"/>
      <c r="M1132" s="36"/>
      <c r="N1132" s="36"/>
      <c r="O1132" s="36"/>
      <c r="P1132" s="36"/>
      <c r="Q1132" s="36"/>
      <c r="R1132" s="36"/>
      <c r="S1132" s="36"/>
      <c r="T1132" s="36"/>
      <c r="U1132" s="36"/>
      <c r="V1132" s="36"/>
      <c r="W1132" s="36"/>
      <c r="X1132" s="36"/>
      <c r="Y1132" s="36"/>
      <c r="Z1132" s="36"/>
      <c r="AA1132" s="36"/>
      <c r="AB1132" s="36"/>
      <c r="AC1132" s="36"/>
    </row>
    <row r="1133" spans="1:29" ht="36" customHeight="1">
      <c r="A1133" s="100"/>
      <c r="B1133" s="463"/>
      <c r="C1133" s="100"/>
      <c r="D1133" s="81"/>
      <c r="E1133" s="80"/>
      <c r="F1133" s="620"/>
      <c r="G1133" s="620"/>
      <c r="H1133" s="94"/>
      <c r="I1133" s="81"/>
      <c r="J1133" s="35"/>
      <c r="K1133" s="36"/>
      <c r="L1133" s="36"/>
      <c r="M1133" s="36"/>
      <c r="N1133" s="36"/>
      <c r="O1133" s="36"/>
      <c r="P1133" s="36"/>
      <c r="Q1133" s="36"/>
      <c r="R1133" s="36"/>
      <c r="S1133" s="36"/>
      <c r="T1133" s="36"/>
      <c r="U1133" s="36"/>
      <c r="V1133" s="36"/>
      <c r="W1133" s="36"/>
      <c r="X1133" s="36"/>
      <c r="Y1133" s="36"/>
      <c r="Z1133" s="36"/>
      <c r="AA1133" s="36"/>
      <c r="AB1133" s="36"/>
      <c r="AC1133" s="36"/>
    </row>
    <row r="1134" spans="1:29" ht="24" customHeight="1">
      <c r="A1134" s="100"/>
      <c r="B1134" s="100"/>
      <c r="C1134" s="100"/>
      <c r="D1134" s="81"/>
      <c r="E1134" s="80"/>
      <c r="F1134" s="620"/>
      <c r="G1134" s="620"/>
      <c r="H1134" s="94"/>
      <c r="I1134" s="81"/>
      <c r="J1134" s="35"/>
      <c r="K1134" s="36"/>
      <c r="L1134" s="36"/>
      <c r="M1134" s="36"/>
      <c r="N1134" s="36"/>
      <c r="O1134" s="36"/>
      <c r="P1134" s="36"/>
      <c r="Q1134" s="36"/>
      <c r="R1134" s="36"/>
      <c r="S1134" s="36"/>
      <c r="T1134" s="36"/>
      <c r="U1134" s="36"/>
      <c r="V1134" s="36"/>
      <c r="W1134" s="36"/>
      <c r="X1134" s="36"/>
      <c r="Y1134" s="36"/>
      <c r="Z1134" s="36"/>
      <c r="AA1134" s="36"/>
      <c r="AB1134" s="36"/>
      <c r="AC1134" s="36"/>
    </row>
    <row r="1135" spans="1:29" ht="72" customHeight="1">
      <c r="A1135" s="100"/>
      <c r="B1135" s="463"/>
      <c r="C1135" s="100"/>
      <c r="D1135" s="81"/>
      <c r="E1135" s="80"/>
      <c r="F1135" s="620"/>
      <c r="G1135" s="620"/>
      <c r="H1135" s="94"/>
      <c r="I1135" s="81"/>
      <c r="J1135" s="35"/>
      <c r="K1135" s="36"/>
      <c r="L1135" s="36"/>
      <c r="M1135" s="36"/>
      <c r="N1135" s="36"/>
      <c r="O1135" s="36"/>
      <c r="P1135" s="36"/>
      <c r="Q1135" s="36"/>
      <c r="R1135" s="36"/>
      <c r="S1135" s="36"/>
      <c r="T1135" s="36"/>
      <c r="U1135" s="36"/>
      <c r="V1135" s="36"/>
      <c r="W1135" s="36"/>
      <c r="X1135" s="36"/>
      <c r="Y1135" s="36"/>
      <c r="Z1135" s="36"/>
      <c r="AA1135" s="36"/>
      <c r="AB1135" s="36"/>
      <c r="AC1135" s="36"/>
    </row>
    <row r="1136" spans="1:29" ht="72" customHeight="1">
      <c r="A1136" s="619"/>
      <c r="B1136" s="100"/>
      <c r="C1136" s="100"/>
      <c r="D1136" s="81"/>
      <c r="E1136" s="80"/>
      <c r="F1136" s="620"/>
      <c r="G1136" s="620"/>
      <c r="H1136" s="94"/>
      <c r="I1136" s="81"/>
      <c r="J1136" s="35"/>
      <c r="K1136" s="36"/>
      <c r="L1136" s="36"/>
      <c r="M1136" s="36"/>
      <c r="N1136" s="36"/>
      <c r="O1136" s="36"/>
      <c r="P1136" s="36"/>
      <c r="Q1136" s="36"/>
      <c r="R1136" s="36"/>
      <c r="S1136" s="36"/>
      <c r="T1136" s="36"/>
      <c r="U1136" s="36"/>
      <c r="V1136" s="36"/>
      <c r="W1136" s="36"/>
      <c r="X1136" s="36"/>
      <c r="Y1136" s="36"/>
      <c r="Z1136" s="36"/>
      <c r="AA1136" s="36"/>
      <c r="AB1136" s="36"/>
      <c r="AC1136" s="36"/>
    </row>
    <row r="1137" spans="1:29" ht="36" customHeight="1">
      <c r="A1137" s="619"/>
      <c r="B1137" s="100"/>
      <c r="C1137" s="100"/>
      <c r="D1137" s="81"/>
      <c r="E1137" s="80"/>
      <c r="F1137" s="620"/>
      <c r="G1137" s="620"/>
      <c r="H1137" s="94"/>
      <c r="I1137" s="81"/>
      <c r="J1137" s="35"/>
      <c r="K1137" s="36"/>
      <c r="L1137" s="36"/>
      <c r="M1137" s="36"/>
      <c r="N1137" s="36"/>
      <c r="O1137" s="36"/>
      <c r="P1137" s="36"/>
      <c r="Q1137" s="36"/>
      <c r="R1137" s="36"/>
      <c r="S1137" s="36"/>
      <c r="T1137" s="36"/>
      <c r="U1137" s="36"/>
      <c r="V1137" s="36"/>
      <c r="W1137" s="36"/>
      <c r="X1137" s="36"/>
      <c r="Y1137" s="36"/>
      <c r="Z1137" s="36"/>
      <c r="AA1137" s="36"/>
      <c r="AB1137" s="36"/>
      <c r="AC1137" s="36"/>
    </row>
    <row r="1138" spans="1:29" ht="24" customHeight="1">
      <c r="A1138" s="619"/>
      <c r="B1138" s="100"/>
      <c r="C1138" s="100"/>
      <c r="D1138" s="81"/>
      <c r="E1138" s="80"/>
      <c r="F1138" s="620"/>
      <c r="G1138" s="620"/>
      <c r="H1138" s="94"/>
      <c r="I1138" s="81"/>
      <c r="J1138" s="35"/>
      <c r="K1138" s="36"/>
      <c r="L1138" s="36"/>
      <c r="M1138" s="36"/>
      <c r="N1138" s="36"/>
      <c r="O1138" s="36"/>
      <c r="P1138" s="36"/>
      <c r="Q1138" s="36"/>
      <c r="R1138" s="36"/>
      <c r="S1138" s="36"/>
      <c r="T1138" s="36"/>
      <c r="U1138" s="36"/>
      <c r="V1138" s="36"/>
      <c r="W1138" s="36"/>
      <c r="X1138" s="36"/>
      <c r="Y1138" s="36"/>
      <c r="Z1138" s="36"/>
      <c r="AA1138" s="36"/>
      <c r="AB1138" s="36"/>
      <c r="AC1138" s="36"/>
    </row>
    <row r="1139" spans="1:29" ht="36" customHeight="1">
      <c r="A1139" s="619"/>
      <c r="B1139" s="100"/>
      <c r="C1139" s="100"/>
      <c r="D1139" s="81"/>
      <c r="E1139" s="80"/>
      <c r="F1139" s="620"/>
      <c r="G1139" s="620"/>
      <c r="H1139" s="94"/>
      <c r="I1139" s="81"/>
      <c r="J1139" s="35"/>
      <c r="K1139" s="36"/>
      <c r="L1139" s="36"/>
      <c r="M1139" s="36"/>
      <c r="N1139" s="36"/>
      <c r="O1139" s="36"/>
      <c r="P1139" s="36"/>
      <c r="Q1139" s="36"/>
      <c r="R1139" s="36"/>
      <c r="S1139" s="36"/>
      <c r="T1139" s="36"/>
      <c r="U1139" s="36"/>
      <c r="V1139" s="36"/>
      <c r="W1139" s="36"/>
      <c r="X1139" s="36"/>
      <c r="Y1139" s="36"/>
      <c r="Z1139" s="36"/>
      <c r="AA1139" s="36"/>
      <c r="AB1139" s="36"/>
      <c r="AC1139" s="36"/>
    </row>
    <row r="1140" spans="1:29" ht="24" customHeight="1">
      <c r="A1140" s="100"/>
      <c r="B1140" s="100"/>
      <c r="C1140" s="100"/>
      <c r="D1140" s="81"/>
      <c r="E1140" s="80"/>
      <c r="F1140" s="620"/>
      <c r="G1140" s="620"/>
      <c r="H1140" s="94"/>
      <c r="I1140" s="81"/>
      <c r="J1140" s="35"/>
      <c r="K1140" s="36"/>
      <c r="L1140" s="36"/>
      <c r="M1140" s="36"/>
      <c r="N1140" s="36"/>
      <c r="O1140" s="36"/>
      <c r="P1140" s="36"/>
      <c r="Q1140" s="36"/>
      <c r="R1140" s="36"/>
      <c r="S1140" s="36"/>
      <c r="T1140" s="36"/>
      <c r="U1140" s="36"/>
      <c r="V1140" s="36"/>
      <c r="W1140" s="36"/>
      <c r="X1140" s="36"/>
      <c r="Y1140" s="36"/>
      <c r="Z1140" s="36"/>
      <c r="AA1140" s="36"/>
      <c r="AB1140" s="36"/>
      <c r="AC1140" s="36"/>
    </row>
    <row r="1141" spans="1:29" ht="60" customHeight="1">
      <c r="A1141" s="100"/>
      <c r="B1141" s="100"/>
      <c r="C1141" s="100"/>
      <c r="D1141" s="81"/>
      <c r="E1141" s="80"/>
      <c r="F1141" s="620"/>
      <c r="G1141" s="620"/>
      <c r="H1141" s="94"/>
      <c r="I1141" s="81"/>
      <c r="J1141" s="35"/>
      <c r="K1141" s="36"/>
      <c r="L1141" s="36"/>
      <c r="M1141" s="36"/>
      <c r="N1141" s="36"/>
      <c r="O1141" s="36"/>
      <c r="P1141" s="36"/>
      <c r="Q1141" s="36"/>
      <c r="R1141" s="36"/>
      <c r="S1141" s="36"/>
      <c r="T1141" s="36"/>
      <c r="U1141" s="36"/>
      <c r="V1141" s="36"/>
      <c r="W1141" s="36"/>
      <c r="X1141" s="36"/>
      <c r="Y1141" s="36"/>
      <c r="Z1141" s="36"/>
      <c r="AA1141" s="36"/>
      <c r="AB1141" s="36"/>
      <c r="AC1141" s="36"/>
    </row>
    <row r="1142" spans="1:29" ht="36" customHeight="1">
      <c r="A1142" s="100"/>
      <c r="B1142" s="100"/>
      <c r="C1142" s="100"/>
      <c r="D1142" s="81"/>
      <c r="E1142" s="80"/>
      <c r="F1142" s="620"/>
      <c r="G1142" s="620"/>
      <c r="H1142" s="94"/>
      <c r="I1142" s="81"/>
      <c r="J1142" s="35"/>
      <c r="K1142" s="36"/>
      <c r="L1142" s="36"/>
      <c r="M1142" s="36"/>
      <c r="N1142" s="36"/>
      <c r="O1142" s="36"/>
      <c r="P1142" s="36"/>
      <c r="Q1142" s="36"/>
      <c r="R1142" s="36"/>
      <c r="S1142" s="36"/>
      <c r="T1142" s="36"/>
      <c r="U1142" s="36"/>
      <c r="V1142" s="36"/>
      <c r="W1142" s="36"/>
      <c r="X1142" s="36"/>
      <c r="Y1142" s="36"/>
      <c r="Z1142" s="36"/>
      <c r="AA1142" s="36"/>
      <c r="AB1142" s="36"/>
      <c r="AC1142" s="36"/>
    </row>
    <row r="1143" spans="1:29" ht="24" customHeight="1">
      <c r="A1143" s="100"/>
      <c r="B1143" s="100"/>
      <c r="C1143" s="100"/>
      <c r="D1143" s="81"/>
      <c r="E1143" s="80"/>
      <c r="F1143" s="620"/>
      <c r="G1143" s="620"/>
      <c r="H1143" s="94"/>
      <c r="I1143" s="81"/>
      <c r="J1143" s="35"/>
      <c r="K1143" s="36"/>
      <c r="L1143" s="36"/>
      <c r="M1143" s="36"/>
      <c r="N1143" s="36"/>
      <c r="O1143" s="36"/>
      <c r="P1143" s="36"/>
      <c r="Q1143" s="36"/>
      <c r="R1143" s="36"/>
      <c r="S1143" s="36"/>
      <c r="T1143" s="36"/>
      <c r="U1143" s="36"/>
      <c r="V1143" s="36"/>
      <c r="W1143" s="36"/>
      <c r="X1143" s="36"/>
      <c r="Y1143" s="36"/>
      <c r="Z1143" s="36"/>
      <c r="AA1143" s="36"/>
      <c r="AB1143" s="36"/>
      <c r="AC1143" s="36"/>
    </row>
    <row r="1144" spans="1:29" ht="36" customHeight="1">
      <c r="A1144" s="100"/>
      <c r="B1144" s="463"/>
      <c r="C1144" s="100"/>
      <c r="D1144" s="81"/>
      <c r="E1144" s="80"/>
      <c r="F1144" s="620"/>
      <c r="G1144" s="620"/>
      <c r="H1144" s="94"/>
      <c r="I1144" s="81"/>
      <c r="J1144" s="35"/>
      <c r="K1144" s="36"/>
      <c r="L1144" s="36"/>
      <c r="M1144" s="36"/>
      <c r="N1144" s="36"/>
      <c r="O1144" s="36"/>
      <c r="P1144" s="36"/>
      <c r="Q1144" s="36"/>
      <c r="R1144" s="36"/>
      <c r="S1144" s="36"/>
      <c r="T1144" s="36"/>
      <c r="U1144" s="36"/>
      <c r="V1144" s="36"/>
      <c r="W1144" s="36"/>
      <c r="X1144" s="36"/>
      <c r="Y1144" s="36"/>
      <c r="Z1144" s="36"/>
      <c r="AA1144" s="36"/>
      <c r="AB1144" s="36"/>
      <c r="AC1144" s="36"/>
    </row>
    <row r="1145" spans="1:29" ht="36" customHeight="1">
      <c r="A1145" s="100"/>
      <c r="B1145" s="100"/>
      <c r="C1145" s="100"/>
      <c r="D1145" s="81"/>
      <c r="E1145" s="80"/>
      <c r="F1145" s="620"/>
      <c r="G1145" s="620"/>
      <c r="H1145" s="94"/>
      <c r="I1145" s="81"/>
      <c r="J1145" s="35"/>
      <c r="K1145" s="36"/>
      <c r="L1145" s="36"/>
      <c r="M1145" s="36"/>
      <c r="N1145" s="36"/>
      <c r="O1145" s="36"/>
      <c r="P1145" s="36"/>
      <c r="Q1145" s="36"/>
      <c r="R1145" s="36"/>
      <c r="S1145" s="36"/>
      <c r="T1145" s="36"/>
      <c r="U1145" s="36"/>
      <c r="V1145" s="36"/>
      <c r="W1145" s="36"/>
      <c r="X1145" s="36"/>
      <c r="Y1145" s="36"/>
      <c r="Z1145" s="36"/>
      <c r="AA1145" s="36"/>
      <c r="AB1145" s="36"/>
      <c r="AC1145" s="36"/>
    </row>
    <row r="1146" spans="1:29" ht="60" customHeight="1">
      <c r="A1146" s="100"/>
      <c r="B1146" s="100"/>
      <c r="C1146" s="100"/>
      <c r="D1146" s="81"/>
      <c r="E1146" s="80"/>
      <c r="F1146" s="620"/>
      <c r="G1146" s="620"/>
      <c r="H1146" s="94"/>
      <c r="I1146" s="81"/>
      <c r="J1146" s="35"/>
      <c r="K1146" s="36"/>
      <c r="L1146" s="36"/>
      <c r="M1146" s="36"/>
      <c r="N1146" s="36"/>
      <c r="O1146" s="36"/>
      <c r="P1146" s="36"/>
      <c r="Q1146" s="36"/>
      <c r="R1146" s="36"/>
      <c r="S1146" s="36"/>
      <c r="T1146" s="36"/>
      <c r="U1146" s="36"/>
      <c r="V1146" s="36"/>
      <c r="W1146" s="36"/>
      <c r="X1146" s="36"/>
      <c r="Y1146" s="36"/>
      <c r="Z1146" s="36"/>
      <c r="AA1146" s="36"/>
      <c r="AB1146" s="36"/>
      <c r="AC1146" s="36"/>
    </row>
    <row r="1147" spans="1:29" ht="24" customHeight="1">
      <c r="A1147" s="100"/>
      <c r="B1147" s="100"/>
      <c r="C1147" s="100"/>
      <c r="D1147" s="81"/>
      <c r="E1147" s="80"/>
      <c r="F1147" s="620"/>
      <c r="G1147" s="620"/>
      <c r="H1147" s="94"/>
      <c r="I1147" s="81"/>
      <c r="J1147" s="35"/>
      <c r="K1147" s="36"/>
      <c r="L1147" s="36"/>
      <c r="M1147" s="36"/>
      <c r="N1147" s="36"/>
      <c r="O1147" s="36"/>
      <c r="P1147" s="36"/>
      <c r="Q1147" s="36"/>
      <c r="R1147" s="36"/>
      <c r="S1147" s="36"/>
      <c r="T1147" s="36"/>
      <c r="U1147" s="36"/>
      <c r="V1147" s="36"/>
      <c r="W1147" s="36"/>
      <c r="X1147" s="36"/>
      <c r="Y1147" s="36"/>
      <c r="Z1147" s="36"/>
      <c r="AA1147" s="36"/>
      <c r="AB1147" s="36"/>
      <c r="AC1147" s="36"/>
    </row>
    <row r="1148" spans="1:29" ht="24" customHeight="1">
      <c r="A1148" s="100"/>
      <c r="B1148" s="100"/>
      <c r="C1148" s="100"/>
      <c r="D1148" s="81"/>
      <c r="E1148" s="80"/>
      <c r="F1148" s="620"/>
      <c r="G1148" s="620"/>
      <c r="H1148" s="94"/>
      <c r="I1148" s="81"/>
      <c r="J1148" s="35"/>
      <c r="K1148" s="36"/>
      <c r="L1148" s="36"/>
      <c r="M1148" s="36"/>
      <c r="N1148" s="36"/>
      <c r="O1148" s="36"/>
      <c r="P1148" s="36"/>
      <c r="Q1148" s="36"/>
      <c r="R1148" s="36"/>
      <c r="S1148" s="36"/>
      <c r="T1148" s="36"/>
      <c r="U1148" s="36"/>
      <c r="V1148" s="36"/>
      <c r="W1148" s="36"/>
      <c r="X1148" s="36"/>
      <c r="Y1148" s="36"/>
      <c r="Z1148" s="36"/>
      <c r="AA1148" s="36"/>
      <c r="AB1148" s="36"/>
      <c r="AC1148" s="36"/>
    </row>
    <row r="1149" spans="1:29" ht="24" customHeight="1">
      <c r="A1149" s="100"/>
      <c r="B1149" s="100"/>
      <c r="C1149" s="100"/>
      <c r="D1149" s="81"/>
      <c r="E1149" s="80"/>
      <c r="F1149" s="620"/>
      <c r="G1149" s="620"/>
      <c r="H1149" s="94"/>
      <c r="I1149" s="81"/>
      <c r="J1149" s="35"/>
      <c r="K1149" s="36"/>
      <c r="L1149" s="36"/>
      <c r="M1149" s="36"/>
      <c r="N1149" s="36"/>
      <c r="O1149" s="36"/>
      <c r="P1149" s="36"/>
      <c r="Q1149" s="36"/>
      <c r="R1149" s="36"/>
      <c r="S1149" s="36"/>
      <c r="T1149" s="36"/>
      <c r="U1149" s="36"/>
      <c r="V1149" s="36"/>
      <c r="W1149" s="36"/>
      <c r="X1149" s="36"/>
      <c r="Y1149" s="36"/>
      <c r="Z1149" s="36"/>
      <c r="AA1149" s="36"/>
      <c r="AB1149" s="36"/>
      <c r="AC1149" s="36"/>
    </row>
    <row r="1150" spans="1:29" ht="24" customHeight="1">
      <c r="A1150" s="100"/>
      <c r="B1150" s="463"/>
      <c r="C1150" s="100"/>
      <c r="D1150" s="81"/>
      <c r="E1150" s="80"/>
      <c r="F1150" s="620"/>
      <c r="G1150" s="620"/>
      <c r="H1150" s="94"/>
      <c r="I1150" s="81"/>
      <c r="J1150" s="35"/>
      <c r="K1150" s="36"/>
      <c r="L1150" s="36"/>
      <c r="M1150" s="36"/>
      <c r="N1150" s="36"/>
      <c r="O1150" s="36"/>
      <c r="P1150" s="36"/>
      <c r="Q1150" s="36"/>
      <c r="R1150" s="36"/>
      <c r="S1150" s="36"/>
      <c r="T1150" s="36"/>
      <c r="U1150" s="36"/>
      <c r="V1150" s="36"/>
      <c r="W1150" s="36"/>
      <c r="X1150" s="36"/>
      <c r="Y1150" s="36"/>
      <c r="Z1150" s="36"/>
      <c r="AA1150" s="36"/>
      <c r="AB1150" s="36"/>
      <c r="AC1150" s="36"/>
    </row>
    <row r="1151" spans="1:29" ht="24" customHeight="1">
      <c r="A1151" s="100"/>
      <c r="B1151" s="100"/>
      <c r="C1151" s="100"/>
      <c r="D1151" s="81"/>
      <c r="E1151" s="80"/>
      <c r="F1151" s="620"/>
      <c r="G1151" s="620"/>
      <c r="H1151" s="94"/>
      <c r="I1151" s="81"/>
      <c r="J1151" s="35"/>
      <c r="K1151" s="36"/>
      <c r="L1151" s="36"/>
      <c r="M1151" s="36"/>
      <c r="N1151" s="36"/>
      <c r="O1151" s="36"/>
      <c r="P1151" s="36"/>
      <c r="Q1151" s="36"/>
      <c r="R1151" s="36"/>
      <c r="S1151" s="36"/>
      <c r="T1151" s="36"/>
      <c r="U1151" s="36"/>
      <c r="V1151" s="36"/>
      <c r="W1151" s="36"/>
      <c r="X1151" s="36"/>
      <c r="Y1151" s="36"/>
      <c r="Z1151" s="36"/>
      <c r="AA1151" s="36"/>
      <c r="AB1151" s="36"/>
      <c r="AC1151" s="36"/>
    </row>
    <row r="1152" spans="1:29" ht="36" customHeight="1">
      <c r="A1152" s="100"/>
      <c r="B1152" s="100"/>
      <c r="C1152" s="100"/>
      <c r="D1152" s="81"/>
      <c r="E1152" s="80"/>
      <c r="F1152" s="620"/>
      <c r="G1152" s="620"/>
      <c r="H1152" s="94"/>
      <c r="I1152" s="81"/>
      <c r="J1152" s="35"/>
      <c r="K1152" s="36"/>
      <c r="L1152" s="36"/>
      <c r="M1152" s="36"/>
      <c r="N1152" s="36"/>
      <c r="O1152" s="36"/>
      <c r="P1152" s="36"/>
      <c r="Q1152" s="36"/>
      <c r="R1152" s="36"/>
      <c r="S1152" s="36"/>
      <c r="T1152" s="36"/>
      <c r="U1152" s="36"/>
      <c r="V1152" s="36"/>
      <c r="W1152" s="36"/>
      <c r="X1152" s="36"/>
      <c r="Y1152" s="36"/>
      <c r="Z1152" s="36"/>
      <c r="AA1152" s="36"/>
      <c r="AB1152" s="36"/>
      <c r="AC1152" s="36"/>
    </row>
    <row r="1153" spans="1:29" ht="24" customHeight="1">
      <c r="A1153" s="100"/>
      <c r="B1153" s="100"/>
      <c r="C1153" s="100"/>
      <c r="D1153" s="81"/>
      <c r="E1153" s="80"/>
      <c r="F1153" s="620"/>
      <c r="G1153" s="620"/>
      <c r="H1153" s="94"/>
      <c r="I1153" s="81"/>
      <c r="J1153" s="35"/>
      <c r="K1153" s="36"/>
      <c r="L1153" s="36"/>
      <c r="M1153" s="36"/>
      <c r="N1153" s="36"/>
      <c r="O1153" s="36"/>
      <c r="P1153" s="36"/>
      <c r="Q1153" s="36"/>
      <c r="R1153" s="36"/>
      <c r="S1153" s="36"/>
      <c r="T1153" s="36"/>
      <c r="U1153" s="36"/>
      <c r="V1153" s="36"/>
      <c r="W1153" s="36"/>
      <c r="X1153" s="36"/>
      <c r="Y1153" s="36"/>
      <c r="Z1153" s="36"/>
      <c r="AA1153" s="36"/>
      <c r="AB1153" s="36"/>
      <c r="AC1153" s="36"/>
    </row>
    <row r="1154" spans="1:29" ht="24" customHeight="1">
      <c r="A1154" s="100"/>
      <c r="B1154" s="100"/>
      <c r="C1154" s="100"/>
      <c r="D1154" s="81"/>
      <c r="E1154" s="80"/>
      <c r="F1154" s="620"/>
      <c r="G1154" s="620"/>
      <c r="H1154" s="94"/>
      <c r="I1154" s="81"/>
      <c r="J1154" s="35"/>
      <c r="K1154" s="36"/>
      <c r="L1154" s="36"/>
      <c r="M1154" s="36"/>
      <c r="N1154" s="36"/>
      <c r="O1154" s="36"/>
      <c r="P1154" s="36"/>
      <c r="Q1154" s="36"/>
      <c r="R1154" s="36"/>
      <c r="S1154" s="36"/>
      <c r="T1154" s="36"/>
      <c r="U1154" s="36"/>
      <c r="V1154" s="36"/>
      <c r="W1154" s="36"/>
      <c r="X1154" s="36"/>
      <c r="Y1154" s="36"/>
      <c r="Z1154" s="36"/>
      <c r="AA1154" s="36"/>
      <c r="AB1154" s="36"/>
      <c r="AC1154" s="36"/>
    </row>
    <row r="1155" spans="1:29" ht="24" customHeight="1">
      <c r="A1155" s="100"/>
      <c r="B1155" s="463"/>
      <c r="C1155" s="100"/>
      <c r="D1155" s="81"/>
      <c r="E1155" s="80"/>
      <c r="F1155" s="620"/>
      <c r="G1155" s="620"/>
      <c r="H1155" s="94"/>
      <c r="I1155" s="81"/>
      <c r="J1155" s="35"/>
      <c r="K1155" s="36"/>
      <c r="L1155" s="36"/>
      <c r="M1155" s="36"/>
      <c r="N1155" s="36"/>
      <c r="O1155" s="36"/>
      <c r="P1155" s="36"/>
      <c r="Q1155" s="36"/>
      <c r="R1155" s="36"/>
      <c r="S1155" s="36"/>
      <c r="T1155" s="36"/>
      <c r="U1155" s="36"/>
      <c r="V1155" s="36"/>
      <c r="W1155" s="36"/>
      <c r="X1155" s="36"/>
      <c r="Y1155" s="36"/>
      <c r="Z1155" s="36"/>
      <c r="AA1155" s="36"/>
      <c r="AB1155" s="36"/>
      <c r="AC1155" s="36"/>
    </row>
    <row r="1156" spans="1:29" ht="36" customHeight="1">
      <c r="A1156" s="100"/>
      <c r="B1156" s="463"/>
      <c r="C1156" s="100"/>
      <c r="D1156" s="81"/>
      <c r="E1156" s="80"/>
      <c r="F1156" s="620"/>
      <c r="G1156" s="620"/>
      <c r="H1156" s="94"/>
      <c r="I1156" s="81"/>
      <c r="J1156" s="35"/>
      <c r="K1156" s="36"/>
      <c r="L1156" s="36"/>
      <c r="M1156" s="36"/>
      <c r="N1156" s="36"/>
      <c r="O1156" s="36"/>
      <c r="P1156" s="36"/>
      <c r="Q1156" s="36"/>
      <c r="R1156" s="36"/>
      <c r="S1156" s="36"/>
      <c r="T1156" s="36"/>
      <c r="U1156" s="36"/>
      <c r="V1156" s="36"/>
      <c r="W1156" s="36"/>
      <c r="X1156" s="36"/>
      <c r="Y1156" s="36"/>
      <c r="Z1156" s="36"/>
      <c r="AA1156" s="36"/>
      <c r="AB1156" s="36"/>
      <c r="AC1156" s="36"/>
    </row>
    <row r="1157" spans="1:29" ht="24" customHeight="1">
      <c r="A1157" s="100"/>
      <c r="B1157" s="100"/>
      <c r="C1157" s="100"/>
      <c r="D1157" s="81"/>
      <c r="E1157" s="80"/>
      <c r="F1157" s="620"/>
      <c r="G1157" s="620"/>
      <c r="H1157" s="94"/>
      <c r="I1157" s="81"/>
      <c r="J1157" s="35"/>
      <c r="K1157" s="36"/>
      <c r="L1157" s="36"/>
      <c r="M1157" s="36"/>
      <c r="N1157" s="36"/>
      <c r="O1157" s="36"/>
      <c r="P1157" s="36"/>
      <c r="Q1157" s="36"/>
      <c r="R1157" s="36"/>
      <c r="S1157" s="36"/>
      <c r="T1157" s="36"/>
      <c r="U1157" s="36"/>
      <c r="V1157" s="36"/>
      <c r="W1157" s="36"/>
      <c r="X1157" s="36"/>
      <c r="Y1157" s="36"/>
      <c r="Z1157" s="36"/>
      <c r="AA1157" s="36"/>
      <c r="AB1157" s="36"/>
      <c r="AC1157" s="36"/>
    </row>
    <row r="1158" spans="1:29" ht="24" customHeight="1">
      <c r="A1158" s="100"/>
      <c r="B1158" s="100"/>
      <c r="C1158" s="100"/>
      <c r="D1158" s="81"/>
      <c r="E1158" s="80"/>
      <c r="F1158" s="620"/>
      <c r="G1158" s="620"/>
      <c r="H1158" s="94"/>
      <c r="I1158" s="81"/>
      <c r="J1158" s="35"/>
      <c r="K1158" s="36"/>
      <c r="L1158" s="36"/>
      <c r="M1158" s="36"/>
      <c r="N1158" s="36"/>
      <c r="O1158" s="36"/>
      <c r="P1158" s="36"/>
      <c r="Q1158" s="36"/>
      <c r="R1158" s="36"/>
      <c r="S1158" s="36"/>
      <c r="T1158" s="36"/>
      <c r="U1158" s="36"/>
      <c r="V1158" s="36"/>
      <c r="W1158" s="36"/>
      <c r="X1158" s="36"/>
      <c r="Y1158" s="36"/>
      <c r="Z1158" s="36"/>
      <c r="AA1158" s="36"/>
      <c r="AB1158" s="36"/>
      <c r="AC1158" s="36"/>
    </row>
    <row r="1159" spans="1:29" ht="36" customHeight="1">
      <c r="A1159" s="100"/>
      <c r="B1159" s="100"/>
      <c r="C1159" s="100"/>
      <c r="D1159" s="81"/>
      <c r="E1159" s="80"/>
      <c r="F1159" s="620"/>
      <c r="G1159" s="620"/>
      <c r="H1159" s="94"/>
      <c r="I1159" s="81"/>
      <c r="J1159" s="35"/>
      <c r="K1159" s="36"/>
      <c r="L1159" s="36"/>
      <c r="M1159" s="36"/>
      <c r="N1159" s="36"/>
      <c r="O1159" s="36"/>
      <c r="P1159" s="36"/>
      <c r="Q1159" s="36"/>
      <c r="R1159" s="36"/>
      <c r="S1159" s="36"/>
      <c r="T1159" s="36"/>
      <c r="U1159" s="36"/>
      <c r="V1159" s="36"/>
      <c r="W1159" s="36"/>
      <c r="X1159" s="36"/>
      <c r="Y1159" s="36"/>
      <c r="Z1159" s="36"/>
      <c r="AA1159" s="36"/>
      <c r="AB1159" s="36"/>
      <c r="AC1159" s="36"/>
    </row>
    <row r="1160" spans="1:29" ht="24" customHeight="1">
      <c r="A1160" s="100"/>
      <c r="B1160" s="100"/>
      <c r="C1160" s="100"/>
      <c r="D1160" s="81"/>
      <c r="E1160" s="80"/>
      <c r="F1160" s="620"/>
      <c r="G1160" s="620"/>
      <c r="H1160" s="94"/>
      <c r="I1160" s="81"/>
      <c r="J1160" s="35"/>
      <c r="K1160" s="36"/>
      <c r="L1160" s="36"/>
      <c r="M1160" s="36"/>
      <c r="N1160" s="36"/>
      <c r="O1160" s="36"/>
      <c r="P1160" s="36"/>
      <c r="Q1160" s="36"/>
      <c r="R1160" s="36"/>
      <c r="S1160" s="36"/>
      <c r="T1160" s="36"/>
      <c r="U1160" s="36"/>
      <c r="V1160" s="36"/>
      <c r="W1160" s="36"/>
      <c r="X1160" s="36"/>
      <c r="Y1160" s="36"/>
      <c r="Z1160" s="36"/>
      <c r="AA1160" s="36"/>
      <c r="AB1160" s="36"/>
      <c r="AC1160" s="36"/>
    </row>
    <row r="1161" spans="1:29" ht="24" customHeight="1">
      <c r="A1161" s="100"/>
      <c r="B1161" s="100"/>
      <c r="C1161" s="100"/>
      <c r="D1161" s="81"/>
      <c r="E1161" s="80"/>
      <c r="F1161" s="620"/>
      <c r="G1161" s="620"/>
      <c r="H1161" s="94"/>
      <c r="I1161" s="81"/>
      <c r="J1161" s="35"/>
      <c r="K1161" s="36"/>
      <c r="L1161" s="36"/>
      <c r="M1161" s="36"/>
      <c r="N1161" s="36"/>
      <c r="O1161" s="36"/>
      <c r="P1161" s="36"/>
      <c r="Q1161" s="36"/>
      <c r="R1161" s="36"/>
      <c r="S1161" s="36"/>
      <c r="T1161" s="36"/>
      <c r="U1161" s="36"/>
      <c r="V1161" s="36"/>
      <c r="W1161" s="36"/>
      <c r="X1161" s="36"/>
      <c r="Y1161" s="36"/>
      <c r="Z1161" s="36"/>
      <c r="AA1161" s="36"/>
      <c r="AB1161" s="36"/>
      <c r="AC1161" s="36"/>
    </row>
    <row r="1162" spans="1:29" ht="24" customHeight="1">
      <c r="A1162" s="100"/>
      <c r="B1162" s="100"/>
      <c r="C1162" s="100"/>
      <c r="D1162" s="81"/>
      <c r="E1162" s="80"/>
      <c r="F1162" s="620"/>
      <c r="G1162" s="620"/>
      <c r="H1162" s="94"/>
      <c r="I1162" s="81"/>
      <c r="J1162" s="35"/>
      <c r="K1162" s="36"/>
      <c r="L1162" s="36"/>
      <c r="M1162" s="36"/>
      <c r="N1162" s="36"/>
      <c r="O1162" s="36"/>
      <c r="P1162" s="36"/>
      <c r="Q1162" s="36"/>
      <c r="R1162" s="36"/>
      <c r="S1162" s="36"/>
      <c r="T1162" s="36"/>
      <c r="U1162" s="36"/>
      <c r="V1162" s="36"/>
      <c r="W1162" s="36"/>
      <c r="X1162" s="36"/>
      <c r="Y1162" s="36"/>
      <c r="Z1162" s="36"/>
      <c r="AA1162" s="36"/>
      <c r="AB1162" s="36"/>
      <c r="AC1162" s="36"/>
    </row>
    <row r="1163" spans="1:29" ht="24" customHeight="1">
      <c r="A1163" s="100"/>
      <c r="B1163" s="91"/>
      <c r="C1163" s="100"/>
      <c r="D1163" s="81"/>
      <c r="E1163" s="80"/>
      <c r="F1163" s="620"/>
      <c r="G1163" s="620"/>
      <c r="H1163" s="94"/>
      <c r="I1163" s="81"/>
      <c r="J1163" s="35"/>
      <c r="K1163" s="36"/>
      <c r="L1163" s="36"/>
      <c r="M1163" s="36"/>
      <c r="N1163" s="36"/>
      <c r="O1163" s="36"/>
      <c r="P1163" s="36"/>
      <c r="Q1163" s="36"/>
      <c r="R1163" s="36"/>
      <c r="S1163" s="36"/>
      <c r="T1163" s="36"/>
      <c r="U1163" s="36"/>
      <c r="V1163" s="36"/>
      <c r="W1163" s="36"/>
      <c r="X1163" s="36"/>
      <c r="Y1163" s="36"/>
      <c r="Z1163" s="36"/>
      <c r="AA1163" s="36"/>
      <c r="AB1163" s="36"/>
      <c r="AC1163" s="36"/>
    </row>
    <row r="1164" spans="1:29" ht="24" customHeight="1">
      <c r="A1164" s="100"/>
      <c r="B1164" s="100"/>
      <c r="C1164" s="100"/>
      <c r="D1164" s="81"/>
      <c r="E1164" s="80"/>
      <c r="F1164" s="620"/>
      <c r="G1164" s="620"/>
      <c r="H1164" s="94"/>
      <c r="I1164" s="81"/>
      <c r="J1164" s="35"/>
      <c r="K1164" s="36"/>
      <c r="L1164" s="36"/>
      <c r="M1164" s="36"/>
      <c r="N1164" s="36"/>
      <c r="O1164" s="36"/>
      <c r="P1164" s="36"/>
      <c r="Q1164" s="36"/>
      <c r="R1164" s="36"/>
      <c r="S1164" s="36"/>
      <c r="T1164" s="36"/>
      <c r="U1164" s="36"/>
      <c r="V1164" s="36"/>
      <c r="W1164" s="36"/>
      <c r="X1164" s="36"/>
      <c r="Y1164" s="36"/>
      <c r="Z1164" s="36"/>
      <c r="AA1164" s="36"/>
      <c r="AB1164" s="36"/>
      <c r="AC1164" s="36"/>
    </row>
    <row r="1165" spans="1:29" ht="24" customHeight="1">
      <c r="A1165" s="100"/>
      <c r="B1165" s="100"/>
      <c r="C1165" s="100"/>
      <c r="D1165" s="81"/>
      <c r="E1165" s="80"/>
      <c r="F1165" s="620"/>
      <c r="G1165" s="620"/>
      <c r="H1165" s="94"/>
      <c r="I1165" s="81"/>
      <c r="J1165" s="35"/>
      <c r="K1165" s="36"/>
      <c r="L1165" s="36"/>
      <c r="M1165" s="36"/>
      <c r="N1165" s="36"/>
      <c r="O1165" s="36"/>
      <c r="P1165" s="36"/>
      <c r="Q1165" s="36"/>
      <c r="R1165" s="36"/>
      <c r="S1165" s="36"/>
      <c r="T1165" s="36"/>
      <c r="U1165" s="36"/>
      <c r="V1165" s="36"/>
      <c r="W1165" s="36"/>
      <c r="X1165" s="36"/>
      <c r="Y1165" s="36"/>
      <c r="Z1165" s="36"/>
      <c r="AA1165" s="36"/>
      <c r="AB1165" s="36"/>
      <c r="AC1165" s="36"/>
    </row>
    <row r="1166" spans="1:29" ht="24" customHeight="1">
      <c r="A1166" s="100"/>
      <c r="B1166" s="100"/>
      <c r="C1166" s="100"/>
      <c r="D1166" s="81"/>
      <c r="E1166" s="80"/>
      <c r="F1166" s="620"/>
      <c r="G1166" s="620"/>
      <c r="H1166" s="94"/>
      <c r="I1166" s="81"/>
      <c r="J1166" s="35"/>
      <c r="K1166" s="36"/>
      <c r="L1166" s="36"/>
      <c r="M1166" s="36"/>
      <c r="N1166" s="36"/>
      <c r="O1166" s="36"/>
      <c r="P1166" s="36"/>
      <c r="Q1166" s="36"/>
      <c r="R1166" s="36"/>
      <c r="S1166" s="36"/>
      <c r="T1166" s="36"/>
      <c r="U1166" s="36"/>
      <c r="V1166" s="36"/>
      <c r="W1166" s="36"/>
      <c r="X1166" s="36"/>
      <c r="Y1166" s="36"/>
      <c r="Z1166" s="36"/>
      <c r="AA1166" s="36"/>
      <c r="AB1166" s="36"/>
      <c r="AC1166" s="36"/>
    </row>
    <row r="1167" spans="1:29" ht="24" customHeight="1">
      <c r="A1167" s="100"/>
      <c r="B1167" s="100"/>
      <c r="C1167" s="100"/>
      <c r="D1167" s="81"/>
      <c r="E1167" s="80"/>
      <c r="F1167" s="620"/>
      <c r="G1167" s="620"/>
      <c r="H1167" s="94"/>
      <c r="I1167" s="81"/>
      <c r="J1167" s="35"/>
      <c r="K1167" s="36"/>
      <c r="L1167" s="36"/>
      <c r="M1167" s="36"/>
      <c r="N1167" s="36"/>
      <c r="O1167" s="36"/>
      <c r="P1167" s="36"/>
      <c r="Q1167" s="36"/>
      <c r="R1167" s="36"/>
      <c r="S1167" s="36"/>
      <c r="T1167" s="36"/>
      <c r="U1167" s="36"/>
      <c r="V1167" s="36"/>
      <c r="W1167" s="36"/>
      <c r="X1167" s="36"/>
      <c r="Y1167" s="36"/>
      <c r="Z1167" s="36"/>
      <c r="AA1167" s="36"/>
      <c r="AB1167" s="36"/>
      <c r="AC1167" s="36"/>
    </row>
    <row r="1168" spans="1:29" ht="72" customHeight="1">
      <c r="A1168" s="100"/>
      <c r="B1168" s="100"/>
      <c r="C1168" s="100"/>
      <c r="D1168" s="81"/>
      <c r="E1168" s="80"/>
      <c r="F1168" s="620"/>
      <c r="G1168" s="620"/>
      <c r="H1168" s="94"/>
      <c r="I1168" s="81"/>
      <c r="J1168" s="35"/>
      <c r="K1168" s="36"/>
      <c r="L1168" s="36"/>
      <c r="M1168" s="36"/>
      <c r="N1168" s="36"/>
      <c r="O1168" s="36"/>
      <c r="P1168" s="36"/>
      <c r="Q1168" s="36"/>
      <c r="R1168" s="36"/>
      <c r="S1168" s="36"/>
      <c r="T1168" s="36"/>
      <c r="U1168" s="36"/>
      <c r="V1168" s="36"/>
      <c r="W1168" s="36"/>
      <c r="X1168" s="36"/>
      <c r="Y1168" s="36"/>
      <c r="Z1168" s="36"/>
      <c r="AA1168" s="36"/>
      <c r="AB1168" s="36"/>
      <c r="AC1168" s="36"/>
    </row>
    <row r="1169" spans="1:29" ht="48" customHeight="1">
      <c r="A1169" s="100"/>
      <c r="B1169" s="100"/>
      <c r="C1169" s="100"/>
      <c r="D1169" s="81"/>
      <c r="E1169" s="80"/>
      <c r="F1169" s="620"/>
      <c r="G1169" s="620"/>
      <c r="H1169" s="94"/>
      <c r="I1169" s="81"/>
      <c r="J1169" s="35"/>
      <c r="K1169" s="36"/>
      <c r="L1169" s="36"/>
      <c r="M1169" s="36"/>
      <c r="N1169" s="36"/>
      <c r="O1169" s="36"/>
      <c r="P1169" s="36"/>
      <c r="Q1169" s="36"/>
      <c r="R1169" s="36"/>
      <c r="S1169" s="36"/>
      <c r="T1169" s="36"/>
      <c r="U1169" s="36"/>
      <c r="V1169" s="36"/>
      <c r="W1169" s="36"/>
      <c r="X1169" s="36"/>
      <c r="Y1169" s="36"/>
      <c r="Z1169" s="36"/>
      <c r="AA1169" s="36"/>
      <c r="AB1169" s="36"/>
      <c r="AC1169" s="36"/>
    </row>
    <row r="1170" spans="1:29" ht="24" customHeight="1">
      <c r="A1170" s="100"/>
      <c r="B1170" s="100"/>
      <c r="C1170" s="100"/>
      <c r="D1170" s="100"/>
      <c r="E1170" s="80"/>
      <c r="F1170" s="620"/>
      <c r="G1170" s="620"/>
      <c r="H1170" s="94"/>
      <c r="I1170" s="81"/>
      <c r="J1170" s="35"/>
      <c r="K1170" s="36"/>
      <c r="L1170" s="36"/>
      <c r="M1170" s="36"/>
      <c r="N1170" s="36"/>
      <c r="O1170" s="36"/>
      <c r="P1170" s="36"/>
      <c r="Q1170" s="36"/>
      <c r="R1170" s="36"/>
      <c r="S1170" s="36"/>
      <c r="T1170" s="36"/>
      <c r="U1170" s="36"/>
      <c r="V1170" s="36"/>
      <c r="W1170" s="36"/>
      <c r="X1170" s="36"/>
      <c r="Y1170" s="36"/>
      <c r="Z1170" s="36"/>
      <c r="AA1170" s="36"/>
      <c r="AB1170" s="36"/>
      <c r="AC1170" s="36"/>
    </row>
    <row r="1171" spans="1:29" ht="24" customHeight="1">
      <c r="A1171" s="100"/>
      <c r="B1171" s="100"/>
      <c r="C1171" s="100"/>
      <c r="D1171" s="100"/>
      <c r="E1171" s="80"/>
      <c r="F1171" s="620"/>
      <c r="G1171" s="620"/>
      <c r="H1171" s="94"/>
      <c r="I1171" s="81"/>
      <c r="J1171" s="35"/>
      <c r="K1171" s="36"/>
      <c r="L1171" s="36"/>
      <c r="M1171" s="36"/>
      <c r="N1171" s="36"/>
      <c r="O1171" s="36"/>
      <c r="P1171" s="36"/>
      <c r="Q1171" s="36"/>
      <c r="R1171" s="36"/>
      <c r="S1171" s="36"/>
      <c r="T1171" s="36"/>
      <c r="U1171" s="36"/>
      <c r="V1171" s="36"/>
      <c r="W1171" s="36"/>
      <c r="X1171" s="36"/>
      <c r="Y1171" s="36"/>
      <c r="Z1171" s="36"/>
      <c r="AA1171" s="36"/>
      <c r="AB1171" s="36"/>
      <c r="AC1171" s="36"/>
    </row>
    <row r="1172" spans="1:29" ht="36" customHeight="1">
      <c r="A1172" s="619"/>
      <c r="B1172" s="100"/>
      <c r="C1172" s="100"/>
      <c r="D1172" s="100"/>
      <c r="E1172" s="99"/>
      <c r="F1172" s="620"/>
      <c r="G1172" s="620"/>
      <c r="H1172" s="94"/>
      <c r="I1172" s="81"/>
      <c r="J1172" s="35"/>
      <c r="K1172" s="36"/>
      <c r="L1172" s="36"/>
      <c r="M1172" s="36"/>
      <c r="N1172" s="36"/>
      <c r="O1172" s="36"/>
      <c r="P1172" s="36"/>
      <c r="Q1172" s="36"/>
      <c r="R1172" s="36"/>
      <c r="S1172" s="36"/>
      <c r="T1172" s="36"/>
      <c r="U1172" s="36"/>
      <c r="V1172" s="36"/>
      <c r="W1172" s="36"/>
      <c r="X1172" s="36"/>
      <c r="Y1172" s="36"/>
      <c r="Z1172" s="36"/>
      <c r="AA1172" s="36"/>
      <c r="AB1172" s="36"/>
      <c r="AC1172" s="36"/>
    </row>
    <row r="1173" spans="1:29" ht="24" customHeight="1">
      <c r="A1173" s="100"/>
      <c r="B1173" s="100"/>
      <c r="C1173" s="100"/>
      <c r="D1173" s="100"/>
      <c r="E1173" s="99"/>
      <c r="F1173" s="620"/>
      <c r="G1173" s="620"/>
      <c r="H1173" s="94"/>
      <c r="I1173" s="81"/>
      <c r="J1173" s="35"/>
      <c r="K1173" s="36"/>
      <c r="L1173" s="36"/>
      <c r="M1173" s="36"/>
      <c r="N1173" s="36"/>
      <c r="O1173" s="36"/>
      <c r="P1173" s="36"/>
      <c r="Q1173" s="36"/>
      <c r="R1173" s="36"/>
      <c r="S1173" s="36"/>
      <c r="T1173" s="36"/>
      <c r="U1173" s="36"/>
      <c r="V1173" s="36"/>
      <c r="W1173" s="36"/>
      <c r="X1173" s="36"/>
      <c r="Y1173" s="36"/>
      <c r="Z1173" s="36"/>
      <c r="AA1173" s="36"/>
      <c r="AB1173" s="36"/>
      <c r="AC1173" s="36"/>
    </row>
    <row r="1174" spans="1:29" ht="24" customHeight="1">
      <c r="A1174" s="635"/>
      <c r="B1174" s="100"/>
      <c r="C1174" s="100"/>
      <c r="D1174" s="100"/>
      <c r="E1174" s="99"/>
      <c r="F1174" s="620"/>
      <c r="G1174" s="620"/>
      <c r="H1174" s="94"/>
      <c r="I1174" s="81"/>
      <c r="J1174" s="35"/>
      <c r="K1174" s="36"/>
      <c r="L1174" s="36"/>
      <c r="M1174" s="36"/>
      <c r="N1174" s="36"/>
      <c r="O1174" s="36"/>
      <c r="P1174" s="36"/>
      <c r="Q1174" s="36"/>
      <c r="R1174" s="36"/>
      <c r="S1174" s="36"/>
      <c r="T1174" s="36"/>
      <c r="U1174" s="36"/>
      <c r="V1174" s="36"/>
      <c r="W1174" s="36"/>
      <c r="X1174" s="36"/>
      <c r="Y1174" s="36"/>
      <c r="Z1174" s="36"/>
      <c r="AA1174" s="36"/>
      <c r="AB1174" s="36"/>
      <c r="AC1174" s="36"/>
    </row>
    <row r="1175" spans="1:29" ht="24" customHeight="1">
      <c r="A1175" s="100"/>
      <c r="B1175" s="100"/>
      <c r="C1175" s="100"/>
      <c r="D1175" s="100"/>
      <c r="E1175" s="99"/>
      <c r="F1175" s="620"/>
      <c r="G1175" s="620"/>
      <c r="H1175" s="94"/>
      <c r="I1175" s="81"/>
      <c r="J1175" s="35"/>
      <c r="K1175" s="36"/>
      <c r="L1175" s="36"/>
      <c r="M1175" s="36"/>
      <c r="N1175" s="36"/>
      <c r="O1175" s="36"/>
      <c r="P1175" s="36"/>
      <c r="Q1175" s="36"/>
      <c r="R1175" s="36"/>
      <c r="S1175" s="36"/>
      <c r="T1175" s="36"/>
      <c r="U1175" s="36"/>
      <c r="V1175" s="36"/>
      <c r="W1175" s="36"/>
      <c r="X1175" s="36"/>
      <c r="Y1175" s="36"/>
      <c r="Z1175" s="36"/>
      <c r="AA1175" s="36"/>
      <c r="AB1175" s="36"/>
      <c r="AC1175" s="36"/>
    </row>
    <row r="1176" spans="1:29" ht="15" customHeight="1">
      <c r="A1176" s="100"/>
      <c r="B1176" s="100"/>
      <c r="C1176" s="100"/>
      <c r="D1176" s="100"/>
      <c r="E1176" s="99"/>
      <c r="F1176" s="620"/>
      <c r="G1176" s="620"/>
      <c r="H1176" s="94"/>
      <c r="I1176" s="81"/>
      <c r="J1176" s="35"/>
      <c r="K1176" s="36"/>
      <c r="L1176" s="36"/>
      <c r="M1176" s="36"/>
      <c r="N1176" s="36"/>
      <c r="O1176" s="36"/>
      <c r="P1176" s="36"/>
      <c r="Q1176" s="36"/>
      <c r="R1176" s="36"/>
      <c r="S1176" s="36"/>
      <c r="T1176" s="36"/>
      <c r="U1176" s="36"/>
      <c r="V1176" s="36"/>
      <c r="W1176" s="36"/>
      <c r="X1176" s="36"/>
      <c r="Y1176" s="36"/>
      <c r="Z1176" s="36"/>
      <c r="AA1176" s="36"/>
      <c r="AB1176" s="36"/>
      <c r="AC1176" s="36"/>
    </row>
    <row r="1177" spans="1:29" ht="372" customHeight="1">
      <c r="A1177" s="100"/>
      <c r="B1177" s="463"/>
      <c r="C1177" s="100"/>
      <c r="D1177" s="463"/>
      <c r="E1177" s="99"/>
      <c r="F1177" s="620"/>
      <c r="G1177" s="620"/>
      <c r="H1177" s="94"/>
      <c r="I1177" s="81"/>
      <c r="J1177" s="35"/>
      <c r="K1177" s="36"/>
      <c r="L1177" s="36"/>
      <c r="M1177" s="36"/>
      <c r="N1177" s="36"/>
      <c r="O1177" s="36"/>
      <c r="P1177" s="36"/>
      <c r="Q1177" s="36"/>
      <c r="R1177" s="36"/>
      <c r="S1177" s="36"/>
      <c r="T1177" s="36"/>
      <c r="U1177" s="36"/>
      <c r="V1177" s="36"/>
      <c r="W1177" s="36"/>
      <c r="X1177" s="36"/>
      <c r="Y1177" s="36"/>
      <c r="Z1177" s="36"/>
      <c r="AA1177" s="36"/>
      <c r="AB1177" s="36"/>
      <c r="AC1177" s="36"/>
    </row>
    <row r="1178" spans="1:29" ht="24" customHeight="1">
      <c r="A1178" s="100"/>
      <c r="B1178" s="463"/>
      <c r="C1178" s="100"/>
      <c r="D1178" s="463"/>
      <c r="E1178" s="99"/>
      <c r="F1178" s="620"/>
      <c r="G1178" s="620"/>
      <c r="H1178" s="94"/>
      <c r="I1178" s="81"/>
      <c r="J1178" s="35"/>
      <c r="K1178" s="36"/>
      <c r="L1178" s="36"/>
      <c r="M1178" s="36"/>
      <c r="N1178" s="36"/>
      <c r="O1178" s="36"/>
      <c r="P1178" s="36"/>
      <c r="Q1178" s="36"/>
      <c r="R1178" s="36"/>
      <c r="S1178" s="36"/>
      <c r="T1178" s="36"/>
      <c r="U1178" s="36"/>
      <c r="V1178" s="36"/>
      <c r="W1178" s="36"/>
      <c r="X1178" s="36"/>
      <c r="Y1178" s="36"/>
      <c r="Z1178" s="36"/>
      <c r="AA1178" s="36"/>
      <c r="AB1178" s="36"/>
      <c r="AC1178" s="36"/>
    </row>
    <row r="1179" spans="1:29" ht="12" customHeight="1">
      <c r="A1179" s="100"/>
      <c r="B1179" s="463"/>
      <c r="C1179" s="632"/>
      <c r="D1179" s="100"/>
      <c r="E1179" s="99"/>
      <c r="F1179" s="620"/>
      <c r="G1179" s="620"/>
      <c r="H1179" s="94"/>
      <c r="I1179" s="81"/>
      <c r="J1179" s="35"/>
      <c r="K1179" s="36"/>
      <c r="L1179" s="36"/>
      <c r="M1179" s="36"/>
      <c r="N1179" s="36"/>
      <c r="O1179" s="36"/>
      <c r="P1179" s="36"/>
      <c r="Q1179" s="36"/>
      <c r="R1179" s="36"/>
      <c r="S1179" s="36"/>
      <c r="T1179" s="36"/>
      <c r="U1179" s="36"/>
      <c r="V1179" s="36"/>
      <c r="W1179" s="36"/>
      <c r="X1179" s="36"/>
      <c r="Y1179" s="36"/>
      <c r="Z1179" s="36"/>
      <c r="AA1179" s="36"/>
      <c r="AB1179" s="36"/>
      <c r="AC1179" s="36"/>
    </row>
    <row r="1180" spans="1:29" ht="12" customHeight="1">
      <c r="A1180" s="619"/>
      <c r="B1180" s="94"/>
      <c r="C1180" s="81"/>
      <c r="D1180" s="81"/>
      <c r="E1180" s="80"/>
      <c r="F1180" s="620"/>
      <c r="G1180" s="620"/>
      <c r="H1180" s="94"/>
      <c r="I1180" s="81"/>
      <c r="J1180" s="35"/>
      <c r="K1180" s="36"/>
      <c r="L1180" s="36"/>
      <c r="M1180" s="36"/>
      <c r="N1180" s="36"/>
      <c r="O1180" s="36"/>
      <c r="P1180" s="36"/>
      <c r="Q1180" s="36"/>
      <c r="R1180" s="36"/>
      <c r="S1180" s="36"/>
      <c r="T1180" s="36"/>
      <c r="U1180" s="36"/>
      <c r="V1180" s="36"/>
      <c r="W1180" s="36"/>
      <c r="X1180" s="36"/>
      <c r="Y1180" s="36"/>
      <c r="Z1180" s="36"/>
      <c r="AA1180" s="36"/>
      <c r="AB1180" s="36"/>
      <c r="AC1180" s="36"/>
    </row>
    <row r="1181" spans="1:29" ht="12" customHeight="1">
      <c r="A1181" s="81"/>
      <c r="B1181" s="81"/>
      <c r="C1181" s="81"/>
      <c r="D1181" s="81"/>
      <c r="E1181" s="80"/>
      <c r="F1181" s="620"/>
      <c r="G1181" s="620"/>
      <c r="H1181" s="94"/>
      <c r="I1181" s="81"/>
      <c r="J1181" s="35"/>
      <c r="K1181" s="36"/>
      <c r="L1181" s="36"/>
      <c r="M1181" s="36"/>
      <c r="N1181" s="36"/>
      <c r="O1181" s="36"/>
      <c r="P1181" s="36"/>
      <c r="Q1181" s="36"/>
      <c r="R1181" s="36"/>
      <c r="S1181" s="36"/>
      <c r="T1181" s="36"/>
      <c r="U1181" s="36"/>
      <c r="V1181" s="36"/>
      <c r="W1181" s="36"/>
      <c r="X1181" s="36"/>
      <c r="Y1181" s="36"/>
      <c r="Z1181" s="36"/>
      <c r="AA1181" s="36"/>
      <c r="AB1181" s="36"/>
      <c r="AC1181" s="36"/>
    </row>
    <row r="1182" spans="1:29" ht="24" customHeight="1">
      <c r="A1182" s="81"/>
      <c r="B1182" s="81"/>
      <c r="C1182" s="81"/>
      <c r="D1182" s="81"/>
      <c r="E1182" s="80"/>
      <c r="F1182" s="620"/>
      <c r="G1182" s="620"/>
      <c r="H1182" s="94"/>
      <c r="I1182" s="81"/>
      <c r="J1182" s="35"/>
      <c r="K1182" s="36"/>
      <c r="L1182" s="36"/>
      <c r="M1182" s="36"/>
      <c r="N1182" s="36"/>
      <c r="O1182" s="36"/>
      <c r="P1182" s="36"/>
      <c r="Q1182" s="36"/>
      <c r="R1182" s="36"/>
      <c r="S1182" s="36"/>
      <c r="T1182" s="36"/>
      <c r="U1182" s="36"/>
      <c r="V1182" s="36"/>
      <c r="W1182" s="36"/>
      <c r="X1182" s="36"/>
      <c r="Y1182" s="36"/>
      <c r="Z1182" s="36"/>
      <c r="AA1182" s="36"/>
      <c r="AB1182" s="36"/>
      <c r="AC1182" s="36"/>
    </row>
    <row r="1183" spans="1:29" ht="36" customHeight="1">
      <c r="A1183" s="81"/>
      <c r="B1183" s="81"/>
      <c r="C1183" s="81"/>
      <c r="D1183" s="81"/>
      <c r="E1183" s="80"/>
      <c r="F1183" s="620"/>
      <c r="G1183" s="620"/>
      <c r="H1183" s="94"/>
      <c r="I1183" s="81"/>
      <c r="J1183" s="35"/>
      <c r="K1183" s="36"/>
      <c r="L1183" s="36"/>
      <c r="M1183" s="36"/>
      <c r="N1183" s="36"/>
      <c r="O1183" s="36"/>
      <c r="P1183" s="36"/>
      <c r="Q1183" s="36"/>
      <c r="R1183" s="36"/>
      <c r="S1183" s="36"/>
      <c r="T1183" s="36"/>
      <c r="U1183" s="36"/>
      <c r="V1183" s="36"/>
      <c r="W1183" s="36"/>
      <c r="X1183" s="36"/>
      <c r="Y1183" s="36"/>
      <c r="Z1183" s="36"/>
      <c r="AA1183" s="36"/>
      <c r="AB1183" s="36"/>
      <c r="AC1183" s="36"/>
    </row>
    <row r="1184" spans="1:29" ht="48" customHeight="1">
      <c r="A1184" s="81"/>
      <c r="B1184" s="81"/>
      <c r="C1184" s="81"/>
      <c r="D1184" s="81"/>
      <c r="E1184" s="80"/>
      <c r="F1184" s="620"/>
      <c r="G1184" s="620"/>
      <c r="H1184" s="94"/>
      <c r="I1184" s="81"/>
      <c r="J1184" s="35"/>
      <c r="K1184" s="36"/>
      <c r="L1184" s="36"/>
      <c r="M1184" s="36"/>
      <c r="N1184" s="36"/>
      <c r="O1184" s="36"/>
      <c r="P1184" s="36"/>
      <c r="Q1184" s="36"/>
      <c r="R1184" s="36"/>
      <c r="S1184" s="36"/>
      <c r="T1184" s="36"/>
      <c r="U1184" s="36"/>
      <c r="V1184" s="36"/>
      <c r="W1184" s="36"/>
      <c r="X1184" s="36"/>
      <c r="Y1184" s="36"/>
      <c r="Z1184" s="36"/>
      <c r="AA1184" s="36"/>
      <c r="AB1184" s="36"/>
      <c r="AC1184" s="36"/>
    </row>
    <row r="1185" spans="1:29" ht="24" customHeight="1">
      <c r="A1185" s="81"/>
      <c r="B1185" s="81"/>
      <c r="C1185" s="81"/>
      <c r="D1185" s="81"/>
      <c r="E1185" s="80"/>
      <c r="F1185" s="620"/>
      <c r="G1185" s="620"/>
      <c r="H1185" s="94"/>
      <c r="I1185" s="81"/>
      <c r="J1185" s="35"/>
      <c r="K1185" s="36"/>
      <c r="L1185" s="36"/>
      <c r="M1185" s="36"/>
      <c r="N1185" s="36"/>
      <c r="O1185" s="36"/>
      <c r="P1185" s="36"/>
      <c r="Q1185" s="36"/>
      <c r="R1185" s="36"/>
      <c r="S1185" s="36"/>
      <c r="T1185" s="36"/>
      <c r="U1185" s="36"/>
      <c r="V1185" s="36"/>
      <c r="W1185" s="36"/>
      <c r="X1185" s="36"/>
      <c r="Y1185" s="36"/>
      <c r="Z1185" s="36"/>
      <c r="AA1185" s="36"/>
      <c r="AB1185" s="36"/>
      <c r="AC1185" s="36"/>
    </row>
    <row r="1186" spans="1:29" ht="12" customHeight="1">
      <c r="A1186" s="81"/>
      <c r="B1186" s="81"/>
      <c r="C1186" s="81"/>
      <c r="D1186" s="81"/>
      <c r="E1186" s="80"/>
      <c r="F1186" s="620"/>
      <c r="G1186" s="620"/>
      <c r="H1186" s="94"/>
      <c r="I1186" s="81"/>
      <c r="J1186" s="35"/>
      <c r="K1186" s="36"/>
      <c r="L1186" s="36"/>
      <c r="M1186" s="36"/>
      <c r="N1186" s="36"/>
      <c r="O1186" s="36"/>
      <c r="P1186" s="36"/>
      <c r="Q1186" s="36"/>
      <c r="R1186" s="36"/>
      <c r="S1186" s="36"/>
      <c r="T1186" s="36"/>
      <c r="U1186" s="36"/>
      <c r="V1186" s="36"/>
      <c r="W1186" s="36"/>
      <c r="X1186" s="36"/>
      <c r="Y1186" s="36"/>
      <c r="Z1186" s="36"/>
      <c r="AA1186" s="36"/>
      <c r="AB1186" s="36"/>
      <c r="AC1186" s="36"/>
    </row>
    <row r="1187" spans="1:29" ht="24" customHeight="1">
      <c r="A1187" s="81"/>
      <c r="B1187" s="81"/>
      <c r="C1187" s="81"/>
      <c r="D1187" s="81"/>
      <c r="E1187" s="80"/>
      <c r="F1187" s="620"/>
      <c r="G1187" s="620"/>
      <c r="H1187" s="94"/>
      <c r="I1187" s="81"/>
      <c r="J1187" s="35"/>
      <c r="K1187" s="36"/>
      <c r="L1187" s="36"/>
      <c r="M1187" s="36"/>
      <c r="N1187" s="36"/>
      <c r="O1187" s="36"/>
      <c r="P1187" s="36"/>
      <c r="Q1187" s="36"/>
      <c r="R1187" s="36"/>
      <c r="S1187" s="36"/>
      <c r="T1187" s="36"/>
      <c r="U1187" s="36"/>
      <c r="V1187" s="36"/>
      <c r="W1187" s="36"/>
      <c r="X1187" s="36"/>
      <c r="Y1187" s="36"/>
      <c r="Z1187" s="36"/>
      <c r="AA1187" s="36"/>
      <c r="AB1187" s="36"/>
      <c r="AC1187" s="36"/>
    </row>
    <row r="1188" spans="1:29" ht="24" customHeight="1">
      <c r="A1188" s="81"/>
      <c r="B1188" s="81"/>
      <c r="C1188" s="81"/>
      <c r="D1188" s="81"/>
      <c r="E1188" s="80"/>
      <c r="F1188" s="620"/>
      <c r="G1188" s="620"/>
      <c r="H1188" s="94"/>
      <c r="I1188" s="81"/>
      <c r="J1188" s="35"/>
      <c r="K1188" s="36"/>
      <c r="L1188" s="36"/>
      <c r="M1188" s="36"/>
      <c r="N1188" s="36"/>
      <c r="O1188" s="36"/>
      <c r="P1188" s="36"/>
      <c r="Q1188" s="36"/>
      <c r="R1188" s="36"/>
      <c r="S1188" s="36"/>
      <c r="T1188" s="36"/>
      <c r="U1188" s="36"/>
      <c r="V1188" s="36"/>
      <c r="W1188" s="36"/>
      <c r="X1188" s="36"/>
      <c r="Y1188" s="36"/>
      <c r="Z1188" s="36"/>
      <c r="AA1188" s="36"/>
      <c r="AB1188" s="36"/>
      <c r="AC1188" s="36"/>
    </row>
    <row r="1189" spans="1:29" ht="12" customHeight="1">
      <c r="A1189" s="81"/>
      <c r="B1189" s="81"/>
      <c r="C1189" s="81"/>
      <c r="D1189" s="81"/>
      <c r="E1189" s="80"/>
      <c r="F1189" s="620"/>
      <c r="G1189" s="620"/>
      <c r="H1189" s="94"/>
      <c r="I1189" s="81"/>
      <c r="J1189" s="35"/>
      <c r="K1189" s="36"/>
      <c r="L1189" s="36"/>
      <c r="M1189" s="36"/>
      <c r="N1189" s="36"/>
      <c r="O1189" s="36"/>
      <c r="P1189" s="36"/>
      <c r="Q1189" s="36"/>
      <c r="R1189" s="36"/>
      <c r="S1189" s="36"/>
      <c r="T1189" s="36"/>
      <c r="U1189" s="36"/>
      <c r="V1189" s="36"/>
      <c r="W1189" s="36"/>
      <c r="X1189" s="36"/>
      <c r="Y1189" s="36"/>
      <c r="Z1189" s="36"/>
      <c r="AA1189" s="36"/>
      <c r="AB1189" s="36"/>
      <c r="AC1189" s="36"/>
    </row>
    <row r="1190" spans="1:29" ht="48" customHeight="1">
      <c r="A1190" s="81"/>
      <c r="B1190" s="81"/>
      <c r="C1190" s="81"/>
      <c r="D1190" s="81"/>
      <c r="E1190" s="80"/>
      <c r="F1190" s="620"/>
      <c r="G1190" s="620"/>
      <c r="H1190" s="94"/>
      <c r="I1190" s="81"/>
      <c r="J1190" s="35"/>
      <c r="K1190" s="36"/>
      <c r="L1190" s="36"/>
      <c r="M1190" s="36"/>
      <c r="N1190" s="36"/>
      <c r="O1190" s="36"/>
      <c r="P1190" s="36"/>
      <c r="Q1190" s="36"/>
      <c r="R1190" s="36"/>
      <c r="S1190" s="36"/>
      <c r="T1190" s="36"/>
      <c r="U1190" s="36"/>
      <c r="V1190" s="36"/>
      <c r="W1190" s="36"/>
      <c r="X1190" s="36"/>
      <c r="Y1190" s="36"/>
      <c r="Z1190" s="36"/>
      <c r="AA1190" s="36"/>
      <c r="AB1190" s="36"/>
      <c r="AC1190" s="36"/>
    </row>
    <row r="1191" spans="1:29" ht="36" customHeight="1">
      <c r="A1191" s="81"/>
      <c r="B1191" s="81"/>
      <c r="C1191" s="81"/>
      <c r="D1191" s="81"/>
      <c r="E1191" s="80"/>
      <c r="F1191" s="620"/>
      <c r="G1191" s="620"/>
      <c r="H1191" s="94"/>
      <c r="I1191" s="81"/>
      <c r="J1191" s="35"/>
      <c r="K1191" s="36"/>
      <c r="L1191" s="36"/>
      <c r="M1191" s="36"/>
      <c r="N1191" s="36"/>
      <c r="O1191" s="36"/>
      <c r="P1191" s="36"/>
      <c r="Q1191" s="36"/>
      <c r="R1191" s="36"/>
      <c r="S1191" s="36"/>
      <c r="T1191" s="36"/>
      <c r="U1191" s="36"/>
      <c r="V1191" s="36"/>
      <c r="W1191" s="36"/>
      <c r="X1191" s="36"/>
      <c r="Y1191" s="36"/>
      <c r="Z1191" s="36"/>
      <c r="AA1191" s="36"/>
      <c r="AB1191" s="36"/>
      <c r="AC1191" s="36"/>
    </row>
    <row r="1192" spans="1:29" ht="24" customHeight="1">
      <c r="A1192" s="81"/>
      <c r="B1192" s="94"/>
      <c r="C1192" s="81"/>
      <c r="D1192" s="81"/>
      <c r="E1192" s="80"/>
      <c r="F1192" s="620"/>
      <c r="G1192" s="620"/>
      <c r="H1192" s="94"/>
      <c r="I1192" s="81"/>
      <c r="J1192" s="35"/>
      <c r="K1192" s="36"/>
      <c r="L1192" s="36"/>
      <c r="M1192" s="36"/>
      <c r="N1192" s="36"/>
      <c r="O1192" s="36"/>
      <c r="P1192" s="36"/>
      <c r="Q1192" s="36"/>
      <c r="R1192" s="36"/>
      <c r="S1192" s="36"/>
      <c r="T1192" s="36"/>
      <c r="U1192" s="36"/>
      <c r="V1192" s="36"/>
      <c r="W1192" s="36"/>
      <c r="X1192" s="36"/>
      <c r="Y1192" s="36"/>
      <c r="Z1192" s="36"/>
      <c r="AA1192" s="36"/>
      <c r="AB1192" s="36"/>
      <c r="AC1192" s="36"/>
    </row>
    <row r="1193" spans="1:29" ht="60" customHeight="1">
      <c r="A1193" s="81"/>
      <c r="B1193" s="81"/>
      <c r="C1193" s="81"/>
      <c r="D1193" s="81"/>
      <c r="E1193" s="80"/>
      <c r="F1193" s="620"/>
      <c r="G1193" s="620"/>
      <c r="H1193" s="94"/>
      <c r="I1193" s="81"/>
      <c r="J1193" s="35"/>
      <c r="K1193" s="36"/>
      <c r="L1193" s="36"/>
      <c r="M1193" s="36"/>
      <c r="N1193" s="36"/>
      <c r="O1193" s="36"/>
      <c r="P1193" s="36"/>
      <c r="Q1193" s="36"/>
      <c r="R1193" s="36"/>
      <c r="S1193" s="36"/>
      <c r="T1193" s="36"/>
      <c r="U1193" s="36"/>
      <c r="V1193" s="36"/>
      <c r="W1193" s="36"/>
      <c r="X1193" s="36"/>
      <c r="Y1193" s="36"/>
      <c r="Z1193" s="36"/>
      <c r="AA1193" s="36"/>
      <c r="AB1193" s="36"/>
      <c r="AC1193" s="36"/>
    </row>
    <row r="1194" spans="1:29" ht="24" customHeight="1">
      <c r="A1194" s="81"/>
      <c r="B1194" s="81"/>
      <c r="C1194" s="81"/>
      <c r="D1194" s="81"/>
      <c r="E1194" s="80"/>
      <c r="F1194" s="620"/>
      <c r="G1194" s="620"/>
      <c r="H1194" s="94"/>
      <c r="I1194" s="81"/>
      <c r="J1194" s="35"/>
      <c r="K1194" s="36"/>
      <c r="L1194" s="36"/>
      <c r="M1194" s="36"/>
      <c r="N1194" s="36"/>
      <c r="O1194" s="36"/>
      <c r="P1194" s="36"/>
      <c r="Q1194" s="36"/>
      <c r="R1194" s="36"/>
      <c r="S1194" s="36"/>
      <c r="T1194" s="36"/>
      <c r="U1194" s="36"/>
      <c r="V1194" s="36"/>
      <c r="W1194" s="36"/>
      <c r="X1194" s="36"/>
      <c r="Y1194" s="36"/>
      <c r="Z1194" s="36"/>
      <c r="AA1194" s="36"/>
      <c r="AB1194" s="36"/>
      <c r="AC1194" s="36"/>
    </row>
    <row r="1195" spans="1:29" ht="36" customHeight="1">
      <c r="A1195" s="81"/>
      <c r="B1195" s="81"/>
      <c r="C1195" s="81"/>
      <c r="D1195" s="81"/>
      <c r="E1195" s="80"/>
      <c r="F1195" s="620"/>
      <c r="G1195" s="620"/>
      <c r="H1195" s="94"/>
      <c r="I1195" s="81"/>
      <c r="J1195" s="35"/>
      <c r="K1195" s="36"/>
      <c r="L1195" s="36"/>
      <c r="M1195" s="36"/>
      <c r="N1195" s="36"/>
      <c r="O1195" s="36"/>
      <c r="P1195" s="36"/>
      <c r="Q1195" s="36"/>
      <c r="R1195" s="36"/>
      <c r="S1195" s="36"/>
      <c r="T1195" s="36"/>
      <c r="U1195" s="36"/>
      <c r="V1195" s="36"/>
      <c r="W1195" s="36"/>
      <c r="X1195" s="36"/>
      <c r="Y1195" s="36"/>
      <c r="Z1195" s="36"/>
      <c r="AA1195" s="36"/>
      <c r="AB1195" s="36"/>
      <c r="AC1195" s="36"/>
    </row>
    <row r="1196" spans="1:29" ht="24" customHeight="1">
      <c r="A1196" s="81"/>
      <c r="B1196" s="81"/>
      <c r="C1196" s="81"/>
      <c r="D1196" s="81"/>
      <c r="E1196" s="80"/>
      <c r="F1196" s="620"/>
      <c r="G1196" s="620"/>
      <c r="H1196" s="94"/>
      <c r="I1196" s="81"/>
      <c r="J1196" s="35"/>
      <c r="K1196" s="36"/>
      <c r="L1196" s="36"/>
      <c r="M1196" s="36"/>
      <c r="N1196" s="36"/>
      <c r="O1196" s="36"/>
      <c r="P1196" s="36"/>
      <c r="Q1196" s="36"/>
      <c r="R1196" s="36"/>
      <c r="S1196" s="36"/>
      <c r="T1196" s="36"/>
      <c r="U1196" s="36"/>
      <c r="V1196" s="36"/>
      <c r="W1196" s="36"/>
      <c r="X1196" s="36"/>
      <c r="Y1196" s="36"/>
      <c r="Z1196" s="36"/>
      <c r="AA1196" s="36"/>
      <c r="AB1196" s="36"/>
      <c r="AC1196" s="36"/>
    </row>
    <row r="1197" spans="1:29" ht="36" customHeight="1">
      <c r="A1197" s="81"/>
      <c r="B1197" s="81"/>
      <c r="C1197" s="81"/>
      <c r="D1197" s="81"/>
      <c r="E1197" s="80"/>
      <c r="F1197" s="620"/>
      <c r="G1197" s="620"/>
      <c r="H1197" s="94"/>
      <c r="I1197" s="81"/>
      <c r="J1197" s="35"/>
      <c r="K1197" s="36"/>
      <c r="L1197" s="36"/>
      <c r="M1197" s="36"/>
      <c r="N1197" s="36"/>
      <c r="O1197" s="36"/>
      <c r="P1197" s="36"/>
      <c r="Q1197" s="36"/>
      <c r="R1197" s="36"/>
      <c r="S1197" s="36"/>
      <c r="T1197" s="36"/>
      <c r="U1197" s="36"/>
      <c r="V1197" s="36"/>
      <c r="W1197" s="36"/>
      <c r="X1197" s="36"/>
      <c r="Y1197" s="36"/>
      <c r="Z1197" s="36"/>
      <c r="AA1197" s="36"/>
      <c r="AB1197" s="36"/>
      <c r="AC1197" s="36"/>
    </row>
    <row r="1198" spans="1:29" ht="36" customHeight="1">
      <c r="A1198" s="81"/>
      <c r="B1198" s="81"/>
      <c r="C1198" s="81"/>
      <c r="D1198" s="81"/>
      <c r="E1198" s="80"/>
      <c r="F1198" s="620"/>
      <c r="G1198" s="620"/>
      <c r="H1198" s="94"/>
      <c r="I1198" s="81"/>
      <c r="J1198" s="35"/>
      <c r="K1198" s="36"/>
      <c r="L1198" s="36"/>
      <c r="M1198" s="36"/>
      <c r="N1198" s="36"/>
      <c r="O1198" s="36"/>
      <c r="P1198" s="36"/>
      <c r="Q1198" s="36"/>
      <c r="R1198" s="36"/>
      <c r="S1198" s="36"/>
      <c r="T1198" s="36"/>
      <c r="U1198" s="36"/>
      <c r="V1198" s="36"/>
      <c r="W1198" s="36"/>
      <c r="X1198" s="36"/>
      <c r="Y1198" s="36"/>
      <c r="Z1198" s="36"/>
      <c r="AA1198" s="36"/>
      <c r="AB1198" s="36"/>
      <c r="AC1198" s="36"/>
    </row>
    <row r="1199" spans="1:29" ht="24" customHeight="1">
      <c r="A1199" s="81"/>
      <c r="B1199" s="81"/>
      <c r="C1199" s="81"/>
      <c r="D1199" s="81"/>
      <c r="E1199" s="80"/>
      <c r="F1199" s="620"/>
      <c r="G1199" s="620"/>
      <c r="H1199" s="94"/>
      <c r="I1199" s="81"/>
      <c r="J1199" s="36"/>
      <c r="K1199" s="36"/>
      <c r="L1199" s="36"/>
      <c r="M1199" s="36"/>
      <c r="N1199" s="36"/>
      <c r="O1199" s="36"/>
      <c r="P1199" s="36"/>
      <c r="Q1199" s="36"/>
      <c r="R1199" s="36"/>
      <c r="S1199" s="36"/>
      <c r="T1199" s="36"/>
      <c r="U1199" s="36"/>
      <c r="V1199" s="36"/>
      <c r="W1199" s="36"/>
      <c r="X1199" s="36"/>
      <c r="Y1199" s="36"/>
      <c r="Z1199" s="36"/>
      <c r="AA1199" s="36"/>
      <c r="AB1199" s="36"/>
      <c r="AC1199" s="36"/>
    </row>
    <row r="1200" spans="1:29" ht="48" customHeight="1">
      <c r="A1200" s="81"/>
      <c r="B1200" s="81"/>
      <c r="C1200" s="81"/>
      <c r="D1200" s="81"/>
      <c r="E1200" s="80"/>
      <c r="F1200" s="620"/>
      <c r="G1200" s="620"/>
      <c r="H1200" s="94"/>
      <c r="I1200" s="81"/>
      <c r="J1200" s="35"/>
      <c r="K1200" s="36"/>
      <c r="L1200" s="36"/>
      <c r="M1200" s="36"/>
      <c r="N1200" s="36"/>
      <c r="O1200" s="36"/>
      <c r="P1200" s="36"/>
      <c r="Q1200" s="36"/>
      <c r="R1200" s="36"/>
      <c r="S1200" s="36"/>
      <c r="T1200" s="36"/>
      <c r="U1200" s="36"/>
      <c r="V1200" s="36"/>
      <c r="W1200" s="36"/>
      <c r="X1200" s="36"/>
      <c r="Y1200" s="36"/>
      <c r="Z1200" s="36"/>
      <c r="AA1200" s="36"/>
      <c r="AB1200" s="36"/>
      <c r="AC1200" s="36"/>
    </row>
    <row r="1201" spans="1:29" ht="36" customHeight="1">
      <c r="A1201" s="81"/>
      <c r="B1201" s="81"/>
      <c r="C1201" s="81"/>
      <c r="D1201" s="81"/>
      <c r="E1201" s="80"/>
      <c r="F1201" s="620"/>
      <c r="G1201" s="620"/>
      <c r="H1201" s="94"/>
      <c r="I1201" s="81"/>
      <c r="J1201" s="35"/>
      <c r="K1201" s="36"/>
      <c r="L1201" s="36"/>
      <c r="M1201" s="36"/>
      <c r="N1201" s="36"/>
      <c r="O1201" s="36"/>
      <c r="P1201" s="36"/>
      <c r="Q1201" s="36"/>
      <c r="R1201" s="36"/>
      <c r="S1201" s="36"/>
      <c r="T1201" s="36"/>
      <c r="U1201" s="36"/>
      <c r="V1201" s="36"/>
      <c r="W1201" s="36"/>
      <c r="X1201" s="36"/>
      <c r="Y1201" s="36"/>
      <c r="Z1201" s="36"/>
      <c r="AA1201" s="36"/>
      <c r="AB1201" s="36"/>
      <c r="AC1201" s="36"/>
    </row>
    <row r="1202" spans="1:29" ht="36" customHeight="1">
      <c r="A1202" s="81"/>
      <c r="B1202" s="81"/>
      <c r="C1202" s="81"/>
      <c r="D1202" s="81"/>
      <c r="E1202" s="80"/>
      <c r="F1202" s="620"/>
      <c r="G1202" s="620"/>
      <c r="H1202" s="94"/>
      <c r="I1202" s="81"/>
      <c r="J1202" s="35"/>
      <c r="K1202" s="36"/>
      <c r="L1202" s="36"/>
      <c r="M1202" s="36"/>
      <c r="N1202" s="36"/>
      <c r="O1202" s="36"/>
      <c r="P1202" s="36"/>
      <c r="Q1202" s="36"/>
      <c r="R1202" s="36"/>
      <c r="S1202" s="36"/>
      <c r="T1202" s="36"/>
      <c r="U1202" s="36"/>
      <c r="V1202" s="36"/>
      <c r="W1202" s="36"/>
      <c r="X1202" s="36"/>
      <c r="Y1202" s="36"/>
      <c r="Z1202" s="36"/>
      <c r="AA1202" s="36"/>
      <c r="AB1202" s="36"/>
      <c r="AC1202" s="36"/>
    </row>
    <row r="1203" spans="1:29" ht="36" customHeight="1">
      <c r="A1203" s="81"/>
      <c r="B1203" s="81"/>
      <c r="C1203" s="81"/>
      <c r="D1203" s="81"/>
      <c r="E1203" s="629"/>
      <c r="F1203" s="620"/>
      <c r="G1203" s="620"/>
      <c r="H1203" s="94"/>
      <c r="I1203" s="81"/>
      <c r="J1203" s="35"/>
      <c r="K1203" s="36"/>
      <c r="L1203" s="36"/>
      <c r="M1203" s="36"/>
      <c r="N1203" s="36"/>
      <c r="O1203" s="36"/>
      <c r="P1203" s="36"/>
      <c r="Q1203" s="36"/>
      <c r="R1203" s="36"/>
      <c r="S1203" s="36"/>
      <c r="T1203" s="36"/>
      <c r="U1203" s="36"/>
      <c r="V1203" s="36"/>
      <c r="W1203" s="36"/>
      <c r="X1203" s="36"/>
      <c r="Y1203" s="36"/>
      <c r="Z1203" s="36"/>
      <c r="AA1203" s="36"/>
      <c r="AB1203" s="36"/>
      <c r="AC1203" s="36"/>
    </row>
    <row r="1204" spans="1:29" ht="48" customHeight="1">
      <c r="A1204" s="81"/>
      <c r="B1204" s="81"/>
      <c r="C1204" s="81"/>
      <c r="D1204" s="81"/>
      <c r="E1204" s="80"/>
      <c r="F1204" s="620"/>
      <c r="G1204" s="620"/>
      <c r="H1204" s="94"/>
      <c r="I1204" s="81"/>
      <c r="J1204" s="35"/>
      <c r="K1204" s="36"/>
      <c r="L1204" s="36"/>
      <c r="M1204" s="36"/>
      <c r="N1204" s="36"/>
      <c r="O1204" s="36"/>
      <c r="P1204" s="36"/>
      <c r="Q1204" s="36"/>
      <c r="R1204" s="36"/>
      <c r="S1204" s="36"/>
      <c r="T1204" s="36"/>
      <c r="U1204" s="36"/>
      <c r="V1204" s="36"/>
      <c r="W1204" s="36"/>
      <c r="X1204" s="36"/>
      <c r="Y1204" s="36"/>
      <c r="Z1204" s="36"/>
      <c r="AA1204" s="36"/>
      <c r="AB1204" s="36"/>
      <c r="AC1204" s="36"/>
    </row>
    <row r="1205" spans="1:29" ht="24" customHeight="1">
      <c r="A1205" s="81"/>
      <c r="B1205" s="81"/>
      <c r="C1205" s="81"/>
      <c r="D1205" s="81"/>
      <c r="E1205" s="80"/>
      <c r="F1205" s="620"/>
      <c r="G1205" s="620"/>
      <c r="H1205" s="94"/>
      <c r="I1205" s="81"/>
      <c r="J1205" s="35"/>
      <c r="K1205" s="36"/>
      <c r="L1205" s="36"/>
      <c r="M1205" s="36"/>
      <c r="N1205" s="36"/>
      <c r="O1205" s="36"/>
      <c r="P1205" s="36"/>
      <c r="Q1205" s="36"/>
      <c r="R1205" s="36"/>
      <c r="S1205" s="36"/>
      <c r="T1205" s="36"/>
      <c r="U1205" s="36"/>
      <c r="V1205" s="36"/>
      <c r="W1205" s="36"/>
      <c r="X1205" s="36"/>
      <c r="Y1205" s="36"/>
      <c r="Z1205" s="36"/>
      <c r="AA1205" s="36"/>
      <c r="AB1205" s="36"/>
      <c r="AC1205" s="36"/>
    </row>
    <row r="1206" spans="1:29" ht="36" customHeight="1">
      <c r="A1206" s="81"/>
      <c r="B1206" s="81"/>
      <c r="C1206" s="81"/>
      <c r="D1206" s="81"/>
      <c r="E1206" s="80"/>
      <c r="F1206" s="620"/>
      <c r="G1206" s="620"/>
      <c r="H1206" s="94"/>
      <c r="I1206" s="81"/>
      <c r="J1206" s="35"/>
      <c r="K1206" s="36"/>
      <c r="L1206" s="36"/>
      <c r="M1206" s="36"/>
      <c r="N1206" s="36"/>
      <c r="O1206" s="36"/>
      <c r="P1206" s="36"/>
      <c r="Q1206" s="36"/>
      <c r="R1206" s="36"/>
      <c r="S1206" s="36"/>
      <c r="T1206" s="36"/>
      <c r="U1206" s="36"/>
      <c r="V1206" s="36"/>
      <c r="W1206" s="36"/>
      <c r="X1206" s="36"/>
      <c r="Y1206" s="36"/>
      <c r="Z1206" s="36"/>
      <c r="AA1206" s="36"/>
      <c r="AB1206" s="36"/>
      <c r="AC1206" s="36"/>
    </row>
    <row r="1207" spans="1:29" ht="48" customHeight="1">
      <c r="A1207" s="81"/>
      <c r="B1207" s="81"/>
      <c r="C1207" s="81"/>
      <c r="D1207" s="476"/>
      <c r="E1207" s="80"/>
      <c r="F1207" s="620"/>
      <c r="G1207" s="620"/>
      <c r="H1207" s="94"/>
      <c r="I1207" s="81"/>
      <c r="J1207" s="35"/>
      <c r="K1207" s="36"/>
      <c r="L1207" s="36"/>
      <c r="M1207" s="36"/>
      <c r="N1207" s="36"/>
      <c r="O1207" s="36"/>
      <c r="P1207" s="36"/>
      <c r="Q1207" s="36"/>
      <c r="R1207" s="36"/>
      <c r="S1207" s="36"/>
      <c r="T1207" s="36"/>
      <c r="U1207" s="36"/>
      <c r="V1207" s="36"/>
      <c r="W1207" s="36"/>
      <c r="X1207" s="36"/>
      <c r="Y1207" s="36"/>
      <c r="Z1207" s="36"/>
      <c r="AA1207" s="36"/>
      <c r="AB1207" s="36"/>
      <c r="AC1207" s="36"/>
    </row>
    <row r="1208" spans="1:29" ht="48" customHeight="1">
      <c r="A1208" s="81"/>
      <c r="B1208" s="81"/>
      <c r="C1208" s="81"/>
      <c r="D1208" s="81"/>
      <c r="E1208" s="80"/>
      <c r="F1208" s="620"/>
      <c r="G1208" s="620"/>
      <c r="H1208" s="94"/>
      <c r="I1208" s="81"/>
      <c r="J1208" s="35"/>
      <c r="K1208" s="36"/>
      <c r="L1208" s="36"/>
      <c r="M1208" s="36"/>
      <c r="N1208" s="36"/>
      <c r="O1208" s="36"/>
      <c r="P1208" s="36"/>
      <c r="Q1208" s="36"/>
      <c r="R1208" s="36"/>
      <c r="S1208" s="36"/>
      <c r="T1208" s="36"/>
      <c r="U1208" s="36"/>
      <c r="V1208" s="36"/>
      <c r="W1208" s="36"/>
      <c r="X1208" s="36"/>
      <c r="Y1208" s="36"/>
      <c r="Z1208" s="36"/>
      <c r="AA1208" s="36"/>
      <c r="AB1208" s="36"/>
      <c r="AC1208" s="36"/>
    </row>
    <row r="1209" spans="1:29" ht="36" customHeight="1">
      <c r="A1209" s="81"/>
      <c r="B1209" s="81"/>
      <c r="C1209" s="81"/>
      <c r="D1209" s="81"/>
      <c r="E1209" s="80"/>
      <c r="F1209" s="620"/>
      <c r="G1209" s="620"/>
      <c r="H1209" s="94"/>
      <c r="I1209" s="81"/>
      <c r="J1209" s="35"/>
      <c r="K1209" s="36"/>
      <c r="L1209" s="36"/>
      <c r="M1209" s="36"/>
      <c r="N1209" s="36"/>
      <c r="O1209" s="36"/>
      <c r="P1209" s="36"/>
      <c r="Q1209" s="36"/>
      <c r="R1209" s="36"/>
      <c r="S1209" s="36"/>
      <c r="T1209" s="36"/>
      <c r="U1209" s="36"/>
      <c r="V1209" s="36"/>
      <c r="W1209" s="36"/>
      <c r="X1209" s="36"/>
      <c r="Y1209" s="36"/>
      <c r="Z1209" s="36"/>
      <c r="AA1209" s="36"/>
      <c r="AB1209" s="36"/>
      <c r="AC1209" s="36"/>
    </row>
    <row r="1210" spans="1:29" ht="36" customHeight="1">
      <c r="A1210" s="81"/>
      <c r="B1210" s="81"/>
      <c r="C1210" s="81"/>
      <c r="D1210" s="81"/>
      <c r="E1210" s="80"/>
      <c r="F1210" s="620"/>
      <c r="G1210" s="620"/>
      <c r="H1210" s="94"/>
      <c r="I1210" s="81"/>
      <c r="J1210" s="35"/>
      <c r="K1210" s="36"/>
      <c r="L1210" s="36"/>
      <c r="M1210" s="36"/>
      <c r="N1210" s="36"/>
      <c r="O1210" s="36"/>
      <c r="P1210" s="36"/>
      <c r="Q1210" s="36"/>
      <c r="R1210" s="36"/>
      <c r="S1210" s="36"/>
      <c r="T1210" s="36"/>
      <c r="U1210" s="36"/>
      <c r="V1210" s="36"/>
      <c r="W1210" s="36"/>
      <c r="X1210" s="36"/>
      <c r="Y1210" s="36"/>
      <c r="Z1210" s="36"/>
      <c r="AA1210" s="36"/>
      <c r="AB1210" s="36"/>
      <c r="AC1210" s="36"/>
    </row>
    <row r="1211" spans="1:29" ht="60" customHeight="1">
      <c r="A1211" s="81"/>
      <c r="B1211" s="81"/>
      <c r="C1211" s="81"/>
      <c r="D1211" s="81"/>
      <c r="E1211" s="80"/>
      <c r="F1211" s="620"/>
      <c r="G1211" s="620"/>
      <c r="H1211" s="94"/>
      <c r="I1211" s="81"/>
      <c r="J1211" s="36"/>
      <c r="K1211" s="36"/>
      <c r="L1211" s="36"/>
      <c r="M1211" s="36"/>
      <c r="N1211" s="36"/>
      <c r="O1211" s="36"/>
      <c r="P1211" s="36"/>
      <c r="Q1211" s="36"/>
      <c r="R1211" s="36"/>
      <c r="S1211" s="36"/>
      <c r="T1211" s="36"/>
      <c r="U1211" s="36"/>
      <c r="V1211" s="36"/>
      <c r="W1211" s="36"/>
      <c r="X1211" s="36"/>
      <c r="Y1211" s="36"/>
      <c r="Z1211" s="36"/>
      <c r="AA1211" s="36"/>
      <c r="AB1211" s="36"/>
      <c r="AC1211" s="36"/>
    </row>
    <row r="1212" spans="1:29" ht="24" customHeight="1">
      <c r="A1212" s="81"/>
      <c r="B1212" s="81"/>
      <c r="C1212" s="81"/>
      <c r="D1212" s="81"/>
      <c r="E1212" s="80"/>
      <c r="F1212" s="620"/>
      <c r="G1212" s="620"/>
      <c r="H1212" s="94"/>
      <c r="I1212" s="81"/>
      <c r="J1212" s="35"/>
      <c r="K1212" s="36"/>
      <c r="L1212" s="36"/>
      <c r="M1212" s="36"/>
      <c r="N1212" s="36"/>
      <c r="O1212" s="36"/>
      <c r="P1212" s="36"/>
      <c r="Q1212" s="36"/>
      <c r="R1212" s="36"/>
      <c r="S1212" s="36"/>
      <c r="T1212" s="36"/>
      <c r="U1212" s="36"/>
      <c r="V1212" s="36"/>
      <c r="W1212" s="36"/>
      <c r="X1212" s="36"/>
      <c r="Y1212" s="36"/>
      <c r="Z1212" s="36"/>
      <c r="AA1212" s="36"/>
      <c r="AB1212" s="36"/>
      <c r="AC1212" s="36"/>
    </row>
    <row r="1213" spans="1:29" ht="60" customHeight="1">
      <c r="A1213" s="81"/>
      <c r="B1213" s="81"/>
      <c r="C1213" s="81"/>
      <c r="D1213" s="81"/>
      <c r="E1213" s="80"/>
      <c r="F1213" s="620"/>
      <c r="G1213" s="620"/>
      <c r="H1213" s="94"/>
      <c r="I1213" s="81"/>
      <c r="J1213" s="35"/>
      <c r="K1213" s="36"/>
      <c r="L1213" s="36"/>
      <c r="M1213" s="36"/>
      <c r="N1213" s="36"/>
      <c r="O1213" s="36"/>
      <c r="P1213" s="36"/>
      <c r="Q1213" s="36"/>
      <c r="R1213" s="36"/>
      <c r="S1213" s="36"/>
      <c r="T1213" s="36"/>
      <c r="U1213" s="36"/>
      <c r="V1213" s="36"/>
      <c r="W1213" s="36"/>
      <c r="X1213" s="36"/>
      <c r="Y1213" s="36"/>
      <c r="Z1213" s="36"/>
      <c r="AA1213" s="36"/>
      <c r="AB1213" s="36"/>
      <c r="AC1213" s="36"/>
    </row>
    <row r="1214" spans="1:29" ht="48" customHeight="1">
      <c r="A1214" s="81"/>
      <c r="B1214" s="81"/>
      <c r="C1214" s="81"/>
      <c r="D1214" s="81"/>
      <c r="E1214" s="80"/>
      <c r="F1214" s="620"/>
      <c r="G1214" s="620"/>
      <c r="H1214" s="94"/>
      <c r="I1214" s="81"/>
      <c r="J1214" s="35"/>
      <c r="K1214" s="36"/>
      <c r="L1214" s="36"/>
      <c r="M1214" s="36"/>
      <c r="N1214" s="36"/>
      <c r="O1214" s="36"/>
      <c r="P1214" s="36"/>
      <c r="Q1214" s="36"/>
      <c r="R1214" s="36"/>
      <c r="S1214" s="36"/>
      <c r="T1214" s="36"/>
      <c r="U1214" s="36"/>
      <c r="V1214" s="36"/>
      <c r="W1214" s="36"/>
      <c r="X1214" s="36"/>
      <c r="Y1214" s="36"/>
      <c r="Z1214" s="36"/>
      <c r="AA1214" s="36"/>
      <c r="AB1214" s="36"/>
      <c r="AC1214" s="36"/>
    </row>
    <row r="1215" spans="1:29" ht="48" customHeight="1">
      <c r="A1215" s="81"/>
      <c r="B1215" s="81"/>
      <c r="C1215" s="81"/>
      <c r="D1215" s="81"/>
      <c r="E1215" s="80"/>
      <c r="F1215" s="620"/>
      <c r="G1215" s="620"/>
      <c r="H1215" s="94"/>
      <c r="I1215" s="81"/>
      <c r="J1215" s="35"/>
      <c r="K1215" s="36"/>
      <c r="L1215" s="36"/>
      <c r="M1215" s="36"/>
      <c r="N1215" s="36"/>
      <c r="O1215" s="36"/>
      <c r="P1215" s="36"/>
      <c r="Q1215" s="36"/>
      <c r="R1215" s="36"/>
      <c r="S1215" s="36"/>
      <c r="T1215" s="36"/>
      <c r="U1215" s="36"/>
      <c r="V1215" s="36"/>
      <c r="W1215" s="36"/>
      <c r="X1215" s="36"/>
      <c r="Y1215" s="36"/>
      <c r="Z1215" s="36"/>
      <c r="AA1215" s="36"/>
      <c r="AB1215" s="36"/>
      <c r="AC1215" s="36"/>
    </row>
    <row r="1216" spans="1:29" ht="60" customHeight="1">
      <c r="A1216" s="81"/>
      <c r="B1216" s="94"/>
      <c r="C1216" s="81"/>
      <c r="D1216" s="81"/>
      <c r="E1216" s="80"/>
      <c r="F1216" s="620"/>
      <c r="G1216" s="620"/>
      <c r="H1216" s="94"/>
      <c r="I1216" s="81"/>
      <c r="J1216" s="35"/>
      <c r="K1216" s="36"/>
      <c r="L1216" s="36"/>
      <c r="M1216" s="36"/>
      <c r="N1216" s="36"/>
      <c r="O1216" s="36"/>
      <c r="P1216" s="36"/>
      <c r="Q1216" s="36"/>
      <c r="R1216" s="36"/>
      <c r="S1216" s="36"/>
      <c r="T1216" s="36"/>
      <c r="U1216" s="36"/>
      <c r="V1216" s="36"/>
      <c r="W1216" s="36"/>
      <c r="X1216" s="36"/>
      <c r="Y1216" s="36"/>
      <c r="Z1216" s="36"/>
      <c r="AA1216" s="36"/>
      <c r="AB1216" s="36"/>
      <c r="AC1216" s="36"/>
    </row>
    <row r="1217" spans="1:29" ht="48" customHeight="1">
      <c r="A1217" s="81"/>
      <c r="B1217" s="81"/>
      <c r="C1217" s="81"/>
      <c r="D1217" s="81"/>
      <c r="E1217" s="80"/>
      <c r="F1217" s="620"/>
      <c r="G1217" s="620"/>
      <c r="H1217" s="94"/>
      <c r="I1217" s="81"/>
      <c r="J1217" s="35"/>
      <c r="K1217" s="36"/>
      <c r="L1217" s="36"/>
      <c r="M1217" s="36"/>
      <c r="N1217" s="36"/>
      <c r="O1217" s="36"/>
      <c r="P1217" s="36"/>
      <c r="Q1217" s="36"/>
      <c r="R1217" s="36"/>
      <c r="S1217" s="36"/>
      <c r="T1217" s="36"/>
      <c r="U1217" s="36"/>
      <c r="V1217" s="36"/>
      <c r="W1217" s="36"/>
      <c r="X1217" s="36"/>
      <c r="Y1217" s="36"/>
      <c r="Z1217" s="36"/>
      <c r="AA1217" s="36"/>
      <c r="AB1217" s="36"/>
      <c r="AC1217" s="36"/>
    </row>
    <row r="1218" spans="1:29" ht="36" customHeight="1">
      <c r="A1218" s="81"/>
      <c r="B1218" s="81"/>
      <c r="C1218" s="81"/>
      <c r="D1218" s="81"/>
      <c r="E1218" s="80"/>
      <c r="F1218" s="620"/>
      <c r="G1218" s="620"/>
      <c r="H1218" s="94"/>
      <c r="I1218" s="81"/>
      <c r="J1218" s="36"/>
      <c r="K1218" s="36"/>
      <c r="L1218" s="36"/>
      <c r="M1218" s="36"/>
      <c r="N1218" s="36"/>
      <c r="O1218" s="36"/>
      <c r="P1218" s="36"/>
      <c r="Q1218" s="36"/>
      <c r="R1218" s="36"/>
      <c r="S1218" s="36"/>
      <c r="T1218" s="36"/>
      <c r="U1218" s="36"/>
      <c r="V1218" s="36"/>
      <c r="W1218" s="36"/>
      <c r="X1218" s="36"/>
      <c r="Y1218" s="36"/>
      <c r="Z1218" s="36"/>
      <c r="AA1218" s="36"/>
      <c r="AB1218" s="36"/>
      <c r="AC1218" s="36"/>
    </row>
    <row r="1219" spans="1:29" ht="21" customHeight="1">
      <c r="A1219" s="81"/>
      <c r="B1219" s="81"/>
      <c r="C1219" s="81"/>
      <c r="D1219" s="81"/>
      <c r="E1219" s="80"/>
      <c r="F1219" s="620"/>
      <c r="G1219" s="620"/>
      <c r="H1219" s="94"/>
      <c r="I1219" s="81"/>
      <c r="J1219" s="36"/>
      <c r="K1219" s="36"/>
      <c r="L1219" s="36"/>
      <c r="M1219" s="36"/>
      <c r="N1219" s="36"/>
      <c r="O1219" s="36"/>
      <c r="P1219" s="36"/>
      <c r="Q1219" s="36"/>
      <c r="R1219" s="36"/>
      <c r="S1219" s="36"/>
      <c r="T1219" s="36"/>
      <c r="U1219" s="36"/>
      <c r="V1219" s="36"/>
      <c r="W1219" s="36"/>
      <c r="X1219" s="36"/>
      <c r="Y1219" s="36"/>
      <c r="Z1219" s="36"/>
      <c r="AA1219" s="36"/>
      <c r="AB1219" s="36"/>
      <c r="AC1219" s="36"/>
    </row>
    <row r="1220" spans="1:29" ht="24" customHeight="1">
      <c r="A1220" s="81"/>
      <c r="B1220" s="81"/>
      <c r="C1220" s="81"/>
      <c r="D1220" s="81"/>
      <c r="E1220" s="80"/>
      <c r="F1220" s="620"/>
      <c r="G1220" s="620"/>
      <c r="H1220" s="94"/>
      <c r="I1220" s="81"/>
      <c r="J1220" s="35"/>
      <c r="K1220" s="36"/>
      <c r="L1220" s="36"/>
      <c r="M1220" s="36"/>
      <c r="N1220" s="36"/>
      <c r="O1220" s="36"/>
      <c r="P1220" s="36"/>
      <c r="Q1220" s="36"/>
      <c r="R1220" s="36"/>
      <c r="S1220" s="36"/>
      <c r="T1220" s="36"/>
      <c r="U1220" s="36"/>
      <c r="V1220" s="36"/>
      <c r="W1220" s="36"/>
      <c r="X1220" s="36"/>
      <c r="Y1220" s="36"/>
      <c r="Z1220" s="36"/>
      <c r="AA1220" s="36"/>
      <c r="AB1220" s="36"/>
      <c r="AC1220" s="36"/>
    </row>
    <row r="1221" spans="1:29" ht="36" customHeight="1">
      <c r="A1221" s="81"/>
      <c r="B1221" s="81"/>
      <c r="C1221" s="81"/>
      <c r="D1221" s="81"/>
      <c r="E1221" s="80"/>
      <c r="F1221" s="620"/>
      <c r="G1221" s="620"/>
      <c r="H1221" s="94"/>
      <c r="I1221" s="81"/>
      <c r="J1221" s="35"/>
      <c r="K1221" s="36"/>
      <c r="L1221" s="36"/>
      <c r="M1221" s="36"/>
      <c r="N1221" s="36"/>
      <c r="O1221" s="36"/>
      <c r="P1221" s="36"/>
      <c r="Q1221" s="36"/>
      <c r="R1221" s="36"/>
      <c r="S1221" s="36"/>
      <c r="T1221" s="36"/>
      <c r="U1221" s="36"/>
      <c r="V1221" s="36"/>
      <c r="W1221" s="36"/>
      <c r="X1221" s="36"/>
      <c r="Y1221" s="36"/>
      <c r="Z1221" s="36"/>
      <c r="AA1221" s="36"/>
      <c r="AB1221" s="36"/>
      <c r="AC1221" s="36"/>
    </row>
    <row r="1222" spans="1:29" ht="24" customHeight="1">
      <c r="A1222" s="81"/>
      <c r="B1222" s="81"/>
      <c r="C1222" s="81"/>
      <c r="D1222" s="81"/>
      <c r="E1222" s="80"/>
      <c r="F1222" s="620"/>
      <c r="G1222" s="620"/>
      <c r="H1222" s="94"/>
      <c r="I1222" s="81"/>
      <c r="J1222" s="35"/>
      <c r="K1222" s="36"/>
      <c r="L1222" s="36"/>
      <c r="M1222" s="36"/>
      <c r="N1222" s="36"/>
      <c r="O1222" s="36"/>
      <c r="P1222" s="36"/>
      <c r="Q1222" s="36"/>
      <c r="R1222" s="36"/>
      <c r="S1222" s="36"/>
      <c r="T1222" s="36"/>
      <c r="U1222" s="36"/>
      <c r="V1222" s="36"/>
      <c r="W1222" s="36"/>
      <c r="X1222" s="36"/>
      <c r="Y1222" s="36"/>
      <c r="Z1222" s="36"/>
      <c r="AA1222" s="36"/>
      <c r="AB1222" s="36"/>
      <c r="AC1222" s="36"/>
    </row>
    <row r="1223" spans="1:29" ht="36" customHeight="1">
      <c r="A1223" s="81"/>
      <c r="B1223" s="81"/>
      <c r="C1223" s="81"/>
      <c r="D1223" s="81"/>
      <c r="E1223" s="80"/>
      <c r="F1223" s="620"/>
      <c r="G1223" s="620"/>
      <c r="H1223" s="94"/>
      <c r="I1223" s="81"/>
      <c r="J1223" s="35"/>
      <c r="K1223" s="36"/>
      <c r="L1223" s="36"/>
      <c r="M1223" s="36"/>
      <c r="N1223" s="36"/>
      <c r="O1223" s="36"/>
      <c r="P1223" s="36"/>
      <c r="Q1223" s="36"/>
      <c r="R1223" s="36"/>
      <c r="S1223" s="36"/>
      <c r="T1223" s="36"/>
      <c r="U1223" s="36"/>
      <c r="V1223" s="36"/>
      <c r="W1223" s="36"/>
      <c r="X1223" s="36"/>
      <c r="Y1223" s="36"/>
      <c r="Z1223" s="36"/>
      <c r="AA1223" s="36"/>
      <c r="AB1223" s="36"/>
      <c r="AC1223" s="36"/>
    </row>
    <row r="1224" spans="1:29" ht="36" customHeight="1">
      <c r="A1224" s="619"/>
      <c r="B1224" s="81"/>
      <c r="C1224" s="81"/>
      <c r="D1224" s="81"/>
      <c r="E1224" s="80"/>
      <c r="F1224" s="620"/>
      <c r="G1224" s="620"/>
      <c r="H1224" s="94"/>
      <c r="I1224" s="81"/>
      <c r="J1224" s="35"/>
      <c r="K1224" s="36"/>
      <c r="L1224" s="36"/>
      <c r="M1224" s="36"/>
      <c r="N1224" s="36"/>
      <c r="O1224" s="36"/>
      <c r="P1224" s="36"/>
      <c r="Q1224" s="36"/>
      <c r="R1224" s="36"/>
      <c r="S1224" s="36"/>
      <c r="T1224" s="36"/>
      <c r="U1224" s="36"/>
      <c r="V1224" s="36"/>
      <c r="W1224" s="36"/>
      <c r="X1224" s="36"/>
      <c r="Y1224" s="36"/>
      <c r="Z1224" s="36"/>
      <c r="AA1224" s="36"/>
      <c r="AB1224" s="36"/>
      <c r="AC1224" s="36"/>
    </row>
    <row r="1225" spans="1:29" ht="36" customHeight="1">
      <c r="A1225" s="619"/>
      <c r="B1225" s="81"/>
      <c r="C1225" s="81"/>
      <c r="D1225" s="81"/>
      <c r="E1225" s="80"/>
      <c r="F1225" s="620"/>
      <c r="G1225" s="620"/>
      <c r="H1225" s="94"/>
      <c r="I1225" s="81"/>
      <c r="J1225" s="35"/>
      <c r="K1225" s="36"/>
      <c r="L1225" s="36"/>
      <c r="M1225" s="36"/>
      <c r="N1225" s="36"/>
      <c r="O1225" s="36"/>
      <c r="P1225" s="36"/>
      <c r="Q1225" s="36"/>
      <c r="R1225" s="36"/>
      <c r="S1225" s="36"/>
      <c r="T1225" s="36"/>
      <c r="U1225" s="36"/>
      <c r="V1225" s="36"/>
      <c r="W1225" s="36"/>
      <c r="X1225" s="36"/>
      <c r="Y1225" s="36"/>
      <c r="Z1225" s="36"/>
      <c r="AA1225" s="36"/>
      <c r="AB1225" s="36"/>
      <c r="AC1225" s="36"/>
    </row>
    <row r="1226" spans="1:29" ht="36" customHeight="1">
      <c r="A1226" s="619"/>
      <c r="B1226" s="81"/>
      <c r="C1226" s="81"/>
      <c r="D1226" s="81"/>
      <c r="E1226" s="80"/>
      <c r="F1226" s="620"/>
      <c r="G1226" s="620"/>
      <c r="H1226" s="94"/>
      <c r="I1226" s="81"/>
      <c r="J1226" s="35"/>
      <c r="K1226" s="36"/>
      <c r="L1226" s="36"/>
      <c r="M1226" s="36"/>
      <c r="N1226" s="36"/>
      <c r="O1226" s="36"/>
      <c r="P1226" s="36"/>
      <c r="Q1226" s="36"/>
      <c r="R1226" s="36"/>
      <c r="S1226" s="36"/>
      <c r="T1226" s="36"/>
      <c r="U1226" s="36"/>
      <c r="V1226" s="36"/>
      <c r="W1226" s="36"/>
      <c r="X1226" s="36"/>
      <c r="Y1226" s="36"/>
      <c r="Z1226" s="36"/>
      <c r="AA1226" s="36"/>
      <c r="AB1226" s="36"/>
      <c r="AC1226" s="36"/>
    </row>
    <row r="1227" spans="1:29" ht="36" customHeight="1">
      <c r="A1227" s="619"/>
      <c r="B1227" s="81"/>
      <c r="C1227" s="81"/>
      <c r="D1227" s="81"/>
      <c r="E1227" s="80"/>
      <c r="F1227" s="620"/>
      <c r="G1227" s="620"/>
      <c r="H1227" s="94"/>
      <c r="I1227" s="81"/>
      <c r="J1227" s="35"/>
      <c r="K1227" s="36"/>
      <c r="L1227" s="36"/>
      <c r="M1227" s="36"/>
      <c r="N1227" s="36"/>
      <c r="O1227" s="36"/>
      <c r="P1227" s="36"/>
      <c r="Q1227" s="36"/>
      <c r="R1227" s="36"/>
      <c r="S1227" s="36"/>
      <c r="T1227" s="36"/>
      <c r="U1227" s="36"/>
      <c r="V1227" s="36"/>
      <c r="W1227" s="36"/>
      <c r="X1227" s="36"/>
      <c r="Y1227" s="36"/>
      <c r="Z1227" s="36"/>
      <c r="AA1227" s="36"/>
      <c r="AB1227" s="36"/>
      <c r="AC1227" s="36"/>
    </row>
    <row r="1228" spans="1:29" ht="36" customHeight="1">
      <c r="A1228" s="619"/>
      <c r="B1228" s="81"/>
      <c r="C1228" s="81"/>
      <c r="D1228" s="81"/>
      <c r="E1228" s="80"/>
      <c r="F1228" s="620"/>
      <c r="G1228" s="620"/>
      <c r="H1228" s="94"/>
      <c r="I1228" s="81"/>
      <c r="J1228" s="35"/>
      <c r="K1228" s="36"/>
      <c r="L1228" s="36"/>
      <c r="M1228" s="36"/>
      <c r="N1228" s="36"/>
      <c r="O1228" s="36"/>
      <c r="P1228" s="36"/>
      <c r="Q1228" s="36"/>
      <c r="R1228" s="36"/>
      <c r="S1228" s="36"/>
      <c r="T1228" s="36"/>
      <c r="U1228" s="36"/>
      <c r="V1228" s="36"/>
      <c r="W1228" s="36"/>
      <c r="X1228" s="36"/>
      <c r="Y1228" s="36"/>
      <c r="Z1228" s="36"/>
      <c r="AA1228" s="36"/>
      <c r="AB1228" s="36"/>
      <c r="AC1228" s="36"/>
    </row>
    <row r="1229" spans="1:29" ht="24" customHeight="1">
      <c r="A1229" s="619"/>
      <c r="B1229" s="81"/>
      <c r="C1229" s="81"/>
      <c r="D1229" s="81"/>
      <c r="E1229" s="80"/>
      <c r="F1229" s="620"/>
      <c r="G1229" s="620"/>
      <c r="H1229" s="94"/>
      <c r="I1229" s="81"/>
      <c r="J1229" s="35"/>
      <c r="K1229" s="36"/>
      <c r="L1229" s="36"/>
      <c r="M1229" s="36"/>
      <c r="N1229" s="36"/>
      <c r="O1229" s="36"/>
      <c r="P1229" s="36"/>
      <c r="Q1229" s="36"/>
      <c r="R1229" s="36"/>
      <c r="S1229" s="36"/>
      <c r="T1229" s="36"/>
      <c r="U1229" s="36"/>
      <c r="V1229" s="36"/>
      <c r="W1229" s="36"/>
      <c r="X1229" s="36"/>
      <c r="Y1229" s="36"/>
      <c r="Z1229" s="36"/>
      <c r="AA1229" s="36"/>
      <c r="AB1229" s="36"/>
      <c r="AC1229" s="36"/>
    </row>
    <row r="1230" spans="1:29" ht="48" customHeight="1">
      <c r="A1230" s="619"/>
      <c r="B1230" s="81"/>
      <c r="C1230" s="81"/>
      <c r="D1230" s="81"/>
      <c r="E1230" s="80"/>
      <c r="F1230" s="620"/>
      <c r="G1230" s="620"/>
      <c r="H1230" s="94"/>
      <c r="I1230" s="81"/>
      <c r="J1230" s="35"/>
      <c r="K1230" s="36"/>
      <c r="L1230" s="36"/>
      <c r="M1230" s="36"/>
      <c r="N1230" s="36"/>
      <c r="O1230" s="36"/>
      <c r="P1230" s="36"/>
      <c r="Q1230" s="36"/>
      <c r="R1230" s="36"/>
      <c r="S1230" s="36"/>
      <c r="T1230" s="36"/>
      <c r="U1230" s="36"/>
      <c r="V1230" s="36"/>
      <c r="W1230" s="36"/>
      <c r="X1230" s="36"/>
      <c r="Y1230" s="36"/>
      <c r="Z1230" s="36"/>
      <c r="AA1230" s="36"/>
      <c r="AB1230" s="36"/>
      <c r="AC1230" s="36"/>
    </row>
    <row r="1231" spans="1:29" ht="24" customHeight="1">
      <c r="A1231" s="619"/>
      <c r="B1231" s="81"/>
      <c r="C1231" s="81"/>
      <c r="D1231" s="81"/>
      <c r="E1231" s="80"/>
      <c r="F1231" s="620"/>
      <c r="G1231" s="620"/>
      <c r="H1231" s="94"/>
      <c r="I1231" s="81"/>
      <c r="J1231" s="35"/>
      <c r="K1231" s="36"/>
      <c r="L1231" s="36"/>
      <c r="M1231" s="36"/>
      <c r="N1231" s="36"/>
      <c r="O1231" s="36"/>
      <c r="P1231" s="36"/>
      <c r="Q1231" s="36"/>
      <c r="R1231" s="36"/>
      <c r="S1231" s="36"/>
      <c r="T1231" s="36"/>
      <c r="U1231" s="36"/>
      <c r="V1231" s="36"/>
      <c r="W1231" s="36"/>
      <c r="X1231" s="36"/>
      <c r="Y1231" s="36"/>
      <c r="Z1231" s="36"/>
      <c r="AA1231" s="36"/>
      <c r="AB1231" s="36"/>
      <c r="AC1231" s="36"/>
    </row>
    <row r="1232" spans="1:29" ht="48" customHeight="1">
      <c r="A1232" s="619"/>
      <c r="B1232" s="81"/>
      <c r="C1232" s="81"/>
      <c r="D1232" s="81"/>
      <c r="E1232" s="80"/>
      <c r="F1232" s="620"/>
      <c r="G1232" s="620"/>
      <c r="H1232" s="94"/>
      <c r="I1232" s="81"/>
      <c r="J1232" s="35"/>
      <c r="K1232" s="36"/>
      <c r="L1232" s="36"/>
      <c r="M1232" s="36"/>
      <c r="N1232" s="36"/>
      <c r="O1232" s="36"/>
      <c r="P1232" s="36"/>
      <c r="Q1232" s="36"/>
      <c r="R1232" s="36"/>
      <c r="S1232" s="36"/>
      <c r="T1232" s="36"/>
      <c r="U1232" s="36"/>
      <c r="V1232" s="36"/>
      <c r="W1232" s="36"/>
      <c r="X1232" s="36"/>
      <c r="Y1232" s="36"/>
      <c r="Z1232" s="36"/>
      <c r="AA1232" s="36"/>
      <c r="AB1232" s="36"/>
      <c r="AC1232" s="36"/>
    </row>
    <row r="1233" spans="1:29" ht="48" customHeight="1">
      <c r="A1233" s="619"/>
      <c r="B1233" s="81"/>
      <c r="C1233" s="81"/>
      <c r="D1233" s="81"/>
      <c r="E1233" s="80"/>
      <c r="F1233" s="620"/>
      <c r="G1233" s="620"/>
      <c r="H1233" s="94"/>
      <c r="I1233" s="81"/>
      <c r="J1233" s="35"/>
      <c r="K1233" s="36"/>
      <c r="L1233" s="36"/>
      <c r="M1233" s="36"/>
      <c r="N1233" s="36"/>
      <c r="O1233" s="36"/>
      <c r="P1233" s="36"/>
      <c r="Q1233" s="36"/>
      <c r="R1233" s="36"/>
      <c r="S1233" s="36"/>
      <c r="T1233" s="36"/>
      <c r="U1233" s="36"/>
      <c r="V1233" s="36"/>
      <c r="W1233" s="36"/>
      <c r="X1233" s="36"/>
      <c r="Y1233" s="36"/>
      <c r="Z1233" s="36"/>
      <c r="AA1233" s="36"/>
      <c r="AB1233" s="36"/>
      <c r="AC1233" s="36"/>
    </row>
    <row r="1234" spans="1:29" ht="36" customHeight="1">
      <c r="A1234" s="619"/>
      <c r="B1234" s="81"/>
      <c r="C1234" s="81"/>
      <c r="D1234" s="81"/>
      <c r="E1234" s="80"/>
      <c r="F1234" s="620"/>
      <c r="G1234" s="620"/>
      <c r="H1234" s="94"/>
      <c r="I1234" s="81"/>
      <c r="J1234" s="35"/>
      <c r="K1234" s="36"/>
      <c r="L1234" s="36"/>
      <c r="M1234" s="36"/>
      <c r="N1234" s="36"/>
      <c r="O1234" s="36"/>
      <c r="P1234" s="36"/>
      <c r="Q1234" s="36"/>
      <c r="R1234" s="36"/>
      <c r="S1234" s="36"/>
      <c r="T1234" s="36"/>
      <c r="U1234" s="36"/>
      <c r="V1234" s="36"/>
      <c r="W1234" s="36"/>
      <c r="X1234" s="36"/>
      <c r="Y1234" s="36"/>
      <c r="Z1234" s="36"/>
      <c r="AA1234" s="36"/>
      <c r="AB1234" s="36"/>
      <c r="AC1234" s="36"/>
    </row>
    <row r="1235" spans="1:29" ht="24" customHeight="1">
      <c r="A1235" s="619"/>
      <c r="B1235" s="81"/>
      <c r="C1235" s="81"/>
      <c r="D1235" s="81"/>
      <c r="E1235" s="80"/>
      <c r="F1235" s="620"/>
      <c r="G1235" s="620"/>
      <c r="H1235" s="94"/>
      <c r="I1235" s="81"/>
      <c r="J1235" s="35"/>
      <c r="K1235" s="36"/>
      <c r="L1235" s="36"/>
      <c r="M1235" s="36"/>
      <c r="N1235" s="36"/>
      <c r="O1235" s="36"/>
      <c r="P1235" s="36"/>
      <c r="Q1235" s="36"/>
      <c r="R1235" s="36"/>
      <c r="S1235" s="36"/>
      <c r="T1235" s="36"/>
      <c r="U1235" s="36"/>
      <c r="V1235" s="36"/>
      <c r="W1235" s="36"/>
      <c r="X1235" s="36"/>
      <c r="Y1235" s="36"/>
      <c r="Z1235" s="36"/>
      <c r="AA1235" s="36"/>
      <c r="AB1235" s="36"/>
      <c r="AC1235" s="36"/>
    </row>
    <row r="1236" spans="1:29" ht="24" customHeight="1">
      <c r="A1236" s="619"/>
      <c r="B1236" s="81"/>
      <c r="C1236" s="81"/>
      <c r="D1236" s="81"/>
      <c r="E1236" s="80"/>
      <c r="F1236" s="620"/>
      <c r="G1236" s="620"/>
      <c r="H1236" s="94"/>
      <c r="I1236" s="81"/>
      <c r="J1236" s="35"/>
      <c r="K1236" s="36"/>
      <c r="L1236" s="36"/>
      <c r="M1236" s="36"/>
      <c r="N1236" s="36"/>
      <c r="O1236" s="36"/>
      <c r="P1236" s="36"/>
      <c r="Q1236" s="36"/>
      <c r="R1236" s="36"/>
      <c r="S1236" s="36"/>
      <c r="T1236" s="36"/>
      <c r="U1236" s="36"/>
      <c r="V1236" s="36"/>
      <c r="W1236" s="36"/>
      <c r="X1236" s="36"/>
      <c r="Y1236" s="36"/>
      <c r="Z1236" s="36"/>
      <c r="AA1236" s="36"/>
      <c r="AB1236" s="36"/>
      <c r="AC1236" s="36"/>
    </row>
    <row r="1237" spans="1:29" ht="60" customHeight="1">
      <c r="A1237" s="619"/>
      <c r="B1237" s="81"/>
      <c r="C1237" s="81"/>
      <c r="D1237" s="81"/>
      <c r="E1237" s="80"/>
      <c r="F1237" s="620"/>
      <c r="G1237" s="620"/>
      <c r="H1237" s="94"/>
      <c r="I1237" s="81"/>
      <c r="J1237" s="35"/>
      <c r="K1237" s="36"/>
      <c r="L1237" s="36"/>
      <c r="M1237" s="36"/>
      <c r="N1237" s="36"/>
      <c r="O1237" s="36"/>
      <c r="P1237" s="36"/>
      <c r="Q1237" s="36"/>
      <c r="R1237" s="36"/>
      <c r="S1237" s="36"/>
      <c r="T1237" s="36"/>
      <c r="U1237" s="36"/>
      <c r="V1237" s="36"/>
      <c r="W1237" s="36"/>
      <c r="X1237" s="36"/>
      <c r="Y1237" s="36"/>
      <c r="Z1237" s="36"/>
      <c r="AA1237" s="36"/>
      <c r="AB1237" s="36"/>
      <c r="AC1237" s="36"/>
    </row>
    <row r="1238" spans="1:29" ht="72" customHeight="1">
      <c r="A1238" s="619"/>
      <c r="B1238" s="81"/>
      <c r="C1238" s="81"/>
      <c r="D1238" s="81"/>
      <c r="E1238" s="80"/>
      <c r="F1238" s="620"/>
      <c r="G1238" s="620"/>
      <c r="H1238" s="94"/>
      <c r="I1238" s="81"/>
      <c r="J1238" s="35"/>
      <c r="K1238" s="36"/>
      <c r="L1238" s="36"/>
      <c r="M1238" s="36"/>
      <c r="N1238" s="36"/>
      <c r="O1238" s="36"/>
      <c r="P1238" s="36"/>
      <c r="Q1238" s="36"/>
      <c r="R1238" s="36"/>
      <c r="S1238" s="36"/>
      <c r="T1238" s="36"/>
      <c r="U1238" s="36"/>
      <c r="V1238" s="36"/>
      <c r="W1238" s="36"/>
      <c r="X1238" s="36"/>
      <c r="Y1238" s="36"/>
      <c r="Z1238" s="36"/>
      <c r="AA1238" s="36"/>
      <c r="AB1238" s="36"/>
      <c r="AC1238" s="36"/>
    </row>
    <row r="1239" spans="1:29" ht="48" customHeight="1">
      <c r="A1239" s="619"/>
      <c r="B1239" s="81"/>
      <c r="C1239" s="81"/>
      <c r="D1239" s="81"/>
      <c r="E1239" s="80"/>
      <c r="F1239" s="620"/>
      <c r="G1239" s="620"/>
      <c r="H1239" s="94"/>
      <c r="I1239" s="81"/>
      <c r="J1239" s="36"/>
      <c r="K1239" s="36"/>
      <c r="L1239" s="36"/>
      <c r="M1239" s="36"/>
      <c r="N1239" s="36"/>
      <c r="O1239" s="36"/>
      <c r="P1239" s="36"/>
      <c r="Q1239" s="36"/>
      <c r="R1239" s="36"/>
      <c r="S1239" s="36"/>
      <c r="T1239" s="36"/>
      <c r="U1239" s="36"/>
      <c r="V1239" s="36"/>
      <c r="W1239" s="36"/>
      <c r="X1239" s="36"/>
      <c r="Y1239" s="36"/>
      <c r="Z1239" s="36"/>
      <c r="AA1239" s="36"/>
      <c r="AB1239" s="36"/>
      <c r="AC1239" s="36"/>
    </row>
    <row r="1240" spans="1:29" ht="72" customHeight="1">
      <c r="A1240" s="619"/>
      <c r="B1240" s="81"/>
      <c r="C1240" s="81"/>
      <c r="D1240" s="81"/>
      <c r="E1240" s="80"/>
      <c r="F1240" s="620"/>
      <c r="G1240" s="620"/>
      <c r="H1240" s="94"/>
      <c r="I1240" s="81"/>
      <c r="J1240" s="36"/>
      <c r="K1240" s="36"/>
      <c r="L1240" s="36"/>
      <c r="M1240" s="36"/>
      <c r="N1240" s="36"/>
      <c r="O1240" s="36"/>
      <c r="P1240" s="36"/>
      <c r="Q1240" s="36"/>
      <c r="R1240" s="36"/>
      <c r="S1240" s="36"/>
      <c r="T1240" s="36"/>
      <c r="U1240" s="36"/>
      <c r="V1240" s="36"/>
      <c r="W1240" s="36"/>
      <c r="X1240" s="36"/>
      <c r="Y1240" s="36"/>
      <c r="Z1240" s="36"/>
      <c r="AA1240" s="36"/>
      <c r="AB1240" s="36"/>
      <c r="AC1240" s="36"/>
    </row>
    <row r="1241" spans="1:29" ht="36" customHeight="1">
      <c r="A1241" s="619"/>
      <c r="B1241" s="81"/>
      <c r="C1241" s="81"/>
      <c r="D1241" s="81"/>
      <c r="E1241" s="80"/>
      <c r="F1241" s="620"/>
      <c r="G1241" s="620"/>
      <c r="H1241" s="94"/>
      <c r="I1241" s="81"/>
      <c r="J1241" s="36"/>
      <c r="K1241" s="36"/>
      <c r="L1241" s="36"/>
      <c r="M1241" s="36"/>
      <c r="N1241" s="36"/>
      <c r="O1241" s="36"/>
      <c r="P1241" s="36"/>
      <c r="Q1241" s="36"/>
      <c r="R1241" s="36"/>
      <c r="S1241" s="36"/>
      <c r="T1241" s="36"/>
      <c r="U1241" s="36"/>
      <c r="V1241" s="36"/>
      <c r="W1241" s="36"/>
      <c r="X1241" s="36"/>
      <c r="Y1241" s="36"/>
      <c r="Z1241" s="36"/>
      <c r="AA1241" s="36"/>
      <c r="AB1241" s="36"/>
      <c r="AC1241" s="36"/>
    </row>
    <row r="1242" spans="1:29" ht="36" customHeight="1">
      <c r="A1242" s="619"/>
      <c r="B1242" s="81"/>
      <c r="C1242" s="81"/>
      <c r="D1242" s="81"/>
      <c r="E1242" s="80"/>
      <c r="F1242" s="620"/>
      <c r="G1242" s="620"/>
      <c r="H1242" s="94"/>
      <c r="I1242" s="81"/>
      <c r="J1242" s="36"/>
      <c r="K1242" s="36"/>
      <c r="L1242" s="36"/>
      <c r="M1242" s="36"/>
      <c r="N1242" s="36"/>
      <c r="O1242" s="36"/>
      <c r="P1242" s="36"/>
      <c r="Q1242" s="36"/>
      <c r="R1242" s="36"/>
      <c r="S1242" s="36"/>
      <c r="T1242" s="36"/>
      <c r="U1242" s="36"/>
      <c r="V1242" s="36"/>
      <c r="W1242" s="36"/>
      <c r="X1242" s="36"/>
      <c r="Y1242" s="36"/>
      <c r="Z1242" s="36"/>
      <c r="AA1242" s="36"/>
      <c r="AB1242" s="36"/>
      <c r="AC1242" s="36"/>
    </row>
    <row r="1243" spans="1:29" ht="24" customHeight="1">
      <c r="A1243" s="619"/>
      <c r="B1243" s="81"/>
      <c r="C1243" s="81"/>
      <c r="D1243" s="81"/>
      <c r="E1243" s="80"/>
      <c r="F1243" s="620"/>
      <c r="G1243" s="620"/>
      <c r="H1243" s="94"/>
      <c r="I1243" s="81"/>
      <c r="J1243" s="35"/>
      <c r="K1243" s="36"/>
      <c r="L1243" s="36"/>
      <c r="M1243" s="36"/>
      <c r="N1243" s="36"/>
      <c r="O1243" s="36"/>
      <c r="P1243" s="36"/>
      <c r="Q1243" s="36"/>
      <c r="R1243" s="36"/>
      <c r="S1243" s="36"/>
      <c r="T1243" s="36"/>
      <c r="U1243" s="36"/>
      <c r="V1243" s="36"/>
      <c r="W1243" s="36"/>
      <c r="X1243" s="36"/>
      <c r="Y1243" s="36"/>
      <c r="Z1243" s="36"/>
      <c r="AA1243" s="36"/>
      <c r="AB1243" s="36"/>
      <c r="AC1243" s="36"/>
    </row>
    <row r="1244" spans="1:29" ht="36" customHeight="1">
      <c r="A1244" s="619"/>
      <c r="B1244" s="81"/>
      <c r="C1244" s="81"/>
      <c r="D1244" s="81"/>
      <c r="E1244" s="629"/>
      <c r="F1244" s="620"/>
      <c r="G1244" s="620"/>
      <c r="H1244" s="94"/>
      <c r="I1244" s="81"/>
      <c r="J1244" s="35"/>
      <c r="K1244" s="36"/>
      <c r="L1244" s="36"/>
      <c r="M1244" s="36"/>
      <c r="N1244" s="36"/>
      <c r="O1244" s="36"/>
      <c r="P1244" s="36"/>
      <c r="Q1244" s="36"/>
      <c r="R1244" s="36"/>
      <c r="S1244" s="36"/>
      <c r="T1244" s="36"/>
      <c r="U1244" s="36"/>
      <c r="V1244" s="36"/>
      <c r="W1244" s="36"/>
      <c r="X1244" s="36"/>
      <c r="Y1244" s="36"/>
      <c r="Z1244" s="36"/>
      <c r="AA1244" s="36"/>
      <c r="AB1244" s="36"/>
      <c r="AC1244" s="36"/>
    </row>
    <row r="1245" spans="1:29" ht="36" customHeight="1">
      <c r="A1245" s="619"/>
      <c r="B1245" s="81"/>
      <c r="C1245" s="81"/>
      <c r="D1245" s="81"/>
      <c r="E1245" s="80"/>
      <c r="F1245" s="620"/>
      <c r="G1245" s="620"/>
      <c r="H1245" s="94"/>
      <c r="I1245" s="81"/>
      <c r="J1245" s="35"/>
      <c r="K1245" s="36"/>
      <c r="L1245" s="36"/>
      <c r="M1245" s="36"/>
      <c r="N1245" s="36"/>
      <c r="O1245" s="36"/>
      <c r="P1245" s="36"/>
      <c r="Q1245" s="36"/>
      <c r="R1245" s="36"/>
      <c r="S1245" s="36"/>
      <c r="T1245" s="36"/>
      <c r="U1245" s="36"/>
      <c r="V1245" s="36"/>
      <c r="W1245" s="36"/>
      <c r="X1245" s="36"/>
      <c r="Y1245" s="36"/>
      <c r="Z1245" s="36"/>
      <c r="AA1245" s="36"/>
      <c r="AB1245" s="36"/>
      <c r="AC1245" s="36"/>
    </row>
    <row r="1246" spans="1:29" ht="19.5" customHeight="1">
      <c r="A1246" s="619"/>
      <c r="B1246" s="81"/>
      <c r="C1246" s="81"/>
      <c r="D1246" s="81"/>
      <c r="E1246" s="80"/>
      <c r="F1246" s="620"/>
      <c r="G1246" s="620"/>
      <c r="H1246" s="94"/>
      <c r="I1246" s="81"/>
      <c r="J1246" s="35"/>
      <c r="K1246" s="36"/>
      <c r="L1246" s="36"/>
      <c r="M1246" s="36"/>
      <c r="N1246" s="36"/>
      <c r="O1246" s="36"/>
      <c r="P1246" s="36"/>
      <c r="Q1246" s="36"/>
      <c r="R1246" s="36"/>
      <c r="S1246" s="36"/>
      <c r="T1246" s="36"/>
      <c r="U1246" s="36"/>
      <c r="V1246" s="36"/>
      <c r="W1246" s="36"/>
      <c r="X1246" s="36"/>
      <c r="Y1246" s="36"/>
      <c r="Z1246" s="36"/>
      <c r="AA1246" s="36"/>
      <c r="AB1246" s="36"/>
      <c r="AC1246" s="36"/>
    </row>
    <row r="1247" spans="1:29" ht="24" customHeight="1">
      <c r="A1247" s="619"/>
      <c r="B1247" s="81"/>
      <c r="C1247" s="81"/>
      <c r="D1247" s="81"/>
      <c r="E1247" s="80"/>
      <c r="F1247" s="620"/>
      <c r="G1247" s="620"/>
      <c r="H1247" s="94"/>
      <c r="I1247" s="81"/>
      <c r="J1247" s="35"/>
      <c r="K1247" s="36"/>
      <c r="L1247" s="36"/>
      <c r="M1247" s="36"/>
      <c r="N1247" s="36"/>
      <c r="O1247" s="36"/>
      <c r="P1247" s="36"/>
      <c r="Q1247" s="36"/>
      <c r="R1247" s="36"/>
      <c r="S1247" s="36"/>
      <c r="T1247" s="36"/>
      <c r="U1247" s="36"/>
      <c r="V1247" s="36"/>
      <c r="W1247" s="36"/>
      <c r="X1247" s="36"/>
      <c r="Y1247" s="36"/>
      <c r="Z1247" s="36"/>
      <c r="AA1247" s="36"/>
      <c r="AB1247" s="36"/>
      <c r="AC1247" s="36"/>
    </row>
    <row r="1248" spans="1:29" ht="36" customHeight="1">
      <c r="A1248" s="81"/>
      <c r="B1248" s="81"/>
      <c r="C1248" s="81"/>
      <c r="D1248" s="81"/>
      <c r="E1248" s="80"/>
      <c r="F1248" s="620"/>
      <c r="G1248" s="620"/>
      <c r="H1248" s="94"/>
      <c r="I1248" s="81"/>
      <c r="J1248" s="35"/>
      <c r="K1248" s="36"/>
      <c r="L1248" s="36"/>
      <c r="M1248" s="36"/>
      <c r="N1248" s="36"/>
      <c r="O1248" s="36"/>
      <c r="P1248" s="36"/>
      <c r="Q1248" s="36"/>
      <c r="R1248" s="36"/>
      <c r="S1248" s="36"/>
      <c r="T1248" s="36"/>
      <c r="U1248" s="36"/>
      <c r="V1248" s="36"/>
      <c r="W1248" s="36"/>
      <c r="X1248" s="36"/>
      <c r="Y1248" s="36"/>
      <c r="Z1248" s="36"/>
      <c r="AA1248" s="36"/>
      <c r="AB1248" s="36"/>
      <c r="AC1248" s="36"/>
    </row>
    <row r="1249" spans="1:29" ht="24" customHeight="1">
      <c r="A1249" s="81"/>
      <c r="B1249" s="81"/>
      <c r="C1249" s="81"/>
      <c r="D1249" s="81"/>
      <c r="E1249" s="80"/>
      <c r="F1249" s="620"/>
      <c r="G1249" s="620"/>
      <c r="H1249" s="94"/>
      <c r="I1249" s="81"/>
      <c r="J1249" s="35"/>
      <c r="K1249" s="36"/>
      <c r="L1249" s="36"/>
      <c r="M1249" s="36"/>
      <c r="N1249" s="36"/>
      <c r="O1249" s="36"/>
      <c r="P1249" s="36"/>
      <c r="Q1249" s="36"/>
      <c r="R1249" s="36"/>
      <c r="S1249" s="36"/>
      <c r="T1249" s="36"/>
      <c r="U1249" s="36"/>
      <c r="V1249" s="36"/>
      <c r="W1249" s="36"/>
      <c r="X1249" s="36"/>
      <c r="Y1249" s="36"/>
      <c r="Z1249" s="36"/>
      <c r="AA1249" s="36"/>
      <c r="AB1249" s="36"/>
      <c r="AC1249" s="36"/>
    </row>
    <row r="1250" spans="1:29" ht="24" customHeight="1">
      <c r="A1250" s="81"/>
      <c r="B1250" s="81"/>
      <c r="C1250" s="81"/>
      <c r="D1250" s="81"/>
      <c r="E1250" s="80"/>
      <c r="F1250" s="620"/>
      <c r="G1250" s="620"/>
      <c r="H1250" s="94"/>
      <c r="I1250" s="81"/>
      <c r="J1250" s="35"/>
      <c r="K1250" s="36"/>
      <c r="L1250" s="36"/>
      <c r="M1250" s="36"/>
      <c r="N1250" s="36"/>
      <c r="O1250" s="36"/>
      <c r="P1250" s="36"/>
      <c r="Q1250" s="36"/>
      <c r="R1250" s="36"/>
      <c r="S1250" s="36"/>
      <c r="T1250" s="36"/>
      <c r="U1250" s="36"/>
      <c r="V1250" s="36"/>
      <c r="W1250" s="36"/>
      <c r="X1250" s="36"/>
      <c r="Y1250" s="36"/>
      <c r="Z1250" s="36"/>
      <c r="AA1250" s="36"/>
      <c r="AB1250" s="36"/>
      <c r="AC1250" s="36"/>
    </row>
    <row r="1251" spans="1:29" ht="24" customHeight="1">
      <c r="A1251" s="81"/>
      <c r="B1251" s="81"/>
      <c r="C1251" s="81"/>
      <c r="D1251" s="81"/>
      <c r="E1251" s="80"/>
      <c r="F1251" s="620"/>
      <c r="G1251" s="620"/>
      <c r="H1251" s="94"/>
      <c r="I1251" s="81"/>
      <c r="J1251" s="35"/>
      <c r="K1251" s="36"/>
      <c r="L1251" s="36"/>
      <c r="M1251" s="36"/>
      <c r="N1251" s="36"/>
      <c r="O1251" s="36"/>
      <c r="P1251" s="36"/>
      <c r="Q1251" s="36"/>
      <c r="R1251" s="36"/>
      <c r="S1251" s="36"/>
      <c r="T1251" s="36"/>
      <c r="U1251" s="36"/>
      <c r="V1251" s="36"/>
      <c r="W1251" s="36"/>
      <c r="X1251" s="36"/>
      <c r="Y1251" s="36"/>
      <c r="Z1251" s="36"/>
      <c r="AA1251" s="36"/>
      <c r="AB1251" s="36"/>
      <c r="AC1251" s="36"/>
    </row>
    <row r="1252" spans="1:29" ht="36" customHeight="1">
      <c r="A1252" s="81"/>
      <c r="B1252" s="81"/>
      <c r="C1252" s="81"/>
      <c r="D1252" s="81"/>
      <c r="E1252" s="80"/>
      <c r="F1252" s="620"/>
      <c r="G1252" s="620"/>
      <c r="H1252" s="94"/>
      <c r="I1252" s="81"/>
      <c r="J1252" s="35"/>
      <c r="K1252" s="36"/>
      <c r="L1252" s="36"/>
      <c r="M1252" s="36"/>
      <c r="N1252" s="36"/>
      <c r="O1252" s="36"/>
      <c r="P1252" s="36"/>
      <c r="Q1252" s="36"/>
      <c r="R1252" s="36"/>
      <c r="S1252" s="36"/>
      <c r="T1252" s="36"/>
      <c r="U1252" s="36"/>
      <c r="V1252" s="36"/>
      <c r="W1252" s="36"/>
      <c r="X1252" s="36"/>
      <c r="Y1252" s="36"/>
      <c r="Z1252" s="36"/>
      <c r="AA1252" s="36"/>
      <c r="AB1252" s="36"/>
      <c r="AC1252" s="36"/>
    </row>
    <row r="1253" spans="1:29" ht="24" customHeight="1">
      <c r="A1253" s="81"/>
      <c r="B1253" s="81"/>
      <c r="C1253" s="81"/>
      <c r="D1253" s="81"/>
      <c r="E1253" s="80"/>
      <c r="F1253" s="620"/>
      <c r="G1253" s="620"/>
      <c r="H1253" s="94"/>
      <c r="I1253" s="81"/>
      <c r="J1253" s="35"/>
      <c r="K1253" s="36"/>
      <c r="L1253" s="36"/>
      <c r="M1253" s="36"/>
      <c r="N1253" s="36"/>
      <c r="O1253" s="36"/>
      <c r="P1253" s="36"/>
      <c r="Q1253" s="36"/>
      <c r="R1253" s="36"/>
      <c r="S1253" s="36"/>
      <c r="T1253" s="36"/>
      <c r="U1253" s="36"/>
      <c r="V1253" s="36"/>
      <c r="W1253" s="36"/>
      <c r="X1253" s="36"/>
      <c r="Y1253" s="36"/>
      <c r="Z1253" s="36"/>
      <c r="AA1253" s="36"/>
      <c r="AB1253" s="36"/>
      <c r="AC1253" s="36"/>
    </row>
    <row r="1254" spans="1:29" ht="20.25" customHeight="1">
      <c r="A1254" s="81"/>
      <c r="B1254" s="81"/>
      <c r="C1254" s="81"/>
      <c r="D1254" s="81"/>
      <c r="E1254" s="80"/>
      <c r="F1254" s="620"/>
      <c r="G1254" s="620"/>
      <c r="H1254" s="94"/>
      <c r="I1254" s="81"/>
      <c r="J1254" s="35"/>
      <c r="K1254" s="36"/>
      <c r="L1254" s="36"/>
      <c r="M1254" s="36"/>
      <c r="N1254" s="36"/>
      <c r="O1254" s="36"/>
      <c r="P1254" s="36"/>
      <c r="Q1254" s="36"/>
      <c r="R1254" s="36"/>
      <c r="S1254" s="36"/>
      <c r="T1254" s="36"/>
      <c r="U1254" s="36"/>
      <c r="V1254" s="36"/>
      <c r="W1254" s="36"/>
      <c r="X1254" s="36"/>
      <c r="Y1254" s="36"/>
      <c r="Z1254" s="36"/>
      <c r="AA1254" s="36"/>
      <c r="AB1254" s="36"/>
      <c r="AC1254" s="36"/>
    </row>
    <row r="1255" spans="1:29" ht="108" customHeight="1">
      <c r="A1255" s="81"/>
      <c r="B1255" s="81"/>
      <c r="C1255" s="81"/>
      <c r="D1255" s="81"/>
      <c r="E1255" s="80"/>
      <c r="F1255" s="620"/>
      <c r="G1255" s="620"/>
      <c r="H1255" s="94"/>
      <c r="I1255" s="81"/>
      <c r="J1255" s="35"/>
      <c r="K1255" s="36"/>
      <c r="L1255" s="36"/>
      <c r="M1255" s="36"/>
      <c r="N1255" s="36"/>
      <c r="O1255" s="36"/>
      <c r="P1255" s="36"/>
      <c r="Q1255" s="36"/>
      <c r="R1255" s="36"/>
      <c r="S1255" s="36"/>
      <c r="T1255" s="36"/>
      <c r="U1255" s="36"/>
      <c r="V1255" s="36"/>
      <c r="W1255" s="36"/>
      <c r="X1255" s="36"/>
      <c r="Y1255" s="36"/>
      <c r="Z1255" s="36"/>
      <c r="AA1255" s="36"/>
      <c r="AB1255" s="36"/>
      <c r="AC1255" s="36"/>
    </row>
    <row r="1256" spans="1:29" ht="24" customHeight="1">
      <c r="A1256" s="81"/>
      <c r="B1256" s="81"/>
      <c r="C1256" s="81"/>
      <c r="D1256" s="81"/>
      <c r="E1256" s="80"/>
      <c r="F1256" s="620"/>
      <c r="G1256" s="620"/>
      <c r="H1256" s="94"/>
      <c r="I1256" s="81"/>
      <c r="J1256" s="35"/>
      <c r="K1256" s="36"/>
      <c r="L1256" s="36"/>
      <c r="M1256" s="36"/>
      <c r="N1256" s="36"/>
      <c r="O1256" s="36"/>
      <c r="P1256" s="36"/>
      <c r="Q1256" s="36"/>
      <c r="R1256" s="36"/>
      <c r="S1256" s="36"/>
      <c r="T1256" s="36"/>
      <c r="U1256" s="36"/>
      <c r="V1256" s="36"/>
      <c r="W1256" s="36"/>
      <c r="X1256" s="36"/>
      <c r="Y1256" s="36"/>
      <c r="Z1256" s="36"/>
      <c r="AA1256" s="36"/>
      <c r="AB1256" s="36"/>
      <c r="AC1256" s="36"/>
    </row>
    <row r="1257" spans="1:29" ht="24" customHeight="1">
      <c r="A1257" s="81"/>
      <c r="B1257" s="81"/>
      <c r="C1257" s="81"/>
      <c r="D1257" s="81"/>
      <c r="E1257" s="80"/>
      <c r="F1257" s="620"/>
      <c r="G1257" s="620"/>
      <c r="H1257" s="94"/>
      <c r="I1257" s="81"/>
      <c r="J1257" s="35"/>
      <c r="K1257" s="36"/>
      <c r="L1257" s="36"/>
      <c r="M1257" s="36"/>
      <c r="N1257" s="36"/>
      <c r="O1257" s="36"/>
      <c r="P1257" s="36"/>
      <c r="Q1257" s="36"/>
      <c r="R1257" s="36"/>
      <c r="S1257" s="36"/>
      <c r="T1257" s="36"/>
      <c r="U1257" s="36"/>
      <c r="V1257" s="36"/>
      <c r="W1257" s="36"/>
      <c r="X1257" s="36"/>
      <c r="Y1257" s="36"/>
      <c r="Z1257" s="36"/>
      <c r="AA1257" s="36"/>
      <c r="AB1257" s="36"/>
      <c r="AC1257" s="36"/>
    </row>
    <row r="1258" spans="1:29" ht="24" customHeight="1">
      <c r="A1258" s="81"/>
      <c r="B1258" s="81"/>
      <c r="C1258" s="81"/>
      <c r="D1258" s="81"/>
      <c r="E1258" s="80"/>
      <c r="F1258" s="620"/>
      <c r="G1258" s="620"/>
      <c r="H1258" s="94"/>
      <c r="I1258" s="81"/>
      <c r="J1258" s="35"/>
      <c r="K1258" s="36"/>
      <c r="L1258" s="36"/>
      <c r="M1258" s="36"/>
      <c r="N1258" s="36"/>
      <c r="O1258" s="36"/>
      <c r="P1258" s="36"/>
      <c r="Q1258" s="36"/>
      <c r="R1258" s="36"/>
      <c r="S1258" s="36"/>
      <c r="T1258" s="36"/>
      <c r="U1258" s="36"/>
      <c r="V1258" s="36"/>
      <c r="W1258" s="36"/>
      <c r="X1258" s="36"/>
      <c r="Y1258" s="36"/>
      <c r="Z1258" s="36"/>
      <c r="AA1258" s="36"/>
      <c r="AB1258" s="36"/>
      <c r="AC1258" s="36"/>
    </row>
    <row r="1259" spans="1:29" ht="24" customHeight="1">
      <c r="A1259" s="81"/>
      <c r="B1259" s="81"/>
      <c r="C1259" s="81"/>
      <c r="D1259" s="81"/>
      <c r="E1259" s="80"/>
      <c r="F1259" s="620"/>
      <c r="G1259" s="620"/>
      <c r="H1259" s="94"/>
      <c r="I1259" s="81"/>
      <c r="J1259" s="35"/>
      <c r="K1259" s="36"/>
      <c r="L1259" s="36"/>
      <c r="M1259" s="36"/>
      <c r="N1259" s="36"/>
      <c r="O1259" s="36"/>
      <c r="P1259" s="36"/>
      <c r="Q1259" s="36"/>
      <c r="R1259" s="36"/>
      <c r="S1259" s="36"/>
      <c r="T1259" s="36"/>
      <c r="U1259" s="36"/>
      <c r="V1259" s="36"/>
      <c r="W1259" s="36"/>
      <c r="X1259" s="36"/>
      <c r="Y1259" s="36"/>
      <c r="Z1259" s="36"/>
      <c r="AA1259" s="36"/>
      <c r="AB1259" s="36"/>
      <c r="AC1259" s="36"/>
    </row>
    <row r="1260" spans="1:29" ht="24" customHeight="1">
      <c r="A1260" s="81"/>
      <c r="B1260" s="81"/>
      <c r="C1260" s="81"/>
      <c r="D1260" s="81"/>
      <c r="E1260" s="80"/>
      <c r="F1260" s="620"/>
      <c r="G1260" s="620"/>
      <c r="H1260" s="94"/>
      <c r="I1260" s="81"/>
      <c r="J1260" s="35"/>
      <c r="K1260" s="36"/>
      <c r="L1260" s="36"/>
      <c r="M1260" s="36"/>
      <c r="N1260" s="36"/>
      <c r="O1260" s="36"/>
      <c r="P1260" s="36"/>
      <c r="Q1260" s="36"/>
      <c r="R1260" s="36"/>
      <c r="S1260" s="36"/>
      <c r="T1260" s="36"/>
      <c r="U1260" s="36"/>
      <c r="V1260" s="36"/>
      <c r="W1260" s="36"/>
      <c r="X1260" s="36"/>
      <c r="Y1260" s="36"/>
      <c r="Z1260" s="36"/>
      <c r="AA1260" s="36"/>
      <c r="AB1260" s="36"/>
      <c r="AC1260" s="36"/>
    </row>
    <row r="1261" spans="1:29" ht="24" customHeight="1">
      <c r="A1261" s="81"/>
      <c r="B1261" s="81"/>
      <c r="C1261" s="81"/>
      <c r="D1261" s="81"/>
      <c r="E1261" s="80"/>
      <c r="F1261" s="620"/>
      <c r="G1261" s="620"/>
      <c r="H1261" s="94"/>
      <c r="I1261" s="81"/>
      <c r="J1261" s="35"/>
      <c r="K1261" s="36"/>
      <c r="L1261" s="36"/>
      <c r="M1261" s="36"/>
      <c r="N1261" s="36"/>
      <c r="O1261" s="36"/>
      <c r="P1261" s="36"/>
      <c r="Q1261" s="36"/>
      <c r="R1261" s="36"/>
      <c r="S1261" s="36"/>
      <c r="T1261" s="36"/>
      <c r="U1261" s="36"/>
      <c r="V1261" s="36"/>
      <c r="W1261" s="36"/>
      <c r="X1261" s="36"/>
      <c r="Y1261" s="36"/>
      <c r="Z1261" s="36"/>
      <c r="AA1261" s="36"/>
      <c r="AB1261" s="36"/>
      <c r="AC1261" s="36"/>
    </row>
    <row r="1262" spans="1:29" ht="36" customHeight="1">
      <c r="A1262" s="81"/>
      <c r="B1262" s="81"/>
      <c r="C1262" s="81"/>
      <c r="D1262" s="81"/>
      <c r="E1262" s="80"/>
      <c r="F1262" s="620"/>
      <c r="G1262" s="620"/>
      <c r="H1262" s="94"/>
      <c r="I1262" s="81"/>
      <c r="J1262" s="35"/>
      <c r="K1262" s="36"/>
      <c r="L1262" s="36"/>
      <c r="M1262" s="36"/>
      <c r="N1262" s="36"/>
      <c r="O1262" s="36"/>
      <c r="P1262" s="36"/>
      <c r="Q1262" s="36"/>
      <c r="R1262" s="36"/>
      <c r="S1262" s="36"/>
      <c r="T1262" s="36"/>
      <c r="U1262" s="36"/>
      <c r="V1262" s="36"/>
      <c r="W1262" s="36"/>
      <c r="X1262" s="36"/>
      <c r="Y1262" s="36"/>
      <c r="Z1262" s="36"/>
      <c r="AA1262" s="36"/>
      <c r="AB1262" s="36"/>
      <c r="AC1262" s="36"/>
    </row>
    <row r="1263" spans="1:29" ht="24" customHeight="1">
      <c r="A1263" s="81"/>
      <c r="B1263" s="81"/>
      <c r="C1263" s="81"/>
      <c r="D1263" s="81"/>
      <c r="E1263" s="80"/>
      <c r="F1263" s="620"/>
      <c r="G1263" s="620"/>
      <c r="H1263" s="94"/>
      <c r="I1263" s="81"/>
      <c r="J1263" s="35"/>
      <c r="K1263" s="36"/>
      <c r="L1263" s="36"/>
      <c r="M1263" s="36"/>
      <c r="N1263" s="36"/>
      <c r="O1263" s="36"/>
      <c r="P1263" s="36"/>
      <c r="Q1263" s="36"/>
      <c r="R1263" s="36"/>
      <c r="S1263" s="36"/>
      <c r="T1263" s="36"/>
      <c r="U1263" s="36"/>
      <c r="V1263" s="36"/>
      <c r="W1263" s="36"/>
      <c r="X1263" s="36"/>
      <c r="Y1263" s="36"/>
      <c r="Z1263" s="36"/>
      <c r="AA1263" s="36"/>
      <c r="AB1263" s="36"/>
      <c r="AC1263" s="36"/>
    </row>
    <row r="1264" spans="1:29" ht="24" customHeight="1">
      <c r="A1264" s="81"/>
      <c r="B1264" s="81"/>
      <c r="C1264" s="81"/>
      <c r="D1264" s="81"/>
      <c r="E1264" s="80"/>
      <c r="F1264" s="620"/>
      <c r="G1264" s="620"/>
      <c r="H1264" s="94"/>
      <c r="I1264" s="81"/>
      <c r="J1264" s="35"/>
      <c r="K1264" s="36"/>
      <c r="L1264" s="36"/>
      <c r="M1264" s="36"/>
      <c r="N1264" s="36"/>
      <c r="O1264" s="36"/>
      <c r="P1264" s="36"/>
      <c r="Q1264" s="36"/>
      <c r="R1264" s="36"/>
      <c r="S1264" s="36"/>
      <c r="T1264" s="36"/>
      <c r="U1264" s="36"/>
      <c r="V1264" s="36"/>
      <c r="W1264" s="36"/>
      <c r="X1264" s="36"/>
      <c r="Y1264" s="36"/>
      <c r="Z1264" s="36"/>
      <c r="AA1264" s="36"/>
      <c r="AB1264" s="36"/>
      <c r="AC1264" s="36"/>
    </row>
    <row r="1265" spans="1:29" ht="36" customHeight="1">
      <c r="A1265" s="81"/>
      <c r="B1265" s="81"/>
      <c r="C1265" s="81"/>
      <c r="D1265" s="81"/>
      <c r="E1265" s="80"/>
      <c r="F1265" s="620"/>
      <c r="G1265" s="620"/>
      <c r="H1265" s="94"/>
      <c r="I1265" s="81"/>
      <c r="J1265" s="35"/>
      <c r="K1265" s="36"/>
      <c r="L1265" s="36"/>
      <c r="M1265" s="36"/>
      <c r="N1265" s="36"/>
      <c r="O1265" s="36"/>
      <c r="P1265" s="36"/>
      <c r="Q1265" s="36"/>
      <c r="R1265" s="36"/>
      <c r="S1265" s="36"/>
      <c r="T1265" s="36"/>
      <c r="U1265" s="36"/>
      <c r="V1265" s="36"/>
      <c r="W1265" s="36"/>
      <c r="X1265" s="36"/>
      <c r="Y1265" s="36"/>
      <c r="Z1265" s="36"/>
      <c r="AA1265" s="36"/>
      <c r="AB1265" s="36"/>
      <c r="AC1265" s="36"/>
    </row>
    <row r="1266" spans="1:29" ht="24" customHeight="1">
      <c r="A1266" s="81"/>
      <c r="B1266" s="81"/>
      <c r="C1266" s="81"/>
      <c r="D1266" s="81"/>
      <c r="E1266" s="80"/>
      <c r="F1266" s="620"/>
      <c r="G1266" s="620"/>
      <c r="H1266" s="94"/>
      <c r="I1266" s="81"/>
      <c r="J1266" s="35"/>
      <c r="K1266" s="36"/>
      <c r="L1266" s="36"/>
      <c r="M1266" s="36"/>
      <c r="N1266" s="36"/>
      <c r="O1266" s="36"/>
      <c r="P1266" s="36"/>
      <c r="Q1266" s="36"/>
      <c r="R1266" s="36"/>
      <c r="S1266" s="36"/>
      <c r="T1266" s="36"/>
      <c r="U1266" s="36"/>
      <c r="V1266" s="36"/>
      <c r="W1266" s="36"/>
      <c r="X1266" s="36"/>
      <c r="Y1266" s="36"/>
      <c r="Z1266" s="36"/>
      <c r="AA1266" s="36"/>
      <c r="AB1266" s="36"/>
      <c r="AC1266" s="36"/>
    </row>
    <row r="1267" spans="1:29" ht="24" customHeight="1">
      <c r="A1267" s="81"/>
      <c r="B1267" s="81"/>
      <c r="C1267" s="81"/>
      <c r="D1267" s="81"/>
      <c r="E1267" s="80"/>
      <c r="F1267" s="620"/>
      <c r="G1267" s="620"/>
      <c r="H1267" s="94"/>
      <c r="I1267" s="81"/>
      <c r="J1267" s="35"/>
      <c r="K1267" s="36"/>
      <c r="L1267" s="36"/>
      <c r="M1267" s="36"/>
      <c r="N1267" s="36"/>
      <c r="O1267" s="36"/>
      <c r="P1267" s="36"/>
      <c r="Q1267" s="36"/>
      <c r="R1267" s="36"/>
      <c r="S1267" s="36"/>
      <c r="T1267" s="36"/>
      <c r="U1267" s="36"/>
      <c r="V1267" s="36"/>
      <c r="W1267" s="36"/>
      <c r="X1267" s="36"/>
      <c r="Y1267" s="36"/>
      <c r="Z1267" s="36"/>
      <c r="AA1267" s="36"/>
      <c r="AB1267" s="36"/>
      <c r="AC1267" s="36"/>
    </row>
    <row r="1268" spans="1:29" ht="96" customHeight="1">
      <c r="A1268" s="81"/>
      <c r="B1268" s="81"/>
      <c r="C1268" s="81"/>
      <c r="D1268" s="81"/>
      <c r="E1268" s="80"/>
      <c r="F1268" s="620"/>
      <c r="G1268" s="620"/>
      <c r="H1268" s="94"/>
      <c r="I1268" s="81"/>
      <c r="J1268" s="35"/>
      <c r="K1268" s="36"/>
      <c r="L1268" s="36"/>
      <c r="M1268" s="36"/>
      <c r="N1268" s="36"/>
      <c r="O1268" s="36"/>
      <c r="P1268" s="36"/>
      <c r="Q1268" s="36"/>
      <c r="R1268" s="36"/>
      <c r="S1268" s="36"/>
      <c r="T1268" s="36"/>
      <c r="U1268" s="36"/>
      <c r="V1268" s="36"/>
      <c r="W1268" s="36"/>
      <c r="X1268" s="36"/>
      <c r="Y1268" s="36"/>
      <c r="Z1268" s="36"/>
      <c r="AA1268" s="36"/>
      <c r="AB1268" s="36"/>
      <c r="AC1268" s="36"/>
    </row>
    <row r="1269" spans="1:29" ht="15" customHeight="1">
      <c r="A1269" s="81"/>
      <c r="B1269" s="81"/>
      <c r="C1269" s="81"/>
      <c r="D1269" s="81"/>
      <c r="E1269" s="80"/>
      <c r="F1269" s="620"/>
      <c r="G1269" s="620"/>
      <c r="H1269" s="94"/>
      <c r="I1269" s="81"/>
      <c r="J1269" s="35"/>
      <c r="K1269" s="36"/>
      <c r="L1269" s="36"/>
      <c r="M1269" s="36"/>
      <c r="N1269" s="36"/>
      <c r="O1269" s="36"/>
      <c r="P1269" s="36"/>
      <c r="Q1269" s="36"/>
      <c r="R1269" s="36"/>
      <c r="S1269" s="36"/>
      <c r="T1269" s="36"/>
      <c r="U1269" s="36"/>
      <c r="V1269" s="36"/>
      <c r="W1269" s="36"/>
      <c r="X1269" s="36"/>
      <c r="Y1269" s="36"/>
      <c r="Z1269" s="36"/>
      <c r="AA1269" s="36"/>
      <c r="AB1269" s="36"/>
      <c r="AC1269" s="36"/>
    </row>
    <row r="1270" spans="1:29" ht="24" customHeight="1">
      <c r="A1270" s="81"/>
      <c r="B1270" s="81"/>
      <c r="C1270" s="81"/>
      <c r="D1270" s="81"/>
      <c r="E1270" s="80"/>
      <c r="F1270" s="620"/>
      <c r="G1270" s="620"/>
      <c r="H1270" s="94"/>
      <c r="I1270" s="81"/>
      <c r="J1270" s="35"/>
      <c r="K1270" s="36"/>
      <c r="L1270" s="36"/>
      <c r="M1270" s="36"/>
      <c r="N1270" s="36"/>
      <c r="O1270" s="36"/>
      <c r="P1270" s="36"/>
      <c r="Q1270" s="36"/>
      <c r="R1270" s="36"/>
      <c r="S1270" s="36"/>
      <c r="T1270" s="36"/>
      <c r="U1270" s="36"/>
      <c r="V1270" s="36"/>
      <c r="W1270" s="36"/>
      <c r="X1270" s="36"/>
      <c r="Y1270" s="36"/>
      <c r="Z1270" s="36"/>
      <c r="AA1270" s="36"/>
      <c r="AB1270" s="36"/>
      <c r="AC1270" s="36"/>
    </row>
    <row r="1271" spans="1:29" ht="36" customHeight="1">
      <c r="A1271" s="476"/>
      <c r="B1271" s="476"/>
      <c r="C1271" s="476"/>
      <c r="D1271" s="476"/>
      <c r="E1271" s="636"/>
      <c r="F1271" s="387"/>
      <c r="G1271" s="387"/>
      <c r="H1271" s="477"/>
      <c r="I1271" s="476"/>
      <c r="J1271" s="35"/>
      <c r="K1271" s="36"/>
      <c r="L1271" s="36"/>
      <c r="M1271" s="36"/>
      <c r="N1271" s="36"/>
      <c r="O1271" s="36"/>
      <c r="P1271" s="36"/>
      <c r="Q1271" s="36"/>
      <c r="R1271" s="36"/>
      <c r="S1271" s="36"/>
      <c r="T1271" s="36"/>
      <c r="U1271" s="36"/>
      <c r="V1271" s="36"/>
      <c r="W1271" s="36"/>
      <c r="X1271" s="36"/>
      <c r="Y1271" s="36"/>
      <c r="Z1271" s="36"/>
      <c r="AA1271" s="36"/>
      <c r="AB1271" s="36"/>
      <c r="AC1271" s="36"/>
    </row>
    <row r="1272" spans="1:29" ht="12" customHeight="1">
      <c r="A1272" s="81"/>
      <c r="B1272" s="81"/>
      <c r="C1272" s="81"/>
      <c r="D1272" s="81"/>
      <c r="E1272" s="80"/>
      <c r="F1272" s="620"/>
      <c r="G1272" s="620"/>
      <c r="H1272" s="94"/>
      <c r="I1272" s="81"/>
      <c r="J1272" s="35"/>
      <c r="K1272" s="36"/>
      <c r="L1272" s="36"/>
      <c r="M1272" s="36"/>
      <c r="N1272" s="36"/>
      <c r="O1272" s="36"/>
      <c r="P1272" s="36"/>
      <c r="Q1272" s="36"/>
      <c r="R1272" s="36"/>
      <c r="S1272" s="36"/>
      <c r="T1272" s="36"/>
      <c r="U1272" s="36"/>
      <c r="V1272" s="36"/>
      <c r="W1272" s="36"/>
      <c r="X1272" s="36"/>
      <c r="Y1272" s="36"/>
      <c r="Z1272" s="36"/>
      <c r="AA1272" s="36"/>
      <c r="AB1272" s="36"/>
      <c r="AC1272" s="36"/>
    </row>
    <row r="1273" spans="1:29" ht="48" customHeight="1">
      <c r="A1273" s="476"/>
      <c r="B1273" s="476"/>
      <c r="C1273" s="476"/>
      <c r="D1273" s="476"/>
      <c r="E1273" s="636"/>
      <c r="F1273" s="387"/>
      <c r="G1273" s="387"/>
      <c r="H1273" s="477"/>
      <c r="I1273" s="476"/>
      <c r="J1273" s="35"/>
      <c r="K1273" s="36"/>
      <c r="L1273" s="36"/>
      <c r="M1273" s="36"/>
      <c r="N1273" s="36"/>
      <c r="O1273" s="36"/>
      <c r="P1273" s="36"/>
      <c r="Q1273" s="36"/>
      <c r="R1273" s="36"/>
      <c r="S1273" s="36"/>
      <c r="T1273" s="36"/>
      <c r="U1273" s="36"/>
      <c r="V1273" s="36"/>
      <c r="W1273" s="36"/>
      <c r="X1273" s="36"/>
      <c r="Y1273" s="36"/>
      <c r="Z1273" s="36"/>
      <c r="AA1273" s="36"/>
      <c r="AB1273" s="36"/>
      <c r="AC1273" s="36"/>
    </row>
    <row r="1274" spans="1:29" ht="24" customHeight="1">
      <c r="A1274" s="619"/>
      <c r="B1274" s="94"/>
      <c r="C1274" s="81"/>
      <c r="D1274" s="81"/>
      <c r="E1274" s="80"/>
      <c r="F1274" s="620"/>
      <c r="G1274" s="620"/>
      <c r="H1274" s="94"/>
      <c r="I1274" s="81"/>
      <c r="J1274" s="35"/>
      <c r="K1274" s="36"/>
      <c r="L1274" s="36"/>
      <c r="M1274" s="36"/>
      <c r="N1274" s="36"/>
      <c r="O1274" s="36"/>
      <c r="P1274" s="36"/>
      <c r="Q1274" s="36"/>
      <c r="R1274" s="36"/>
      <c r="S1274" s="36"/>
      <c r="T1274" s="36"/>
      <c r="U1274" s="36"/>
      <c r="V1274" s="36"/>
      <c r="W1274" s="36"/>
      <c r="X1274" s="36"/>
      <c r="Y1274" s="36"/>
      <c r="Z1274" s="36"/>
      <c r="AA1274" s="36"/>
      <c r="AB1274" s="36"/>
      <c r="AC1274" s="36"/>
    </row>
    <row r="1275" spans="1:29" ht="36" customHeight="1">
      <c r="A1275" s="81"/>
      <c r="B1275" s="94"/>
      <c r="C1275" s="81"/>
      <c r="D1275" s="81"/>
      <c r="E1275" s="80"/>
      <c r="F1275" s="620"/>
      <c r="G1275" s="620"/>
      <c r="H1275" s="94"/>
      <c r="I1275" s="81"/>
      <c r="J1275" s="35"/>
      <c r="K1275" s="36"/>
      <c r="L1275" s="36"/>
      <c r="M1275" s="36"/>
      <c r="N1275" s="36"/>
      <c r="O1275" s="36"/>
      <c r="P1275" s="36"/>
      <c r="Q1275" s="36"/>
      <c r="R1275" s="36"/>
      <c r="S1275" s="36"/>
      <c r="T1275" s="36"/>
      <c r="U1275" s="36"/>
      <c r="V1275" s="36"/>
      <c r="W1275" s="36"/>
      <c r="X1275" s="36"/>
      <c r="Y1275" s="36"/>
      <c r="Z1275" s="36"/>
      <c r="AA1275" s="36"/>
      <c r="AB1275" s="36"/>
      <c r="AC1275" s="36"/>
    </row>
    <row r="1276" spans="1:29" ht="36" customHeight="1">
      <c r="A1276" s="81"/>
      <c r="B1276" s="81"/>
      <c r="C1276" s="81"/>
      <c r="D1276" s="81"/>
      <c r="E1276" s="80"/>
      <c r="F1276" s="620"/>
      <c r="G1276" s="620"/>
      <c r="H1276" s="94"/>
      <c r="I1276" s="81"/>
      <c r="J1276" s="35"/>
      <c r="K1276" s="36"/>
      <c r="L1276" s="36"/>
      <c r="M1276" s="36"/>
      <c r="N1276" s="36"/>
      <c r="O1276" s="36"/>
      <c r="P1276" s="36"/>
      <c r="Q1276" s="36"/>
      <c r="R1276" s="36"/>
      <c r="S1276" s="36"/>
      <c r="T1276" s="36"/>
      <c r="U1276" s="36"/>
      <c r="V1276" s="36"/>
      <c r="W1276" s="36"/>
      <c r="X1276" s="36"/>
      <c r="Y1276" s="36"/>
      <c r="Z1276" s="36"/>
      <c r="AA1276" s="36"/>
      <c r="AB1276" s="36"/>
      <c r="AC1276" s="36"/>
    </row>
    <row r="1277" spans="1:29" ht="36" customHeight="1">
      <c r="A1277" s="81"/>
      <c r="B1277" s="94"/>
      <c r="C1277" s="81"/>
      <c r="D1277" s="81"/>
      <c r="E1277" s="80"/>
      <c r="F1277" s="620"/>
      <c r="G1277" s="620"/>
      <c r="H1277" s="94"/>
      <c r="I1277" s="81"/>
      <c r="J1277" s="35"/>
      <c r="K1277" s="36"/>
      <c r="L1277" s="36"/>
      <c r="M1277" s="36"/>
      <c r="N1277" s="36"/>
      <c r="O1277" s="36"/>
      <c r="P1277" s="36"/>
      <c r="Q1277" s="36"/>
      <c r="R1277" s="36"/>
      <c r="S1277" s="36"/>
      <c r="T1277" s="36"/>
      <c r="U1277" s="36"/>
      <c r="V1277" s="36"/>
      <c r="W1277" s="36"/>
      <c r="X1277" s="36"/>
      <c r="Y1277" s="36"/>
      <c r="Z1277" s="36"/>
      <c r="AA1277" s="36"/>
      <c r="AB1277" s="36"/>
      <c r="AC1277" s="36"/>
    </row>
    <row r="1278" spans="1:29" ht="36" customHeight="1">
      <c r="A1278" s="81"/>
      <c r="B1278" s="81"/>
      <c r="C1278" s="81"/>
      <c r="D1278" s="81"/>
      <c r="E1278" s="80"/>
      <c r="F1278" s="620"/>
      <c r="G1278" s="620"/>
      <c r="H1278" s="94"/>
      <c r="I1278" s="81"/>
      <c r="J1278" s="35"/>
      <c r="K1278" s="36"/>
      <c r="L1278" s="36"/>
      <c r="M1278" s="36"/>
      <c r="N1278" s="36"/>
      <c r="O1278" s="36"/>
      <c r="P1278" s="36"/>
      <c r="Q1278" s="36"/>
      <c r="R1278" s="36"/>
      <c r="S1278" s="36"/>
      <c r="T1278" s="36"/>
      <c r="U1278" s="36"/>
      <c r="V1278" s="36"/>
      <c r="W1278" s="36"/>
      <c r="X1278" s="36"/>
      <c r="Y1278" s="36"/>
      <c r="Z1278" s="36"/>
      <c r="AA1278" s="36"/>
      <c r="AB1278" s="36"/>
      <c r="AC1278" s="36"/>
    </row>
    <row r="1279" spans="1:29" ht="36" customHeight="1">
      <c r="A1279" s="81"/>
      <c r="B1279" s="81"/>
      <c r="C1279" s="81"/>
      <c r="D1279" s="81"/>
      <c r="E1279" s="80"/>
      <c r="F1279" s="620"/>
      <c r="G1279" s="620"/>
      <c r="H1279" s="94"/>
      <c r="I1279" s="81"/>
      <c r="J1279" s="35"/>
      <c r="K1279" s="36"/>
      <c r="L1279" s="36"/>
      <c r="M1279" s="36"/>
      <c r="N1279" s="36"/>
      <c r="O1279" s="36"/>
      <c r="P1279" s="36"/>
      <c r="Q1279" s="36"/>
      <c r="R1279" s="36"/>
      <c r="S1279" s="36"/>
      <c r="T1279" s="36"/>
      <c r="U1279" s="36"/>
      <c r="V1279" s="36"/>
      <c r="W1279" s="36"/>
      <c r="X1279" s="36"/>
      <c r="Y1279" s="36"/>
      <c r="Z1279" s="36"/>
      <c r="AA1279" s="36"/>
      <c r="AB1279" s="36"/>
      <c r="AC1279" s="36"/>
    </row>
    <row r="1280" spans="1:29" ht="24" customHeight="1">
      <c r="A1280" s="81"/>
      <c r="B1280" s="81"/>
      <c r="C1280" s="81"/>
      <c r="D1280" s="81"/>
      <c r="E1280" s="80"/>
      <c r="F1280" s="620"/>
      <c r="G1280" s="620"/>
      <c r="H1280" s="94"/>
      <c r="I1280" s="81"/>
      <c r="J1280" s="35"/>
      <c r="K1280" s="36"/>
      <c r="L1280" s="36"/>
      <c r="M1280" s="36"/>
      <c r="N1280" s="36"/>
      <c r="O1280" s="36"/>
      <c r="P1280" s="36"/>
      <c r="Q1280" s="36"/>
      <c r="R1280" s="36"/>
      <c r="S1280" s="36"/>
      <c r="T1280" s="36"/>
      <c r="U1280" s="36"/>
      <c r="V1280" s="36"/>
      <c r="W1280" s="36"/>
      <c r="X1280" s="36"/>
      <c r="Y1280" s="36"/>
      <c r="Z1280" s="36"/>
      <c r="AA1280" s="36"/>
      <c r="AB1280" s="36"/>
      <c r="AC1280" s="36"/>
    </row>
    <row r="1281" spans="1:29" ht="36" customHeight="1">
      <c r="A1281" s="81"/>
      <c r="B1281" s="81"/>
      <c r="C1281" s="81"/>
      <c r="D1281" s="81"/>
      <c r="E1281" s="80"/>
      <c r="F1281" s="620"/>
      <c r="G1281" s="620"/>
      <c r="H1281" s="94"/>
      <c r="I1281" s="81"/>
      <c r="J1281" s="35"/>
      <c r="K1281" s="36"/>
      <c r="L1281" s="36"/>
      <c r="M1281" s="36"/>
      <c r="N1281" s="36"/>
      <c r="O1281" s="36"/>
      <c r="P1281" s="36"/>
      <c r="Q1281" s="36"/>
      <c r="R1281" s="36"/>
      <c r="S1281" s="36"/>
      <c r="T1281" s="36"/>
      <c r="U1281" s="36"/>
      <c r="V1281" s="36"/>
      <c r="W1281" s="36"/>
      <c r="X1281" s="36"/>
      <c r="Y1281" s="36"/>
      <c r="Z1281" s="36"/>
      <c r="AA1281" s="36"/>
      <c r="AB1281" s="36"/>
      <c r="AC1281" s="36"/>
    </row>
    <row r="1282" spans="1:29" ht="24" customHeight="1">
      <c r="A1282" s="81"/>
      <c r="B1282" s="81"/>
      <c r="C1282" s="81"/>
      <c r="D1282" s="81"/>
      <c r="E1282" s="80"/>
      <c r="F1282" s="620"/>
      <c r="G1282" s="620"/>
      <c r="H1282" s="94"/>
      <c r="I1282" s="81"/>
      <c r="J1282" s="35"/>
      <c r="K1282" s="36"/>
      <c r="L1282" s="36"/>
      <c r="M1282" s="36"/>
      <c r="N1282" s="36"/>
      <c r="O1282" s="36"/>
      <c r="P1282" s="36"/>
      <c r="Q1282" s="36"/>
      <c r="R1282" s="36"/>
      <c r="S1282" s="36"/>
      <c r="T1282" s="36"/>
      <c r="U1282" s="36"/>
      <c r="V1282" s="36"/>
      <c r="W1282" s="36"/>
      <c r="X1282" s="36"/>
      <c r="Y1282" s="36"/>
      <c r="Z1282" s="36"/>
      <c r="AA1282" s="36"/>
      <c r="AB1282" s="36"/>
      <c r="AC1282" s="36"/>
    </row>
    <row r="1283" spans="1:29" ht="24" customHeight="1">
      <c r="A1283" s="81"/>
      <c r="B1283" s="81"/>
      <c r="C1283" s="81"/>
      <c r="D1283" s="81"/>
      <c r="E1283" s="80"/>
      <c r="F1283" s="620"/>
      <c r="G1283" s="620"/>
      <c r="H1283" s="94"/>
      <c r="I1283" s="81"/>
      <c r="J1283" s="35"/>
      <c r="K1283" s="36"/>
      <c r="L1283" s="36"/>
      <c r="M1283" s="36"/>
      <c r="N1283" s="36"/>
      <c r="O1283" s="36"/>
      <c r="P1283" s="36"/>
      <c r="Q1283" s="36"/>
      <c r="R1283" s="36"/>
      <c r="S1283" s="36"/>
      <c r="T1283" s="36"/>
      <c r="U1283" s="36"/>
      <c r="V1283" s="36"/>
      <c r="W1283" s="36"/>
      <c r="X1283" s="36"/>
      <c r="Y1283" s="36"/>
      <c r="Z1283" s="36"/>
      <c r="AA1283" s="36"/>
      <c r="AB1283" s="36"/>
      <c r="AC1283" s="36"/>
    </row>
    <row r="1284" spans="1:29" ht="36" customHeight="1">
      <c r="A1284" s="81"/>
      <c r="B1284" s="94"/>
      <c r="C1284" s="81"/>
      <c r="D1284" s="81"/>
      <c r="E1284" s="80"/>
      <c r="F1284" s="620"/>
      <c r="G1284" s="620"/>
      <c r="H1284" s="94"/>
      <c r="I1284" s="81"/>
      <c r="J1284" s="35"/>
      <c r="K1284" s="36"/>
      <c r="L1284" s="36"/>
      <c r="M1284" s="36"/>
      <c r="N1284" s="36"/>
      <c r="O1284" s="36"/>
      <c r="P1284" s="36"/>
      <c r="Q1284" s="36"/>
      <c r="R1284" s="36"/>
      <c r="S1284" s="36"/>
      <c r="T1284" s="36"/>
      <c r="U1284" s="36"/>
      <c r="V1284" s="36"/>
      <c r="W1284" s="36"/>
      <c r="X1284" s="36"/>
      <c r="Y1284" s="36"/>
      <c r="Z1284" s="36"/>
      <c r="AA1284" s="36"/>
      <c r="AB1284" s="36"/>
      <c r="AC1284" s="36"/>
    </row>
    <row r="1285" spans="1:29" ht="48" customHeight="1">
      <c r="A1285" s="81"/>
      <c r="B1285" s="81"/>
      <c r="C1285" s="81"/>
      <c r="D1285" s="81"/>
      <c r="E1285" s="80"/>
      <c r="F1285" s="620"/>
      <c r="G1285" s="620"/>
      <c r="H1285" s="94"/>
      <c r="I1285" s="81"/>
      <c r="J1285" s="35"/>
      <c r="K1285" s="36"/>
      <c r="L1285" s="36"/>
      <c r="M1285" s="36"/>
      <c r="N1285" s="36"/>
      <c r="O1285" s="36"/>
      <c r="P1285" s="36"/>
      <c r="Q1285" s="36"/>
      <c r="R1285" s="36"/>
      <c r="S1285" s="36"/>
      <c r="T1285" s="36"/>
      <c r="U1285" s="36"/>
      <c r="V1285" s="36"/>
      <c r="W1285" s="36"/>
      <c r="X1285" s="36"/>
      <c r="Y1285" s="36"/>
      <c r="Z1285" s="36"/>
      <c r="AA1285" s="36"/>
      <c r="AB1285" s="36"/>
      <c r="AC1285" s="36"/>
    </row>
    <row r="1286" spans="1:29" ht="48" customHeight="1">
      <c r="A1286" s="81"/>
      <c r="B1286" s="94"/>
      <c r="C1286" s="81"/>
      <c r="D1286" s="81"/>
      <c r="E1286" s="80"/>
      <c r="F1286" s="620"/>
      <c r="G1286" s="620"/>
      <c r="H1286" s="94"/>
      <c r="I1286" s="81"/>
      <c r="J1286" s="35"/>
      <c r="K1286" s="36"/>
      <c r="L1286" s="36"/>
      <c r="M1286" s="36"/>
      <c r="N1286" s="36"/>
      <c r="O1286" s="36"/>
      <c r="P1286" s="36"/>
      <c r="Q1286" s="36"/>
      <c r="R1286" s="36"/>
      <c r="S1286" s="36"/>
      <c r="T1286" s="36"/>
      <c r="U1286" s="36"/>
      <c r="V1286" s="36"/>
      <c r="W1286" s="36"/>
      <c r="X1286" s="36"/>
      <c r="Y1286" s="36"/>
      <c r="Z1286" s="36"/>
      <c r="AA1286" s="36"/>
      <c r="AB1286" s="36"/>
      <c r="AC1286" s="36"/>
    </row>
    <row r="1287" spans="1:29" ht="36" customHeight="1">
      <c r="A1287" s="81"/>
      <c r="B1287" s="81"/>
      <c r="C1287" s="81"/>
      <c r="D1287" s="81"/>
      <c r="E1287" s="80"/>
      <c r="F1287" s="620"/>
      <c r="G1287" s="620"/>
      <c r="H1287" s="94"/>
      <c r="I1287" s="81"/>
      <c r="J1287" s="35"/>
      <c r="K1287" s="36"/>
      <c r="L1287" s="36"/>
      <c r="M1287" s="36"/>
      <c r="N1287" s="36"/>
      <c r="O1287" s="36"/>
      <c r="P1287" s="36"/>
      <c r="Q1287" s="36"/>
      <c r="R1287" s="36"/>
      <c r="S1287" s="36"/>
      <c r="T1287" s="36"/>
      <c r="U1287" s="36"/>
      <c r="V1287" s="36"/>
      <c r="W1287" s="36"/>
      <c r="X1287" s="36"/>
      <c r="Y1287" s="36"/>
      <c r="Z1287" s="36"/>
      <c r="AA1287" s="36"/>
      <c r="AB1287" s="36"/>
      <c r="AC1287" s="36"/>
    </row>
    <row r="1288" spans="1:29" ht="12" customHeight="1">
      <c r="A1288" s="81"/>
      <c r="B1288" s="94"/>
      <c r="C1288" s="81"/>
      <c r="D1288" s="81"/>
      <c r="E1288" s="80"/>
      <c r="F1288" s="620"/>
      <c r="G1288" s="620"/>
      <c r="H1288" s="94"/>
      <c r="I1288" s="81"/>
      <c r="J1288" s="35"/>
      <c r="K1288" s="36"/>
      <c r="L1288" s="36"/>
      <c r="M1288" s="36"/>
      <c r="N1288" s="36"/>
      <c r="O1288" s="36"/>
      <c r="P1288" s="36"/>
      <c r="Q1288" s="36"/>
      <c r="R1288" s="36"/>
      <c r="S1288" s="36"/>
      <c r="T1288" s="36"/>
      <c r="U1288" s="36"/>
      <c r="V1288" s="36"/>
      <c r="W1288" s="36"/>
      <c r="X1288" s="36"/>
      <c r="Y1288" s="36"/>
      <c r="Z1288" s="36"/>
      <c r="AA1288" s="36"/>
      <c r="AB1288" s="36"/>
      <c r="AC1288" s="36"/>
    </row>
    <row r="1289" spans="1:29" ht="24" customHeight="1">
      <c r="A1289" s="81"/>
      <c r="B1289" s="94"/>
      <c r="C1289" s="81"/>
      <c r="D1289" s="81"/>
      <c r="E1289" s="80"/>
      <c r="F1289" s="620"/>
      <c r="G1289" s="620"/>
      <c r="H1289" s="94"/>
      <c r="I1289" s="81"/>
      <c r="J1289" s="35"/>
      <c r="K1289" s="36"/>
      <c r="L1289" s="36"/>
      <c r="M1289" s="36"/>
      <c r="N1289" s="36"/>
      <c r="O1289" s="36"/>
      <c r="P1289" s="36"/>
      <c r="Q1289" s="36"/>
      <c r="R1289" s="36"/>
      <c r="S1289" s="36"/>
      <c r="T1289" s="36"/>
      <c r="U1289" s="36"/>
      <c r="V1289" s="36"/>
      <c r="W1289" s="36"/>
      <c r="X1289" s="36"/>
      <c r="Y1289" s="36"/>
      <c r="Z1289" s="36"/>
      <c r="AA1289" s="36"/>
      <c r="AB1289" s="36"/>
      <c r="AC1289" s="36"/>
    </row>
    <row r="1290" spans="1:29" ht="12" customHeight="1">
      <c r="A1290" s="619"/>
      <c r="B1290" s="81"/>
      <c r="C1290" s="81"/>
      <c r="D1290" s="81"/>
      <c r="E1290" s="80"/>
      <c r="F1290" s="620"/>
      <c r="G1290" s="620"/>
      <c r="H1290" s="94"/>
      <c r="I1290" s="81"/>
      <c r="J1290" s="35"/>
      <c r="K1290" s="36"/>
      <c r="L1290" s="36"/>
      <c r="M1290" s="36"/>
      <c r="N1290" s="36"/>
      <c r="O1290" s="36"/>
      <c r="P1290" s="36"/>
      <c r="Q1290" s="36"/>
      <c r="R1290" s="36"/>
      <c r="S1290" s="36"/>
      <c r="T1290" s="36"/>
      <c r="U1290" s="36"/>
      <c r="V1290" s="36"/>
      <c r="W1290" s="36"/>
      <c r="X1290" s="36"/>
      <c r="Y1290" s="36"/>
      <c r="Z1290" s="36"/>
      <c r="AA1290" s="36"/>
      <c r="AB1290" s="36"/>
      <c r="AC1290" s="36"/>
    </row>
    <row r="1291" spans="1:29" ht="12" customHeight="1">
      <c r="A1291" s="619"/>
      <c r="B1291" s="81"/>
      <c r="C1291" s="81"/>
      <c r="D1291" s="81"/>
      <c r="E1291" s="80"/>
      <c r="F1291" s="620"/>
      <c r="G1291" s="620"/>
      <c r="H1291" s="94"/>
      <c r="I1291" s="81"/>
      <c r="J1291" s="35"/>
      <c r="K1291" s="36"/>
      <c r="L1291" s="36"/>
      <c r="M1291" s="36"/>
      <c r="N1291" s="36"/>
      <c r="O1291" s="36"/>
      <c r="P1291" s="36"/>
      <c r="Q1291" s="36"/>
      <c r="R1291" s="36"/>
      <c r="S1291" s="36"/>
      <c r="T1291" s="36"/>
      <c r="U1291" s="36"/>
      <c r="V1291" s="36"/>
      <c r="W1291" s="36"/>
      <c r="X1291" s="36"/>
      <c r="Y1291" s="36"/>
      <c r="Z1291" s="36"/>
      <c r="AA1291" s="36"/>
      <c r="AB1291" s="36"/>
      <c r="AC1291" s="36"/>
    </row>
    <row r="1292" spans="1:29" ht="24" customHeight="1">
      <c r="A1292" s="619"/>
      <c r="B1292" s="81"/>
      <c r="C1292" s="81"/>
      <c r="D1292" s="81"/>
      <c r="E1292" s="80"/>
      <c r="F1292" s="620"/>
      <c r="G1292" s="620"/>
      <c r="H1292" s="94"/>
      <c r="I1292" s="81"/>
      <c r="J1292" s="35"/>
      <c r="K1292" s="36"/>
      <c r="L1292" s="36"/>
      <c r="M1292" s="36"/>
      <c r="N1292" s="36"/>
      <c r="O1292" s="36"/>
      <c r="P1292" s="36"/>
      <c r="Q1292" s="36"/>
      <c r="R1292" s="36"/>
      <c r="S1292" s="36"/>
      <c r="T1292" s="36"/>
      <c r="U1292" s="36"/>
      <c r="V1292" s="36"/>
      <c r="W1292" s="36"/>
      <c r="X1292" s="36"/>
      <c r="Y1292" s="36"/>
      <c r="Z1292" s="36"/>
      <c r="AA1292" s="36"/>
      <c r="AB1292" s="36"/>
      <c r="AC1292" s="36"/>
    </row>
    <row r="1293" spans="1:29" ht="24" customHeight="1">
      <c r="A1293" s="81"/>
      <c r="B1293" s="81"/>
      <c r="C1293" s="81"/>
      <c r="D1293" s="81"/>
      <c r="E1293" s="80"/>
      <c r="F1293" s="620"/>
      <c r="G1293" s="620"/>
      <c r="H1293" s="94"/>
      <c r="I1293" s="81"/>
      <c r="J1293" s="35"/>
      <c r="K1293" s="36"/>
      <c r="L1293" s="36"/>
      <c r="M1293" s="36"/>
      <c r="N1293" s="36"/>
      <c r="O1293" s="36"/>
      <c r="P1293" s="36"/>
      <c r="Q1293" s="36"/>
      <c r="R1293" s="36"/>
      <c r="S1293" s="36"/>
      <c r="T1293" s="36"/>
      <c r="U1293" s="36"/>
      <c r="V1293" s="36"/>
      <c r="W1293" s="36"/>
      <c r="X1293" s="36"/>
      <c r="Y1293" s="36"/>
      <c r="Z1293" s="36"/>
      <c r="AA1293" s="36"/>
      <c r="AB1293" s="36"/>
      <c r="AC1293" s="36"/>
    </row>
    <row r="1294" spans="1:29" ht="12" customHeight="1">
      <c r="A1294" s="81"/>
      <c r="B1294" s="81"/>
      <c r="C1294" s="81"/>
      <c r="D1294" s="81"/>
      <c r="E1294" s="80"/>
      <c r="F1294" s="620"/>
      <c r="G1294" s="620"/>
      <c r="H1294" s="94"/>
      <c r="I1294" s="81"/>
      <c r="J1294" s="35"/>
      <c r="K1294" s="36"/>
      <c r="L1294" s="36"/>
      <c r="M1294" s="36"/>
      <c r="N1294" s="36"/>
      <c r="O1294" s="36"/>
      <c r="P1294" s="36"/>
      <c r="Q1294" s="36"/>
      <c r="R1294" s="36"/>
      <c r="S1294" s="36"/>
      <c r="T1294" s="36"/>
      <c r="U1294" s="36"/>
      <c r="V1294" s="36"/>
      <c r="W1294" s="36"/>
      <c r="X1294" s="36"/>
      <c r="Y1294" s="36"/>
      <c r="Z1294" s="36"/>
      <c r="AA1294" s="36"/>
      <c r="AB1294" s="36"/>
      <c r="AC1294" s="36"/>
    </row>
    <row r="1295" spans="1:29" ht="12" customHeight="1">
      <c r="A1295" s="81"/>
      <c r="B1295" s="81"/>
      <c r="C1295" s="81"/>
      <c r="D1295" s="81"/>
      <c r="E1295" s="80"/>
      <c r="F1295" s="620"/>
      <c r="G1295" s="620"/>
      <c r="H1295" s="94"/>
      <c r="I1295" s="81"/>
      <c r="J1295" s="35"/>
      <c r="K1295" s="36"/>
      <c r="L1295" s="36"/>
      <c r="M1295" s="36"/>
      <c r="N1295" s="36"/>
      <c r="O1295" s="36"/>
      <c r="P1295" s="36"/>
      <c r="Q1295" s="36"/>
      <c r="R1295" s="36"/>
      <c r="S1295" s="36"/>
      <c r="T1295" s="36"/>
      <c r="U1295" s="36"/>
      <c r="V1295" s="36"/>
      <c r="W1295" s="36"/>
      <c r="X1295" s="36"/>
      <c r="Y1295" s="36"/>
      <c r="Z1295" s="36"/>
      <c r="AA1295" s="36"/>
      <c r="AB1295" s="36"/>
      <c r="AC1295" s="36"/>
    </row>
    <row r="1296" spans="1:29" ht="24" customHeight="1">
      <c r="A1296" s="81"/>
      <c r="B1296" s="81"/>
      <c r="C1296" s="81"/>
      <c r="D1296" s="81"/>
      <c r="E1296" s="80"/>
      <c r="F1296" s="620"/>
      <c r="G1296" s="620"/>
      <c r="H1296" s="94"/>
      <c r="I1296" s="81"/>
      <c r="J1296" s="35"/>
      <c r="K1296" s="36"/>
      <c r="L1296" s="36"/>
      <c r="M1296" s="36"/>
      <c r="N1296" s="36"/>
      <c r="O1296" s="36"/>
      <c r="P1296" s="36"/>
      <c r="Q1296" s="36"/>
      <c r="R1296" s="36"/>
      <c r="S1296" s="36"/>
      <c r="T1296" s="36"/>
      <c r="U1296" s="36"/>
      <c r="V1296" s="36"/>
      <c r="W1296" s="36"/>
      <c r="X1296" s="36"/>
      <c r="Y1296" s="36"/>
      <c r="Z1296" s="36"/>
      <c r="AA1296" s="36"/>
      <c r="AB1296" s="36"/>
      <c r="AC1296" s="36"/>
    </row>
    <row r="1297" spans="1:29" ht="24" customHeight="1">
      <c r="A1297" s="81"/>
      <c r="B1297" s="81"/>
      <c r="C1297" s="81"/>
      <c r="D1297" s="81"/>
      <c r="E1297" s="80"/>
      <c r="F1297" s="620"/>
      <c r="G1297" s="620"/>
      <c r="H1297" s="94"/>
      <c r="I1297" s="81"/>
      <c r="J1297" s="35"/>
      <c r="K1297" s="36"/>
      <c r="L1297" s="36"/>
      <c r="M1297" s="36"/>
      <c r="N1297" s="36"/>
      <c r="O1297" s="36"/>
      <c r="P1297" s="36"/>
      <c r="Q1297" s="36"/>
      <c r="R1297" s="36"/>
      <c r="S1297" s="36"/>
      <c r="T1297" s="36"/>
      <c r="U1297" s="36"/>
      <c r="V1297" s="36"/>
      <c r="W1297" s="36"/>
      <c r="X1297" s="36"/>
      <c r="Y1297" s="36"/>
      <c r="Z1297" s="36"/>
      <c r="AA1297" s="36"/>
      <c r="AB1297" s="36"/>
      <c r="AC1297" s="36"/>
    </row>
    <row r="1298" spans="1:29" ht="24" customHeight="1">
      <c r="A1298" s="81"/>
      <c r="B1298" s="81"/>
      <c r="C1298" s="81"/>
      <c r="D1298" s="81"/>
      <c r="E1298" s="80"/>
      <c r="F1298" s="620"/>
      <c r="G1298" s="620"/>
      <c r="H1298" s="94"/>
      <c r="I1298" s="81"/>
      <c r="J1298" s="35"/>
      <c r="K1298" s="36"/>
      <c r="L1298" s="36"/>
      <c r="M1298" s="36"/>
      <c r="N1298" s="36"/>
      <c r="O1298" s="36"/>
      <c r="P1298" s="36"/>
      <c r="Q1298" s="36"/>
      <c r="R1298" s="36"/>
      <c r="S1298" s="36"/>
      <c r="T1298" s="36"/>
      <c r="U1298" s="36"/>
      <c r="V1298" s="36"/>
      <c r="W1298" s="36"/>
      <c r="X1298" s="36"/>
      <c r="Y1298" s="36"/>
      <c r="Z1298" s="36"/>
      <c r="AA1298" s="36"/>
      <c r="AB1298" s="36"/>
      <c r="AC1298" s="36"/>
    </row>
    <row r="1299" spans="1:29" ht="24" customHeight="1">
      <c r="A1299" s="81"/>
      <c r="B1299" s="81"/>
      <c r="C1299" s="81"/>
      <c r="D1299" s="81"/>
      <c r="E1299" s="80"/>
      <c r="F1299" s="620"/>
      <c r="G1299" s="620"/>
      <c r="H1299" s="94"/>
      <c r="I1299" s="81"/>
      <c r="J1299" s="35"/>
      <c r="K1299" s="36"/>
      <c r="L1299" s="36"/>
      <c r="M1299" s="36"/>
      <c r="N1299" s="36"/>
      <c r="O1299" s="36"/>
      <c r="P1299" s="36"/>
      <c r="Q1299" s="36"/>
      <c r="R1299" s="36"/>
      <c r="S1299" s="36"/>
      <c r="T1299" s="36"/>
      <c r="U1299" s="36"/>
      <c r="V1299" s="36"/>
      <c r="W1299" s="36"/>
      <c r="X1299" s="36"/>
      <c r="Y1299" s="36"/>
      <c r="Z1299" s="36"/>
      <c r="AA1299" s="36"/>
      <c r="AB1299" s="36"/>
      <c r="AC1299" s="36"/>
    </row>
    <row r="1300" spans="1:29" ht="36" customHeight="1">
      <c r="A1300" s="81"/>
      <c r="B1300" s="81"/>
      <c r="C1300" s="81"/>
      <c r="D1300" s="81"/>
      <c r="E1300" s="80"/>
      <c r="F1300" s="620"/>
      <c r="G1300" s="620"/>
      <c r="H1300" s="94"/>
      <c r="I1300" s="81"/>
      <c r="J1300" s="35"/>
      <c r="K1300" s="36"/>
      <c r="L1300" s="36"/>
      <c r="M1300" s="36"/>
      <c r="N1300" s="36"/>
      <c r="O1300" s="36"/>
      <c r="P1300" s="36"/>
      <c r="Q1300" s="36"/>
      <c r="R1300" s="36"/>
      <c r="S1300" s="36"/>
      <c r="T1300" s="36"/>
      <c r="U1300" s="36"/>
      <c r="V1300" s="36"/>
      <c r="W1300" s="36"/>
      <c r="X1300" s="36"/>
      <c r="Y1300" s="36"/>
      <c r="Z1300" s="36"/>
      <c r="AA1300" s="36"/>
      <c r="AB1300" s="36"/>
      <c r="AC1300" s="36"/>
    </row>
    <row r="1301" spans="1:29" ht="12" customHeight="1">
      <c r="A1301" s="81"/>
      <c r="B1301" s="94"/>
      <c r="C1301" s="81"/>
      <c r="D1301" s="81"/>
      <c r="E1301" s="80"/>
      <c r="F1301" s="620"/>
      <c r="G1301" s="620"/>
      <c r="H1301" s="94"/>
      <c r="I1301" s="81"/>
      <c r="J1301" s="35"/>
      <c r="K1301" s="36"/>
      <c r="L1301" s="36"/>
      <c r="M1301" s="36"/>
      <c r="N1301" s="36"/>
      <c r="O1301" s="36"/>
      <c r="P1301" s="36"/>
      <c r="Q1301" s="36"/>
      <c r="R1301" s="36"/>
      <c r="S1301" s="36"/>
      <c r="T1301" s="36"/>
      <c r="U1301" s="36"/>
      <c r="V1301" s="36"/>
      <c r="W1301" s="36"/>
      <c r="X1301" s="36"/>
      <c r="Y1301" s="36"/>
      <c r="Z1301" s="36"/>
      <c r="AA1301" s="36"/>
      <c r="AB1301" s="36"/>
      <c r="AC1301" s="36"/>
    </row>
    <row r="1302" spans="1:29" ht="36" customHeight="1">
      <c r="A1302" s="81"/>
      <c r="B1302" s="81"/>
      <c r="C1302" s="81"/>
      <c r="D1302" s="81"/>
      <c r="E1302" s="80"/>
      <c r="F1302" s="620"/>
      <c r="G1302" s="620"/>
      <c r="H1302" s="94"/>
      <c r="I1302" s="81"/>
      <c r="J1302" s="35"/>
      <c r="K1302" s="36"/>
      <c r="L1302" s="36"/>
      <c r="M1302" s="36"/>
      <c r="N1302" s="36"/>
      <c r="O1302" s="36"/>
      <c r="P1302" s="36"/>
      <c r="Q1302" s="36"/>
      <c r="R1302" s="36"/>
      <c r="S1302" s="36"/>
      <c r="T1302" s="36"/>
      <c r="U1302" s="36"/>
      <c r="V1302" s="36"/>
      <c r="W1302" s="36"/>
      <c r="X1302" s="36"/>
      <c r="Y1302" s="36"/>
      <c r="Z1302" s="36"/>
      <c r="AA1302" s="36"/>
      <c r="AB1302" s="36"/>
      <c r="AC1302" s="36"/>
    </row>
    <row r="1303" spans="1:29" ht="24" customHeight="1">
      <c r="A1303" s="81"/>
      <c r="B1303" s="81"/>
      <c r="C1303" s="81"/>
      <c r="D1303" s="81"/>
      <c r="E1303" s="80"/>
      <c r="F1303" s="620"/>
      <c r="G1303" s="620"/>
      <c r="H1303" s="94"/>
      <c r="I1303" s="81"/>
      <c r="J1303" s="35"/>
      <c r="K1303" s="36"/>
      <c r="L1303" s="36"/>
      <c r="M1303" s="36"/>
      <c r="N1303" s="36"/>
      <c r="O1303" s="36"/>
      <c r="P1303" s="36"/>
      <c r="Q1303" s="36"/>
      <c r="R1303" s="36"/>
      <c r="S1303" s="36"/>
      <c r="T1303" s="36"/>
      <c r="U1303" s="36"/>
      <c r="V1303" s="36"/>
      <c r="W1303" s="36"/>
      <c r="X1303" s="36"/>
      <c r="Y1303" s="36"/>
      <c r="Z1303" s="36"/>
      <c r="AA1303" s="36"/>
      <c r="AB1303" s="36"/>
      <c r="AC1303" s="36"/>
    </row>
    <row r="1304" spans="1:29" ht="36" customHeight="1">
      <c r="A1304" s="81"/>
      <c r="B1304" s="81"/>
      <c r="C1304" s="81"/>
      <c r="D1304" s="81"/>
      <c r="E1304" s="80"/>
      <c r="F1304" s="620"/>
      <c r="G1304" s="620"/>
      <c r="H1304" s="94"/>
      <c r="I1304" s="81"/>
      <c r="J1304" s="35"/>
      <c r="K1304" s="36"/>
      <c r="L1304" s="36"/>
      <c r="M1304" s="36"/>
      <c r="N1304" s="36"/>
      <c r="O1304" s="36"/>
      <c r="P1304" s="36"/>
      <c r="Q1304" s="36"/>
      <c r="R1304" s="36"/>
      <c r="S1304" s="36"/>
      <c r="T1304" s="36"/>
      <c r="U1304" s="36"/>
      <c r="V1304" s="36"/>
      <c r="W1304" s="36"/>
      <c r="X1304" s="36"/>
      <c r="Y1304" s="36"/>
      <c r="Z1304" s="36"/>
      <c r="AA1304" s="36"/>
      <c r="AB1304" s="36"/>
      <c r="AC1304" s="36"/>
    </row>
    <row r="1305" spans="1:29" ht="36" customHeight="1">
      <c r="A1305" s="81"/>
      <c r="B1305" s="81"/>
      <c r="C1305" s="81"/>
      <c r="D1305" s="81"/>
      <c r="E1305" s="80"/>
      <c r="F1305" s="620"/>
      <c r="G1305" s="620"/>
      <c r="H1305" s="94"/>
      <c r="I1305" s="81"/>
      <c r="J1305" s="35"/>
      <c r="K1305" s="36"/>
      <c r="L1305" s="36"/>
      <c r="M1305" s="36"/>
      <c r="N1305" s="36"/>
      <c r="O1305" s="36"/>
      <c r="P1305" s="36"/>
      <c r="Q1305" s="36"/>
      <c r="R1305" s="36"/>
      <c r="S1305" s="36"/>
      <c r="T1305" s="36"/>
      <c r="U1305" s="36"/>
      <c r="V1305" s="36"/>
      <c r="W1305" s="36"/>
      <c r="X1305" s="36"/>
      <c r="Y1305" s="36"/>
      <c r="Z1305" s="36"/>
      <c r="AA1305" s="36"/>
      <c r="AB1305" s="36"/>
      <c r="AC1305" s="36"/>
    </row>
    <row r="1306" spans="1:29" ht="12" customHeight="1">
      <c r="A1306" s="81"/>
      <c r="B1306" s="81"/>
      <c r="C1306" s="81"/>
      <c r="D1306" s="81"/>
      <c r="E1306" s="80"/>
      <c r="F1306" s="620"/>
      <c r="G1306" s="620"/>
      <c r="H1306" s="94"/>
      <c r="I1306" s="81"/>
      <c r="J1306" s="35"/>
      <c r="K1306" s="36"/>
      <c r="L1306" s="36"/>
      <c r="M1306" s="36"/>
      <c r="N1306" s="36"/>
      <c r="O1306" s="36"/>
      <c r="P1306" s="36"/>
      <c r="Q1306" s="36"/>
      <c r="R1306" s="36"/>
      <c r="S1306" s="36"/>
      <c r="T1306" s="36"/>
      <c r="U1306" s="36"/>
      <c r="V1306" s="36"/>
      <c r="W1306" s="36"/>
      <c r="X1306" s="36"/>
      <c r="Y1306" s="36"/>
      <c r="Z1306" s="36"/>
      <c r="AA1306" s="36"/>
      <c r="AB1306" s="36"/>
      <c r="AC1306" s="36"/>
    </row>
    <row r="1307" spans="1:29" ht="12" customHeight="1">
      <c r="A1307" s="81"/>
      <c r="B1307" s="81"/>
      <c r="C1307" s="81"/>
      <c r="D1307" s="81"/>
      <c r="E1307" s="80"/>
      <c r="F1307" s="620"/>
      <c r="G1307" s="620"/>
      <c r="H1307" s="94"/>
      <c r="I1307" s="81"/>
      <c r="J1307" s="35"/>
      <c r="K1307" s="36"/>
      <c r="L1307" s="36"/>
      <c r="M1307" s="36"/>
      <c r="N1307" s="36"/>
      <c r="O1307" s="36"/>
      <c r="P1307" s="36"/>
      <c r="Q1307" s="36"/>
      <c r="R1307" s="36"/>
      <c r="S1307" s="36"/>
      <c r="T1307" s="36"/>
      <c r="U1307" s="36"/>
      <c r="V1307" s="36"/>
      <c r="W1307" s="36"/>
      <c r="X1307" s="36"/>
      <c r="Y1307" s="36"/>
      <c r="Z1307" s="36"/>
      <c r="AA1307" s="36"/>
      <c r="AB1307" s="36"/>
      <c r="AC1307" s="36"/>
    </row>
    <row r="1308" spans="1:29" ht="36" customHeight="1">
      <c r="A1308" s="81"/>
      <c r="B1308" s="94"/>
      <c r="C1308" s="81"/>
      <c r="D1308" s="81"/>
      <c r="E1308" s="80"/>
      <c r="F1308" s="620"/>
      <c r="G1308" s="620"/>
      <c r="H1308" s="94"/>
      <c r="I1308" s="81"/>
      <c r="J1308" s="35"/>
      <c r="K1308" s="36"/>
      <c r="L1308" s="36"/>
      <c r="M1308" s="36"/>
      <c r="N1308" s="36"/>
      <c r="O1308" s="36"/>
      <c r="P1308" s="36"/>
      <c r="Q1308" s="36"/>
      <c r="R1308" s="36"/>
      <c r="S1308" s="36"/>
      <c r="T1308" s="36"/>
      <c r="U1308" s="36"/>
      <c r="V1308" s="36"/>
      <c r="W1308" s="36"/>
      <c r="X1308" s="36"/>
      <c r="Y1308" s="36"/>
      <c r="Z1308" s="36"/>
      <c r="AA1308" s="36"/>
      <c r="AB1308" s="36"/>
      <c r="AC1308" s="36"/>
    </row>
    <row r="1309" spans="1:29" ht="24" customHeight="1">
      <c r="A1309" s="476"/>
      <c r="B1309" s="81"/>
      <c r="C1309" s="81"/>
      <c r="D1309" s="81"/>
      <c r="E1309" s="80"/>
      <c r="F1309" s="620"/>
      <c r="G1309" s="620"/>
      <c r="H1309" s="94"/>
      <c r="I1309" s="81"/>
      <c r="J1309" s="35"/>
      <c r="K1309" s="36"/>
      <c r="L1309" s="36"/>
      <c r="M1309" s="36"/>
      <c r="N1309" s="36"/>
      <c r="O1309" s="36"/>
      <c r="P1309" s="36"/>
      <c r="Q1309" s="36"/>
      <c r="R1309" s="36"/>
      <c r="S1309" s="36"/>
      <c r="T1309" s="36"/>
      <c r="U1309" s="36"/>
      <c r="V1309" s="36"/>
      <c r="W1309" s="36"/>
      <c r="X1309" s="36"/>
      <c r="Y1309" s="36"/>
      <c r="Z1309" s="36"/>
      <c r="AA1309" s="36"/>
      <c r="AB1309" s="36"/>
      <c r="AC1309" s="36"/>
    </row>
    <row r="1310" spans="1:29" ht="24" customHeight="1">
      <c r="A1310" s="81"/>
      <c r="B1310" s="94"/>
      <c r="C1310" s="81"/>
      <c r="D1310" s="81"/>
      <c r="E1310" s="80"/>
      <c r="F1310" s="620"/>
      <c r="G1310" s="620"/>
      <c r="H1310" s="94"/>
      <c r="I1310" s="81"/>
      <c r="J1310" s="35"/>
      <c r="K1310" s="36"/>
      <c r="L1310" s="36"/>
      <c r="M1310" s="36"/>
      <c r="N1310" s="36"/>
      <c r="O1310" s="36"/>
      <c r="P1310" s="36"/>
      <c r="Q1310" s="36"/>
      <c r="R1310" s="36"/>
      <c r="S1310" s="36"/>
      <c r="T1310" s="36"/>
      <c r="U1310" s="36"/>
      <c r="V1310" s="36"/>
      <c r="W1310" s="36"/>
      <c r="X1310" s="36"/>
      <c r="Y1310" s="36"/>
      <c r="Z1310" s="36"/>
      <c r="AA1310" s="36"/>
      <c r="AB1310" s="36"/>
      <c r="AC1310" s="36"/>
    </row>
    <row r="1311" spans="1:29" ht="24" customHeight="1">
      <c r="A1311" s="81"/>
      <c r="B1311" s="94"/>
      <c r="C1311" s="81"/>
      <c r="D1311" s="81"/>
      <c r="E1311" s="80"/>
      <c r="F1311" s="620"/>
      <c r="G1311" s="620"/>
      <c r="H1311" s="94"/>
      <c r="I1311" s="81"/>
      <c r="J1311" s="35"/>
      <c r="K1311" s="36"/>
      <c r="L1311" s="36"/>
      <c r="M1311" s="36"/>
      <c r="N1311" s="36"/>
      <c r="O1311" s="36"/>
      <c r="P1311" s="36"/>
      <c r="Q1311" s="36"/>
      <c r="R1311" s="36"/>
      <c r="S1311" s="36"/>
      <c r="T1311" s="36"/>
      <c r="U1311" s="36"/>
      <c r="V1311" s="36"/>
      <c r="W1311" s="36"/>
      <c r="X1311" s="36"/>
      <c r="Y1311" s="36"/>
      <c r="Z1311" s="36"/>
      <c r="AA1311" s="36"/>
      <c r="AB1311" s="36"/>
      <c r="AC1311" s="36"/>
    </row>
    <row r="1312" spans="1:29" ht="24" customHeight="1">
      <c r="A1312" s="81"/>
      <c r="B1312" s="94"/>
      <c r="C1312" s="81"/>
      <c r="D1312" s="81"/>
      <c r="E1312" s="80"/>
      <c r="F1312" s="620"/>
      <c r="G1312" s="620"/>
      <c r="H1312" s="94"/>
      <c r="I1312" s="81"/>
      <c r="J1312" s="35"/>
      <c r="K1312" s="36"/>
      <c r="L1312" s="36"/>
      <c r="M1312" s="36"/>
      <c r="N1312" s="36"/>
      <c r="O1312" s="36"/>
      <c r="P1312" s="36"/>
      <c r="Q1312" s="36"/>
      <c r="R1312" s="36"/>
      <c r="S1312" s="36"/>
      <c r="T1312" s="36"/>
      <c r="U1312" s="36"/>
      <c r="V1312" s="36"/>
      <c r="W1312" s="36"/>
      <c r="X1312" s="36"/>
      <c r="Y1312" s="36"/>
      <c r="Z1312" s="36"/>
      <c r="AA1312" s="36"/>
      <c r="AB1312" s="36"/>
      <c r="AC1312" s="36"/>
    </row>
    <row r="1313" spans="1:29" ht="24" customHeight="1">
      <c r="A1313" s="81"/>
      <c r="B1313" s="94"/>
      <c r="C1313" s="81"/>
      <c r="D1313" s="81"/>
      <c r="E1313" s="80"/>
      <c r="F1313" s="620"/>
      <c r="G1313" s="620"/>
      <c r="H1313" s="94"/>
      <c r="I1313" s="81"/>
      <c r="J1313" s="35"/>
      <c r="K1313" s="36"/>
      <c r="L1313" s="36"/>
      <c r="M1313" s="36"/>
      <c r="N1313" s="36"/>
      <c r="O1313" s="36"/>
      <c r="P1313" s="36"/>
      <c r="Q1313" s="36"/>
      <c r="R1313" s="36"/>
      <c r="S1313" s="36"/>
      <c r="T1313" s="36"/>
      <c r="U1313" s="36"/>
      <c r="V1313" s="36"/>
      <c r="W1313" s="36"/>
      <c r="X1313" s="36"/>
      <c r="Y1313" s="36"/>
      <c r="Z1313" s="36"/>
      <c r="AA1313" s="36"/>
      <c r="AB1313" s="36"/>
      <c r="AC1313" s="36"/>
    </row>
    <row r="1314" spans="1:29" ht="24" customHeight="1">
      <c r="A1314" s="81"/>
      <c r="B1314" s="94"/>
      <c r="C1314" s="81"/>
      <c r="D1314" s="81"/>
      <c r="E1314" s="80"/>
      <c r="F1314" s="620"/>
      <c r="G1314" s="620"/>
      <c r="H1314" s="94"/>
      <c r="I1314" s="81"/>
      <c r="J1314" s="35"/>
      <c r="K1314" s="36"/>
      <c r="L1314" s="36"/>
      <c r="M1314" s="36"/>
      <c r="N1314" s="36"/>
      <c r="O1314" s="36"/>
      <c r="P1314" s="36"/>
      <c r="Q1314" s="36"/>
      <c r="R1314" s="36"/>
      <c r="S1314" s="36"/>
      <c r="T1314" s="36"/>
      <c r="U1314" s="36"/>
      <c r="V1314" s="36"/>
      <c r="W1314" s="36"/>
      <c r="X1314" s="36"/>
      <c r="Y1314" s="36"/>
      <c r="Z1314" s="36"/>
      <c r="AA1314" s="36"/>
      <c r="AB1314" s="36"/>
      <c r="AC1314" s="36"/>
    </row>
    <row r="1315" spans="1:29" ht="24" customHeight="1">
      <c r="A1315" s="81"/>
      <c r="B1315" s="94"/>
      <c r="C1315" s="81"/>
      <c r="D1315" s="81"/>
      <c r="E1315" s="80"/>
      <c r="F1315" s="620"/>
      <c r="G1315" s="620"/>
      <c r="H1315" s="94"/>
      <c r="I1315" s="81"/>
      <c r="J1315" s="35"/>
      <c r="K1315" s="36"/>
      <c r="L1315" s="36"/>
      <c r="M1315" s="36"/>
      <c r="N1315" s="36"/>
      <c r="O1315" s="36"/>
      <c r="P1315" s="36"/>
      <c r="Q1315" s="36"/>
      <c r="R1315" s="36"/>
      <c r="S1315" s="36"/>
      <c r="T1315" s="36"/>
      <c r="U1315" s="36"/>
      <c r="V1315" s="36"/>
      <c r="W1315" s="36"/>
      <c r="X1315" s="36"/>
      <c r="Y1315" s="36"/>
      <c r="Z1315" s="36"/>
      <c r="AA1315" s="36"/>
      <c r="AB1315" s="36"/>
      <c r="AC1315" s="36"/>
    </row>
    <row r="1316" spans="1:29" ht="36" customHeight="1">
      <c r="A1316" s="81"/>
      <c r="B1316" s="94"/>
      <c r="C1316" s="81"/>
      <c r="D1316" s="81"/>
      <c r="E1316" s="80"/>
      <c r="F1316" s="620"/>
      <c r="G1316" s="620"/>
      <c r="H1316" s="94"/>
      <c r="I1316" s="81"/>
      <c r="J1316" s="35"/>
      <c r="K1316" s="36"/>
      <c r="L1316" s="36"/>
      <c r="M1316" s="36"/>
      <c r="N1316" s="36"/>
      <c r="O1316" s="36"/>
      <c r="P1316" s="36"/>
      <c r="Q1316" s="36"/>
      <c r="R1316" s="36"/>
      <c r="S1316" s="36"/>
      <c r="T1316" s="36"/>
      <c r="U1316" s="36"/>
      <c r="V1316" s="36"/>
      <c r="W1316" s="36"/>
      <c r="X1316" s="36"/>
      <c r="Y1316" s="36"/>
      <c r="Z1316" s="36"/>
      <c r="AA1316" s="36"/>
      <c r="AB1316" s="36"/>
      <c r="AC1316" s="36"/>
    </row>
    <row r="1317" spans="1:29" ht="48" customHeight="1">
      <c r="A1317" s="81"/>
      <c r="B1317" s="94"/>
      <c r="C1317" s="81"/>
      <c r="D1317" s="81"/>
      <c r="E1317" s="80"/>
      <c r="F1317" s="620"/>
      <c r="G1317" s="620"/>
      <c r="H1317" s="94"/>
      <c r="I1317" s="81"/>
      <c r="J1317" s="35"/>
      <c r="K1317" s="36"/>
      <c r="L1317" s="36"/>
      <c r="M1317" s="36"/>
      <c r="N1317" s="36"/>
      <c r="O1317" s="36"/>
      <c r="P1317" s="36"/>
      <c r="Q1317" s="36"/>
      <c r="R1317" s="36"/>
      <c r="S1317" s="36"/>
      <c r="T1317" s="36"/>
      <c r="U1317" s="36"/>
      <c r="V1317" s="36"/>
      <c r="W1317" s="36"/>
      <c r="X1317" s="36"/>
      <c r="Y1317" s="36"/>
      <c r="Z1317" s="36"/>
      <c r="AA1317" s="36"/>
      <c r="AB1317" s="36"/>
      <c r="AC1317" s="36"/>
    </row>
    <row r="1318" spans="1:29" ht="48" customHeight="1">
      <c r="A1318" s="81"/>
      <c r="B1318" s="94"/>
      <c r="C1318" s="81"/>
      <c r="D1318" s="81"/>
      <c r="E1318" s="80"/>
      <c r="F1318" s="620"/>
      <c r="G1318" s="620"/>
      <c r="H1318" s="94"/>
      <c r="I1318" s="81"/>
      <c r="J1318" s="35"/>
      <c r="K1318" s="36"/>
      <c r="L1318" s="36"/>
      <c r="M1318" s="36"/>
      <c r="N1318" s="36"/>
      <c r="O1318" s="36"/>
      <c r="P1318" s="36"/>
      <c r="Q1318" s="36"/>
      <c r="R1318" s="36"/>
      <c r="S1318" s="36"/>
      <c r="T1318" s="36"/>
      <c r="U1318" s="36"/>
      <c r="V1318" s="36"/>
      <c r="W1318" s="36"/>
      <c r="X1318" s="36"/>
      <c r="Y1318" s="36"/>
      <c r="Z1318" s="36"/>
      <c r="AA1318" s="36"/>
      <c r="AB1318" s="36"/>
      <c r="AC1318" s="36"/>
    </row>
    <row r="1319" spans="1:29" ht="24" customHeight="1">
      <c r="A1319" s="81"/>
      <c r="B1319" s="94"/>
      <c r="C1319" s="81"/>
      <c r="D1319" s="81"/>
      <c r="E1319" s="80"/>
      <c r="F1319" s="620"/>
      <c r="G1319" s="620"/>
      <c r="H1319" s="94"/>
      <c r="I1319" s="81"/>
      <c r="J1319" s="35"/>
      <c r="K1319" s="36"/>
      <c r="L1319" s="36"/>
      <c r="M1319" s="36"/>
      <c r="N1319" s="36"/>
      <c r="O1319" s="36"/>
      <c r="P1319" s="36"/>
      <c r="Q1319" s="36"/>
      <c r="R1319" s="36"/>
      <c r="S1319" s="36"/>
      <c r="T1319" s="36"/>
      <c r="U1319" s="36"/>
      <c r="V1319" s="36"/>
      <c r="W1319" s="36"/>
      <c r="X1319" s="36"/>
      <c r="Y1319" s="36"/>
      <c r="Z1319" s="36"/>
      <c r="AA1319" s="36"/>
      <c r="AB1319" s="36"/>
      <c r="AC1319" s="36"/>
    </row>
    <row r="1320" spans="1:29" ht="15" customHeight="1">
      <c r="A1320" s="81"/>
      <c r="B1320" s="94"/>
      <c r="C1320" s="81"/>
      <c r="D1320" s="81"/>
      <c r="E1320" s="80"/>
      <c r="F1320" s="620"/>
      <c r="G1320" s="620"/>
      <c r="H1320" s="94"/>
      <c r="I1320" s="81"/>
      <c r="J1320" s="35"/>
      <c r="K1320" s="36"/>
      <c r="L1320" s="36"/>
      <c r="M1320" s="36"/>
      <c r="N1320" s="36"/>
      <c r="O1320" s="36"/>
      <c r="P1320" s="36"/>
      <c r="Q1320" s="36"/>
      <c r="R1320" s="36"/>
      <c r="S1320" s="36"/>
      <c r="T1320" s="36"/>
      <c r="U1320" s="36"/>
      <c r="V1320" s="36"/>
      <c r="W1320" s="36"/>
      <c r="X1320" s="36"/>
      <c r="Y1320" s="36"/>
      <c r="Z1320" s="36"/>
      <c r="AA1320" s="36"/>
      <c r="AB1320" s="36"/>
      <c r="AC1320" s="36"/>
    </row>
    <row r="1321" spans="1:29" ht="24" customHeight="1">
      <c r="A1321" s="81"/>
      <c r="B1321" s="94"/>
      <c r="C1321" s="81"/>
      <c r="D1321" s="81"/>
      <c r="E1321" s="80"/>
      <c r="F1321" s="620"/>
      <c r="G1321" s="620"/>
      <c r="H1321" s="94"/>
      <c r="I1321" s="81"/>
      <c r="J1321" s="35"/>
      <c r="K1321" s="36"/>
      <c r="L1321" s="36"/>
      <c r="M1321" s="36"/>
      <c r="N1321" s="36"/>
      <c r="O1321" s="36"/>
      <c r="P1321" s="36"/>
      <c r="Q1321" s="36"/>
      <c r="R1321" s="36"/>
      <c r="S1321" s="36"/>
      <c r="T1321" s="36"/>
      <c r="U1321" s="36"/>
      <c r="V1321" s="36"/>
      <c r="W1321" s="36"/>
      <c r="X1321" s="36"/>
      <c r="Y1321" s="36"/>
      <c r="Z1321" s="36"/>
      <c r="AA1321" s="36"/>
      <c r="AB1321" s="36"/>
      <c r="AC1321" s="36"/>
    </row>
    <row r="1322" spans="1:29" ht="24" customHeight="1">
      <c r="A1322" s="81"/>
      <c r="B1322" s="94"/>
      <c r="C1322" s="81"/>
      <c r="D1322" s="81"/>
      <c r="E1322" s="80"/>
      <c r="F1322" s="620"/>
      <c r="G1322" s="620"/>
      <c r="H1322" s="94"/>
      <c r="I1322" s="81"/>
      <c r="J1322" s="35"/>
      <c r="K1322" s="36"/>
      <c r="L1322" s="36"/>
      <c r="M1322" s="36"/>
      <c r="N1322" s="36"/>
      <c r="O1322" s="36"/>
      <c r="P1322" s="36"/>
      <c r="Q1322" s="36"/>
      <c r="R1322" s="36"/>
      <c r="S1322" s="36"/>
      <c r="T1322" s="36"/>
      <c r="U1322" s="36"/>
      <c r="V1322" s="36"/>
      <c r="W1322" s="36"/>
      <c r="X1322" s="36"/>
      <c r="Y1322" s="36"/>
      <c r="Z1322" s="36"/>
      <c r="AA1322" s="36"/>
      <c r="AB1322" s="36"/>
      <c r="AC1322" s="36"/>
    </row>
    <row r="1323" spans="1:29" ht="24" customHeight="1">
      <c r="A1323" s="81"/>
      <c r="B1323" s="94"/>
      <c r="C1323" s="81"/>
      <c r="D1323" s="81"/>
      <c r="E1323" s="80"/>
      <c r="F1323" s="620"/>
      <c r="G1323" s="620"/>
      <c r="H1323" s="94"/>
      <c r="I1323" s="81"/>
      <c r="J1323" s="35"/>
      <c r="K1323" s="36"/>
      <c r="L1323" s="36"/>
      <c r="M1323" s="36"/>
      <c r="N1323" s="36"/>
      <c r="O1323" s="36"/>
      <c r="P1323" s="36"/>
      <c r="Q1323" s="36"/>
      <c r="R1323" s="36"/>
      <c r="S1323" s="36"/>
      <c r="T1323" s="36"/>
      <c r="U1323" s="36"/>
      <c r="V1323" s="36"/>
      <c r="W1323" s="36"/>
      <c r="X1323" s="36"/>
      <c r="Y1323" s="36"/>
      <c r="Z1323" s="36"/>
      <c r="AA1323" s="36"/>
      <c r="AB1323" s="36"/>
      <c r="AC1323" s="36"/>
    </row>
    <row r="1324" spans="1:29" ht="84" customHeight="1">
      <c r="A1324" s="624"/>
      <c r="B1324" s="94"/>
      <c r="C1324" s="81"/>
      <c r="D1324" s="81"/>
      <c r="E1324" s="80"/>
      <c r="F1324" s="620"/>
      <c r="G1324" s="620"/>
      <c r="H1324" s="94"/>
      <c r="I1324" s="81"/>
      <c r="J1324" s="35"/>
      <c r="K1324" s="36"/>
      <c r="L1324" s="36"/>
      <c r="M1324" s="36"/>
      <c r="N1324" s="36"/>
      <c r="O1324" s="36"/>
      <c r="P1324" s="36"/>
      <c r="Q1324" s="36"/>
      <c r="R1324" s="36"/>
      <c r="S1324" s="36"/>
      <c r="T1324" s="36"/>
      <c r="U1324" s="36"/>
      <c r="V1324" s="36"/>
      <c r="W1324" s="36"/>
      <c r="X1324" s="36"/>
      <c r="Y1324" s="36"/>
      <c r="Z1324" s="36"/>
      <c r="AA1324" s="36"/>
      <c r="AB1324" s="36"/>
      <c r="AC1324" s="36"/>
    </row>
    <row r="1325" spans="1:29" ht="24" customHeight="1">
      <c r="A1325" s="624"/>
      <c r="B1325" s="94"/>
      <c r="C1325" s="81"/>
      <c r="D1325" s="81"/>
      <c r="E1325" s="80"/>
      <c r="F1325" s="620"/>
      <c r="G1325" s="620"/>
      <c r="H1325" s="94"/>
      <c r="I1325" s="81"/>
      <c r="J1325" s="35"/>
      <c r="K1325" s="36"/>
      <c r="L1325" s="36"/>
      <c r="M1325" s="36"/>
      <c r="N1325" s="36"/>
      <c r="O1325" s="36"/>
      <c r="P1325" s="36"/>
      <c r="Q1325" s="36"/>
      <c r="R1325" s="36"/>
      <c r="S1325" s="36"/>
      <c r="T1325" s="36"/>
      <c r="U1325" s="36"/>
      <c r="V1325" s="36"/>
      <c r="W1325" s="36"/>
      <c r="X1325" s="36"/>
      <c r="Y1325" s="36"/>
      <c r="Z1325" s="36"/>
      <c r="AA1325" s="36"/>
      <c r="AB1325" s="36"/>
      <c r="AC1325" s="36"/>
    </row>
    <row r="1326" spans="1:29" ht="36" customHeight="1">
      <c r="A1326" s="81"/>
      <c r="B1326" s="94"/>
      <c r="C1326" s="81"/>
      <c r="D1326" s="81"/>
      <c r="E1326" s="80"/>
      <c r="F1326" s="620"/>
      <c r="G1326" s="620"/>
      <c r="H1326" s="94"/>
      <c r="I1326" s="81"/>
      <c r="J1326" s="35"/>
      <c r="K1326" s="36"/>
      <c r="L1326" s="36"/>
      <c r="M1326" s="36"/>
      <c r="N1326" s="36"/>
      <c r="O1326" s="36"/>
      <c r="P1326" s="36"/>
      <c r="Q1326" s="36"/>
      <c r="R1326" s="36"/>
      <c r="S1326" s="36"/>
      <c r="T1326" s="36"/>
      <c r="U1326" s="36"/>
      <c r="V1326" s="36"/>
      <c r="W1326" s="36"/>
      <c r="X1326" s="36"/>
      <c r="Y1326" s="36"/>
      <c r="Z1326" s="36"/>
      <c r="AA1326" s="36"/>
      <c r="AB1326" s="36"/>
      <c r="AC1326" s="36"/>
    </row>
    <row r="1327" spans="1:29" ht="60" customHeight="1">
      <c r="A1327" s="81"/>
      <c r="B1327" s="94"/>
      <c r="C1327" s="81"/>
      <c r="D1327" s="81"/>
      <c r="E1327" s="80"/>
      <c r="F1327" s="620"/>
      <c r="G1327" s="620"/>
      <c r="H1327" s="94"/>
      <c r="I1327" s="81"/>
      <c r="J1327" s="35"/>
      <c r="K1327" s="36"/>
      <c r="L1327" s="36"/>
      <c r="M1327" s="36"/>
      <c r="N1327" s="36"/>
      <c r="O1327" s="36"/>
      <c r="P1327" s="36"/>
      <c r="Q1327" s="36"/>
      <c r="R1327" s="36"/>
      <c r="S1327" s="36"/>
      <c r="T1327" s="36"/>
      <c r="U1327" s="36"/>
      <c r="V1327" s="36"/>
      <c r="W1327" s="36"/>
      <c r="X1327" s="36"/>
      <c r="Y1327" s="36"/>
      <c r="Z1327" s="36"/>
      <c r="AA1327" s="36"/>
      <c r="AB1327" s="36"/>
      <c r="AC1327" s="36"/>
    </row>
    <row r="1328" spans="1:29" ht="24" customHeight="1">
      <c r="A1328" s="81"/>
      <c r="B1328" s="94"/>
      <c r="C1328" s="81"/>
      <c r="D1328" s="81"/>
      <c r="E1328" s="80"/>
      <c r="F1328" s="620"/>
      <c r="G1328" s="620"/>
      <c r="H1328" s="94"/>
      <c r="I1328" s="81"/>
      <c r="J1328" s="35"/>
      <c r="K1328" s="36"/>
      <c r="L1328" s="36"/>
      <c r="M1328" s="36"/>
      <c r="N1328" s="36"/>
      <c r="O1328" s="36"/>
      <c r="P1328" s="36"/>
      <c r="Q1328" s="36"/>
      <c r="R1328" s="36"/>
      <c r="S1328" s="36"/>
      <c r="T1328" s="36"/>
      <c r="U1328" s="36"/>
      <c r="V1328" s="36"/>
      <c r="W1328" s="36"/>
      <c r="X1328" s="36"/>
      <c r="Y1328" s="36"/>
      <c r="Z1328" s="36"/>
      <c r="AA1328" s="36"/>
      <c r="AB1328" s="36"/>
      <c r="AC1328" s="36"/>
    </row>
    <row r="1329" spans="1:29" ht="24" customHeight="1">
      <c r="A1329" s="81"/>
      <c r="B1329" s="81"/>
      <c r="C1329" s="81"/>
      <c r="D1329" s="81"/>
      <c r="E1329" s="80"/>
      <c r="F1329" s="620"/>
      <c r="G1329" s="620"/>
      <c r="H1329" s="81"/>
      <c r="I1329" s="81"/>
      <c r="J1329" s="35"/>
      <c r="K1329" s="36"/>
      <c r="L1329" s="36"/>
      <c r="M1329" s="36"/>
      <c r="N1329" s="36"/>
      <c r="O1329" s="36"/>
      <c r="P1329" s="36"/>
      <c r="Q1329" s="36"/>
      <c r="R1329" s="36"/>
      <c r="S1329" s="36"/>
      <c r="T1329" s="36"/>
      <c r="U1329" s="36"/>
      <c r="V1329" s="36"/>
      <c r="W1329" s="36"/>
      <c r="X1329" s="36"/>
      <c r="Y1329" s="36"/>
      <c r="Z1329" s="36"/>
      <c r="AA1329" s="36"/>
      <c r="AB1329" s="36"/>
      <c r="AC1329" s="36"/>
    </row>
    <row r="1330" spans="1:29" ht="36" customHeight="1">
      <c r="A1330" s="81"/>
      <c r="B1330" s="81"/>
      <c r="C1330" s="81"/>
      <c r="D1330" s="81"/>
      <c r="E1330" s="80"/>
      <c r="F1330" s="620"/>
      <c r="G1330" s="620"/>
      <c r="H1330" s="81"/>
      <c r="I1330" s="81"/>
      <c r="J1330" s="35"/>
      <c r="K1330" s="36"/>
      <c r="L1330" s="36"/>
      <c r="M1330" s="36"/>
      <c r="N1330" s="36"/>
      <c r="O1330" s="36"/>
      <c r="P1330" s="36"/>
      <c r="Q1330" s="36"/>
      <c r="R1330" s="36"/>
      <c r="S1330" s="36"/>
      <c r="T1330" s="36"/>
      <c r="U1330" s="36"/>
      <c r="V1330" s="36"/>
      <c r="W1330" s="36"/>
      <c r="X1330" s="36"/>
      <c r="Y1330" s="36"/>
      <c r="Z1330" s="36"/>
      <c r="AA1330" s="36"/>
      <c r="AB1330" s="36"/>
      <c r="AC1330" s="36"/>
    </row>
    <row r="1331" spans="1:29" ht="24" customHeight="1">
      <c r="A1331" s="81"/>
      <c r="B1331" s="81"/>
      <c r="C1331" s="81"/>
      <c r="D1331" s="81"/>
      <c r="E1331" s="80"/>
      <c r="F1331" s="620"/>
      <c r="G1331" s="620"/>
      <c r="H1331" s="81"/>
      <c r="I1331" s="81"/>
      <c r="J1331" s="35"/>
      <c r="K1331" s="36"/>
      <c r="L1331" s="36"/>
      <c r="M1331" s="36"/>
      <c r="N1331" s="36"/>
      <c r="O1331" s="36"/>
      <c r="P1331" s="36"/>
      <c r="Q1331" s="36"/>
      <c r="R1331" s="36"/>
      <c r="S1331" s="36"/>
      <c r="T1331" s="36"/>
      <c r="U1331" s="36"/>
      <c r="V1331" s="36"/>
      <c r="W1331" s="36"/>
      <c r="X1331" s="36"/>
      <c r="Y1331" s="36"/>
      <c r="Z1331" s="36"/>
      <c r="AA1331" s="36"/>
      <c r="AB1331" s="36"/>
      <c r="AC1331" s="36"/>
    </row>
    <row r="1332" spans="1:29" ht="24" customHeight="1">
      <c r="A1332" s="81"/>
      <c r="B1332" s="94"/>
      <c r="C1332" s="81"/>
      <c r="D1332" s="81"/>
      <c r="E1332" s="80"/>
      <c r="F1332" s="620"/>
      <c r="G1332" s="620"/>
      <c r="H1332" s="81"/>
      <c r="I1332" s="81"/>
      <c r="J1332" s="35"/>
      <c r="K1332" s="36"/>
      <c r="L1332" s="36"/>
      <c r="M1332" s="36"/>
      <c r="N1332" s="36"/>
      <c r="O1332" s="36"/>
      <c r="P1332" s="36"/>
      <c r="Q1332" s="36"/>
      <c r="R1332" s="36"/>
      <c r="S1332" s="36"/>
      <c r="T1332" s="36"/>
      <c r="U1332" s="36"/>
      <c r="V1332" s="36"/>
      <c r="W1332" s="36"/>
      <c r="X1332" s="36"/>
      <c r="Y1332" s="36"/>
      <c r="Z1332" s="36"/>
      <c r="AA1332" s="36"/>
      <c r="AB1332" s="36"/>
      <c r="AC1332" s="36"/>
    </row>
    <row r="1333" spans="1:29" ht="24" customHeight="1">
      <c r="A1333" s="81"/>
      <c r="B1333" s="81"/>
      <c r="C1333" s="81"/>
      <c r="D1333" s="81"/>
      <c r="E1333" s="80"/>
      <c r="F1333" s="620"/>
      <c r="G1333" s="620"/>
      <c r="H1333" s="81"/>
      <c r="I1333" s="81"/>
      <c r="J1333" s="35"/>
      <c r="K1333" s="36"/>
      <c r="L1333" s="36"/>
      <c r="M1333" s="36"/>
      <c r="N1333" s="36"/>
      <c r="O1333" s="36"/>
      <c r="P1333" s="36"/>
      <c r="Q1333" s="36"/>
      <c r="R1333" s="36"/>
      <c r="S1333" s="36"/>
      <c r="T1333" s="36"/>
      <c r="U1333" s="36"/>
      <c r="V1333" s="36"/>
      <c r="W1333" s="36"/>
      <c r="X1333" s="36"/>
      <c r="Y1333" s="36"/>
      <c r="Z1333" s="36"/>
      <c r="AA1333" s="36"/>
      <c r="AB1333" s="36"/>
      <c r="AC1333" s="36"/>
    </row>
    <row r="1334" spans="1:29" ht="24" customHeight="1">
      <c r="A1334" s="81"/>
      <c r="B1334" s="81"/>
      <c r="C1334" s="81"/>
      <c r="D1334" s="81"/>
      <c r="E1334" s="80"/>
      <c r="F1334" s="620"/>
      <c r="G1334" s="620"/>
      <c r="H1334" s="81"/>
      <c r="I1334" s="81"/>
      <c r="J1334" s="35"/>
      <c r="K1334" s="36"/>
      <c r="L1334" s="36"/>
      <c r="M1334" s="36"/>
      <c r="N1334" s="36"/>
      <c r="O1334" s="36"/>
      <c r="P1334" s="36"/>
      <c r="Q1334" s="36"/>
      <c r="R1334" s="36"/>
      <c r="S1334" s="36"/>
      <c r="T1334" s="36"/>
      <c r="U1334" s="36"/>
      <c r="V1334" s="36"/>
      <c r="W1334" s="36"/>
      <c r="X1334" s="36"/>
      <c r="Y1334" s="36"/>
      <c r="Z1334" s="36"/>
      <c r="AA1334" s="36"/>
      <c r="AB1334" s="36"/>
      <c r="AC1334" s="36"/>
    </row>
    <row r="1335" spans="1:29" ht="36" customHeight="1">
      <c r="A1335" s="619"/>
      <c r="B1335" s="81"/>
      <c r="C1335" s="81"/>
      <c r="D1335" s="81"/>
      <c r="E1335" s="80"/>
      <c r="F1335" s="620"/>
      <c r="G1335" s="620"/>
      <c r="H1335" s="81"/>
      <c r="I1335" s="81"/>
      <c r="J1335" s="35"/>
      <c r="K1335" s="36"/>
      <c r="L1335" s="36"/>
      <c r="M1335" s="36"/>
      <c r="N1335" s="36"/>
      <c r="O1335" s="36"/>
      <c r="P1335" s="36"/>
      <c r="Q1335" s="36"/>
      <c r="R1335" s="36"/>
      <c r="S1335" s="36"/>
      <c r="T1335" s="36"/>
      <c r="U1335" s="36"/>
      <c r="V1335" s="36"/>
      <c r="W1335" s="36"/>
      <c r="X1335" s="36"/>
      <c r="Y1335" s="36"/>
      <c r="Z1335" s="36"/>
      <c r="AA1335" s="36"/>
      <c r="AB1335" s="36"/>
      <c r="AC1335" s="36"/>
    </row>
    <row r="1336" spans="1:29" ht="24" customHeight="1">
      <c r="A1336" s="619"/>
      <c r="B1336" s="81"/>
      <c r="C1336" s="81"/>
      <c r="D1336" s="81"/>
      <c r="E1336" s="80"/>
      <c r="F1336" s="620"/>
      <c r="G1336" s="620"/>
      <c r="H1336" s="81"/>
      <c r="I1336" s="81"/>
      <c r="J1336" s="35"/>
      <c r="K1336" s="36"/>
      <c r="L1336" s="36"/>
      <c r="M1336" s="36"/>
      <c r="N1336" s="36"/>
      <c r="O1336" s="36"/>
      <c r="P1336" s="36"/>
      <c r="Q1336" s="36"/>
      <c r="R1336" s="36"/>
      <c r="S1336" s="36"/>
      <c r="T1336" s="36"/>
      <c r="U1336" s="36"/>
      <c r="V1336" s="36"/>
      <c r="W1336" s="36"/>
      <c r="X1336" s="36"/>
      <c r="Y1336" s="36"/>
      <c r="Z1336" s="36"/>
      <c r="AA1336" s="36"/>
      <c r="AB1336" s="36"/>
      <c r="AC1336" s="36"/>
    </row>
    <row r="1337" spans="1:29" ht="36" customHeight="1">
      <c r="A1337" s="619"/>
      <c r="B1337" s="81"/>
      <c r="C1337" s="81"/>
      <c r="D1337" s="81"/>
      <c r="E1337" s="80"/>
      <c r="F1337" s="620"/>
      <c r="G1337" s="620"/>
      <c r="H1337" s="81"/>
      <c r="I1337" s="81"/>
      <c r="J1337" s="35"/>
      <c r="K1337" s="36"/>
      <c r="L1337" s="36"/>
      <c r="M1337" s="36"/>
      <c r="N1337" s="36"/>
      <c r="O1337" s="36"/>
      <c r="P1337" s="36"/>
      <c r="Q1337" s="36"/>
      <c r="R1337" s="36"/>
      <c r="S1337" s="36"/>
      <c r="T1337" s="36"/>
      <c r="U1337" s="36"/>
      <c r="V1337" s="36"/>
      <c r="W1337" s="36"/>
      <c r="X1337" s="36"/>
      <c r="Y1337" s="36"/>
      <c r="Z1337" s="36"/>
      <c r="AA1337" s="36"/>
      <c r="AB1337" s="36"/>
      <c r="AC1337" s="36"/>
    </row>
    <row r="1338" spans="1:29" ht="24" customHeight="1">
      <c r="A1338" s="619"/>
      <c r="B1338" s="81"/>
      <c r="C1338" s="81"/>
      <c r="D1338" s="81"/>
      <c r="E1338" s="80"/>
      <c r="F1338" s="620"/>
      <c r="G1338" s="620"/>
      <c r="H1338" s="81"/>
      <c r="I1338" s="81"/>
      <c r="J1338" s="35"/>
      <c r="K1338" s="36"/>
      <c r="L1338" s="36"/>
      <c r="M1338" s="36"/>
      <c r="N1338" s="36"/>
      <c r="O1338" s="36"/>
      <c r="P1338" s="36"/>
      <c r="Q1338" s="36"/>
      <c r="R1338" s="36"/>
      <c r="S1338" s="36"/>
      <c r="T1338" s="36"/>
      <c r="U1338" s="36"/>
      <c r="V1338" s="36"/>
      <c r="W1338" s="36"/>
      <c r="X1338" s="36"/>
      <c r="Y1338" s="36"/>
      <c r="Z1338" s="36"/>
      <c r="AA1338" s="36"/>
      <c r="AB1338" s="36"/>
      <c r="AC1338" s="36"/>
    </row>
    <row r="1339" spans="1:29" ht="24" customHeight="1">
      <c r="A1339" s="81"/>
      <c r="B1339" s="94"/>
      <c r="C1339" s="81"/>
      <c r="D1339" s="81"/>
      <c r="E1339" s="80"/>
      <c r="F1339" s="620"/>
      <c r="G1339" s="620"/>
      <c r="H1339" s="81"/>
      <c r="I1339" s="81"/>
      <c r="J1339" s="35"/>
      <c r="K1339" s="36"/>
      <c r="L1339" s="36"/>
      <c r="M1339" s="36"/>
      <c r="N1339" s="36"/>
      <c r="O1339" s="36"/>
      <c r="P1339" s="36"/>
      <c r="Q1339" s="36"/>
      <c r="R1339" s="36"/>
      <c r="S1339" s="36"/>
      <c r="T1339" s="36"/>
      <c r="U1339" s="36"/>
      <c r="V1339" s="36"/>
      <c r="W1339" s="36"/>
      <c r="X1339" s="36"/>
      <c r="Y1339" s="36"/>
      <c r="Z1339" s="36"/>
      <c r="AA1339" s="36"/>
      <c r="AB1339" s="36"/>
      <c r="AC1339" s="36"/>
    </row>
    <row r="1340" spans="1:29" ht="72" customHeight="1">
      <c r="A1340" s="81"/>
      <c r="B1340" s="81"/>
      <c r="C1340" s="81"/>
      <c r="D1340" s="81"/>
      <c r="E1340" s="80"/>
      <c r="F1340" s="620"/>
      <c r="G1340" s="620"/>
      <c r="H1340" s="81"/>
      <c r="I1340" s="81"/>
      <c r="J1340" s="35"/>
      <c r="K1340" s="36"/>
      <c r="L1340" s="36"/>
      <c r="M1340" s="36"/>
      <c r="N1340" s="36"/>
      <c r="O1340" s="36"/>
      <c r="P1340" s="36"/>
      <c r="Q1340" s="36"/>
      <c r="R1340" s="36"/>
      <c r="S1340" s="36"/>
      <c r="T1340" s="36"/>
      <c r="U1340" s="36"/>
      <c r="V1340" s="36"/>
      <c r="W1340" s="36"/>
      <c r="X1340" s="36"/>
      <c r="Y1340" s="36"/>
      <c r="Z1340" s="36"/>
      <c r="AA1340" s="36"/>
      <c r="AB1340" s="36"/>
      <c r="AC1340" s="36"/>
    </row>
    <row r="1341" spans="1:29" ht="36" customHeight="1">
      <c r="A1341" s="81"/>
      <c r="B1341" s="81"/>
      <c r="C1341" s="81"/>
      <c r="D1341" s="81"/>
      <c r="E1341" s="80"/>
      <c r="F1341" s="620"/>
      <c r="G1341" s="620"/>
      <c r="H1341" s="81"/>
      <c r="I1341" s="81"/>
      <c r="J1341" s="35"/>
      <c r="K1341" s="36"/>
      <c r="L1341" s="36"/>
      <c r="M1341" s="36"/>
      <c r="N1341" s="36"/>
      <c r="O1341" s="36"/>
      <c r="P1341" s="36"/>
      <c r="Q1341" s="36"/>
      <c r="R1341" s="36"/>
      <c r="S1341" s="36"/>
      <c r="T1341" s="36"/>
      <c r="U1341" s="36"/>
      <c r="V1341" s="36"/>
      <c r="W1341" s="36"/>
      <c r="X1341" s="36"/>
      <c r="Y1341" s="36"/>
      <c r="Z1341" s="36"/>
      <c r="AA1341" s="36"/>
      <c r="AB1341" s="36"/>
      <c r="AC1341" s="36"/>
    </row>
    <row r="1342" spans="1:29" ht="24" customHeight="1">
      <c r="A1342" s="81"/>
      <c r="B1342" s="81"/>
      <c r="C1342" s="81"/>
      <c r="D1342" s="81"/>
      <c r="E1342" s="80"/>
      <c r="F1342" s="620"/>
      <c r="G1342" s="620"/>
      <c r="H1342" s="81"/>
      <c r="I1342" s="81"/>
      <c r="J1342" s="35"/>
      <c r="K1342" s="36"/>
      <c r="L1342" s="36"/>
      <c r="M1342" s="36"/>
      <c r="N1342" s="36"/>
      <c r="O1342" s="36"/>
      <c r="P1342" s="36"/>
      <c r="Q1342" s="36"/>
      <c r="R1342" s="36"/>
      <c r="S1342" s="36"/>
      <c r="T1342" s="36"/>
      <c r="U1342" s="36"/>
      <c r="V1342" s="36"/>
      <c r="W1342" s="36"/>
      <c r="X1342" s="36"/>
      <c r="Y1342" s="36"/>
      <c r="Z1342" s="36"/>
      <c r="AA1342" s="36"/>
      <c r="AB1342" s="36"/>
      <c r="AC1342" s="36"/>
    </row>
    <row r="1343" spans="1:29" ht="24" customHeight="1">
      <c r="A1343" s="81"/>
      <c r="B1343" s="81"/>
      <c r="C1343" s="81"/>
      <c r="D1343" s="81"/>
      <c r="E1343" s="80"/>
      <c r="F1343" s="620"/>
      <c r="G1343" s="620"/>
      <c r="H1343" s="81"/>
      <c r="I1343" s="81"/>
      <c r="J1343" s="35"/>
      <c r="K1343" s="36"/>
      <c r="L1343" s="36"/>
      <c r="M1343" s="36"/>
      <c r="N1343" s="36"/>
      <c r="O1343" s="36"/>
      <c r="P1343" s="36"/>
      <c r="Q1343" s="36"/>
      <c r="R1343" s="36"/>
      <c r="S1343" s="36"/>
      <c r="T1343" s="36"/>
      <c r="U1343" s="36"/>
      <c r="V1343" s="36"/>
      <c r="W1343" s="36"/>
      <c r="X1343" s="36"/>
      <c r="Y1343" s="36"/>
      <c r="Z1343" s="36"/>
      <c r="AA1343" s="36"/>
      <c r="AB1343" s="36"/>
      <c r="AC1343" s="36"/>
    </row>
    <row r="1344" spans="1:29" ht="24" customHeight="1">
      <c r="A1344" s="81"/>
      <c r="B1344" s="81"/>
      <c r="C1344" s="81"/>
      <c r="D1344" s="81"/>
      <c r="E1344" s="80"/>
      <c r="F1344" s="620"/>
      <c r="G1344" s="620"/>
      <c r="H1344" s="81"/>
      <c r="I1344" s="81"/>
      <c r="J1344" s="35"/>
      <c r="K1344" s="36"/>
      <c r="L1344" s="36"/>
      <c r="M1344" s="36"/>
      <c r="N1344" s="36"/>
      <c r="O1344" s="36"/>
      <c r="P1344" s="36"/>
      <c r="Q1344" s="36"/>
      <c r="R1344" s="36"/>
      <c r="S1344" s="36"/>
      <c r="T1344" s="36"/>
      <c r="U1344" s="36"/>
      <c r="V1344" s="36"/>
      <c r="W1344" s="36"/>
      <c r="X1344" s="36"/>
      <c r="Y1344" s="36"/>
      <c r="Z1344" s="36"/>
      <c r="AA1344" s="36"/>
      <c r="AB1344" s="36"/>
      <c r="AC1344" s="36"/>
    </row>
    <row r="1345" spans="1:29" ht="24" customHeight="1">
      <c r="A1345" s="81"/>
      <c r="B1345" s="81"/>
      <c r="C1345" s="81"/>
      <c r="D1345" s="81"/>
      <c r="E1345" s="80"/>
      <c r="F1345" s="620"/>
      <c r="G1345" s="620"/>
      <c r="H1345" s="81"/>
      <c r="I1345" s="81"/>
      <c r="J1345" s="35"/>
      <c r="K1345" s="36"/>
      <c r="L1345" s="36"/>
      <c r="M1345" s="36"/>
      <c r="N1345" s="36"/>
      <c r="O1345" s="36"/>
      <c r="P1345" s="36"/>
      <c r="Q1345" s="36"/>
      <c r="R1345" s="36"/>
      <c r="S1345" s="36"/>
      <c r="T1345" s="36"/>
      <c r="U1345" s="36"/>
      <c r="V1345" s="36"/>
      <c r="W1345" s="36"/>
      <c r="X1345" s="36"/>
      <c r="Y1345" s="36"/>
      <c r="Z1345" s="36"/>
      <c r="AA1345" s="36"/>
      <c r="AB1345" s="36"/>
      <c r="AC1345" s="36"/>
    </row>
    <row r="1346" spans="1:29" ht="24" customHeight="1">
      <c r="A1346" s="81"/>
      <c r="B1346" s="81"/>
      <c r="C1346" s="81"/>
      <c r="D1346" s="81"/>
      <c r="E1346" s="80"/>
      <c r="F1346" s="620"/>
      <c r="G1346" s="620"/>
      <c r="H1346" s="81"/>
      <c r="I1346" s="81"/>
      <c r="J1346" s="35"/>
      <c r="K1346" s="36"/>
      <c r="L1346" s="36"/>
      <c r="M1346" s="36"/>
      <c r="N1346" s="36"/>
      <c r="O1346" s="36"/>
      <c r="P1346" s="36"/>
      <c r="Q1346" s="36"/>
      <c r="R1346" s="36"/>
      <c r="S1346" s="36"/>
      <c r="T1346" s="36"/>
      <c r="U1346" s="36"/>
      <c r="V1346" s="36"/>
      <c r="W1346" s="36"/>
      <c r="X1346" s="36"/>
      <c r="Y1346" s="36"/>
      <c r="Z1346" s="36"/>
      <c r="AA1346" s="36"/>
      <c r="AB1346" s="36"/>
      <c r="AC1346" s="36"/>
    </row>
    <row r="1347" spans="1:29" ht="24" customHeight="1">
      <c r="A1347" s="81"/>
      <c r="B1347" s="100"/>
      <c r="C1347" s="100"/>
      <c r="D1347" s="100"/>
      <c r="E1347" s="99"/>
      <c r="F1347" s="627"/>
      <c r="G1347" s="627"/>
      <c r="H1347" s="100"/>
      <c r="I1347" s="100"/>
      <c r="J1347" s="35"/>
      <c r="K1347" s="36"/>
      <c r="L1347" s="36"/>
      <c r="M1347" s="36"/>
      <c r="N1347" s="36"/>
      <c r="O1347" s="36"/>
      <c r="P1347" s="36"/>
      <c r="Q1347" s="36"/>
      <c r="R1347" s="36"/>
      <c r="S1347" s="36"/>
      <c r="T1347" s="36"/>
      <c r="U1347" s="36"/>
      <c r="V1347" s="36"/>
      <c r="W1347" s="36"/>
      <c r="X1347" s="36"/>
      <c r="Y1347" s="36"/>
      <c r="Z1347" s="36"/>
      <c r="AA1347" s="36"/>
      <c r="AB1347" s="36"/>
      <c r="AC1347" s="36"/>
    </row>
    <row r="1348" spans="1:29" ht="36" customHeight="1">
      <c r="A1348" s="81"/>
      <c r="B1348" s="100"/>
      <c r="C1348" s="100"/>
      <c r="D1348" s="100"/>
      <c r="E1348" s="99"/>
      <c r="F1348" s="627"/>
      <c r="G1348" s="627"/>
      <c r="H1348" s="100"/>
      <c r="I1348" s="100"/>
      <c r="J1348" s="35"/>
      <c r="K1348" s="36"/>
      <c r="L1348" s="36"/>
      <c r="M1348" s="36"/>
      <c r="N1348" s="36"/>
      <c r="O1348" s="36"/>
      <c r="P1348" s="36"/>
      <c r="Q1348" s="36"/>
      <c r="R1348" s="36"/>
      <c r="S1348" s="36"/>
      <c r="T1348" s="36"/>
      <c r="U1348" s="36"/>
      <c r="V1348" s="36"/>
      <c r="W1348" s="36"/>
      <c r="X1348" s="36"/>
      <c r="Y1348" s="36"/>
      <c r="Z1348" s="36"/>
      <c r="AA1348" s="36"/>
      <c r="AB1348" s="36"/>
      <c r="AC1348" s="36"/>
    </row>
    <row r="1349" spans="1:29" ht="12" customHeight="1">
      <c r="A1349" s="81"/>
      <c r="B1349" s="100"/>
      <c r="C1349" s="100"/>
      <c r="D1349" s="100"/>
      <c r="E1349" s="99"/>
      <c r="F1349" s="627"/>
      <c r="G1349" s="627"/>
      <c r="H1349" s="100"/>
      <c r="I1349" s="100"/>
      <c r="J1349" s="35"/>
      <c r="K1349" s="36"/>
      <c r="L1349" s="36"/>
      <c r="M1349" s="36"/>
      <c r="N1349" s="36"/>
      <c r="O1349" s="36"/>
      <c r="P1349" s="36"/>
      <c r="Q1349" s="36"/>
      <c r="R1349" s="36"/>
      <c r="S1349" s="36"/>
      <c r="T1349" s="36"/>
      <c r="U1349" s="36"/>
      <c r="V1349" s="36"/>
      <c r="W1349" s="36"/>
      <c r="X1349" s="36"/>
      <c r="Y1349" s="36"/>
      <c r="Z1349" s="36"/>
      <c r="AA1349" s="36"/>
      <c r="AB1349" s="36"/>
      <c r="AC1349" s="36"/>
    </row>
    <row r="1350" spans="1:29" ht="36" customHeight="1">
      <c r="A1350" s="81"/>
      <c r="B1350" s="100"/>
      <c r="C1350" s="100"/>
      <c r="D1350" s="100"/>
      <c r="E1350" s="99"/>
      <c r="F1350" s="627"/>
      <c r="G1350" s="627"/>
      <c r="H1350" s="100"/>
      <c r="I1350" s="100"/>
      <c r="J1350" s="35"/>
      <c r="K1350" s="36"/>
      <c r="L1350" s="36"/>
      <c r="M1350" s="36"/>
      <c r="N1350" s="36"/>
      <c r="O1350" s="36"/>
      <c r="P1350" s="36"/>
      <c r="Q1350" s="36"/>
      <c r="R1350" s="36"/>
      <c r="S1350" s="36"/>
      <c r="T1350" s="36"/>
      <c r="U1350" s="36"/>
      <c r="V1350" s="36"/>
      <c r="W1350" s="36"/>
      <c r="X1350" s="36"/>
      <c r="Y1350" s="36"/>
      <c r="Z1350" s="36"/>
      <c r="AA1350" s="36"/>
      <c r="AB1350" s="36"/>
      <c r="AC1350" s="36"/>
    </row>
    <row r="1351" spans="1:29" ht="72" customHeight="1">
      <c r="A1351" s="81"/>
      <c r="B1351" s="100"/>
      <c r="C1351" s="100"/>
      <c r="D1351" s="100"/>
      <c r="E1351" s="99"/>
      <c r="F1351" s="627"/>
      <c r="G1351" s="627"/>
      <c r="H1351" s="100"/>
      <c r="I1351" s="100"/>
      <c r="J1351" s="35"/>
      <c r="K1351" s="36"/>
      <c r="L1351" s="36"/>
      <c r="M1351" s="36"/>
      <c r="N1351" s="36"/>
      <c r="O1351" s="36"/>
      <c r="P1351" s="36"/>
      <c r="Q1351" s="36"/>
      <c r="R1351" s="36"/>
      <c r="S1351" s="36"/>
      <c r="T1351" s="36"/>
      <c r="U1351" s="36"/>
      <c r="V1351" s="36"/>
      <c r="W1351" s="36"/>
      <c r="X1351" s="36"/>
      <c r="Y1351" s="36"/>
      <c r="Z1351" s="36"/>
      <c r="AA1351" s="36"/>
      <c r="AB1351" s="36"/>
      <c r="AC1351" s="36"/>
    </row>
    <row r="1352" spans="1:29" ht="48" customHeight="1">
      <c r="A1352" s="81"/>
      <c r="B1352" s="100"/>
      <c r="C1352" s="100"/>
      <c r="D1352" s="100"/>
      <c r="E1352" s="99"/>
      <c r="F1352" s="627"/>
      <c r="G1352" s="627"/>
      <c r="H1352" s="100"/>
      <c r="I1352" s="100"/>
      <c r="J1352" s="35"/>
      <c r="K1352" s="36"/>
      <c r="L1352" s="36"/>
      <c r="M1352" s="36"/>
      <c r="N1352" s="36"/>
      <c r="O1352" s="36"/>
      <c r="P1352" s="36"/>
      <c r="Q1352" s="36"/>
      <c r="R1352" s="36"/>
      <c r="S1352" s="36"/>
      <c r="T1352" s="36"/>
      <c r="U1352" s="36"/>
      <c r="V1352" s="36"/>
      <c r="W1352" s="36"/>
      <c r="X1352" s="36"/>
      <c r="Y1352" s="36"/>
      <c r="Z1352" s="36"/>
      <c r="AA1352" s="36"/>
      <c r="AB1352" s="36"/>
      <c r="AC1352" s="36"/>
    </row>
    <row r="1353" spans="1:29" ht="36" customHeight="1">
      <c r="A1353" s="81"/>
      <c r="B1353" s="100"/>
      <c r="C1353" s="100"/>
      <c r="D1353" s="100"/>
      <c r="E1353" s="99"/>
      <c r="F1353" s="627"/>
      <c r="G1353" s="627"/>
      <c r="H1353" s="100"/>
      <c r="I1353" s="100"/>
      <c r="J1353" s="35"/>
      <c r="K1353" s="36"/>
      <c r="L1353" s="36"/>
      <c r="M1353" s="36"/>
      <c r="N1353" s="36"/>
      <c r="O1353" s="36"/>
      <c r="P1353" s="36"/>
      <c r="Q1353" s="36"/>
      <c r="R1353" s="36"/>
      <c r="S1353" s="36"/>
      <c r="T1353" s="36"/>
      <c r="U1353" s="36"/>
      <c r="V1353" s="36"/>
      <c r="W1353" s="36"/>
      <c r="X1353" s="36"/>
      <c r="Y1353" s="36"/>
      <c r="Z1353" s="36"/>
      <c r="AA1353" s="36"/>
      <c r="AB1353" s="36"/>
      <c r="AC1353" s="36"/>
    </row>
    <row r="1354" spans="1:29" ht="48" customHeight="1">
      <c r="A1354" s="81"/>
      <c r="B1354" s="100"/>
      <c r="C1354" s="100"/>
      <c r="D1354" s="100"/>
      <c r="E1354" s="99"/>
      <c r="F1354" s="627"/>
      <c r="G1354" s="627"/>
      <c r="H1354" s="100"/>
      <c r="I1354" s="100"/>
      <c r="J1354" s="35"/>
      <c r="K1354" s="36"/>
      <c r="L1354" s="36"/>
      <c r="M1354" s="36"/>
      <c r="N1354" s="36"/>
      <c r="O1354" s="36"/>
      <c r="P1354" s="36"/>
      <c r="Q1354" s="36"/>
      <c r="R1354" s="36"/>
      <c r="S1354" s="36"/>
      <c r="T1354" s="36"/>
      <c r="U1354" s="36"/>
      <c r="V1354" s="36"/>
      <c r="W1354" s="36"/>
      <c r="X1354" s="36"/>
      <c r="Y1354" s="36"/>
      <c r="Z1354" s="36"/>
      <c r="AA1354" s="36"/>
      <c r="AB1354" s="36"/>
      <c r="AC1354" s="36"/>
    </row>
    <row r="1355" spans="1:29" ht="36" customHeight="1">
      <c r="A1355" s="81"/>
      <c r="B1355" s="100"/>
      <c r="C1355" s="100"/>
      <c r="D1355" s="100"/>
      <c r="E1355" s="99"/>
      <c r="F1355" s="627"/>
      <c r="G1355" s="627"/>
      <c r="H1355" s="100"/>
      <c r="I1355" s="100"/>
      <c r="J1355" s="35"/>
      <c r="K1355" s="36"/>
      <c r="L1355" s="36"/>
      <c r="M1355" s="36"/>
      <c r="N1355" s="36"/>
      <c r="O1355" s="36"/>
      <c r="P1355" s="36"/>
      <c r="Q1355" s="36"/>
      <c r="R1355" s="36"/>
      <c r="S1355" s="36"/>
      <c r="T1355" s="36"/>
      <c r="U1355" s="36"/>
      <c r="V1355" s="36"/>
      <c r="W1355" s="36"/>
      <c r="X1355" s="36"/>
      <c r="Y1355" s="36"/>
      <c r="Z1355" s="36"/>
      <c r="AA1355" s="36"/>
      <c r="AB1355" s="36"/>
      <c r="AC1355" s="36"/>
    </row>
    <row r="1356" spans="1:29" ht="36" customHeight="1">
      <c r="A1356" s="81"/>
      <c r="B1356" s="100"/>
      <c r="C1356" s="100"/>
      <c r="D1356" s="100"/>
      <c r="E1356" s="99"/>
      <c r="F1356" s="627"/>
      <c r="G1356" s="627"/>
      <c r="H1356" s="100"/>
      <c r="I1356" s="100"/>
      <c r="J1356" s="35"/>
      <c r="K1356" s="36"/>
      <c r="L1356" s="36"/>
      <c r="M1356" s="36"/>
      <c r="N1356" s="36"/>
      <c r="O1356" s="36"/>
      <c r="P1356" s="36"/>
      <c r="Q1356" s="36"/>
      <c r="R1356" s="36"/>
      <c r="S1356" s="36"/>
      <c r="T1356" s="36"/>
      <c r="U1356" s="36"/>
      <c r="V1356" s="36"/>
      <c r="W1356" s="36"/>
      <c r="X1356" s="36"/>
      <c r="Y1356" s="36"/>
      <c r="Z1356" s="36"/>
      <c r="AA1356" s="36"/>
      <c r="AB1356" s="36"/>
      <c r="AC1356" s="36"/>
    </row>
    <row r="1357" spans="1:29" ht="36" customHeight="1">
      <c r="A1357" s="81"/>
      <c r="B1357" s="100"/>
      <c r="C1357" s="100"/>
      <c r="D1357" s="100"/>
      <c r="E1357" s="99"/>
      <c r="F1357" s="627"/>
      <c r="G1357" s="627"/>
      <c r="H1357" s="100"/>
      <c r="I1357" s="100"/>
      <c r="J1357" s="35"/>
      <c r="K1357" s="36"/>
      <c r="L1357" s="36"/>
      <c r="M1357" s="36"/>
      <c r="N1357" s="36"/>
      <c r="O1357" s="36"/>
      <c r="P1357" s="36"/>
      <c r="Q1357" s="36"/>
      <c r="R1357" s="36"/>
      <c r="S1357" s="36"/>
      <c r="T1357" s="36"/>
      <c r="U1357" s="36"/>
      <c r="V1357" s="36"/>
      <c r="W1357" s="36"/>
      <c r="X1357" s="36"/>
      <c r="Y1357" s="36"/>
      <c r="Z1357" s="36"/>
      <c r="AA1357" s="36"/>
      <c r="AB1357" s="36"/>
      <c r="AC1357" s="36"/>
    </row>
    <row r="1358" spans="1:29" ht="24" customHeight="1">
      <c r="A1358" s="81"/>
      <c r="B1358" s="100"/>
      <c r="C1358" s="100"/>
      <c r="D1358" s="100"/>
      <c r="E1358" s="99"/>
      <c r="F1358" s="627"/>
      <c r="G1358" s="627"/>
      <c r="H1358" s="100"/>
      <c r="I1358" s="100"/>
      <c r="J1358" s="35"/>
      <c r="K1358" s="36"/>
      <c r="L1358" s="36"/>
      <c r="M1358" s="36"/>
      <c r="N1358" s="36"/>
      <c r="O1358" s="36"/>
      <c r="P1358" s="36"/>
      <c r="Q1358" s="36"/>
      <c r="R1358" s="36"/>
      <c r="S1358" s="36"/>
      <c r="T1358" s="36"/>
      <c r="U1358" s="36"/>
      <c r="V1358" s="36"/>
      <c r="W1358" s="36"/>
      <c r="X1358" s="36"/>
      <c r="Y1358" s="36"/>
      <c r="Z1358" s="36"/>
      <c r="AA1358" s="36"/>
      <c r="AB1358" s="36"/>
      <c r="AC1358" s="36"/>
    </row>
    <row r="1359" spans="1:29" ht="24" customHeight="1">
      <c r="A1359" s="100"/>
      <c r="B1359" s="100"/>
      <c r="C1359" s="100"/>
      <c r="D1359" s="100"/>
      <c r="E1359" s="99"/>
      <c r="F1359" s="627"/>
      <c r="G1359" s="627"/>
      <c r="H1359" s="100"/>
      <c r="I1359" s="100"/>
      <c r="J1359" s="35"/>
      <c r="K1359" s="36"/>
      <c r="L1359" s="36"/>
      <c r="M1359" s="36"/>
      <c r="N1359" s="36"/>
      <c r="O1359" s="36"/>
      <c r="P1359" s="36"/>
      <c r="Q1359" s="36"/>
      <c r="R1359" s="36"/>
      <c r="S1359" s="36"/>
      <c r="T1359" s="36"/>
      <c r="U1359" s="36"/>
      <c r="V1359" s="36"/>
      <c r="W1359" s="36"/>
      <c r="X1359" s="36"/>
      <c r="Y1359" s="36"/>
      <c r="Z1359" s="36"/>
      <c r="AA1359" s="36"/>
      <c r="AB1359" s="36"/>
      <c r="AC1359" s="36"/>
    </row>
    <row r="1360" spans="1:29" ht="36" customHeight="1">
      <c r="A1360" s="100"/>
      <c r="B1360" s="100"/>
      <c r="C1360" s="100"/>
      <c r="D1360" s="100"/>
      <c r="E1360" s="99"/>
      <c r="F1360" s="627"/>
      <c r="G1360" s="627"/>
      <c r="H1360" s="100"/>
      <c r="I1360" s="100"/>
      <c r="J1360" s="35"/>
      <c r="K1360" s="36"/>
      <c r="L1360" s="36"/>
      <c r="M1360" s="36"/>
      <c r="N1360" s="36"/>
      <c r="O1360" s="36"/>
      <c r="P1360" s="36"/>
      <c r="Q1360" s="36"/>
      <c r="R1360" s="36"/>
      <c r="S1360" s="36"/>
      <c r="T1360" s="36"/>
      <c r="U1360" s="36"/>
      <c r="V1360" s="36"/>
      <c r="W1360" s="36"/>
      <c r="X1360" s="36"/>
      <c r="Y1360" s="36"/>
      <c r="Z1360" s="36"/>
      <c r="AA1360" s="36"/>
      <c r="AB1360" s="36"/>
      <c r="AC1360" s="36"/>
    </row>
    <row r="1361" spans="1:29" ht="36" customHeight="1">
      <c r="A1361" s="100"/>
      <c r="B1361" s="100"/>
      <c r="C1361" s="100"/>
      <c r="D1361" s="100"/>
      <c r="E1361" s="99"/>
      <c r="F1361" s="627"/>
      <c r="G1361" s="627"/>
      <c r="H1361" s="100"/>
      <c r="I1361" s="100"/>
      <c r="J1361" s="35"/>
      <c r="K1361" s="36"/>
      <c r="L1361" s="36"/>
      <c r="M1361" s="36"/>
      <c r="N1361" s="36"/>
      <c r="O1361" s="36"/>
      <c r="P1361" s="36"/>
      <c r="Q1361" s="36"/>
      <c r="R1361" s="36"/>
      <c r="S1361" s="36"/>
      <c r="T1361" s="36"/>
      <c r="U1361" s="36"/>
      <c r="V1361" s="36"/>
      <c r="W1361" s="36"/>
      <c r="X1361" s="36"/>
      <c r="Y1361" s="36"/>
      <c r="Z1361" s="36"/>
      <c r="AA1361" s="36"/>
      <c r="AB1361" s="36"/>
      <c r="AC1361" s="36"/>
    </row>
    <row r="1362" spans="1:29" ht="24" customHeight="1">
      <c r="A1362" s="100"/>
      <c r="B1362" s="100"/>
      <c r="C1362" s="100"/>
      <c r="D1362" s="100"/>
      <c r="E1362" s="99"/>
      <c r="F1362" s="627"/>
      <c r="G1362" s="627"/>
      <c r="H1362" s="100"/>
      <c r="I1362" s="100"/>
      <c r="J1362" s="35"/>
      <c r="K1362" s="36"/>
      <c r="L1362" s="36"/>
      <c r="M1362" s="36"/>
      <c r="N1362" s="36"/>
      <c r="O1362" s="36"/>
      <c r="P1362" s="36"/>
      <c r="Q1362" s="36"/>
      <c r="R1362" s="36"/>
      <c r="S1362" s="36"/>
      <c r="T1362" s="36"/>
      <c r="U1362" s="36"/>
      <c r="V1362" s="36"/>
      <c r="W1362" s="36"/>
      <c r="X1362" s="36"/>
      <c r="Y1362" s="36"/>
      <c r="Z1362" s="36"/>
      <c r="AA1362" s="36"/>
      <c r="AB1362" s="36"/>
      <c r="AC1362" s="36"/>
    </row>
    <row r="1363" spans="1:29" ht="12" customHeight="1">
      <c r="A1363" s="100"/>
      <c r="B1363" s="100"/>
      <c r="C1363" s="100"/>
      <c r="D1363" s="100"/>
      <c r="E1363" s="99"/>
      <c r="F1363" s="627"/>
      <c r="G1363" s="627"/>
      <c r="H1363" s="100"/>
      <c r="I1363" s="100"/>
      <c r="J1363" s="35"/>
      <c r="K1363" s="36"/>
      <c r="L1363" s="36"/>
      <c r="M1363" s="36"/>
      <c r="N1363" s="36"/>
      <c r="O1363" s="36"/>
      <c r="P1363" s="36"/>
      <c r="Q1363" s="36"/>
      <c r="R1363" s="36"/>
      <c r="S1363" s="36"/>
      <c r="T1363" s="36"/>
      <c r="U1363" s="36"/>
      <c r="V1363" s="36"/>
      <c r="W1363" s="36"/>
      <c r="X1363" s="36"/>
      <c r="Y1363" s="36"/>
      <c r="Z1363" s="36"/>
      <c r="AA1363" s="36"/>
      <c r="AB1363" s="36"/>
      <c r="AC1363" s="36"/>
    </row>
    <row r="1364" spans="1:29" ht="36" customHeight="1">
      <c r="A1364" s="100"/>
      <c r="B1364" s="100"/>
      <c r="C1364" s="100"/>
      <c r="D1364" s="100"/>
      <c r="E1364" s="99"/>
      <c r="F1364" s="627"/>
      <c r="G1364" s="627"/>
      <c r="H1364" s="100"/>
      <c r="I1364" s="100"/>
      <c r="J1364" s="35"/>
      <c r="K1364" s="36"/>
      <c r="L1364" s="36"/>
      <c r="M1364" s="36"/>
      <c r="N1364" s="36"/>
      <c r="O1364" s="36"/>
      <c r="P1364" s="36"/>
      <c r="Q1364" s="36"/>
      <c r="R1364" s="36"/>
      <c r="S1364" s="36"/>
      <c r="T1364" s="36"/>
      <c r="U1364" s="36"/>
      <c r="V1364" s="36"/>
      <c r="W1364" s="36"/>
      <c r="X1364" s="36"/>
      <c r="Y1364" s="36"/>
      <c r="Z1364" s="36"/>
      <c r="AA1364" s="36"/>
      <c r="AB1364" s="36"/>
      <c r="AC1364" s="36"/>
    </row>
    <row r="1365" spans="1:29" ht="36" customHeight="1">
      <c r="A1365" s="100"/>
      <c r="B1365" s="100"/>
      <c r="C1365" s="100"/>
      <c r="D1365" s="100"/>
      <c r="E1365" s="99"/>
      <c r="F1365" s="627"/>
      <c r="G1365" s="627"/>
      <c r="H1365" s="100"/>
      <c r="I1365" s="100"/>
      <c r="J1365" s="35"/>
      <c r="K1365" s="36"/>
      <c r="L1365" s="36"/>
      <c r="M1365" s="36"/>
      <c r="N1365" s="36"/>
      <c r="O1365" s="36"/>
      <c r="P1365" s="36"/>
      <c r="Q1365" s="36"/>
      <c r="R1365" s="36"/>
      <c r="S1365" s="36"/>
      <c r="T1365" s="36"/>
      <c r="U1365" s="36"/>
      <c r="V1365" s="36"/>
      <c r="W1365" s="36"/>
      <c r="X1365" s="36"/>
      <c r="Y1365" s="36"/>
      <c r="Z1365" s="36"/>
      <c r="AA1365" s="36"/>
      <c r="AB1365" s="36"/>
      <c r="AC1365" s="36"/>
    </row>
    <row r="1366" spans="1:29" ht="36" customHeight="1">
      <c r="A1366" s="100"/>
      <c r="B1366" s="100"/>
      <c r="C1366" s="100"/>
      <c r="D1366" s="100"/>
      <c r="E1366" s="99"/>
      <c r="F1366" s="627"/>
      <c r="G1366" s="627"/>
      <c r="H1366" s="100"/>
      <c r="I1366" s="100"/>
      <c r="J1366" s="35"/>
      <c r="K1366" s="36"/>
      <c r="L1366" s="36"/>
      <c r="M1366" s="36"/>
      <c r="N1366" s="36"/>
      <c r="O1366" s="36"/>
      <c r="P1366" s="36"/>
      <c r="Q1366" s="36"/>
      <c r="R1366" s="36"/>
      <c r="S1366" s="36"/>
      <c r="T1366" s="36"/>
      <c r="U1366" s="36"/>
      <c r="V1366" s="36"/>
      <c r="W1366" s="36"/>
      <c r="X1366" s="36"/>
      <c r="Y1366" s="36"/>
      <c r="Z1366" s="36"/>
      <c r="AA1366" s="36"/>
      <c r="AB1366" s="36"/>
      <c r="AC1366" s="36"/>
    </row>
    <row r="1367" spans="1:29" ht="60" customHeight="1">
      <c r="A1367" s="100"/>
      <c r="B1367" s="100"/>
      <c r="C1367" s="100"/>
      <c r="D1367" s="100"/>
      <c r="E1367" s="99"/>
      <c r="F1367" s="627"/>
      <c r="G1367" s="627"/>
      <c r="H1367" s="100"/>
      <c r="I1367" s="100"/>
      <c r="J1367" s="35"/>
      <c r="K1367" s="36"/>
      <c r="L1367" s="36"/>
      <c r="M1367" s="36"/>
      <c r="N1367" s="36"/>
      <c r="O1367" s="36"/>
      <c r="P1367" s="36"/>
      <c r="Q1367" s="36"/>
      <c r="R1367" s="36"/>
      <c r="S1367" s="36"/>
      <c r="T1367" s="36"/>
      <c r="U1367" s="36"/>
      <c r="V1367" s="36"/>
      <c r="W1367" s="36"/>
      <c r="X1367" s="36"/>
      <c r="Y1367" s="36"/>
      <c r="Z1367" s="36"/>
      <c r="AA1367" s="36"/>
      <c r="AB1367" s="36"/>
      <c r="AC1367" s="36"/>
    </row>
    <row r="1368" spans="1:29" ht="24" customHeight="1">
      <c r="A1368" s="100"/>
      <c r="B1368" s="100"/>
      <c r="C1368" s="100"/>
      <c r="D1368" s="100"/>
      <c r="E1368" s="99"/>
      <c r="F1368" s="627"/>
      <c r="G1368" s="627"/>
      <c r="H1368" s="100"/>
      <c r="I1368" s="100"/>
      <c r="J1368" s="35"/>
      <c r="K1368" s="36"/>
      <c r="L1368" s="36"/>
      <c r="M1368" s="36"/>
      <c r="N1368" s="36"/>
      <c r="O1368" s="36"/>
      <c r="P1368" s="36"/>
      <c r="Q1368" s="36"/>
      <c r="R1368" s="36"/>
      <c r="S1368" s="36"/>
      <c r="T1368" s="36"/>
      <c r="U1368" s="36"/>
      <c r="V1368" s="36"/>
      <c r="W1368" s="36"/>
      <c r="X1368" s="36"/>
      <c r="Y1368" s="36"/>
      <c r="Z1368" s="36"/>
      <c r="AA1368" s="36"/>
      <c r="AB1368" s="36"/>
      <c r="AC1368" s="36"/>
    </row>
    <row r="1369" spans="1:29" ht="36" customHeight="1">
      <c r="A1369" s="100"/>
      <c r="B1369" s="100"/>
      <c r="C1369" s="100"/>
      <c r="D1369" s="100"/>
      <c r="E1369" s="99"/>
      <c r="F1369" s="627"/>
      <c r="G1369" s="627"/>
      <c r="H1369" s="100"/>
      <c r="I1369" s="100"/>
      <c r="J1369" s="35"/>
      <c r="K1369" s="36"/>
      <c r="L1369" s="36"/>
      <c r="M1369" s="36"/>
      <c r="N1369" s="36"/>
      <c r="O1369" s="36"/>
      <c r="P1369" s="36"/>
      <c r="Q1369" s="36"/>
      <c r="R1369" s="36"/>
      <c r="S1369" s="36"/>
      <c r="T1369" s="36"/>
      <c r="U1369" s="36"/>
      <c r="V1369" s="36"/>
      <c r="W1369" s="36"/>
      <c r="X1369" s="36"/>
      <c r="Y1369" s="36"/>
      <c r="Z1369" s="36"/>
      <c r="AA1369" s="36"/>
      <c r="AB1369" s="36"/>
      <c r="AC1369" s="36"/>
    </row>
    <row r="1370" spans="1:29" ht="24" customHeight="1">
      <c r="A1370" s="619"/>
      <c r="B1370" s="100"/>
      <c r="C1370" s="100"/>
      <c r="D1370" s="100"/>
      <c r="E1370" s="99"/>
      <c r="F1370" s="627"/>
      <c r="G1370" s="627"/>
      <c r="H1370" s="100"/>
      <c r="I1370" s="100"/>
      <c r="J1370" s="35"/>
      <c r="K1370" s="36"/>
      <c r="L1370" s="36"/>
      <c r="M1370" s="36"/>
      <c r="N1370" s="36"/>
      <c r="O1370" s="36"/>
      <c r="P1370" s="36"/>
      <c r="Q1370" s="36"/>
      <c r="R1370" s="36"/>
      <c r="S1370" s="36"/>
      <c r="T1370" s="36"/>
      <c r="U1370" s="36"/>
      <c r="V1370" s="36"/>
      <c r="W1370" s="36"/>
      <c r="X1370" s="36"/>
      <c r="Y1370" s="36"/>
      <c r="Z1370" s="36"/>
      <c r="AA1370" s="36"/>
      <c r="AB1370" s="36"/>
      <c r="AC1370" s="36"/>
    </row>
    <row r="1371" spans="1:29" ht="36" customHeight="1">
      <c r="A1371" s="100"/>
      <c r="B1371" s="100"/>
      <c r="C1371" s="100"/>
      <c r="D1371" s="100"/>
      <c r="E1371" s="99"/>
      <c r="F1371" s="627"/>
      <c r="G1371" s="627"/>
      <c r="H1371" s="100"/>
      <c r="I1371" s="100"/>
      <c r="J1371" s="35"/>
      <c r="K1371" s="36"/>
      <c r="L1371" s="36"/>
      <c r="M1371" s="36"/>
      <c r="N1371" s="36"/>
      <c r="O1371" s="36"/>
      <c r="P1371" s="36"/>
      <c r="Q1371" s="36"/>
      <c r="R1371" s="36"/>
      <c r="S1371" s="36"/>
      <c r="T1371" s="36"/>
      <c r="U1371" s="36"/>
      <c r="V1371" s="36"/>
      <c r="W1371" s="36"/>
      <c r="X1371" s="36"/>
      <c r="Y1371" s="36"/>
      <c r="Z1371" s="36"/>
      <c r="AA1371" s="36"/>
      <c r="AB1371" s="36"/>
      <c r="AC1371" s="36"/>
    </row>
    <row r="1372" spans="1:29" ht="24" customHeight="1">
      <c r="A1372" s="100"/>
      <c r="B1372" s="100"/>
      <c r="C1372" s="100"/>
      <c r="D1372" s="100"/>
      <c r="E1372" s="99"/>
      <c r="F1372" s="627"/>
      <c r="G1372" s="627"/>
      <c r="H1372" s="100"/>
      <c r="I1372" s="100"/>
      <c r="J1372" s="35"/>
      <c r="K1372" s="36"/>
      <c r="L1372" s="36"/>
      <c r="M1372" s="36"/>
      <c r="N1372" s="36"/>
      <c r="O1372" s="36"/>
      <c r="P1372" s="36"/>
      <c r="Q1372" s="36"/>
      <c r="R1372" s="36"/>
      <c r="S1372" s="36"/>
      <c r="T1372" s="36"/>
      <c r="U1372" s="36"/>
      <c r="V1372" s="36"/>
      <c r="W1372" s="36"/>
      <c r="X1372" s="36"/>
      <c r="Y1372" s="36"/>
      <c r="Z1372" s="36"/>
      <c r="AA1372" s="36"/>
      <c r="AB1372" s="36"/>
      <c r="AC1372" s="36"/>
    </row>
    <row r="1373" spans="1:29" ht="24" customHeight="1">
      <c r="A1373" s="100"/>
      <c r="B1373" s="100"/>
      <c r="C1373" s="100"/>
      <c r="D1373" s="100"/>
      <c r="E1373" s="99"/>
      <c r="F1373" s="627"/>
      <c r="G1373" s="627"/>
      <c r="H1373" s="100"/>
      <c r="I1373" s="100"/>
      <c r="J1373" s="35"/>
      <c r="K1373" s="36"/>
      <c r="L1373" s="36"/>
      <c r="M1373" s="36"/>
      <c r="N1373" s="36"/>
      <c r="O1373" s="36"/>
      <c r="P1373" s="36"/>
      <c r="Q1373" s="36"/>
      <c r="R1373" s="36"/>
      <c r="S1373" s="36"/>
      <c r="T1373" s="36"/>
      <c r="U1373" s="36"/>
      <c r="V1373" s="36"/>
      <c r="W1373" s="36"/>
      <c r="X1373" s="36"/>
      <c r="Y1373" s="36"/>
      <c r="Z1373" s="36"/>
      <c r="AA1373" s="36"/>
      <c r="AB1373" s="36"/>
      <c r="AC1373" s="36"/>
    </row>
    <row r="1374" spans="1:29" ht="24" customHeight="1">
      <c r="A1374" s="100"/>
      <c r="B1374" s="100"/>
      <c r="C1374" s="100"/>
      <c r="D1374" s="100"/>
      <c r="E1374" s="99"/>
      <c r="F1374" s="627"/>
      <c r="G1374" s="627"/>
      <c r="H1374" s="100"/>
      <c r="I1374" s="100"/>
      <c r="J1374" s="35"/>
      <c r="K1374" s="36"/>
      <c r="L1374" s="36"/>
      <c r="M1374" s="36"/>
      <c r="N1374" s="36"/>
      <c r="O1374" s="36"/>
      <c r="P1374" s="36"/>
      <c r="Q1374" s="36"/>
      <c r="R1374" s="36"/>
      <c r="S1374" s="36"/>
      <c r="T1374" s="36"/>
      <c r="U1374" s="36"/>
      <c r="V1374" s="36"/>
      <c r="W1374" s="36"/>
      <c r="X1374" s="36"/>
      <c r="Y1374" s="36"/>
      <c r="Z1374" s="36"/>
      <c r="AA1374" s="36"/>
      <c r="AB1374" s="36"/>
      <c r="AC1374" s="36"/>
    </row>
    <row r="1375" spans="1:29" ht="24" customHeight="1">
      <c r="A1375" s="100"/>
      <c r="B1375" s="100"/>
      <c r="C1375" s="100"/>
      <c r="D1375" s="100"/>
      <c r="E1375" s="99"/>
      <c r="F1375" s="627"/>
      <c r="G1375" s="627"/>
      <c r="H1375" s="100"/>
      <c r="I1375" s="100"/>
      <c r="J1375" s="35"/>
      <c r="K1375" s="36"/>
      <c r="L1375" s="36"/>
      <c r="M1375" s="36"/>
      <c r="N1375" s="36"/>
      <c r="O1375" s="36"/>
      <c r="P1375" s="36"/>
      <c r="Q1375" s="36"/>
      <c r="R1375" s="36"/>
      <c r="S1375" s="36"/>
      <c r="T1375" s="36"/>
      <c r="U1375" s="36"/>
      <c r="V1375" s="36"/>
      <c r="W1375" s="36"/>
      <c r="X1375" s="36"/>
      <c r="Y1375" s="36"/>
      <c r="Z1375" s="36"/>
      <c r="AA1375" s="36"/>
      <c r="AB1375" s="36"/>
      <c r="AC1375" s="36"/>
    </row>
    <row r="1376" spans="1:29" ht="24" customHeight="1">
      <c r="A1376" s="100"/>
      <c r="B1376" s="100"/>
      <c r="C1376" s="100"/>
      <c r="D1376" s="100"/>
      <c r="E1376" s="99"/>
      <c r="F1376" s="627"/>
      <c r="G1376" s="627"/>
      <c r="H1376" s="100"/>
      <c r="I1376" s="100"/>
      <c r="J1376" s="35"/>
      <c r="K1376" s="36"/>
      <c r="L1376" s="36"/>
      <c r="M1376" s="36"/>
      <c r="N1376" s="36"/>
      <c r="O1376" s="36"/>
      <c r="P1376" s="36"/>
      <c r="Q1376" s="36"/>
      <c r="R1376" s="36"/>
      <c r="S1376" s="36"/>
      <c r="T1376" s="36"/>
      <c r="U1376" s="36"/>
      <c r="V1376" s="36"/>
      <c r="W1376" s="36"/>
      <c r="X1376" s="36"/>
      <c r="Y1376" s="36"/>
      <c r="Z1376" s="36"/>
      <c r="AA1376" s="36"/>
      <c r="AB1376" s="36"/>
      <c r="AC1376" s="36"/>
    </row>
    <row r="1377" spans="1:29" ht="36" customHeight="1">
      <c r="A1377" s="100"/>
      <c r="B1377" s="100"/>
      <c r="C1377" s="100"/>
      <c r="D1377" s="100"/>
      <c r="E1377" s="99"/>
      <c r="F1377" s="627"/>
      <c r="G1377" s="627"/>
      <c r="H1377" s="100"/>
      <c r="I1377" s="100"/>
      <c r="J1377" s="35"/>
      <c r="K1377" s="36"/>
      <c r="L1377" s="36"/>
      <c r="M1377" s="36"/>
      <c r="N1377" s="36"/>
      <c r="O1377" s="36"/>
      <c r="P1377" s="36"/>
      <c r="Q1377" s="36"/>
      <c r="R1377" s="36"/>
      <c r="S1377" s="36"/>
      <c r="T1377" s="36"/>
      <c r="U1377" s="36"/>
      <c r="V1377" s="36"/>
      <c r="W1377" s="36"/>
      <c r="X1377" s="36"/>
      <c r="Y1377" s="36"/>
      <c r="Z1377" s="36"/>
      <c r="AA1377" s="36"/>
      <c r="AB1377" s="36"/>
      <c r="AC1377" s="36"/>
    </row>
    <row r="1378" spans="1:29" ht="36" customHeight="1">
      <c r="A1378" s="100"/>
      <c r="B1378" s="100"/>
      <c r="C1378" s="100"/>
      <c r="D1378" s="100"/>
      <c r="E1378" s="99"/>
      <c r="F1378" s="627"/>
      <c r="G1378" s="627"/>
      <c r="H1378" s="100"/>
      <c r="I1378" s="100"/>
      <c r="J1378" s="35"/>
      <c r="K1378" s="36"/>
      <c r="L1378" s="36"/>
      <c r="M1378" s="36"/>
      <c r="N1378" s="36"/>
      <c r="O1378" s="36"/>
      <c r="P1378" s="36"/>
      <c r="Q1378" s="36"/>
      <c r="R1378" s="36"/>
      <c r="S1378" s="36"/>
      <c r="T1378" s="36"/>
      <c r="U1378" s="36"/>
      <c r="V1378" s="36"/>
      <c r="W1378" s="36"/>
      <c r="X1378" s="36"/>
      <c r="Y1378" s="36"/>
      <c r="Z1378" s="36"/>
      <c r="AA1378" s="36"/>
      <c r="AB1378" s="36"/>
      <c r="AC1378" s="36"/>
    </row>
    <row r="1379" spans="1:29" ht="24" customHeight="1">
      <c r="A1379" s="100"/>
      <c r="B1379" s="100"/>
      <c r="C1379" s="100"/>
      <c r="D1379" s="100"/>
      <c r="E1379" s="99"/>
      <c r="F1379" s="627"/>
      <c r="G1379" s="627"/>
      <c r="H1379" s="100"/>
      <c r="I1379" s="100"/>
      <c r="J1379" s="35"/>
      <c r="K1379" s="36"/>
      <c r="L1379" s="36"/>
      <c r="M1379" s="36"/>
      <c r="N1379" s="36"/>
      <c r="O1379" s="36"/>
      <c r="P1379" s="36"/>
      <c r="Q1379" s="36"/>
      <c r="R1379" s="36"/>
      <c r="S1379" s="36"/>
      <c r="T1379" s="36"/>
      <c r="U1379" s="36"/>
      <c r="V1379" s="36"/>
      <c r="W1379" s="36"/>
      <c r="X1379" s="36"/>
      <c r="Y1379" s="36"/>
      <c r="Z1379" s="36"/>
      <c r="AA1379" s="36"/>
      <c r="AB1379" s="36"/>
      <c r="AC1379" s="36"/>
    </row>
    <row r="1380" spans="1:29" ht="24" customHeight="1">
      <c r="A1380" s="100"/>
      <c r="B1380" s="100"/>
      <c r="C1380" s="100"/>
      <c r="D1380" s="100"/>
      <c r="E1380" s="99"/>
      <c r="F1380" s="627"/>
      <c r="G1380" s="627"/>
      <c r="H1380" s="100"/>
      <c r="I1380" s="100"/>
      <c r="J1380" s="35"/>
      <c r="K1380" s="36"/>
      <c r="L1380" s="36"/>
      <c r="M1380" s="36"/>
      <c r="N1380" s="36"/>
      <c r="O1380" s="36"/>
      <c r="P1380" s="36"/>
      <c r="Q1380" s="36"/>
      <c r="R1380" s="36"/>
      <c r="S1380" s="36"/>
      <c r="T1380" s="36"/>
      <c r="U1380" s="36"/>
      <c r="V1380" s="36"/>
      <c r="W1380" s="36"/>
      <c r="X1380" s="36"/>
      <c r="Y1380" s="36"/>
      <c r="Z1380" s="36"/>
      <c r="AA1380" s="36"/>
      <c r="AB1380" s="36"/>
      <c r="AC1380" s="36"/>
    </row>
    <row r="1381" spans="1:29" ht="36" customHeight="1">
      <c r="A1381" s="100"/>
      <c r="B1381" s="100"/>
      <c r="C1381" s="100"/>
      <c r="D1381" s="100"/>
      <c r="E1381" s="99"/>
      <c r="F1381" s="627"/>
      <c r="G1381" s="627"/>
      <c r="H1381" s="100"/>
      <c r="I1381" s="100"/>
      <c r="J1381" s="35"/>
      <c r="K1381" s="36"/>
      <c r="L1381" s="36"/>
      <c r="M1381" s="36"/>
      <c r="N1381" s="36"/>
      <c r="O1381" s="36"/>
      <c r="P1381" s="36"/>
      <c r="Q1381" s="36"/>
      <c r="R1381" s="36"/>
      <c r="S1381" s="36"/>
      <c r="T1381" s="36"/>
      <c r="U1381" s="36"/>
      <c r="V1381" s="36"/>
      <c r="W1381" s="36"/>
      <c r="X1381" s="36"/>
      <c r="Y1381" s="36"/>
      <c r="Z1381" s="36"/>
      <c r="AA1381" s="36"/>
      <c r="AB1381" s="36"/>
      <c r="AC1381" s="36"/>
    </row>
    <row r="1382" spans="1:29" ht="24" customHeight="1">
      <c r="A1382" s="100"/>
      <c r="B1382" s="100"/>
      <c r="C1382" s="100"/>
      <c r="D1382" s="100"/>
      <c r="E1382" s="99"/>
      <c r="F1382" s="627"/>
      <c r="G1382" s="627"/>
      <c r="H1382" s="100"/>
      <c r="I1382" s="100"/>
      <c r="J1382" s="35"/>
      <c r="K1382" s="36"/>
      <c r="L1382" s="36"/>
      <c r="M1382" s="36"/>
      <c r="N1382" s="36"/>
      <c r="O1382" s="36"/>
      <c r="P1382" s="36"/>
      <c r="Q1382" s="36"/>
      <c r="R1382" s="36"/>
      <c r="S1382" s="36"/>
      <c r="T1382" s="36"/>
      <c r="U1382" s="36"/>
      <c r="V1382" s="36"/>
      <c r="W1382" s="36"/>
      <c r="X1382" s="36"/>
      <c r="Y1382" s="36"/>
      <c r="Z1382" s="36"/>
      <c r="AA1382" s="36"/>
      <c r="AB1382" s="36"/>
      <c r="AC1382" s="36"/>
    </row>
    <row r="1383" spans="1:29" ht="24" customHeight="1">
      <c r="A1383" s="100"/>
      <c r="B1383" s="100"/>
      <c r="C1383" s="100"/>
      <c r="D1383" s="100"/>
      <c r="E1383" s="99"/>
      <c r="F1383" s="627"/>
      <c r="G1383" s="627"/>
      <c r="H1383" s="100"/>
      <c r="I1383" s="100"/>
      <c r="J1383" s="35"/>
      <c r="K1383" s="36"/>
      <c r="L1383" s="36"/>
      <c r="M1383" s="36"/>
      <c r="N1383" s="36"/>
      <c r="O1383" s="36"/>
      <c r="P1383" s="36"/>
      <c r="Q1383" s="36"/>
      <c r="R1383" s="36"/>
      <c r="S1383" s="36"/>
      <c r="T1383" s="36"/>
      <c r="U1383" s="36"/>
      <c r="V1383" s="36"/>
      <c r="W1383" s="36"/>
      <c r="X1383" s="36"/>
      <c r="Y1383" s="36"/>
      <c r="Z1383" s="36"/>
      <c r="AA1383" s="36"/>
      <c r="AB1383" s="36"/>
      <c r="AC1383" s="36"/>
    </row>
    <row r="1384" spans="1:29" ht="24" customHeight="1">
      <c r="A1384" s="100"/>
      <c r="B1384" s="100"/>
      <c r="C1384" s="100"/>
      <c r="D1384" s="100"/>
      <c r="E1384" s="99"/>
      <c r="F1384" s="627"/>
      <c r="G1384" s="627"/>
      <c r="H1384" s="100"/>
      <c r="I1384" s="100"/>
      <c r="J1384" s="35"/>
      <c r="K1384" s="36"/>
      <c r="L1384" s="36"/>
      <c r="M1384" s="36"/>
      <c r="N1384" s="36"/>
      <c r="O1384" s="36"/>
      <c r="P1384" s="36"/>
      <c r="Q1384" s="36"/>
      <c r="R1384" s="36"/>
      <c r="S1384" s="36"/>
      <c r="T1384" s="36"/>
      <c r="U1384" s="36"/>
      <c r="V1384" s="36"/>
      <c r="W1384" s="36"/>
      <c r="X1384" s="36"/>
      <c r="Y1384" s="36"/>
      <c r="Z1384" s="36"/>
      <c r="AA1384" s="36"/>
      <c r="AB1384" s="36"/>
      <c r="AC1384" s="36"/>
    </row>
    <row r="1385" spans="1:29" ht="24" customHeight="1">
      <c r="A1385" s="100"/>
      <c r="B1385" s="100"/>
      <c r="C1385" s="100"/>
      <c r="D1385" s="100"/>
      <c r="E1385" s="99"/>
      <c r="F1385" s="627"/>
      <c r="G1385" s="627"/>
      <c r="H1385" s="100"/>
      <c r="I1385" s="100"/>
      <c r="J1385" s="35"/>
      <c r="K1385" s="36"/>
      <c r="L1385" s="36"/>
      <c r="M1385" s="36"/>
      <c r="N1385" s="36"/>
      <c r="O1385" s="36"/>
      <c r="P1385" s="36"/>
      <c r="Q1385" s="36"/>
      <c r="R1385" s="36"/>
      <c r="S1385" s="36"/>
      <c r="T1385" s="36"/>
      <c r="U1385" s="36"/>
      <c r="V1385" s="36"/>
      <c r="W1385" s="36"/>
      <c r="X1385" s="36"/>
      <c r="Y1385" s="36"/>
      <c r="Z1385" s="36"/>
      <c r="AA1385" s="36"/>
      <c r="AB1385" s="36"/>
      <c r="AC1385" s="36"/>
    </row>
    <row r="1386" spans="1:29" ht="36" customHeight="1">
      <c r="A1386" s="100"/>
      <c r="B1386" s="100"/>
      <c r="C1386" s="100"/>
      <c r="D1386" s="100"/>
      <c r="E1386" s="99"/>
      <c r="F1386" s="627"/>
      <c r="G1386" s="627"/>
      <c r="H1386" s="100"/>
      <c r="I1386" s="100"/>
      <c r="J1386" s="35"/>
      <c r="K1386" s="36"/>
      <c r="L1386" s="36"/>
      <c r="M1386" s="36"/>
      <c r="N1386" s="36"/>
      <c r="O1386" s="36"/>
      <c r="P1386" s="36"/>
      <c r="Q1386" s="36"/>
      <c r="R1386" s="36"/>
      <c r="S1386" s="36"/>
      <c r="T1386" s="36"/>
      <c r="U1386" s="36"/>
      <c r="V1386" s="36"/>
      <c r="W1386" s="36"/>
      <c r="X1386" s="36"/>
      <c r="Y1386" s="36"/>
      <c r="Z1386" s="36"/>
      <c r="AA1386" s="36"/>
      <c r="AB1386" s="36"/>
      <c r="AC1386" s="36"/>
    </row>
    <row r="1387" spans="1:29" ht="36" customHeight="1">
      <c r="A1387" s="100"/>
      <c r="B1387" s="100"/>
      <c r="C1387" s="100"/>
      <c r="D1387" s="100"/>
      <c r="E1387" s="99"/>
      <c r="F1387" s="627"/>
      <c r="G1387" s="627"/>
      <c r="H1387" s="100"/>
      <c r="I1387" s="100"/>
      <c r="J1387" s="35"/>
      <c r="K1387" s="36"/>
      <c r="L1387" s="36"/>
      <c r="M1387" s="36"/>
      <c r="N1387" s="36"/>
      <c r="O1387" s="36"/>
      <c r="P1387" s="36"/>
      <c r="Q1387" s="36"/>
      <c r="R1387" s="36"/>
      <c r="S1387" s="36"/>
      <c r="T1387" s="36"/>
      <c r="U1387" s="36"/>
      <c r="V1387" s="36"/>
      <c r="W1387" s="36"/>
      <c r="X1387" s="36"/>
      <c r="Y1387" s="36"/>
      <c r="Z1387" s="36"/>
      <c r="AA1387" s="36"/>
      <c r="AB1387" s="36"/>
      <c r="AC1387" s="36"/>
    </row>
    <row r="1388" spans="1:29" ht="36" customHeight="1">
      <c r="A1388" s="100"/>
      <c r="B1388" s="100"/>
      <c r="C1388" s="100"/>
      <c r="D1388" s="100"/>
      <c r="E1388" s="99"/>
      <c r="F1388" s="627"/>
      <c r="G1388" s="627"/>
      <c r="H1388" s="100"/>
      <c r="I1388" s="100"/>
      <c r="J1388" s="35"/>
      <c r="K1388" s="36"/>
      <c r="L1388" s="36"/>
      <c r="M1388" s="36"/>
      <c r="N1388" s="36"/>
      <c r="O1388" s="36"/>
      <c r="P1388" s="36"/>
      <c r="Q1388" s="36"/>
      <c r="R1388" s="36"/>
      <c r="S1388" s="36"/>
      <c r="T1388" s="36"/>
      <c r="U1388" s="36"/>
      <c r="V1388" s="36"/>
      <c r="W1388" s="36"/>
      <c r="X1388" s="36"/>
      <c r="Y1388" s="36"/>
      <c r="Z1388" s="36"/>
      <c r="AA1388" s="36"/>
      <c r="AB1388" s="36"/>
      <c r="AC1388" s="36"/>
    </row>
    <row r="1389" spans="1:29" ht="36" customHeight="1">
      <c r="A1389" s="100"/>
      <c r="B1389" s="100"/>
      <c r="C1389" s="100"/>
      <c r="D1389" s="100"/>
      <c r="E1389" s="99"/>
      <c r="F1389" s="627"/>
      <c r="G1389" s="627"/>
      <c r="H1389" s="100"/>
      <c r="I1389" s="100"/>
      <c r="J1389" s="35"/>
      <c r="K1389" s="36"/>
      <c r="L1389" s="36"/>
      <c r="M1389" s="36"/>
      <c r="N1389" s="36"/>
      <c r="O1389" s="36"/>
      <c r="P1389" s="36"/>
      <c r="Q1389" s="36"/>
      <c r="R1389" s="36"/>
      <c r="S1389" s="36"/>
      <c r="T1389" s="36"/>
      <c r="U1389" s="36"/>
      <c r="V1389" s="36"/>
      <c r="W1389" s="36"/>
      <c r="X1389" s="36"/>
      <c r="Y1389" s="36"/>
      <c r="Z1389" s="36"/>
      <c r="AA1389" s="36"/>
      <c r="AB1389" s="36"/>
      <c r="AC1389" s="36"/>
    </row>
    <row r="1390" spans="1:29" ht="24" customHeight="1">
      <c r="A1390" s="100"/>
      <c r="B1390" s="463"/>
      <c r="C1390" s="100"/>
      <c r="D1390" s="501"/>
      <c r="E1390" s="99"/>
      <c r="F1390" s="627"/>
      <c r="G1390" s="627"/>
      <c r="H1390" s="100"/>
      <c r="I1390" s="100"/>
      <c r="J1390" s="35"/>
      <c r="K1390" s="36"/>
      <c r="L1390" s="36"/>
      <c r="M1390" s="36"/>
      <c r="N1390" s="36"/>
      <c r="O1390" s="36"/>
      <c r="P1390" s="36"/>
      <c r="Q1390" s="36"/>
      <c r="R1390" s="36"/>
      <c r="S1390" s="36"/>
      <c r="T1390" s="36"/>
      <c r="U1390" s="36"/>
      <c r="V1390" s="36"/>
      <c r="W1390" s="36"/>
      <c r="X1390" s="36"/>
      <c r="Y1390" s="36"/>
      <c r="Z1390" s="36"/>
      <c r="AA1390" s="36"/>
      <c r="AB1390" s="36"/>
      <c r="AC1390" s="36"/>
    </row>
    <row r="1391" spans="1:29" ht="24" customHeight="1">
      <c r="A1391" s="100"/>
      <c r="B1391" s="463"/>
      <c r="C1391" s="100"/>
      <c r="D1391" s="100"/>
      <c r="E1391" s="99"/>
      <c r="F1391" s="627"/>
      <c r="G1391" s="627"/>
      <c r="H1391" s="100"/>
      <c r="I1391" s="100"/>
      <c r="J1391" s="35"/>
      <c r="K1391" s="36"/>
      <c r="L1391" s="36"/>
      <c r="M1391" s="36"/>
      <c r="N1391" s="36"/>
      <c r="O1391" s="36"/>
      <c r="P1391" s="36"/>
      <c r="Q1391" s="36"/>
      <c r="R1391" s="36"/>
      <c r="S1391" s="36"/>
      <c r="T1391" s="36"/>
      <c r="U1391" s="36"/>
      <c r="V1391" s="36"/>
      <c r="W1391" s="36"/>
      <c r="X1391" s="36"/>
      <c r="Y1391" s="36"/>
      <c r="Z1391" s="36"/>
      <c r="AA1391" s="36"/>
      <c r="AB1391" s="36"/>
      <c r="AC1391" s="36"/>
    </row>
    <row r="1392" spans="1:29" ht="24" customHeight="1">
      <c r="A1392" s="100"/>
      <c r="B1392" s="100"/>
      <c r="C1392" s="100"/>
      <c r="D1392" s="100"/>
      <c r="E1392" s="99"/>
      <c r="F1392" s="627"/>
      <c r="G1392" s="627"/>
      <c r="H1392" s="100"/>
      <c r="I1392" s="100"/>
      <c r="J1392" s="35"/>
      <c r="K1392" s="36"/>
      <c r="L1392" s="36"/>
      <c r="M1392" s="36"/>
      <c r="N1392" s="36"/>
      <c r="O1392" s="36"/>
      <c r="P1392" s="36"/>
      <c r="Q1392" s="36"/>
      <c r="R1392" s="36"/>
      <c r="S1392" s="36"/>
      <c r="T1392" s="36"/>
      <c r="U1392" s="36"/>
      <c r="V1392" s="36"/>
      <c r="W1392" s="36"/>
      <c r="X1392" s="36"/>
      <c r="Y1392" s="36"/>
      <c r="Z1392" s="36"/>
      <c r="AA1392" s="36"/>
      <c r="AB1392" s="36"/>
      <c r="AC1392" s="36"/>
    </row>
    <row r="1393" spans="1:29" ht="12" customHeight="1">
      <c r="A1393" s="100"/>
      <c r="B1393" s="100"/>
      <c r="C1393" s="100"/>
      <c r="D1393" s="100"/>
      <c r="E1393" s="99"/>
      <c r="F1393" s="627"/>
      <c r="G1393" s="627"/>
      <c r="H1393" s="100"/>
      <c r="I1393" s="100"/>
      <c r="J1393" s="35"/>
      <c r="K1393" s="36"/>
      <c r="L1393" s="36"/>
      <c r="M1393" s="36"/>
      <c r="N1393" s="36"/>
      <c r="O1393" s="36"/>
      <c r="P1393" s="36"/>
      <c r="Q1393" s="36"/>
      <c r="R1393" s="36"/>
      <c r="S1393" s="36"/>
      <c r="T1393" s="36"/>
      <c r="U1393" s="36"/>
      <c r="V1393" s="36"/>
      <c r="W1393" s="36"/>
      <c r="X1393" s="36"/>
      <c r="Y1393" s="36"/>
      <c r="Z1393" s="36"/>
      <c r="AA1393" s="36"/>
      <c r="AB1393" s="36"/>
      <c r="AC1393" s="36"/>
    </row>
    <row r="1394" spans="1:29" ht="12" customHeight="1">
      <c r="A1394" s="100"/>
      <c r="B1394" s="100"/>
      <c r="C1394" s="100"/>
      <c r="D1394" s="100"/>
      <c r="E1394" s="99"/>
      <c r="F1394" s="627"/>
      <c r="G1394" s="627"/>
      <c r="H1394" s="100"/>
      <c r="I1394" s="100"/>
      <c r="J1394" s="35"/>
      <c r="K1394" s="36"/>
      <c r="L1394" s="36"/>
      <c r="M1394" s="36"/>
      <c r="N1394" s="36"/>
      <c r="O1394" s="36"/>
      <c r="P1394" s="36"/>
      <c r="Q1394" s="36"/>
      <c r="R1394" s="36"/>
      <c r="S1394" s="36"/>
      <c r="T1394" s="36"/>
      <c r="U1394" s="36"/>
      <c r="V1394" s="36"/>
      <c r="W1394" s="36"/>
      <c r="X1394" s="36"/>
      <c r="Y1394" s="36"/>
      <c r="Z1394" s="36"/>
      <c r="AA1394" s="36"/>
      <c r="AB1394" s="36"/>
      <c r="AC1394" s="36"/>
    </row>
    <row r="1395" spans="1:29" ht="12" customHeight="1">
      <c r="A1395" s="100"/>
      <c r="B1395" s="100"/>
      <c r="C1395" s="100"/>
      <c r="D1395" s="100"/>
      <c r="E1395" s="99"/>
      <c r="F1395" s="627"/>
      <c r="G1395" s="627"/>
      <c r="H1395" s="100"/>
      <c r="I1395" s="100"/>
      <c r="J1395" s="35"/>
      <c r="K1395" s="74"/>
      <c r="L1395" s="74"/>
      <c r="M1395" s="74"/>
      <c r="N1395" s="74"/>
      <c r="O1395" s="74"/>
      <c r="P1395" s="74"/>
      <c r="Q1395" s="74"/>
      <c r="R1395" s="74"/>
      <c r="S1395" s="74"/>
      <c r="T1395" s="74"/>
      <c r="U1395" s="74"/>
      <c r="V1395" s="74"/>
      <c r="W1395" s="74"/>
      <c r="X1395" s="74"/>
      <c r="Y1395" s="74"/>
      <c r="Z1395" s="74"/>
      <c r="AA1395" s="74"/>
      <c r="AB1395" s="74"/>
      <c r="AC1395" s="74"/>
    </row>
    <row r="1396" spans="1:29" ht="12" customHeight="1">
      <c r="A1396" s="100"/>
      <c r="B1396" s="100"/>
      <c r="C1396" s="100"/>
      <c r="D1396" s="100"/>
      <c r="E1396" s="99"/>
      <c r="F1396" s="627"/>
      <c r="G1396" s="627"/>
      <c r="H1396" s="100"/>
      <c r="I1396" s="100"/>
      <c r="J1396" s="35"/>
      <c r="K1396" s="74"/>
      <c r="L1396" s="74"/>
      <c r="M1396" s="74"/>
      <c r="N1396" s="74"/>
      <c r="O1396" s="74"/>
      <c r="P1396" s="74"/>
      <c r="Q1396" s="74"/>
      <c r="R1396" s="74"/>
      <c r="S1396" s="74"/>
      <c r="T1396" s="74"/>
      <c r="U1396" s="74"/>
      <c r="V1396" s="74"/>
      <c r="W1396" s="74"/>
      <c r="X1396" s="74"/>
      <c r="Y1396" s="74"/>
      <c r="Z1396" s="74"/>
      <c r="AA1396" s="74"/>
      <c r="AB1396" s="74"/>
      <c r="AC1396" s="74"/>
    </row>
    <row r="1397" spans="1:29" ht="12" customHeight="1">
      <c r="A1397" s="100"/>
      <c r="B1397" s="100"/>
      <c r="C1397" s="100"/>
      <c r="D1397" s="100"/>
      <c r="E1397" s="99"/>
      <c r="F1397" s="627"/>
      <c r="G1397" s="627"/>
      <c r="H1397" s="100"/>
      <c r="I1397" s="100"/>
      <c r="J1397" s="35"/>
      <c r="K1397" s="74"/>
      <c r="L1397" s="74"/>
      <c r="M1397" s="74"/>
      <c r="N1397" s="74"/>
      <c r="O1397" s="74"/>
      <c r="P1397" s="74"/>
      <c r="Q1397" s="74"/>
      <c r="R1397" s="74"/>
      <c r="S1397" s="74"/>
      <c r="T1397" s="74"/>
      <c r="U1397" s="74"/>
      <c r="V1397" s="74"/>
      <c r="W1397" s="74"/>
      <c r="X1397" s="74"/>
      <c r="Y1397" s="74"/>
      <c r="Z1397" s="74"/>
      <c r="AA1397" s="74"/>
      <c r="AB1397" s="74"/>
      <c r="AC1397" s="74"/>
    </row>
  </sheetData>
  <autoFilter ref="A5:AC1397" xr:uid="{00000000-0009-0000-0000-000018000000}"/>
  <mergeCells count="3">
    <mergeCell ref="A1:I1"/>
    <mergeCell ref="A2:G2"/>
    <mergeCell ref="A4:G4"/>
  </mergeCells>
  <hyperlinks>
    <hyperlink ref="G3" location="Menu por Procesos!A1" display="MENU" xr:uid="{00000000-0004-0000-1800-000000000000}"/>
    <hyperlink ref="G6" r:id="rId1" xr:uid="{00000000-0004-0000-1800-000001000000}"/>
    <hyperlink ref="G7" r:id="rId2" xr:uid="{00000000-0004-0000-1800-000002000000}"/>
    <hyperlink ref="G8" r:id="rId3" xr:uid="{00000000-0004-0000-1800-000003000000}"/>
    <hyperlink ref="G9" r:id="rId4" xr:uid="{00000000-0004-0000-1800-000004000000}"/>
    <hyperlink ref="G10" r:id="rId5" xr:uid="{00000000-0004-0000-1800-000005000000}"/>
    <hyperlink ref="G11" r:id="rId6" xr:uid="{00000000-0004-0000-1800-000006000000}"/>
    <hyperlink ref="G12" r:id="rId7" xr:uid="{00000000-0004-0000-1800-000007000000}"/>
    <hyperlink ref="G13" r:id="rId8" xr:uid="{00000000-0004-0000-1800-000008000000}"/>
    <hyperlink ref="G14" r:id="rId9" xr:uid="{00000000-0004-0000-1800-000009000000}"/>
    <hyperlink ref="G15" r:id="rId10" xr:uid="{00000000-0004-0000-1800-00000A000000}"/>
    <hyperlink ref="G16" r:id="rId11" xr:uid="{00000000-0004-0000-1800-00000B000000}"/>
    <hyperlink ref="G17" r:id="rId12" xr:uid="{00000000-0004-0000-1800-00000C000000}"/>
    <hyperlink ref="G18" r:id="rId13" xr:uid="{00000000-0004-0000-1800-00000D000000}"/>
    <hyperlink ref="G19" r:id="rId14" xr:uid="{00000000-0004-0000-1800-00000E000000}"/>
    <hyperlink ref="G20" r:id="rId15" xr:uid="{00000000-0004-0000-1800-00000F000000}"/>
    <hyperlink ref="G21" r:id="rId16" xr:uid="{00000000-0004-0000-1800-000010000000}"/>
    <hyperlink ref="G22" r:id="rId17" xr:uid="{00000000-0004-0000-1800-000011000000}"/>
    <hyperlink ref="G23" r:id="rId18" xr:uid="{00000000-0004-0000-1800-000012000000}"/>
    <hyperlink ref="G24" r:id="rId19" xr:uid="{00000000-0004-0000-1800-000013000000}"/>
    <hyperlink ref="G25" r:id="rId20" xr:uid="{00000000-0004-0000-1800-000014000000}"/>
    <hyperlink ref="G26" r:id="rId21" xr:uid="{00000000-0004-0000-1800-000015000000}"/>
    <hyperlink ref="G27" r:id="rId22" xr:uid="{00000000-0004-0000-1800-000016000000}"/>
    <hyperlink ref="G28" r:id="rId23" xr:uid="{00000000-0004-0000-1800-000017000000}"/>
    <hyperlink ref="G29" r:id="rId24" xr:uid="{00000000-0004-0000-1800-000018000000}"/>
    <hyperlink ref="G30" r:id="rId25" xr:uid="{00000000-0004-0000-1800-000019000000}"/>
    <hyperlink ref="G31" r:id="rId26" xr:uid="{00000000-0004-0000-1800-00001A000000}"/>
    <hyperlink ref="G32" r:id="rId27" xr:uid="{00000000-0004-0000-1800-00001B000000}"/>
    <hyperlink ref="G33" r:id="rId28" xr:uid="{00000000-0004-0000-1800-00001C000000}"/>
    <hyperlink ref="G35" r:id="rId29" xr:uid="{00000000-0004-0000-1800-00001D000000}"/>
    <hyperlink ref="G36" r:id="rId30" xr:uid="{00000000-0004-0000-1800-00001E000000}"/>
    <hyperlink ref="G37" r:id="rId31" xr:uid="{00000000-0004-0000-1800-00001F000000}"/>
    <hyperlink ref="G38" r:id="rId32" xr:uid="{00000000-0004-0000-1800-000020000000}"/>
    <hyperlink ref="G39" r:id="rId33" xr:uid="{00000000-0004-0000-1800-000021000000}"/>
    <hyperlink ref="G40" r:id="rId34" xr:uid="{00000000-0004-0000-1800-000022000000}"/>
    <hyperlink ref="G41" r:id="rId35" xr:uid="{00000000-0004-0000-1800-000023000000}"/>
    <hyperlink ref="G42" r:id="rId36" xr:uid="{00000000-0004-0000-1800-000024000000}"/>
    <hyperlink ref="G43" r:id="rId37" xr:uid="{00000000-0004-0000-1800-000025000000}"/>
    <hyperlink ref="G44" r:id="rId38" xr:uid="{00000000-0004-0000-1800-000026000000}"/>
    <hyperlink ref="G45" r:id="rId39" xr:uid="{00000000-0004-0000-1800-000027000000}"/>
    <hyperlink ref="G46" r:id="rId40" xr:uid="{00000000-0004-0000-1800-000028000000}"/>
    <hyperlink ref="G47" r:id="rId41" xr:uid="{00000000-0004-0000-1800-000029000000}"/>
    <hyperlink ref="G48" r:id="rId42" xr:uid="{00000000-0004-0000-1800-00002A000000}"/>
    <hyperlink ref="G49" r:id="rId43" xr:uid="{00000000-0004-0000-1800-00002B000000}"/>
    <hyperlink ref="G50" r:id="rId44" xr:uid="{00000000-0004-0000-1800-00002C000000}"/>
    <hyperlink ref="G51" r:id="rId45" xr:uid="{00000000-0004-0000-1800-00002D000000}"/>
    <hyperlink ref="G52" r:id="rId46" xr:uid="{00000000-0004-0000-1800-00002E000000}"/>
    <hyperlink ref="G53" r:id="rId47" xr:uid="{00000000-0004-0000-1800-00002F000000}"/>
    <hyperlink ref="G54" r:id="rId48" xr:uid="{00000000-0004-0000-1800-000030000000}"/>
    <hyperlink ref="G55" r:id="rId49" xr:uid="{00000000-0004-0000-1800-000031000000}"/>
    <hyperlink ref="G56" r:id="rId50" xr:uid="{00000000-0004-0000-1800-000032000000}"/>
    <hyperlink ref="G57" r:id="rId51" xr:uid="{00000000-0004-0000-1800-000033000000}"/>
    <hyperlink ref="G58" r:id="rId52" xr:uid="{00000000-0004-0000-1800-000034000000}"/>
    <hyperlink ref="G59" r:id="rId53" xr:uid="{00000000-0004-0000-1800-000035000000}"/>
    <hyperlink ref="G60" r:id="rId54" xr:uid="{00000000-0004-0000-1800-000036000000}"/>
    <hyperlink ref="G61" r:id="rId55" xr:uid="{00000000-0004-0000-1800-000037000000}"/>
    <hyperlink ref="G62" r:id="rId56" xr:uid="{00000000-0004-0000-1800-000038000000}"/>
    <hyperlink ref="G63" r:id="rId57" xr:uid="{00000000-0004-0000-1800-000039000000}"/>
    <hyperlink ref="G64" r:id="rId58" xr:uid="{00000000-0004-0000-1800-00003A000000}"/>
    <hyperlink ref="G65" r:id="rId59" xr:uid="{00000000-0004-0000-1800-00003B000000}"/>
    <hyperlink ref="G66" r:id="rId60" xr:uid="{00000000-0004-0000-1800-00003C000000}"/>
    <hyperlink ref="G67" r:id="rId61" xr:uid="{00000000-0004-0000-1800-00003D000000}"/>
    <hyperlink ref="G68" r:id="rId62" xr:uid="{00000000-0004-0000-1800-00003E000000}"/>
    <hyperlink ref="G69" r:id="rId63" xr:uid="{00000000-0004-0000-1800-00003F000000}"/>
    <hyperlink ref="G70" r:id="rId64" xr:uid="{00000000-0004-0000-1800-000040000000}"/>
    <hyperlink ref="G71" r:id="rId65" xr:uid="{00000000-0004-0000-1800-000041000000}"/>
    <hyperlink ref="G72" r:id="rId66" xr:uid="{00000000-0004-0000-1800-000042000000}"/>
    <hyperlink ref="G73" r:id="rId67" xr:uid="{00000000-0004-0000-1800-000043000000}"/>
    <hyperlink ref="G74" r:id="rId68" xr:uid="{00000000-0004-0000-1800-000044000000}"/>
    <hyperlink ref="G75" r:id="rId69" xr:uid="{00000000-0004-0000-1800-000045000000}"/>
    <hyperlink ref="G76" r:id="rId70" xr:uid="{00000000-0004-0000-1800-000046000000}"/>
    <hyperlink ref="G77" r:id="rId71" xr:uid="{00000000-0004-0000-1800-000047000000}"/>
    <hyperlink ref="G78" r:id="rId72" xr:uid="{00000000-0004-0000-1800-000048000000}"/>
    <hyperlink ref="G79" r:id="rId73" xr:uid="{00000000-0004-0000-1800-000049000000}"/>
    <hyperlink ref="G80" r:id="rId74" xr:uid="{00000000-0004-0000-1800-00004A000000}"/>
    <hyperlink ref="G81" r:id="rId75" xr:uid="{00000000-0004-0000-1800-00004B000000}"/>
    <hyperlink ref="G82" r:id="rId76" xr:uid="{00000000-0004-0000-1800-00004C000000}"/>
    <hyperlink ref="G83" r:id="rId77" xr:uid="{00000000-0004-0000-1800-00004D000000}"/>
    <hyperlink ref="G84" r:id="rId78" xr:uid="{00000000-0004-0000-1800-00004E000000}"/>
    <hyperlink ref="G85" r:id="rId79" xr:uid="{00000000-0004-0000-1800-00004F000000}"/>
    <hyperlink ref="G86" r:id="rId80" xr:uid="{00000000-0004-0000-1800-000050000000}"/>
    <hyperlink ref="G87" r:id="rId81" xr:uid="{00000000-0004-0000-1800-000051000000}"/>
    <hyperlink ref="G88" r:id="rId82" xr:uid="{00000000-0004-0000-1800-000052000000}"/>
    <hyperlink ref="G89" r:id="rId83" xr:uid="{00000000-0004-0000-1800-000053000000}"/>
    <hyperlink ref="G90" r:id="rId84" xr:uid="{00000000-0004-0000-1800-000054000000}"/>
    <hyperlink ref="G91" r:id="rId85" xr:uid="{00000000-0004-0000-1800-000055000000}"/>
    <hyperlink ref="G92" r:id="rId86" xr:uid="{00000000-0004-0000-1800-000056000000}"/>
    <hyperlink ref="G93" r:id="rId87" xr:uid="{00000000-0004-0000-1800-000057000000}"/>
    <hyperlink ref="G94" r:id="rId88" location=":~:text=en%20espacios%20abiertos-,Decreto%20076%3A%20Uso%20de%20tapabocas%20no%20ser%C3%A1%20obligatorio%20en%20espacios,obligatoria%2C%20tapabocas%20en%20espacios%20abiertos." xr:uid="{00000000-0004-0000-1800-000058000000}"/>
    <hyperlink ref="G95" r:id="rId89" xr:uid="{00000000-0004-0000-1800-000059000000}"/>
  </hyperlinks>
  <pageMargins left="0.7" right="0.7" top="0.75" bottom="0.75" header="0" footer="0"/>
  <pageSetup orientation="landscape"/>
  <drawing r:id="rId90"/>
  <legacyDrawing r:id="rId9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A9D18E"/>
  </sheetPr>
  <dimension ref="A1:AC1448"/>
  <sheetViews>
    <sheetView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2" width="13.140625" customWidth="1"/>
    <col min="3" max="3" width="36" customWidth="1"/>
    <col min="4" max="4" width="15.7109375" customWidth="1"/>
    <col min="5" max="5" width="46.85546875" customWidth="1"/>
    <col min="6" max="6" width="55.28515625" customWidth="1"/>
    <col min="7" max="7" width="43.7109375" customWidth="1"/>
    <col min="8" max="9" width="20.85546875" hidden="1" customWidth="1"/>
    <col min="10" max="10" width="20.85546875" customWidth="1"/>
    <col min="11" max="11" width="18" customWidth="1"/>
    <col min="12" max="16" width="11.42578125" customWidth="1"/>
    <col min="17" max="17" width="16.28515625" customWidth="1"/>
    <col min="18" max="18" width="11.42578125" customWidth="1"/>
    <col min="19" max="19" width="15.140625" customWidth="1"/>
    <col min="20" max="29" width="11.42578125" customWidth="1"/>
  </cols>
  <sheetData>
    <row r="1" spans="1:29" ht="12" customHeight="1">
      <c r="A1" s="773"/>
      <c r="B1" s="769"/>
      <c r="C1" s="769"/>
      <c r="D1" s="769"/>
      <c r="E1" s="769"/>
      <c r="F1" s="769"/>
      <c r="G1" s="769"/>
      <c r="H1" s="769"/>
      <c r="I1" s="769"/>
      <c r="J1" s="17"/>
      <c r="K1" s="18"/>
      <c r="L1" s="18"/>
      <c r="M1" s="18"/>
      <c r="N1" s="18"/>
      <c r="O1" s="18"/>
      <c r="P1" s="18"/>
      <c r="Q1" s="18"/>
      <c r="R1" s="18"/>
      <c r="S1" s="18"/>
      <c r="T1" s="18"/>
      <c r="U1" s="18"/>
      <c r="V1" s="18"/>
      <c r="W1" s="18"/>
      <c r="X1" s="18"/>
      <c r="Y1" s="18"/>
      <c r="Z1" s="18"/>
      <c r="AA1" s="18"/>
      <c r="AB1" s="18"/>
      <c r="AC1" s="18"/>
    </row>
    <row r="2" spans="1:29" ht="41.25" customHeight="1">
      <c r="A2" s="767" t="s">
        <v>4009</v>
      </c>
      <c r="B2" s="765"/>
      <c r="C2" s="765"/>
      <c r="D2" s="765"/>
      <c r="E2" s="765"/>
      <c r="F2" s="765"/>
      <c r="G2" s="766"/>
      <c r="H2" s="15"/>
      <c r="I2" s="16"/>
      <c r="J2" s="17"/>
      <c r="K2" s="18"/>
      <c r="L2" s="18"/>
      <c r="M2" s="18"/>
      <c r="N2" s="18"/>
      <c r="O2" s="18"/>
      <c r="P2" s="18"/>
      <c r="Q2" s="18"/>
      <c r="R2" s="18"/>
      <c r="S2" s="18"/>
      <c r="T2" s="18"/>
      <c r="U2" s="18"/>
      <c r="V2" s="18"/>
      <c r="W2" s="18"/>
      <c r="X2" s="18"/>
      <c r="Y2" s="18"/>
      <c r="Z2" s="18"/>
      <c r="AA2" s="18"/>
      <c r="AB2" s="18"/>
      <c r="AC2" s="18"/>
    </row>
    <row r="3" spans="1:29" ht="27.75" customHeight="1">
      <c r="A3" s="583"/>
      <c r="B3" s="584"/>
      <c r="C3" s="584"/>
      <c r="D3" s="585"/>
      <c r="E3" s="221"/>
      <c r="F3" s="637"/>
      <c r="G3" s="638"/>
      <c r="H3" s="19"/>
      <c r="I3" s="21"/>
      <c r="J3" s="17"/>
      <c r="K3" s="18"/>
      <c r="L3" s="18"/>
      <c r="M3" s="18"/>
      <c r="N3" s="18"/>
      <c r="O3" s="18"/>
      <c r="P3" s="18"/>
      <c r="Q3" s="18"/>
      <c r="R3" s="18"/>
      <c r="S3" s="18"/>
      <c r="T3" s="18"/>
      <c r="U3" s="18"/>
      <c r="V3" s="18"/>
      <c r="W3" s="18"/>
      <c r="X3" s="18"/>
      <c r="Y3" s="18"/>
      <c r="Z3" s="18"/>
      <c r="AA3" s="18"/>
      <c r="AB3" s="18"/>
      <c r="AC3" s="18"/>
    </row>
    <row r="4" spans="1:29" ht="33" customHeight="1">
      <c r="A4" s="767" t="s">
        <v>3831</v>
      </c>
      <c r="B4" s="765"/>
      <c r="C4" s="765"/>
      <c r="D4" s="765"/>
      <c r="E4" s="765"/>
      <c r="F4" s="765"/>
      <c r="G4" s="766"/>
      <c r="H4" s="16"/>
      <c r="I4" s="22"/>
      <c r="J4" s="17"/>
      <c r="K4" s="18"/>
      <c r="L4" s="18"/>
      <c r="M4" s="18"/>
      <c r="N4" s="18"/>
      <c r="O4" s="18"/>
      <c r="P4" s="18"/>
      <c r="Q4" s="18"/>
      <c r="R4" s="18"/>
      <c r="S4" s="18"/>
      <c r="T4" s="18"/>
      <c r="U4" s="18"/>
      <c r="V4" s="18"/>
      <c r="W4" s="18"/>
      <c r="X4" s="18"/>
      <c r="Y4" s="18"/>
      <c r="Z4" s="18"/>
      <c r="AA4" s="18"/>
      <c r="AB4" s="18"/>
      <c r="AC4" s="18"/>
    </row>
    <row r="5" spans="1:29" ht="39" customHeight="1">
      <c r="A5" s="24" t="s">
        <v>1</v>
      </c>
      <c r="B5" s="24" t="s">
        <v>3832</v>
      </c>
      <c r="C5" s="24" t="s">
        <v>3833</v>
      </c>
      <c r="D5" s="24" t="s">
        <v>3834</v>
      </c>
      <c r="E5" s="23" t="s">
        <v>3835</v>
      </c>
      <c r="F5" s="23" t="s">
        <v>3836</v>
      </c>
      <c r="G5" s="23" t="s">
        <v>4010</v>
      </c>
      <c r="H5" s="26" t="s">
        <v>37</v>
      </c>
      <c r="I5" s="27" t="s">
        <v>38</v>
      </c>
      <c r="J5" s="28"/>
      <c r="K5" s="29"/>
      <c r="L5" s="29"/>
      <c r="M5" s="29"/>
      <c r="N5" s="29"/>
      <c r="O5" s="29"/>
      <c r="P5" s="29"/>
      <c r="Q5" s="29"/>
      <c r="R5" s="29"/>
      <c r="S5" s="29"/>
      <c r="T5" s="29"/>
      <c r="U5" s="29"/>
      <c r="V5" s="29"/>
      <c r="W5" s="29"/>
      <c r="X5" s="29"/>
      <c r="Y5" s="29"/>
      <c r="Z5" s="29"/>
      <c r="AA5" s="29"/>
      <c r="AB5" s="29"/>
      <c r="AC5" s="29"/>
    </row>
    <row r="6" spans="1:29" ht="68.25" customHeight="1">
      <c r="A6" s="639">
        <v>1</v>
      </c>
      <c r="B6" s="94">
        <v>18</v>
      </c>
      <c r="C6" s="640" t="s">
        <v>4011</v>
      </c>
      <c r="D6" s="590">
        <v>43900</v>
      </c>
      <c r="E6" s="641" t="s">
        <v>4012</v>
      </c>
      <c r="F6" s="641" t="s">
        <v>4013</v>
      </c>
      <c r="G6" s="642" t="s">
        <v>4014</v>
      </c>
      <c r="H6" s="643"/>
      <c r="I6" s="81"/>
      <c r="J6" s="35"/>
      <c r="K6" s="36"/>
      <c r="L6" s="36"/>
      <c r="M6" s="36"/>
      <c r="N6" s="36"/>
      <c r="O6" s="36"/>
      <c r="P6" s="36"/>
      <c r="Q6" s="36"/>
      <c r="R6" s="36"/>
      <c r="S6" s="36"/>
      <c r="T6" s="36"/>
      <c r="U6" s="36"/>
      <c r="V6" s="36"/>
      <c r="W6" s="36"/>
      <c r="X6" s="36"/>
      <c r="Y6" s="36"/>
      <c r="Z6" s="36"/>
      <c r="AA6" s="36"/>
      <c r="AB6" s="36"/>
      <c r="AC6" s="36"/>
    </row>
    <row r="7" spans="1:29" ht="23.25" customHeight="1">
      <c r="A7" s="639">
        <v>2</v>
      </c>
      <c r="B7" s="94">
        <v>2</v>
      </c>
      <c r="C7" s="640" t="s">
        <v>4015</v>
      </c>
      <c r="D7" s="590">
        <v>43902</v>
      </c>
      <c r="E7" s="641" t="s">
        <v>4016</v>
      </c>
      <c r="F7" s="641" t="s">
        <v>4017</v>
      </c>
      <c r="G7" s="642" t="s">
        <v>4018</v>
      </c>
      <c r="H7" s="643"/>
      <c r="I7" s="81"/>
      <c r="J7" s="35"/>
      <c r="K7" s="36"/>
      <c r="L7" s="36"/>
      <c r="M7" s="36"/>
      <c r="N7" s="36"/>
      <c r="O7" s="36"/>
      <c r="P7" s="36"/>
      <c r="Q7" s="36"/>
      <c r="R7" s="36"/>
      <c r="S7" s="36"/>
      <c r="T7" s="36"/>
      <c r="U7" s="36"/>
      <c r="V7" s="36"/>
      <c r="W7" s="36"/>
      <c r="X7" s="36"/>
      <c r="Y7" s="36"/>
      <c r="Z7" s="36"/>
      <c r="AA7" s="36"/>
      <c r="AB7" s="36"/>
      <c r="AC7" s="36"/>
    </row>
    <row r="8" spans="1:29" ht="24" customHeight="1">
      <c r="A8" s="639">
        <v>3</v>
      </c>
      <c r="B8" s="94">
        <v>401</v>
      </c>
      <c r="C8" s="640" t="s">
        <v>4019</v>
      </c>
      <c r="D8" s="590">
        <v>43903</v>
      </c>
      <c r="E8" s="641" t="s">
        <v>4020</v>
      </c>
      <c r="F8" s="641" t="s">
        <v>4021</v>
      </c>
      <c r="G8" s="642" t="s">
        <v>4022</v>
      </c>
      <c r="H8" s="643"/>
      <c r="I8" s="81"/>
      <c r="J8" s="35"/>
      <c r="K8" s="36"/>
      <c r="L8" s="36"/>
      <c r="M8" s="36"/>
      <c r="N8" s="36"/>
      <c r="O8" s="36"/>
      <c r="P8" s="36"/>
      <c r="Q8" s="36"/>
      <c r="R8" s="36"/>
      <c r="S8" s="36"/>
      <c r="T8" s="36"/>
      <c r="U8" s="36"/>
      <c r="V8" s="36"/>
      <c r="W8" s="36"/>
      <c r="X8" s="36"/>
      <c r="Y8" s="36"/>
      <c r="Z8" s="36"/>
      <c r="AA8" s="36"/>
      <c r="AB8" s="36"/>
      <c r="AC8" s="36"/>
    </row>
    <row r="9" spans="1:29" ht="24" customHeight="1">
      <c r="A9" s="639">
        <v>4</v>
      </c>
      <c r="B9" s="94">
        <v>400</v>
      </c>
      <c r="C9" s="640" t="s">
        <v>4023</v>
      </c>
      <c r="D9" s="590">
        <v>43903</v>
      </c>
      <c r="E9" s="641" t="s">
        <v>4024</v>
      </c>
      <c r="F9" s="641" t="s">
        <v>4025</v>
      </c>
      <c r="G9" s="642" t="s">
        <v>4026</v>
      </c>
      <c r="H9" s="643"/>
      <c r="I9" s="81"/>
      <c r="J9" s="35"/>
      <c r="K9" s="36"/>
      <c r="L9" s="36"/>
      <c r="M9" s="36"/>
      <c r="N9" s="36"/>
      <c r="O9" s="36"/>
      <c r="P9" s="36"/>
      <c r="Q9" s="36"/>
      <c r="R9" s="36"/>
      <c r="S9" s="36"/>
      <c r="T9" s="36"/>
      <c r="U9" s="36"/>
      <c r="V9" s="36"/>
      <c r="W9" s="36"/>
      <c r="X9" s="36"/>
      <c r="Y9" s="36"/>
      <c r="Z9" s="36"/>
      <c r="AA9" s="36"/>
      <c r="AB9" s="36"/>
      <c r="AC9" s="36"/>
    </row>
    <row r="10" spans="1:29" ht="48" customHeight="1">
      <c r="A10" s="639">
        <v>5</v>
      </c>
      <c r="B10" s="94">
        <v>392</v>
      </c>
      <c r="C10" s="640" t="s">
        <v>4027</v>
      </c>
      <c r="D10" s="590">
        <v>43903</v>
      </c>
      <c r="E10" s="641" t="s">
        <v>4028</v>
      </c>
      <c r="F10" s="641" t="s">
        <v>3851</v>
      </c>
      <c r="G10" s="642" t="s">
        <v>3852</v>
      </c>
      <c r="H10" s="643"/>
      <c r="I10" s="81"/>
      <c r="J10" s="35"/>
      <c r="K10" s="36"/>
      <c r="L10" s="36"/>
      <c r="M10" s="36"/>
      <c r="N10" s="36"/>
      <c r="O10" s="36"/>
      <c r="P10" s="36"/>
      <c r="Q10" s="36"/>
      <c r="R10" s="36"/>
      <c r="S10" s="36"/>
      <c r="T10" s="36"/>
      <c r="U10" s="36"/>
      <c r="V10" s="36"/>
      <c r="W10" s="36"/>
      <c r="X10" s="36"/>
      <c r="Y10" s="36"/>
      <c r="Z10" s="36"/>
      <c r="AA10" s="36"/>
      <c r="AB10" s="36"/>
      <c r="AC10" s="36"/>
    </row>
    <row r="11" spans="1:29" ht="24" customHeight="1">
      <c r="A11" s="639">
        <v>6</v>
      </c>
      <c r="B11" s="94">
        <v>407</v>
      </c>
      <c r="C11" s="640" t="s">
        <v>4029</v>
      </c>
      <c r="D11" s="590">
        <v>43903</v>
      </c>
      <c r="E11" s="641" t="s">
        <v>4030</v>
      </c>
      <c r="F11" s="641" t="s">
        <v>4031</v>
      </c>
      <c r="G11" s="642" t="s">
        <v>4032</v>
      </c>
      <c r="H11" s="643"/>
      <c r="I11" s="81"/>
      <c r="J11" s="35"/>
      <c r="K11" s="36"/>
      <c r="L11" s="36"/>
      <c r="M11" s="36"/>
      <c r="N11" s="36"/>
      <c r="O11" s="36"/>
      <c r="P11" s="36"/>
      <c r="Q11" s="36"/>
      <c r="R11" s="36"/>
      <c r="S11" s="36"/>
      <c r="T11" s="36"/>
      <c r="U11" s="36"/>
      <c r="V11" s="36"/>
      <c r="W11" s="36"/>
      <c r="X11" s="36"/>
      <c r="Y11" s="36"/>
      <c r="Z11" s="36"/>
      <c r="AA11" s="36"/>
      <c r="AB11" s="36"/>
      <c r="AC11" s="36"/>
    </row>
    <row r="12" spans="1:29" ht="24" customHeight="1">
      <c r="A12" s="639">
        <v>7</v>
      </c>
      <c r="B12" s="94">
        <v>31</v>
      </c>
      <c r="C12" s="640" t="s">
        <v>4033</v>
      </c>
      <c r="D12" s="590">
        <v>43906</v>
      </c>
      <c r="E12" s="641" t="s">
        <v>3872</v>
      </c>
      <c r="F12" s="641" t="s">
        <v>3873</v>
      </c>
      <c r="G12" s="642" t="s">
        <v>3874</v>
      </c>
      <c r="H12" s="643"/>
      <c r="I12" s="81"/>
      <c r="J12" s="35"/>
      <c r="K12" s="36"/>
      <c r="L12" s="36"/>
      <c r="M12" s="36"/>
      <c r="N12" s="36"/>
      <c r="O12" s="36"/>
      <c r="P12" s="36"/>
      <c r="Q12" s="36"/>
      <c r="R12" s="36"/>
      <c r="S12" s="36"/>
      <c r="T12" s="36"/>
      <c r="U12" s="36"/>
      <c r="V12" s="36"/>
      <c r="W12" s="36"/>
      <c r="X12" s="36"/>
      <c r="Y12" s="36"/>
      <c r="Z12" s="36"/>
      <c r="AA12" s="36"/>
      <c r="AB12" s="36"/>
      <c r="AC12" s="36"/>
    </row>
    <row r="13" spans="1:29" ht="24" customHeight="1">
      <c r="A13" s="639">
        <v>8</v>
      </c>
      <c r="B13" s="94">
        <v>3</v>
      </c>
      <c r="C13" s="640" t="s">
        <v>4034</v>
      </c>
      <c r="D13" s="590">
        <v>43906</v>
      </c>
      <c r="E13" s="641" t="s">
        <v>4035</v>
      </c>
      <c r="F13" s="641" t="s">
        <v>4036</v>
      </c>
      <c r="G13" s="642"/>
      <c r="H13" s="643"/>
      <c r="I13" s="81"/>
      <c r="J13" s="35"/>
      <c r="K13" s="36"/>
      <c r="L13" s="36"/>
      <c r="M13" s="36"/>
      <c r="N13" s="36"/>
      <c r="O13" s="36"/>
      <c r="P13" s="36"/>
      <c r="Q13" s="36"/>
      <c r="R13" s="36"/>
      <c r="S13" s="36"/>
      <c r="T13" s="36"/>
      <c r="U13" s="36"/>
      <c r="V13" s="36"/>
      <c r="W13" s="36"/>
      <c r="X13" s="36"/>
      <c r="Y13" s="36"/>
      <c r="Z13" s="36"/>
      <c r="AA13" s="36"/>
      <c r="AB13" s="36"/>
      <c r="AC13" s="36"/>
    </row>
    <row r="14" spans="1:29" ht="36" customHeight="1">
      <c r="A14" s="639">
        <v>9</v>
      </c>
      <c r="B14" s="94">
        <v>397</v>
      </c>
      <c r="C14" s="640" t="s">
        <v>4037</v>
      </c>
      <c r="D14" s="590">
        <v>43906</v>
      </c>
      <c r="E14" s="641" t="s">
        <v>4038</v>
      </c>
      <c r="F14" s="641" t="s">
        <v>3866</v>
      </c>
      <c r="G14" s="642" t="s">
        <v>3867</v>
      </c>
      <c r="H14" s="643"/>
      <c r="I14" s="81"/>
      <c r="J14" s="35"/>
      <c r="K14" s="36"/>
      <c r="L14" s="36"/>
      <c r="M14" s="36"/>
      <c r="N14" s="36"/>
      <c r="O14" s="36"/>
      <c r="P14" s="36"/>
      <c r="Q14" s="36"/>
      <c r="R14" s="36"/>
      <c r="S14" s="36"/>
      <c r="T14" s="36"/>
      <c r="U14" s="36"/>
      <c r="V14" s="36"/>
      <c r="W14" s="36"/>
      <c r="X14" s="36"/>
      <c r="Y14" s="36"/>
      <c r="Z14" s="36"/>
      <c r="AA14" s="36"/>
      <c r="AB14" s="36"/>
      <c r="AC14" s="36"/>
    </row>
    <row r="15" spans="1:29" ht="51.75" customHeight="1">
      <c r="A15" s="639">
        <v>10</v>
      </c>
      <c r="B15" s="94">
        <v>435</v>
      </c>
      <c r="C15" s="640" t="s">
        <v>4039</v>
      </c>
      <c r="D15" s="590">
        <v>43909</v>
      </c>
      <c r="E15" s="641" t="s">
        <v>4040</v>
      </c>
      <c r="F15" s="641" t="s">
        <v>4041</v>
      </c>
      <c r="G15" s="642" t="s">
        <v>4042</v>
      </c>
      <c r="H15" s="643"/>
      <c r="I15" s="81"/>
      <c r="J15" s="35"/>
      <c r="K15" s="36"/>
      <c r="L15" s="36"/>
      <c r="M15" s="36"/>
      <c r="N15" s="36"/>
      <c r="O15" s="36"/>
      <c r="P15" s="36"/>
      <c r="Q15" s="36"/>
      <c r="R15" s="36"/>
      <c r="S15" s="36"/>
      <c r="T15" s="36"/>
      <c r="U15" s="36"/>
      <c r="V15" s="36"/>
      <c r="W15" s="36"/>
      <c r="X15" s="36"/>
      <c r="Y15" s="36"/>
      <c r="Z15" s="36"/>
      <c r="AA15" s="36"/>
      <c r="AB15" s="36"/>
      <c r="AC15" s="36"/>
    </row>
    <row r="16" spans="1:29" ht="62.25" customHeight="1">
      <c r="A16" s="639">
        <v>11</v>
      </c>
      <c r="B16" s="94">
        <v>90</v>
      </c>
      <c r="C16" s="640" t="s">
        <v>4043</v>
      </c>
      <c r="D16" s="590">
        <v>43909</v>
      </c>
      <c r="E16" s="641" t="s">
        <v>3881</v>
      </c>
      <c r="F16" s="641" t="s">
        <v>4044</v>
      </c>
      <c r="G16" s="642" t="s">
        <v>3883</v>
      </c>
      <c r="H16" s="643"/>
      <c r="I16" s="81"/>
      <c r="J16" s="35"/>
      <c r="K16" s="36"/>
      <c r="L16" s="36"/>
      <c r="M16" s="36"/>
      <c r="N16" s="36"/>
      <c r="O16" s="36"/>
      <c r="P16" s="36"/>
      <c r="Q16" s="36"/>
      <c r="R16" s="36"/>
      <c r="S16" s="36"/>
      <c r="T16" s="36"/>
      <c r="U16" s="36"/>
      <c r="V16" s="36"/>
      <c r="W16" s="36"/>
      <c r="X16" s="36"/>
      <c r="Y16" s="36"/>
      <c r="Z16" s="36"/>
      <c r="AA16" s="36"/>
      <c r="AB16" s="36"/>
      <c r="AC16" s="36"/>
    </row>
    <row r="17" spans="1:29" ht="63.75" customHeight="1">
      <c r="A17" s="639">
        <v>12</v>
      </c>
      <c r="B17" s="94">
        <v>139</v>
      </c>
      <c r="C17" s="640" t="s">
        <v>4045</v>
      </c>
      <c r="D17" s="590">
        <v>43909</v>
      </c>
      <c r="E17" s="641" t="s">
        <v>3884</v>
      </c>
      <c r="F17" s="641" t="s">
        <v>3885</v>
      </c>
      <c r="G17" s="642" t="s">
        <v>3886</v>
      </c>
      <c r="H17" s="643"/>
      <c r="I17" s="81"/>
      <c r="J17" s="35"/>
      <c r="K17" s="36"/>
      <c r="L17" s="36"/>
      <c r="M17" s="36"/>
      <c r="N17" s="36"/>
      <c r="O17" s="36"/>
      <c r="P17" s="36"/>
      <c r="Q17" s="36"/>
      <c r="R17" s="36"/>
      <c r="S17" s="36"/>
      <c r="T17" s="36"/>
      <c r="U17" s="36"/>
      <c r="V17" s="36"/>
      <c r="W17" s="36"/>
      <c r="X17" s="36"/>
      <c r="Y17" s="36"/>
      <c r="Z17" s="36"/>
      <c r="AA17" s="36"/>
      <c r="AB17" s="36"/>
      <c r="AC17" s="36"/>
    </row>
    <row r="18" spans="1:29" ht="24" customHeight="1">
      <c r="A18" s="639">
        <v>13</v>
      </c>
      <c r="B18" s="94">
        <v>140</v>
      </c>
      <c r="C18" s="640" t="s">
        <v>4046</v>
      </c>
      <c r="D18" s="590">
        <v>43909</v>
      </c>
      <c r="E18" s="641" t="s">
        <v>696</v>
      </c>
      <c r="F18" s="641" t="s">
        <v>3887</v>
      </c>
      <c r="G18" s="642" t="s">
        <v>3888</v>
      </c>
      <c r="H18" s="643"/>
      <c r="I18" s="81"/>
      <c r="J18" s="35"/>
      <c r="K18" s="36"/>
      <c r="L18" s="36"/>
      <c r="M18" s="36"/>
      <c r="N18" s="36"/>
      <c r="O18" s="36"/>
      <c r="P18" s="36"/>
      <c r="Q18" s="36"/>
      <c r="R18" s="36"/>
      <c r="S18" s="36"/>
      <c r="T18" s="36"/>
      <c r="U18" s="36"/>
      <c r="V18" s="36"/>
      <c r="W18" s="36"/>
      <c r="X18" s="36"/>
      <c r="Y18" s="36"/>
      <c r="Z18" s="36"/>
      <c r="AA18" s="36"/>
      <c r="AB18" s="36"/>
      <c r="AC18" s="36"/>
    </row>
    <row r="19" spans="1:29" ht="24" customHeight="1">
      <c r="A19" s="639">
        <v>14</v>
      </c>
      <c r="B19" s="94">
        <v>440</v>
      </c>
      <c r="C19" s="640" t="s">
        <v>4047</v>
      </c>
      <c r="D19" s="590">
        <v>43910</v>
      </c>
      <c r="E19" s="641" t="s">
        <v>4048</v>
      </c>
      <c r="F19" s="641" t="s">
        <v>4049</v>
      </c>
      <c r="G19" s="642" t="s">
        <v>4050</v>
      </c>
      <c r="H19" s="643"/>
      <c r="I19" s="81"/>
      <c r="J19" s="35"/>
      <c r="K19" s="36"/>
      <c r="L19" s="36"/>
      <c r="M19" s="36"/>
      <c r="N19" s="36"/>
      <c r="O19" s="36"/>
      <c r="P19" s="36"/>
      <c r="Q19" s="36"/>
      <c r="R19" s="36"/>
      <c r="S19" s="36"/>
      <c r="T19" s="36"/>
      <c r="U19" s="36"/>
      <c r="V19" s="36"/>
      <c r="W19" s="36"/>
      <c r="X19" s="36"/>
      <c r="Y19" s="36"/>
      <c r="Z19" s="36"/>
      <c r="AA19" s="36"/>
      <c r="AB19" s="36"/>
      <c r="AC19" s="36"/>
    </row>
    <row r="20" spans="1:29" ht="24" customHeight="1">
      <c r="A20" s="639">
        <v>15</v>
      </c>
      <c r="B20" s="94">
        <v>457</v>
      </c>
      <c r="C20" s="640" t="s">
        <v>4051</v>
      </c>
      <c r="D20" s="590">
        <v>43912</v>
      </c>
      <c r="E20" s="641" t="s">
        <v>4052</v>
      </c>
      <c r="F20" s="641" t="s">
        <v>4053</v>
      </c>
      <c r="G20" s="642" t="s">
        <v>4054</v>
      </c>
      <c r="H20" s="643"/>
      <c r="I20" s="81"/>
      <c r="J20" s="35"/>
      <c r="K20" s="36"/>
      <c r="L20" s="36"/>
      <c r="M20" s="36"/>
      <c r="N20" s="36"/>
      <c r="O20" s="36"/>
      <c r="P20" s="36"/>
      <c r="Q20" s="36"/>
      <c r="R20" s="36"/>
      <c r="S20" s="36"/>
      <c r="T20" s="36"/>
      <c r="U20" s="36"/>
      <c r="V20" s="36"/>
      <c r="W20" s="36"/>
      <c r="X20" s="36"/>
      <c r="Y20" s="36"/>
      <c r="Z20" s="36"/>
      <c r="AA20" s="36"/>
      <c r="AB20" s="36"/>
      <c r="AC20" s="36"/>
    </row>
    <row r="21" spans="1:29" ht="24" customHeight="1">
      <c r="A21" s="639">
        <v>16</v>
      </c>
      <c r="B21" s="94">
        <v>141</v>
      </c>
      <c r="C21" s="640" t="s">
        <v>4055</v>
      </c>
      <c r="D21" s="590">
        <v>43914</v>
      </c>
      <c r="E21" s="641" t="s">
        <v>4056</v>
      </c>
      <c r="F21" s="641" t="s">
        <v>3887</v>
      </c>
      <c r="G21" s="642" t="s">
        <v>3894</v>
      </c>
      <c r="H21" s="643"/>
      <c r="I21" s="81"/>
      <c r="J21" s="35"/>
      <c r="K21" s="36"/>
      <c r="L21" s="36"/>
      <c r="M21" s="36"/>
      <c r="N21" s="36"/>
      <c r="O21" s="36"/>
      <c r="P21" s="36"/>
      <c r="Q21" s="36"/>
      <c r="R21" s="36"/>
      <c r="S21" s="36"/>
      <c r="T21" s="36"/>
      <c r="U21" s="36"/>
      <c r="V21" s="36"/>
      <c r="W21" s="36"/>
      <c r="X21" s="36"/>
      <c r="Y21" s="36"/>
      <c r="Z21" s="36"/>
      <c r="AA21" s="36"/>
      <c r="AB21" s="36"/>
      <c r="AC21" s="36"/>
    </row>
    <row r="22" spans="1:29" ht="24" customHeight="1">
      <c r="A22" s="639">
        <v>17</v>
      </c>
      <c r="B22" s="94">
        <v>93</v>
      </c>
      <c r="C22" s="640" t="s">
        <v>4057</v>
      </c>
      <c r="D22" s="590">
        <v>43915</v>
      </c>
      <c r="E22" s="641" t="s">
        <v>3898</v>
      </c>
      <c r="F22" s="641" t="s">
        <v>3899</v>
      </c>
      <c r="G22" s="642" t="s">
        <v>3900</v>
      </c>
      <c r="H22" s="643"/>
      <c r="I22" s="81"/>
      <c r="J22" s="35"/>
      <c r="K22" s="36"/>
      <c r="L22" s="36"/>
      <c r="M22" s="36"/>
      <c r="N22" s="36"/>
      <c r="O22" s="36"/>
      <c r="P22" s="36"/>
      <c r="Q22" s="36"/>
      <c r="R22" s="36"/>
      <c r="S22" s="36"/>
      <c r="T22" s="36"/>
      <c r="U22" s="36"/>
      <c r="V22" s="36"/>
      <c r="W22" s="36"/>
      <c r="X22" s="36"/>
      <c r="Y22" s="36"/>
      <c r="Z22" s="36"/>
      <c r="AA22" s="36"/>
      <c r="AB22" s="36"/>
      <c r="AC22" s="36"/>
    </row>
    <row r="23" spans="1:29" ht="50.25" customHeight="1">
      <c r="A23" s="639">
        <v>18</v>
      </c>
      <c r="B23" s="94">
        <v>475</v>
      </c>
      <c r="C23" s="640" t="s">
        <v>4058</v>
      </c>
      <c r="D23" s="590">
        <v>43915</v>
      </c>
      <c r="E23" s="641" t="s">
        <v>4059</v>
      </c>
      <c r="F23" s="641" t="s">
        <v>4060</v>
      </c>
      <c r="G23" s="642" t="s">
        <v>4061</v>
      </c>
      <c r="H23" s="643"/>
      <c r="I23" s="81"/>
      <c r="J23" s="35"/>
      <c r="K23" s="36"/>
      <c r="L23" s="36"/>
      <c r="M23" s="36"/>
      <c r="N23" s="36"/>
      <c r="O23" s="36"/>
      <c r="P23" s="36"/>
      <c r="Q23" s="36"/>
      <c r="R23" s="36"/>
      <c r="S23" s="36"/>
      <c r="T23" s="36"/>
      <c r="U23" s="36"/>
      <c r="V23" s="36"/>
      <c r="W23" s="36"/>
      <c r="X23" s="36"/>
      <c r="Y23" s="36"/>
      <c r="Z23" s="36"/>
      <c r="AA23" s="36"/>
      <c r="AB23" s="36"/>
      <c r="AC23" s="36"/>
    </row>
    <row r="24" spans="1:29" ht="69.75" customHeight="1">
      <c r="A24" s="639">
        <v>19</v>
      </c>
      <c r="B24" s="94">
        <v>491</v>
      </c>
      <c r="C24" s="640" t="s">
        <v>4062</v>
      </c>
      <c r="D24" s="590">
        <v>43918</v>
      </c>
      <c r="E24" s="641" t="s">
        <v>4063</v>
      </c>
      <c r="F24" s="641" t="s">
        <v>4064</v>
      </c>
      <c r="G24" s="642" t="s">
        <v>4065</v>
      </c>
      <c r="H24" s="643"/>
      <c r="I24" s="81"/>
      <c r="J24" s="35"/>
      <c r="K24" s="36"/>
      <c r="L24" s="36"/>
      <c r="M24" s="36"/>
      <c r="N24" s="36"/>
      <c r="O24" s="36"/>
      <c r="P24" s="36"/>
      <c r="Q24" s="36"/>
      <c r="R24" s="36"/>
      <c r="S24" s="36"/>
      <c r="T24" s="36"/>
      <c r="U24" s="36"/>
      <c r="V24" s="36"/>
      <c r="W24" s="36"/>
      <c r="X24" s="36"/>
      <c r="Y24" s="36"/>
      <c r="Z24" s="36"/>
      <c r="AA24" s="36"/>
      <c r="AB24" s="36"/>
      <c r="AC24" s="36"/>
    </row>
    <row r="25" spans="1:29" ht="41.25" customHeight="1">
      <c r="A25" s="639">
        <v>20</v>
      </c>
      <c r="B25" s="94">
        <v>498</v>
      </c>
      <c r="C25" s="640" t="s">
        <v>4066</v>
      </c>
      <c r="D25" s="590">
        <v>43920</v>
      </c>
      <c r="E25" s="641" t="s">
        <v>4067</v>
      </c>
      <c r="F25" s="641" t="s">
        <v>4068</v>
      </c>
      <c r="G25" s="642" t="s">
        <v>4069</v>
      </c>
      <c r="H25" s="643"/>
      <c r="I25" s="81"/>
      <c r="J25" s="35"/>
      <c r="K25" s="36"/>
      <c r="L25" s="36"/>
      <c r="M25" s="36"/>
      <c r="N25" s="36"/>
      <c r="O25" s="36"/>
      <c r="P25" s="36"/>
      <c r="Q25" s="36"/>
      <c r="R25" s="36"/>
      <c r="S25" s="36"/>
      <c r="T25" s="36"/>
      <c r="U25" s="36"/>
      <c r="V25" s="36"/>
      <c r="W25" s="36"/>
      <c r="X25" s="36"/>
      <c r="Y25" s="36"/>
      <c r="Z25" s="36"/>
      <c r="AA25" s="36"/>
      <c r="AB25" s="36"/>
      <c r="AC25" s="36"/>
    </row>
    <row r="26" spans="1:29" ht="94.5" customHeight="1">
      <c r="A26" s="639">
        <v>21</v>
      </c>
      <c r="B26" s="94">
        <v>200</v>
      </c>
      <c r="C26" s="640" t="s">
        <v>4070</v>
      </c>
      <c r="D26" s="590">
        <v>43927</v>
      </c>
      <c r="E26" s="641" t="s">
        <v>4071</v>
      </c>
      <c r="F26" s="641" t="s">
        <v>4072</v>
      </c>
      <c r="G26" s="642" t="s">
        <v>3910</v>
      </c>
      <c r="H26" s="643"/>
      <c r="I26" s="81"/>
      <c r="J26" s="35"/>
      <c r="K26" s="36"/>
      <c r="L26" s="36"/>
      <c r="M26" s="36"/>
      <c r="N26" s="36"/>
      <c r="O26" s="36"/>
      <c r="P26" s="36"/>
      <c r="Q26" s="36"/>
      <c r="R26" s="36"/>
      <c r="S26" s="36"/>
      <c r="T26" s="36"/>
      <c r="U26" s="36"/>
      <c r="V26" s="36"/>
      <c r="W26" s="36"/>
      <c r="X26" s="36"/>
      <c r="Y26" s="36"/>
      <c r="Z26" s="36"/>
      <c r="AA26" s="36"/>
      <c r="AB26" s="36"/>
      <c r="AC26" s="36"/>
    </row>
    <row r="27" spans="1:29" ht="60" customHeight="1">
      <c r="A27" s="639">
        <v>22</v>
      </c>
      <c r="B27" s="94">
        <v>531</v>
      </c>
      <c r="C27" s="640" t="s">
        <v>4073</v>
      </c>
      <c r="D27" s="590">
        <v>43929</v>
      </c>
      <c r="E27" s="641" t="s">
        <v>4074</v>
      </c>
      <c r="F27" s="641" t="s">
        <v>4075</v>
      </c>
      <c r="G27" s="642" t="s">
        <v>4076</v>
      </c>
      <c r="H27" s="643"/>
      <c r="I27" s="81"/>
      <c r="J27" s="35"/>
      <c r="K27" s="36"/>
      <c r="L27" s="36"/>
      <c r="M27" s="36"/>
      <c r="N27" s="36"/>
      <c r="O27" s="36"/>
      <c r="P27" s="36"/>
      <c r="Q27" s="36"/>
      <c r="R27" s="36"/>
      <c r="S27" s="36"/>
      <c r="T27" s="36"/>
      <c r="U27" s="36"/>
      <c r="V27" s="36"/>
      <c r="W27" s="36"/>
      <c r="X27" s="36"/>
      <c r="Y27" s="36"/>
      <c r="Z27" s="36"/>
      <c r="AA27" s="36"/>
      <c r="AB27" s="36"/>
      <c r="AC27" s="36"/>
    </row>
    <row r="28" spans="1:29" ht="36" customHeight="1">
      <c r="A28" s="639">
        <v>23</v>
      </c>
      <c r="B28" s="94">
        <v>106</v>
      </c>
      <c r="C28" s="640" t="s">
        <v>4077</v>
      </c>
      <c r="D28" s="590">
        <v>43929</v>
      </c>
      <c r="E28" s="641" t="s">
        <v>4078</v>
      </c>
      <c r="F28" s="641" t="s">
        <v>4079</v>
      </c>
      <c r="G28" s="642" t="s">
        <v>4080</v>
      </c>
      <c r="H28" s="643"/>
      <c r="I28" s="81"/>
      <c r="J28" s="35"/>
      <c r="K28" s="36"/>
      <c r="L28" s="36"/>
      <c r="M28" s="36"/>
      <c r="N28" s="36"/>
      <c r="O28" s="36"/>
      <c r="P28" s="36"/>
      <c r="Q28" s="36"/>
      <c r="R28" s="36"/>
      <c r="S28" s="36"/>
      <c r="T28" s="36"/>
      <c r="U28" s="36"/>
      <c r="V28" s="36"/>
      <c r="W28" s="36"/>
      <c r="X28" s="36"/>
      <c r="Y28" s="36"/>
      <c r="Z28" s="36"/>
      <c r="AA28" s="36"/>
      <c r="AB28" s="36"/>
      <c r="AC28" s="36"/>
    </row>
    <row r="29" spans="1:29" ht="24" customHeight="1">
      <c r="A29" s="639">
        <v>24</v>
      </c>
      <c r="B29" s="94">
        <v>537</v>
      </c>
      <c r="C29" s="640" t="s">
        <v>4081</v>
      </c>
      <c r="D29" s="590">
        <v>43933</v>
      </c>
      <c r="E29" s="641" t="s">
        <v>4082</v>
      </c>
      <c r="F29" s="641" t="s">
        <v>4083</v>
      </c>
      <c r="G29" s="642" t="s">
        <v>4084</v>
      </c>
      <c r="H29" s="643"/>
      <c r="I29" s="81"/>
      <c r="J29" s="35"/>
      <c r="K29" s="36"/>
      <c r="L29" s="36"/>
      <c r="M29" s="36"/>
      <c r="N29" s="36"/>
      <c r="O29" s="36"/>
      <c r="P29" s="36"/>
      <c r="Q29" s="36"/>
      <c r="R29" s="36"/>
      <c r="S29" s="36"/>
      <c r="T29" s="36"/>
      <c r="U29" s="36"/>
      <c r="V29" s="36"/>
      <c r="W29" s="36"/>
      <c r="X29" s="36"/>
      <c r="Y29" s="36"/>
      <c r="Z29" s="36"/>
      <c r="AA29" s="36"/>
      <c r="AB29" s="36"/>
      <c r="AC29" s="36"/>
    </row>
    <row r="30" spans="1:29" ht="34.5" customHeight="1">
      <c r="A30" s="639">
        <v>25</v>
      </c>
      <c r="B30" s="94">
        <v>538</v>
      </c>
      <c r="C30" s="640" t="s">
        <v>4085</v>
      </c>
      <c r="D30" s="590">
        <v>43934</v>
      </c>
      <c r="E30" s="641" t="s">
        <v>4086</v>
      </c>
      <c r="F30" s="641" t="s">
        <v>4087</v>
      </c>
      <c r="G30" s="642" t="s">
        <v>4088</v>
      </c>
      <c r="H30" s="643"/>
      <c r="I30" s="81"/>
      <c r="J30" s="35"/>
      <c r="K30" s="36"/>
      <c r="L30" s="36"/>
      <c r="M30" s="36"/>
      <c r="N30" s="36"/>
      <c r="O30" s="36"/>
      <c r="P30" s="36"/>
      <c r="Q30" s="36"/>
      <c r="R30" s="36"/>
      <c r="S30" s="36"/>
      <c r="T30" s="36"/>
      <c r="U30" s="36"/>
      <c r="V30" s="36"/>
      <c r="W30" s="36"/>
      <c r="X30" s="36"/>
      <c r="Y30" s="36"/>
      <c r="Z30" s="36"/>
      <c r="AA30" s="36"/>
      <c r="AB30" s="36"/>
      <c r="AC30" s="36"/>
    </row>
    <row r="31" spans="1:29" ht="36" customHeight="1">
      <c r="A31" s="639">
        <v>26</v>
      </c>
      <c r="B31" s="94">
        <v>145</v>
      </c>
      <c r="C31" s="640" t="s">
        <v>4089</v>
      </c>
      <c r="D31" s="590">
        <v>43934</v>
      </c>
      <c r="E31" s="641" t="s">
        <v>3913</v>
      </c>
      <c r="F31" s="641" t="s">
        <v>3887</v>
      </c>
      <c r="G31" s="642" t="s">
        <v>3914</v>
      </c>
      <c r="H31" s="643"/>
      <c r="I31" s="81"/>
      <c r="J31" s="35"/>
      <c r="K31" s="36"/>
      <c r="L31" s="36"/>
      <c r="M31" s="36"/>
      <c r="N31" s="36"/>
      <c r="O31" s="36"/>
      <c r="P31" s="36"/>
      <c r="Q31" s="36"/>
      <c r="R31" s="36"/>
      <c r="S31" s="36"/>
      <c r="T31" s="36"/>
      <c r="U31" s="36"/>
      <c r="V31" s="36"/>
      <c r="W31" s="36"/>
      <c r="X31" s="36"/>
      <c r="Y31" s="36"/>
      <c r="Z31" s="36"/>
      <c r="AA31" s="36"/>
      <c r="AB31" s="36"/>
      <c r="AC31" s="36"/>
    </row>
    <row r="32" spans="1:29" ht="60" customHeight="1">
      <c r="A32" s="639">
        <v>27</v>
      </c>
      <c r="B32" s="94">
        <v>558</v>
      </c>
      <c r="C32" s="640" t="s">
        <v>4090</v>
      </c>
      <c r="D32" s="590">
        <v>43936</v>
      </c>
      <c r="E32" s="641" t="s">
        <v>4091</v>
      </c>
      <c r="F32" s="641" t="s">
        <v>4092</v>
      </c>
      <c r="G32" s="642" t="s">
        <v>4093</v>
      </c>
      <c r="H32" s="643"/>
      <c r="I32" s="81"/>
      <c r="J32" s="35"/>
      <c r="K32" s="36"/>
      <c r="L32" s="36"/>
      <c r="M32" s="36"/>
      <c r="N32" s="36"/>
      <c r="O32" s="36"/>
      <c r="P32" s="36"/>
      <c r="Q32" s="36"/>
      <c r="R32" s="36"/>
      <c r="S32" s="36"/>
      <c r="T32" s="36"/>
      <c r="U32" s="36"/>
      <c r="V32" s="36"/>
      <c r="W32" s="36"/>
      <c r="X32" s="36"/>
      <c r="Y32" s="36"/>
      <c r="Z32" s="36"/>
      <c r="AA32" s="36"/>
      <c r="AB32" s="36"/>
      <c r="AC32" s="36"/>
    </row>
    <row r="33" spans="1:29" ht="24" customHeight="1">
      <c r="A33" s="639">
        <v>28</v>
      </c>
      <c r="B33" s="94">
        <v>568</v>
      </c>
      <c r="C33" s="640" t="s">
        <v>4094</v>
      </c>
      <c r="D33" s="590">
        <v>43936</v>
      </c>
      <c r="E33" s="641" t="s">
        <v>4095</v>
      </c>
      <c r="F33" s="641" t="s">
        <v>4096</v>
      </c>
      <c r="G33" s="642" t="s">
        <v>4097</v>
      </c>
      <c r="H33" s="643"/>
      <c r="I33" s="81"/>
      <c r="J33" s="35"/>
      <c r="K33" s="36"/>
      <c r="L33" s="36"/>
      <c r="M33" s="36"/>
      <c r="N33" s="36"/>
      <c r="O33" s="36"/>
      <c r="P33" s="36"/>
      <c r="Q33" s="36"/>
      <c r="R33" s="36"/>
      <c r="S33" s="36"/>
      <c r="T33" s="36"/>
      <c r="U33" s="36"/>
      <c r="V33" s="36"/>
      <c r="W33" s="36"/>
      <c r="X33" s="36"/>
      <c r="Y33" s="36"/>
      <c r="Z33" s="36"/>
      <c r="AA33" s="36"/>
      <c r="AB33" s="36"/>
      <c r="AC33" s="36"/>
    </row>
    <row r="34" spans="1:29" ht="48" customHeight="1">
      <c r="A34" s="639">
        <v>29</v>
      </c>
      <c r="B34" s="94">
        <v>561</v>
      </c>
      <c r="C34" s="640" t="s">
        <v>4098</v>
      </c>
      <c r="D34" s="590">
        <v>43936</v>
      </c>
      <c r="E34" s="641" t="s">
        <v>4099</v>
      </c>
      <c r="F34" s="641" t="s">
        <v>4041</v>
      </c>
      <c r="G34" s="642" t="s">
        <v>4100</v>
      </c>
      <c r="H34" s="643"/>
      <c r="I34" s="81"/>
      <c r="J34" s="35"/>
      <c r="K34" s="36"/>
      <c r="L34" s="36"/>
      <c r="M34" s="36"/>
      <c r="N34" s="36"/>
      <c r="O34" s="36"/>
      <c r="P34" s="36"/>
      <c r="Q34" s="36"/>
      <c r="R34" s="36"/>
      <c r="S34" s="36"/>
      <c r="T34" s="36"/>
      <c r="U34" s="36"/>
      <c r="V34" s="36"/>
      <c r="W34" s="36"/>
      <c r="X34" s="36"/>
      <c r="Y34" s="36"/>
      <c r="Z34" s="36"/>
      <c r="AA34" s="36"/>
      <c r="AB34" s="36"/>
      <c r="AC34" s="36"/>
    </row>
    <row r="35" spans="1:29" ht="24" customHeight="1">
      <c r="A35" s="639">
        <v>30</v>
      </c>
      <c r="B35" s="94">
        <v>564</v>
      </c>
      <c r="C35" s="640" t="s">
        <v>4101</v>
      </c>
      <c r="D35" s="590">
        <v>43936</v>
      </c>
      <c r="E35" s="641" t="s">
        <v>4102</v>
      </c>
      <c r="F35" s="641" t="s">
        <v>4103</v>
      </c>
      <c r="G35" s="642" t="s">
        <v>4104</v>
      </c>
      <c r="H35" s="643"/>
      <c r="I35" s="81"/>
      <c r="J35" s="35"/>
      <c r="K35" s="36"/>
      <c r="L35" s="36"/>
      <c r="M35" s="36"/>
      <c r="N35" s="36"/>
      <c r="O35" s="36"/>
      <c r="P35" s="36"/>
      <c r="Q35" s="36"/>
      <c r="R35" s="36"/>
      <c r="S35" s="36"/>
      <c r="T35" s="36"/>
      <c r="U35" s="36"/>
      <c r="V35" s="36"/>
      <c r="W35" s="36"/>
      <c r="X35" s="36"/>
      <c r="Y35" s="36"/>
      <c r="Z35" s="36"/>
      <c r="AA35" s="36"/>
      <c r="AB35" s="36"/>
      <c r="AC35" s="36"/>
    </row>
    <row r="36" spans="1:29" ht="82.5" customHeight="1">
      <c r="A36" s="639">
        <v>31</v>
      </c>
      <c r="B36" s="94">
        <v>666</v>
      </c>
      <c r="C36" s="640" t="s">
        <v>4105</v>
      </c>
      <c r="D36" s="590">
        <v>43945</v>
      </c>
      <c r="E36" s="641" t="s">
        <v>4106</v>
      </c>
      <c r="F36" s="641" t="s">
        <v>4107</v>
      </c>
      <c r="G36" s="642" t="s">
        <v>4108</v>
      </c>
      <c r="H36" s="643"/>
      <c r="I36" s="81"/>
      <c r="J36" s="35"/>
      <c r="K36" s="36"/>
      <c r="L36" s="36"/>
      <c r="M36" s="36"/>
      <c r="N36" s="36"/>
      <c r="O36" s="36"/>
      <c r="P36" s="36"/>
      <c r="Q36" s="36"/>
      <c r="R36" s="36"/>
      <c r="S36" s="36"/>
      <c r="T36" s="36"/>
      <c r="U36" s="36"/>
      <c r="V36" s="36"/>
      <c r="W36" s="36"/>
      <c r="X36" s="36"/>
      <c r="Y36" s="36"/>
      <c r="Z36" s="36"/>
      <c r="AA36" s="36"/>
      <c r="AB36" s="36"/>
      <c r="AC36" s="36"/>
    </row>
    <row r="37" spans="1:29" ht="36" customHeight="1">
      <c r="A37" s="639">
        <v>32</v>
      </c>
      <c r="B37" s="94">
        <v>593</v>
      </c>
      <c r="C37" s="640" t="s">
        <v>4109</v>
      </c>
      <c r="D37" s="590">
        <v>43945</v>
      </c>
      <c r="E37" s="641" t="s">
        <v>4074</v>
      </c>
      <c r="F37" s="641" t="s">
        <v>4110</v>
      </c>
      <c r="G37" s="642" t="s">
        <v>4111</v>
      </c>
      <c r="H37" s="643"/>
      <c r="I37" s="81"/>
      <c r="J37" s="35"/>
      <c r="K37" s="36"/>
      <c r="L37" s="36"/>
      <c r="M37" s="36"/>
      <c r="N37" s="36"/>
      <c r="O37" s="36"/>
      <c r="P37" s="36"/>
      <c r="Q37" s="36"/>
      <c r="R37" s="36"/>
      <c r="S37" s="36"/>
      <c r="T37" s="36"/>
      <c r="U37" s="36"/>
      <c r="V37" s="36"/>
      <c r="W37" s="36"/>
      <c r="X37" s="36"/>
      <c r="Y37" s="36"/>
      <c r="Z37" s="36"/>
      <c r="AA37" s="36"/>
      <c r="AB37" s="36"/>
      <c r="AC37" s="36"/>
    </row>
    <row r="38" spans="1:29" ht="24" customHeight="1">
      <c r="A38" s="639">
        <v>33</v>
      </c>
      <c r="B38" s="94">
        <v>11546</v>
      </c>
      <c r="C38" s="640" t="s">
        <v>4112</v>
      </c>
      <c r="D38" s="590">
        <v>43946</v>
      </c>
      <c r="E38" s="641" t="s">
        <v>4113</v>
      </c>
      <c r="F38" s="641" t="s">
        <v>4114</v>
      </c>
      <c r="G38" s="642" t="s">
        <v>4115</v>
      </c>
      <c r="H38" s="643"/>
      <c r="I38" s="81"/>
      <c r="J38" s="35"/>
      <c r="K38" s="36"/>
      <c r="L38" s="36"/>
      <c r="M38" s="36"/>
      <c r="N38" s="36"/>
      <c r="O38" s="36"/>
      <c r="P38" s="36"/>
      <c r="Q38" s="36"/>
      <c r="R38" s="36"/>
      <c r="S38" s="36"/>
      <c r="T38" s="36"/>
      <c r="U38" s="36"/>
      <c r="V38" s="36"/>
      <c r="W38" s="36"/>
      <c r="X38" s="36"/>
      <c r="Y38" s="36"/>
      <c r="Z38" s="36"/>
      <c r="AA38" s="36"/>
      <c r="AB38" s="36"/>
      <c r="AC38" s="36"/>
    </row>
    <row r="39" spans="1:29" ht="24" customHeight="1">
      <c r="A39" s="639">
        <v>34</v>
      </c>
      <c r="B39" s="94">
        <v>3527</v>
      </c>
      <c r="C39" s="640" t="s">
        <v>4116</v>
      </c>
      <c r="D39" s="590">
        <v>43946</v>
      </c>
      <c r="E39" s="641" t="s">
        <v>3667</v>
      </c>
      <c r="F39" s="641" t="s">
        <v>3669</v>
      </c>
      <c r="G39" s="642" t="s">
        <v>4117</v>
      </c>
      <c r="H39" s="643"/>
      <c r="I39" s="81"/>
      <c r="J39" s="35"/>
      <c r="K39" s="36"/>
      <c r="L39" s="36"/>
      <c r="M39" s="36"/>
      <c r="N39" s="36"/>
      <c r="O39" s="36"/>
      <c r="P39" s="36"/>
      <c r="Q39" s="36"/>
      <c r="R39" s="36"/>
      <c r="S39" s="36"/>
      <c r="T39" s="36"/>
      <c r="U39" s="36"/>
      <c r="V39" s="36"/>
      <c r="W39" s="36"/>
      <c r="X39" s="36"/>
      <c r="Y39" s="36"/>
      <c r="Z39" s="36"/>
      <c r="AA39" s="36"/>
      <c r="AB39" s="36"/>
      <c r="AC39" s="36"/>
    </row>
    <row r="40" spans="1:29" ht="24" customHeight="1">
      <c r="A40" s="639">
        <v>35</v>
      </c>
      <c r="B40" s="94">
        <v>3659</v>
      </c>
      <c r="C40" s="640" t="s">
        <v>4118</v>
      </c>
      <c r="D40" s="590">
        <v>43953</v>
      </c>
      <c r="E40" s="641" t="s">
        <v>3671</v>
      </c>
      <c r="F40" s="641" t="s">
        <v>4119</v>
      </c>
      <c r="G40" s="642" t="s">
        <v>4120</v>
      </c>
      <c r="H40" s="643"/>
      <c r="I40" s="81"/>
      <c r="J40" s="35"/>
      <c r="K40" s="36"/>
      <c r="L40" s="36"/>
      <c r="M40" s="36"/>
      <c r="N40" s="36"/>
      <c r="O40" s="36"/>
      <c r="P40" s="36"/>
      <c r="Q40" s="36"/>
      <c r="R40" s="36"/>
      <c r="S40" s="36"/>
      <c r="T40" s="36"/>
      <c r="U40" s="36"/>
      <c r="V40" s="36"/>
      <c r="W40" s="36"/>
      <c r="X40" s="36"/>
      <c r="Y40" s="36"/>
      <c r="Z40" s="36"/>
      <c r="AA40" s="36"/>
      <c r="AB40" s="36"/>
      <c r="AC40" s="36"/>
    </row>
    <row r="41" spans="1:29" ht="24" customHeight="1">
      <c r="A41" s="639">
        <v>36</v>
      </c>
      <c r="B41" s="94">
        <v>151</v>
      </c>
      <c r="C41" s="640" t="s">
        <v>4121</v>
      </c>
      <c r="D41" s="590">
        <v>43955</v>
      </c>
      <c r="E41" s="641" t="s">
        <v>4122</v>
      </c>
      <c r="F41" s="641" t="s">
        <v>2884</v>
      </c>
      <c r="G41" s="642" t="s">
        <v>4123</v>
      </c>
      <c r="H41" s="643"/>
      <c r="I41" s="81"/>
      <c r="J41" s="35"/>
      <c r="K41" s="36"/>
      <c r="L41" s="36"/>
      <c r="M41" s="36"/>
      <c r="N41" s="36"/>
      <c r="O41" s="36"/>
      <c r="P41" s="36"/>
      <c r="Q41" s="36"/>
      <c r="R41" s="36"/>
      <c r="S41" s="36"/>
      <c r="T41" s="36"/>
      <c r="U41" s="36"/>
      <c r="V41" s="36"/>
      <c r="W41" s="36"/>
      <c r="X41" s="36"/>
      <c r="Y41" s="36"/>
      <c r="Z41" s="36"/>
      <c r="AA41" s="36"/>
      <c r="AB41" s="36"/>
      <c r="AC41" s="36"/>
    </row>
    <row r="42" spans="1:29" ht="45" customHeight="1">
      <c r="A42" s="639">
        <v>37</v>
      </c>
      <c r="B42" s="94" t="s">
        <v>4124</v>
      </c>
      <c r="C42" s="640" t="s">
        <v>4125</v>
      </c>
      <c r="D42" s="590">
        <v>43958</v>
      </c>
      <c r="E42" s="641" t="s">
        <v>4126</v>
      </c>
      <c r="F42" s="641" t="s">
        <v>4127</v>
      </c>
      <c r="G42" s="642" t="s">
        <v>4128</v>
      </c>
      <c r="H42" s="643"/>
      <c r="I42" s="81"/>
      <c r="J42" s="35"/>
      <c r="K42" s="36"/>
      <c r="L42" s="36"/>
      <c r="M42" s="36"/>
      <c r="N42" s="36"/>
      <c r="O42" s="36"/>
      <c r="P42" s="36"/>
      <c r="Q42" s="36"/>
      <c r="R42" s="36"/>
      <c r="S42" s="36"/>
      <c r="T42" s="36"/>
      <c r="U42" s="36"/>
      <c r="V42" s="36"/>
      <c r="W42" s="36"/>
      <c r="X42" s="36"/>
      <c r="Y42" s="36"/>
      <c r="Z42" s="36"/>
      <c r="AA42" s="36"/>
      <c r="AB42" s="36"/>
      <c r="AC42" s="36"/>
    </row>
    <row r="43" spans="1:29" ht="33.75" customHeight="1">
      <c r="A43" s="639">
        <v>38</v>
      </c>
      <c r="B43" s="94">
        <v>126</v>
      </c>
      <c r="C43" s="640" t="s">
        <v>4129</v>
      </c>
      <c r="D43" s="590">
        <v>43961</v>
      </c>
      <c r="E43" s="641" t="s">
        <v>4130</v>
      </c>
      <c r="F43" s="641" t="s">
        <v>4131</v>
      </c>
      <c r="G43" s="642" t="s">
        <v>4132</v>
      </c>
      <c r="H43" s="643"/>
      <c r="I43" s="81"/>
      <c r="J43" s="35"/>
      <c r="K43" s="36"/>
      <c r="L43" s="36"/>
      <c r="M43" s="36"/>
      <c r="N43" s="36"/>
      <c r="O43" s="36"/>
      <c r="P43" s="36"/>
      <c r="Q43" s="36"/>
      <c r="R43" s="36"/>
      <c r="S43" s="36"/>
      <c r="T43" s="36"/>
      <c r="U43" s="36"/>
      <c r="V43" s="36"/>
      <c r="W43" s="36"/>
      <c r="X43" s="36"/>
      <c r="Y43" s="36"/>
      <c r="Z43" s="36"/>
      <c r="AA43" s="36"/>
      <c r="AB43" s="36"/>
      <c r="AC43" s="36"/>
    </row>
    <row r="44" spans="1:29" ht="102" customHeight="1">
      <c r="A44" s="639">
        <v>39</v>
      </c>
      <c r="B44" s="94">
        <v>166</v>
      </c>
      <c r="C44" s="640" t="s">
        <v>4133</v>
      </c>
      <c r="D44" s="644">
        <v>43966</v>
      </c>
      <c r="E44" s="641" t="s">
        <v>4134</v>
      </c>
      <c r="F44" s="641" t="s">
        <v>4135</v>
      </c>
      <c r="G44" s="642" t="s">
        <v>4136</v>
      </c>
      <c r="H44" s="643"/>
      <c r="I44" s="81"/>
      <c r="J44" s="35"/>
      <c r="K44" s="36"/>
      <c r="L44" s="36"/>
      <c r="M44" s="36"/>
      <c r="N44" s="36"/>
      <c r="O44" s="36"/>
      <c r="P44" s="36"/>
      <c r="Q44" s="36"/>
      <c r="R44" s="36"/>
      <c r="S44" s="36"/>
      <c r="T44" s="36"/>
      <c r="U44" s="36"/>
      <c r="V44" s="36"/>
      <c r="W44" s="36"/>
      <c r="X44" s="36"/>
      <c r="Y44" s="36"/>
      <c r="Z44" s="36"/>
      <c r="AA44" s="36"/>
      <c r="AB44" s="36"/>
      <c r="AC44" s="36"/>
    </row>
    <row r="45" spans="1:29" ht="95.25" customHeight="1">
      <c r="A45" s="639">
        <v>40</v>
      </c>
      <c r="B45" s="94">
        <v>167</v>
      </c>
      <c r="C45" s="640" t="s">
        <v>4137</v>
      </c>
      <c r="D45" s="644">
        <v>43969</v>
      </c>
      <c r="E45" s="641" t="s">
        <v>4138</v>
      </c>
      <c r="F45" s="641" t="s">
        <v>4139</v>
      </c>
      <c r="G45" s="642" t="s">
        <v>4140</v>
      </c>
      <c r="H45" s="643"/>
      <c r="I45" s="81"/>
      <c r="J45" s="35"/>
      <c r="K45" s="36"/>
      <c r="L45" s="36"/>
      <c r="M45" s="36"/>
      <c r="N45" s="36"/>
      <c r="O45" s="36"/>
      <c r="P45" s="36"/>
      <c r="Q45" s="36"/>
      <c r="R45" s="36"/>
      <c r="S45" s="36"/>
      <c r="T45" s="36"/>
      <c r="U45" s="36"/>
      <c r="V45" s="36"/>
      <c r="W45" s="36"/>
      <c r="X45" s="36"/>
      <c r="Y45" s="36"/>
      <c r="Z45" s="36"/>
      <c r="AA45" s="36"/>
      <c r="AB45" s="36"/>
      <c r="AC45" s="36"/>
    </row>
    <row r="46" spans="1:29" ht="70.5" customHeight="1">
      <c r="A46" s="639">
        <v>41</v>
      </c>
      <c r="B46" s="94">
        <v>19</v>
      </c>
      <c r="C46" s="640" t="s">
        <v>4141</v>
      </c>
      <c r="D46" s="644">
        <v>43972</v>
      </c>
      <c r="E46" s="641" t="s">
        <v>3677</v>
      </c>
      <c r="F46" s="641" t="s">
        <v>2884</v>
      </c>
      <c r="G46" s="642" t="s">
        <v>4123</v>
      </c>
      <c r="H46" s="643"/>
      <c r="I46" s="81"/>
      <c r="J46" s="35"/>
      <c r="K46" s="36"/>
      <c r="L46" s="36"/>
      <c r="M46" s="36"/>
      <c r="N46" s="36"/>
      <c r="O46" s="36"/>
      <c r="P46" s="36"/>
      <c r="Q46" s="36"/>
      <c r="R46" s="36"/>
      <c r="S46" s="36"/>
      <c r="T46" s="36"/>
      <c r="U46" s="36"/>
      <c r="V46" s="36"/>
      <c r="W46" s="36"/>
      <c r="X46" s="36"/>
      <c r="Y46" s="36"/>
      <c r="Z46" s="36"/>
      <c r="AA46" s="36"/>
      <c r="AB46" s="36"/>
      <c r="AC46" s="36"/>
    </row>
    <row r="47" spans="1:29" ht="57" customHeight="1">
      <c r="A47" s="639">
        <v>42</v>
      </c>
      <c r="B47" s="94">
        <v>47</v>
      </c>
      <c r="C47" s="640" t="s">
        <v>4142</v>
      </c>
      <c r="D47" s="644">
        <v>43980</v>
      </c>
      <c r="E47" s="641" t="s">
        <v>4143</v>
      </c>
      <c r="F47" s="641" t="s">
        <v>2884</v>
      </c>
      <c r="G47" s="642" t="s">
        <v>4144</v>
      </c>
      <c r="H47" s="643"/>
      <c r="I47" s="81"/>
      <c r="J47" s="35"/>
      <c r="K47" s="36"/>
      <c r="L47" s="36"/>
      <c r="M47" s="36"/>
      <c r="N47" s="36"/>
      <c r="O47" s="36"/>
      <c r="P47" s="36"/>
      <c r="Q47" s="36"/>
      <c r="R47" s="36"/>
      <c r="S47" s="36"/>
      <c r="T47" s="36"/>
      <c r="U47" s="36"/>
      <c r="V47" s="36"/>
      <c r="W47" s="36"/>
      <c r="X47" s="36"/>
      <c r="Y47" s="36"/>
      <c r="Z47" s="36"/>
      <c r="AA47" s="36"/>
      <c r="AB47" s="36"/>
      <c r="AC47" s="36"/>
    </row>
    <row r="48" spans="1:29" ht="57" customHeight="1">
      <c r="A48" s="639">
        <v>43</v>
      </c>
      <c r="B48" s="94">
        <v>131</v>
      </c>
      <c r="C48" s="640" t="s">
        <v>4145</v>
      </c>
      <c r="D48" s="644">
        <v>43982</v>
      </c>
      <c r="E48" s="641" t="s">
        <v>4146</v>
      </c>
      <c r="F48" s="641" t="s">
        <v>4147</v>
      </c>
      <c r="G48" s="642" t="s">
        <v>4148</v>
      </c>
      <c r="H48" s="643"/>
      <c r="I48" s="81"/>
      <c r="J48" s="35"/>
      <c r="K48" s="36"/>
      <c r="L48" s="36"/>
      <c r="M48" s="36"/>
      <c r="N48" s="36"/>
      <c r="O48" s="36"/>
      <c r="P48" s="36"/>
      <c r="Q48" s="36"/>
      <c r="R48" s="36"/>
      <c r="S48" s="36"/>
      <c r="T48" s="36"/>
      <c r="U48" s="36"/>
      <c r="V48" s="36"/>
      <c r="W48" s="36"/>
      <c r="X48" s="36"/>
      <c r="Y48" s="36"/>
      <c r="Z48" s="36"/>
      <c r="AA48" s="36"/>
      <c r="AB48" s="36"/>
      <c r="AC48" s="36"/>
    </row>
    <row r="49" spans="1:29" ht="52.5" customHeight="1">
      <c r="A49" s="639">
        <v>44</v>
      </c>
      <c r="B49" s="94">
        <v>132</v>
      </c>
      <c r="C49" s="640" t="s">
        <v>4149</v>
      </c>
      <c r="D49" s="644">
        <v>43982</v>
      </c>
      <c r="E49" s="641" t="s">
        <v>4150</v>
      </c>
      <c r="F49" s="641" t="s">
        <v>4151</v>
      </c>
      <c r="G49" s="642" t="s">
        <v>4152</v>
      </c>
      <c r="H49" s="643"/>
      <c r="I49" s="81"/>
      <c r="J49" s="35"/>
      <c r="K49" s="36"/>
      <c r="L49" s="36"/>
      <c r="M49" s="36"/>
      <c r="N49" s="36"/>
      <c r="O49" s="36"/>
      <c r="P49" s="36"/>
      <c r="Q49" s="36"/>
      <c r="R49" s="36"/>
      <c r="S49" s="36"/>
      <c r="T49" s="36"/>
      <c r="U49" s="36"/>
      <c r="V49" s="36"/>
      <c r="W49" s="36"/>
      <c r="X49" s="36"/>
      <c r="Y49" s="36"/>
      <c r="Z49" s="36"/>
      <c r="AA49" s="36"/>
      <c r="AB49" s="36"/>
      <c r="AC49" s="36"/>
    </row>
    <row r="50" spans="1:29" ht="58.5" customHeight="1">
      <c r="A50" s="639">
        <v>45</v>
      </c>
      <c r="B50" s="94">
        <v>184</v>
      </c>
      <c r="C50" s="640" t="s">
        <v>4153</v>
      </c>
      <c r="D50" s="644">
        <v>43982</v>
      </c>
      <c r="E50" s="641" t="s">
        <v>4154</v>
      </c>
      <c r="F50" s="641" t="s">
        <v>2884</v>
      </c>
      <c r="G50" s="642" t="s">
        <v>4155</v>
      </c>
      <c r="H50" s="643"/>
      <c r="I50" s="81"/>
      <c r="J50" s="35"/>
      <c r="K50" s="36"/>
      <c r="L50" s="36"/>
      <c r="M50" s="36"/>
      <c r="N50" s="36"/>
      <c r="O50" s="36"/>
      <c r="P50" s="36"/>
      <c r="Q50" s="36"/>
      <c r="R50" s="36"/>
      <c r="S50" s="36"/>
      <c r="T50" s="36"/>
      <c r="U50" s="36"/>
      <c r="V50" s="36"/>
      <c r="W50" s="36"/>
      <c r="X50" s="36"/>
      <c r="Y50" s="36"/>
      <c r="Z50" s="36"/>
      <c r="AA50" s="36"/>
      <c r="AB50" s="36"/>
      <c r="AC50" s="36"/>
    </row>
    <row r="51" spans="1:29" ht="58.5" customHeight="1">
      <c r="A51" s="639">
        <v>46</v>
      </c>
      <c r="B51" s="94">
        <v>806</v>
      </c>
      <c r="C51" s="640" t="s">
        <v>4156</v>
      </c>
      <c r="D51" s="644">
        <v>43986</v>
      </c>
      <c r="E51" s="641" t="s">
        <v>4157</v>
      </c>
      <c r="F51" s="641" t="s">
        <v>4158</v>
      </c>
      <c r="G51" s="642" t="s">
        <v>4159</v>
      </c>
      <c r="H51" s="643"/>
      <c r="I51" s="81"/>
      <c r="J51" s="35"/>
      <c r="K51" s="36"/>
      <c r="L51" s="36"/>
      <c r="M51" s="36"/>
      <c r="N51" s="36"/>
      <c r="O51" s="36"/>
      <c r="P51" s="36"/>
      <c r="Q51" s="36"/>
      <c r="R51" s="36"/>
      <c r="S51" s="36"/>
      <c r="T51" s="36"/>
      <c r="U51" s="36"/>
      <c r="V51" s="36"/>
      <c r="W51" s="36"/>
      <c r="X51" s="36"/>
      <c r="Y51" s="36"/>
      <c r="Z51" s="36"/>
      <c r="AA51" s="36"/>
      <c r="AB51" s="36"/>
      <c r="AC51" s="36"/>
    </row>
    <row r="52" spans="1:29" ht="57.75" customHeight="1">
      <c r="A52" s="639">
        <v>47</v>
      </c>
      <c r="B52" s="94">
        <v>11546</v>
      </c>
      <c r="C52" s="640" t="s">
        <v>4112</v>
      </c>
      <c r="D52" s="644">
        <v>43987</v>
      </c>
      <c r="E52" s="641" t="s">
        <v>4160</v>
      </c>
      <c r="F52" s="641" t="s">
        <v>4161</v>
      </c>
      <c r="G52" s="642" t="s">
        <v>4162</v>
      </c>
      <c r="H52" s="643"/>
      <c r="I52" s="81"/>
      <c r="J52" s="35"/>
      <c r="K52" s="36"/>
      <c r="L52" s="36"/>
      <c r="M52" s="36"/>
      <c r="N52" s="36"/>
      <c r="O52" s="36"/>
      <c r="P52" s="36"/>
      <c r="Q52" s="36"/>
      <c r="R52" s="36"/>
      <c r="S52" s="36"/>
      <c r="T52" s="36"/>
      <c r="U52" s="36"/>
      <c r="V52" s="36"/>
      <c r="W52" s="36"/>
      <c r="X52" s="36"/>
      <c r="Y52" s="36"/>
      <c r="Z52" s="36"/>
      <c r="AA52" s="36"/>
      <c r="AB52" s="36"/>
      <c r="AC52" s="36"/>
    </row>
    <row r="53" spans="1:29" ht="81.75" customHeight="1">
      <c r="A53" s="639">
        <v>48</v>
      </c>
      <c r="B53" s="645" t="s">
        <v>4163</v>
      </c>
      <c r="C53" s="640" t="s">
        <v>4164</v>
      </c>
      <c r="D53" s="644">
        <v>43993</v>
      </c>
      <c r="E53" s="641" t="s">
        <v>4165</v>
      </c>
      <c r="F53" s="641" t="s">
        <v>2884</v>
      </c>
      <c r="G53" s="642" t="s">
        <v>4123</v>
      </c>
      <c r="H53" s="643"/>
      <c r="I53" s="81"/>
      <c r="J53" s="35"/>
      <c r="K53" s="36"/>
      <c r="L53" s="36"/>
      <c r="M53" s="36"/>
      <c r="N53" s="36"/>
      <c r="O53" s="36"/>
      <c r="P53" s="36"/>
      <c r="Q53" s="36"/>
      <c r="R53" s="36"/>
      <c r="S53" s="36"/>
      <c r="T53" s="36"/>
      <c r="U53" s="36"/>
      <c r="V53" s="36"/>
      <c r="W53" s="36"/>
      <c r="X53" s="36"/>
      <c r="Y53" s="36"/>
      <c r="Z53" s="36"/>
      <c r="AA53" s="36"/>
      <c r="AB53" s="36"/>
      <c r="AC53" s="36"/>
    </row>
    <row r="54" spans="1:29" ht="73.5" customHeight="1">
      <c r="A54" s="639">
        <v>49</v>
      </c>
      <c r="B54" s="646">
        <v>761</v>
      </c>
      <c r="C54" s="640" t="s">
        <v>4166</v>
      </c>
      <c r="D54" s="644">
        <v>43993</v>
      </c>
      <c r="E54" s="641" t="s">
        <v>4167</v>
      </c>
      <c r="F54" s="641" t="s">
        <v>2884</v>
      </c>
      <c r="G54" s="642" t="s">
        <v>4168</v>
      </c>
      <c r="H54" s="643"/>
      <c r="I54" s="81"/>
      <c r="J54" s="35"/>
      <c r="K54" s="36"/>
      <c r="L54" s="36"/>
      <c r="M54" s="36"/>
      <c r="N54" s="36"/>
      <c r="O54" s="36"/>
      <c r="P54" s="36"/>
      <c r="Q54" s="36"/>
      <c r="R54" s="36"/>
      <c r="S54" s="36"/>
      <c r="T54" s="36"/>
      <c r="U54" s="36"/>
      <c r="V54" s="36"/>
      <c r="W54" s="36"/>
      <c r="X54" s="36"/>
      <c r="Y54" s="36"/>
      <c r="Z54" s="36"/>
      <c r="AA54" s="36"/>
      <c r="AB54" s="36"/>
      <c r="AC54" s="36"/>
    </row>
    <row r="55" spans="1:29" ht="62.25" customHeight="1">
      <c r="A55" s="639">
        <v>50</v>
      </c>
      <c r="B55" s="94">
        <v>847</v>
      </c>
      <c r="C55" s="640" t="s">
        <v>4169</v>
      </c>
      <c r="D55" s="644">
        <v>43996</v>
      </c>
      <c r="E55" s="641" t="s">
        <v>4170</v>
      </c>
      <c r="F55" s="641" t="s">
        <v>4171</v>
      </c>
      <c r="G55" s="642" t="s">
        <v>4172</v>
      </c>
      <c r="H55" s="643"/>
      <c r="I55" s="81"/>
      <c r="J55" s="35"/>
      <c r="K55" s="36"/>
      <c r="L55" s="36"/>
      <c r="M55" s="36"/>
      <c r="N55" s="36"/>
      <c r="O55" s="36"/>
      <c r="P55" s="36"/>
      <c r="Q55" s="36"/>
      <c r="R55" s="36"/>
      <c r="S55" s="36"/>
      <c r="T55" s="36"/>
      <c r="U55" s="36"/>
      <c r="V55" s="36"/>
      <c r="W55" s="36"/>
      <c r="X55" s="36"/>
      <c r="Y55" s="36"/>
      <c r="Z55" s="36"/>
      <c r="AA55" s="36"/>
      <c r="AB55" s="36"/>
      <c r="AC55" s="36"/>
    </row>
    <row r="56" spans="1:29" ht="46.5" customHeight="1">
      <c r="A56" s="639">
        <v>51</v>
      </c>
      <c r="B56" s="94">
        <v>143</v>
      </c>
      <c r="C56" s="640" t="s">
        <v>4173</v>
      </c>
      <c r="D56" s="644">
        <v>43997</v>
      </c>
      <c r="E56" s="641" t="s">
        <v>4174</v>
      </c>
      <c r="F56" s="641" t="s">
        <v>4175</v>
      </c>
      <c r="G56" s="642" t="s">
        <v>4176</v>
      </c>
      <c r="H56" s="643"/>
      <c r="I56" s="81"/>
      <c r="J56" s="35"/>
      <c r="K56" s="36"/>
      <c r="L56" s="36"/>
      <c r="M56" s="36"/>
      <c r="N56" s="36"/>
      <c r="O56" s="36"/>
      <c r="P56" s="36"/>
      <c r="Q56" s="36"/>
      <c r="R56" s="36"/>
      <c r="S56" s="36"/>
      <c r="T56" s="36"/>
      <c r="U56" s="36"/>
      <c r="V56" s="36"/>
      <c r="W56" s="36"/>
      <c r="X56" s="36"/>
      <c r="Y56" s="36"/>
      <c r="Z56" s="36"/>
      <c r="AA56" s="36"/>
      <c r="AB56" s="36"/>
      <c r="AC56" s="36"/>
    </row>
    <row r="57" spans="1:29" ht="48" customHeight="1">
      <c r="A57" s="639">
        <v>52</v>
      </c>
      <c r="B57" s="94">
        <v>991</v>
      </c>
      <c r="C57" s="640" t="s">
        <v>4177</v>
      </c>
      <c r="D57" s="644">
        <v>43999</v>
      </c>
      <c r="E57" s="641" t="s">
        <v>4178</v>
      </c>
      <c r="F57" s="641" t="s">
        <v>2884</v>
      </c>
      <c r="G57" s="642" t="s">
        <v>4179</v>
      </c>
      <c r="H57" s="643"/>
      <c r="I57" s="81"/>
      <c r="J57" s="35"/>
      <c r="K57" s="36"/>
      <c r="L57" s="36"/>
      <c r="M57" s="36"/>
      <c r="N57" s="36"/>
      <c r="O57" s="36"/>
      <c r="P57" s="36"/>
      <c r="Q57" s="36"/>
      <c r="R57" s="36"/>
      <c r="S57" s="36"/>
      <c r="T57" s="36"/>
      <c r="U57" s="36"/>
      <c r="V57" s="36"/>
      <c r="W57" s="36"/>
      <c r="X57" s="36"/>
      <c r="Y57" s="36"/>
      <c r="Z57" s="36"/>
      <c r="AA57" s="36"/>
      <c r="AB57" s="36"/>
      <c r="AC57" s="36"/>
    </row>
    <row r="58" spans="1:29" ht="72.75" customHeight="1">
      <c r="A58" s="639">
        <v>53</v>
      </c>
      <c r="B58" s="94">
        <v>993</v>
      </c>
      <c r="C58" s="640" t="s">
        <v>4180</v>
      </c>
      <c r="D58" s="644">
        <v>43999</v>
      </c>
      <c r="E58" s="641" t="s">
        <v>4181</v>
      </c>
      <c r="F58" s="641" t="s">
        <v>2884</v>
      </c>
      <c r="G58" s="642" t="s">
        <v>4182</v>
      </c>
      <c r="H58" s="643"/>
      <c r="I58" s="81"/>
      <c r="J58" s="35"/>
      <c r="K58" s="36"/>
      <c r="L58" s="36"/>
      <c r="M58" s="36"/>
      <c r="N58" s="36"/>
      <c r="O58" s="36"/>
      <c r="P58" s="36"/>
      <c r="Q58" s="36"/>
      <c r="R58" s="36"/>
      <c r="S58" s="36"/>
      <c r="T58" s="36"/>
      <c r="U58" s="36"/>
      <c r="V58" s="36"/>
      <c r="W58" s="36"/>
      <c r="X58" s="36"/>
      <c r="Y58" s="36"/>
      <c r="Z58" s="36"/>
      <c r="AA58" s="36"/>
      <c r="AB58" s="36"/>
      <c r="AC58" s="36"/>
    </row>
    <row r="59" spans="1:29" ht="72" customHeight="1">
      <c r="A59" s="639">
        <v>54</v>
      </c>
      <c r="B59" s="94">
        <v>632</v>
      </c>
      <c r="C59" s="640" t="s">
        <v>4183</v>
      </c>
      <c r="D59" s="644">
        <v>43999</v>
      </c>
      <c r="E59" s="641" t="s">
        <v>4184</v>
      </c>
      <c r="F59" s="641" t="s">
        <v>2884</v>
      </c>
      <c r="G59" s="642" t="s">
        <v>4185</v>
      </c>
      <c r="H59" s="643"/>
      <c r="I59" s="81"/>
      <c r="J59" s="35"/>
      <c r="K59" s="36"/>
      <c r="L59" s="36"/>
      <c r="M59" s="36"/>
      <c r="N59" s="36"/>
      <c r="O59" s="36"/>
      <c r="P59" s="36"/>
      <c r="Q59" s="36"/>
      <c r="R59" s="36"/>
      <c r="S59" s="36"/>
      <c r="T59" s="36"/>
      <c r="U59" s="36"/>
      <c r="V59" s="36"/>
      <c r="W59" s="36"/>
      <c r="X59" s="36"/>
      <c r="Y59" s="36"/>
      <c r="Z59" s="36"/>
      <c r="AA59" s="36"/>
      <c r="AB59" s="36"/>
      <c r="AC59" s="36"/>
    </row>
    <row r="60" spans="1:29" ht="77.25" customHeight="1">
      <c r="A60" s="639">
        <v>55</v>
      </c>
      <c r="B60" s="94">
        <v>633</v>
      </c>
      <c r="C60" s="640" t="s">
        <v>4186</v>
      </c>
      <c r="D60" s="644">
        <v>43999</v>
      </c>
      <c r="E60" s="641" t="s">
        <v>4187</v>
      </c>
      <c r="F60" s="641" t="s">
        <v>2884</v>
      </c>
      <c r="G60" s="642" t="s">
        <v>4188</v>
      </c>
      <c r="H60" s="643"/>
      <c r="I60" s="81"/>
      <c r="J60" s="35"/>
      <c r="K60" s="36"/>
      <c r="L60" s="36"/>
      <c r="M60" s="36"/>
      <c r="N60" s="36"/>
      <c r="O60" s="36"/>
      <c r="P60" s="36"/>
      <c r="Q60" s="36"/>
      <c r="R60" s="36"/>
      <c r="S60" s="36"/>
      <c r="T60" s="36"/>
      <c r="U60" s="36"/>
      <c r="V60" s="36"/>
      <c r="W60" s="36"/>
      <c r="X60" s="36"/>
      <c r="Y60" s="36"/>
      <c r="Z60" s="36"/>
      <c r="AA60" s="36"/>
      <c r="AB60" s="36"/>
      <c r="AC60" s="36"/>
    </row>
    <row r="61" spans="1:29" ht="74.25" customHeight="1">
      <c r="A61" s="639">
        <v>56</v>
      </c>
      <c r="B61" s="94">
        <v>643</v>
      </c>
      <c r="C61" s="640" t="s">
        <v>4189</v>
      </c>
      <c r="D61" s="644">
        <v>44001</v>
      </c>
      <c r="E61" s="641" t="s">
        <v>4190</v>
      </c>
      <c r="F61" s="641" t="s">
        <v>2884</v>
      </c>
      <c r="G61" s="642" t="s">
        <v>4191</v>
      </c>
      <c r="H61" s="643"/>
      <c r="I61" s="81"/>
      <c r="J61" s="35"/>
      <c r="K61" s="36"/>
      <c r="L61" s="36"/>
      <c r="M61" s="36"/>
      <c r="N61" s="36"/>
      <c r="O61" s="36"/>
      <c r="P61" s="36"/>
      <c r="Q61" s="36"/>
      <c r="R61" s="36"/>
      <c r="S61" s="36"/>
      <c r="T61" s="36"/>
      <c r="U61" s="36"/>
      <c r="V61" s="36"/>
      <c r="W61" s="36"/>
      <c r="X61" s="36"/>
      <c r="Y61" s="36"/>
      <c r="Z61" s="36"/>
      <c r="AA61" s="36"/>
      <c r="AB61" s="36"/>
      <c r="AC61" s="36"/>
    </row>
    <row r="62" spans="1:29" ht="49.5" customHeight="1">
      <c r="A62" s="639">
        <v>57</v>
      </c>
      <c r="B62" s="94">
        <v>1003</v>
      </c>
      <c r="C62" s="640" t="s">
        <v>4192</v>
      </c>
      <c r="D62" s="644">
        <v>44001</v>
      </c>
      <c r="E62" s="641" t="s">
        <v>4193</v>
      </c>
      <c r="F62" s="641" t="s">
        <v>2884</v>
      </c>
      <c r="G62" s="642" t="s">
        <v>4194</v>
      </c>
      <c r="H62" s="643"/>
      <c r="I62" s="81"/>
      <c r="J62" s="35"/>
      <c r="K62" s="36"/>
      <c r="L62" s="36"/>
      <c r="M62" s="36"/>
      <c r="N62" s="36"/>
      <c r="O62" s="36"/>
      <c r="P62" s="36"/>
      <c r="Q62" s="36"/>
      <c r="R62" s="36"/>
      <c r="S62" s="36"/>
      <c r="T62" s="36"/>
      <c r="U62" s="36"/>
      <c r="V62" s="36"/>
      <c r="W62" s="36"/>
      <c r="X62" s="36"/>
      <c r="Y62" s="36"/>
      <c r="Z62" s="36"/>
      <c r="AA62" s="36"/>
      <c r="AB62" s="36"/>
      <c r="AC62" s="36"/>
    </row>
    <row r="63" spans="1:29" ht="49.5" customHeight="1">
      <c r="A63" s="639">
        <v>58</v>
      </c>
      <c r="B63" s="94">
        <v>16503</v>
      </c>
      <c r="C63" s="640" t="s">
        <v>4195</v>
      </c>
      <c r="D63" s="644">
        <v>44006</v>
      </c>
      <c r="E63" s="641" t="s">
        <v>4196</v>
      </c>
      <c r="F63" s="641" t="s">
        <v>4197</v>
      </c>
      <c r="G63" s="642" t="s">
        <v>4198</v>
      </c>
      <c r="H63" s="643"/>
      <c r="I63" s="81"/>
      <c r="J63" s="35"/>
      <c r="K63" s="36"/>
      <c r="L63" s="36"/>
      <c r="M63" s="36"/>
      <c r="N63" s="36"/>
      <c r="O63" s="36"/>
      <c r="P63" s="36"/>
      <c r="Q63" s="36"/>
      <c r="R63" s="36"/>
      <c r="S63" s="36"/>
      <c r="T63" s="36"/>
      <c r="U63" s="36"/>
      <c r="V63" s="36"/>
      <c r="W63" s="36"/>
      <c r="X63" s="36"/>
      <c r="Y63" s="36"/>
      <c r="Z63" s="36"/>
      <c r="AA63" s="36"/>
      <c r="AB63" s="36"/>
      <c r="AC63" s="36"/>
    </row>
    <row r="64" spans="1:29" ht="81.75" customHeight="1">
      <c r="A64" s="639">
        <v>59</v>
      </c>
      <c r="B64" s="94">
        <v>5020</v>
      </c>
      <c r="C64" s="640" t="s">
        <v>4199</v>
      </c>
      <c r="D64" s="644">
        <v>44008</v>
      </c>
      <c r="E64" s="641" t="s">
        <v>4200</v>
      </c>
      <c r="F64" s="641" t="s">
        <v>2884</v>
      </c>
      <c r="G64" s="642" t="s">
        <v>4201</v>
      </c>
      <c r="H64" s="643"/>
      <c r="I64" s="81"/>
      <c r="J64" s="35"/>
      <c r="K64" s="36"/>
      <c r="L64" s="36"/>
      <c r="M64" s="36"/>
      <c r="N64" s="36"/>
      <c r="O64" s="36"/>
      <c r="P64" s="36"/>
      <c r="Q64" s="36"/>
      <c r="R64" s="36"/>
      <c r="S64" s="36"/>
      <c r="T64" s="36"/>
      <c r="U64" s="36"/>
      <c r="V64" s="36"/>
      <c r="W64" s="36"/>
      <c r="X64" s="36"/>
      <c r="Y64" s="36"/>
      <c r="Z64" s="36"/>
      <c r="AA64" s="36"/>
      <c r="AB64" s="36"/>
      <c r="AC64" s="36"/>
    </row>
    <row r="65" spans="1:29" ht="83.25" customHeight="1">
      <c r="A65" s="639">
        <v>60</v>
      </c>
      <c r="B65" s="94">
        <v>155</v>
      </c>
      <c r="C65" s="640" t="s">
        <v>4202</v>
      </c>
      <c r="D65" s="644">
        <v>44011</v>
      </c>
      <c r="E65" s="641" t="s">
        <v>4203</v>
      </c>
      <c r="F65" s="641" t="s">
        <v>4204</v>
      </c>
      <c r="G65" s="642" t="s">
        <v>4205</v>
      </c>
      <c r="H65" s="643"/>
      <c r="I65" s="81"/>
      <c r="J65" s="35"/>
      <c r="K65" s="36"/>
      <c r="L65" s="36"/>
      <c r="M65" s="36"/>
      <c r="N65" s="36"/>
      <c r="O65" s="36"/>
      <c r="P65" s="36"/>
      <c r="Q65" s="36"/>
      <c r="R65" s="36"/>
      <c r="S65" s="36"/>
      <c r="T65" s="36"/>
      <c r="U65" s="36"/>
      <c r="V65" s="36"/>
      <c r="W65" s="36"/>
      <c r="X65" s="36"/>
      <c r="Y65" s="36"/>
      <c r="Z65" s="36"/>
      <c r="AA65" s="36"/>
      <c r="AB65" s="36"/>
      <c r="AC65" s="36"/>
    </row>
    <row r="66" spans="1:29" ht="58.5" customHeight="1">
      <c r="A66" s="639">
        <v>61</v>
      </c>
      <c r="B66" s="94">
        <v>162</v>
      </c>
      <c r="C66" s="640" t="s">
        <v>4206</v>
      </c>
      <c r="D66" s="644">
        <v>44012</v>
      </c>
      <c r="E66" s="641" t="s">
        <v>4207</v>
      </c>
      <c r="F66" s="641" t="s">
        <v>4208</v>
      </c>
      <c r="G66" s="642" t="s">
        <v>4209</v>
      </c>
      <c r="H66" s="643"/>
      <c r="I66" s="81"/>
      <c r="J66" s="35"/>
      <c r="K66" s="36"/>
      <c r="L66" s="36"/>
      <c r="M66" s="36"/>
      <c r="N66" s="36"/>
      <c r="O66" s="36"/>
      <c r="P66" s="36"/>
      <c r="Q66" s="36"/>
      <c r="R66" s="36"/>
      <c r="S66" s="36"/>
      <c r="T66" s="36"/>
      <c r="U66" s="36"/>
      <c r="V66" s="36"/>
      <c r="W66" s="36"/>
      <c r="X66" s="36"/>
      <c r="Y66" s="36"/>
      <c r="Z66" s="36"/>
      <c r="AA66" s="36"/>
      <c r="AB66" s="36"/>
      <c r="AC66" s="36"/>
    </row>
    <row r="67" spans="1:29" ht="90" customHeight="1">
      <c r="A67" s="639">
        <v>62</v>
      </c>
      <c r="B67" s="94">
        <v>3818</v>
      </c>
      <c r="C67" s="640" t="s">
        <v>4210</v>
      </c>
      <c r="D67" s="644">
        <v>44014</v>
      </c>
      <c r="E67" s="641" t="s">
        <v>4211</v>
      </c>
      <c r="F67" s="641" t="s">
        <v>4212</v>
      </c>
      <c r="G67" s="642" t="s">
        <v>4213</v>
      </c>
      <c r="H67" s="643"/>
      <c r="I67" s="81"/>
      <c r="J67" s="35"/>
      <c r="K67" s="36"/>
      <c r="L67" s="36"/>
      <c r="M67" s="36"/>
      <c r="N67" s="36"/>
      <c r="O67" s="36"/>
      <c r="P67" s="36"/>
      <c r="Q67" s="36"/>
      <c r="R67" s="36"/>
      <c r="S67" s="36"/>
      <c r="T67" s="36"/>
      <c r="U67" s="36"/>
      <c r="V67" s="36"/>
      <c r="W67" s="36"/>
      <c r="X67" s="36"/>
      <c r="Y67" s="36"/>
      <c r="Z67" s="36"/>
      <c r="AA67" s="36"/>
      <c r="AB67" s="36"/>
      <c r="AC67" s="36"/>
    </row>
    <row r="68" spans="1:29" ht="90" customHeight="1">
      <c r="A68" s="639">
        <v>63</v>
      </c>
      <c r="B68" s="94">
        <v>6</v>
      </c>
      <c r="C68" s="640" t="s">
        <v>4214</v>
      </c>
      <c r="D68" s="644">
        <v>44019</v>
      </c>
      <c r="E68" s="641" t="s">
        <v>4215</v>
      </c>
      <c r="F68" s="641" t="s">
        <v>2884</v>
      </c>
      <c r="G68" s="642" t="s">
        <v>4216</v>
      </c>
      <c r="H68" s="643"/>
      <c r="I68" s="81"/>
      <c r="J68" s="35"/>
      <c r="K68" s="36"/>
      <c r="L68" s="36"/>
      <c r="M68" s="36"/>
      <c r="N68" s="36"/>
      <c r="O68" s="36"/>
      <c r="P68" s="36"/>
      <c r="Q68" s="36"/>
      <c r="R68" s="36"/>
      <c r="S68" s="36"/>
      <c r="T68" s="36"/>
      <c r="U68" s="36"/>
      <c r="V68" s="36"/>
      <c r="W68" s="36"/>
      <c r="X68" s="36"/>
      <c r="Y68" s="36"/>
      <c r="Z68" s="36"/>
      <c r="AA68" s="36"/>
      <c r="AB68" s="36"/>
      <c r="AC68" s="36"/>
    </row>
    <row r="69" spans="1:29" ht="67.5" customHeight="1">
      <c r="A69" s="639">
        <v>64</v>
      </c>
      <c r="B69" s="94">
        <v>990</v>
      </c>
      <c r="C69" s="640" t="s">
        <v>4217</v>
      </c>
      <c r="D69" s="644">
        <v>44021</v>
      </c>
      <c r="E69" s="641" t="s">
        <v>4218</v>
      </c>
      <c r="F69" s="641" t="s">
        <v>4219</v>
      </c>
      <c r="G69" s="642" t="s">
        <v>4220</v>
      </c>
      <c r="H69" s="643"/>
      <c r="I69" s="81"/>
      <c r="J69" s="35"/>
      <c r="K69" s="36"/>
      <c r="L69" s="36"/>
      <c r="M69" s="36"/>
      <c r="N69" s="36"/>
      <c r="O69" s="36"/>
      <c r="P69" s="36"/>
      <c r="Q69" s="36"/>
      <c r="R69" s="36"/>
      <c r="S69" s="36"/>
      <c r="T69" s="36"/>
      <c r="U69" s="36"/>
      <c r="V69" s="36"/>
      <c r="W69" s="36"/>
      <c r="X69" s="36"/>
      <c r="Y69" s="36"/>
      <c r="Z69" s="36"/>
      <c r="AA69" s="36"/>
      <c r="AB69" s="36"/>
      <c r="AC69" s="36"/>
    </row>
    <row r="70" spans="1:29" ht="67.5" customHeight="1">
      <c r="A70" s="639">
        <v>65</v>
      </c>
      <c r="B70" s="94">
        <v>55</v>
      </c>
      <c r="C70" s="640" t="s">
        <v>4221</v>
      </c>
      <c r="D70" s="644">
        <v>44024</v>
      </c>
      <c r="E70" s="641" t="s">
        <v>4222</v>
      </c>
      <c r="F70" s="641" t="s">
        <v>2884</v>
      </c>
      <c r="G70" s="642" t="s">
        <v>4223</v>
      </c>
      <c r="H70" s="643"/>
      <c r="I70" s="81"/>
      <c r="J70" s="35"/>
      <c r="K70" s="36"/>
      <c r="L70" s="36"/>
      <c r="M70" s="36"/>
      <c r="N70" s="36"/>
      <c r="O70" s="36"/>
      <c r="P70" s="36"/>
      <c r="Q70" s="36"/>
      <c r="R70" s="36"/>
      <c r="S70" s="36"/>
      <c r="T70" s="36"/>
      <c r="U70" s="36"/>
      <c r="V70" s="36"/>
      <c r="W70" s="36"/>
      <c r="X70" s="36"/>
      <c r="Y70" s="36"/>
      <c r="Z70" s="36"/>
      <c r="AA70" s="36"/>
      <c r="AB70" s="36"/>
      <c r="AC70" s="36"/>
    </row>
    <row r="71" spans="1:29" ht="67.5" customHeight="1">
      <c r="A71" s="639">
        <v>66</v>
      </c>
      <c r="B71" s="94">
        <v>169</v>
      </c>
      <c r="C71" s="640" t="s">
        <v>4224</v>
      </c>
      <c r="D71" s="644">
        <v>44024</v>
      </c>
      <c r="E71" s="641" t="s">
        <v>4225</v>
      </c>
      <c r="F71" s="641" t="s">
        <v>4226</v>
      </c>
      <c r="G71" s="642" t="s">
        <v>4227</v>
      </c>
      <c r="H71" s="643"/>
      <c r="I71" s="81"/>
      <c r="J71" s="35"/>
      <c r="K71" s="36"/>
      <c r="L71" s="36"/>
      <c r="M71" s="36"/>
      <c r="N71" s="36"/>
      <c r="O71" s="36"/>
      <c r="P71" s="36"/>
      <c r="Q71" s="36"/>
      <c r="R71" s="36"/>
      <c r="S71" s="36"/>
      <c r="T71" s="36"/>
      <c r="U71" s="36"/>
      <c r="V71" s="36"/>
      <c r="W71" s="36"/>
      <c r="X71" s="36"/>
      <c r="Y71" s="36"/>
      <c r="Z71" s="36"/>
      <c r="AA71" s="36"/>
      <c r="AB71" s="36"/>
      <c r="AC71" s="36"/>
    </row>
    <row r="72" spans="1:29" ht="64.5" customHeight="1">
      <c r="A72" s="639">
        <v>67</v>
      </c>
      <c r="B72" s="94">
        <v>195</v>
      </c>
      <c r="C72" s="640" t="s">
        <v>4228</v>
      </c>
      <c r="D72" s="644">
        <v>44026</v>
      </c>
      <c r="E72" s="641" t="s">
        <v>4229</v>
      </c>
      <c r="F72" s="641" t="s">
        <v>2884</v>
      </c>
      <c r="G72" s="642" t="s">
        <v>4230</v>
      </c>
      <c r="H72" s="643"/>
      <c r="I72" s="81"/>
      <c r="J72" s="35"/>
      <c r="K72" s="36"/>
      <c r="L72" s="36"/>
      <c r="M72" s="36"/>
      <c r="N72" s="36"/>
      <c r="O72" s="36"/>
      <c r="P72" s="36"/>
      <c r="Q72" s="36"/>
      <c r="R72" s="36"/>
      <c r="S72" s="36"/>
      <c r="T72" s="36"/>
      <c r="U72" s="36"/>
      <c r="V72" s="36"/>
      <c r="W72" s="36"/>
      <c r="X72" s="36"/>
      <c r="Y72" s="36"/>
      <c r="Z72" s="36"/>
      <c r="AA72" s="36"/>
      <c r="AB72" s="36"/>
      <c r="AC72" s="36"/>
    </row>
    <row r="73" spans="1:29" ht="39.75" customHeight="1">
      <c r="A73" s="639">
        <v>68</v>
      </c>
      <c r="B73" s="94">
        <v>2023</v>
      </c>
      <c r="C73" s="640" t="s">
        <v>4231</v>
      </c>
      <c r="D73" s="644">
        <v>44035</v>
      </c>
      <c r="E73" s="641" t="s">
        <v>4232</v>
      </c>
      <c r="F73" s="641" t="s">
        <v>2884</v>
      </c>
      <c r="G73" s="642" t="s">
        <v>4233</v>
      </c>
      <c r="H73" s="643"/>
      <c r="I73" s="81"/>
      <c r="J73" s="35"/>
      <c r="K73" s="36"/>
      <c r="L73" s="36"/>
      <c r="M73" s="36"/>
      <c r="N73" s="36"/>
      <c r="O73" s="36"/>
      <c r="P73" s="36"/>
      <c r="Q73" s="36"/>
      <c r="R73" s="36"/>
      <c r="S73" s="36"/>
      <c r="T73" s="36"/>
      <c r="U73" s="36"/>
      <c r="V73" s="36"/>
      <c r="W73" s="36"/>
      <c r="X73" s="36"/>
      <c r="Y73" s="36"/>
      <c r="Z73" s="36"/>
      <c r="AA73" s="36"/>
      <c r="AB73" s="36"/>
      <c r="AC73" s="36"/>
    </row>
    <row r="74" spans="1:29" ht="51.75" customHeight="1">
      <c r="A74" s="639">
        <v>69</v>
      </c>
      <c r="B74" s="94">
        <v>176</v>
      </c>
      <c r="C74" s="640" t="s">
        <v>4234</v>
      </c>
      <c r="D74" s="644">
        <v>44039</v>
      </c>
      <c r="E74" s="641" t="s">
        <v>4235</v>
      </c>
      <c r="F74" s="641" t="s">
        <v>4236</v>
      </c>
      <c r="G74" s="642" t="s">
        <v>4237</v>
      </c>
      <c r="H74" s="643"/>
      <c r="I74" s="81"/>
      <c r="J74" s="35"/>
      <c r="K74" s="36"/>
      <c r="L74" s="36"/>
      <c r="M74" s="36"/>
      <c r="N74" s="36"/>
      <c r="O74" s="36"/>
      <c r="P74" s="36"/>
      <c r="Q74" s="36"/>
      <c r="R74" s="36"/>
      <c r="S74" s="36"/>
      <c r="T74" s="36"/>
      <c r="U74" s="36"/>
      <c r="V74" s="36"/>
      <c r="W74" s="36"/>
      <c r="X74" s="36"/>
      <c r="Y74" s="36"/>
      <c r="Z74" s="36"/>
      <c r="AA74" s="36"/>
      <c r="AB74" s="36"/>
      <c r="AC74" s="36"/>
    </row>
    <row r="75" spans="1:29" ht="51.75" customHeight="1">
      <c r="A75" s="639">
        <v>70</v>
      </c>
      <c r="B75" s="94">
        <v>2040</v>
      </c>
      <c r="C75" s="640" t="s">
        <v>4238</v>
      </c>
      <c r="D75" s="644">
        <v>44039</v>
      </c>
      <c r="E75" s="641" t="s">
        <v>4239</v>
      </c>
      <c r="F75" s="641" t="s">
        <v>4240</v>
      </c>
      <c r="G75" s="642" t="s">
        <v>4241</v>
      </c>
      <c r="H75" s="643"/>
      <c r="I75" s="81"/>
      <c r="J75" s="35"/>
      <c r="K75" s="36"/>
      <c r="L75" s="36"/>
      <c r="M75" s="36"/>
      <c r="N75" s="36"/>
      <c r="O75" s="36"/>
      <c r="P75" s="36"/>
      <c r="Q75" s="36"/>
      <c r="R75" s="36"/>
      <c r="S75" s="36"/>
      <c r="T75" s="36"/>
      <c r="U75" s="36"/>
      <c r="V75" s="36"/>
      <c r="W75" s="36"/>
      <c r="X75" s="36"/>
      <c r="Y75" s="36"/>
      <c r="Z75" s="36"/>
      <c r="AA75" s="36"/>
      <c r="AB75" s="36"/>
      <c r="AC75" s="36"/>
    </row>
    <row r="76" spans="1:29" ht="58.5" customHeight="1">
      <c r="A76" s="639">
        <v>71</v>
      </c>
      <c r="B76" s="94">
        <v>4108</v>
      </c>
      <c r="C76" s="640" t="s">
        <v>4242</v>
      </c>
      <c r="D76" s="644">
        <v>44070</v>
      </c>
      <c r="E76" s="641" t="s">
        <v>4243</v>
      </c>
      <c r="F76" s="641" t="s">
        <v>4244</v>
      </c>
      <c r="G76" s="642" t="s">
        <v>4245</v>
      </c>
      <c r="H76" s="643"/>
      <c r="I76" s="81"/>
      <c r="J76" s="35"/>
      <c r="K76" s="36"/>
      <c r="L76" s="36"/>
      <c r="M76" s="36"/>
      <c r="N76" s="36"/>
      <c r="O76" s="36"/>
      <c r="P76" s="36"/>
      <c r="Q76" s="36"/>
      <c r="R76" s="36"/>
      <c r="S76" s="36"/>
      <c r="T76" s="36"/>
      <c r="U76" s="36"/>
      <c r="V76" s="36"/>
      <c r="W76" s="36"/>
      <c r="X76" s="36"/>
      <c r="Y76" s="36"/>
      <c r="Z76" s="36"/>
      <c r="AA76" s="36"/>
      <c r="AB76" s="36"/>
      <c r="AC76" s="36"/>
    </row>
    <row r="77" spans="1:29" ht="58.5" customHeight="1">
      <c r="A77" s="639">
        <v>72</v>
      </c>
      <c r="B77" s="94">
        <v>1076</v>
      </c>
      <c r="C77" s="640" t="s">
        <v>4246</v>
      </c>
      <c r="D77" s="644">
        <v>44040</v>
      </c>
      <c r="E77" s="641" t="s">
        <v>4247</v>
      </c>
      <c r="F77" s="641" t="s">
        <v>4248</v>
      </c>
      <c r="G77" s="642" t="s">
        <v>4249</v>
      </c>
      <c r="H77" s="643"/>
      <c r="I77" s="81"/>
      <c r="J77" s="35"/>
      <c r="K77" s="36"/>
      <c r="L77" s="36"/>
      <c r="M77" s="36"/>
      <c r="N77" s="36"/>
      <c r="O77" s="36"/>
      <c r="P77" s="36"/>
      <c r="Q77" s="36"/>
      <c r="R77" s="36"/>
      <c r="S77" s="36"/>
      <c r="T77" s="36"/>
      <c r="U77" s="36"/>
      <c r="V77" s="36"/>
      <c r="W77" s="36"/>
      <c r="X77" s="36"/>
      <c r="Y77" s="36"/>
      <c r="Z77" s="36"/>
      <c r="AA77" s="36"/>
      <c r="AB77" s="36"/>
      <c r="AC77" s="36"/>
    </row>
    <row r="78" spans="1:29" ht="75.75" customHeight="1">
      <c r="A78" s="639">
        <v>73</v>
      </c>
      <c r="B78" s="94">
        <v>60</v>
      </c>
      <c r="C78" s="640" t="s">
        <v>4250</v>
      </c>
      <c r="D78" s="644">
        <v>44041</v>
      </c>
      <c r="E78" s="641" t="s">
        <v>4251</v>
      </c>
      <c r="F78" s="641" t="s">
        <v>2884</v>
      </c>
      <c r="G78" s="642" t="s">
        <v>4252</v>
      </c>
      <c r="H78" s="643"/>
      <c r="I78" s="81"/>
      <c r="J78" s="35"/>
      <c r="K78" s="36"/>
      <c r="L78" s="36"/>
      <c r="M78" s="36"/>
      <c r="N78" s="36"/>
      <c r="O78" s="36"/>
      <c r="P78" s="36"/>
      <c r="Q78" s="36"/>
      <c r="R78" s="36"/>
      <c r="S78" s="36"/>
      <c r="T78" s="36"/>
      <c r="U78" s="36"/>
      <c r="V78" s="36"/>
      <c r="W78" s="36"/>
      <c r="X78" s="36"/>
      <c r="Y78" s="36"/>
      <c r="Z78" s="36"/>
      <c r="AA78" s="36"/>
      <c r="AB78" s="36"/>
      <c r="AC78" s="36"/>
    </row>
    <row r="79" spans="1:29" ht="75.75" customHeight="1">
      <c r="A79" s="639">
        <v>74</v>
      </c>
      <c r="B79" s="94">
        <v>179</v>
      </c>
      <c r="C79" s="640" t="s">
        <v>4253</v>
      </c>
      <c r="D79" s="644">
        <v>44043</v>
      </c>
      <c r="E79" s="641" t="s">
        <v>4254</v>
      </c>
      <c r="F79" s="641" t="s">
        <v>4255</v>
      </c>
      <c r="G79" s="642" t="s">
        <v>4256</v>
      </c>
      <c r="H79" s="643"/>
      <c r="I79" s="81"/>
      <c r="J79" s="35"/>
      <c r="K79" s="36"/>
      <c r="L79" s="36"/>
      <c r="M79" s="36"/>
      <c r="N79" s="36"/>
      <c r="O79" s="36"/>
      <c r="P79" s="36"/>
      <c r="Q79" s="36"/>
      <c r="R79" s="36"/>
      <c r="S79" s="36"/>
      <c r="T79" s="36"/>
      <c r="U79" s="36"/>
      <c r="V79" s="36"/>
      <c r="W79" s="36"/>
      <c r="X79" s="36"/>
      <c r="Y79" s="36"/>
      <c r="Z79" s="36"/>
      <c r="AA79" s="36"/>
      <c r="AB79" s="36"/>
      <c r="AC79" s="36"/>
    </row>
    <row r="80" spans="1:29" ht="75.75" customHeight="1">
      <c r="A80" s="639">
        <v>75</v>
      </c>
      <c r="B80" s="94">
        <v>1313</v>
      </c>
      <c r="C80" s="640" t="s">
        <v>4257</v>
      </c>
      <c r="D80" s="644">
        <v>44046</v>
      </c>
      <c r="E80" s="641" t="s">
        <v>4258</v>
      </c>
      <c r="F80" s="641" t="s">
        <v>4259</v>
      </c>
      <c r="G80" s="642" t="s">
        <v>4260</v>
      </c>
      <c r="H80" s="643"/>
      <c r="I80" s="81"/>
      <c r="J80" s="35"/>
      <c r="K80" s="36"/>
      <c r="L80" s="36"/>
      <c r="M80" s="36"/>
      <c r="N80" s="36"/>
      <c r="O80" s="36"/>
      <c r="P80" s="36"/>
      <c r="Q80" s="36"/>
      <c r="R80" s="36"/>
      <c r="S80" s="36"/>
      <c r="T80" s="36"/>
      <c r="U80" s="36"/>
      <c r="V80" s="36"/>
      <c r="W80" s="36"/>
      <c r="X80" s="36"/>
      <c r="Y80" s="36"/>
      <c r="Z80" s="36"/>
      <c r="AA80" s="36"/>
      <c r="AB80" s="36"/>
      <c r="AC80" s="36"/>
    </row>
    <row r="81" spans="1:29" ht="74.25" customHeight="1">
      <c r="A81" s="639">
        <v>76</v>
      </c>
      <c r="B81" s="94">
        <v>23</v>
      </c>
      <c r="C81" s="640" t="s">
        <v>4261</v>
      </c>
      <c r="D81" s="644">
        <v>44048</v>
      </c>
      <c r="E81" s="641" t="s">
        <v>4262</v>
      </c>
      <c r="F81" s="641" t="s">
        <v>4263</v>
      </c>
      <c r="G81" s="642" t="s">
        <v>4264</v>
      </c>
      <c r="H81" s="643"/>
      <c r="I81" s="81"/>
      <c r="J81" s="35"/>
      <c r="K81" s="36"/>
      <c r="L81" s="36"/>
      <c r="M81" s="36"/>
      <c r="N81" s="36"/>
      <c r="O81" s="36"/>
      <c r="P81" s="36"/>
      <c r="Q81" s="36"/>
      <c r="R81" s="36"/>
      <c r="S81" s="36"/>
      <c r="T81" s="36"/>
      <c r="U81" s="36"/>
      <c r="V81" s="36"/>
      <c r="W81" s="36"/>
      <c r="X81" s="36"/>
      <c r="Y81" s="36"/>
      <c r="Z81" s="36"/>
      <c r="AA81" s="36"/>
      <c r="AB81" s="36"/>
      <c r="AC81" s="36"/>
    </row>
    <row r="82" spans="1:29" ht="51.75" customHeight="1">
      <c r="A82" s="639">
        <v>77</v>
      </c>
      <c r="B82" s="94">
        <v>11614</v>
      </c>
      <c r="C82" s="640" t="s">
        <v>4265</v>
      </c>
      <c r="D82" s="644">
        <v>44049</v>
      </c>
      <c r="E82" s="641" t="s">
        <v>4266</v>
      </c>
      <c r="F82" s="641" t="s">
        <v>783</v>
      </c>
      <c r="G82" s="642" t="s">
        <v>4267</v>
      </c>
      <c r="H82" s="643"/>
      <c r="I82" s="81"/>
      <c r="J82" s="35"/>
      <c r="K82" s="36"/>
      <c r="L82" s="36"/>
      <c r="M82" s="36"/>
      <c r="N82" s="36"/>
      <c r="O82" s="36"/>
      <c r="P82" s="36"/>
      <c r="Q82" s="36"/>
      <c r="R82" s="36"/>
      <c r="S82" s="36"/>
      <c r="T82" s="36"/>
      <c r="U82" s="36"/>
      <c r="V82" s="36"/>
      <c r="W82" s="36"/>
      <c r="X82" s="36"/>
      <c r="Y82" s="36"/>
      <c r="Z82" s="36"/>
      <c r="AA82" s="36"/>
      <c r="AB82" s="36"/>
      <c r="AC82" s="36"/>
    </row>
    <row r="83" spans="1:29" ht="123.75" customHeight="1">
      <c r="A83" s="639">
        <v>78</v>
      </c>
      <c r="B83" s="94">
        <v>1109</v>
      </c>
      <c r="C83" s="640" t="s">
        <v>4268</v>
      </c>
      <c r="D83" s="644">
        <v>44053</v>
      </c>
      <c r="E83" s="641" t="s">
        <v>4269</v>
      </c>
      <c r="F83" s="641" t="s">
        <v>4270</v>
      </c>
      <c r="G83" s="642" t="s">
        <v>4271</v>
      </c>
      <c r="H83" s="643"/>
      <c r="I83" s="81"/>
      <c r="J83" s="35"/>
      <c r="K83" s="36"/>
      <c r="L83" s="36"/>
      <c r="M83" s="36"/>
      <c r="N83" s="36"/>
      <c r="O83" s="36"/>
      <c r="P83" s="36"/>
      <c r="Q83" s="36"/>
      <c r="R83" s="36"/>
      <c r="S83" s="36"/>
      <c r="T83" s="36"/>
      <c r="U83" s="36"/>
      <c r="V83" s="36"/>
      <c r="W83" s="36"/>
      <c r="X83" s="36"/>
      <c r="Y83" s="36"/>
      <c r="Z83" s="36"/>
      <c r="AA83" s="36"/>
      <c r="AB83" s="36"/>
      <c r="AC83" s="36"/>
    </row>
    <row r="84" spans="1:29" ht="40.5" customHeight="1">
      <c r="A84" s="639">
        <v>79</v>
      </c>
      <c r="B84" s="94">
        <v>2056</v>
      </c>
      <c r="C84" s="640" t="s">
        <v>4272</v>
      </c>
      <c r="D84" s="644">
        <v>44055</v>
      </c>
      <c r="E84" s="641" t="s">
        <v>4273</v>
      </c>
      <c r="F84" s="641" t="s">
        <v>2884</v>
      </c>
      <c r="G84" s="642" t="s">
        <v>4274</v>
      </c>
      <c r="H84" s="643"/>
      <c r="I84" s="81"/>
      <c r="J84" s="35"/>
      <c r="K84" s="36"/>
      <c r="L84" s="36"/>
      <c r="M84" s="36"/>
      <c r="N84" s="36"/>
      <c r="O84" s="36"/>
      <c r="P84" s="36"/>
      <c r="Q84" s="36"/>
      <c r="R84" s="36"/>
      <c r="S84" s="36"/>
      <c r="T84" s="36"/>
      <c r="U84" s="36"/>
      <c r="V84" s="36"/>
      <c r="W84" s="36"/>
      <c r="X84" s="36"/>
      <c r="Y84" s="36"/>
      <c r="Z84" s="36"/>
      <c r="AA84" s="36"/>
      <c r="AB84" s="36"/>
      <c r="AC84" s="36"/>
    </row>
    <row r="85" spans="1:29" ht="40.5" customHeight="1">
      <c r="A85" s="639">
        <v>80</v>
      </c>
      <c r="B85" s="94">
        <v>186</v>
      </c>
      <c r="C85" s="640" t="s">
        <v>4275</v>
      </c>
      <c r="D85" s="644">
        <v>44058</v>
      </c>
      <c r="E85" s="641" t="s">
        <v>4276</v>
      </c>
      <c r="F85" s="641" t="s">
        <v>4277</v>
      </c>
      <c r="G85" s="642" t="s">
        <v>4278</v>
      </c>
      <c r="H85" s="643"/>
      <c r="I85" s="81"/>
      <c r="J85" s="35"/>
      <c r="K85" s="36"/>
      <c r="L85" s="36"/>
      <c r="M85" s="36"/>
      <c r="N85" s="36"/>
      <c r="O85" s="36"/>
      <c r="P85" s="36"/>
      <c r="Q85" s="36"/>
      <c r="R85" s="36"/>
      <c r="S85" s="36"/>
      <c r="T85" s="36"/>
      <c r="U85" s="36"/>
      <c r="V85" s="36"/>
      <c r="W85" s="36"/>
      <c r="X85" s="36"/>
      <c r="Y85" s="36"/>
      <c r="Z85" s="36"/>
      <c r="AA85" s="36"/>
      <c r="AB85" s="36"/>
      <c r="AC85" s="36"/>
    </row>
    <row r="86" spans="1:29" ht="44.25" customHeight="1">
      <c r="A86" s="639">
        <v>81</v>
      </c>
      <c r="B86" s="94">
        <v>25</v>
      </c>
      <c r="C86" s="640" t="s">
        <v>4279</v>
      </c>
      <c r="D86" s="644">
        <v>44062</v>
      </c>
      <c r="E86" s="641" t="s">
        <v>4280</v>
      </c>
      <c r="F86" s="641" t="s">
        <v>2884</v>
      </c>
      <c r="G86" s="642" t="s">
        <v>4281</v>
      </c>
      <c r="H86" s="643"/>
      <c r="I86" s="81"/>
      <c r="J86" s="35"/>
      <c r="K86" s="36"/>
      <c r="L86" s="36"/>
      <c r="M86" s="36"/>
      <c r="N86" s="36"/>
      <c r="O86" s="36"/>
      <c r="P86" s="36"/>
      <c r="Q86" s="36"/>
      <c r="R86" s="36"/>
      <c r="S86" s="36"/>
      <c r="T86" s="36"/>
      <c r="U86" s="36"/>
      <c r="V86" s="36"/>
      <c r="W86" s="36"/>
      <c r="X86" s="36"/>
      <c r="Y86" s="36"/>
      <c r="Z86" s="36"/>
      <c r="AA86" s="36"/>
      <c r="AB86" s="36"/>
      <c r="AC86" s="36"/>
    </row>
    <row r="87" spans="1:29" ht="24" customHeight="1">
      <c r="A87" s="639">
        <v>82</v>
      </c>
      <c r="B87" s="94" t="s">
        <v>4282</v>
      </c>
      <c r="C87" s="640" t="s">
        <v>4283</v>
      </c>
      <c r="D87" s="644">
        <v>44064</v>
      </c>
      <c r="E87" s="641" t="s">
        <v>4284</v>
      </c>
      <c r="F87" s="641" t="s">
        <v>2884</v>
      </c>
      <c r="G87" s="642" t="s">
        <v>4285</v>
      </c>
      <c r="H87" s="643"/>
      <c r="I87" s="81"/>
      <c r="J87" s="35"/>
      <c r="K87" s="36"/>
      <c r="L87" s="36"/>
      <c r="M87" s="36"/>
      <c r="N87" s="36"/>
      <c r="O87" s="36"/>
      <c r="P87" s="36"/>
      <c r="Q87" s="36"/>
      <c r="R87" s="36"/>
      <c r="S87" s="36"/>
      <c r="T87" s="36"/>
      <c r="U87" s="36"/>
      <c r="V87" s="36"/>
      <c r="W87" s="36"/>
      <c r="X87" s="36"/>
      <c r="Y87" s="36"/>
      <c r="Z87" s="36"/>
      <c r="AA87" s="36"/>
      <c r="AB87" s="36"/>
      <c r="AC87" s="36"/>
    </row>
    <row r="88" spans="1:29" ht="45" customHeight="1">
      <c r="A88" s="639">
        <v>83</v>
      </c>
      <c r="B88" s="647" t="s">
        <v>4286</v>
      </c>
      <c r="C88" s="640" t="s">
        <v>4287</v>
      </c>
      <c r="D88" s="644">
        <v>44064</v>
      </c>
      <c r="E88" s="641" t="s">
        <v>4288</v>
      </c>
      <c r="F88" s="641" t="s">
        <v>2884</v>
      </c>
      <c r="G88" s="642" t="s">
        <v>4285</v>
      </c>
      <c r="H88" s="643"/>
      <c r="I88" s="81"/>
      <c r="J88" s="35"/>
      <c r="K88" s="36"/>
      <c r="L88" s="36"/>
      <c r="M88" s="36"/>
      <c r="N88" s="36"/>
      <c r="O88" s="36"/>
      <c r="P88" s="36"/>
      <c r="Q88" s="36"/>
      <c r="R88" s="36"/>
      <c r="S88" s="36"/>
      <c r="T88" s="36"/>
      <c r="U88" s="36"/>
      <c r="V88" s="36"/>
      <c r="W88" s="36"/>
      <c r="X88" s="36"/>
      <c r="Y88" s="36"/>
      <c r="Z88" s="36"/>
      <c r="AA88" s="36"/>
      <c r="AB88" s="36"/>
      <c r="AC88" s="36"/>
    </row>
    <row r="89" spans="1:29" ht="115.5" customHeight="1">
      <c r="A89" s="639">
        <v>84</v>
      </c>
      <c r="B89" s="94">
        <v>1421</v>
      </c>
      <c r="C89" s="640" t="s">
        <v>4289</v>
      </c>
      <c r="D89" s="644">
        <v>44064</v>
      </c>
      <c r="E89" s="641" t="s">
        <v>4290</v>
      </c>
      <c r="F89" s="641" t="s">
        <v>4291</v>
      </c>
      <c r="G89" s="642" t="s">
        <v>4292</v>
      </c>
      <c r="H89" s="643"/>
      <c r="I89" s="81"/>
      <c r="J89" s="35"/>
      <c r="K89" s="36"/>
      <c r="L89" s="36"/>
      <c r="M89" s="36"/>
      <c r="N89" s="36"/>
      <c r="O89" s="36"/>
      <c r="P89" s="36"/>
      <c r="Q89" s="36"/>
      <c r="R89" s="36"/>
      <c r="S89" s="36"/>
      <c r="T89" s="36"/>
      <c r="U89" s="36"/>
      <c r="V89" s="36"/>
      <c r="W89" s="36"/>
      <c r="X89" s="36"/>
      <c r="Y89" s="36"/>
      <c r="Z89" s="36"/>
      <c r="AA89" s="36"/>
      <c r="AB89" s="36"/>
      <c r="AC89" s="36"/>
    </row>
    <row r="90" spans="1:29" ht="117.75" customHeight="1">
      <c r="A90" s="639">
        <v>85</v>
      </c>
      <c r="B90" s="648" t="s">
        <v>4293</v>
      </c>
      <c r="C90" s="640" t="s">
        <v>4294</v>
      </c>
      <c r="D90" s="644">
        <v>44064</v>
      </c>
      <c r="E90" s="641" t="s">
        <v>4295</v>
      </c>
      <c r="F90" s="592" t="s">
        <v>4296</v>
      </c>
      <c r="G90" s="642" t="s">
        <v>4297</v>
      </c>
      <c r="H90" s="643"/>
      <c r="I90" s="81"/>
      <c r="J90" s="35"/>
      <c r="K90" s="36"/>
      <c r="L90" s="36"/>
      <c r="M90" s="36"/>
      <c r="N90" s="36"/>
      <c r="O90" s="36"/>
      <c r="P90" s="36"/>
      <c r="Q90" s="36"/>
      <c r="R90" s="36"/>
      <c r="S90" s="36"/>
      <c r="T90" s="36"/>
      <c r="U90" s="36"/>
      <c r="V90" s="36"/>
      <c r="W90" s="36"/>
      <c r="X90" s="36"/>
      <c r="Y90" s="36"/>
      <c r="Z90" s="36"/>
      <c r="AA90" s="36"/>
      <c r="AB90" s="36"/>
      <c r="AC90" s="36"/>
    </row>
    <row r="91" spans="1:29" ht="82.5" customHeight="1">
      <c r="A91" s="639">
        <v>86</v>
      </c>
      <c r="B91" s="646">
        <v>1421</v>
      </c>
      <c r="C91" s="640" t="s">
        <v>4298</v>
      </c>
      <c r="D91" s="644">
        <v>44064</v>
      </c>
      <c r="E91" s="641" t="s">
        <v>4299</v>
      </c>
      <c r="F91" s="592" t="s">
        <v>4300</v>
      </c>
      <c r="G91" s="642" t="s">
        <v>4301</v>
      </c>
      <c r="H91" s="643"/>
      <c r="I91" s="81"/>
      <c r="J91" s="35"/>
      <c r="K91" s="36"/>
      <c r="L91" s="36"/>
      <c r="M91" s="36"/>
      <c r="N91" s="36"/>
      <c r="O91" s="36"/>
      <c r="P91" s="36"/>
      <c r="Q91" s="36"/>
      <c r="R91" s="36"/>
      <c r="S91" s="36"/>
      <c r="T91" s="36"/>
      <c r="U91" s="36"/>
      <c r="V91" s="36"/>
      <c r="W91" s="36"/>
      <c r="X91" s="36"/>
      <c r="Y91" s="36"/>
      <c r="Z91" s="36"/>
      <c r="AA91" s="36"/>
      <c r="AB91" s="36"/>
      <c r="AC91" s="36"/>
    </row>
    <row r="92" spans="1:29" ht="82.5" customHeight="1">
      <c r="A92" s="639">
        <v>87</v>
      </c>
      <c r="B92" s="94">
        <v>191</v>
      </c>
      <c r="C92" s="640" t="s">
        <v>4302</v>
      </c>
      <c r="D92" s="644">
        <v>44067</v>
      </c>
      <c r="E92" s="641" t="s">
        <v>4303</v>
      </c>
      <c r="F92" s="592" t="s">
        <v>4304</v>
      </c>
      <c r="G92" s="642" t="s">
        <v>4305</v>
      </c>
      <c r="H92" s="643"/>
      <c r="I92" s="81"/>
      <c r="J92" s="35"/>
      <c r="K92" s="36"/>
      <c r="L92" s="36"/>
      <c r="M92" s="36"/>
      <c r="N92" s="36"/>
      <c r="O92" s="36"/>
      <c r="P92" s="36"/>
      <c r="Q92" s="36"/>
      <c r="R92" s="36"/>
      <c r="S92" s="36"/>
      <c r="T92" s="36"/>
      <c r="U92" s="36"/>
      <c r="V92" s="36"/>
      <c r="W92" s="36"/>
      <c r="X92" s="36"/>
      <c r="Y92" s="36"/>
      <c r="Z92" s="36"/>
      <c r="AA92" s="36"/>
      <c r="AB92" s="36"/>
      <c r="AC92" s="36"/>
    </row>
    <row r="93" spans="1:29" ht="106.5" customHeight="1">
      <c r="A93" s="639">
        <v>88</v>
      </c>
      <c r="B93" s="94">
        <v>413</v>
      </c>
      <c r="C93" s="640" t="s">
        <v>4306</v>
      </c>
      <c r="D93" s="644">
        <v>44067</v>
      </c>
      <c r="E93" s="641" t="s">
        <v>4307</v>
      </c>
      <c r="F93" s="592" t="s">
        <v>2884</v>
      </c>
      <c r="G93" s="642" t="s">
        <v>4308</v>
      </c>
      <c r="H93" s="643"/>
      <c r="I93" s="81"/>
      <c r="J93" s="35"/>
      <c r="K93" s="36"/>
      <c r="L93" s="36"/>
      <c r="M93" s="36"/>
      <c r="N93" s="36"/>
      <c r="O93" s="36"/>
      <c r="P93" s="36"/>
      <c r="Q93" s="36"/>
      <c r="R93" s="36"/>
      <c r="S93" s="36"/>
      <c r="T93" s="36"/>
      <c r="U93" s="36"/>
      <c r="V93" s="36"/>
      <c r="W93" s="36"/>
      <c r="X93" s="36"/>
      <c r="Y93" s="36"/>
      <c r="Z93" s="36"/>
      <c r="AA93" s="36"/>
      <c r="AB93" s="36"/>
      <c r="AC93" s="36"/>
    </row>
    <row r="94" spans="1:29" ht="106.5" customHeight="1">
      <c r="A94" s="639">
        <v>89</v>
      </c>
      <c r="B94" s="94">
        <v>1168</v>
      </c>
      <c r="C94" s="640" t="s">
        <v>4309</v>
      </c>
      <c r="D94" s="644">
        <v>44068</v>
      </c>
      <c r="E94" s="641" t="s">
        <v>4310</v>
      </c>
      <c r="F94" s="592" t="s">
        <v>4311</v>
      </c>
      <c r="G94" s="642" t="s">
        <v>4312</v>
      </c>
      <c r="H94" s="643"/>
      <c r="I94" s="81"/>
      <c r="J94" s="35"/>
      <c r="K94" s="36"/>
      <c r="L94" s="36"/>
      <c r="M94" s="36"/>
      <c r="N94" s="36"/>
      <c r="O94" s="36"/>
      <c r="P94" s="36"/>
      <c r="Q94" s="36"/>
      <c r="R94" s="36"/>
      <c r="S94" s="36"/>
      <c r="T94" s="36"/>
      <c r="U94" s="36"/>
      <c r="V94" s="36"/>
      <c r="W94" s="36"/>
      <c r="X94" s="36"/>
      <c r="Y94" s="36"/>
      <c r="Z94" s="36"/>
      <c r="AA94" s="36"/>
      <c r="AB94" s="36"/>
      <c r="AC94" s="36"/>
    </row>
    <row r="95" spans="1:29" ht="106.5" customHeight="1">
      <c r="A95" s="639">
        <v>90</v>
      </c>
      <c r="B95" s="94">
        <v>191</v>
      </c>
      <c r="C95" s="640" t="s">
        <v>4302</v>
      </c>
      <c r="D95" s="644">
        <v>44067</v>
      </c>
      <c r="E95" s="641" t="s">
        <v>4313</v>
      </c>
      <c r="F95" s="592" t="s">
        <v>4314</v>
      </c>
      <c r="G95" s="642" t="s">
        <v>4305</v>
      </c>
      <c r="H95" s="643"/>
      <c r="I95" s="81"/>
      <c r="J95" s="35"/>
      <c r="K95" s="36"/>
      <c r="L95" s="36"/>
      <c r="M95" s="36"/>
      <c r="N95" s="36"/>
      <c r="O95" s="36"/>
      <c r="P95" s="36"/>
      <c r="Q95" s="36"/>
      <c r="R95" s="36"/>
      <c r="S95" s="36"/>
      <c r="T95" s="36"/>
      <c r="U95" s="36"/>
      <c r="V95" s="36"/>
      <c r="W95" s="36"/>
      <c r="X95" s="36"/>
      <c r="Y95" s="36"/>
      <c r="Z95" s="36"/>
      <c r="AA95" s="36"/>
      <c r="AB95" s="36"/>
      <c r="AC95" s="36"/>
    </row>
    <row r="96" spans="1:29" ht="89.25" customHeight="1">
      <c r="A96" s="639">
        <v>91</v>
      </c>
      <c r="B96" s="94">
        <v>2052</v>
      </c>
      <c r="C96" s="640" t="s">
        <v>4315</v>
      </c>
      <c r="D96" s="644">
        <v>44068</v>
      </c>
      <c r="E96" s="641" t="s">
        <v>4316</v>
      </c>
      <c r="F96" s="592" t="s">
        <v>4317</v>
      </c>
      <c r="G96" s="642" t="s">
        <v>4318</v>
      </c>
      <c r="H96" s="643"/>
      <c r="I96" s="81"/>
      <c r="J96" s="35"/>
      <c r="K96" s="36"/>
      <c r="L96" s="36"/>
      <c r="M96" s="36"/>
      <c r="N96" s="36"/>
      <c r="O96" s="36"/>
      <c r="P96" s="36"/>
      <c r="Q96" s="36"/>
      <c r="R96" s="36"/>
      <c r="S96" s="36"/>
      <c r="T96" s="36"/>
      <c r="U96" s="36"/>
      <c r="V96" s="36"/>
      <c r="W96" s="36"/>
      <c r="X96" s="36"/>
      <c r="Y96" s="36"/>
      <c r="Z96" s="36"/>
      <c r="AA96" s="36"/>
      <c r="AB96" s="36"/>
      <c r="AC96" s="36"/>
    </row>
    <row r="97" spans="1:29" ht="82.5" customHeight="1">
      <c r="A97" s="639">
        <v>92</v>
      </c>
      <c r="B97" s="94">
        <v>1462</v>
      </c>
      <c r="C97" s="640" t="s">
        <v>4319</v>
      </c>
      <c r="D97" s="644">
        <v>44068</v>
      </c>
      <c r="E97" s="641" t="s">
        <v>4320</v>
      </c>
      <c r="F97" s="592" t="s">
        <v>4321</v>
      </c>
      <c r="G97" s="642" t="s">
        <v>4322</v>
      </c>
      <c r="H97" s="643"/>
      <c r="I97" s="81"/>
      <c r="J97" s="35"/>
      <c r="K97" s="36"/>
      <c r="L97" s="36"/>
      <c r="M97" s="36"/>
      <c r="N97" s="36"/>
      <c r="O97" s="36"/>
      <c r="P97" s="36"/>
      <c r="Q97" s="36"/>
      <c r="R97" s="36"/>
      <c r="S97" s="36"/>
      <c r="T97" s="36"/>
      <c r="U97" s="36"/>
      <c r="V97" s="36"/>
      <c r="W97" s="36"/>
      <c r="X97" s="36"/>
      <c r="Y97" s="36"/>
      <c r="Z97" s="36"/>
      <c r="AA97" s="36"/>
      <c r="AB97" s="36"/>
      <c r="AC97" s="36"/>
    </row>
    <row r="98" spans="1:29" ht="82.5" customHeight="1">
      <c r="A98" s="639">
        <v>93</v>
      </c>
      <c r="B98" s="94">
        <v>1168</v>
      </c>
      <c r="C98" s="640" t="s">
        <v>4323</v>
      </c>
      <c r="D98" s="644">
        <v>44068</v>
      </c>
      <c r="E98" s="641" t="s">
        <v>4324</v>
      </c>
      <c r="F98" s="592" t="s">
        <v>4325</v>
      </c>
      <c r="G98" s="642" t="s">
        <v>4326</v>
      </c>
      <c r="H98" s="643"/>
      <c r="I98" s="81"/>
      <c r="J98" s="35"/>
      <c r="K98" s="36"/>
      <c r="L98" s="36"/>
      <c r="M98" s="36"/>
      <c r="N98" s="36"/>
      <c r="O98" s="36"/>
      <c r="P98" s="36"/>
      <c r="Q98" s="36"/>
      <c r="R98" s="36"/>
      <c r="S98" s="36"/>
      <c r="T98" s="36"/>
      <c r="U98" s="36"/>
      <c r="V98" s="36"/>
      <c r="W98" s="36"/>
      <c r="X98" s="36"/>
      <c r="Y98" s="36"/>
      <c r="Z98" s="36"/>
      <c r="AA98" s="36"/>
      <c r="AB98" s="36"/>
      <c r="AC98" s="36"/>
    </row>
    <row r="99" spans="1:29" ht="82.5" customHeight="1">
      <c r="A99" s="639">
        <v>94</v>
      </c>
      <c r="B99" s="94">
        <v>193</v>
      </c>
      <c r="C99" s="640" t="s">
        <v>4327</v>
      </c>
      <c r="D99" s="644">
        <v>44069</v>
      </c>
      <c r="E99" s="641" t="s">
        <v>4328</v>
      </c>
      <c r="F99" s="592" t="s">
        <v>4329</v>
      </c>
      <c r="G99" s="642" t="s">
        <v>4330</v>
      </c>
      <c r="H99" s="643"/>
      <c r="I99" s="81"/>
      <c r="J99" s="35"/>
      <c r="K99" s="36"/>
      <c r="L99" s="36"/>
      <c r="M99" s="36"/>
      <c r="N99" s="36"/>
      <c r="O99" s="36"/>
      <c r="P99" s="36"/>
      <c r="Q99" s="36"/>
      <c r="R99" s="36"/>
      <c r="S99" s="36"/>
      <c r="T99" s="36"/>
      <c r="U99" s="36"/>
      <c r="V99" s="36"/>
      <c r="W99" s="36"/>
      <c r="X99" s="36"/>
      <c r="Y99" s="36"/>
      <c r="Z99" s="36"/>
      <c r="AA99" s="36"/>
      <c r="AB99" s="36"/>
      <c r="AC99" s="36"/>
    </row>
    <row r="100" spans="1:29" ht="63.75" customHeight="1">
      <c r="A100" s="639">
        <v>95</v>
      </c>
      <c r="B100" s="94">
        <v>7</v>
      </c>
      <c r="C100" s="640" t="s">
        <v>4331</v>
      </c>
      <c r="D100" s="644">
        <v>44070</v>
      </c>
      <c r="E100" s="641" t="s">
        <v>4332</v>
      </c>
      <c r="F100" s="592" t="s">
        <v>4333</v>
      </c>
      <c r="G100" s="642" t="s">
        <v>4334</v>
      </c>
      <c r="H100" s="643"/>
      <c r="I100" s="81"/>
      <c r="J100" s="35"/>
      <c r="K100" s="36"/>
      <c r="L100" s="36"/>
      <c r="M100" s="36"/>
      <c r="N100" s="36"/>
      <c r="O100" s="36"/>
      <c r="P100" s="36"/>
      <c r="Q100" s="36"/>
      <c r="R100" s="36"/>
      <c r="S100" s="36"/>
      <c r="T100" s="36"/>
      <c r="U100" s="36"/>
      <c r="V100" s="36"/>
      <c r="W100" s="36"/>
      <c r="X100" s="36"/>
      <c r="Y100" s="36"/>
      <c r="Z100" s="36"/>
      <c r="AA100" s="36"/>
      <c r="AB100" s="36"/>
      <c r="AC100" s="36"/>
    </row>
    <row r="101" spans="1:29" ht="48" customHeight="1">
      <c r="A101" s="639">
        <v>96</v>
      </c>
      <c r="B101" s="94">
        <v>4</v>
      </c>
      <c r="C101" s="640" t="s">
        <v>4335</v>
      </c>
      <c r="D101" s="644">
        <v>43948</v>
      </c>
      <c r="E101" s="641" t="s">
        <v>4336</v>
      </c>
      <c r="F101" s="592" t="s">
        <v>2884</v>
      </c>
      <c r="G101" s="642" t="s">
        <v>4337</v>
      </c>
      <c r="H101" s="643"/>
      <c r="I101" s="81"/>
      <c r="J101" s="35"/>
      <c r="K101" s="36"/>
      <c r="L101" s="36"/>
      <c r="M101" s="36"/>
      <c r="N101" s="36"/>
      <c r="O101" s="36"/>
      <c r="P101" s="36"/>
      <c r="Q101" s="36"/>
      <c r="R101" s="36"/>
      <c r="S101" s="36"/>
      <c r="T101" s="36"/>
      <c r="U101" s="36"/>
      <c r="V101" s="36"/>
      <c r="W101" s="36"/>
      <c r="X101" s="36"/>
      <c r="Y101" s="36"/>
      <c r="Z101" s="36"/>
      <c r="AA101" s="36"/>
      <c r="AB101" s="36"/>
      <c r="AC101" s="36"/>
    </row>
    <row r="102" spans="1:29" ht="52.5" customHeight="1">
      <c r="A102" s="639">
        <v>97</v>
      </c>
      <c r="B102" s="649">
        <v>18</v>
      </c>
      <c r="C102" s="640" t="s">
        <v>4338</v>
      </c>
      <c r="D102" s="644">
        <v>44071</v>
      </c>
      <c r="E102" s="641" t="s">
        <v>4339</v>
      </c>
      <c r="F102" s="592" t="s">
        <v>4340</v>
      </c>
      <c r="G102" s="642" t="s">
        <v>4341</v>
      </c>
      <c r="H102" s="643"/>
      <c r="I102" s="81"/>
      <c r="J102" s="35"/>
      <c r="K102" s="36"/>
      <c r="L102" s="36"/>
      <c r="M102" s="36"/>
      <c r="N102" s="36"/>
      <c r="O102" s="36"/>
      <c r="P102" s="36"/>
      <c r="Q102" s="36"/>
      <c r="R102" s="36"/>
      <c r="S102" s="36"/>
      <c r="T102" s="36"/>
      <c r="U102" s="36"/>
      <c r="V102" s="36"/>
      <c r="W102" s="36"/>
      <c r="X102" s="36"/>
      <c r="Y102" s="36"/>
      <c r="Z102" s="36"/>
      <c r="AA102" s="36"/>
      <c r="AB102" s="36"/>
      <c r="AC102" s="36"/>
    </row>
    <row r="103" spans="1:29" ht="42" customHeight="1">
      <c r="A103" s="639">
        <v>98</v>
      </c>
      <c r="B103" s="645">
        <v>11623</v>
      </c>
      <c r="C103" s="640" t="s">
        <v>4342</v>
      </c>
      <c r="D103" s="644">
        <v>44071</v>
      </c>
      <c r="E103" s="641" t="s">
        <v>4343</v>
      </c>
      <c r="F103" s="592" t="s">
        <v>2884</v>
      </c>
      <c r="G103" s="642" t="s">
        <v>4344</v>
      </c>
      <c r="H103" s="643"/>
      <c r="I103" s="81"/>
      <c r="J103" s="35"/>
      <c r="K103" s="36"/>
      <c r="L103" s="36"/>
      <c r="M103" s="36"/>
      <c r="N103" s="36"/>
      <c r="O103" s="36"/>
      <c r="P103" s="36"/>
      <c r="Q103" s="36"/>
      <c r="R103" s="36"/>
      <c r="S103" s="36"/>
      <c r="T103" s="36"/>
      <c r="U103" s="36"/>
      <c r="V103" s="36"/>
      <c r="W103" s="36"/>
      <c r="X103" s="36"/>
      <c r="Y103" s="36"/>
      <c r="Z103" s="36"/>
      <c r="AA103" s="36"/>
      <c r="AB103" s="36"/>
      <c r="AC103" s="36"/>
    </row>
    <row r="104" spans="1:29" ht="76.5" customHeight="1">
      <c r="A104" s="639">
        <v>99</v>
      </c>
      <c r="B104" s="94">
        <v>1507</v>
      </c>
      <c r="C104" s="640" t="s">
        <v>4345</v>
      </c>
      <c r="D104" s="644">
        <v>44074</v>
      </c>
      <c r="E104" s="641" t="s">
        <v>4346</v>
      </c>
      <c r="F104" s="592" t="s">
        <v>4347</v>
      </c>
      <c r="G104" s="642" t="s">
        <v>4348</v>
      </c>
      <c r="H104" s="643"/>
      <c r="I104" s="81"/>
      <c r="J104" s="35"/>
      <c r="K104" s="36"/>
      <c r="L104" s="36"/>
      <c r="M104" s="36"/>
      <c r="N104" s="36"/>
      <c r="O104" s="36"/>
      <c r="P104" s="36"/>
      <c r="Q104" s="36"/>
      <c r="R104" s="36"/>
      <c r="S104" s="36"/>
      <c r="T104" s="36"/>
      <c r="U104" s="36"/>
      <c r="V104" s="36"/>
      <c r="W104" s="36"/>
      <c r="X104" s="36"/>
      <c r="Y104" s="36"/>
      <c r="Z104" s="36"/>
      <c r="AA104" s="36"/>
      <c r="AB104" s="36"/>
      <c r="AC104" s="36"/>
    </row>
    <row r="105" spans="1:29" ht="42" customHeight="1">
      <c r="A105" s="639">
        <v>100</v>
      </c>
      <c r="B105" s="94">
        <v>8</v>
      </c>
      <c r="C105" s="640" t="s">
        <v>4349</v>
      </c>
      <c r="D105" s="644">
        <v>44074</v>
      </c>
      <c r="E105" s="641" t="s">
        <v>4350</v>
      </c>
      <c r="F105" s="592" t="s">
        <v>2884</v>
      </c>
      <c r="G105" s="642" t="s">
        <v>4351</v>
      </c>
      <c r="H105" s="643"/>
      <c r="I105" s="81"/>
      <c r="J105" s="35"/>
      <c r="K105" s="36"/>
      <c r="L105" s="36"/>
      <c r="M105" s="36"/>
      <c r="N105" s="36"/>
      <c r="O105" s="36"/>
      <c r="P105" s="36"/>
      <c r="Q105" s="36"/>
      <c r="R105" s="36"/>
      <c r="S105" s="36"/>
      <c r="T105" s="36"/>
      <c r="U105" s="36"/>
      <c r="V105" s="36"/>
      <c r="W105" s="36"/>
      <c r="X105" s="36"/>
      <c r="Y105" s="36"/>
      <c r="Z105" s="36"/>
      <c r="AA105" s="36"/>
      <c r="AB105" s="36"/>
      <c r="AC105" s="36"/>
    </row>
    <row r="106" spans="1:29" ht="40.5" customHeight="1">
      <c r="A106" s="639">
        <v>101</v>
      </c>
      <c r="B106" s="94">
        <v>1513</v>
      </c>
      <c r="C106" s="640" t="s">
        <v>4352</v>
      </c>
      <c r="D106" s="644">
        <v>44075</v>
      </c>
      <c r="E106" s="641" t="s">
        <v>4353</v>
      </c>
      <c r="F106" s="592" t="s">
        <v>2884</v>
      </c>
      <c r="G106" s="642" t="s">
        <v>4354</v>
      </c>
      <c r="H106" s="643"/>
      <c r="I106" s="81"/>
      <c r="J106" s="35"/>
      <c r="K106" s="36"/>
      <c r="L106" s="36"/>
      <c r="M106" s="36"/>
      <c r="N106" s="36"/>
      <c r="O106" s="36"/>
      <c r="P106" s="36"/>
      <c r="Q106" s="36"/>
      <c r="R106" s="36"/>
      <c r="S106" s="36"/>
      <c r="T106" s="36"/>
      <c r="U106" s="36"/>
      <c r="V106" s="36"/>
      <c r="W106" s="36"/>
      <c r="X106" s="36"/>
      <c r="Y106" s="36"/>
      <c r="Z106" s="36"/>
      <c r="AA106" s="36"/>
      <c r="AB106" s="36"/>
      <c r="AC106" s="36"/>
    </row>
    <row r="107" spans="1:29" ht="48.75" customHeight="1">
      <c r="A107" s="639">
        <v>102</v>
      </c>
      <c r="B107" s="94">
        <v>1698</v>
      </c>
      <c r="C107" s="640" t="s">
        <v>4355</v>
      </c>
      <c r="D107" s="644">
        <v>44083</v>
      </c>
      <c r="E107" s="641" t="s">
        <v>4356</v>
      </c>
      <c r="F107" s="592" t="s">
        <v>4357</v>
      </c>
      <c r="G107" s="642" t="s">
        <v>4308</v>
      </c>
      <c r="H107" s="643"/>
      <c r="I107" s="81"/>
      <c r="J107" s="35"/>
      <c r="K107" s="36"/>
      <c r="L107" s="36"/>
      <c r="M107" s="36"/>
      <c r="N107" s="36"/>
      <c r="O107" s="36"/>
      <c r="P107" s="36"/>
      <c r="Q107" s="36"/>
      <c r="R107" s="36"/>
      <c r="S107" s="36"/>
      <c r="T107" s="36"/>
      <c r="U107" s="36"/>
      <c r="V107" s="36"/>
      <c r="W107" s="36"/>
      <c r="X107" s="36"/>
      <c r="Y107" s="36"/>
      <c r="Z107" s="36"/>
      <c r="AA107" s="36"/>
      <c r="AB107" s="36"/>
      <c r="AC107" s="36"/>
    </row>
    <row r="108" spans="1:29" ht="84" customHeight="1">
      <c r="A108" s="639">
        <v>103</v>
      </c>
      <c r="B108" s="94">
        <v>1258</v>
      </c>
      <c r="C108" s="640" t="s">
        <v>4358</v>
      </c>
      <c r="D108" s="644">
        <v>44089</v>
      </c>
      <c r="E108" s="641" t="s">
        <v>4359</v>
      </c>
      <c r="F108" s="592" t="s">
        <v>4360</v>
      </c>
      <c r="G108" s="642" t="s">
        <v>4308</v>
      </c>
      <c r="H108" s="643"/>
      <c r="I108" s="81"/>
      <c r="J108" s="35"/>
      <c r="K108" s="36"/>
      <c r="L108" s="36"/>
      <c r="M108" s="36"/>
      <c r="N108" s="36"/>
      <c r="O108" s="36"/>
      <c r="P108" s="36"/>
      <c r="Q108" s="36"/>
      <c r="R108" s="36"/>
      <c r="S108" s="36"/>
      <c r="T108" s="36"/>
      <c r="U108" s="36"/>
      <c r="V108" s="36"/>
      <c r="W108" s="36"/>
      <c r="X108" s="36"/>
      <c r="Y108" s="36"/>
      <c r="Z108" s="36"/>
      <c r="AA108" s="36"/>
      <c r="AB108" s="36"/>
      <c r="AC108" s="36"/>
    </row>
    <row r="109" spans="1:29" ht="90.75" customHeight="1">
      <c r="A109" s="639">
        <v>104</v>
      </c>
      <c r="B109" s="94">
        <v>207</v>
      </c>
      <c r="C109" s="640" t="s">
        <v>4361</v>
      </c>
      <c r="D109" s="644">
        <v>44095</v>
      </c>
      <c r="E109" s="641" t="s">
        <v>4362</v>
      </c>
      <c r="F109" s="592" t="s">
        <v>4357</v>
      </c>
      <c r="G109" s="642" t="s">
        <v>4363</v>
      </c>
      <c r="H109" s="643"/>
      <c r="I109" s="81"/>
      <c r="J109" s="35"/>
      <c r="K109" s="36"/>
      <c r="L109" s="36"/>
      <c r="M109" s="36"/>
      <c r="N109" s="36"/>
      <c r="O109" s="36"/>
      <c r="P109" s="36"/>
      <c r="Q109" s="36"/>
      <c r="R109" s="36"/>
      <c r="S109" s="36"/>
      <c r="T109" s="36"/>
      <c r="U109" s="36"/>
      <c r="V109" s="36"/>
      <c r="W109" s="36"/>
      <c r="X109" s="36"/>
      <c r="Y109" s="36"/>
      <c r="Z109" s="36"/>
      <c r="AA109" s="36"/>
      <c r="AB109" s="36"/>
      <c r="AC109" s="36"/>
    </row>
    <row r="110" spans="1:29" ht="72" customHeight="1">
      <c r="A110" s="639">
        <v>105</v>
      </c>
      <c r="B110" s="94">
        <v>208</v>
      </c>
      <c r="C110" s="640" t="s">
        <v>4364</v>
      </c>
      <c r="D110" s="644">
        <v>44095</v>
      </c>
      <c r="E110" s="641" t="s">
        <v>4365</v>
      </c>
      <c r="F110" s="592" t="s">
        <v>4366</v>
      </c>
      <c r="G110" s="642" t="s">
        <v>4285</v>
      </c>
      <c r="H110" s="643"/>
      <c r="I110" s="81"/>
      <c r="J110" s="35"/>
      <c r="K110" s="36"/>
      <c r="L110" s="36"/>
      <c r="M110" s="36"/>
      <c r="N110" s="36"/>
      <c r="O110" s="36"/>
      <c r="P110" s="36"/>
      <c r="Q110" s="36"/>
      <c r="R110" s="36"/>
      <c r="S110" s="36"/>
      <c r="T110" s="36"/>
      <c r="U110" s="36"/>
      <c r="V110" s="36"/>
      <c r="W110" s="36"/>
      <c r="X110" s="36"/>
      <c r="Y110" s="36"/>
      <c r="Z110" s="36"/>
      <c r="AA110" s="36"/>
      <c r="AB110" s="36"/>
      <c r="AC110" s="36"/>
    </row>
    <row r="111" spans="1:29" ht="73.5" customHeight="1">
      <c r="A111" s="639">
        <v>106</v>
      </c>
      <c r="B111" s="94">
        <v>1268</v>
      </c>
      <c r="C111" s="640" t="s">
        <v>4367</v>
      </c>
      <c r="D111" s="644">
        <v>44098</v>
      </c>
      <c r="E111" s="641" t="s">
        <v>4368</v>
      </c>
      <c r="F111" s="592" t="s">
        <v>2884</v>
      </c>
      <c r="G111" s="642" t="s">
        <v>4308</v>
      </c>
      <c r="H111" s="643"/>
      <c r="I111" s="81"/>
      <c r="J111" s="35"/>
      <c r="K111" s="36"/>
      <c r="L111" s="36"/>
      <c r="M111" s="36"/>
      <c r="N111" s="36"/>
      <c r="O111" s="36"/>
      <c r="P111" s="36"/>
      <c r="Q111" s="36"/>
      <c r="R111" s="36"/>
      <c r="S111" s="36"/>
      <c r="T111" s="36"/>
      <c r="U111" s="36"/>
      <c r="V111" s="36"/>
      <c r="W111" s="36"/>
      <c r="X111" s="36"/>
      <c r="Y111" s="36"/>
      <c r="Z111" s="36"/>
      <c r="AA111" s="36"/>
      <c r="AB111" s="36"/>
      <c r="AC111" s="36"/>
    </row>
    <row r="112" spans="1:29" ht="36" customHeight="1">
      <c r="A112" s="639">
        <v>107</v>
      </c>
      <c r="B112" s="94">
        <v>70</v>
      </c>
      <c r="C112" s="640" t="s">
        <v>4369</v>
      </c>
      <c r="D112" s="644">
        <v>44099</v>
      </c>
      <c r="E112" s="641" t="s">
        <v>4370</v>
      </c>
      <c r="F112" s="592" t="s">
        <v>2884</v>
      </c>
      <c r="G112" s="642" t="s">
        <v>4285</v>
      </c>
      <c r="H112" s="643"/>
      <c r="I112" s="81"/>
      <c r="J112" s="35"/>
      <c r="K112" s="36"/>
      <c r="L112" s="36"/>
      <c r="M112" s="36"/>
      <c r="N112" s="36"/>
      <c r="O112" s="36"/>
      <c r="P112" s="36"/>
      <c r="Q112" s="36"/>
      <c r="R112" s="36"/>
      <c r="S112" s="36"/>
      <c r="T112" s="36"/>
      <c r="U112" s="36"/>
      <c r="V112" s="36"/>
      <c r="W112" s="36"/>
      <c r="X112" s="36"/>
      <c r="Y112" s="36"/>
      <c r="Z112" s="36"/>
      <c r="AA112" s="36"/>
      <c r="AB112" s="36"/>
      <c r="AC112" s="36"/>
    </row>
    <row r="113" spans="1:29" ht="84" customHeight="1">
      <c r="A113" s="639">
        <v>108</v>
      </c>
      <c r="B113" s="650" t="s">
        <v>4371</v>
      </c>
      <c r="C113" s="640" t="s">
        <v>4372</v>
      </c>
      <c r="D113" s="644">
        <v>44104</v>
      </c>
      <c r="E113" s="641" t="s">
        <v>4373</v>
      </c>
      <c r="F113" s="592" t="s">
        <v>2884</v>
      </c>
      <c r="G113" s="642" t="s">
        <v>4374</v>
      </c>
      <c r="H113" s="643"/>
      <c r="I113" s="81"/>
      <c r="J113" s="35"/>
      <c r="K113" s="36"/>
      <c r="L113" s="36"/>
      <c r="M113" s="36"/>
      <c r="N113" s="36"/>
      <c r="O113" s="36"/>
      <c r="P113" s="36"/>
      <c r="Q113" s="36"/>
      <c r="R113" s="36"/>
      <c r="S113" s="36"/>
      <c r="T113" s="36"/>
      <c r="U113" s="36"/>
      <c r="V113" s="36"/>
      <c r="W113" s="36"/>
      <c r="X113" s="36"/>
      <c r="Y113" s="36"/>
      <c r="Z113" s="36"/>
      <c r="AA113" s="36"/>
      <c r="AB113" s="36"/>
      <c r="AC113" s="36"/>
    </row>
    <row r="114" spans="1:29" ht="71.25" customHeight="1">
      <c r="A114" s="639">
        <v>109</v>
      </c>
      <c r="B114" s="94">
        <v>167</v>
      </c>
      <c r="C114" s="640" t="s">
        <v>4375</v>
      </c>
      <c r="D114" s="598">
        <v>43969</v>
      </c>
      <c r="E114" s="641" t="s">
        <v>4376</v>
      </c>
      <c r="F114" s="651" t="s">
        <v>41</v>
      </c>
      <c r="G114" s="642" t="s">
        <v>4377</v>
      </c>
      <c r="H114" s="643"/>
      <c r="I114" s="81"/>
      <c r="J114" s="35"/>
      <c r="K114" s="36"/>
      <c r="L114" s="36"/>
      <c r="M114" s="36"/>
      <c r="N114" s="36"/>
      <c r="O114" s="36"/>
      <c r="P114" s="36"/>
      <c r="Q114" s="36"/>
      <c r="R114" s="36"/>
      <c r="S114" s="36"/>
      <c r="T114" s="36"/>
      <c r="U114" s="36"/>
      <c r="V114" s="36"/>
      <c r="W114" s="36"/>
      <c r="X114" s="36"/>
      <c r="Y114" s="36"/>
      <c r="Z114" s="36"/>
      <c r="AA114" s="36"/>
      <c r="AB114" s="36"/>
      <c r="AC114" s="36"/>
    </row>
    <row r="115" spans="1:29" ht="60">
      <c r="A115" s="652">
        <v>110</v>
      </c>
      <c r="B115" s="653">
        <v>1513</v>
      </c>
      <c r="C115" s="422" t="s">
        <v>4378</v>
      </c>
      <c r="D115" s="654">
        <v>44075</v>
      </c>
      <c r="E115" s="607" t="s">
        <v>4353</v>
      </c>
      <c r="F115" s="422" t="s">
        <v>2884</v>
      </c>
      <c r="G115" s="655" t="s">
        <v>4354</v>
      </c>
      <c r="H115" s="656" t="s">
        <v>4354</v>
      </c>
      <c r="I115" s="657"/>
      <c r="J115" s="658"/>
      <c r="K115" s="36"/>
      <c r="L115" s="36"/>
      <c r="M115" s="36"/>
      <c r="N115" s="36"/>
      <c r="O115" s="36"/>
      <c r="P115" s="36"/>
      <c r="Q115" s="36"/>
      <c r="R115" s="36"/>
      <c r="S115" s="36"/>
      <c r="T115" s="36"/>
      <c r="U115" s="36"/>
      <c r="V115" s="36"/>
      <c r="W115" s="36"/>
      <c r="X115" s="36"/>
      <c r="Y115" s="36"/>
      <c r="Z115" s="36"/>
      <c r="AA115" s="36"/>
      <c r="AB115" s="36"/>
      <c r="AC115" s="36"/>
    </row>
    <row r="116" spans="1:29" ht="45">
      <c r="A116" s="652">
        <v>111</v>
      </c>
      <c r="B116" s="653">
        <v>1698</v>
      </c>
      <c r="C116" s="422" t="s">
        <v>4379</v>
      </c>
      <c r="D116" s="654">
        <v>44083</v>
      </c>
      <c r="E116" s="607" t="s">
        <v>4356</v>
      </c>
      <c r="F116" s="607" t="s">
        <v>4357</v>
      </c>
      <c r="G116" s="655" t="s">
        <v>4380</v>
      </c>
      <c r="H116" s="659" t="s">
        <v>4308</v>
      </c>
      <c r="I116" s="81"/>
      <c r="J116" s="309"/>
      <c r="K116" s="36"/>
      <c r="L116" s="36"/>
      <c r="M116" s="36"/>
      <c r="N116" s="36"/>
      <c r="O116" s="36"/>
      <c r="P116" s="36"/>
      <c r="Q116" s="36"/>
      <c r="R116" s="36"/>
      <c r="S116" s="36"/>
      <c r="T116" s="36"/>
      <c r="U116" s="36"/>
      <c r="V116" s="36"/>
      <c r="W116" s="36"/>
      <c r="X116" s="36"/>
      <c r="Y116" s="36"/>
      <c r="Z116" s="36"/>
      <c r="AA116" s="36"/>
      <c r="AB116" s="36"/>
      <c r="AC116" s="36"/>
    </row>
    <row r="117" spans="1:29" ht="70.5" customHeight="1">
      <c r="A117" s="660">
        <v>112</v>
      </c>
      <c r="B117" s="661">
        <v>1258</v>
      </c>
      <c r="C117" s="428" t="s">
        <v>4381</v>
      </c>
      <c r="D117" s="662">
        <v>44089</v>
      </c>
      <c r="E117" s="612" t="s">
        <v>4359</v>
      </c>
      <c r="F117" s="612" t="s">
        <v>4382</v>
      </c>
      <c r="G117" s="663" t="s">
        <v>4383</v>
      </c>
      <c r="H117" s="664" t="s">
        <v>4308</v>
      </c>
      <c r="I117" s="81"/>
      <c r="J117" s="35"/>
      <c r="K117" s="36"/>
      <c r="L117" s="36"/>
      <c r="M117" s="36"/>
      <c r="N117" s="36"/>
      <c r="O117" s="36"/>
      <c r="P117" s="36"/>
      <c r="Q117" s="36"/>
      <c r="R117" s="36"/>
      <c r="S117" s="36"/>
      <c r="T117" s="36"/>
      <c r="U117" s="36"/>
      <c r="V117" s="36"/>
      <c r="W117" s="36"/>
      <c r="X117" s="36"/>
      <c r="Y117" s="36"/>
      <c r="Z117" s="36"/>
      <c r="AA117" s="36"/>
      <c r="AB117" s="36"/>
      <c r="AC117" s="36"/>
    </row>
    <row r="118" spans="1:29" ht="83.25" customHeight="1">
      <c r="A118" s="660">
        <v>113</v>
      </c>
      <c r="B118" s="661">
        <v>207</v>
      </c>
      <c r="C118" s="428" t="s">
        <v>4361</v>
      </c>
      <c r="D118" s="662">
        <v>44095</v>
      </c>
      <c r="E118" s="612" t="s">
        <v>4362</v>
      </c>
      <c r="F118" s="612" t="s">
        <v>4357</v>
      </c>
      <c r="G118" s="663" t="s">
        <v>4363</v>
      </c>
      <c r="H118" s="664" t="s">
        <v>4363</v>
      </c>
      <c r="I118" s="81"/>
      <c r="J118" s="35"/>
      <c r="K118" s="36"/>
      <c r="L118" s="36"/>
      <c r="M118" s="36"/>
      <c r="N118" s="36"/>
      <c r="O118" s="36"/>
      <c r="P118" s="36"/>
      <c r="Q118" s="36"/>
      <c r="R118" s="36"/>
      <c r="S118" s="36"/>
      <c r="T118" s="36"/>
      <c r="U118" s="36"/>
      <c r="V118" s="36"/>
      <c r="W118" s="36"/>
      <c r="X118" s="36"/>
      <c r="Y118" s="36"/>
      <c r="Z118" s="36"/>
      <c r="AA118" s="36"/>
      <c r="AB118" s="36"/>
      <c r="AC118" s="36"/>
    </row>
    <row r="119" spans="1:29" ht="44.25" customHeight="1">
      <c r="A119" s="660">
        <v>114</v>
      </c>
      <c r="B119" s="661">
        <v>208</v>
      </c>
      <c r="C119" s="428" t="s">
        <v>4364</v>
      </c>
      <c r="D119" s="662">
        <v>44095</v>
      </c>
      <c r="E119" s="612" t="s">
        <v>4365</v>
      </c>
      <c r="F119" s="612" t="s">
        <v>4366</v>
      </c>
      <c r="G119" s="663" t="s">
        <v>4384</v>
      </c>
      <c r="H119" s="664" t="s">
        <v>4285</v>
      </c>
      <c r="I119" s="81"/>
      <c r="J119" s="35"/>
      <c r="K119" s="36"/>
      <c r="L119" s="36"/>
      <c r="M119" s="36"/>
      <c r="N119" s="36"/>
      <c r="O119" s="36"/>
      <c r="P119" s="36"/>
      <c r="Q119" s="36"/>
      <c r="R119" s="36"/>
      <c r="S119" s="36"/>
      <c r="T119" s="36"/>
      <c r="U119" s="36"/>
      <c r="V119" s="36"/>
      <c r="W119" s="36"/>
      <c r="X119" s="36"/>
      <c r="Y119" s="36"/>
      <c r="Z119" s="36"/>
      <c r="AA119" s="36"/>
      <c r="AB119" s="36"/>
      <c r="AC119" s="36"/>
    </row>
    <row r="120" spans="1:29" ht="70.5" customHeight="1">
      <c r="A120" s="660">
        <v>115</v>
      </c>
      <c r="B120" s="661">
        <v>1268</v>
      </c>
      <c r="C120" s="428" t="s">
        <v>4385</v>
      </c>
      <c r="D120" s="662">
        <v>44098</v>
      </c>
      <c r="E120" s="612" t="s">
        <v>4368</v>
      </c>
      <c r="F120" s="612" t="s">
        <v>2884</v>
      </c>
      <c r="G120" s="663" t="s">
        <v>4312</v>
      </c>
      <c r="H120" s="664" t="s">
        <v>4308</v>
      </c>
      <c r="I120" s="81"/>
      <c r="J120" s="35"/>
      <c r="K120" s="36"/>
      <c r="L120" s="36"/>
      <c r="M120" s="36"/>
      <c r="N120" s="36"/>
      <c r="O120" s="36"/>
      <c r="P120" s="36"/>
      <c r="Q120" s="36"/>
      <c r="R120" s="36"/>
      <c r="S120" s="36"/>
      <c r="T120" s="36"/>
      <c r="U120" s="36"/>
      <c r="V120" s="36"/>
      <c r="W120" s="36"/>
      <c r="X120" s="36"/>
      <c r="Y120" s="36"/>
      <c r="Z120" s="36"/>
      <c r="AA120" s="36"/>
      <c r="AB120" s="36"/>
      <c r="AC120" s="36"/>
    </row>
    <row r="121" spans="1:29" ht="90">
      <c r="A121" s="660">
        <v>116</v>
      </c>
      <c r="B121" s="661">
        <v>70</v>
      </c>
      <c r="C121" s="428" t="s">
        <v>4369</v>
      </c>
      <c r="D121" s="662">
        <v>44099</v>
      </c>
      <c r="E121" s="612" t="s">
        <v>4370</v>
      </c>
      <c r="F121" s="612" t="s">
        <v>2884</v>
      </c>
      <c r="G121" s="663" t="s">
        <v>4386</v>
      </c>
      <c r="H121" s="664" t="s">
        <v>4285</v>
      </c>
      <c r="I121" s="81"/>
      <c r="J121" s="35"/>
      <c r="K121" s="36"/>
      <c r="L121" s="36"/>
      <c r="M121" s="36"/>
      <c r="N121" s="36"/>
      <c r="O121" s="36"/>
      <c r="P121" s="36"/>
      <c r="Q121" s="36"/>
      <c r="R121" s="36"/>
      <c r="S121" s="36"/>
      <c r="T121" s="36"/>
      <c r="U121" s="36"/>
      <c r="V121" s="36"/>
      <c r="W121" s="36"/>
      <c r="X121" s="36"/>
      <c r="Y121" s="36"/>
      <c r="Z121" s="36"/>
      <c r="AA121" s="36"/>
      <c r="AB121" s="36"/>
      <c r="AC121" s="36"/>
    </row>
    <row r="122" spans="1:29" ht="67.5" customHeight="1">
      <c r="A122" s="660">
        <v>117</v>
      </c>
      <c r="B122" s="665" t="s">
        <v>4371</v>
      </c>
      <c r="C122" s="428" t="s">
        <v>4372</v>
      </c>
      <c r="D122" s="662">
        <v>44104</v>
      </c>
      <c r="E122" s="612" t="s">
        <v>4373</v>
      </c>
      <c r="F122" s="612" t="s">
        <v>2884</v>
      </c>
      <c r="G122" s="663" t="s">
        <v>4387</v>
      </c>
      <c r="H122" s="664" t="s">
        <v>4374</v>
      </c>
      <c r="I122" s="81"/>
      <c r="J122" s="35"/>
      <c r="K122" s="36"/>
      <c r="L122" s="36"/>
      <c r="M122" s="36"/>
      <c r="N122" s="36"/>
      <c r="O122" s="36"/>
      <c r="P122" s="36"/>
      <c r="Q122" s="36"/>
      <c r="R122" s="36"/>
      <c r="S122" s="36"/>
      <c r="T122" s="36"/>
      <c r="U122" s="36"/>
      <c r="V122" s="36"/>
      <c r="W122" s="36"/>
      <c r="X122" s="36"/>
      <c r="Y122" s="36"/>
      <c r="Z122" s="36"/>
      <c r="AA122" s="36"/>
      <c r="AB122" s="36"/>
      <c r="AC122" s="36"/>
    </row>
    <row r="123" spans="1:29" ht="72.75" customHeight="1">
      <c r="A123" s="660">
        <v>118</v>
      </c>
      <c r="B123" s="665">
        <v>167</v>
      </c>
      <c r="C123" s="428" t="s">
        <v>4375</v>
      </c>
      <c r="D123" s="662">
        <v>43969</v>
      </c>
      <c r="E123" s="612" t="s">
        <v>4388</v>
      </c>
      <c r="F123" s="612" t="s">
        <v>41</v>
      </c>
      <c r="G123" s="663" t="s">
        <v>4377</v>
      </c>
      <c r="H123" s="664" t="s">
        <v>4377</v>
      </c>
      <c r="I123" s="81"/>
      <c r="J123" s="35"/>
      <c r="K123" s="36"/>
      <c r="L123" s="36"/>
      <c r="M123" s="36"/>
      <c r="N123" s="36"/>
      <c r="O123" s="36"/>
      <c r="P123" s="36"/>
      <c r="Q123" s="36"/>
      <c r="R123" s="36"/>
      <c r="S123" s="36"/>
      <c r="T123" s="36"/>
      <c r="U123" s="36"/>
      <c r="V123" s="36"/>
      <c r="W123" s="36"/>
      <c r="X123" s="36"/>
      <c r="Y123" s="36"/>
      <c r="Z123" s="36"/>
      <c r="AA123" s="36"/>
      <c r="AB123" s="36"/>
      <c r="AC123" s="36"/>
    </row>
    <row r="124" spans="1:29" ht="60">
      <c r="A124" s="666">
        <v>119</v>
      </c>
      <c r="B124" s="667">
        <v>1513</v>
      </c>
      <c r="C124" s="607" t="s">
        <v>4352</v>
      </c>
      <c r="D124" s="668">
        <v>44075</v>
      </c>
      <c r="E124" s="591" t="s">
        <v>4353</v>
      </c>
      <c r="F124" s="607" t="s">
        <v>2884</v>
      </c>
      <c r="G124" s="669" t="s">
        <v>4354</v>
      </c>
      <c r="H124" s="670"/>
      <c r="I124" s="81"/>
      <c r="J124" s="35"/>
      <c r="K124" s="36"/>
      <c r="L124" s="36"/>
      <c r="M124" s="36"/>
      <c r="N124" s="36"/>
      <c r="O124" s="36"/>
      <c r="P124" s="36"/>
      <c r="Q124" s="36"/>
      <c r="R124" s="36"/>
      <c r="S124" s="36"/>
      <c r="T124" s="36"/>
      <c r="U124" s="36"/>
      <c r="V124" s="36"/>
      <c r="W124" s="36"/>
      <c r="X124" s="36"/>
      <c r="Y124" s="36"/>
      <c r="Z124" s="36"/>
      <c r="AA124" s="36"/>
      <c r="AB124" s="36"/>
      <c r="AC124" s="36"/>
    </row>
    <row r="125" spans="1:29" ht="30">
      <c r="A125" s="660">
        <v>120</v>
      </c>
      <c r="B125" s="671">
        <v>1698</v>
      </c>
      <c r="C125" s="612" t="s">
        <v>4379</v>
      </c>
      <c r="D125" s="672">
        <v>44083</v>
      </c>
      <c r="E125" s="673" t="s">
        <v>4356</v>
      </c>
      <c r="F125" s="612" t="s">
        <v>4357</v>
      </c>
      <c r="G125" s="674" t="s">
        <v>4308</v>
      </c>
      <c r="H125" s="670"/>
      <c r="I125" s="81"/>
      <c r="J125" s="35"/>
      <c r="K125" s="36"/>
      <c r="L125" s="36"/>
      <c r="M125" s="36"/>
      <c r="N125" s="36"/>
      <c r="O125" s="36"/>
      <c r="P125" s="36"/>
      <c r="Q125" s="36"/>
      <c r="R125" s="36"/>
      <c r="S125" s="36"/>
      <c r="T125" s="36"/>
      <c r="U125" s="36"/>
      <c r="V125" s="36"/>
      <c r="W125" s="36"/>
      <c r="X125" s="36"/>
      <c r="Y125" s="36"/>
      <c r="Z125" s="36"/>
      <c r="AA125" s="36"/>
      <c r="AB125" s="36"/>
      <c r="AC125" s="36"/>
    </row>
    <row r="126" spans="1:29" ht="75">
      <c r="A126" s="666">
        <v>121</v>
      </c>
      <c r="B126" s="671">
        <v>1258</v>
      </c>
      <c r="C126" s="612" t="s">
        <v>4381</v>
      </c>
      <c r="D126" s="672">
        <v>44089</v>
      </c>
      <c r="E126" s="673" t="s">
        <v>4359</v>
      </c>
      <c r="F126" s="612" t="s">
        <v>4382</v>
      </c>
      <c r="G126" s="674" t="s">
        <v>4308</v>
      </c>
      <c r="H126" s="670"/>
      <c r="I126" s="81"/>
      <c r="J126" s="35"/>
      <c r="K126" s="36"/>
      <c r="L126" s="36"/>
      <c r="M126" s="36"/>
      <c r="N126" s="36"/>
      <c r="O126" s="36"/>
      <c r="P126" s="36"/>
      <c r="Q126" s="36"/>
      <c r="R126" s="36"/>
      <c r="S126" s="36"/>
      <c r="T126" s="36"/>
      <c r="U126" s="36"/>
      <c r="V126" s="36"/>
      <c r="W126" s="36"/>
      <c r="X126" s="36"/>
      <c r="Y126" s="36"/>
      <c r="Z126" s="36"/>
      <c r="AA126" s="36"/>
      <c r="AB126" s="36"/>
      <c r="AC126" s="36"/>
    </row>
    <row r="127" spans="1:29" ht="90">
      <c r="A127" s="660">
        <v>122</v>
      </c>
      <c r="B127" s="671">
        <v>207</v>
      </c>
      <c r="C127" s="612" t="s">
        <v>4361</v>
      </c>
      <c r="D127" s="672">
        <v>44095</v>
      </c>
      <c r="E127" s="673" t="s">
        <v>4362</v>
      </c>
      <c r="F127" s="612" t="s">
        <v>4357</v>
      </c>
      <c r="G127" s="674" t="s">
        <v>4363</v>
      </c>
      <c r="H127" s="670"/>
      <c r="I127" s="81"/>
      <c r="J127" s="35"/>
      <c r="K127" s="36"/>
      <c r="L127" s="36"/>
      <c r="M127" s="36"/>
      <c r="N127" s="36"/>
      <c r="O127" s="36"/>
      <c r="P127" s="36"/>
      <c r="Q127" s="36"/>
      <c r="R127" s="36"/>
      <c r="S127" s="36"/>
      <c r="T127" s="36"/>
      <c r="U127" s="36"/>
      <c r="V127" s="36"/>
      <c r="W127" s="36"/>
      <c r="X127" s="36"/>
      <c r="Y127" s="36"/>
      <c r="Z127" s="36"/>
      <c r="AA127" s="36"/>
      <c r="AB127" s="36"/>
      <c r="AC127" s="36"/>
    </row>
    <row r="128" spans="1:29" ht="60">
      <c r="A128" s="660">
        <v>123</v>
      </c>
      <c r="B128" s="671">
        <v>208</v>
      </c>
      <c r="C128" s="612" t="s">
        <v>4364</v>
      </c>
      <c r="D128" s="672">
        <v>44095</v>
      </c>
      <c r="E128" s="673" t="s">
        <v>4365</v>
      </c>
      <c r="F128" s="612" t="s">
        <v>4366</v>
      </c>
      <c r="G128" s="674" t="s">
        <v>4285</v>
      </c>
      <c r="H128" s="670"/>
      <c r="I128" s="81"/>
      <c r="J128" s="35"/>
      <c r="K128" s="36"/>
      <c r="L128" s="36"/>
      <c r="M128" s="36"/>
      <c r="N128" s="36"/>
      <c r="O128" s="36"/>
      <c r="P128" s="36"/>
      <c r="Q128" s="36"/>
      <c r="R128" s="36"/>
      <c r="S128" s="36"/>
      <c r="T128" s="36"/>
      <c r="U128" s="36"/>
      <c r="V128" s="36"/>
      <c r="W128" s="36"/>
      <c r="X128" s="36"/>
      <c r="Y128" s="36"/>
      <c r="Z128" s="36"/>
      <c r="AA128" s="36"/>
      <c r="AB128" s="36"/>
      <c r="AC128" s="36"/>
    </row>
    <row r="129" spans="1:29" ht="75">
      <c r="A129" s="666">
        <v>124</v>
      </c>
      <c r="B129" s="671">
        <v>1268</v>
      </c>
      <c r="C129" s="612" t="s">
        <v>4385</v>
      </c>
      <c r="D129" s="672">
        <v>44098</v>
      </c>
      <c r="E129" s="673" t="s">
        <v>4368</v>
      </c>
      <c r="F129" s="612" t="s">
        <v>2884</v>
      </c>
      <c r="G129" s="674" t="s">
        <v>4308</v>
      </c>
      <c r="H129" s="670"/>
      <c r="I129" s="81"/>
      <c r="J129" s="35"/>
      <c r="K129" s="36"/>
      <c r="L129" s="36"/>
      <c r="M129" s="36"/>
      <c r="N129" s="36"/>
      <c r="O129" s="36"/>
      <c r="P129" s="36"/>
      <c r="Q129" s="36"/>
      <c r="R129" s="36"/>
      <c r="S129" s="36"/>
      <c r="T129" s="36"/>
      <c r="U129" s="36"/>
      <c r="V129" s="36"/>
      <c r="W129" s="36"/>
      <c r="X129" s="36"/>
      <c r="Y129" s="36"/>
      <c r="Z129" s="36"/>
      <c r="AA129" s="36"/>
      <c r="AB129" s="36"/>
      <c r="AC129" s="36"/>
    </row>
    <row r="130" spans="1:29" ht="36" customHeight="1">
      <c r="A130" s="660">
        <v>125</v>
      </c>
      <c r="B130" s="671">
        <v>70</v>
      </c>
      <c r="C130" s="612" t="s">
        <v>4369</v>
      </c>
      <c r="D130" s="672">
        <v>44099</v>
      </c>
      <c r="E130" s="673" t="s">
        <v>4370</v>
      </c>
      <c r="F130" s="612" t="s">
        <v>2884</v>
      </c>
      <c r="G130" s="674" t="s">
        <v>4285</v>
      </c>
      <c r="H130" s="670"/>
      <c r="I130" s="81"/>
      <c r="J130" s="35"/>
      <c r="K130" s="36"/>
      <c r="L130" s="36"/>
      <c r="M130" s="36"/>
      <c r="N130" s="36"/>
      <c r="O130" s="36"/>
      <c r="P130" s="36"/>
      <c r="Q130" s="36"/>
      <c r="R130" s="36"/>
      <c r="S130" s="36"/>
      <c r="T130" s="36"/>
      <c r="U130" s="36"/>
      <c r="V130" s="36"/>
      <c r="W130" s="36"/>
      <c r="X130" s="36"/>
      <c r="Y130" s="36"/>
      <c r="Z130" s="36"/>
      <c r="AA130" s="36"/>
      <c r="AB130" s="36"/>
      <c r="AC130" s="36"/>
    </row>
    <row r="131" spans="1:29" ht="90">
      <c r="A131" s="666">
        <v>126</v>
      </c>
      <c r="B131" s="675" t="s">
        <v>4371</v>
      </c>
      <c r="C131" s="612" t="s">
        <v>4372</v>
      </c>
      <c r="D131" s="672">
        <v>44104</v>
      </c>
      <c r="E131" s="673" t="s">
        <v>4373</v>
      </c>
      <c r="F131" s="612" t="s">
        <v>2884</v>
      </c>
      <c r="G131" s="674" t="s">
        <v>4374</v>
      </c>
      <c r="H131" s="670"/>
      <c r="I131" s="81"/>
      <c r="J131" s="35"/>
      <c r="K131" s="36"/>
      <c r="L131" s="36"/>
      <c r="M131" s="36"/>
      <c r="N131" s="36"/>
      <c r="O131" s="36"/>
      <c r="P131" s="36"/>
      <c r="Q131" s="36"/>
      <c r="R131" s="36"/>
      <c r="S131" s="36"/>
      <c r="T131" s="36"/>
      <c r="U131" s="36"/>
      <c r="V131" s="36"/>
      <c r="W131" s="36"/>
      <c r="X131" s="36"/>
      <c r="Y131" s="36"/>
      <c r="Z131" s="36"/>
      <c r="AA131" s="36"/>
      <c r="AB131" s="36"/>
      <c r="AC131" s="36"/>
    </row>
    <row r="132" spans="1:29" ht="75">
      <c r="A132" s="660">
        <v>127</v>
      </c>
      <c r="B132" s="675">
        <v>167</v>
      </c>
      <c r="C132" s="612" t="s">
        <v>4375</v>
      </c>
      <c r="D132" s="672">
        <v>43969</v>
      </c>
      <c r="E132" s="673" t="s">
        <v>4388</v>
      </c>
      <c r="F132" s="612" t="s">
        <v>41</v>
      </c>
      <c r="G132" s="674" t="s">
        <v>4377</v>
      </c>
      <c r="H132" s="670"/>
      <c r="I132" s="81"/>
      <c r="J132" s="35"/>
      <c r="K132" s="36"/>
      <c r="L132" s="36"/>
      <c r="M132" s="36"/>
      <c r="N132" s="36"/>
      <c r="O132" s="36"/>
      <c r="P132" s="36"/>
      <c r="Q132" s="36"/>
      <c r="R132" s="36"/>
      <c r="S132" s="36"/>
      <c r="T132" s="36"/>
      <c r="U132" s="36"/>
      <c r="V132" s="36"/>
      <c r="W132" s="36"/>
      <c r="X132" s="36"/>
      <c r="Y132" s="36"/>
      <c r="Z132" s="36"/>
      <c r="AA132" s="36"/>
      <c r="AB132" s="36"/>
      <c r="AC132" s="36"/>
    </row>
    <row r="133" spans="1:29" ht="48" customHeight="1">
      <c r="A133" s="81"/>
      <c r="B133" s="94"/>
      <c r="C133" s="81"/>
      <c r="D133" s="81"/>
      <c r="E133" s="80"/>
      <c r="F133" s="80"/>
      <c r="G133" s="676"/>
      <c r="H133" s="670"/>
      <c r="I133" s="81"/>
      <c r="J133" s="35"/>
      <c r="K133" s="36"/>
      <c r="L133" s="36"/>
      <c r="M133" s="36"/>
      <c r="N133" s="36"/>
      <c r="O133" s="36"/>
      <c r="P133" s="36"/>
      <c r="Q133" s="36"/>
      <c r="R133" s="36"/>
      <c r="S133" s="36"/>
      <c r="T133" s="36"/>
      <c r="U133" s="36"/>
      <c r="V133" s="36"/>
      <c r="W133" s="36"/>
      <c r="X133" s="36"/>
      <c r="Y133" s="36"/>
      <c r="Z133" s="36"/>
      <c r="AA133" s="36"/>
      <c r="AB133" s="36"/>
      <c r="AC133" s="36"/>
    </row>
    <row r="134" spans="1:29" ht="24" customHeight="1">
      <c r="A134" s="81"/>
      <c r="B134" s="94"/>
      <c r="C134" s="81"/>
      <c r="D134" s="81"/>
      <c r="E134" s="80"/>
      <c r="F134" s="80"/>
      <c r="G134" s="676"/>
      <c r="H134" s="670"/>
      <c r="I134" s="81"/>
      <c r="J134" s="35"/>
      <c r="K134" s="36"/>
      <c r="L134" s="36"/>
      <c r="M134" s="36"/>
      <c r="N134" s="36"/>
      <c r="O134" s="36"/>
      <c r="P134" s="36"/>
      <c r="Q134" s="36"/>
      <c r="R134" s="36"/>
      <c r="S134" s="36"/>
      <c r="T134" s="36"/>
      <c r="U134" s="36"/>
      <c r="V134" s="36"/>
      <c r="W134" s="36"/>
      <c r="X134" s="36"/>
      <c r="Y134" s="36"/>
      <c r="Z134" s="36"/>
      <c r="AA134" s="36"/>
      <c r="AB134" s="36"/>
      <c r="AC134" s="36"/>
    </row>
    <row r="135" spans="1:29" ht="24" customHeight="1">
      <c r="A135" s="81"/>
      <c r="B135" s="94"/>
      <c r="C135" s="81"/>
      <c r="D135" s="81"/>
      <c r="E135" s="80"/>
      <c r="F135" s="80"/>
      <c r="G135" s="676"/>
      <c r="H135" s="670"/>
      <c r="I135" s="81"/>
      <c r="J135" s="35"/>
      <c r="K135" s="36"/>
      <c r="L135" s="36"/>
      <c r="M135" s="36"/>
      <c r="N135" s="36"/>
      <c r="O135" s="36"/>
      <c r="P135" s="36"/>
      <c r="Q135" s="36"/>
      <c r="R135" s="36"/>
      <c r="S135" s="36"/>
      <c r="T135" s="36"/>
      <c r="U135" s="36"/>
      <c r="V135" s="36"/>
      <c r="W135" s="36"/>
      <c r="X135" s="36"/>
      <c r="Y135" s="36"/>
      <c r="Z135" s="36"/>
      <c r="AA135" s="36"/>
      <c r="AB135" s="36"/>
      <c r="AC135" s="36"/>
    </row>
    <row r="136" spans="1:29" ht="36" customHeight="1">
      <c r="A136" s="81"/>
      <c r="B136" s="94"/>
      <c r="C136" s="81"/>
      <c r="D136" s="81"/>
      <c r="E136" s="80"/>
      <c r="F136" s="80"/>
      <c r="G136" s="676"/>
      <c r="H136" s="670"/>
      <c r="I136" s="81"/>
      <c r="J136" s="35"/>
      <c r="K136" s="36"/>
      <c r="L136" s="36"/>
      <c r="M136" s="36"/>
      <c r="N136" s="36"/>
      <c r="O136" s="36"/>
      <c r="P136" s="36"/>
      <c r="Q136" s="36"/>
      <c r="R136" s="36"/>
      <c r="S136" s="36"/>
      <c r="T136" s="36"/>
      <c r="U136" s="36"/>
      <c r="V136" s="36"/>
      <c r="W136" s="36"/>
      <c r="X136" s="36"/>
      <c r="Y136" s="36"/>
      <c r="Z136" s="36"/>
      <c r="AA136" s="36"/>
      <c r="AB136" s="36"/>
      <c r="AC136" s="36"/>
    </row>
    <row r="137" spans="1:29" ht="24" customHeight="1">
      <c r="A137" s="81"/>
      <c r="B137" s="94"/>
      <c r="C137" s="81"/>
      <c r="D137" s="81"/>
      <c r="E137" s="80"/>
      <c r="F137" s="80"/>
      <c r="G137" s="676"/>
      <c r="H137" s="670"/>
      <c r="I137" s="81"/>
      <c r="J137" s="35"/>
      <c r="K137" s="36"/>
      <c r="L137" s="36"/>
      <c r="M137" s="36"/>
      <c r="N137" s="36"/>
      <c r="O137" s="36"/>
      <c r="P137" s="36"/>
      <c r="Q137" s="36"/>
      <c r="R137" s="36"/>
      <c r="S137" s="36"/>
      <c r="T137" s="36"/>
      <c r="U137" s="36"/>
      <c r="V137" s="36"/>
      <c r="W137" s="36"/>
      <c r="X137" s="36"/>
      <c r="Y137" s="36"/>
      <c r="Z137" s="36"/>
      <c r="AA137" s="36"/>
      <c r="AB137" s="36"/>
      <c r="AC137" s="36"/>
    </row>
    <row r="138" spans="1:29" ht="24" customHeight="1">
      <c r="A138" s="81"/>
      <c r="B138" s="94"/>
      <c r="C138" s="81"/>
      <c r="D138" s="81"/>
      <c r="E138" s="80"/>
      <c r="F138" s="80"/>
      <c r="G138" s="80"/>
      <c r="H138" s="81"/>
      <c r="I138" s="81"/>
      <c r="J138" s="35"/>
      <c r="K138" s="36"/>
      <c r="L138" s="36"/>
      <c r="M138" s="36"/>
      <c r="N138" s="36"/>
      <c r="O138" s="36"/>
      <c r="P138" s="36"/>
      <c r="Q138" s="36"/>
      <c r="R138" s="36"/>
      <c r="S138" s="36"/>
      <c r="T138" s="36"/>
      <c r="U138" s="36"/>
      <c r="V138" s="36"/>
      <c r="W138" s="36"/>
      <c r="X138" s="36"/>
      <c r="Y138" s="36"/>
      <c r="Z138" s="36"/>
      <c r="AA138" s="36"/>
      <c r="AB138" s="36"/>
      <c r="AC138" s="36"/>
    </row>
    <row r="139" spans="1:29" ht="24" customHeight="1">
      <c r="A139" s="81"/>
      <c r="B139" s="94"/>
      <c r="C139" s="81"/>
      <c r="D139" s="81"/>
      <c r="E139" s="80"/>
      <c r="F139" s="80"/>
      <c r="G139" s="80"/>
      <c r="H139" s="81"/>
      <c r="I139" s="81"/>
      <c r="J139" s="35"/>
      <c r="K139" s="36"/>
      <c r="L139" s="36"/>
      <c r="M139" s="36"/>
      <c r="N139" s="36"/>
      <c r="O139" s="36"/>
      <c r="P139" s="36"/>
      <c r="Q139" s="36"/>
      <c r="R139" s="36"/>
      <c r="S139" s="36"/>
      <c r="T139" s="36"/>
      <c r="U139" s="36"/>
      <c r="V139" s="36"/>
      <c r="W139" s="36"/>
      <c r="X139" s="36"/>
      <c r="Y139" s="36"/>
      <c r="Z139" s="36"/>
      <c r="AA139" s="36"/>
      <c r="AB139" s="36"/>
      <c r="AC139" s="36"/>
    </row>
    <row r="140" spans="1:29" ht="72" customHeight="1">
      <c r="A140" s="81"/>
      <c r="B140" s="94"/>
      <c r="C140" s="81"/>
      <c r="D140" s="81"/>
      <c r="E140" s="80"/>
      <c r="F140" s="80"/>
      <c r="G140" s="80"/>
      <c r="H140" s="81"/>
      <c r="I140" s="81"/>
      <c r="J140" s="35"/>
      <c r="K140" s="36"/>
      <c r="L140" s="36"/>
      <c r="M140" s="36"/>
      <c r="N140" s="36"/>
      <c r="O140" s="36"/>
      <c r="P140" s="36"/>
      <c r="Q140" s="36"/>
      <c r="R140" s="36"/>
      <c r="S140" s="36"/>
      <c r="T140" s="36"/>
      <c r="U140" s="36"/>
      <c r="V140" s="36"/>
      <c r="W140" s="36"/>
      <c r="X140" s="36"/>
      <c r="Y140" s="36"/>
      <c r="Z140" s="36"/>
      <c r="AA140" s="36"/>
      <c r="AB140" s="36"/>
      <c r="AC140" s="36"/>
    </row>
    <row r="141" spans="1:29" ht="36" customHeight="1">
      <c r="A141" s="81"/>
      <c r="B141" s="94"/>
      <c r="C141" s="81"/>
      <c r="D141" s="81"/>
      <c r="E141" s="80"/>
      <c r="F141" s="80"/>
      <c r="G141" s="80"/>
      <c r="H141" s="81"/>
      <c r="I141" s="81"/>
      <c r="J141" s="35"/>
      <c r="K141" s="36"/>
      <c r="L141" s="36"/>
      <c r="M141" s="36"/>
      <c r="N141" s="36"/>
      <c r="O141" s="36"/>
      <c r="P141" s="36"/>
      <c r="Q141" s="36"/>
      <c r="R141" s="36"/>
      <c r="S141" s="36"/>
      <c r="T141" s="36"/>
      <c r="U141" s="36"/>
      <c r="V141" s="36"/>
      <c r="W141" s="36"/>
      <c r="X141" s="36"/>
      <c r="Y141" s="36"/>
      <c r="Z141" s="36"/>
      <c r="AA141" s="36"/>
      <c r="AB141" s="36"/>
      <c r="AC141" s="36"/>
    </row>
    <row r="142" spans="1:29" ht="36" customHeight="1">
      <c r="A142" s="81"/>
      <c r="B142" s="94"/>
      <c r="C142" s="81"/>
      <c r="D142" s="81"/>
      <c r="E142" s="80"/>
      <c r="F142" s="80"/>
      <c r="G142" s="80"/>
      <c r="H142" s="81"/>
      <c r="I142" s="81"/>
      <c r="J142" s="35"/>
      <c r="K142" s="36"/>
      <c r="L142" s="36"/>
      <c r="M142" s="36"/>
      <c r="N142" s="36"/>
      <c r="O142" s="36"/>
      <c r="P142" s="36"/>
      <c r="Q142" s="36"/>
      <c r="R142" s="36"/>
      <c r="S142" s="36"/>
      <c r="T142" s="36"/>
      <c r="U142" s="36"/>
      <c r="V142" s="36"/>
      <c r="W142" s="36"/>
      <c r="X142" s="36"/>
      <c r="Y142" s="36"/>
      <c r="Z142" s="36"/>
      <c r="AA142" s="36"/>
      <c r="AB142" s="36"/>
      <c r="AC142" s="36"/>
    </row>
    <row r="143" spans="1:29" ht="84" customHeight="1">
      <c r="A143" s="81"/>
      <c r="B143" s="94"/>
      <c r="C143" s="81"/>
      <c r="D143" s="81"/>
      <c r="E143" s="80"/>
      <c r="F143" s="80"/>
      <c r="G143" s="80"/>
      <c r="H143" s="94"/>
      <c r="I143" s="81"/>
      <c r="J143" s="35"/>
      <c r="K143" s="36"/>
      <c r="L143" s="36"/>
      <c r="M143" s="36"/>
      <c r="N143" s="36"/>
      <c r="O143" s="36"/>
      <c r="P143" s="36"/>
      <c r="Q143" s="36"/>
      <c r="R143" s="36"/>
      <c r="S143" s="36"/>
      <c r="T143" s="36"/>
      <c r="U143" s="36"/>
      <c r="V143" s="36"/>
      <c r="W143" s="36"/>
      <c r="X143" s="36"/>
      <c r="Y143" s="36"/>
      <c r="Z143" s="36"/>
      <c r="AA143" s="36"/>
      <c r="AB143" s="36"/>
      <c r="AC143" s="36"/>
    </row>
    <row r="144" spans="1:29" ht="36" customHeight="1">
      <c r="A144" s="619"/>
      <c r="B144" s="81"/>
      <c r="C144" s="81"/>
      <c r="D144" s="81"/>
      <c r="E144" s="80"/>
      <c r="F144" s="80"/>
      <c r="G144" s="80"/>
      <c r="H144" s="81"/>
      <c r="I144" s="81"/>
      <c r="J144" s="35"/>
      <c r="K144" s="36"/>
      <c r="L144" s="36"/>
      <c r="M144" s="36"/>
      <c r="N144" s="36"/>
      <c r="O144" s="36"/>
      <c r="P144" s="36"/>
      <c r="Q144" s="36"/>
      <c r="R144" s="36"/>
      <c r="S144" s="36"/>
      <c r="T144" s="36"/>
      <c r="U144" s="36"/>
      <c r="V144" s="36"/>
      <c r="W144" s="36"/>
      <c r="X144" s="36"/>
      <c r="Y144" s="36"/>
      <c r="Z144" s="36"/>
      <c r="AA144" s="36"/>
      <c r="AB144" s="36"/>
      <c r="AC144" s="36"/>
    </row>
    <row r="145" spans="1:29" ht="48" customHeight="1">
      <c r="A145" s="619"/>
      <c r="B145" s="94"/>
      <c r="C145" s="81"/>
      <c r="D145" s="81"/>
      <c r="E145" s="80"/>
      <c r="F145" s="80"/>
      <c r="G145" s="80"/>
      <c r="H145" s="81"/>
      <c r="I145" s="81"/>
      <c r="J145" s="35"/>
      <c r="K145" s="36"/>
      <c r="L145" s="36"/>
      <c r="M145" s="36"/>
      <c r="N145" s="36"/>
      <c r="O145" s="36"/>
      <c r="P145" s="36"/>
      <c r="Q145" s="36"/>
      <c r="R145" s="36"/>
      <c r="S145" s="36"/>
      <c r="T145" s="36"/>
      <c r="U145" s="36"/>
      <c r="V145" s="36"/>
      <c r="W145" s="36"/>
      <c r="X145" s="36"/>
      <c r="Y145" s="36"/>
      <c r="Z145" s="36"/>
      <c r="AA145" s="36"/>
      <c r="AB145" s="36"/>
      <c r="AC145" s="36"/>
    </row>
    <row r="146" spans="1:29" ht="36" customHeight="1">
      <c r="A146" s="619"/>
      <c r="B146" s="94"/>
      <c r="C146" s="81"/>
      <c r="D146" s="81"/>
      <c r="E146" s="80"/>
      <c r="F146" s="80"/>
      <c r="G146" s="80"/>
      <c r="H146" s="81"/>
      <c r="I146" s="81"/>
      <c r="J146" s="35"/>
      <c r="K146" s="36"/>
      <c r="L146" s="36"/>
      <c r="M146" s="36"/>
      <c r="N146" s="36"/>
      <c r="O146" s="36"/>
      <c r="P146" s="36"/>
      <c r="Q146" s="36"/>
      <c r="R146" s="36"/>
      <c r="S146" s="36"/>
      <c r="T146" s="36"/>
      <c r="U146" s="36"/>
      <c r="V146" s="36"/>
      <c r="W146" s="36"/>
      <c r="X146" s="36"/>
      <c r="Y146" s="36"/>
      <c r="Z146" s="36"/>
      <c r="AA146" s="36"/>
      <c r="AB146" s="36"/>
      <c r="AC146" s="36"/>
    </row>
    <row r="147" spans="1:29" ht="24" customHeight="1">
      <c r="A147" s="619"/>
      <c r="B147" s="94"/>
      <c r="C147" s="81"/>
      <c r="D147" s="81"/>
      <c r="E147" s="80"/>
      <c r="F147" s="80"/>
      <c r="G147" s="80"/>
      <c r="H147" s="81"/>
      <c r="I147" s="81"/>
      <c r="J147" s="35"/>
      <c r="K147" s="36"/>
      <c r="L147" s="36"/>
      <c r="M147" s="36"/>
      <c r="N147" s="36"/>
      <c r="O147" s="36"/>
      <c r="P147" s="36"/>
      <c r="Q147" s="36"/>
      <c r="R147" s="36"/>
      <c r="S147" s="36"/>
      <c r="T147" s="36"/>
      <c r="U147" s="36"/>
      <c r="V147" s="36"/>
      <c r="W147" s="36"/>
      <c r="X147" s="36"/>
      <c r="Y147" s="36"/>
      <c r="Z147" s="36"/>
      <c r="AA147" s="36"/>
      <c r="AB147" s="36"/>
      <c r="AC147" s="36"/>
    </row>
    <row r="148" spans="1:29" ht="48" customHeight="1">
      <c r="A148" s="619"/>
      <c r="B148" s="94"/>
      <c r="C148" s="81"/>
      <c r="D148" s="81"/>
      <c r="E148" s="80"/>
      <c r="F148" s="80"/>
      <c r="G148" s="80"/>
      <c r="H148" s="81"/>
      <c r="I148" s="81"/>
      <c r="J148" s="35"/>
      <c r="K148" s="36"/>
      <c r="L148" s="36"/>
      <c r="M148" s="36"/>
      <c r="N148" s="36"/>
      <c r="O148" s="36"/>
      <c r="P148" s="36"/>
      <c r="Q148" s="36"/>
      <c r="R148" s="36"/>
      <c r="S148" s="36"/>
      <c r="T148" s="36"/>
      <c r="U148" s="36"/>
      <c r="V148" s="36"/>
      <c r="W148" s="36"/>
      <c r="X148" s="36"/>
      <c r="Y148" s="36"/>
      <c r="Z148" s="36"/>
      <c r="AA148" s="36"/>
      <c r="AB148" s="36"/>
      <c r="AC148" s="36"/>
    </row>
    <row r="149" spans="1:29" ht="36" customHeight="1">
      <c r="A149" s="619"/>
      <c r="B149" s="94"/>
      <c r="C149" s="81"/>
      <c r="D149" s="81"/>
      <c r="E149" s="80"/>
      <c r="F149" s="80"/>
      <c r="G149" s="80"/>
      <c r="H149" s="81"/>
      <c r="I149" s="81"/>
      <c r="J149" s="35"/>
      <c r="K149" s="36"/>
      <c r="L149" s="36"/>
      <c r="M149" s="36"/>
      <c r="N149" s="36"/>
      <c r="O149" s="36"/>
      <c r="P149" s="36"/>
      <c r="Q149" s="36"/>
      <c r="R149" s="36"/>
      <c r="S149" s="36"/>
      <c r="T149" s="36"/>
      <c r="U149" s="36"/>
      <c r="V149" s="36"/>
      <c r="W149" s="36"/>
      <c r="X149" s="36"/>
      <c r="Y149" s="36"/>
      <c r="Z149" s="36"/>
      <c r="AA149" s="36"/>
      <c r="AB149" s="36"/>
      <c r="AC149" s="36"/>
    </row>
    <row r="150" spans="1:29" ht="36" customHeight="1">
      <c r="A150" s="619"/>
      <c r="B150" s="94"/>
      <c r="C150" s="81"/>
      <c r="D150" s="81"/>
      <c r="E150" s="80"/>
      <c r="F150" s="80"/>
      <c r="G150" s="80"/>
      <c r="H150" s="81"/>
      <c r="I150" s="81"/>
      <c r="J150" s="35"/>
      <c r="K150" s="36"/>
      <c r="L150" s="36"/>
      <c r="M150" s="36"/>
      <c r="N150" s="36"/>
      <c r="O150" s="36"/>
      <c r="P150" s="36"/>
      <c r="Q150" s="36"/>
      <c r="R150" s="36"/>
      <c r="S150" s="36"/>
      <c r="T150" s="36"/>
      <c r="U150" s="36"/>
      <c r="V150" s="36"/>
      <c r="W150" s="36"/>
      <c r="X150" s="36"/>
      <c r="Y150" s="36"/>
      <c r="Z150" s="36"/>
      <c r="AA150" s="36"/>
      <c r="AB150" s="36"/>
      <c r="AC150" s="36"/>
    </row>
    <row r="151" spans="1:29" ht="36" customHeight="1">
      <c r="A151" s="619"/>
      <c r="B151" s="94"/>
      <c r="C151" s="81"/>
      <c r="D151" s="81"/>
      <c r="E151" s="80"/>
      <c r="F151" s="80"/>
      <c r="G151" s="80"/>
      <c r="H151" s="81"/>
      <c r="I151" s="81"/>
      <c r="J151" s="35"/>
      <c r="K151" s="36"/>
      <c r="L151" s="36"/>
      <c r="M151" s="36"/>
      <c r="N151" s="36"/>
      <c r="O151" s="36"/>
      <c r="P151" s="36"/>
      <c r="Q151" s="36"/>
      <c r="R151" s="36"/>
      <c r="S151" s="36"/>
      <c r="T151" s="36"/>
      <c r="U151" s="36"/>
      <c r="V151" s="36"/>
      <c r="W151" s="36"/>
      <c r="X151" s="36"/>
      <c r="Y151" s="36"/>
      <c r="Z151" s="36"/>
      <c r="AA151" s="36"/>
      <c r="AB151" s="36"/>
      <c r="AC151" s="36"/>
    </row>
    <row r="152" spans="1:29" ht="36" customHeight="1">
      <c r="A152" s="619"/>
      <c r="B152" s="94"/>
      <c r="C152" s="81"/>
      <c r="D152" s="81"/>
      <c r="E152" s="80"/>
      <c r="F152" s="80"/>
      <c r="G152" s="80"/>
      <c r="H152" s="81"/>
      <c r="I152" s="81"/>
      <c r="J152" s="35"/>
      <c r="K152" s="36"/>
      <c r="L152" s="36"/>
      <c r="M152" s="36"/>
      <c r="N152" s="36"/>
      <c r="O152" s="36"/>
      <c r="P152" s="36"/>
      <c r="Q152" s="36"/>
      <c r="R152" s="36"/>
      <c r="S152" s="36"/>
      <c r="T152" s="36"/>
      <c r="U152" s="36"/>
      <c r="V152" s="36"/>
      <c r="W152" s="36"/>
      <c r="X152" s="36"/>
      <c r="Y152" s="36"/>
      <c r="Z152" s="36"/>
      <c r="AA152" s="36"/>
      <c r="AB152" s="36"/>
      <c r="AC152" s="36"/>
    </row>
    <row r="153" spans="1:29" ht="24" customHeight="1">
      <c r="A153" s="619"/>
      <c r="B153" s="94"/>
      <c r="C153" s="81"/>
      <c r="D153" s="81"/>
      <c r="E153" s="80"/>
      <c r="F153" s="80"/>
      <c r="G153" s="80"/>
      <c r="H153" s="81"/>
      <c r="I153" s="81"/>
      <c r="J153" s="35"/>
      <c r="K153" s="36"/>
      <c r="L153" s="36"/>
      <c r="M153" s="36"/>
      <c r="N153" s="36"/>
      <c r="O153" s="36"/>
      <c r="P153" s="36"/>
      <c r="Q153" s="36"/>
      <c r="R153" s="36"/>
      <c r="S153" s="36"/>
      <c r="T153" s="36"/>
      <c r="U153" s="36"/>
      <c r="V153" s="36"/>
      <c r="W153" s="36"/>
      <c r="X153" s="36"/>
      <c r="Y153" s="36"/>
      <c r="Z153" s="36"/>
      <c r="AA153" s="36"/>
      <c r="AB153" s="36"/>
      <c r="AC153" s="36"/>
    </row>
    <row r="154" spans="1:29" ht="24" customHeight="1">
      <c r="A154" s="81"/>
      <c r="B154" s="94"/>
      <c r="C154" s="81"/>
      <c r="D154" s="81"/>
      <c r="E154" s="80"/>
      <c r="F154" s="80"/>
      <c r="G154" s="80"/>
      <c r="H154" s="81"/>
      <c r="I154" s="81"/>
      <c r="J154" s="35"/>
      <c r="K154" s="36"/>
      <c r="L154" s="36"/>
      <c r="M154" s="36"/>
      <c r="N154" s="36"/>
      <c r="O154" s="36"/>
      <c r="P154" s="36"/>
      <c r="Q154" s="36"/>
      <c r="R154" s="36"/>
      <c r="S154" s="36"/>
      <c r="T154" s="36"/>
      <c r="U154" s="36"/>
      <c r="V154" s="36"/>
      <c r="W154" s="36"/>
      <c r="X154" s="36"/>
      <c r="Y154" s="36"/>
      <c r="Z154" s="36"/>
      <c r="AA154" s="36"/>
      <c r="AB154" s="36"/>
      <c r="AC154" s="36"/>
    </row>
    <row r="155" spans="1:29" ht="36" customHeight="1">
      <c r="A155" s="81"/>
      <c r="B155" s="94"/>
      <c r="C155" s="81"/>
      <c r="D155" s="81"/>
      <c r="E155" s="80"/>
      <c r="F155" s="80"/>
      <c r="G155" s="80"/>
      <c r="H155" s="81"/>
      <c r="I155" s="81"/>
      <c r="J155" s="35"/>
      <c r="K155" s="36"/>
      <c r="L155" s="36"/>
      <c r="M155" s="36"/>
      <c r="N155" s="36"/>
      <c r="O155" s="36"/>
      <c r="P155" s="36"/>
      <c r="Q155" s="36"/>
      <c r="R155" s="36"/>
      <c r="S155" s="36"/>
      <c r="T155" s="36"/>
      <c r="U155" s="36"/>
      <c r="V155" s="36"/>
      <c r="W155" s="36"/>
      <c r="X155" s="36"/>
      <c r="Y155" s="36"/>
      <c r="Z155" s="36"/>
      <c r="AA155" s="36"/>
      <c r="AB155" s="36"/>
      <c r="AC155" s="36"/>
    </row>
    <row r="156" spans="1:29" ht="48" customHeight="1">
      <c r="A156" s="81"/>
      <c r="B156" s="94"/>
      <c r="C156" s="81"/>
      <c r="D156" s="81"/>
      <c r="E156" s="80"/>
      <c r="F156" s="80"/>
      <c r="G156" s="80"/>
      <c r="H156" s="81"/>
      <c r="I156" s="81"/>
      <c r="J156" s="35"/>
      <c r="K156" s="36"/>
      <c r="L156" s="36"/>
      <c r="M156" s="36"/>
      <c r="N156" s="36"/>
      <c r="O156" s="36"/>
      <c r="P156" s="36"/>
      <c r="Q156" s="36"/>
      <c r="R156" s="36"/>
      <c r="S156" s="36"/>
      <c r="T156" s="36"/>
      <c r="U156" s="36"/>
      <c r="V156" s="36"/>
      <c r="W156" s="36"/>
      <c r="X156" s="36"/>
      <c r="Y156" s="36"/>
      <c r="Z156" s="36"/>
      <c r="AA156" s="36"/>
      <c r="AB156" s="36"/>
      <c r="AC156" s="36"/>
    </row>
    <row r="157" spans="1:29" ht="36" customHeight="1">
      <c r="A157" s="81"/>
      <c r="B157" s="94"/>
      <c r="C157" s="81"/>
      <c r="D157" s="81"/>
      <c r="E157" s="80"/>
      <c r="F157" s="80"/>
      <c r="G157" s="80"/>
      <c r="H157" s="81"/>
      <c r="I157" s="81"/>
      <c r="J157" s="35"/>
      <c r="K157" s="36"/>
      <c r="L157" s="36"/>
      <c r="M157" s="36"/>
      <c r="N157" s="36"/>
      <c r="O157" s="36"/>
      <c r="P157" s="36"/>
      <c r="Q157" s="36"/>
      <c r="R157" s="36"/>
      <c r="S157" s="36"/>
      <c r="T157" s="36"/>
      <c r="U157" s="36"/>
      <c r="V157" s="36"/>
      <c r="W157" s="36"/>
      <c r="X157" s="36"/>
      <c r="Y157" s="36"/>
      <c r="Z157" s="36"/>
      <c r="AA157" s="36"/>
      <c r="AB157" s="36"/>
      <c r="AC157" s="36"/>
    </row>
    <row r="158" spans="1:29" ht="36" customHeight="1">
      <c r="A158" s="81"/>
      <c r="B158" s="94"/>
      <c r="C158" s="81"/>
      <c r="D158" s="81"/>
      <c r="E158" s="80"/>
      <c r="F158" s="80"/>
      <c r="G158" s="80"/>
      <c r="H158" s="81"/>
      <c r="I158" s="81"/>
      <c r="J158" s="35"/>
      <c r="K158" s="36"/>
      <c r="L158" s="36"/>
      <c r="M158" s="36"/>
      <c r="N158" s="36"/>
      <c r="O158" s="36"/>
      <c r="P158" s="36"/>
      <c r="Q158" s="36"/>
      <c r="R158" s="36"/>
      <c r="S158" s="36"/>
      <c r="T158" s="36"/>
      <c r="U158" s="36"/>
      <c r="V158" s="36"/>
      <c r="W158" s="36"/>
      <c r="X158" s="36"/>
      <c r="Y158" s="36"/>
      <c r="Z158" s="36"/>
      <c r="AA158" s="36"/>
      <c r="AB158" s="36"/>
      <c r="AC158" s="36"/>
    </row>
    <row r="159" spans="1:29" ht="36" customHeight="1">
      <c r="A159" s="81"/>
      <c r="B159" s="94"/>
      <c r="C159" s="81"/>
      <c r="D159" s="81"/>
      <c r="E159" s="80"/>
      <c r="F159" s="80"/>
      <c r="G159" s="80"/>
      <c r="H159" s="81"/>
      <c r="I159" s="81"/>
      <c r="J159" s="35"/>
      <c r="K159" s="36"/>
      <c r="L159" s="36"/>
      <c r="M159" s="36"/>
      <c r="N159" s="36"/>
      <c r="O159" s="36"/>
      <c r="P159" s="36"/>
      <c r="Q159" s="36"/>
      <c r="R159" s="36"/>
      <c r="S159" s="36"/>
      <c r="T159" s="36"/>
      <c r="U159" s="36"/>
      <c r="V159" s="36"/>
      <c r="W159" s="36"/>
      <c r="X159" s="36"/>
      <c r="Y159" s="36"/>
      <c r="Z159" s="36"/>
      <c r="AA159" s="36"/>
      <c r="AB159" s="36"/>
      <c r="AC159" s="36"/>
    </row>
    <row r="160" spans="1:29" ht="36" customHeight="1">
      <c r="A160" s="81"/>
      <c r="B160" s="94"/>
      <c r="C160" s="81"/>
      <c r="D160" s="81"/>
      <c r="E160" s="80"/>
      <c r="F160" s="80"/>
      <c r="G160" s="80"/>
      <c r="H160" s="81"/>
      <c r="I160" s="81"/>
      <c r="J160" s="35"/>
      <c r="K160" s="36"/>
      <c r="L160" s="36"/>
      <c r="M160" s="36"/>
      <c r="N160" s="36"/>
      <c r="O160" s="36"/>
      <c r="P160" s="36"/>
      <c r="Q160" s="36"/>
      <c r="R160" s="36"/>
      <c r="S160" s="36"/>
      <c r="T160" s="36"/>
      <c r="U160" s="36"/>
      <c r="V160" s="36"/>
      <c r="W160" s="36"/>
      <c r="X160" s="36"/>
      <c r="Y160" s="36"/>
      <c r="Z160" s="36"/>
      <c r="AA160" s="36"/>
      <c r="AB160" s="36"/>
      <c r="AC160" s="36"/>
    </row>
    <row r="161" spans="1:29" ht="24" customHeight="1">
      <c r="A161" s="81"/>
      <c r="B161" s="94"/>
      <c r="C161" s="81"/>
      <c r="D161" s="81"/>
      <c r="E161" s="80"/>
      <c r="F161" s="80"/>
      <c r="G161" s="80"/>
      <c r="H161" s="81"/>
      <c r="I161" s="81"/>
      <c r="J161" s="35"/>
      <c r="K161" s="36"/>
      <c r="L161" s="36"/>
      <c r="M161" s="36"/>
      <c r="N161" s="36"/>
      <c r="O161" s="36"/>
      <c r="P161" s="36"/>
      <c r="Q161" s="36"/>
      <c r="R161" s="36"/>
      <c r="S161" s="36"/>
      <c r="T161" s="36"/>
      <c r="U161" s="36"/>
      <c r="V161" s="36"/>
      <c r="W161" s="36"/>
      <c r="X161" s="36"/>
      <c r="Y161" s="36"/>
      <c r="Z161" s="36"/>
      <c r="AA161" s="36"/>
      <c r="AB161" s="36"/>
      <c r="AC161" s="36"/>
    </row>
    <row r="162" spans="1:29" ht="36" customHeight="1">
      <c r="A162" s="81"/>
      <c r="B162" s="94"/>
      <c r="C162" s="81"/>
      <c r="D162" s="81"/>
      <c r="E162" s="80"/>
      <c r="F162" s="80"/>
      <c r="G162" s="80"/>
      <c r="H162" s="81"/>
      <c r="I162" s="81"/>
      <c r="J162" s="35"/>
      <c r="K162" s="36"/>
      <c r="L162" s="36"/>
      <c r="M162" s="36"/>
      <c r="N162" s="36"/>
      <c r="O162" s="36"/>
      <c r="P162" s="36"/>
      <c r="Q162" s="36"/>
      <c r="R162" s="36"/>
      <c r="S162" s="36"/>
      <c r="T162" s="36"/>
      <c r="U162" s="36"/>
      <c r="V162" s="36"/>
      <c r="W162" s="36"/>
      <c r="X162" s="36"/>
      <c r="Y162" s="36"/>
      <c r="Z162" s="36"/>
      <c r="AA162" s="36"/>
      <c r="AB162" s="36"/>
      <c r="AC162" s="36"/>
    </row>
    <row r="163" spans="1:29" ht="36" customHeight="1">
      <c r="A163" s="81"/>
      <c r="B163" s="94"/>
      <c r="C163" s="81"/>
      <c r="D163" s="81"/>
      <c r="E163" s="80"/>
      <c r="F163" s="80"/>
      <c r="G163" s="80"/>
      <c r="H163" s="81"/>
      <c r="I163" s="81"/>
      <c r="J163" s="35"/>
      <c r="K163" s="36"/>
      <c r="L163" s="36"/>
      <c r="M163" s="36"/>
      <c r="N163" s="36"/>
      <c r="O163" s="36"/>
      <c r="P163" s="36"/>
      <c r="Q163" s="36"/>
      <c r="R163" s="36"/>
      <c r="S163" s="36"/>
      <c r="T163" s="36"/>
      <c r="U163" s="36"/>
      <c r="V163" s="36"/>
      <c r="W163" s="36"/>
      <c r="X163" s="36"/>
      <c r="Y163" s="36"/>
      <c r="Z163" s="36"/>
      <c r="AA163" s="36"/>
      <c r="AB163" s="36"/>
      <c r="AC163" s="36"/>
    </row>
    <row r="164" spans="1:29" ht="36" customHeight="1">
      <c r="A164" s="81"/>
      <c r="B164" s="94"/>
      <c r="C164" s="81"/>
      <c r="D164" s="81"/>
      <c r="E164" s="80"/>
      <c r="F164" s="80"/>
      <c r="G164" s="80"/>
      <c r="H164" s="81"/>
      <c r="I164" s="81"/>
      <c r="J164" s="35"/>
      <c r="K164" s="36"/>
      <c r="L164" s="36"/>
      <c r="M164" s="36"/>
      <c r="N164" s="36"/>
      <c r="O164" s="36"/>
      <c r="P164" s="36"/>
      <c r="Q164" s="36"/>
      <c r="R164" s="36"/>
      <c r="S164" s="36"/>
      <c r="T164" s="36"/>
      <c r="U164" s="36"/>
      <c r="V164" s="36"/>
      <c r="W164" s="36"/>
      <c r="X164" s="36"/>
      <c r="Y164" s="36"/>
      <c r="Z164" s="36"/>
      <c r="AA164" s="36"/>
      <c r="AB164" s="36"/>
      <c r="AC164" s="36"/>
    </row>
    <row r="165" spans="1:29" ht="36" customHeight="1">
      <c r="A165" s="81"/>
      <c r="B165" s="94"/>
      <c r="C165" s="81"/>
      <c r="D165" s="81"/>
      <c r="E165" s="80"/>
      <c r="F165" s="80"/>
      <c r="G165" s="80"/>
      <c r="H165" s="81"/>
      <c r="I165" s="81"/>
      <c r="J165" s="35"/>
      <c r="K165" s="36"/>
      <c r="L165" s="36"/>
      <c r="M165" s="36"/>
      <c r="N165" s="36"/>
      <c r="O165" s="36"/>
      <c r="P165" s="36"/>
      <c r="Q165" s="36"/>
      <c r="R165" s="36"/>
      <c r="S165" s="36"/>
      <c r="T165" s="36"/>
      <c r="U165" s="36"/>
      <c r="V165" s="36"/>
      <c r="W165" s="36"/>
      <c r="X165" s="36"/>
      <c r="Y165" s="36"/>
      <c r="Z165" s="36"/>
      <c r="AA165" s="36"/>
      <c r="AB165" s="36"/>
      <c r="AC165" s="36"/>
    </row>
    <row r="166" spans="1:29" ht="36" customHeight="1">
      <c r="A166" s="81"/>
      <c r="B166" s="94"/>
      <c r="C166" s="81"/>
      <c r="D166" s="81"/>
      <c r="E166" s="80"/>
      <c r="F166" s="80"/>
      <c r="G166" s="80"/>
      <c r="H166" s="81"/>
      <c r="I166" s="81"/>
      <c r="J166" s="35"/>
      <c r="K166" s="36"/>
      <c r="L166" s="36"/>
      <c r="M166" s="36"/>
      <c r="N166" s="36"/>
      <c r="O166" s="36"/>
      <c r="P166" s="36"/>
      <c r="Q166" s="36"/>
      <c r="R166" s="36"/>
      <c r="S166" s="36"/>
      <c r="T166" s="36"/>
      <c r="U166" s="36"/>
      <c r="V166" s="36"/>
      <c r="W166" s="36"/>
      <c r="X166" s="36"/>
      <c r="Y166" s="36"/>
      <c r="Z166" s="36"/>
      <c r="AA166" s="36"/>
      <c r="AB166" s="36"/>
      <c r="AC166" s="36"/>
    </row>
    <row r="167" spans="1:29" ht="24" customHeight="1">
      <c r="A167" s="81"/>
      <c r="B167" s="94"/>
      <c r="C167" s="81"/>
      <c r="D167" s="81"/>
      <c r="E167" s="80"/>
      <c r="F167" s="80"/>
      <c r="G167" s="80"/>
      <c r="H167" s="81"/>
      <c r="I167" s="81"/>
      <c r="J167" s="35"/>
      <c r="K167" s="36"/>
      <c r="L167" s="36"/>
      <c r="M167" s="36"/>
      <c r="N167" s="36"/>
      <c r="O167" s="36"/>
      <c r="P167" s="36"/>
      <c r="Q167" s="36"/>
      <c r="R167" s="36"/>
      <c r="S167" s="36"/>
      <c r="T167" s="36"/>
      <c r="U167" s="36"/>
      <c r="V167" s="36"/>
      <c r="W167" s="36"/>
      <c r="X167" s="36"/>
      <c r="Y167" s="36"/>
      <c r="Z167" s="36"/>
      <c r="AA167" s="36"/>
      <c r="AB167" s="36"/>
      <c r="AC167" s="36"/>
    </row>
    <row r="168" spans="1:29" ht="24" customHeight="1">
      <c r="A168" s="81"/>
      <c r="B168" s="94"/>
      <c r="C168" s="81"/>
      <c r="D168" s="81"/>
      <c r="E168" s="80"/>
      <c r="F168" s="80"/>
      <c r="G168" s="80"/>
      <c r="H168" s="81"/>
      <c r="I168" s="81"/>
      <c r="J168" s="35"/>
      <c r="K168" s="36"/>
      <c r="L168" s="36"/>
      <c r="M168" s="36"/>
      <c r="N168" s="36"/>
      <c r="O168" s="36"/>
      <c r="P168" s="36"/>
      <c r="Q168" s="36"/>
      <c r="R168" s="36"/>
      <c r="S168" s="36"/>
      <c r="T168" s="36"/>
      <c r="U168" s="36"/>
      <c r="V168" s="36"/>
      <c r="W168" s="36"/>
      <c r="X168" s="36"/>
      <c r="Y168" s="36"/>
      <c r="Z168" s="36"/>
      <c r="AA168" s="36"/>
      <c r="AB168" s="36"/>
      <c r="AC168" s="36"/>
    </row>
    <row r="169" spans="1:29" ht="24" customHeight="1">
      <c r="A169" s="81"/>
      <c r="B169" s="94"/>
      <c r="C169" s="81"/>
      <c r="D169" s="81"/>
      <c r="E169" s="80"/>
      <c r="F169" s="80"/>
      <c r="G169" s="80"/>
      <c r="H169" s="81"/>
      <c r="I169" s="81"/>
      <c r="J169" s="35"/>
      <c r="K169" s="36"/>
      <c r="L169" s="36"/>
      <c r="M169" s="36"/>
      <c r="N169" s="36"/>
      <c r="O169" s="36"/>
      <c r="P169" s="36"/>
      <c r="Q169" s="36"/>
      <c r="R169" s="36"/>
      <c r="S169" s="36"/>
      <c r="T169" s="36"/>
      <c r="U169" s="36"/>
      <c r="V169" s="36"/>
      <c r="W169" s="36"/>
      <c r="X169" s="36"/>
      <c r="Y169" s="36"/>
      <c r="Z169" s="36"/>
      <c r="AA169" s="36"/>
      <c r="AB169" s="36"/>
      <c r="AC169" s="36"/>
    </row>
    <row r="170" spans="1:29" ht="24" customHeight="1">
      <c r="A170" s="81"/>
      <c r="B170" s="94"/>
      <c r="C170" s="81"/>
      <c r="D170" s="81"/>
      <c r="E170" s="80"/>
      <c r="F170" s="80"/>
      <c r="G170" s="80"/>
      <c r="H170" s="81"/>
      <c r="I170" s="81"/>
      <c r="J170" s="35"/>
      <c r="K170" s="36"/>
      <c r="L170" s="36"/>
      <c r="M170" s="36"/>
      <c r="N170" s="36"/>
      <c r="O170" s="36"/>
      <c r="P170" s="36"/>
      <c r="Q170" s="36"/>
      <c r="R170" s="36"/>
      <c r="S170" s="36"/>
      <c r="T170" s="36"/>
      <c r="U170" s="36"/>
      <c r="V170" s="36"/>
      <c r="W170" s="36"/>
      <c r="X170" s="36"/>
      <c r="Y170" s="36"/>
      <c r="Z170" s="36"/>
      <c r="AA170" s="36"/>
      <c r="AB170" s="36"/>
      <c r="AC170" s="36"/>
    </row>
    <row r="171" spans="1:29" ht="36" customHeight="1">
      <c r="A171" s="81"/>
      <c r="B171" s="94"/>
      <c r="C171" s="81"/>
      <c r="D171" s="81"/>
      <c r="E171" s="80"/>
      <c r="F171" s="80"/>
      <c r="G171" s="80"/>
      <c r="H171" s="81"/>
      <c r="I171" s="81"/>
      <c r="J171" s="35"/>
      <c r="K171" s="36"/>
      <c r="L171" s="36"/>
      <c r="M171" s="36"/>
      <c r="N171" s="36"/>
      <c r="O171" s="36"/>
      <c r="P171" s="36"/>
      <c r="Q171" s="36"/>
      <c r="R171" s="36"/>
      <c r="S171" s="36"/>
      <c r="T171" s="36"/>
      <c r="U171" s="36"/>
      <c r="V171" s="36"/>
      <c r="W171" s="36"/>
      <c r="X171" s="36"/>
      <c r="Y171" s="36"/>
      <c r="Z171" s="36"/>
      <c r="AA171" s="36"/>
      <c r="AB171" s="36"/>
      <c r="AC171" s="36"/>
    </row>
    <row r="172" spans="1:29" ht="36" customHeight="1">
      <c r="A172" s="81"/>
      <c r="B172" s="94"/>
      <c r="C172" s="81"/>
      <c r="D172" s="81"/>
      <c r="E172" s="80"/>
      <c r="F172" s="80"/>
      <c r="G172" s="80"/>
      <c r="H172" s="81"/>
      <c r="I172" s="81"/>
      <c r="J172" s="35"/>
      <c r="K172" s="36"/>
      <c r="L172" s="36"/>
      <c r="M172" s="36"/>
      <c r="N172" s="36"/>
      <c r="O172" s="36"/>
      <c r="P172" s="36"/>
      <c r="Q172" s="36"/>
      <c r="R172" s="36"/>
      <c r="S172" s="36"/>
      <c r="T172" s="36"/>
      <c r="U172" s="36"/>
      <c r="V172" s="36"/>
      <c r="W172" s="36"/>
      <c r="X172" s="36"/>
      <c r="Y172" s="36"/>
      <c r="Z172" s="36"/>
      <c r="AA172" s="36"/>
      <c r="AB172" s="36"/>
      <c r="AC172" s="36"/>
    </row>
    <row r="173" spans="1:29" ht="24" customHeight="1">
      <c r="A173" s="81"/>
      <c r="B173" s="94"/>
      <c r="C173" s="81"/>
      <c r="D173" s="81"/>
      <c r="E173" s="80"/>
      <c r="F173" s="80"/>
      <c r="G173" s="80"/>
      <c r="H173" s="81"/>
      <c r="I173" s="81"/>
      <c r="J173" s="35"/>
      <c r="K173" s="36"/>
      <c r="L173" s="36"/>
      <c r="M173" s="36"/>
      <c r="N173" s="36"/>
      <c r="O173" s="36"/>
      <c r="P173" s="36"/>
      <c r="Q173" s="36"/>
      <c r="R173" s="36"/>
      <c r="S173" s="36"/>
      <c r="T173" s="36"/>
      <c r="U173" s="36"/>
      <c r="V173" s="36"/>
      <c r="W173" s="36"/>
      <c r="X173" s="36"/>
      <c r="Y173" s="36"/>
      <c r="Z173" s="36"/>
      <c r="AA173" s="36"/>
      <c r="AB173" s="36"/>
      <c r="AC173" s="36"/>
    </row>
    <row r="174" spans="1:29" ht="36" customHeight="1">
      <c r="A174" s="81"/>
      <c r="B174" s="94"/>
      <c r="C174" s="81"/>
      <c r="D174" s="81"/>
      <c r="E174" s="80"/>
      <c r="F174" s="80"/>
      <c r="G174" s="80"/>
      <c r="H174" s="81"/>
      <c r="I174" s="81"/>
      <c r="J174" s="35"/>
      <c r="K174" s="36"/>
      <c r="L174" s="36"/>
      <c r="M174" s="36"/>
      <c r="N174" s="36"/>
      <c r="O174" s="36"/>
      <c r="P174" s="36"/>
      <c r="Q174" s="36"/>
      <c r="R174" s="36"/>
      <c r="S174" s="36"/>
      <c r="T174" s="36"/>
      <c r="U174" s="36"/>
      <c r="V174" s="36"/>
      <c r="W174" s="36"/>
      <c r="X174" s="36"/>
      <c r="Y174" s="36"/>
      <c r="Z174" s="36"/>
      <c r="AA174" s="36"/>
      <c r="AB174" s="36"/>
      <c r="AC174" s="36"/>
    </row>
    <row r="175" spans="1:29" ht="24" customHeight="1">
      <c r="A175" s="81"/>
      <c r="B175" s="94"/>
      <c r="C175" s="81"/>
      <c r="D175" s="81"/>
      <c r="E175" s="80"/>
      <c r="F175" s="80"/>
      <c r="G175" s="80"/>
      <c r="H175" s="81"/>
      <c r="I175" s="81"/>
      <c r="J175" s="35"/>
      <c r="K175" s="36"/>
      <c r="L175" s="36"/>
      <c r="M175" s="36"/>
      <c r="N175" s="36"/>
      <c r="O175" s="36"/>
      <c r="P175" s="36"/>
      <c r="Q175" s="36"/>
      <c r="R175" s="36"/>
      <c r="S175" s="36"/>
      <c r="T175" s="36"/>
      <c r="U175" s="36"/>
      <c r="V175" s="36"/>
      <c r="W175" s="36"/>
      <c r="X175" s="36"/>
      <c r="Y175" s="36"/>
      <c r="Z175" s="36"/>
      <c r="AA175" s="36"/>
      <c r="AB175" s="36"/>
      <c r="AC175" s="36"/>
    </row>
    <row r="176" spans="1:29" ht="24" customHeight="1">
      <c r="A176" s="81"/>
      <c r="B176" s="94"/>
      <c r="C176" s="81"/>
      <c r="D176" s="81"/>
      <c r="E176" s="80"/>
      <c r="F176" s="80"/>
      <c r="G176" s="80"/>
      <c r="H176" s="81"/>
      <c r="I176" s="81"/>
      <c r="J176" s="35"/>
      <c r="K176" s="36"/>
      <c r="L176" s="36"/>
      <c r="M176" s="36"/>
      <c r="N176" s="36"/>
      <c r="O176" s="36"/>
      <c r="P176" s="36"/>
      <c r="Q176" s="36"/>
      <c r="R176" s="36"/>
      <c r="S176" s="36"/>
      <c r="T176" s="36"/>
      <c r="U176" s="36"/>
      <c r="V176" s="36"/>
      <c r="W176" s="36"/>
      <c r="X176" s="36"/>
      <c r="Y176" s="36"/>
      <c r="Z176" s="36"/>
      <c r="AA176" s="36"/>
      <c r="AB176" s="36"/>
      <c r="AC176" s="36"/>
    </row>
    <row r="177" spans="1:29" ht="48" customHeight="1">
      <c r="A177" s="81"/>
      <c r="B177" s="94"/>
      <c r="C177" s="81"/>
      <c r="D177" s="81"/>
      <c r="E177" s="80"/>
      <c r="F177" s="80"/>
      <c r="G177" s="80"/>
      <c r="H177" s="81"/>
      <c r="I177" s="81"/>
      <c r="J177" s="35"/>
      <c r="K177" s="36"/>
      <c r="L177" s="36"/>
      <c r="M177" s="36"/>
      <c r="N177" s="36"/>
      <c r="O177" s="36"/>
      <c r="P177" s="36"/>
      <c r="Q177" s="36"/>
      <c r="R177" s="36"/>
      <c r="S177" s="36"/>
      <c r="T177" s="36"/>
      <c r="U177" s="36"/>
      <c r="V177" s="36"/>
      <c r="W177" s="36"/>
      <c r="X177" s="36"/>
      <c r="Y177" s="36"/>
      <c r="Z177" s="36"/>
      <c r="AA177" s="36"/>
      <c r="AB177" s="36"/>
      <c r="AC177" s="36"/>
    </row>
    <row r="178" spans="1:29" ht="36" customHeight="1">
      <c r="A178" s="81"/>
      <c r="B178" s="81"/>
      <c r="C178" s="81"/>
      <c r="D178" s="81"/>
      <c r="E178" s="80"/>
      <c r="F178" s="80"/>
      <c r="G178" s="80"/>
      <c r="H178" s="81"/>
      <c r="I178" s="81"/>
      <c r="J178" s="35"/>
      <c r="K178" s="36"/>
      <c r="L178" s="36"/>
      <c r="M178" s="36"/>
      <c r="N178" s="36"/>
      <c r="O178" s="36"/>
      <c r="P178" s="36"/>
      <c r="Q178" s="36"/>
      <c r="R178" s="36"/>
      <c r="S178" s="36"/>
      <c r="T178" s="36"/>
      <c r="U178" s="36"/>
      <c r="V178" s="36"/>
      <c r="W178" s="36"/>
      <c r="X178" s="36"/>
      <c r="Y178" s="36"/>
      <c r="Z178" s="36"/>
      <c r="AA178" s="36"/>
      <c r="AB178" s="36"/>
      <c r="AC178" s="36"/>
    </row>
    <row r="179" spans="1:29" ht="48" customHeight="1">
      <c r="A179" s="81"/>
      <c r="B179" s="94"/>
      <c r="C179" s="81"/>
      <c r="D179" s="81"/>
      <c r="E179" s="80"/>
      <c r="F179" s="80"/>
      <c r="G179" s="80"/>
      <c r="H179" s="81"/>
      <c r="I179" s="81"/>
      <c r="J179" s="35"/>
      <c r="K179" s="36"/>
      <c r="L179" s="36"/>
      <c r="M179" s="36"/>
      <c r="N179" s="36"/>
      <c r="O179" s="36"/>
      <c r="P179" s="36"/>
      <c r="Q179" s="36"/>
      <c r="R179" s="36"/>
      <c r="S179" s="36"/>
      <c r="T179" s="36"/>
      <c r="U179" s="36"/>
      <c r="V179" s="36"/>
      <c r="W179" s="36"/>
      <c r="X179" s="36"/>
      <c r="Y179" s="36"/>
      <c r="Z179" s="36"/>
      <c r="AA179" s="36"/>
      <c r="AB179" s="36"/>
      <c r="AC179" s="36"/>
    </row>
    <row r="180" spans="1:29" ht="24" customHeight="1">
      <c r="A180" s="81"/>
      <c r="B180" s="94"/>
      <c r="C180" s="81"/>
      <c r="D180" s="81"/>
      <c r="E180" s="80"/>
      <c r="F180" s="80"/>
      <c r="G180" s="80"/>
      <c r="H180" s="81"/>
      <c r="I180" s="81"/>
      <c r="J180" s="35"/>
      <c r="K180" s="36"/>
      <c r="L180" s="36"/>
      <c r="M180" s="36"/>
      <c r="N180" s="36"/>
      <c r="O180" s="36"/>
      <c r="P180" s="36"/>
      <c r="Q180" s="36"/>
      <c r="R180" s="36"/>
      <c r="S180" s="36"/>
      <c r="T180" s="36"/>
      <c r="U180" s="36"/>
      <c r="V180" s="36"/>
      <c r="W180" s="36"/>
      <c r="X180" s="36"/>
      <c r="Y180" s="36"/>
      <c r="Z180" s="36"/>
      <c r="AA180" s="36"/>
      <c r="AB180" s="36"/>
      <c r="AC180" s="36"/>
    </row>
    <row r="181" spans="1:29" ht="24" customHeight="1">
      <c r="A181" s="81"/>
      <c r="B181" s="94"/>
      <c r="C181" s="81"/>
      <c r="D181" s="81"/>
      <c r="E181" s="80"/>
      <c r="F181" s="80"/>
      <c r="G181" s="80"/>
      <c r="H181" s="81"/>
      <c r="I181" s="81"/>
      <c r="J181" s="35"/>
      <c r="K181" s="36"/>
      <c r="L181" s="36"/>
      <c r="M181" s="36"/>
      <c r="N181" s="36"/>
      <c r="O181" s="36"/>
      <c r="P181" s="36"/>
      <c r="Q181" s="36"/>
      <c r="R181" s="36"/>
      <c r="S181" s="36"/>
      <c r="T181" s="36"/>
      <c r="U181" s="36"/>
      <c r="V181" s="36"/>
      <c r="W181" s="36"/>
      <c r="X181" s="36"/>
      <c r="Y181" s="36"/>
      <c r="Z181" s="36"/>
      <c r="AA181" s="36"/>
      <c r="AB181" s="36"/>
      <c r="AC181" s="36"/>
    </row>
    <row r="182" spans="1:29" ht="36" customHeight="1">
      <c r="A182" s="81"/>
      <c r="B182" s="94"/>
      <c r="C182" s="81"/>
      <c r="D182" s="81"/>
      <c r="E182" s="80"/>
      <c r="F182" s="80"/>
      <c r="G182" s="80"/>
      <c r="H182" s="81"/>
      <c r="I182" s="81"/>
      <c r="J182" s="35"/>
      <c r="K182" s="36"/>
      <c r="L182" s="36"/>
      <c r="M182" s="36"/>
      <c r="N182" s="36"/>
      <c r="O182" s="36"/>
      <c r="P182" s="36"/>
      <c r="Q182" s="36"/>
      <c r="R182" s="36"/>
      <c r="S182" s="36"/>
      <c r="T182" s="36"/>
      <c r="U182" s="36"/>
      <c r="V182" s="36"/>
      <c r="W182" s="36"/>
      <c r="X182" s="36"/>
      <c r="Y182" s="36"/>
      <c r="Z182" s="36"/>
      <c r="AA182" s="36"/>
      <c r="AB182" s="36"/>
      <c r="AC182" s="36"/>
    </row>
    <row r="183" spans="1:29" ht="36" customHeight="1">
      <c r="A183" s="81"/>
      <c r="B183" s="94"/>
      <c r="C183" s="81"/>
      <c r="D183" s="81"/>
      <c r="E183" s="80"/>
      <c r="F183" s="80"/>
      <c r="G183" s="80"/>
      <c r="H183" s="81"/>
      <c r="I183" s="81"/>
      <c r="J183" s="35"/>
      <c r="K183" s="36"/>
      <c r="L183" s="36"/>
      <c r="M183" s="36"/>
      <c r="N183" s="36"/>
      <c r="O183" s="36"/>
      <c r="P183" s="36"/>
      <c r="Q183" s="36"/>
      <c r="R183" s="36"/>
      <c r="S183" s="36"/>
      <c r="T183" s="36"/>
      <c r="U183" s="36"/>
      <c r="V183" s="36"/>
      <c r="W183" s="36"/>
      <c r="X183" s="36"/>
      <c r="Y183" s="36"/>
      <c r="Z183" s="36"/>
      <c r="AA183" s="36"/>
      <c r="AB183" s="36"/>
      <c r="AC183" s="36"/>
    </row>
    <row r="184" spans="1:29" ht="36" customHeight="1">
      <c r="A184" s="81"/>
      <c r="B184" s="94"/>
      <c r="C184" s="81"/>
      <c r="D184" s="81"/>
      <c r="E184" s="80"/>
      <c r="F184" s="80"/>
      <c r="G184" s="80"/>
      <c r="H184" s="81"/>
      <c r="I184" s="81"/>
      <c r="J184" s="35"/>
      <c r="K184" s="36"/>
      <c r="L184" s="36"/>
      <c r="M184" s="36"/>
      <c r="N184" s="36"/>
      <c r="O184" s="36"/>
      <c r="P184" s="36"/>
      <c r="Q184" s="36"/>
      <c r="R184" s="36"/>
      <c r="S184" s="36"/>
      <c r="T184" s="36"/>
      <c r="U184" s="36"/>
      <c r="V184" s="36"/>
      <c r="W184" s="36"/>
      <c r="X184" s="36"/>
      <c r="Y184" s="36"/>
      <c r="Z184" s="36"/>
      <c r="AA184" s="36"/>
      <c r="AB184" s="36"/>
      <c r="AC184" s="36"/>
    </row>
    <row r="185" spans="1:29" ht="48" customHeight="1">
      <c r="A185" s="81"/>
      <c r="B185" s="94"/>
      <c r="C185" s="81"/>
      <c r="D185" s="81"/>
      <c r="E185" s="80"/>
      <c r="F185" s="80"/>
      <c r="G185" s="80"/>
      <c r="H185" s="81"/>
      <c r="I185" s="81"/>
      <c r="J185" s="35"/>
      <c r="K185" s="36"/>
      <c r="L185" s="36"/>
      <c r="M185" s="36"/>
      <c r="N185" s="36"/>
      <c r="O185" s="36"/>
      <c r="P185" s="36"/>
      <c r="Q185" s="36"/>
      <c r="R185" s="36"/>
      <c r="S185" s="36"/>
      <c r="T185" s="36"/>
      <c r="U185" s="36"/>
      <c r="V185" s="36"/>
      <c r="W185" s="36"/>
      <c r="X185" s="36"/>
      <c r="Y185" s="36"/>
      <c r="Z185" s="36"/>
      <c r="AA185" s="36"/>
      <c r="AB185" s="36"/>
      <c r="AC185" s="36"/>
    </row>
    <row r="186" spans="1:29" ht="24" customHeight="1">
      <c r="A186" s="81"/>
      <c r="B186" s="94"/>
      <c r="C186" s="81"/>
      <c r="D186" s="81"/>
      <c r="E186" s="80"/>
      <c r="F186" s="80"/>
      <c r="G186" s="80"/>
      <c r="H186" s="81"/>
      <c r="I186" s="81"/>
      <c r="J186" s="35"/>
      <c r="K186" s="36"/>
      <c r="L186" s="36"/>
      <c r="M186" s="36"/>
      <c r="N186" s="36"/>
      <c r="O186" s="36"/>
      <c r="P186" s="36"/>
      <c r="Q186" s="36"/>
      <c r="R186" s="36"/>
      <c r="S186" s="36"/>
      <c r="T186" s="36"/>
      <c r="U186" s="36"/>
      <c r="V186" s="36"/>
      <c r="W186" s="36"/>
      <c r="X186" s="36"/>
      <c r="Y186" s="36"/>
      <c r="Z186" s="36"/>
      <c r="AA186" s="36"/>
      <c r="AB186" s="36"/>
      <c r="AC186" s="36"/>
    </row>
    <row r="187" spans="1:29" ht="36" customHeight="1">
      <c r="A187" s="81"/>
      <c r="B187" s="94"/>
      <c r="C187" s="81"/>
      <c r="D187" s="81"/>
      <c r="E187" s="80"/>
      <c r="F187" s="80"/>
      <c r="G187" s="80"/>
      <c r="H187" s="81"/>
      <c r="I187" s="81"/>
      <c r="J187" s="35"/>
      <c r="K187" s="36"/>
      <c r="L187" s="36"/>
      <c r="M187" s="36"/>
      <c r="N187" s="36"/>
      <c r="O187" s="36"/>
      <c r="P187" s="36"/>
      <c r="Q187" s="36"/>
      <c r="R187" s="36"/>
      <c r="S187" s="36"/>
      <c r="T187" s="36"/>
      <c r="U187" s="36"/>
      <c r="V187" s="36"/>
      <c r="W187" s="36"/>
      <c r="X187" s="36"/>
      <c r="Y187" s="36"/>
      <c r="Z187" s="36"/>
      <c r="AA187" s="36"/>
      <c r="AB187" s="36"/>
      <c r="AC187" s="36"/>
    </row>
    <row r="188" spans="1:29" ht="36" customHeight="1">
      <c r="A188" s="81"/>
      <c r="B188" s="94"/>
      <c r="C188" s="81"/>
      <c r="D188" s="81"/>
      <c r="E188" s="80"/>
      <c r="F188" s="80"/>
      <c r="G188" s="80"/>
      <c r="H188" s="81"/>
      <c r="I188" s="81"/>
      <c r="J188" s="35"/>
      <c r="K188" s="36"/>
      <c r="L188" s="36"/>
      <c r="M188" s="36"/>
      <c r="N188" s="36"/>
      <c r="O188" s="36"/>
      <c r="P188" s="36"/>
      <c r="Q188" s="36"/>
      <c r="R188" s="36"/>
      <c r="S188" s="36"/>
      <c r="T188" s="36"/>
      <c r="U188" s="36"/>
      <c r="V188" s="36"/>
      <c r="W188" s="36"/>
      <c r="X188" s="36"/>
      <c r="Y188" s="36"/>
      <c r="Z188" s="36"/>
      <c r="AA188" s="36"/>
      <c r="AB188" s="36"/>
      <c r="AC188" s="36"/>
    </row>
    <row r="189" spans="1:29" ht="72" customHeight="1">
      <c r="A189" s="81"/>
      <c r="B189" s="94"/>
      <c r="C189" s="81"/>
      <c r="D189" s="81"/>
      <c r="E189" s="80"/>
      <c r="F189" s="80"/>
      <c r="G189" s="80"/>
      <c r="H189" s="81"/>
      <c r="I189" s="81"/>
      <c r="J189" s="35"/>
      <c r="K189" s="36"/>
      <c r="L189" s="36"/>
      <c r="M189" s="36"/>
      <c r="N189" s="36"/>
      <c r="O189" s="36"/>
      <c r="P189" s="36"/>
      <c r="Q189" s="36"/>
      <c r="R189" s="36"/>
      <c r="S189" s="36"/>
      <c r="T189" s="36"/>
      <c r="U189" s="36"/>
      <c r="V189" s="36"/>
      <c r="W189" s="36"/>
      <c r="X189" s="36"/>
      <c r="Y189" s="36"/>
      <c r="Z189" s="36"/>
      <c r="AA189" s="36"/>
      <c r="AB189" s="36"/>
      <c r="AC189" s="36"/>
    </row>
    <row r="190" spans="1:29" ht="24" customHeight="1">
      <c r="A190" s="619"/>
      <c r="B190" s="94"/>
      <c r="C190" s="81"/>
      <c r="D190" s="81"/>
      <c r="E190" s="80"/>
      <c r="F190" s="80"/>
      <c r="G190" s="80"/>
      <c r="H190" s="94"/>
      <c r="I190" s="81"/>
      <c r="J190" s="35"/>
      <c r="K190" s="36"/>
      <c r="L190" s="36"/>
      <c r="M190" s="36"/>
      <c r="N190" s="36"/>
      <c r="O190" s="36"/>
      <c r="P190" s="36"/>
      <c r="Q190" s="36"/>
      <c r="R190" s="36"/>
      <c r="S190" s="36"/>
      <c r="T190" s="36"/>
      <c r="U190" s="36"/>
      <c r="V190" s="36"/>
      <c r="W190" s="36"/>
      <c r="X190" s="36"/>
      <c r="Y190" s="36"/>
      <c r="Z190" s="36"/>
      <c r="AA190" s="36"/>
      <c r="AB190" s="36"/>
      <c r="AC190" s="36"/>
    </row>
    <row r="191" spans="1:29" ht="49.5" customHeight="1">
      <c r="A191" s="619"/>
      <c r="B191" s="94"/>
      <c r="C191" s="81"/>
      <c r="D191" s="621"/>
      <c r="E191" s="80"/>
      <c r="F191" s="80"/>
      <c r="G191" s="80"/>
      <c r="H191" s="94"/>
      <c r="I191" s="81"/>
      <c r="J191" s="35"/>
      <c r="K191" s="36"/>
      <c r="L191" s="36"/>
      <c r="M191" s="36"/>
      <c r="N191" s="36"/>
      <c r="O191" s="36"/>
      <c r="P191" s="36"/>
      <c r="Q191" s="36"/>
      <c r="R191" s="36"/>
      <c r="S191" s="36"/>
      <c r="T191" s="36"/>
      <c r="U191" s="36"/>
      <c r="V191" s="36"/>
      <c r="W191" s="36"/>
      <c r="X191" s="36"/>
      <c r="Y191" s="36"/>
      <c r="Z191" s="36"/>
      <c r="AA191" s="36"/>
      <c r="AB191" s="36"/>
      <c r="AC191" s="36"/>
    </row>
    <row r="192" spans="1:29" ht="36" customHeight="1">
      <c r="A192" s="81"/>
      <c r="B192" s="94"/>
      <c r="C192" s="81"/>
      <c r="D192" s="81"/>
      <c r="E192" s="80"/>
      <c r="F192" s="80"/>
      <c r="G192" s="80"/>
      <c r="H192" s="81"/>
      <c r="I192" s="81"/>
      <c r="J192" s="35"/>
      <c r="K192" s="36"/>
      <c r="L192" s="36"/>
      <c r="M192" s="36"/>
      <c r="N192" s="36"/>
      <c r="O192" s="36"/>
      <c r="P192" s="36"/>
      <c r="Q192" s="36"/>
      <c r="R192" s="36"/>
      <c r="S192" s="36"/>
      <c r="T192" s="36"/>
      <c r="U192" s="36"/>
      <c r="V192" s="36"/>
      <c r="W192" s="36"/>
      <c r="X192" s="36"/>
      <c r="Y192" s="36"/>
      <c r="Z192" s="36"/>
      <c r="AA192" s="36"/>
      <c r="AB192" s="36"/>
      <c r="AC192" s="36"/>
    </row>
    <row r="193" spans="1:29" ht="72" customHeight="1">
      <c r="A193" s="81"/>
      <c r="B193" s="94"/>
      <c r="C193" s="81"/>
      <c r="D193" s="81"/>
      <c r="E193" s="80"/>
      <c r="F193" s="80"/>
      <c r="G193" s="80"/>
      <c r="H193" s="81"/>
      <c r="I193" s="81"/>
      <c r="J193" s="35"/>
      <c r="K193" s="36"/>
      <c r="L193" s="36"/>
      <c r="M193" s="36"/>
      <c r="N193" s="36"/>
      <c r="O193" s="36"/>
      <c r="P193" s="36"/>
      <c r="Q193" s="36"/>
      <c r="R193" s="36"/>
      <c r="S193" s="36"/>
      <c r="T193" s="36"/>
      <c r="U193" s="36"/>
      <c r="V193" s="36"/>
      <c r="W193" s="36"/>
      <c r="X193" s="36"/>
      <c r="Y193" s="36"/>
      <c r="Z193" s="36"/>
      <c r="AA193" s="36"/>
      <c r="AB193" s="36"/>
      <c r="AC193" s="36"/>
    </row>
    <row r="194" spans="1:29" ht="24" customHeight="1">
      <c r="A194" s="619"/>
      <c r="B194" s="81"/>
      <c r="C194" s="81"/>
      <c r="D194" s="81"/>
      <c r="E194" s="80"/>
      <c r="F194" s="80"/>
      <c r="G194" s="80"/>
      <c r="H194" s="81"/>
      <c r="I194" s="81"/>
      <c r="J194" s="35"/>
      <c r="K194" s="36"/>
      <c r="L194" s="36"/>
      <c r="M194" s="36"/>
      <c r="N194" s="36"/>
      <c r="O194" s="36"/>
      <c r="P194" s="36"/>
      <c r="Q194" s="36"/>
      <c r="R194" s="36"/>
      <c r="S194" s="36"/>
      <c r="T194" s="36"/>
      <c r="U194" s="36"/>
      <c r="V194" s="36"/>
      <c r="W194" s="36"/>
      <c r="X194" s="36"/>
      <c r="Y194" s="36"/>
      <c r="Z194" s="36"/>
      <c r="AA194" s="36"/>
      <c r="AB194" s="36"/>
      <c r="AC194" s="36"/>
    </row>
    <row r="195" spans="1:29" ht="36" customHeight="1">
      <c r="A195" s="619"/>
      <c r="B195" s="94"/>
      <c r="C195" s="81"/>
      <c r="D195" s="81"/>
      <c r="E195" s="80"/>
      <c r="F195" s="80"/>
      <c r="G195" s="80"/>
      <c r="H195" s="81"/>
      <c r="I195" s="81"/>
      <c r="J195" s="35"/>
      <c r="K195" s="36"/>
      <c r="L195" s="36"/>
      <c r="M195" s="36"/>
      <c r="N195" s="36"/>
      <c r="O195" s="36"/>
      <c r="P195" s="36"/>
      <c r="Q195" s="36"/>
      <c r="R195" s="36"/>
      <c r="S195" s="36"/>
      <c r="T195" s="36"/>
      <c r="U195" s="36"/>
      <c r="V195" s="36"/>
      <c r="W195" s="36"/>
      <c r="X195" s="36"/>
      <c r="Y195" s="36"/>
      <c r="Z195" s="36"/>
      <c r="AA195" s="36"/>
      <c r="AB195" s="36"/>
      <c r="AC195" s="36"/>
    </row>
    <row r="196" spans="1:29" ht="29.25" customHeight="1">
      <c r="A196" s="619"/>
      <c r="B196" s="94"/>
      <c r="C196" s="81"/>
      <c r="D196" s="81"/>
      <c r="E196" s="80"/>
      <c r="F196" s="80"/>
      <c r="G196" s="80"/>
      <c r="H196" s="81"/>
      <c r="I196" s="81"/>
      <c r="J196" s="35"/>
      <c r="K196" s="36"/>
      <c r="L196" s="36"/>
      <c r="M196" s="36"/>
      <c r="N196" s="36"/>
      <c r="O196" s="36"/>
      <c r="P196" s="36"/>
      <c r="Q196" s="36"/>
      <c r="R196" s="36"/>
      <c r="S196" s="36"/>
      <c r="T196" s="36"/>
      <c r="U196" s="36"/>
      <c r="V196" s="36"/>
      <c r="W196" s="36"/>
      <c r="X196" s="36"/>
      <c r="Y196" s="36"/>
      <c r="Z196" s="36"/>
      <c r="AA196" s="36"/>
      <c r="AB196" s="36"/>
      <c r="AC196" s="36"/>
    </row>
    <row r="197" spans="1:29" ht="60" customHeight="1">
      <c r="A197" s="619"/>
      <c r="B197" s="81"/>
      <c r="C197" s="81"/>
      <c r="D197" s="81"/>
      <c r="E197" s="80"/>
      <c r="F197" s="80"/>
      <c r="G197" s="80"/>
      <c r="H197" s="81"/>
      <c r="I197" s="81"/>
      <c r="J197" s="35"/>
      <c r="K197" s="36"/>
      <c r="L197" s="36"/>
      <c r="M197" s="36"/>
      <c r="N197" s="36"/>
      <c r="O197" s="36"/>
      <c r="P197" s="36"/>
      <c r="Q197" s="36"/>
      <c r="R197" s="36"/>
      <c r="S197" s="36"/>
      <c r="T197" s="36"/>
      <c r="U197" s="36"/>
      <c r="V197" s="36"/>
      <c r="W197" s="36"/>
      <c r="X197" s="36"/>
      <c r="Y197" s="36"/>
      <c r="Z197" s="36"/>
      <c r="AA197" s="36"/>
      <c r="AB197" s="36"/>
      <c r="AC197" s="36"/>
    </row>
    <row r="198" spans="1:29" ht="24" customHeight="1">
      <c r="A198" s="619"/>
      <c r="B198" s="94"/>
      <c r="C198" s="81"/>
      <c r="D198" s="81"/>
      <c r="E198" s="80"/>
      <c r="F198" s="80"/>
      <c r="G198" s="80"/>
      <c r="H198" s="81"/>
      <c r="I198" s="81"/>
      <c r="J198" s="35"/>
      <c r="K198" s="36"/>
      <c r="L198" s="36"/>
      <c r="M198" s="36"/>
      <c r="N198" s="36"/>
      <c r="O198" s="36"/>
      <c r="P198" s="36"/>
      <c r="Q198" s="36"/>
      <c r="R198" s="36"/>
      <c r="S198" s="36"/>
      <c r="T198" s="36"/>
      <c r="U198" s="36"/>
      <c r="V198" s="36"/>
      <c r="W198" s="36"/>
      <c r="X198" s="36"/>
      <c r="Y198" s="36"/>
      <c r="Z198" s="36"/>
      <c r="AA198" s="36"/>
      <c r="AB198" s="36"/>
      <c r="AC198" s="36"/>
    </row>
    <row r="199" spans="1:29" ht="24" customHeight="1">
      <c r="A199" s="619"/>
      <c r="B199" s="94"/>
      <c r="C199" s="81"/>
      <c r="D199" s="81"/>
      <c r="E199" s="80"/>
      <c r="F199" s="80"/>
      <c r="G199" s="80"/>
      <c r="H199" s="81"/>
      <c r="I199" s="81"/>
      <c r="J199" s="35"/>
      <c r="K199" s="36"/>
      <c r="L199" s="36"/>
      <c r="M199" s="36"/>
      <c r="N199" s="36"/>
      <c r="O199" s="36"/>
      <c r="P199" s="36"/>
      <c r="Q199" s="36"/>
      <c r="R199" s="36"/>
      <c r="S199" s="36"/>
      <c r="T199" s="36"/>
      <c r="U199" s="36"/>
      <c r="V199" s="36"/>
      <c r="W199" s="36"/>
      <c r="X199" s="36"/>
      <c r="Y199" s="36"/>
      <c r="Z199" s="36"/>
      <c r="AA199" s="36"/>
      <c r="AB199" s="36"/>
      <c r="AC199" s="36"/>
    </row>
    <row r="200" spans="1:29" ht="24" customHeight="1">
      <c r="A200" s="619"/>
      <c r="B200" s="94"/>
      <c r="C200" s="81"/>
      <c r="D200" s="81"/>
      <c r="E200" s="80"/>
      <c r="F200" s="80"/>
      <c r="G200" s="80"/>
      <c r="H200" s="81"/>
      <c r="I200" s="81"/>
      <c r="J200" s="35"/>
      <c r="K200" s="36"/>
      <c r="L200" s="36"/>
      <c r="M200" s="36"/>
      <c r="N200" s="36"/>
      <c r="O200" s="36"/>
      <c r="P200" s="36"/>
      <c r="Q200" s="36"/>
      <c r="R200" s="36"/>
      <c r="S200" s="36"/>
      <c r="T200" s="36"/>
      <c r="U200" s="36"/>
      <c r="V200" s="36"/>
      <c r="W200" s="36"/>
      <c r="X200" s="36"/>
      <c r="Y200" s="36"/>
      <c r="Z200" s="36"/>
      <c r="AA200" s="36"/>
      <c r="AB200" s="36"/>
      <c r="AC200" s="36"/>
    </row>
    <row r="201" spans="1:29" ht="36" customHeight="1">
      <c r="A201" s="619"/>
      <c r="B201" s="94"/>
      <c r="C201" s="81"/>
      <c r="D201" s="81"/>
      <c r="E201" s="80"/>
      <c r="F201" s="80"/>
      <c r="G201" s="80"/>
      <c r="H201" s="81"/>
      <c r="I201" s="81"/>
      <c r="J201" s="35"/>
      <c r="K201" s="36"/>
      <c r="L201" s="36"/>
      <c r="M201" s="36"/>
      <c r="N201" s="36"/>
      <c r="O201" s="36"/>
      <c r="P201" s="36"/>
      <c r="Q201" s="36"/>
      <c r="R201" s="36"/>
      <c r="S201" s="36"/>
      <c r="T201" s="36"/>
      <c r="U201" s="36"/>
      <c r="V201" s="36"/>
      <c r="W201" s="36"/>
      <c r="X201" s="36"/>
      <c r="Y201" s="36"/>
      <c r="Z201" s="36"/>
      <c r="AA201" s="36"/>
      <c r="AB201" s="36"/>
      <c r="AC201" s="36"/>
    </row>
    <row r="202" spans="1:29" ht="48" customHeight="1">
      <c r="A202" s="619"/>
      <c r="B202" s="94"/>
      <c r="C202" s="81"/>
      <c r="D202" s="81"/>
      <c r="E202" s="80"/>
      <c r="F202" s="80"/>
      <c r="G202" s="80"/>
      <c r="H202" s="81"/>
      <c r="I202" s="81"/>
      <c r="J202" s="35"/>
      <c r="K202" s="36"/>
      <c r="L202" s="36"/>
      <c r="M202" s="36"/>
      <c r="N202" s="36"/>
      <c r="O202" s="36"/>
      <c r="P202" s="36"/>
      <c r="Q202" s="36"/>
      <c r="R202" s="36"/>
      <c r="S202" s="36"/>
      <c r="T202" s="36"/>
      <c r="U202" s="36"/>
      <c r="V202" s="36"/>
      <c r="W202" s="36"/>
      <c r="X202" s="36"/>
      <c r="Y202" s="36"/>
      <c r="Z202" s="36"/>
      <c r="AA202" s="36"/>
      <c r="AB202" s="36"/>
      <c r="AC202" s="36"/>
    </row>
    <row r="203" spans="1:29" ht="48" customHeight="1">
      <c r="A203" s="619"/>
      <c r="B203" s="94"/>
      <c r="C203" s="81"/>
      <c r="D203" s="81"/>
      <c r="E203" s="80"/>
      <c r="F203" s="80"/>
      <c r="G203" s="80"/>
      <c r="H203" s="81"/>
      <c r="I203" s="81"/>
      <c r="J203" s="35"/>
      <c r="K203" s="36"/>
      <c r="L203" s="36"/>
      <c r="M203" s="36"/>
      <c r="N203" s="36"/>
      <c r="O203" s="36"/>
      <c r="P203" s="36"/>
      <c r="Q203" s="36"/>
      <c r="R203" s="36"/>
      <c r="S203" s="36"/>
      <c r="T203" s="36"/>
      <c r="U203" s="36"/>
      <c r="V203" s="36"/>
      <c r="W203" s="36"/>
      <c r="X203" s="36"/>
      <c r="Y203" s="36"/>
      <c r="Z203" s="36"/>
      <c r="AA203" s="36"/>
      <c r="AB203" s="36"/>
      <c r="AC203" s="36"/>
    </row>
    <row r="204" spans="1:29" ht="60" customHeight="1">
      <c r="A204" s="619"/>
      <c r="B204" s="94"/>
      <c r="C204" s="81"/>
      <c r="D204" s="81"/>
      <c r="E204" s="80"/>
      <c r="F204" s="80"/>
      <c r="G204" s="80"/>
      <c r="H204" s="81"/>
      <c r="I204" s="81"/>
      <c r="J204" s="35"/>
      <c r="K204" s="36"/>
      <c r="L204" s="36"/>
      <c r="M204" s="36"/>
      <c r="N204" s="36"/>
      <c r="O204" s="36"/>
      <c r="P204" s="36"/>
      <c r="Q204" s="36"/>
      <c r="R204" s="36"/>
      <c r="S204" s="36"/>
      <c r="T204" s="36"/>
      <c r="U204" s="36"/>
      <c r="V204" s="36"/>
      <c r="W204" s="36"/>
      <c r="X204" s="36"/>
      <c r="Y204" s="36"/>
      <c r="Z204" s="36"/>
      <c r="AA204" s="36"/>
      <c r="AB204" s="36"/>
      <c r="AC204" s="36"/>
    </row>
    <row r="205" spans="1:29" ht="30" customHeight="1">
      <c r="A205" s="619"/>
      <c r="B205" s="94"/>
      <c r="C205" s="81"/>
      <c r="D205" s="81"/>
      <c r="E205" s="80"/>
      <c r="F205" s="80"/>
      <c r="G205" s="80"/>
      <c r="H205" s="81"/>
      <c r="I205" s="81"/>
      <c r="J205" s="35"/>
      <c r="K205" s="36"/>
      <c r="L205" s="36"/>
      <c r="M205" s="36"/>
      <c r="N205" s="36"/>
      <c r="O205" s="36"/>
      <c r="P205" s="36"/>
      <c r="Q205" s="36"/>
      <c r="R205" s="36"/>
      <c r="S205" s="36"/>
      <c r="T205" s="36"/>
      <c r="U205" s="36"/>
      <c r="V205" s="36"/>
      <c r="W205" s="36"/>
      <c r="X205" s="36"/>
      <c r="Y205" s="36"/>
      <c r="Z205" s="36"/>
      <c r="AA205" s="36"/>
      <c r="AB205" s="36"/>
      <c r="AC205" s="36"/>
    </row>
    <row r="206" spans="1:29" ht="24" customHeight="1">
      <c r="A206" s="619"/>
      <c r="B206" s="94"/>
      <c r="C206" s="81"/>
      <c r="D206" s="81"/>
      <c r="E206" s="80"/>
      <c r="F206" s="80"/>
      <c r="G206" s="80"/>
      <c r="H206" s="81"/>
      <c r="I206" s="81"/>
      <c r="J206" s="35"/>
      <c r="K206" s="36"/>
      <c r="L206" s="36"/>
      <c r="M206" s="36"/>
      <c r="N206" s="36"/>
      <c r="O206" s="36"/>
      <c r="P206" s="36"/>
      <c r="Q206" s="36"/>
      <c r="R206" s="36"/>
      <c r="S206" s="36"/>
      <c r="T206" s="36"/>
      <c r="U206" s="36"/>
      <c r="V206" s="36"/>
      <c r="W206" s="36"/>
      <c r="X206" s="36"/>
      <c r="Y206" s="36"/>
      <c r="Z206" s="36"/>
      <c r="AA206" s="36"/>
      <c r="AB206" s="36"/>
      <c r="AC206" s="36"/>
    </row>
    <row r="207" spans="1:29" ht="24" customHeight="1">
      <c r="A207" s="619"/>
      <c r="B207" s="94"/>
      <c r="C207" s="81"/>
      <c r="D207" s="81"/>
      <c r="E207" s="80"/>
      <c r="F207" s="80"/>
      <c r="G207" s="80"/>
      <c r="H207" s="81"/>
      <c r="I207" s="81"/>
      <c r="J207" s="35"/>
      <c r="K207" s="36"/>
      <c r="L207" s="36"/>
      <c r="M207" s="36"/>
      <c r="N207" s="36"/>
      <c r="O207" s="36"/>
      <c r="P207" s="36"/>
      <c r="Q207" s="36"/>
      <c r="R207" s="36"/>
      <c r="S207" s="36"/>
      <c r="T207" s="36"/>
      <c r="U207" s="36"/>
      <c r="V207" s="36"/>
      <c r="W207" s="36"/>
      <c r="X207" s="36"/>
      <c r="Y207" s="36"/>
      <c r="Z207" s="36"/>
      <c r="AA207" s="36"/>
      <c r="AB207" s="36"/>
      <c r="AC207" s="36"/>
    </row>
    <row r="208" spans="1:29" ht="24" customHeight="1">
      <c r="A208" s="619"/>
      <c r="B208" s="81"/>
      <c r="C208" s="81"/>
      <c r="D208" s="81"/>
      <c r="E208" s="80"/>
      <c r="F208" s="80"/>
      <c r="G208" s="80"/>
      <c r="H208" s="81"/>
      <c r="I208" s="81"/>
      <c r="J208" s="35"/>
      <c r="K208" s="36"/>
      <c r="L208" s="36"/>
      <c r="M208" s="36"/>
      <c r="N208" s="36"/>
      <c r="O208" s="36"/>
      <c r="P208" s="36"/>
      <c r="Q208" s="36"/>
      <c r="R208" s="36"/>
      <c r="S208" s="36"/>
      <c r="T208" s="36"/>
      <c r="U208" s="36"/>
      <c r="V208" s="36"/>
      <c r="W208" s="36"/>
      <c r="X208" s="36"/>
      <c r="Y208" s="36"/>
      <c r="Z208" s="36"/>
      <c r="AA208" s="36"/>
      <c r="AB208" s="36"/>
      <c r="AC208" s="36"/>
    </row>
    <row r="209" spans="1:29" ht="36" customHeight="1">
      <c r="A209" s="619"/>
      <c r="B209" s="94"/>
      <c r="C209" s="81"/>
      <c r="D209" s="81"/>
      <c r="E209" s="80"/>
      <c r="F209" s="80"/>
      <c r="G209" s="80"/>
      <c r="H209" s="81"/>
      <c r="I209" s="81"/>
      <c r="J209" s="35"/>
      <c r="K209" s="36"/>
      <c r="L209" s="36"/>
      <c r="M209" s="36"/>
      <c r="N209" s="36"/>
      <c r="O209" s="36"/>
      <c r="P209" s="36"/>
      <c r="Q209" s="36"/>
      <c r="R209" s="36"/>
      <c r="S209" s="36"/>
      <c r="T209" s="36"/>
      <c r="U209" s="36"/>
      <c r="V209" s="36"/>
      <c r="W209" s="36"/>
      <c r="X209" s="36"/>
      <c r="Y209" s="36"/>
      <c r="Z209" s="36"/>
      <c r="AA209" s="36"/>
      <c r="AB209" s="36"/>
      <c r="AC209" s="36"/>
    </row>
    <row r="210" spans="1:29" ht="24" customHeight="1">
      <c r="A210" s="619"/>
      <c r="B210" s="81"/>
      <c r="C210" s="81"/>
      <c r="D210" s="81"/>
      <c r="E210" s="80"/>
      <c r="F210" s="80"/>
      <c r="G210" s="80"/>
      <c r="H210" s="81"/>
      <c r="I210" s="81"/>
      <c r="J210" s="35"/>
      <c r="K210" s="36"/>
      <c r="L210" s="36"/>
      <c r="M210" s="36"/>
      <c r="N210" s="36"/>
      <c r="O210" s="36"/>
      <c r="P210" s="36"/>
      <c r="Q210" s="36"/>
      <c r="R210" s="36"/>
      <c r="S210" s="36"/>
      <c r="T210" s="36"/>
      <c r="U210" s="36"/>
      <c r="V210" s="36"/>
      <c r="W210" s="36"/>
      <c r="X210" s="36"/>
      <c r="Y210" s="36"/>
      <c r="Z210" s="36"/>
      <c r="AA210" s="36"/>
      <c r="AB210" s="36"/>
      <c r="AC210" s="36"/>
    </row>
    <row r="211" spans="1:29" ht="50.25" customHeight="1">
      <c r="A211" s="619"/>
      <c r="B211" s="81"/>
      <c r="C211" s="81"/>
      <c r="D211" s="81"/>
      <c r="E211" s="622"/>
      <c r="F211" s="80"/>
      <c r="G211" s="80"/>
      <c r="H211" s="81"/>
      <c r="I211" s="81"/>
      <c r="J211" s="35"/>
      <c r="K211" s="36"/>
      <c r="L211" s="36"/>
      <c r="M211" s="36"/>
      <c r="N211" s="36"/>
      <c r="O211" s="36"/>
      <c r="P211" s="36"/>
      <c r="Q211" s="36"/>
      <c r="R211" s="36"/>
      <c r="S211" s="36"/>
      <c r="T211" s="36"/>
      <c r="U211" s="36"/>
      <c r="V211" s="36"/>
      <c r="W211" s="36"/>
      <c r="X211" s="36"/>
      <c r="Y211" s="36"/>
      <c r="Z211" s="36"/>
      <c r="AA211" s="36"/>
      <c r="AB211" s="36"/>
      <c r="AC211" s="36"/>
    </row>
    <row r="212" spans="1:29" ht="24" customHeight="1">
      <c r="A212" s="619"/>
      <c r="B212" s="94"/>
      <c r="C212" s="81"/>
      <c r="D212" s="81"/>
      <c r="E212" s="80"/>
      <c r="F212" s="80"/>
      <c r="G212" s="80"/>
      <c r="H212" s="81"/>
      <c r="I212" s="81"/>
      <c r="J212" s="35"/>
      <c r="K212" s="36"/>
      <c r="L212" s="36"/>
      <c r="M212" s="36"/>
      <c r="N212" s="36"/>
      <c r="O212" s="36"/>
      <c r="P212" s="36"/>
      <c r="Q212" s="36"/>
      <c r="R212" s="36"/>
      <c r="S212" s="36"/>
      <c r="T212" s="36"/>
      <c r="U212" s="36"/>
      <c r="V212" s="36"/>
      <c r="W212" s="36"/>
      <c r="X212" s="36"/>
      <c r="Y212" s="36"/>
      <c r="Z212" s="36"/>
      <c r="AA212" s="36"/>
      <c r="AB212" s="36"/>
      <c r="AC212" s="36"/>
    </row>
    <row r="213" spans="1:29" ht="31.5" customHeight="1">
      <c r="A213" s="619"/>
      <c r="B213" s="94"/>
      <c r="C213" s="81"/>
      <c r="D213" s="81"/>
      <c r="E213" s="80"/>
      <c r="F213" s="80"/>
      <c r="G213" s="80"/>
      <c r="H213" s="81"/>
      <c r="I213" s="81"/>
      <c r="J213" s="35"/>
      <c r="K213" s="36"/>
      <c r="L213" s="36"/>
      <c r="M213" s="36"/>
      <c r="N213" s="36"/>
      <c r="O213" s="36"/>
      <c r="P213" s="36"/>
      <c r="Q213" s="36"/>
      <c r="R213" s="36"/>
      <c r="S213" s="36"/>
      <c r="T213" s="36"/>
      <c r="U213" s="36"/>
      <c r="V213" s="36"/>
      <c r="W213" s="36"/>
      <c r="X213" s="36"/>
      <c r="Y213" s="36"/>
      <c r="Z213" s="36"/>
      <c r="AA213" s="36"/>
      <c r="AB213" s="36"/>
      <c r="AC213" s="36"/>
    </row>
    <row r="214" spans="1:29" ht="24" customHeight="1">
      <c r="A214" s="619"/>
      <c r="B214" s="94"/>
      <c r="C214" s="81"/>
      <c r="D214" s="81"/>
      <c r="E214" s="80"/>
      <c r="F214" s="80"/>
      <c r="G214" s="80"/>
      <c r="H214" s="81"/>
      <c r="I214" s="81"/>
      <c r="J214" s="35"/>
      <c r="K214" s="36"/>
      <c r="L214" s="36"/>
      <c r="M214" s="36"/>
      <c r="N214" s="36"/>
      <c r="O214" s="36"/>
      <c r="P214" s="36"/>
      <c r="Q214" s="36"/>
      <c r="R214" s="36"/>
      <c r="S214" s="36"/>
      <c r="T214" s="36"/>
      <c r="U214" s="36"/>
      <c r="V214" s="36"/>
      <c r="W214" s="36"/>
      <c r="X214" s="36"/>
      <c r="Y214" s="36"/>
      <c r="Z214" s="36"/>
      <c r="AA214" s="36"/>
      <c r="AB214" s="36"/>
      <c r="AC214" s="36"/>
    </row>
    <row r="215" spans="1:29" ht="36" customHeight="1">
      <c r="A215" s="619"/>
      <c r="B215" s="94"/>
      <c r="C215" s="81"/>
      <c r="D215" s="81"/>
      <c r="E215" s="80"/>
      <c r="F215" s="80"/>
      <c r="G215" s="80"/>
      <c r="H215" s="81"/>
      <c r="I215" s="81"/>
      <c r="J215" s="35"/>
      <c r="K215" s="36"/>
      <c r="L215" s="36"/>
      <c r="M215" s="36"/>
      <c r="N215" s="36"/>
      <c r="O215" s="36"/>
      <c r="P215" s="36"/>
      <c r="Q215" s="36"/>
      <c r="R215" s="36"/>
      <c r="S215" s="36"/>
      <c r="T215" s="36"/>
      <c r="U215" s="36"/>
      <c r="V215" s="36"/>
      <c r="W215" s="36"/>
      <c r="X215" s="36"/>
      <c r="Y215" s="36"/>
      <c r="Z215" s="36"/>
      <c r="AA215" s="36"/>
      <c r="AB215" s="36"/>
      <c r="AC215" s="36"/>
    </row>
    <row r="216" spans="1:29" ht="24" customHeight="1">
      <c r="A216" s="81"/>
      <c r="B216" s="94"/>
      <c r="C216" s="81"/>
      <c r="D216" s="81"/>
      <c r="E216" s="80"/>
      <c r="F216" s="80"/>
      <c r="G216" s="80"/>
      <c r="H216" s="81"/>
      <c r="I216" s="81"/>
      <c r="J216" s="35"/>
      <c r="K216" s="36"/>
      <c r="L216" s="36"/>
      <c r="M216" s="36"/>
      <c r="N216" s="36"/>
      <c r="O216" s="36"/>
      <c r="P216" s="36"/>
      <c r="Q216" s="36"/>
      <c r="R216" s="36"/>
      <c r="S216" s="36"/>
      <c r="T216" s="36"/>
      <c r="U216" s="36"/>
      <c r="V216" s="36"/>
      <c r="W216" s="36"/>
      <c r="X216" s="36"/>
      <c r="Y216" s="36"/>
      <c r="Z216" s="36"/>
      <c r="AA216" s="36"/>
      <c r="AB216" s="36"/>
      <c r="AC216" s="36"/>
    </row>
    <row r="217" spans="1:29" ht="48" customHeight="1">
      <c r="A217" s="81"/>
      <c r="B217" s="94"/>
      <c r="C217" s="81"/>
      <c r="D217" s="81"/>
      <c r="E217" s="80"/>
      <c r="F217" s="80"/>
      <c r="G217" s="80"/>
      <c r="H217" s="81"/>
      <c r="I217" s="81"/>
      <c r="J217" s="35"/>
      <c r="K217" s="36"/>
      <c r="L217" s="36"/>
      <c r="M217" s="36"/>
      <c r="N217" s="36"/>
      <c r="O217" s="36"/>
      <c r="P217" s="36"/>
      <c r="Q217" s="36"/>
      <c r="R217" s="36"/>
      <c r="S217" s="36"/>
      <c r="T217" s="36"/>
      <c r="U217" s="36"/>
      <c r="V217" s="36"/>
      <c r="W217" s="36"/>
      <c r="X217" s="36"/>
      <c r="Y217" s="36"/>
      <c r="Z217" s="36"/>
      <c r="AA217" s="36"/>
      <c r="AB217" s="36"/>
      <c r="AC217" s="36"/>
    </row>
    <row r="218" spans="1:29" ht="24" customHeight="1">
      <c r="A218" s="81"/>
      <c r="B218" s="94"/>
      <c r="C218" s="81"/>
      <c r="D218" s="81"/>
      <c r="E218" s="80"/>
      <c r="F218" s="80"/>
      <c r="G218" s="80"/>
      <c r="H218" s="81"/>
      <c r="I218" s="81"/>
      <c r="J218" s="35"/>
      <c r="K218" s="36"/>
      <c r="L218" s="36"/>
      <c r="M218" s="36"/>
      <c r="N218" s="36"/>
      <c r="O218" s="36"/>
      <c r="P218" s="36"/>
      <c r="Q218" s="36"/>
      <c r="R218" s="36"/>
      <c r="S218" s="36"/>
      <c r="T218" s="36"/>
      <c r="U218" s="36"/>
      <c r="V218" s="36"/>
      <c r="W218" s="36"/>
      <c r="X218" s="36"/>
      <c r="Y218" s="36"/>
      <c r="Z218" s="36"/>
      <c r="AA218" s="36"/>
      <c r="AB218" s="36"/>
      <c r="AC218" s="36"/>
    </row>
    <row r="219" spans="1:29" ht="24" customHeight="1">
      <c r="A219" s="81"/>
      <c r="B219" s="94"/>
      <c r="C219" s="81"/>
      <c r="D219" s="81"/>
      <c r="E219" s="80"/>
      <c r="F219" s="80"/>
      <c r="G219" s="80"/>
      <c r="H219" s="81"/>
      <c r="I219" s="81"/>
      <c r="J219" s="35"/>
      <c r="K219" s="36"/>
      <c r="L219" s="36"/>
      <c r="M219" s="36"/>
      <c r="N219" s="36"/>
      <c r="O219" s="36"/>
      <c r="P219" s="36"/>
      <c r="Q219" s="36"/>
      <c r="R219" s="36"/>
      <c r="S219" s="36"/>
      <c r="T219" s="36"/>
      <c r="U219" s="36"/>
      <c r="V219" s="36"/>
      <c r="W219" s="36"/>
      <c r="X219" s="36"/>
      <c r="Y219" s="36"/>
      <c r="Z219" s="36"/>
      <c r="AA219" s="36"/>
      <c r="AB219" s="36"/>
      <c r="AC219" s="36"/>
    </row>
    <row r="220" spans="1:29" ht="24" customHeight="1">
      <c r="A220" s="81"/>
      <c r="B220" s="94"/>
      <c r="C220" s="81"/>
      <c r="D220" s="81"/>
      <c r="E220" s="80"/>
      <c r="F220" s="80"/>
      <c r="G220" s="80"/>
      <c r="H220" s="81"/>
      <c r="I220" s="81"/>
      <c r="J220" s="35"/>
      <c r="K220" s="36"/>
      <c r="L220" s="36"/>
      <c r="M220" s="36"/>
      <c r="N220" s="36"/>
      <c r="O220" s="36"/>
      <c r="P220" s="36"/>
      <c r="Q220" s="36"/>
      <c r="R220" s="36"/>
      <c r="S220" s="36"/>
      <c r="T220" s="36"/>
      <c r="U220" s="36"/>
      <c r="V220" s="36"/>
      <c r="W220" s="36"/>
      <c r="X220" s="36"/>
      <c r="Y220" s="36"/>
      <c r="Z220" s="36"/>
      <c r="AA220" s="36"/>
      <c r="AB220" s="36"/>
      <c r="AC220" s="36"/>
    </row>
    <row r="221" spans="1:29" ht="24" customHeight="1">
      <c r="A221" s="81"/>
      <c r="B221" s="94"/>
      <c r="C221" s="81"/>
      <c r="D221" s="81"/>
      <c r="E221" s="80"/>
      <c r="F221" s="80"/>
      <c r="G221" s="80"/>
      <c r="H221" s="81"/>
      <c r="I221" s="81"/>
      <c r="J221" s="35"/>
      <c r="K221" s="36"/>
      <c r="L221" s="36"/>
      <c r="M221" s="36"/>
      <c r="N221" s="36"/>
      <c r="O221" s="36"/>
      <c r="P221" s="36"/>
      <c r="Q221" s="36"/>
      <c r="R221" s="36"/>
      <c r="S221" s="36"/>
      <c r="T221" s="36"/>
      <c r="U221" s="36"/>
      <c r="V221" s="36"/>
      <c r="W221" s="36"/>
      <c r="X221" s="36"/>
      <c r="Y221" s="36"/>
      <c r="Z221" s="36"/>
      <c r="AA221" s="36"/>
      <c r="AB221" s="36"/>
      <c r="AC221" s="36"/>
    </row>
    <row r="222" spans="1:29" ht="24" customHeight="1">
      <c r="A222" s="81"/>
      <c r="B222" s="94"/>
      <c r="C222" s="81"/>
      <c r="D222" s="81"/>
      <c r="E222" s="80"/>
      <c r="F222" s="80"/>
      <c r="G222" s="80"/>
      <c r="H222" s="81"/>
      <c r="I222" s="81"/>
      <c r="J222" s="35"/>
      <c r="K222" s="36"/>
      <c r="L222" s="36"/>
      <c r="M222" s="36"/>
      <c r="N222" s="36"/>
      <c r="O222" s="36"/>
      <c r="P222" s="36"/>
      <c r="Q222" s="36"/>
      <c r="R222" s="36"/>
      <c r="S222" s="36"/>
      <c r="T222" s="36"/>
      <c r="U222" s="36"/>
      <c r="V222" s="36"/>
      <c r="W222" s="36"/>
      <c r="X222" s="36"/>
      <c r="Y222" s="36"/>
      <c r="Z222" s="36"/>
      <c r="AA222" s="36"/>
      <c r="AB222" s="36"/>
      <c r="AC222" s="36"/>
    </row>
    <row r="223" spans="1:29" ht="24" customHeight="1">
      <c r="A223" s="81"/>
      <c r="B223" s="94"/>
      <c r="C223" s="81"/>
      <c r="D223" s="81"/>
      <c r="E223" s="80"/>
      <c r="F223" s="80"/>
      <c r="G223" s="80"/>
      <c r="H223" s="81"/>
      <c r="I223" s="81"/>
      <c r="J223" s="35"/>
      <c r="K223" s="36"/>
      <c r="L223" s="36"/>
      <c r="M223" s="36"/>
      <c r="N223" s="36"/>
      <c r="O223" s="36"/>
      <c r="P223" s="36"/>
      <c r="Q223" s="36"/>
      <c r="R223" s="36"/>
      <c r="S223" s="36"/>
      <c r="T223" s="36"/>
      <c r="U223" s="36"/>
      <c r="V223" s="36"/>
      <c r="W223" s="36"/>
      <c r="X223" s="36"/>
      <c r="Y223" s="36"/>
      <c r="Z223" s="36"/>
      <c r="AA223" s="36"/>
      <c r="AB223" s="36"/>
      <c r="AC223" s="36"/>
    </row>
    <row r="224" spans="1:29" ht="24" customHeight="1">
      <c r="A224" s="81"/>
      <c r="B224" s="94"/>
      <c r="C224" s="81"/>
      <c r="D224" s="81"/>
      <c r="E224" s="80"/>
      <c r="F224" s="80"/>
      <c r="G224" s="80"/>
      <c r="H224" s="81"/>
      <c r="I224" s="81"/>
      <c r="J224" s="35"/>
      <c r="K224" s="36"/>
      <c r="L224" s="36"/>
      <c r="M224" s="36"/>
      <c r="N224" s="36"/>
      <c r="O224" s="36"/>
      <c r="P224" s="36"/>
      <c r="Q224" s="36"/>
      <c r="R224" s="36"/>
      <c r="S224" s="36"/>
      <c r="T224" s="36"/>
      <c r="U224" s="36"/>
      <c r="V224" s="36"/>
      <c r="W224" s="36"/>
      <c r="X224" s="36"/>
      <c r="Y224" s="36"/>
      <c r="Z224" s="36"/>
      <c r="AA224" s="36"/>
      <c r="AB224" s="36"/>
      <c r="AC224" s="36"/>
    </row>
    <row r="225" spans="1:29" ht="24" customHeight="1">
      <c r="A225" s="81"/>
      <c r="B225" s="94"/>
      <c r="C225" s="81"/>
      <c r="D225" s="81"/>
      <c r="E225" s="80"/>
      <c r="F225" s="80"/>
      <c r="G225" s="80"/>
      <c r="H225" s="81"/>
      <c r="I225" s="81"/>
      <c r="J225" s="35"/>
      <c r="K225" s="36"/>
      <c r="L225" s="36"/>
      <c r="M225" s="36"/>
      <c r="N225" s="36"/>
      <c r="O225" s="36"/>
      <c r="P225" s="36"/>
      <c r="Q225" s="36"/>
      <c r="R225" s="36"/>
      <c r="S225" s="36"/>
      <c r="T225" s="36"/>
      <c r="U225" s="36"/>
      <c r="V225" s="36"/>
      <c r="W225" s="36"/>
      <c r="X225" s="36"/>
      <c r="Y225" s="36"/>
      <c r="Z225" s="36"/>
      <c r="AA225" s="36"/>
      <c r="AB225" s="36"/>
      <c r="AC225" s="36"/>
    </row>
    <row r="226" spans="1:29" ht="36" customHeight="1">
      <c r="A226" s="81"/>
      <c r="B226" s="81"/>
      <c r="C226" s="81"/>
      <c r="D226" s="81"/>
      <c r="E226" s="80"/>
      <c r="F226" s="80"/>
      <c r="G226" s="80"/>
      <c r="H226" s="81"/>
      <c r="I226" s="81"/>
      <c r="J226" s="35"/>
      <c r="K226" s="36"/>
      <c r="L226" s="36"/>
      <c r="M226" s="36"/>
      <c r="N226" s="36"/>
      <c r="O226" s="36"/>
      <c r="P226" s="36"/>
      <c r="Q226" s="36"/>
      <c r="R226" s="36"/>
      <c r="S226" s="36"/>
      <c r="T226" s="36"/>
      <c r="U226" s="36"/>
      <c r="V226" s="36"/>
      <c r="W226" s="36"/>
      <c r="X226" s="36"/>
      <c r="Y226" s="36"/>
      <c r="Z226" s="36"/>
      <c r="AA226" s="36"/>
      <c r="AB226" s="36"/>
      <c r="AC226" s="36"/>
    </row>
    <row r="227" spans="1:29" ht="48" customHeight="1">
      <c r="A227" s="81"/>
      <c r="B227" s="94"/>
      <c r="C227" s="81"/>
      <c r="D227" s="81"/>
      <c r="E227" s="80"/>
      <c r="F227" s="80"/>
      <c r="G227" s="80"/>
      <c r="H227" s="81"/>
      <c r="I227" s="81"/>
      <c r="J227" s="35"/>
      <c r="K227" s="36"/>
      <c r="L227" s="36"/>
      <c r="M227" s="36"/>
      <c r="N227" s="36"/>
      <c r="O227" s="36"/>
      <c r="P227" s="36"/>
      <c r="Q227" s="36"/>
      <c r="R227" s="36"/>
      <c r="S227" s="36"/>
      <c r="T227" s="36"/>
      <c r="U227" s="36"/>
      <c r="V227" s="36"/>
      <c r="W227" s="36"/>
      <c r="X227" s="36"/>
      <c r="Y227" s="36"/>
      <c r="Z227" s="36"/>
      <c r="AA227" s="36"/>
      <c r="AB227" s="36"/>
      <c r="AC227" s="36"/>
    </row>
    <row r="228" spans="1:29" ht="24" customHeight="1">
      <c r="A228" s="81"/>
      <c r="B228" s="94"/>
      <c r="C228" s="81"/>
      <c r="D228" s="81"/>
      <c r="E228" s="80"/>
      <c r="F228" s="80"/>
      <c r="G228" s="80"/>
      <c r="H228" s="81"/>
      <c r="I228" s="81"/>
      <c r="J228" s="35"/>
      <c r="K228" s="36"/>
      <c r="L228" s="36"/>
      <c r="M228" s="36"/>
      <c r="N228" s="36"/>
      <c r="O228" s="36"/>
      <c r="P228" s="36"/>
      <c r="Q228" s="36"/>
      <c r="R228" s="36"/>
      <c r="S228" s="36"/>
      <c r="T228" s="36"/>
      <c r="U228" s="36"/>
      <c r="V228" s="36"/>
      <c r="W228" s="36"/>
      <c r="X228" s="36"/>
      <c r="Y228" s="36"/>
      <c r="Z228" s="36"/>
      <c r="AA228" s="36"/>
      <c r="AB228" s="36"/>
      <c r="AC228" s="36"/>
    </row>
    <row r="229" spans="1:29" ht="24" customHeight="1">
      <c r="A229" s="81"/>
      <c r="B229" s="94"/>
      <c r="C229" s="81"/>
      <c r="D229" s="623"/>
      <c r="E229" s="80"/>
      <c r="F229" s="80"/>
      <c r="G229" s="80"/>
      <c r="H229" s="81"/>
      <c r="I229" s="81"/>
      <c r="J229" s="35"/>
      <c r="K229" s="36"/>
      <c r="L229" s="36"/>
      <c r="M229" s="36"/>
      <c r="N229" s="36"/>
      <c r="O229" s="36"/>
      <c r="P229" s="36"/>
      <c r="Q229" s="36"/>
      <c r="R229" s="36"/>
      <c r="S229" s="36"/>
      <c r="T229" s="36"/>
      <c r="U229" s="36"/>
      <c r="V229" s="36"/>
      <c r="W229" s="36"/>
      <c r="X229" s="36"/>
      <c r="Y229" s="36"/>
      <c r="Z229" s="36"/>
      <c r="AA229" s="36"/>
      <c r="AB229" s="36"/>
      <c r="AC229" s="36"/>
    </row>
    <row r="230" spans="1:29" ht="40.5" customHeight="1">
      <c r="A230" s="81"/>
      <c r="B230" s="94"/>
      <c r="C230" s="81"/>
      <c r="D230" s="81"/>
      <c r="E230" s="80"/>
      <c r="F230" s="80"/>
      <c r="G230" s="80"/>
      <c r="H230" s="81"/>
      <c r="I230" s="81"/>
      <c r="J230" s="35"/>
      <c r="K230" s="36"/>
      <c r="L230" s="36"/>
      <c r="M230" s="36"/>
      <c r="N230" s="36"/>
      <c r="O230" s="36"/>
      <c r="P230" s="36"/>
      <c r="Q230" s="36"/>
      <c r="R230" s="36"/>
      <c r="S230" s="36"/>
      <c r="T230" s="36"/>
      <c r="U230" s="36"/>
      <c r="V230" s="36"/>
      <c r="W230" s="36"/>
      <c r="X230" s="36"/>
      <c r="Y230" s="36"/>
      <c r="Z230" s="36"/>
      <c r="AA230" s="36"/>
      <c r="AB230" s="36"/>
      <c r="AC230" s="36"/>
    </row>
    <row r="231" spans="1:29" ht="36" customHeight="1">
      <c r="A231" s="81"/>
      <c r="B231" s="94"/>
      <c r="C231" s="81"/>
      <c r="D231" s="81"/>
      <c r="E231" s="80"/>
      <c r="F231" s="80"/>
      <c r="G231" s="80"/>
      <c r="H231" s="81"/>
      <c r="I231" s="81"/>
      <c r="J231" s="35"/>
      <c r="K231" s="36"/>
      <c r="L231" s="36"/>
      <c r="M231" s="36"/>
      <c r="N231" s="36"/>
      <c r="O231" s="36"/>
      <c r="P231" s="36"/>
      <c r="Q231" s="36"/>
      <c r="R231" s="36"/>
      <c r="S231" s="36"/>
      <c r="T231" s="36"/>
      <c r="U231" s="36"/>
      <c r="V231" s="36"/>
      <c r="W231" s="36"/>
      <c r="X231" s="36"/>
      <c r="Y231" s="36"/>
      <c r="Z231" s="36"/>
      <c r="AA231" s="36"/>
      <c r="AB231" s="36"/>
      <c r="AC231" s="36"/>
    </row>
    <row r="232" spans="1:29" ht="36" customHeight="1">
      <c r="A232" s="81"/>
      <c r="B232" s="94"/>
      <c r="C232" s="81"/>
      <c r="D232" s="81"/>
      <c r="E232" s="80"/>
      <c r="F232" s="80"/>
      <c r="G232" s="80"/>
      <c r="H232" s="81"/>
      <c r="I232" s="81"/>
      <c r="J232" s="35"/>
      <c r="K232" s="36"/>
      <c r="L232" s="36"/>
      <c r="M232" s="36"/>
      <c r="N232" s="36"/>
      <c r="O232" s="36"/>
      <c r="P232" s="36"/>
      <c r="Q232" s="36"/>
      <c r="R232" s="36"/>
      <c r="S232" s="36"/>
      <c r="T232" s="36"/>
      <c r="U232" s="36"/>
      <c r="V232" s="36"/>
      <c r="W232" s="36"/>
      <c r="X232" s="36"/>
      <c r="Y232" s="36"/>
      <c r="Z232" s="36"/>
      <c r="AA232" s="36"/>
      <c r="AB232" s="36"/>
      <c r="AC232" s="36"/>
    </row>
    <row r="233" spans="1:29" ht="48" customHeight="1">
      <c r="A233" s="81"/>
      <c r="B233" s="94"/>
      <c r="C233" s="81"/>
      <c r="D233" s="81"/>
      <c r="E233" s="80"/>
      <c r="F233" s="80"/>
      <c r="G233" s="80"/>
      <c r="H233" s="81"/>
      <c r="I233" s="81"/>
      <c r="J233" s="35"/>
      <c r="K233" s="36"/>
      <c r="L233" s="36"/>
      <c r="M233" s="36"/>
      <c r="N233" s="36"/>
      <c r="O233" s="36"/>
      <c r="P233" s="36"/>
      <c r="Q233" s="36"/>
      <c r="R233" s="36"/>
      <c r="S233" s="36"/>
      <c r="T233" s="36"/>
      <c r="U233" s="36"/>
      <c r="V233" s="36"/>
      <c r="W233" s="36"/>
      <c r="X233" s="36"/>
      <c r="Y233" s="36"/>
      <c r="Z233" s="36"/>
      <c r="AA233" s="36"/>
      <c r="AB233" s="36"/>
      <c r="AC233" s="36"/>
    </row>
    <row r="234" spans="1:29" ht="36" customHeight="1">
      <c r="A234" s="81"/>
      <c r="B234" s="94"/>
      <c r="C234" s="81"/>
      <c r="D234" s="81"/>
      <c r="E234" s="80"/>
      <c r="F234" s="80"/>
      <c r="G234" s="80"/>
      <c r="H234" s="81"/>
      <c r="I234" s="81"/>
      <c r="J234" s="35"/>
      <c r="K234" s="36"/>
      <c r="L234" s="36"/>
      <c r="M234" s="36"/>
      <c r="N234" s="36"/>
      <c r="O234" s="36"/>
      <c r="P234" s="36"/>
      <c r="Q234" s="36"/>
      <c r="R234" s="36"/>
      <c r="S234" s="36"/>
      <c r="T234" s="36"/>
      <c r="U234" s="36"/>
      <c r="V234" s="36"/>
      <c r="W234" s="36"/>
      <c r="X234" s="36"/>
      <c r="Y234" s="36"/>
      <c r="Z234" s="36"/>
      <c r="AA234" s="36"/>
      <c r="AB234" s="36"/>
      <c r="AC234" s="36"/>
    </row>
    <row r="235" spans="1:29" ht="36" customHeight="1">
      <c r="A235" s="81"/>
      <c r="B235" s="94"/>
      <c r="C235" s="81"/>
      <c r="D235" s="81"/>
      <c r="E235" s="80"/>
      <c r="F235" s="80"/>
      <c r="G235" s="80"/>
      <c r="H235" s="81"/>
      <c r="I235" s="81"/>
      <c r="J235" s="35"/>
      <c r="K235" s="36"/>
      <c r="L235" s="36"/>
      <c r="M235" s="36"/>
      <c r="N235" s="36"/>
      <c r="O235" s="36"/>
      <c r="P235" s="36"/>
      <c r="Q235" s="36"/>
      <c r="R235" s="36"/>
      <c r="S235" s="36"/>
      <c r="T235" s="36"/>
      <c r="U235" s="36"/>
      <c r="V235" s="36"/>
      <c r="W235" s="36"/>
      <c r="X235" s="36"/>
      <c r="Y235" s="36"/>
      <c r="Z235" s="36"/>
      <c r="AA235" s="36"/>
      <c r="AB235" s="36"/>
      <c r="AC235" s="36"/>
    </row>
    <row r="236" spans="1:29" ht="24" customHeight="1">
      <c r="A236" s="81"/>
      <c r="B236" s="94"/>
      <c r="C236" s="81"/>
      <c r="D236" s="81"/>
      <c r="E236" s="80"/>
      <c r="F236" s="80"/>
      <c r="G236" s="80"/>
      <c r="H236" s="81"/>
      <c r="I236" s="81"/>
      <c r="J236" s="35"/>
      <c r="K236" s="36"/>
      <c r="L236" s="36"/>
      <c r="M236" s="36"/>
      <c r="N236" s="36"/>
      <c r="O236" s="36"/>
      <c r="P236" s="36"/>
      <c r="Q236" s="36"/>
      <c r="R236" s="36"/>
      <c r="S236" s="36"/>
      <c r="T236" s="36"/>
      <c r="U236" s="36"/>
      <c r="V236" s="36"/>
      <c r="W236" s="36"/>
      <c r="X236" s="36"/>
      <c r="Y236" s="36"/>
      <c r="Z236" s="36"/>
      <c r="AA236" s="36"/>
      <c r="AB236" s="36"/>
      <c r="AC236" s="36"/>
    </row>
    <row r="237" spans="1:29" ht="36" customHeight="1">
      <c r="A237" s="81"/>
      <c r="B237" s="94"/>
      <c r="C237" s="81"/>
      <c r="D237" s="81"/>
      <c r="E237" s="80"/>
      <c r="F237" s="80"/>
      <c r="G237" s="80"/>
      <c r="H237" s="81"/>
      <c r="I237" s="81"/>
      <c r="J237" s="35"/>
      <c r="K237" s="36"/>
      <c r="L237" s="36"/>
      <c r="M237" s="36"/>
      <c r="N237" s="36"/>
      <c r="O237" s="36"/>
      <c r="P237" s="36"/>
      <c r="Q237" s="36"/>
      <c r="R237" s="36"/>
      <c r="S237" s="36"/>
      <c r="T237" s="36"/>
      <c r="U237" s="36"/>
      <c r="V237" s="36"/>
      <c r="W237" s="36"/>
      <c r="X237" s="36"/>
      <c r="Y237" s="36"/>
      <c r="Z237" s="36"/>
      <c r="AA237" s="36"/>
      <c r="AB237" s="36"/>
      <c r="AC237" s="36"/>
    </row>
    <row r="238" spans="1:29" ht="48" customHeight="1">
      <c r="A238" s="81"/>
      <c r="B238" s="94"/>
      <c r="C238" s="81"/>
      <c r="D238" s="81"/>
      <c r="E238" s="80"/>
      <c r="F238" s="80"/>
      <c r="G238" s="80"/>
      <c r="H238" s="81"/>
      <c r="I238" s="81"/>
      <c r="J238" s="35"/>
      <c r="K238" s="36"/>
      <c r="L238" s="36"/>
      <c r="M238" s="36"/>
      <c r="N238" s="36"/>
      <c r="O238" s="36"/>
      <c r="P238" s="36"/>
      <c r="Q238" s="36"/>
      <c r="R238" s="36"/>
      <c r="S238" s="36"/>
      <c r="T238" s="36"/>
      <c r="U238" s="36"/>
      <c r="V238" s="36"/>
      <c r="W238" s="36"/>
      <c r="X238" s="36"/>
      <c r="Y238" s="36"/>
      <c r="Z238" s="36"/>
      <c r="AA238" s="36"/>
      <c r="AB238" s="36"/>
      <c r="AC238" s="36"/>
    </row>
    <row r="239" spans="1:29" ht="24" customHeight="1">
      <c r="A239" s="81"/>
      <c r="B239" s="94"/>
      <c r="C239" s="81"/>
      <c r="D239" s="81"/>
      <c r="E239" s="80"/>
      <c r="F239" s="80"/>
      <c r="G239" s="80"/>
      <c r="H239" s="81"/>
      <c r="I239" s="81"/>
      <c r="J239" s="35"/>
      <c r="K239" s="36"/>
      <c r="L239" s="36"/>
      <c r="M239" s="36"/>
      <c r="N239" s="36"/>
      <c r="O239" s="36"/>
      <c r="P239" s="36"/>
      <c r="Q239" s="36"/>
      <c r="R239" s="36"/>
      <c r="S239" s="36"/>
      <c r="T239" s="36"/>
      <c r="U239" s="36"/>
      <c r="V239" s="36"/>
      <c r="W239" s="36"/>
      <c r="X239" s="36"/>
      <c r="Y239" s="36"/>
      <c r="Z239" s="36"/>
      <c r="AA239" s="36"/>
      <c r="AB239" s="36"/>
      <c r="AC239" s="36"/>
    </row>
    <row r="240" spans="1:29" ht="24" customHeight="1">
      <c r="A240" s="81"/>
      <c r="B240" s="94"/>
      <c r="C240" s="81"/>
      <c r="D240" s="81"/>
      <c r="E240" s="80"/>
      <c r="F240" s="80"/>
      <c r="G240" s="80"/>
      <c r="H240" s="81"/>
      <c r="I240" s="81"/>
      <c r="J240" s="35"/>
      <c r="K240" s="36"/>
      <c r="L240" s="36"/>
      <c r="M240" s="36"/>
      <c r="N240" s="36"/>
      <c r="O240" s="36"/>
      <c r="P240" s="36"/>
      <c r="Q240" s="36"/>
      <c r="R240" s="36"/>
      <c r="S240" s="36"/>
      <c r="T240" s="36"/>
      <c r="U240" s="36"/>
      <c r="V240" s="36"/>
      <c r="W240" s="36"/>
      <c r="X240" s="36"/>
      <c r="Y240" s="36"/>
      <c r="Z240" s="36"/>
      <c r="AA240" s="36"/>
      <c r="AB240" s="36"/>
      <c r="AC240" s="36"/>
    </row>
    <row r="241" spans="1:29" ht="36" customHeight="1">
      <c r="A241" s="619"/>
      <c r="B241" s="94"/>
      <c r="C241" s="81"/>
      <c r="D241" s="81"/>
      <c r="E241" s="80"/>
      <c r="F241" s="80"/>
      <c r="G241" s="80"/>
      <c r="H241" s="81"/>
      <c r="I241" s="81"/>
      <c r="J241" s="35"/>
      <c r="K241" s="36"/>
      <c r="L241" s="36"/>
      <c r="M241" s="36"/>
      <c r="N241" s="36"/>
      <c r="O241" s="36"/>
      <c r="P241" s="36"/>
      <c r="Q241" s="36"/>
      <c r="R241" s="36"/>
      <c r="S241" s="36"/>
      <c r="T241" s="36"/>
      <c r="U241" s="36"/>
      <c r="V241" s="36"/>
      <c r="W241" s="36"/>
      <c r="X241" s="36"/>
      <c r="Y241" s="36"/>
      <c r="Z241" s="36"/>
      <c r="AA241" s="36"/>
      <c r="AB241" s="36"/>
      <c r="AC241" s="36"/>
    </row>
    <row r="242" spans="1:29" ht="15" customHeight="1">
      <c r="A242" s="619"/>
      <c r="B242" s="94"/>
      <c r="C242" s="81"/>
      <c r="D242" s="81"/>
      <c r="E242" s="80"/>
      <c r="F242" s="80"/>
      <c r="G242" s="80"/>
      <c r="H242" s="81"/>
      <c r="I242" s="81"/>
      <c r="J242" s="35"/>
      <c r="K242" s="36"/>
      <c r="L242" s="36"/>
      <c r="M242" s="36"/>
      <c r="N242" s="36"/>
      <c r="O242" s="36"/>
      <c r="P242" s="36"/>
      <c r="Q242" s="36"/>
      <c r="R242" s="36"/>
      <c r="S242" s="36"/>
      <c r="T242" s="36"/>
      <c r="U242" s="36"/>
      <c r="V242" s="36"/>
      <c r="W242" s="36"/>
      <c r="X242" s="36"/>
      <c r="Y242" s="36"/>
      <c r="Z242" s="36"/>
      <c r="AA242" s="36"/>
      <c r="AB242" s="36"/>
      <c r="AC242" s="36"/>
    </row>
    <row r="243" spans="1:29" ht="60" customHeight="1">
      <c r="A243" s="81"/>
      <c r="B243" s="94"/>
      <c r="C243" s="81"/>
      <c r="D243" s="81"/>
      <c r="E243" s="80"/>
      <c r="F243" s="80"/>
      <c r="G243" s="80"/>
      <c r="H243" s="81"/>
      <c r="I243" s="81"/>
      <c r="J243" s="35"/>
      <c r="K243" s="36"/>
      <c r="L243" s="36"/>
      <c r="M243" s="36"/>
      <c r="N243" s="36"/>
      <c r="O243" s="36"/>
      <c r="P243" s="36"/>
      <c r="Q243" s="36"/>
      <c r="R243" s="36"/>
      <c r="S243" s="36"/>
      <c r="T243" s="36"/>
      <c r="U243" s="36"/>
      <c r="V243" s="36"/>
      <c r="W243" s="36"/>
      <c r="X243" s="36"/>
      <c r="Y243" s="36"/>
      <c r="Z243" s="36"/>
      <c r="AA243" s="36"/>
      <c r="AB243" s="36"/>
      <c r="AC243" s="36"/>
    </row>
    <row r="244" spans="1:29" ht="24" customHeight="1">
      <c r="A244" s="81"/>
      <c r="B244" s="94"/>
      <c r="C244" s="81"/>
      <c r="D244" s="81"/>
      <c r="E244" s="80"/>
      <c r="F244" s="80"/>
      <c r="G244" s="80"/>
      <c r="H244" s="81"/>
      <c r="I244" s="81"/>
      <c r="J244" s="35"/>
      <c r="K244" s="36"/>
      <c r="L244" s="36"/>
      <c r="M244" s="36"/>
      <c r="N244" s="36"/>
      <c r="O244" s="36"/>
      <c r="P244" s="36"/>
      <c r="Q244" s="36"/>
      <c r="R244" s="36"/>
      <c r="S244" s="36"/>
      <c r="T244" s="36"/>
      <c r="U244" s="36"/>
      <c r="V244" s="36"/>
      <c r="W244" s="36"/>
      <c r="X244" s="36"/>
      <c r="Y244" s="36"/>
      <c r="Z244" s="36"/>
      <c r="AA244" s="36"/>
      <c r="AB244" s="36"/>
      <c r="AC244" s="36"/>
    </row>
    <row r="245" spans="1:29" ht="24" customHeight="1">
      <c r="A245" s="81"/>
      <c r="B245" s="94"/>
      <c r="C245" s="81"/>
      <c r="D245" s="81"/>
      <c r="E245" s="80"/>
      <c r="F245" s="80"/>
      <c r="G245" s="80"/>
      <c r="H245" s="81"/>
      <c r="I245" s="81"/>
      <c r="J245" s="35"/>
      <c r="K245" s="36"/>
      <c r="L245" s="36"/>
      <c r="M245" s="36"/>
      <c r="N245" s="36"/>
      <c r="O245" s="36"/>
      <c r="P245" s="36"/>
      <c r="Q245" s="36"/>
      <c r="R245" s="36"/>
      <c r="S245" s="36"/>
      <c r="T245" s="36"/>
      <c r="U245" s="36"/>
      <c r="V245" s="36"/>
      <c r="W245" s="36"/>
      <c r="X245" s="36"/>
      <c r="Y245" s="36"/>
      <c r="Z245" s="36"/>
      <c r="AA245" s="36"/>
      <c r="AB245" s="36"/>
      <c r="AC245" s="36"/>
    </row>
    <row r="246" spans="1:29" ht="24" customHeight="1">
      <c r="A246" s="81"/>
      <c r="B246" s="94"/>
      <c r="C246" s="81"/>
      <c r="D246" s="81"/>
      <c r="E246" s="80"/>
      <c r="F246" s="80"/>
      <c r="G246" s="80"/>
      <c r="H246" s="81"/>
      <c r="I246" s="81"/>
      <c r="J246" s="35"/>
      <c r="K246" s="36"/>
      <c r="L246" s="36"/>
      <c r="M246" s="36"/>
      <c r="N246" s="36"/>
      <c r="O246" s="36"/>
      <c r="P246" s="36"/>
      <c r="Q246" s="36"/>
      <c r="R246" s="36"/>
      <c r="S246" s="36"/>
      <c r="T246" s="36"/>
      <c r="U246" s="36"/>
      <c r="V246" s="36"/>
      <c r="W246" s="36"/>
      <c r="X246" s="36"/>
      <c r="Y246" s="36"/>
      <c r="Z246" s="36"/>
      <c r="AA246" s="36"/>
      <c r="AB246" s="36"/>
      <c r="AC246" s="36"/>
    </row>
    <row r="247" spans="1:29" ht="36" customHeight="1">
      <c r="A247" s="81"/>
      <c r="B247" s="94"/>
      <c r="C247" s="81"/>
      <c r="D247" s="81"/>
      <c r="E247" s="80"/>
      <c r="F247" s="80"/>
      <c r="G247" s="80"/>
      <c r="H247" s="81"/>
      <c r="I247" s="81"/>
      <c r="J247" s="35"/>
      <c r="K247" s="36"/>
      <c r="L247" s="36"/>
      <c r="M247" s="36"/>
      <c r="N247" s="36"/>
      <c r="O247" s="36"/>
      <c r="P247" s="36"/>
      <c r="Q247" s="36"/>
      <c r="R247" s="36"/>
      <c r="S247" s="36"/>
      <c r="T247" s="36"/>
      <c r="U247" s="36"/>
      <c r="V247" s="36"/>
      <c r="W247" s="36"/>
      <c r="X247" s="36"/>
      <c r="Y247" s="36"/>
      <c r="Z247" s="36"/>
      <c r="AA247" s="36"/>
      <c r="AB247" s="36"/>
      <c r="AC247" s="36"/>
    </row>
    <row r="248" spans="1:29" ht="24" customHeight="1">
      <c r="A248" s="81"/>
      <c r="B248" s="94"/>
      <c r="C248" s="81"/>
      <c r="D248" s="81"/>
      <c r="E248" s="80"/>
      <c r="F248" s="80"/>
      <c r="G248" s="80"/>
      <c r="H248" s="81"/>
      <c r="I248" s="81"/>
      <c r="J248" s="35"/>
      <c r="K248" s="36"/>
      <c r="L248" s="36"/>
      <c r="M248" s="36"/>
      <c r="N248" s="36"/>
      <c r="O248" s="36"/>
      <c r="P248" s="36"/>
      <c r="Q248" s="36"/>
      <c r="R248" s="36"/>
      <c r="S248" s="36"/>
      <c r="T248" s="36"/>
      <c r="U248" s="36"/>
      <c r="V248" s="36"/>
      <c r="W248" s="36"/>
      <c r="X248" s="36"/>
      <c r="Y248" s="36"/>
      <c r="Z248" s="36"/>
      <c r="AA248" s="36"/>
      <c r="AB248" s="36"/>
      <c r="AC248" s="36"/>
    </row>
    <row r="249" spans="1:29" ht="96" customHeight="1">
      <c r="A249" s="81"/>
      <c r="B249" s="94"/>
      <c r="C249" s="81"/>
      <c r="D249" s="81"/>
      <c r="E249" s="80"/>
      <c r="F249" s="80"/>
      <c r="G249" s="80"/>
      <c r="H249" s="81"/>
      <c r="I249" s="81"/>
      <c r="J249" s="35"/>
      <c r="K249" s="36"/>
      <c r="L249" s="36"/>
      <c r="M249" s="36"/>
      <c r="N249" s="36"/>
      <c r="O249" s="36"/>
      <c r="P249" s="36"/>
      <c r="Q249" s="36"/>
      <c r="R249" s="36"/>
      <c r="S249" s="36"/>
      <c r="T249" s="36"/>
      <c r="U249" s="36"/>
      <c r="V249" s="36"/>
      <c r="W249" s="36"/>
      <c r="X249" s="36"/>
      <c r="Y249" s="36"/>
      <c r="Z249" s="36"/>
      <c r="AA249" s="36"/>
      <c r="AB249" s="36"/>
      <c r="AC249" s="36"/>
    </row>
    <row r="250" spans="1:29" ht="36" customHeight="1">
      <c r="A250" s="81"/>
      <c r="B250" s="94"/>
      <c r="C250" s="81"/>
      <c r="D250" s="81"/>
      <c r="E250" s="80"/>
      <c r="F250" s="80"/>
      <c r="G250" s="80"/>
      <c r="H250" s="81"/>
      <c r="I250" s="81"/>
      <c r="J250" s="35"/>
      <c r="K250" s="36"/>
      <c r="L250" s="36"/>
      <c r="M250" s="36"/>
      <c r="N250" s="36"/>
      <c r="O250" s="36"/>
      <c r="P250" s="36"/>
      <c r="Q250" s="36"/>
      <c r="R250" s="36"/>
      <c r="S250" s="36"/>
      <c r="T250" s="36"/>
      <c r="U250" s="36"/>
      <c r="V250" s="36"/>
      <c r="W250" s="36"/>
      <c r="X250" s="36"/>
      <c r="Y250" s="36"/>
      <c r="Z250" s="36"/>
      <c r="AA250" s="36"/>
      <c r="AB250" s="36"/>
      <c r="AC250" s="36"/>
    </row>
    <row r="251" spans="1:29" ht="62.25" customHeight="1">
      <c r="A251" s="81"/>
      <c r="B251" s="94"/>
      <c r="C251" s="81"/>
      <c r="D251" s="81"/>
      <c r="E251" s="80"/>
      <c r="F251" s="80"/>
      <c r="G251" s="80"/>
      <c r="H251" s="81"/>
      <c r="I251" s="81"/>
      <c r="J251" s="35"/>
      <c r="K251" s="36"/>
      <c r="L251" s="36"/>
      <c r="M251" s="36"/>
      <c r="N251" s="36"/>
      <c r="O251" s="36"/>
      <c r="P251" s="36"/>
      <c r="Q251" s="36"/>
      <c r="R251" s="36"/>
      <c r="S251" s="36"/>
      <c r="T251" s="36"/>
      <c r="U251" s="36"/>
      <c r="V251" s="36"/>
      <c r="W251" s="36"/>
      <c r="X251" s="36"/>
      <c r="Y251" s="36"/>
      <c r="Z251" s="36"/>
      <c r="AA251" s="36"/>
      <c r="AB251" s="36"/>
      <c r="AC251" s="36"/>
    </row>
    <row r="252" spans="1:29" ht="36" customHeight="1">
      <c r="A252" s="81"/>
      <c r="B252" s="94"/>
      <c r="C252" s="81"/>
      <c r="D252" s="81"/>
      <c r="E252" s="80"/>
      <c r="F252" s="80"/>
      <c r="G252" s="80"/>
      <c r="H252" s="81"/>
      <c r="I252" s="81"/>
      <c r="J252" s="35"/>
      <c r="K252" s="36"/>
      <c r="L252" s="36"/>
      <c r="M252" s="36"/>
      <c r="N252" s="36"/>
      <c r="O252" s="36"/>
      <c r="P252" s="36"/>
      <c r="Q252" s="36"/>
      <c r="R252" s="36"/>
      <c r="S252" s="36"/>
      <c r="T252" s="36"/>
      <c r="U252" s="36"/>
      <c r="V252" s="36"/>
      <c r="W252" s="36"/>
      <c r="X252" s="36"/>
      <c r="Y252" s="36"/>
      <c r="Z252" s="36"/>
      <c r="AA252" s="36"/>
      <c r="AB252" s="36"/>
      <c r="AC252" s="36"/>
    </row>
    <row r="253" spans="1:29" ht="36" customHeight="1">
      <c r="A253" s="81"/>
      <c r="B253" s="94"/>
      <c r="C253" s="81"/>
      <c r="D253" s="81"/>
      <c r="E253" s="80"/>
      <c r="F253" s="80"/>
      <c r="G253" s="80"/>
      <c r="H253" s="81"/>
      <c r="I253" s="81"/>
      <c r="J253" s="35"/>
      <c r="K253" s="36"/>
      <c r="L253" s="36"/>
      <c r="M253" s="36"/>
      <c r="N253" s="36"/>
      <c r="O253" s="36"/>
      <c r="P253" s="36"/>
      <c r="Q253" s="36"/>
      <c r="R253" s="36"/>
      <c r="S253" s="36"/>
      <c r="T253" s="36"/>
      <c r="U253" s="36"/>
      <c r="V253" s="36"/>
      <c r="W253" s="36"/>
      <c r="X253" s="36"/>
      <c r="Y253" s="36"/>
      <c r="Z253" s="36"/>
      <c r="AA253" s="36"/>
      <c r="AB253" s="36"/>
      <c r="AC253" s="36"/>
    </row>
    <row r="254" spans="1:29" ht="36" customHeight="1">
      <c r="A254" s="81"/>
      <c r="B254" s="94"/>
      <c r="C254" s="81"/>
      <c r="D254" s="81"/>
      <c r="E254" s="80"/>
      <c r="F254" s="80"/>
      <c r="G254" s="80"/>
      <c r="H254" s="81"/>
      <c r="I254" s="81"/>
      <c r="J254" s="35"/>
      <c r="K254" s="36"/>
      <c r="L254" s="36"/>
      <c r="M254" s="36"/>
      <c r="N254" s="36"/>
      <c r="O254" s="36"/>
      <c r="P254" s="36"/>
      <c r="Q254" s="36"/>
      <c r="R254" s="36"/>
      <c r="S254" s="36"/>
      <c r="T254" s="36"/>
      <c r="U254" s="36"/>
      <c r="V254" s="36"/>
      <c r="W254" s="36"/>
      <c r="X254" s="36"/>
      <c r="Y254" s="36"/>
      <c r="Z254" s="36"/>
      <c r="AA254" s="36"/>
      <c r="AB254" s="36"/>
      <c r="AC254" s="36"/>
    </row>
    <row r="255" spans="1:29" ht="36" customHeight="1">
      <c r="A255" s="81"/>
      <c r="B255" s="94"/>
      <c r="C255" s="81"/>
      <c r="D255" s="81"/>
      <c r="E255" s="80"/>
      <c r="F255" s="80"/>
      <c r="G255" s="80"/>
      <c r="H255" s="81"/>
      <c r="I255" s="81"/>
      <c r="J255" s="35"/>
      <c r="K255" s="36"/>
      <c r="L255" s="36"/>
      <c r="M255" s="36"/>
      <c r="N255" s="36"/>
      <c r="O255" s="36"/>
      <c r="P255" s="36"/>
      <c r="Q255" s="36"/>
      <c r="R255" s="36"/>
      <c r="S255" s="36"/>
      <c r="T255" s="36"/>
      <c r="U255" s="36"/>
      <c r="V255" s="36"/>
      <c r="W255" s="36"/>
      <c r="X255" s="36"/>
      <c r="Y255" s="36"/>
      <c r="Z255" s="36"/>
      <c r="AA255" s="36"/>
      <c r="AB255" s="36"/>
      <c r="AC255" s="36"/>
    </row>
    <row r="256" spans="1:29" ht="36" customHeight="1">
      <c r="A256" s="81"/>
      <c r="B256" s="94"/>
      <c r="C256" s="81"/>
      <c r="D256" s="81"/>
      <c r="E256" s="80"/>
      <c r="F256" s="80"/>
      <c r="G256" s="80"/>
      <c r="H256" s="81"/>
      <c r="I256" s="81"/>
      <c r="J256" s="35"/>
      <c r="K256" s="36"/>
      <c r="L256" s="36"/>
      <c r="M256" s="36"/>
      <c r="N256" s="36"/>
      <c r="O256" s="36"/>
      <c r="P256" s="36"/>
      <c r="Q256" s="36"/>
      <c r="R256" s="36"/>
      <c r="S256" s="36"/>
      <c r="T256" s="36"/>
      <c r="U256" s="36"/>
      <c r="V256" s="36"/>
      <c r="W256" s="36"/>
      <c r="X256" s="36"/>
      <c r="Y256" s="36"/>
      <c r="Z256" s="36"/>
      <c r="AA256" s="36"/>
      <c r="AB256" s="36"/>
      <c r="AC256" s="36"/>
    </row>
    <row r="257" spans="1:29" ht="36" customHeight="1">
      <c r="A257" s="81"/>
      <c r="B257" s="94"/>
      <c r="C257" s="81"/>
      <c r="D257" s="81"/>
      <c r="E257" s="80"/>
      <c r="F257" s="80"/>
      <c r="G257" s="80"/>
      <c r="H257" s="81"/>
      <c r="I257" s="81"/>
      <c r="J257" s="35"/>
      <c r="K257" s="36"/>
      <c r="L257" s="36"/>
      <c r="M257" s="36"/>
      <c r="N257" s="36"/>
      <c r="O257" s="36"/>
      <c r="P257" s="36"/>
      <c r="Q257" s="36"/>
      <c r="R257" s="36"/>
      <c r="S257" s="36"/>
      <c r="T257" s="36"/>
      <c r="U257" s="36"/>
      <c r="V257" s="36"/>
      <c r="W257" s="36"/>
      <c r="X257" s="36"/>
      <c r="Y257" s="36"/>
      <c r="Z257" s="36"/>
      <c r="AA257" s="36"/>
      <c r="AB257" s="36"/>
      <c r="AC257" s="36"/>
    </row>
    <row r="258" spans="1:29" ht="36" customHeight="1">
      <c r="A258" s="81"/>
      <c r="B258" s="94"/>
      <c r="C258" s="81"/>
      <c r="D258" s="81"/>
      <c r="E258" s="80"/>
      <c r="F258" s="80"/>
      <c r="G258" s="80"/>
      <c r="H258" s="81"/>
      <c r="I258" s="81"/>
      <c r="J258" s="35"/>
      <c r="K258" s="36"/>
      <c r="L258" s="36"/>
      <c r="M258" s="36"/>
      <c r="N258" s="36"/>
      <c r="O258" s="36"/>
      <c r="P258" s="36"/>
      <c r="Q258" s="36"/>
      <c r="R258" s="36"/>
      <c r="S258" s="36"/>
      <c r="T258" s="36"/>
      <c r="U258" s="36"/>
      <c r="V258" s="36"/>
      <c r="W258" s="36"/>
      <c r="X258" s="36"/>
      <c r="Y258" s="36"/>
      <c r="Z258" s="36"/>
      <c r="AA258" s="36"/>
      <c r="AB258" s="36"/>
      <c r="AC258" s="36"/>
    </row>
    <row r="259" spans="1:29" ht="24" customHeight="1">
      <c r="A259" s="81"/>
      <c r="B259" s="94"/>
      <c r="C259" s="81"/>
      <c r="D259" s="81"/>
      <c r="E259" s="80"/>
      <c r="F259" s="80"/>
      <c r="G259" s="80"/>
      <c r="H259" s="81"/>
      <c r="I259" s="81"/>
      <c r="J259" s="35"/>
      <c r="K259" s="36"/>
      <c r="L259" s="36"/>
      <c r="M259" s="36"/>
      <c r="N259" s="36"/>
      <c r="O259" s="36"/>
      <c r="P259" s="36"/>
      <c r="Q259" s="36"/>
      <c r="R259" s="36"/>
      <c r="S259" s="36"/>
      <c r="T259" s="36"/>
      <c r="U259" s="36"/>
      <c r="V259" s="36"/>
      <c r="W259" s="36"/>
      <c r="X259" s="36"/>
      <c r="Y259" s="36"/>
      <c r="Z259" s="36"/>
      <c r="AA259" s="36"/>
      <c r="AB259" s="36"/>
      <c r="AC259" s="36"/>
    </row>
    <row r="260" spans="1:29" ht="36" customHeight="1">
      <c r="A260" s="81"/>
      <c r="B260" s="94"/>
      <c r="C260" s="81"/>
      <c r="D260" s="81"/>
      <c r="E260" s="80"/>
      <c r="F260" s="80"/>
      <c r="G260" s="80"/>
      <c r="H260" s="81"/>
      <c r="I260" s="81"/>
      <c r="J260" s="35"/>
      <c r="K260" s="36"/>
      <c r="L260" s="36"/>
      <c r="M260" s="36"/>
      <c r="N260" s="36"/>
      <c r="O260" s="36"/>
      <c r="P260" s="36"/>
      <c r="Q260" s="36"/>
      <c r="R260" s="36"/>
      <c r="S260" s="36"/>
      <c r="T260" s="36"/>
      <c r="U260" s="36"/>
      <c r="V260" s="36"/>
      <c r="W260" s="36"/>
      <c r="X260" s="36"/>
      <c r="Y260" s="36"/>
      <c r="Z260" s="36"/>
      <c r="AA260" s="36"/>
      <c r="AB260" s="36"/>
      <c r="AC260" s="36"/>
    </row>
    <row r="261" spans="1:29" ht="24" customHeight="1">
      <c r="A261" s="81"/>
      <c r="B261" s="94"/>
      <c r="C261" s="81"/>
      <c r="D261" s="81"/>
      <c r="E261" s="80"/>
      <c r="F261" s="80"/>
      <c r="G261" s="80"/>
      <c r="H261" s="81"/>
      <c r="I261" s="81"/>
      <c r="J261" s="35"/>
      <c r="K261" s="36"/>
      <c r="L261" s="36"/>
      <c r="M261" s="36"/>
      <c r="N261" s="36"/>
      <c r="O261" s="36"/>
      <c r="P261" s="36"/>
      <c r="Q261" s="36"/>
      <c r="R261" s="36"/>
      <c r="S261" s="36"/>
      <c r="T261" s="36"/>
      <c r="U261" s="36"/>
      <c r="V261" s="36"/>
      <c r="W261" s="36"/>
      <c r="X261" s="36"/>
      <c r="Y261" s="36"/>
      <c r="Z261" s="36"/>
      <c r="AA261" s="36"/>
      <c r="AB261" s="36"/>
      <c r="AC261" s="36"/>
    </row>
    <row r="262" spans="1:29" ht="36" customHeight="1">
      <c r="A262" s="81"/>
      <c r="B262" s="94"/>
      <c r="C262" s="81"/>
      <c r="D262" s="81"/>
      <c r="E262" s="80"/>
      <c r="F262" s="80"/>
      <c r="G262" s="80"/>
      <c r="H262" s="81"/>
      <c r="I262" s="81"/>
      <c r="J262" s="35"/>
      <c r="K262" s="36"/>
      <c r="L262" s="36"/>
      <c r="M262" s="36"/>
      <c r="N262" s="36"/>
      <c r="O262" s="36"/>
      <c r="P262" s="36"/>
      <c r="Q262" s="36"/>
      <c r="R262" s="36"/>
      <c r="S262" s="36"/>
      <c r="T262" s="36"/>
      <c r="U262" s="36"/>
      <c r="V262" s="36"/>
      <c r="W262" s="36"/>
      <c r="X262" s="36"/>
      <c r="Y262" s="36"/>
      <c r="Z262" s="36"/>
      <c r="AA262" s="36"/>
      <c r="AB262" s="36"/>
      <c r="AC262" s="36"/>
    </row>
    <row r="263" spans="1:29" ht="48" customHeight="1">
      <c r="A263" s="81"/>
      <c r="B263" s="94"/>
      <c r="C263" s="81"/>
      <c r="D263" s="81"/>
      <c r="E263" s="80"/>
      <c r="F263" s="80"/>
      <c r="G263" s="80"/>
      <c r="H263" s="81"/>
      <c r="I263" s="81"/>
      <c r="J263" s="35"/>
      <c r="K263" s="36"/>
      <c r="L263" s="36"/>
      <c r="M263" s="36"/>
      <c r="N263" s="36"/>
      <c r="O263" s="36"/>
      <c r="P263" s="36"/>
      <c r="Q263" s="36"/>
      <c r="R263" s="36"/>
      <c r="S263" s="36"/>
      <c r="T263" s="36"/>
      <c r="U263" s="36"/>
      <c r="V263" s="36"/>
      <c r="W263" s="36"/>
      <c r="X263" s="36"/>
      <c r="Y263" s="36"/>
      <c r="Z263" s="36"/>
      <c r="AA263" s="36"/>
      <c r="AB263" s="36"/>
      <c r="AC263" s="36"/>
    </row>
    <row r="264" spans="1:29" ht="24" customHeight="1">
      <c r="A264" s="81"/>
      <c r="B264" s="94"/>
      <c r="C264" s="81"/>
      <c r="D264" s="81"/>
      <c r="E264" s="80"/>
      <c r="F264" s="80"/>
      <c r="G264" s="80"/>
      <c r="H264" s="81"/>
      <c r="I264" s="81"/>
      <c r="J264" s="35"/>
      <c r="K264" s="36"/>
      <c r="L264" s="36"/>
      <c r="M264" s="36"/>
      <c r="N264" s="36"/>
      <c r="O264" s="36"/>
      <c r="P264" s="36"/>
      <c r="Q264" s="36"/>
      <c r="R264" s="36"/>
      <c r="S264" s="36"/>
      <c r="T264" s="36"/>
      <c r="U264" s="36"/>
      <c r="V264" s="36"/>
      <c r="W264" s="36"/>
      <c r="X264" s="36"/>
      <c r="Y264" s="36"/>
      <c r="Z264" s="36"/>
      <c r="AA264" s="36"/>
      <c r="AB264" s="36"/>
      <c r="AC264" s="36"/>
    </row>
    <row r="265" spans="1:29" ht="72" customHeight="1">
      <c r="A265" s="619"/>
      <c r="B265" s="94"/>
      <c r="C265" s="81"/>
      <c r="D265" s="81"/>
      <c r="E265" s="80"/>
      <c r="F265" s="80"/>
      <c r="G265" s="80"/>
      <c r="H265" s="81"/>
      <c r="I265" s="81"/>
      <c r="J265" s="35"/>
      <c r="K265" s="36"/>
      <c r="L265" s="36"/>
      <c r="M265" s="36"/>
      <c r="N265" s="36"/>
      <c r="O265" s="36"/>
      <c r="P265" s="36"/>
      <c r="Q265" s="36"/>
      <c r="R265" s="36"/>
      <c r="S265" s="36"/>
      <c r="T265" s="36"/>
      <c r="U265" s="36"/>
      <c r="V265" s="36"/>
      <c r="W265" s="36"/>
      <c r="X265" s="36"/>
      <c r="Y265" s="36"/>
      <c r="Z265" s="36"/>
      <c r="AA265" s="36"/>
      <c r="AB265" s="36"/>
      <c r="AC265" s="36"/>
    </row>
    <row r="266" spans="1:29" ht="24" customHeight="1">
      <c r="A266" s="619"/>
      <c r="B266" s="94"/>
      <c r="C266" s="81"/>
      <c r="D266" s="81"/>
      <c r="E266" s="80"/>
      <c r="F266" s="80"/>
      <c r="G266" s="80"/>
      <c r="H266" s="81"/>
      <c r="I266" s="81"/>
      <c r="J266" s="35"/>
      <c r="K266" s="36"/>
      <c r="L266" s="36"/>
      <c r="M266" s="36"/>
      <c r="N266" s="36"/>
      <c r="O266" s="36"/>
      <c r="P266" s="36"/>
      <c r="Q266" s="36"/>
      <c r="R266" s="36"/>
      <c r="S266" s="36"/>
      <c r="T266" s="36"/>
      <c r="U266" s="36"/>
      <c r="V266" s="36"/>
      <c r="W266" s="36"/>
      <c r="X266" s="36"/>
      <c r="Y266" s="36"/>
      <c r="Z266" s="36"/>
      <c r="AA266" s="36"/>
      <c r="AB266" s="36"/>
      <c r="AC266" s="36"/>
    </row>
    <row r="267" spans="1:29" ht="24" customHeight="1">
      <c r="A267" s="619"/>
      <c r="B267" s="94"/>
      <c r="C267" s="81"/>
      <c r="D267" s="81"/>
      <c r="E267" s="80"/>
      <c r="F267" s="80"/>
      <c r="G267" s="80"/>
      <c r="H267" s="81"/>
      <c r="I267" s="81"/>
      <c r="J267" s="35"/>
      <c r="K267" s="36"/>
      <c r="L267" s="36"/>
      <c r="M267" s="36"/>
      <c r="N267" s="36"/>
      <c r="O267" s="36"/>
      <c r="P267" s="36"/>
      <c r="Q267" s="36"/>
      <c r="R267" s="36"/>
      <c r="S267" s="36"/>
      <c r="T267" s="36"/>
      <c r="U267" s="36"/>
      <c r="V267" s="36"/>
      <c r="W267" s="36"/>
      <c r="X267" s="36"/>
      <c r="Y267" s="36"/>
      <c r="Z267" s="36"/>
      <c r="AA267" s="36"/>
      <c r="AB267" s="36"/>
      <c r="AC267" s="36"/>
    </row>
    <row r="268" spans="1:29" ht="60" customHeight="1">
      <c r="A268" s="619"/>
      <c r="B268" s="94"/>
      <c r="C268" s="81"/>
      <c r="D268" s="81"/>
      <c r="E268" s="80"/>
      <c r="F268" s="80"/>
      <c r="G268" s="80"/>
      <c r="H268" s="81"/>
      <c r="I268" s="81"/>
      <c r="J268" s="35"/>
      <c r="K268" s="36"/>
      <c r="L268" s="36"/>
      <c r="M268" s="36"/>
      <c r="N268" s="36"/>
      <c r="O268" s="36"/>
      <c r="P268" s="36"/>
      <c r="Q268" s="36"/>
      <c r="R268" s="36"/>
      <c r="S268" s="36"/>
      <c r="T268" s="36"/>
      <c r="U268" s="36"/>
      <c r="V268" s="36"/>
      <c r="W268" s="36"/>
      <c r="X268" s="36"/>
      <c r="Y268" s="36"/>
      <c r="Z268" s="36"/>
      <c r="AA268" s="36"/>
      <c r="AB268" s="36"/>
      <c r="AC268" s="36"/>
    </row>
    <row r="269" spans="1:29" ht="24" customHeight="1">
      <c r="A269" s="81"/>
      <c r="B269" s="94"/>
      <c r="C269" s="81"/>
      <c r="D269" s="81"/>
      <c r="E269" s="80"/>
      <c r="F269" s="80"/>
      <c r="G269" s="80"/>
      <c r="H269" s="81"/>
      <c r="I269" s="81"/>
      <c r="J269" s="35"/>
      <c r="K269" s="36"/>
      <c r="L269" s="36"/>
      <c r="M269" s="36"/>
      <c r="N269" s="36"/>
      <c r="O269" s="36"/>
      <c r="P269" s="36"/>
      <c r="Q269" s="36"/>
      <c r="R269" s="36"/>
      <c r="S269" s="36"/>
      <c r="T269" s="36"/>
      <c r="U269" s="36"/>
      <c r="V269" s="36"/>
      <c r="W269" s="36"/>
      <c r="X269" s="36"/>
      <c r="Y269" s="36"/>
      <c r="Z269" s="36"/>
      <c r="AA269" s="36"/>
      <c r="AB269" s="36"/>
      <c r="AC269" s="36"/>
    </row>
    <row r="270" spans="1:29" ht="36" customHeight="1">
      <c r="A270" s="81"/>
      <c r="B270" s="94"/>
      <c r="C270" s="81"/>
      <c r="D270" s="81"/>
      <c r="E270" s="80"/>
      <c r="F270" s="80"/>
      <c r="G270" s="80"/>
      <c r="H270" s="81"/>
      <c r="I270" s="81"/>
      <c r="J270" s="35"/>
      <c r="K270" s="36"/>
      <c r="L270" s="36"/>
      <c r="M270" s="36"/>
      <c r="N270" s="36"/>
      <c r="O270" s="36"/>
      <c r="P270" s="36"/>
      <c r="Q270" s="36"/>
      <c r="R270" s="36"/>
      <c r="S270" s="36"/>
      <c r="T270" s="36"/>
      <c r="U270" s="36"/>
      <c r="V270" s="36"/>
      <c r="W270" s="36"/>
      <c r="X270" s="36"/>
      <c r="Y270" s="36"/>
      <c r="Z270" s="36"/>
      <c r="AA270" s="36"/>
      <c r="AB270" s="36"/>
      <c r="AC270" s="36"/>
    </row>
    <row r="271" spans="1:29" ht="36" customHeight="1">
      <c r="A271" s="81"/>
      <c r="B271" s="94"/>
      <c r="C271" s="81"/>
      <c r="D271" s="81"/>
      <c r="E271" s="80"/>
      <c r="F271" s="80"/>
      <c r="G271" s="80"/>
      <c r="H271" s="81"/>
      <c r="I271" s="81"/>
      <c r="J271" s="35"/>
      <c r="K271" s="36"/>
      <c r="L271" s="36"/>
      <c r="M271" s="36"/>
      <c r="N271" s="36"/>
      <c r="O271" s="36"/>
      <c r="P271" s="36"/>
      <c r="Q271" s="36"/>
      <c r="R271" s="36"/>
      <c r="S271" s="36"/>
      <c r="T271" s="36"/>
      <c r="U271" s="36"/>
      <c r="V271" s="36"/>
      <c r="W271" s="36"/>
      <c r="X271" s="36"/>
      <c r="Y271" s="36"/>
      <c r="Z271" s="36"/>
      <c r="AA271" s="36"/>
      <c r="AB271" s="36"/>
      <c r="AC271" s="36"/>
    </row>
    <row r="272" spans="1:29" ht="60" customHeight="1">
      <c r="A272" s="81"/>
      <c r="B272" s="94"/>
      <c r="C272" s="81"/>
      <c r="D272" s="81"/>
      <c r="E272" s="80"/>
      <c r="F272" s="80"/>
      <c r="G272" s="80"/>
      <c r="H272" s="81"/>
      <c r="I272" s="81"/>
      <c r="J272" s="35"/>
      <c r="K272" s="36"/>
      <c r="L272" s="36"/>
      <c r="M272" s="36"/>
      <c r="N272" s="36"/>
      <c r="O272" s="36"/>
      <c r="P272" s="36"/>
      <c r="Q272" s="36"/>
      <c r="R272" s="36"/>
      <c r="S272" s="36"/>
      <c r="T272" s="36"/>
      <c r="U272" s="36"/>
      <c r="V272" s="36"/>
      <c r="W272" s="36"/>
      <c r="X272" s="36"/>
      <c r="Y272" s="36"/>
      <c r="Z272" s="36"/>
      <c r="AA272" s="36"/>
      <c r="AB272" s="36"/>
      <c r="AC272" s="36"/>
    </row>
    <row r="273" spans="1:29" ht="48" customHeight="1">
      <c r="A273" s="81"/>
      <c r="B273" s="94"/>
      <c r="C273" s="81"/>
      <c r="D273" s="81"/>
      <c r="E273" s="80"/>
      <c r="F273" s="80"/>
      <c r="G273" s="80"/>
      <c r="H273" s="81"/>
      <c r="I273" s="81"/>
      <c r="J273" s="35"/>
      <c r="K273" s="36"/>
      <c r="L273" s="36"/>
      <c r="M273" s="36"/>
      <c r="N273" s="36"/>
      <c r="O273" s="36"/>
      <c r="P273" s="36"/>
      <c r="Q273" s="36"/>
      <c r="R273" s="36"/>
      <c r="S273" s="36"/>
      <c r="T273" s="36"/>
      <c r="U273" s="36"/>
      <c r="V273" s="36"/>
      <c r="W273" s="36"/>
      <c r="X273" s="36"/>
      <c r="Y273" s="36"/>
      <c r="Z273" s="36"/>
      <c r="AA273" s="36"/>
      <c r="AB273" s="36"/>
      <c r="AC273" s="36"/>
    </row>
    <row r="274" spans="1:29" ht="194.25" customHeight="1">
      <c r="A274" s="81"/>
      <c r="B274" s="94"/>
      <c r="C274" s="81"/>
      <c r="D274" s="81"/>
      <c r="E274" s="80"/>
      <c r="F274" s="80"/>
      <c r="G274" s="80"/>
      <c r="H274" s="81"/>
      <c r="I274" s="81"/>
      <c r="J274" s="35"/>
      <c r="K274" s="36"/>
      <c r="L274" s="36"/>
      <c r="M274" s="36"/>
      <c r="N274" s="36"/>
      <c r="O274" s="36"/>
      <c r="P274" s="36"/>
      <c r="Q274" s="36"/>
      <c r="R274" s="36"/>
      <c r="S274" s="36"/>
      <c r="T274" s="36"/>
      <c r="U274" s="36"/>
      <c r="V274" s="36"/>
      <c r="W274" s="36"/>
      <c r="X274" s="36"/>
      <c r="Y274" s="36"/>
      <c r="Z274" s="36"/>
      <c r="AA274" s="36"/>
      <c r="AB274" s="36"/>
      <c r="AC274" s="36"/>
    </row>
    <row r="275" spans="1:29" ht="36" customHeight="1">
      <c r="A275" s="81"/>
      <c r="B275" s="94"/>
      <c r="C275" s="81"/>
      <c r="D275" s="81"/>
      <c r="E275" s="80"/>
      <c r="F275" s="80"/>
      <c r="G275" s="80"/>
      <c r="H275" s="81"/>
      <c r="I275" s="81"/>
      <c r="J275" s="35"/>
      <c r="K275" s="36"/>
      <c r="L275" s="36"/>
      <c r="M275" s="36"/>
      <c r="N275" s="36"/>
      <c r="O275" s="36"/>
      <c r="P275" s="36"/>
      <c r="Q275" s="36"/>
      <c r="R275" s="36"/>
      <c r="S275" s="36"/>
      <c r="T275" s="36"/>
      <c r="U275" s="36"/>
      <c r="V275" s="36"/>
      <c r="W275" s="36"/>
      <c r="X275" s="36"/>
      <c r="Y275" s="36"/>
      <c r="Z275" s="36"/>
      <c r="AA275" s="36"/>
      <c r="AB275" s="36"/>
      <c r="AC275" s="36"/>
    </row>
    <row r="276" spans="1:29" ht="36" customHeight="1">
      <c r="A276" s="81"/>
      <c r="B276" s="94"/>
      <c r="C276" s="81"/>
      <c r="D276" s="81"/>
      <c r="E276" s="80"/>
      <c r="F276" s="80"/>
      <c r="G276" s="80"/>
      <c r="H276" s="81"/>
      <c r="I276" s="81"/>
      <c r="J276" s="35"/>
      <c r="K276" s="36"/>
      <c r="L276" s="36"/>
      <c r="M276" s="36"/>
      <c r="N276" s="36"/>
      <c r="O276" s="36"/>
      <c r="P276" s="36"/>
      <c r="Q276" s="36"/>
      <c r="R276" s="36"/>
      <c r="S276" s="36"/>
      <c r="T276" s="36"/>
      <c r="U276" s="36"/>
      <c r="V276" s="36"/>
      <c r="W276" s="36"/>
      <c r="X276" s="36"/>
      <c r="Y276" s="36"/>
      <c r="Z276" s="36"/>
      <c r="AA276" s="36"/>
      <c r="AB276" s="36"/>
      <c r="AC276" s="36"/>
    </row>
    <row r="277" spans="1:29" ht="37.5" customHeight="1">
      <c r="A277" s="81"/>
      <c r="B277" s="94"/>
      <c r="C277" s="81"/>
      <c r="D277" s="81"/>
      <c r="E277" s="80"/>
      <c r="F277" s="80"/>
      <c r="G277" s="80"/>
      <c r="H277" s="81"/>
      <c r="I277" s="81"/>
      <c r="J277" s="35"/>
      <c r="K277" s="36"/>
      <c r="L277" s="36"/>
      <c r="M277" s="36"/>
      <c r="N277" s="36"/>
      <c r="O277" s="36"/>
      <c r="P277" s="36"/>
      <c r="Q277" s="36"/>
      <c r="R277" s="36"/>
      <c r="S277" s="36"/>
      <c r="T277" s="36"/>
      <c r="U277" s="36"/>
      <c r="V277" s="36"/>
      <c r="W277" s="36"/>
      <c r="X277" s="36"/>
      <c r="Y277" s="36"/>
      <c r="Z277" s="36"/>
      <c r="AA277" s="36"/>
      <c r="AB277" s="36"/>
      <c r="AC277" s="36"/>
    </row>
    <row r="278" spans="1:29" ht="36" customHeight="1">
      <c r="A278" s="81"/>
      <c r="B278" s="94"/>
      <c r="C278" s="81"/>
      <c r="D278" s="81"/>
      <c r="E278" s="80"/>
      <c r="F278" s="80"/>
      <c r="G278" s="80"/>
      <c r="H278" s="81"/>
      <c r="I278" s="81"/>
      <c r="J278" s="35"/>
      <c r="K278" s="36"/>
      <c r="L278" s="36"/>
      <c r="M278" s="36"/>
      <c r="N278" s="36"/>
      <c r="O278" s="36"/>
      <c r="P278" s="36"/>
      <c r="Q278" s="36"/>
      <c r="R278" s="36"/>
      <c r="S278" s="36"/>
      <c r="T278" s="36"/>
      <c r="U278" s="36"/>
      <c r="V278" s="36"/>
      <c r="W278" s="36"/>
      <c r="X278" s="36"/>
      <c r="Y278" s="36"/>
      <c r="Z278" s="36"/>
      <c r="AA278" s="36"/>
      <c r="AB278" s="36"/>
      <c r="AC278" s="36"/>
    </row>
    <row r="279" spans="1:29" ht="24" customHeight="1">
      <c r="A279" s="81"/>
      <c r="B279" s="94"/>
      <c r="C279" s="81"/>
      <c r="D279" s="81"/>
      <c r="E279" s="80"/>
      <c r="F279" s="80"/>
      <c r="G279" s="80"/>
      <c r="H279" s="81"/>
      <c r="I279" s="81"/>
      <c r="J279" s="35"/>
      <c r="K279" s="36"/>
      <c r="L279" s="36"/>
      <c r="M279" s="36"/>
      <c r="N279" s="36"/>
      <c r="O279" s="36"/>
      <c r="P279" s="36"/>
      <c r="Q279" s="36"/>
      <c r="R279" s="36"/>
      <c r="S279" s="36"/>
      <c r="T279" s="36"/>
      <c r="U279" s="36"/>
      <c r="V279" s="36"/>
      <c r="W279" s="36"/>
      <c r="X279" s="36"/>
      <c r="Y279" s="36"/>
      <c r="Z279" s="36"/>
      <c r="AA279" s="36"/>
      <c r="AB279" s="36"/>
      <c r="AC279" s="36"/>
    </row>
    <row r="280" spans="1:29" ht="24" customHeight="1">
      <c r="A280" s="81"/>
      <c r="B280" s="94"/>
      <c r="C280" s="81"/>
      <c r="D280" s="81"/>
      <c r="E280" s="80"/>
      <c r="F280" s="80"/>
      <c r="G280" s="80"/>
      <c r="H280" s="81"/>
      <c r="I280" s="81"/>
      <c r="J280" s="35"/>
      <c r="K280" s="36"/>
      <c r="L280" s="36"/>
      <c r="M280" s="36"/>
      <c r="N280" s="36"/>
      <c r="O280" s="36"/>
      <c r="P280" s="36"/>
      <c r="Q280" s="36"/>
      <c r="R280" s="36"/>
      <c r="S280" s="36"/>
      <c r="T280" s="36"/>
      <c r="U280" s="36"/>
      <c r="V280" s="36"/>
      <c r="W280" s="36"/>
      <c r="X280" s="36"/>
      <c r="Y280" s="36"/>
      <c r="Z280" s="36"/>
      <c r="AA280" s="36"/>
      <c r="AB280" s="36"/>
      <c r="AC280" s="36"/>
    </row>
    <row r="281" spans="1:29" ht="24" customHeight="1">
      <c r="A281" s="81"/>
      <c r="B281" s="94"/>
      <c r="C281" s="81"/>
      <c r="D281" s="81"/>
      <c r="E281" s="80"/>
      <c r="F281" s="80"/>
      <c r="G281" s="80"/>
      <c r="H281" s="81"/>
      <c r="I281" s="81"/>
      <c r="J281" s="35"/>
      <c r="K281" s="36"/>
      <c r="L281" s="36"/>
      <c r="M281" s="36"/>
      <c r="N281" s="36"/>
      <c r="O281" s="36"/>
      <c r="P281" s="36"/>
      <c r="Q281" s="36"/>
      <c r="R281" s="36"/>
      <c r="S281" s="36"/>
      <c r="T281" s="36"/>
      <c r="U281" s="36"/>
      <c r="V281" s="36"/>
      <c r="W281" s="36"/>
      <c r="X281" s="36"/>
      <c r="Y281" s="36"/>
      <c r="Z281" s="36"/>
      <c r="AA281" s="36"/>
      <c r="AB281" s="36"/>
      <c r="AC281" s="36"/>
    </row>
    <row r="282" spans="1:29" ht="24" customHeight="1">
      <c r="A282" s="81"/>
      <c r="B282" s="94"/>
      <c r="C282" s="81"/>
      <c r="D282" s="81"/>
      <c r="E282" s="80"/>
      <c r="F282" s="80"/>
      <c r="G282" s="80"/>
      <c r="H282" s="81"/>
      <c r="I282" s="81"/>
      <c r="J282" s="35"/>
      <c r="K282" s="36"/>
      <c r="L282" s="36"/>
      <c r="M282" s="36"/>
      <c r="N282" s="36"/>
      <c r="O282" s="36"/>
      <c r="P282" s="36"/>
      <c r="Q282" s="36"/>
      <c r="R282" s="36"/>
      <c r="S282" s="36"/>
      <c r="T282" s="36"/>
      <c r="U282" s="36"/>
      <c r="V282" s="36"/>
      <c r="W282" s="36"/>
      <c r="X282" s="36"/>
      <c r="Y282" s="36"/>
      <c r="Z282" s="36"/>
      <c r="AA282" s="36"/>
      <c r="AB282" s="36"/>
      <c r="AC282" s="36"/>
    </row>
    <row r="283" spans="1:29" ht="24" customHeight="1">
      <c r="A283" s="81"/>
      <c r="B283" s="94"/>
      <c r="C283" s="81"/>
      <c r="D283" s="81"/>
      <c r="E283" s="80"/>
      <c r="F283" s="80"/>
      <c r="G283" s="80"/>
      <c r="H283" s="81"/>
      <c r="I283" s="81"/>
      <c r="J283" s="35"/>
      <c r="K283" s="36"/>
      <c r="L283" s="36"/>
      <c r="M283" s="36"/>
      <c r="N283" s="36"/>
      <c r="O283" s="36"/>
      <c r="P283" s="36"/>
      <c r="Q283" s="36"/>
      <c r="R283" s="36"/>
      <c r="S283" s="36"/>
      <c r="T283" s="36"/>
      <c r="U283" s="36"/>
      <c r="V283" s="36"/>
      <c r="W283" s="36"/>
      <c r="X283" s="36"/>
      <c r="Y283" s="36"/>
      <c r="Z283" s="36"/>
      <c r="AA283" s="36"/>
      <c r="AB283" s="36"/>
      <c r="AC283" s="36"/>
    </row>
    <row r="284" spans="1:29" ht="36" customHeight="1">
      <c r="A284" s="81"/>
      <c r="B284" s="94"/>
      <c r="C284" s="81"/>
      <c r="D284" s="81"/>
      <c r="E284" s="80"/>
      <c r="F284" s="80"/>
      <c r="G284" s="80"/>
      <c r="H284" s="81"/>
      <c r="I284" s="81"/>
      <c r="J284" s="35"/>
      <c r="K284" s="36"/>
      <c r="L284" s="36"/>
      <c r="M284" s="36"/>
      <c r="N284" s="36"/>
      <c r="O284" s="36"/>
      <c r="P284" s="36"/>
      <c r="Q284" s="36"/>
      <c r="R284" s="36"/>
      <c r="S284" s="36"/>
      <c r="T284" s="36"/>
      <c r="U284" s="36"/>
      <c r="V284" s="36"/>
      <c r="W284" s="36"/>
      <c r="X284" s="36"/>
      <c r="Y284" s="36"/>
      <c r="Z284" s="36"/>
      <c r="AA284" s="36"/>
      <c r="AB284" s="36"/>
      <c r="AC284" s="36"/>
    </row>
    <row r="285" spans="1:29" ht="36" customHeight="1">
      <c r="A285" s="81"/>
      <c r="B285" s="94"/>
      <c r="C285" s="81"/>
      <c r="D285" s="81"/>
      <c r="E285" s="80"/>
      <c r="F285" s="80"/>
      <c r="G285" s="80"/>
      <c r="H285" s="81"/>
      <c r="I285" s="81"/>
      <c r="J285" s="35"/>
      <c r="K285" s="36"/>
      <c r="L285" s="36"/>
      <c r="M285" s="36"/>
      <c r="N285" s="36"/>
      <c r="O285" s="36"/>
      <c r="P285" s="36"/>
      <c r="Q285" s="36"/>
      <c r="R285" s="36"/>
      <c r="S285" s="36"/>
      <c r="T285" s="36"/>
      <c r="U285" s="36"/>
      <c r="V285" s="36"/>
      <c r="W285" s="36"/>
      <c r="X285" s="36"/>
      <c r="Y285" s="36"/>
      <c r="Z285" s="36"/>
      <c r="AA285" s="36"/>
      <c r="AB285" s="36"/>
      <c r="AC285" s="36"/>
    </row>
    <row r="286" spans="1:29" ht="36" customHeight="1">
      <c r="A286" s="81"/>
      <c r="B286" s="94"/>
      <c r="C286" s="81"/>
      <c r="D286" s="81"/>
      <c r="E286" s="80"/>
      <c r="F286" s="80"/>
      <c r="G286" s="80"/>
      <c r="H286" s="81"/>
      <c r="I286" s="81"/>
      <c r="J286" s="35"/>
      <c r="K286" s="36"/>
      <c r="L286" s="36"/>
      <c r="M286" s="36"/>
      <c r="N286" s="36"/>
      <c r="O286" s="36"/>
      <c r="P286" s="36"/>
      <c r="Q286" s="36"/>
      <c r="R286" s="36"/>
      <c r="S286" s="36"/>
      <c r="T286" s="36"/>
      <c r="U286" s="36"/>
      <c r="V286" s="36"/>
      <c r="W286" s="36"/>
      <c r="X286" s="36"/>
      <c r="Y286" s="36"/>
      <c r="Z286" s="36"/>
      <c r="AA286" s="36"/>
      <c r="AB286" s="36"/>
      <c r="AC286" s="36"/>
    </row>
    <row r="287" spans="1:29" ht="36" customHeight="1">
      <c r="A287" s="624"/>
      <c r="B287" s="625"/>
      <c r="C287" s="81"/>
      <c r="D287" s="81"/>
      <c r="E287" s="80"/>
      <c r="F287" s="80"/>
      <c r="G287" s="80"/>
      <c r="H287" s="81"/>
      <c r="I287" s="81"/>
      <c r="J287" s="35"/>
      <c r="K287" s="36"/>
      <c r="L287" s="36"/>
      <c r="M287" s="36"/>
      <c r="N287" s="36"/>
      <c r="O287" s="36"/>
      <c r="P287" s="36"/>
      <c r="Q287" s="36"/>
      <c r="R287" s="36"/>
      <c r="S287" s="36"/>
      <c r="T287" s="36"/>
      <c r="U287" s="36"/>
      <c r="V287" s="36"/>
      <c r="W287" s="36"/>
      <c r="X287" s="36"/>
      <c r="Y287" s="36"/>
      <c r="Z287" s="36"/>
      <c r="AA287" s="36"/>
      <c r="AB287" s="36"/>
      <c r="AC287" s="36"/>
    </row>
    <row r="288" spans="1:29" ht="36" customHeight="1">
      <c r="A288" s="624"/>
      <c r="B288" s="625"/>
      <c r="C288" s="81"/>
      <c r="D288" s="81"/>
      <c r="E288" s="80"/>
      <c r="F288" s="80"/>
      <c r="G288" s="80"/>
      <c r="H288" s="81"/>
      <c r="I288" s="81"/>
      <c r="J288" s="35"/>
      <c r="K288" s="36"/>
      <c r="L288" s="36"/>
      <c r="M288" s="36"/>
      <c r="N288" s="36"/>
      <c r="O288" s="36"/>
      <c r="P288" s="36"/>
      <c r="Q288" s="36"/>
      <c r="R288" s="36"/>
      <c r="S288" s="36"/>
      <c r="T288" s="36"/>
      <c r="U288" s="36"/>
      <c r="V288" s="36"/>
      <c r="W288" s="36"/>
      <c r="X288" s="36"/>
      <c r="Y288" s="36"/>
      <c r="Z288" s="36"/>
      <c r="AA288" s="36"/>
      <c r="AB288" s="36"/>
      <c r="AC288" s="36"/>
    </row>
    <row r="289" spans="1:29" ht="36" customHeight="1">
      <c r="A289" s="81"/>
      <c r="B289" s="94"/>
      <c r="C289" s="81"/>
      <c r="D289" s="81"/>
      <c r="E289" s="80"/>
      <c r="F289" s="80"/>
      <c r="G289" s="80"/>
      <c r="H289" s="81"/>
      <c r="I289" s="81"/>
      <c r="J289" s="35"/>
      <c r="K289" s="36"/>
      <c r="L289" s="36"/>
      <c r="M289" s="36"/>
      <c r="N289" s="36"/>
      <c r="O289" s="36"/>
      <c r="P289" s="36"/>
      <c r="Q289" s="36"/>
      <c r="R289" s="36"/>
      <c r="S289" s="36"/>
      <c r="T289" s="36"/>
      <c r="U289" s="36"/>
      <c r="V289" s="36"/>
      <c r="W289" s="36"/>
      <c r="X289" s="36"/>
      <c r="Y289" s="36"/>
      <c r="Z289" s="36"/>
      <c r="AA289" s="36"/>
      <c r="AB289" s="36"/>
      <c r="AC289" s="36"/>
    </row>
    <row r="290" spans="1:29" ht="36" customHeight="1">
      <c r="A290" s="81"/>
      <c r="B290" s="94"/>
      <c r="C290" s="81"/>
      <c r="D290" s="81"/>
      <c r="E290" s="80"/>
      <c r="F290" s="80"/>
      <c r="G290" s="80"/>
      <c r="H290" s="81"/>
      <c r="I290" s="81"/>
      <c r="J290" s="35"/>
      <c r="K290" s="36"/>
      <c r="L290" s="36"/>
      <c r="M290" s="36"/>
      <c r="N290" s="36"/>
      <c r="O290" s="36"/>
      <c r="P290" s="36"/>
      <c r="Q290" s="36"/>
      <c r="R290" s="36"/>
      <c r="S290" s="36"/>
      <c r="T290" s="36"/>
      <c r="U290" s="36"/>
      <c r="V290" s="36"/>
      <c r="W290" s="36"/>
      <c r="X290" s="36"/>
      <c r="Y290" s="36"/>
      <c r="Z290" s="36"/>
      <c r="AA290" s="36"/>
      <c r="AB290" s="36"/>
      <c r="AC290" s="36"/>
    </row>
    <row r="291" spans="1:29" ht="27" customHeight="1">
      <c r="A291" s="619"/>
      <c r="B291" s="94"/>
      <c r="C291" s="81"/>
      <c r="D291" s="81"/>
      <c r="E291" s="626"/>
      <c r="F291" s="80"/>
      <c r="G291" s="80"/>
      <c r="H291" s="81"/>
      <c r="I291" s="81"/>
      <c r="J291" s="35"/>
      <c r="K291" s="36"/>
      <c r="L291" s="36"/>
      <c r="M291" s="36"/>
      <c r="N291" s="36"/>
      <c r="O291" s="36"/>
      <c r="P291" s="36"/>
      <c r="Q291" s="36"/>
      <c r="R291" s="36"/>
      <c r="S291" s="36"/>
      <c r="T291" s="36"/>
      <c r="U291" s="36"/>
      <c r="V291" s="36"/>
      <c r="W291" s="36"/>
      <c r="X291" s="36"/>
      <c r="Y291" s="36"/>
      <c r="Z291" s="36"/>
      <c r="AA291" s="36"/>
      <c r="AB291" s="36"/>
      <c r="AC291" s="36"/>
    </row>
    <row r="292" spans="1:29" ht="48" customHeight="1">
      <c r="A292" s="619"/>
      <c r="B292" s="94"/>
      <c r="C292" s="81"/>
      <c r="D292" s="81"/>
      <c r="E292" s="80"/>
      <c r="F292" s="80"/>
      <c r="G292" s="80"/>
      <c r="H292" s="81"/>
      <c r="I292" s="81"/>
      <c r="J292" s="35"/>
      <c r="K292" s="36"/>
      <c r="L292" s="36"/>
      <c r="M292" s="36"/>
      <c r="N292" s="36"/>
      <c r="O292" s="36"/>
      <c r="P292" s="36"/>
      <c r="Q292" s="36"/>
      <c r="R292" s="36"/>
      <c r="S292" s="36"/>
      <c r="T292" s="36"/>
      <c r="U292" s="36"/>
      <c r="V292" s="36"/>
      <c r="W292" s="36"/>
      <c r="X292" s="36"/>
      <c r="Y292" s="36"/>
      <c r="Z292" s="36"/>
      <c r="AA292" s="36"/>
      <c r="AB292" s="36"/>
      <c r="AC292" s="36"/>
    </row>
    <row r="293" spans="1:29" ht="110.25" customHeight="1">
      <c r="A293" s="619"/>
      <c r="B293" s="94"/>
      <c r="C293" s="81"/>
      <c r="D293" s="81"/>
      <c r="E293" s="80"/>
      <c r="F293" s="80"/>
      <c r="G293" s="80"/>
      <c r="H293" s="81"/>
      <c r="I293" s="81"/>
      <c r="J293" s="35"/>
      <c r="K293" s="36"/>
      <c r="L293" s="36"/>
      <c r="M293" s="36"/>
      <c r="N293" s="36"/>
      <c r="O293" s="36"/>
      <c r="P293" s="36"/>
      <c r="Q293" s="36"/>
      <c r="R293" s="36"/>
      <c r="S293" s="36"/>
      <c r="T293" s="36"/>
      <c r="U293" s="36"/>
      <c r="V293" s="36"/>
      <c r="W293" s="36"/>
      <c r="X293" s="36"/>
      <c r="Y293" s="36"/>
      <c r="Z293" s="36"/>
      <c r="AA293" s="36"/>
      <c r="AB293" s="36"/>
      <c r="AC293" s="36"/>
    </row>
    <row r="294" spans="1:29" ht="42" customHeight="1">
      <c r="A294" s="619"/>
      <c r="B294" s="94"/>
      <c r="C294" s="81"/>
      <c r="D294" s="81"/>
      <c r="E294" s="80"/>
      <c r="F294" s="80"/>
      <c r="G294" s="80"/>
      <c r="H294" s="81"/>
      <c r="I294" s="81"/>
      <c r="J294" s="35"/>
      <c r="K294" s="36"/>
      <c r="L294" s="36"/>
      <c r="M294" s="36"/>
      <c r="N294" s="36"/>
      <c r="O294" s="36"/>
      <c r="P294" s="36"/>
      <c r="Q294" s="36"/>
      <c r="R294" s="36"/>
      <c r="S294" s="36"/>
      <c r="T294" s="36"/>
      <c r="U294" s="36"/>
      <c r="V294" s="36"/>
      <c r="W294" s="36"/>
      <c r="X294" s="36"/>
      <c r="Y294" s="36"/>
      <c r="Z294" s="36"/>
      <c r="AA294" s="36"/>
      <c r="AB294" s="36"/>
      <c r="AC294" s="36"/>
    </row>
    <row r="295" spans="1:29" ht="396" customHeight="1">
      <c r="A295" s="619"/>
      <c r="B295" s="94"/>
      <c r="C295" s="81"/>
      <c r="D295" s="81"/>
      <c r="E295" s="80"/>
      <c r="F295" s="80"/>
      <c r="G295" s="80"/>
      <c r="H295" s="81"/>
      <c r="I295" s="81"/>
      <c r="J295" s="35"/>
      <c r="K295" s="36"/>
      <c r="L295" s="36"/>
      <c r="M295" s="36"/>
      <c r="N295" s="36"/>
      <c r="O295" s="36"/>
      <c r="P295" s="36"/>
      <c r="Q295" s="36"/>
      <c r="R295" s="36"/>
      <c r="S295" s="36"/>
      <c r="T295" s="36"/>
      <c r="U295" s="36"/>
      <c r="V295" s="36"/>
      <c r="W295" s="36"/>
      <c r="X295" s="36"/>
      <c r="Y295" s="36"/>
      <c r="Z295" s="36"/>
      <c r="AA295" s="36"/>
      <c r="AB295" s="36"/>
      <c r="AC295" s="36"/>
    </row>
    <row r="296" spans="1:29" ht="36" customHeight="1">
      <c r="A296" s="619"/>
      <c r="B296" s="94"/>
      <c r="C296" s="81"/>
      <c r="D296" s="81"/>
      <c r="E296" s="80"/>
      <c r="F296" s="80"/>
      <c r="G296" s="80"/>
      <c r="H296" s="81"/>
      <c r="I296" s="81"/>
      <c r="J296" s="35"/>
      <c r="K296" s="36"/>
      <c r="L296" s="36"/>
      <c r="M296" s="36"/>
      <c r="N296" s="36"/>
      <c r="O296" s="36"/>
      <c r="P296" s="36"/>
      <c r="Q296" s="36"/>
      <c r="R296" s="36"/>
      <c r="S296" s="36"/>
      <c r="T296" s="36"/>
      <c r="U296" s="36"/>
      <c r="V296" s="36"/>
      <c r="W296" s="36"/>
      <c r="X296" s="36"/>
      <c r="Y296" s="36"/>
      <c r="Z296" s="36"/>
      <c r="AA296" s="36"/>
      <c r="AB296" s="36"/>
      <c r="AC296" s="36"/>
    </row>
    <row r="297" spans="1:29" ht="24" customHeight="1">
      <c r="A297" s="619"/>
      <c r="B297" s="94"/>
      <c r="C297" s="81"/>
      <c r="D297" s="81"/>
      <c r="E297" s="80"/>
      <c r="F297" s="80"/>
      <c r="G297" s="80"/>
      <c r="H297" s="81"/>
      <c r="I297" s="81"/>
      <c r="J297" s="35"/>
      <c r="K297" s="36"/>
      <c r="L297" s="36"/>
      <c r="M297" s="36"/>
      <c r="N297" s="36"/>
      <c r="O297" s="36"/>
      <c r="P297" s="36"/>
      <c r="Q297" s="36"/>
      <c r="R297" s="36"/>
      <c r="S297" s="36"/>
      <c r="T297" s="36"/>
      <c r="U297" s="36"/>
      <c r="V297" s="36"/>
      <c r="W297" s="36"/>
      <c r="X297" s="36"/>
      <c r="Y297" s="36"/>
      <c r="Z297" s="36"/>
      <c r="AA297" s="36"/>
      <c r="AB297" s="36"/>
      <c r="AC297" s="36"/>
    </row>
    <row r="298" spans="1:29" ht="60" customHeight="1">
      <c r="A298" s="619"/>
      <c r="B298" s="94"/>
      <c r="C298" s="81"/>
      <c r="D298" s="81"/>
      <c r="E298" s="80"/>
      <c r="F298" s="80"/>
      <c r="G298" s="80"/>
      <c r="H298" s="81"/>
      <c r="I298" s="81"/>
      <c r="J298" s="35"/>
      <c r="K298" s="36"/>
      <c r="L298" s="36"/>
      <c r="M298" s="36"/>
      <c r="N298" s="36"/>
      <c r="O298" s="36"/>
      <c r="P298" s="36"/>
      <c r="Q298" s="36"/>
      <c r="R298" s="36"/>
      <c r="S298" s="36"/>
      <c r="T298" s="36"/>
      <c r="U298" s="36"/>
      <c r="V298" s="36"/>
      <c r="W298" s="36"/>
      <c r="X298" s="36"/>
      <c r="Y298" s="36"/>
      <c r="Z298" s="36"/>
      <c r="AA298" s="36"/>
      <c r="AB298" s="36"/>
      <c r="AC298" s="36"/>
    </row>
    <row r="299" spans="1:29" ht="48" customHeight="1">
      <c r="A299" s="619"/>
      <c r="B299" s="94"/>
      <c r="C299" s="81"/>
      <c r="D299" s="81"/>
      <c r="E299" s="80"/>
      <c r="F299" s="80"/>
      <c r="G299" s="80"/>
      <c r="H299" s="81"/>
      <c r="I299" s="81"/>
      <c r="J299" s="35"/>
      <c r="K299" s="36"/>
      <c r="L299" s="36"/>
      <c r="M299" s="36"/>
      <c r="N299" s="36"/>
      <c r="O299" s="36"/>
      <c r="P299" s="36"/>
      <c r="Q299" s="36"/>
      <c r="R299" s="36"/>
      <c r="S299" s="36"/>
      <c r="T299" s="36"/>
      <c r="U299" s="36"/>
      <c r="V299" s="36"/>
      <c r="W299" s="36"/>
      <c r="X299" s="36"/>
      <c r="Y299" s="36"/>
      <c r="Z299" s="36"/>
      <c r="AA299" s="36"/>
      <c r="AB299" s="36"/>
      <c r="AC299" s="36"/>
    </row>
    <row r="300" spans="1:29" ht="48" customHeight="1">
      <c r="A300" s="619"/>
      <c r="B300" s="94"/>
      <c r="C300" s="81"/>
      <c r="D300" s="81"/>
      <c r="E300" s="80"/>
      <c r="F300" s="80"/>
      <c r="G300" s="80"/>
      <c r="H300" s="81"/>
      <c r="I300" s="81"/>
      <c r="J300" s="35"/>
      <c r="K300" s="36"/>
      <c r="L300" s="36"/>
      <c r="M300" s="36"/>
      <c r="N300" s="36"/>
      <c r="O300" s="36"/>
      <c r="P300" s="36"/>
      <c r="Q300" s="36"/>
      <c r="R300" s="36"/>
      <c r="S300" s="36"/>
      <c r="T300" s="36"/>
      <c r="U300" s="36"/>
      <c r="V300" s="36"/>
      <c r="W300" s="36"/>
      <c r="X300" s="36"/>
      <c r="Y300" s="36"/>
      <c r="Z300" s="36"/>
      <c r="AA300" s="36"/>
      <c r="AB300" s="36"/>
      <c r="AC300" s="36"/>
    </row>
    <row r="301" spans="1:29" ht="60" customHeight="1">
      <c r="A301" s="619"/>
      <c r="B301" s="94"/>
      <c r="C301" s="81"/>
      <c r="D301" s="81"/>
      <c r="E301" s="80"/>
      <c r="F301" s="80"/>
      <c r="G301" s="80"/>
      <c r="H301" s="81"/>
      <c r="I301" s="81"/>
      <c r="J301" s="35"/>
      <c r="K301" s="36"/>
      <c r="L301" s="36"/>
      <c r="M301" s="36"/>
      <c r="N301" s="36"/>
      <c r="O301" s="36"/>
      <c r="P301" s="36"/>
      <c r="Q301" s="36"/>
      <c r="R301" s="36"/>
      <c r="S301" s="36"/>
      <c r="T301" s="36"/>
      <c r="U301" s="36"/>
      <c r="V301" s="36"/>
      <c r="W301" s="36"/>
      <c r="X301" s="36"/>
      <c r="Y301" s="36"/>
      <c r="Z301" s="36"/>
      <c r="AA301" s="36"/>
      <c r="AB301" s="36"/>
      <c r="AC301" s="36"/>
    </row>
    <row r="302" spans="1:29" ht="88.5" customHeight="1">
      <c r="A302" s="619"/>
      <c r="B302" s="94"/>
      <c r="C302" s="81"/>
      <c r="D302" s="81"/>
      <c r="E302" s="80"/>
      <c r="F302" s="80"/>
      <c r="G302" s="80"/>
      <c r="H302" s="81"/>
      <c r="I302" s="81"/>
      <c r="J302" s="35"/>
      <c r="K302" s="36"/>
      <c r="L302" s="36"/>
      <c r="M302" s="36"/>
      <c r="N302" s="36"/>
      <c r="O302" s="36"/>
      <c r="P302" s="36"/>
      <c r="Q302" s="36"/>
      <c r="R302" s="36"/>
      <c r="S302" s="36"/>
      <c r="T302" s="36"/>
      <c r="U302" s="36"/>
      <c r="V302" s="36"/>
      <c r="W302" s="36"/>
      <c r="X302" s="36"/>
      <c r="Y302" s="36"/>
      <c r="Z302" s="36"/>
      <c r="AA302" s="36"/>
      <c r="AB302" s="36"/>
      <c r="AC302" s="36"/>
    </row>
    <row r="303" spans="1:29" ht="24" customHeight="1">
      <c r="A303" s="619"/>
      <c r="B303" s="94"/>
      <c r="C303" s="81"/>
      <c r="D303" s="81"/>
      <c r="E303" s="80"/>
      <c r="F303" s="80"/>
      <c r="G303" s="80"/>
      <c r="H303" s="81"/>
      <c r="I303" s="81"/>
      <c r="J303" s="35"/>
      <c r="K303" s="36"/>
      <c r="L303" s="36"/>
      <c r="M303" s="36"/>
      <c r="N303" s="36"/>
      <c r="O303" s="36"/>
      <c r="P303" s="36"/>
      <c r="Q303" s="36"/>
      <c r="R303" s="36"/>
      <c r="S303" s="36"/>
      <c r="T303" s="36"/>
      <c r="U303" s="36"/>
      <c r="V303" s="36"/>
      <c r="W303" s="36"/>
      <c r="X303" s="36"/>
      <c r="Y303" s="36"/>
      <c r="Z303" s="36"/>
      <c r="AA303" s="36"/>
      <c r="AB303" s="36"/>
      <c r="AC303" s="36"/>
    </row>
    <row r="304" spans="1:29" ht="24" customHeight="1">
      <c r="A304" s="619"/>
      <c r="B304" s="94"/>
      <c r="C304" s="81"/>
      <c r="D304" s="81"/>
      <c r="E304" s="80"/>
      <c r="F304" s="80"/>
      <c r="G304" s="80"/>
      <c r="H304" s="81"/>
      <c r="I304" s="81"/>
      <c r="J304" s="35"/>
      <c r="K304" s="36"/>
      <c r="L304" s="36"/>
      <c r="M304" s="36"/>
      <c r="N304" s="36"/>
      <c r="O304" s="36"/>
      <c r="P304" s="36"/>
      <c r="Q304" s="36"/>
      <c r="R304" s="36"/>
      <c r="S304" s="36"/>
      <c r="T304" s="36"/>
      <c r="U304" s="36"/>
      <c r="V304" s="36"/>
      <c r="W304" s="36"/>
      <c r="X304" s="36"/>
      <c r="Y304" s="36"/>
      <c r="Z304" s="36"/>
      <c r="AA304" s="36"/>
      <c r="AB304" s="36"/>
      <c r="AC304" s="36"/>
    </row>
    <row r="305" spans="1:29" ht="36" customHeight="1">
      <c r="A305" s="619"/>
      <c r="B305" s="94"/>
      <c r="C305" s="81"/>
      <c r="D305" s="81"/>
      <c r="E305" s="80"/>
      <c r="F305" s="80"/>
      <c r="G305" s="80"/>
      <c r="H305" s="81"/>
      <c r="I305" s="81"/>
      <c r="J305" s="35"/>
      <c r="K305" s="36"/>
      <c r="L305" s="36"/>
      <c r="M305" s="36"/>
      <c r="N305" s="36"/>
      <c r="O305" s="36"/>
      <c r="P305" s="36"/>
      <c r="Q305" s="36"/>
      <c r="R305" s="36"/>
      <c r="S305" s="36"/>
      <c r="T305" s="36"/>
      <c r="U305" s="36"/>
      <c r="V305" s="36"/>
      <c r="W305" s="36"/>
      <c r="X305" s="36"/>
      <c r="Y305" s="36"/>
      <c r="Z305" s="36"/>
      <c r="AA305" s="36"/>
      <c r="AB305" s="36"/>
      <c r="AC305" s="36"/>
    </row>
    <row r="306" spans="1:29" ht="60" customHeight="1">
      <c r="A306" s="619"/>
      <c r="B306" s="94"/>
      <c r="C306" s="81"/>
      <c r="D306" s="81"/>
      <c r="E306" s="80"/>
      <c r="F306" s="80"/>
      <c r="G306" s="80"/>
      <c r="H306" s="81"/>
      <c r="I306" s="81"/>
      <c r="J306" s="35"/>
      <c r="K306" s="36"/>
      <c r="L306" s="36"/>
      <c r="M306" s="36"/>
      <c r="N306" s="36"/>
      <c r="O306" s="36"/>
      <c r="P306" s="36"/>
      <c r="Q306" s="36"/>
      <c r="R306" s="36"/>
      <c r="S306" s="36"/>
      <c r="T306" s="36"/>
      <c r="U306" s="36"/>
      <c r="V306" s="36"/>
      <c r="W306" s="36"/>
      <c r="X306" s="36"/>
      <c r="Y306" s="36"/>
      <c r="Z306" s="36"/>
      <c r="AA306" s="36"/>
      <c r="AB306" s="36"/>
      <c r="AC306" s="36"/>
    </row>
    <row r="307" spans="1:29" ht="24" customHeight="1">
      <c r="A307" s="619"/>
      <c r="B307" s="94"/>
      <c r="C307" s="81"/>
      <c r="D307" s="81"/>
      <c r="E307" s="80"/>
      <c r="F307" s="80"/>
      <c r="G307" s="80"/>
      <c r="H307" s="81"/>
      <c r="I307" s="81"/>
      <c r="J307" s="35"/>
      <c r="K307" s="36"/>
      <c r="L307" s="36"/>
      <c r="M307" s="36"/>
      <c r="N307" s="36"/>
      <c r="O307" s="36"/>
      <c r="P307" s="36"/>
      <c r="Q307" s="36"/>
      <c r="R307" s="36"/>
      <c r="S307" s="36"/>
      <c r="T307" s="36"/>
      <c r="U307" s="36"/>
      <c r="V307" s="36"/>
      <c r="W307" s="36"/>
      <c r="X307" s="36"/>
      <c r="Y307" s="36"/>
      <c r="Z307" s="36"/>
      <c r="AA307" s="36"/>
      <c r="AB307" s="36"/>
      <c r="AC307" s="36"/>
    </row>
    <row r="308" spans="1:29" ht="27.75" customHeight="1">
      <c r="A308" s="619"/>
      <c r="B308" s="94"/>
      <c r="C308" s="81"/>
      <c r="D308" s="81"/>
      <c r="E308" s="80"/>
      <c r="F308" s="80"/>
      <c r="G308" s="80"/>
      <c r="H308" s="81"/>
      <c r="I308" s="81"/>
      <c r="J308" s="35"/>
      <c r="K308" s="36"/>
      <c r="L308" s="36"/>
      <c r="M308" s="36"/>
      <c r="N308" s="36"/>
      <c r="O308" s="36"/>
      <c r="P308" s="36"/>
      <c r="Q308" s="36"/>
      <c r="R308" s="36"/>
      <c r="S308" s="36"/>
      <c r="T308" s="36"/>
      <c r="U308" s="36"/>
      <c r="V308" s="36"/>
      <c r="W308" s="36"/>
      <c r="X308" s="36"/>
      <c r="Y308" s="36"/>
      <c r="Z308" s="36"/>
      <c r="AA308" s="36"/>
      <c r="AB308" s="36"/>
      <c r="AC308" s="36"/>
    </row>
    <row r="309" spans="1:29" ht="24" customHeight="1">
      <c r="A309" s="619"/>
      <c r="B309" s="94"/>
      <c r="C309" s="81"/>
      <c r="D309" s="81"/>
      <c r="E309" s="80"/>
      <c r="F309" s="80"/>
      <c r="G309" s="80"/>
      <c r="H309" s="81"/>
      <c r="I309" s="81"/>
      <c r="J309" s="35"/>
      <c r="K309" s="36"/>
      <c r="L309" s="36"/>
      <c r="M309" s="36"/>
      <c r="N309" s="36"/>
      <c r="O309" s="36"/>
      <c r="P309" s="36"/>
      <c r="Q309" s="36"/>
      <c r="R309" s="36"/>
      <c r="S309" s="36"/>
      <c r="T309" s="36"/>
      <c r="U309" s="36"/>
      <c r="V309" s="36"/>
      <c r="W309" s="36"/>
      <c r="X309" s="36"/>
      <c r="Y309" s="36"/>
      <c r="Z309" s="36"/>
      <c r="AA309" s="36"/>
      <c r="AB309" s="36"/>
      <c r="AC309" s="36"/>
    </row>
    <row r="310" spans="1:29" ht="24" customHeight="1">
      <c r="A310" s="619"/>
      <c r="B310" s="94"/>
      <c r="C310" s="81"/>
      <c r="D310" s="81"/>
      <c r="E310" s="80"/>
      <c r="F310" s="80"/>
      <c r="G310" s="80"/>
      <c r="H310" s="81"/>
      <c r="I310" s="81"/>
      <c r="J310" s="35"/>
      <c r="K310" s="36"/>
      <c r="L310" s="36"/>
      <c r="M310" s="36"/>
      <c r="N310" s="36"/>
      <c r="O310" s="36"/>
      <c r="P310" s="36"/>
      <c r="Q310" s="36"/>
      <c r="R310" s="36"/>
      <c r="S310" s="36"/>
      <c r="T310" s="36"/>
      <c r="U310" s="36"/>
      <c r="V310" s="36"/>
      <c r="W310" s="36"/>
      <c r="X310" s="36"/>
      <c r="Y310" s="36"/>
      <c r="Z310" s="36"/>
      <c r="AA310" s="36"/>
      <c r="AB310" s="36"/>
      <c r="AC310" s="36"/>
    </row>
    <row r="311" spans="1:29" ht="24" customHeight="1">
      <c r="A311" s="619"/>
      <c r="B311" s="94"/>
      <c r="C311" s="81"/>
      <c r="D311" s="81"/>
      <c r="E311" s="80"/>
      <c r="F311" s="80"/>
      <c r="G311" s="80"/>
      <c r="H311" s="81"/>
      <c r="I311" s="81"/>
      <c r="J311" s="35"/>
      <c r="K311" s="36"/>
      <c r="L311" s="36"/>
      <c r="M311" s="36"/>
      <c r="N311" s="36"/>
      <c r="O311" s="36"/>
      <c r="P311" s="36"/>
      <c r="Q311" s="36"/>
      <c r="R311" s="36"/>
      <c r="S311" s="36"/>
      <c r="T311" s="36"/>
      <c r="U311" s="36"/>
      <c r="V311" s="36"/>
      <c r="W311" s="36"/>
      <c r="X311" s="36"/>
      <c r="Y311" s="36"/>
      <c r="Z311" s="36"/>
      <c r="AA311" s="36"/>
      <c r="AB311" s="36"/>
      <c r="AC311" s="36"/>
    </row>
    <row r="312" spans="1:29" ht="24" customHeight="1">
      <c r="A312" s="619"/>
      <c r="B312" s="81"/>
      <c r="C312" s="81"/>
      <c r="D312" s="81"/>
      <c r="E312" s="80"/>
      <c r="F312" s="80"/>
      <c r="G312" s="80"/>
      <c r="H312" s="81"/>
      <c r="I312" s="81"/>
      <c r="J312" s="35"/>
      <c r="K312" s="36"/>
      <c r="L312" s="36"/>
      <c r="M312" s="36"/>
      <c r="N312" s="36"/>
      <c r="O312" s="36"/>
      <c r="P312" s="36"/>
      <c r="Q312" s="36"/>
      <c r="R312" s="36"/>
      <c r="S312" s="36"/>
      <c r="T312" s="36"/>
      <c r="U312" s="36"/>
      <c r="V312" s="36"/>
      <c r="W312" s="36"/>
      <c r="X312" s="36"/>
      <c r="Y312" s="36"/>
      <c r="Z312" s="36"/>
      <c r="AA312" s="36"/>
      <c r="AB312" s="36"/>
      <c r="AC312" s="36"/>
    </row>
    <row r="313" spans="1:29" ht="36" customHeight="1">
      <c r="A313" s="619"/>
      <c r="B313" s="81"/>
      <c r="C313" s="81"/>
      <c r="D313" s="81"/>
      <c r="E313" s="80"/>
      <c r="F313" s="80"/>
      <c r="G313" s="80"/>
      <c r="H313" s="81"/>
      <c r="I313" s="81"/>
      <c r="J313" s="35"/>
      <c r="K313" s="36"/>
      <c r="L313" s="36"/>
      <c r="M313" s="36"/>
      <c r="N313" s="36"/>
      <c r="O313" s="36"/>
      <c r="P313" s="36"/>
      <c r="Q313" s="36"/>
      <c r="R313" s="36"/>
      <c r="S313" s="36"/>
      <c r="T313" s="36"/>
      <c r="U313" s="36"/>
      <c r="V313" s="36"/>
      <c r="W313" s="36"/>
      <c r="X313" s="36"/>
      <c r="Y313" s="36"/>
      <c r="Z313" s="36"/>
      <c r="AA313" s="36"/>
      <c r="AB313" s="36"/>
      <c r="AC313" s="36"/>
    </row>
    <row r="314" spans="1:29" ht="48" customHeight="1">
      <c r="A314" s="619"/>
      <c r="B314" s="94"/>
      <c r="C314" s="81"/>
      <c r="D314" s="81"/>
      <c r="E314" s="80"/>
      <c r="F314" s="80"/>
      <c r="G314" s="80"/>
      <c r="H314" s="81"/>
      <c r="I314" s="81"/>
      <c r="J314" s="35"/>
      <c r="K314" s="36"/>
      <c r="L314" s="36"/>
      <c r="M314" s="36"/>
      <c r="N314" s="36"/>
      <c r="O314" s="36"/>
      <c r="P314" s="36"/>
      <c r="Q314" s="36"/>
      <c r="R314" s="36"/>
      <c r="S314" s="36"/>
      <c r="T314" s="36"/>
      <c r="U314" s="36"/>
      <c r="V314" s="36"/>
      <c r="W314" s="36"/>
      <c r="X314" s="36"/>
      <c r="Y314" s="36"/>
      <c r="Z314" s="36"/>
      <c r="AA314" s="36"/>
      <c r="AB314" s="36"/>
      <c r="AC314" s="36"/>
    </row>
    <row r="315" spans="1:29" ht="36" customHeight="1">
      <c r="A315" s="619"/>
      <c r="B315" s="94"/>
      <c r="C315" s="81"/>
      <c r="D315" s="81"/>
      <c r="E315" s="80"/>
      <c r="F315" s="80"/>
      <c r="G315" s="80"/>
      <c r="H315" s="81"/>
      <c r="I315" s="81"/>
      <c r="J315" s="35"/>
      <c r="K315" s="36"/>
      <c r="L315" s="36"/>
      <c r="M315" s="36"/>
      <c r="N315" s="36"/>
      <c r="O315" s="36"/>
      <c r="P315" s="36"/>
      <c r="Q315" s="36"/>
      <c r="R315" s="36"/>
      <c r="S315" s="36"/>
      <c r="T315" s="36"/>
      <c r="U315" s="36"/>
      <c r="V315" s="36"/>
      <c r="W315" s="36"/>
      <c r="X315" s="36"/>
      <c r="Y315" s="36"/>
      <c r="Z315" s="36"/>
      <c r="AA315" s="36"/>
      <c r="AB315" s="36"/>
      <c r="AC315" s="36"/>
    </row>
    <row r="316" spans="1:29" ht="24" customHeight="1">
      <c r="A316" s="619"/>
      <c r="B316" s="81"/>
      <c r="C316" s="81"/>
      <c r="D316" s="81"/>
      <c r="E316" s="80"/>
      <c r="F316" s="80"/>
      <c r="G316" s="80"/>
      <c r="H316" s="81"/>
      <c r="I316" s="81"/>
      <c r="J316" s="35"/>
      <c r="K316" s="36"/>
      <c r="L316" s="36"/>
      <c r="M316" s="36"/>
      <c r="N316" s="36"/>
      <c r="O316" s="36"/>
      <c r="P316" s="36"/>
      <c r="Q316" s="36"/>
      <c r="R316" s="36"/>
      <c r="S316" s="36"/>
      <c r="T316" s="36"/>
      <c r="U316" s="36"/>
      <c r="V316" s="36"/>
      <c r="W316" s="36"/>
      <c r="X316" s="36"/>
      <c r="Y316" s="36"/>
      <c r="Z316" s="36"/>
      <c r="AA316" s="36"/>
      <c r="AB316" s="36"/>
      <c r="AC316" s="36"/>
    </row>
    <row r="317" spans="1:29" ht="24" customHeight="1">
      <c r="A317" s="619"/>
      <c r="B317" s="94"/>
      <c r="C317" s="81"/>
      <c r="D317" s="81"/>
      <c r="E317" s="80"/>
      <c r="F317" s="80"/>
      <c r="G317" s="80"/>
      <c r="H317" s="81"/>
      <c r="I317" s="81"/>
      <c r="J317" s="35"/>
      <c r="K317" s="36"/>
      <c r="L317" s="36"/>
      <c r="M317" s="36"/>
      <c r="N317" s="36"/>
      <c r="O317" s="36"/>
      <c r="P317" s="36"/>
      <c r="Q317" s="36"/>
      <c r="R317" s="36"/>
      <c r="S317" s="36"/>
      <c r="T317" s="36"/>
      <c r="U317" s="36"/>
      <c r="V317" s="36"/>
      <c r="W317" s="36"/>
      <c r="X317" s="36"/>
      <c r="Y317" s="36"/>
      <c r="Z317" s="36"/>
      <c r="AA317" s="36"/>
      <c r="AB317" s="36"/>
      <c r="AC317" s="36"/>
    </row>
    <row r="318" spans="1:29" ht="36" customHeight="1">
      <c r="A318" s="619"/>
      <c r="B318" s="94"/>
      <c r="C318" s="81"/>
      <c r="D318" s="81"/>
      <c r="E318" s="80"/>
      <c r="F318" s="80"/>
      <c r="G318" s="80"/>
      <c r="H318" s="81"/>
      <c r="I318" s="81"/>
      <c r="J318" s="35"/>
      <c r="K318" s="36"/>
      <c r="L318" s="36"/>
      <c r="M318" s="36"/>
      <c r="N318" s="36"/>
      <c r="O318" s="36"/>
      <c r="P318" s="36"/>
      <c r="Q318" s="36"/>
      <c r="R318" s="36"/>
      <c r="S318" s="36"/>
      <c r="T318" s="36"/>
      <c r="U318" s="36"/>
      <c r="V318" s="36"/>
      <c r="W318" s="36"/>
      <c r="X318" s="36"/>
      <c r="Y318" s="36"/>
      <c r="Z318" s="36"/>
      <c r="AA318" s="36"/>
      <c r="AB318" s="36"/>
      <c r="AC318" s="36"/>
    </row>
    <row r="319" spans="1:29" ht="24" customHeight="1">
      <c r="A319" s="619"/>
      <c r="B319" s="94"/>
      <c r="C319" s="81"/>
      <c r="D319" s="81"/>
      <c r="E319" s="80"/>
      <c r="F319" s="80"/>
      <c r="G319" s="80"/>
      <c r="H319" s="81"/>
      <c r="I319" s="81"/>
      <c r="J319" s="35"/>
      <c r="K319" s="36"/>
      <c r="L319" s="36"/>
      <c r="M319" s="36"/>
      <c r="N319" s="36"/>
      <c r="O319" s="36"/>
      <c r="P319" s="36"/>
      <c r="Q319" s="36"/>
      <c r="R319" s="36"/>
      <c r="S319" s="36"/>
      <c r="T319" s="36"/>
      <c r="U319" s="36"/>
      <c r="V319" s="36"/>
      <c r="W319" s="36"/>
      <c r="X319" s="36"/>
      <c r="Y319" s="36"/>
      <c r="Z319" s="36"/>
      <c r="AA319" s="36"/>
      <c r="AB319" s="36"/>
      <c r="AC319" s="36"/>
    </row>
    <row r="320" spans="1:29" ht="36.75" customHeight="1">
      <c r="A320" s="619"/>
      <c r="B320" s="94"/>
      <c r="C320" s="81"/>
      <c r="D320" s="81"/>
      <c r="E320" s="80"/>
      <c r="F320" s="80"/>
      <c r="G320" s="80"/>
      <c r="H320" s="81"/>
      <c r="I320" s="81"/>
      <c r="J320" s="35"/>
      <c r="K320" s="36"/>
      <c r="L320" s="36"/>
      <c r="M320" s="36"/>
      <c r="N320" s="36"/>
      <c r="O320" s="36"/>
      <c r="P320" s="36"/>
      <c r="Q320" s="36"/>
      <c r="R320" s="36"/>
      <c r="S320" s="36"/>
      <c r="T320" s="36"/>
      <c r="U320" s="36"/>
      <c r="V320" s="36"/>
      <c r="W320" s="36"/>
      <c r="X320" s="36"/>
      <c r="Y320" s="36"/>
      <c r="Z320" s="36"/>
      <c r="AA320" s="36"/>
      <c r="AB320" s="36"/>
      <c r="AC320" s="36"/>
    </row>
    <row r="321" spans="1:29" ht="24" customHeight="1">
      <c r="A321" s="619"/>
      <c r="B321" s="94"/>
      <c r="C321" s="81"/>
      <c r="D321" s="81"/>
      <c r="E321" s="80"/>
      <c r="F321" s="80"/>
      <c r="G321" s="80"/>
      <c r="H321" s="81"/>
      <c r="I321" s="81"/>
      <c r="J321" s="35"/>
      <c r="K321" s="36"/>
      <c r="L321" s="36"/>
      <c r="M321" s="36"/>
      <c r="N321" s="36"/>
      <c r="O321" s="36"/>
      <c r="P321" s="36"/>
      <c r="Q321" s="36"/>
      <c r="R321" s="36"/>
      <c r="S321" s="36"/>
      <c r="T321" s="36"/>
      <c r="U321" s="36"/>
      <c r="V321" s="36"/>
      <c r="W321" s="36"/>
      <c r="X321" s="36"/>
      <c r="Y321" s="36"/>
      <c r="Z321" s="36"/>
      <c r="AA321" s="36"/>
      <c r="AB321" s="36"/>
      <c r="AC321" s="36"/>
    </row>
    <row r="322" spans="1:29" ht="36" customHeight="1">
      <c r="A322" s="619"/>
      <c r="B322" s="100"/>
      <c r="C322" s="100"/>
      <c r="D322" s="100"/>
      <c r="E322" s="99"/>
      <c r="F322" s="99"/>
      <c r="G322" s="99"/>
      <c r="H322" s="463"/>
      <c r="I322" s="100"/>
      <c r="J322" s="35"/>
      <c r="K322" s="36"/>
      <c r="L322" s="36"/>
      <c r="M322" s="36"/>
      <c r="N322" s="36"/>
      <c r="O322" s="36"/>
      <c r="P322" s="36"/>
      <c r="Q322" s="36"/>
      <c r="R322" s="36"/>
      <c r="S322" s="36"/>
      <c r="T322" s="36"/>
      <c r="U322" s="36"/>
      <c r="V322" s="36"/>
      <c r="W322" s="36"/>
      <c r="X322" s="36"/>
      <c r="Y322" s="36"/>
      <c r="Z322" s="36"/>
      <c r="AA322" s="36"/>
      <c r="AB322" s="36"/>
      <c r="AC322" s="36"/>
    </row>
    <row r="323" spans="1:29" ht="15" customHeight="1">
      <c r="A323" s="619"/>
      <c r="B323" s="94"/>
      <c r="C323" s="81"/>
      <c r="D323" s="81"/>
      <c r="E323" s="80"/>
      <c r="F323" s="80"/>
      <c r="G323" s="80"/>
      <c r="H323" s="81"/>
      <c r="I323" s="81"/>
      <c r="J323" s="35"/>
      <c r="K323" s="36"/>
      <c r="L323" s="36"/>
      <c r="M323" s="36"/>
      <c r="N323" s="36"/>
      <c r="O323" s="36"/>
      <c r="P323" s="36"/>
      <c r="Q323" s="36"/>
      <c r="R323" s="36"/>
      <c r="S323" s="36"/>
      <c r="T323" s="36"/>
      <c r="U323" s="36"/>
      <c r="V323" s="36"/>
      <c r="W323" s="36"/>
      <c r="X323" s="36"/>
      <c r="Y323" s="36"/>
      <c r="Z323" s="36"/>
      <c r="AA323" s="36"/>
      <c r="AB323" s="36"/>
      <c r="AC323" s="36"/>
    </row>
    <row r="324" spans="1:29" ht="36" customHeight="1">
      <c r="A324" s="619"/>
      <c r="B324" s="94"/>
      <c r="C324" s="81"/>
      <c r="D324" s="81"/>
      <c r="E324" s="80"/>
      <c r="F324" s="80"/>
      <c r="G324" s="80"/>
      <c r="H324" s="81"/>
      <c r="I324" s="81"/>
      <c r="J324" s="35"/>
      <c r="K324" s="36"/>
      <c r="L324" s="36"/>
      <c r="M324" s="36"/>
      <c r="N324" s="36"/>
      <c r="O324" s="36"/>
      <c r="P324" s="36"/>
      <c r="Q324" s="36"/>
      <c r="R324" s="36"/>
      <c r="S324" s="36"/>
      <c r="T324" s="36"/>
      <c r="U324" s="36"/>
      <c r="V324" s="36"/>
      <c r="W324" s="36"/>
      <c r="X324" s="36"/>
      <c r="Y324" s="36"/>
      <c r="Z324" s="36"/>
      <c r="AA324" s="36"/>
      <c r="AB324" s="36"/>
      <c r="AC324" s="36"/>
    </row>
    <row r="325" spans="1:29" ht="24" customHeight="1">
      <c r="A325" s="81"/>
      <c r="B325" s="94"/>
      <c r="C325" s="81"/>
      <c r="D325" s="81"/>
      <c r="E325" s="80"/>
      <c r="F325" s="80"/>
      <c r="G325" s="80"/>
      <c r="H325" s="81"/>
      <c r="I325" s="81"/>
      <c r="J325" s="35"/>
      <c r="K325" s="36"/>
      <c r="L325" s="36"/>
      <c r="M325" s="36"/>
      <c r="N325" s="36"/>
      <c r="O325" s="36"/>
      <c r="P325" s="36"/>
      <c r="Q325" s="36"/>
      <c r="R325" s="36"/>
      <c r="S325" s="36"/>
      <c r="T325" s="36"/>
      <c r="U325" s="36"/>
      <c r="V325" s="36"/>
      <c r="W325" s="36"/>
      <c r="X325" s="36"/>
      <c r="Y325" s="36"/>
      <c r="Z325" s="36"/>
      <c r="AA325" s="36"/>
      <c r="AB325" s="36"/>
      <c r="AC325" s="36"/>
    </row>
    <row r="326" spans="1:29" ht="24" customHeight="1">
      <c r="A326" s="81"/>
      <c r="B326" s="94"/>
      <c r="C326" s="81"/>
      <c r="D326" s="81"/>
      <c r="E326" s="80"/>
      <c r="F326" s="80"/>
      <c r="G326" s="80"/>
      <c r="H326" s="81"/>
      <c r="I326" s="81"/>
      <c r="J326" s="35"/>
      <c r="K326" s="36"/>
      <c r="L326" s="36"/>
      <c r="M326" s="36"/>
      <c r="N326" s="36"/>
      <c r="O326" s="36"/>
      <c r="P326" s="36"/>
      <c r="Q326" s="36"/>
      <c r="R326" s="36"/>
      <c r="S326" s="36"/>
      <c r="T326" s="36"/>
      <c r="U326" s="36"/>
      <c r="V326" s="36"/>
      <c r="W326" s="36"/>
      <c r="X326" s="36"/>
      <c r="Y326" s="36"/>
      <c r="Z326" s="36"/>
      <c r="AA326" s="36"/>
      <c r="AB326" s="36"/>
      <c r="AC326" s="36"/>
    </row>
    <row r="327" spans="1:29" ht="204" customHeight="1">
      <c r="A327" s="81"/>
      <c r="B327" s="94"/>
      <c r="C327" s="81"/>
      <c r="D327" s="81"/>
      <c r="E327" s="80"/>
      <c r="F327" s="80"/>
      <c r="G327" s="80"/>
      <c r="H327" s="81"/>
      <c r="I327" s="81"/>
      <c r="J327" s="35"/>
      <c r="K327" s="36"/>
      <c r="L327" s="36"/>
      <c r="M327" s="36"/>
      <c r="N327" s="36"/>
      <c r="O327" s="36"/>
      <c r="P327" s="36"/>
      <c r="Q327" s="36"/>
      <c r="R327" s="36"/>
      <c r="S327" s="36"/>
      <c r="T327" s="36"/>
      <c r="U327" s="36"/>
      <c r="V327" s="36"/>
      <c r="W327" s="36"/>
      <c r="X327" s="36"/>
      <c r="Y327" s="36"/>
      <c r="Z327" s="36"/>
      <c r="AA327" s="36"/>
      <c r="AB327" s="36"/>
      <c r="AC327" s="36"/>
    </row>
    <row r="328" spans="1:29" ht="48" customHeight="1">
      <c r="A328" s="81"/>
      <c r="B328" s="94"/>
      <c r="C328" s="81"/>
      <c r="D328" s="81"/>
      <c r="E328" s="80"/>
      <c r="F328" s="80"/>
      <c r="G328" s="80"/>
      <c r="H328" s="81"/>
      <c r="I328" s="81"/>
      <c r="J328" s="35"/>
      <c r="K328" s="36"/>
      <c r="L328" s="36"/>
      <c r="M328" s="36"/>
      <c r="N328" s="36"/>
      <c r="O328" s="36"/>
      <c r="P328" s="36"/>
      <c r="Q328" s="36"/>
      <c r="R328" s="36"/>
      <c r="S328" s="36"/>
      <c r="T328" s="36"/>
      <c r="U328" s="36"/>
      <c r="V328" s="36"/>
      <c r="W328" s="36"/>
      <c r="X328" s="36"/>
      <c r="Y328" s="36"/>
      <c r="Z328" s="36"/>
      <c r="AA328" s="36"/>
      <c r="AB328" s="36"/>
      <c r="AC328" s="36"/>
    </row>
    <row r="329" spans="1:29" ht="24" customHeight="1">
      <c r="A329" s="81"/>
      <c r="B329" s="94"/>
      <c r="C329" s="81"/>
      <c r="D329" s="81"/>
      <c r="E329" s="80"/>
      <c r="F329" s="80"/>
      <c r="G329" s="80"/>
      <c r="H329" s="81"/>
      <c r="I329" s="81"/>
      <c r="J329" s="35"/>
      <c r="K329" s="36"/>
      <c r="L329" s="36"/>
      <c r="M329" s="36"/>
      <c r="N329" s="36"/>
      <c r="O329" s="36"/>
      <c r="P329" s="36"/>
      <c r="Q329" s="36"/>
      <c r="R329" s="36"/>
      <c r="S329" s="36"/>
      <c r="T329" s="36"/>
      <c r="U329" s="36"/>
      <c r="V329" s="36"/>
      <c r="W329" s="36"/>
      <c r="X329" s="36"/>
      <c r="Y329" s="36"/>
      <c r="Z329" s="36"/>
      <c r="AA329" s="36"/>
      <c r="AB329" s="36"/>
      <c r="AC329" s="36"/>
    </row>
    <row r="330" spans="1:29" ht="24" customHeight="1">
      <c r="A330" s="81"/>
      <c r="B330" s="94"/>
      <c r="C330" s="81"/>
      <c r="D330" s="81"/>
      <c r="E330" s="80"/>
      <c r="F330" s="80"/>
      <c r="G330" s="80"/>
      <c r="H330" s="81"/>
      <c r="I330" s="81"/>
      <c r="J330" s="35"/>
      <c r="K330" s="36"/>
      <c r="L330" s="36"/>
      <c r="M330" s="36"/>
      <c r="N330" s="36"/>
      <c r="O330" s="36"/>
      <c r="P330" s="36"/>
      <c r="Q330" s="36"/>
      <c r="R330" s="36"/>
      <c r="S330" s="36"/>
      <c r="T330" s="36"/>
      <c r="U330" s="36"/>
      <c r="V330" s="36"/>
      <c r="W330" s="36"/>
      <c r="X330" s="36"/>
      <c r="Y330" s="36"/>
      <c r="Z330" s="36"/>
      <c r="AA330" s="36"/>
      <c r="AB330" s="36"/>
      <c r="AC330" s="36"/>
    </row>
    <row r="331" spans="1:29" ht="24" customHeight="1">
      <c r="A331" s="81"/>
      <c r="B331" s="94"/>
      <c r="C331" s="81"/>
      <c r="D331" s="81"/>
      <c r="E331" s="80"/>
      <c r="F331" s="80"/>
      <c r="G331" s="80"/>
      <c r="H331" s="81"/>
      <c r="I331" s="81"/>
      <c r="J331" s="35"/>
      <c r="K331" s="36"/>
      <c r="L331" s="36"/>
      <c r="M331" s="36"/>
      <c r="N331" s="36"/>
      <c r="O331" s="36"/>
      <c r="P331" s="36"/>
      <c r="Q331" s="36"/>
      <c r="R331" s="36"/>
      <c r="S331" s="36"/>
      <c r="T331" s="36"/>
      <c r="U331" s="36"/>
      <c r="V331" s="36"/>
      <c r="W331" s="36"/>
      <c r="X331" s="36"/>
      <c r="Y331" s="36"/>
      <c r="Z331" s="36"/>
      <c r="AA331" s="36"/>
      <c r="AB331" s="36"/>
      <c r="AC331" s="36"/>
    </row>
    <row r="332" spans="1:29" ht="48" customHeight="1">
      <c r="A332" s="81"/>
      <c r="B332" s="94"/>
      <c r="C332" s="81"/>
      <c r="D332" s="81"/>
      <c r="E332" s="80"/>
      <c r="F332" s="80"/>
      <c r="G332" s="80"/>
      <c r="H332" s="81"/>
      <c r="I332" s="81"/>
      <c r="J332" s="35"/>
      <c r="K332" s="36"/>
      <c r="L332" s="36"/>
      <c r="M332" s="36"/>
      <c r="N332" s="36"/>
      <c r="O332" s="36"/>
      <c r="P332" s="36"/>
      <c r="Q332" s="36"/>
      <c r="R332" s="36"/>
      <c r="S332" s="36"/>
      <c r="T332" s="36"/>
      <c r="U332" s="36"/>
      <c r="V332" s="36"/>
      <c r="W332" s="36"/>
      <c r="X332" s="36"/>
      <c r="Y332" s="36"/>
      <c r="Z332" s="36"/>
      <c r="AA332" s="36"/>
      <c r="AB332" s="36"/>
      <c r="AC332" s="36"/>
    </row>
    <row r="333" spans="1:29" ht="36" customHeight="1">
      <c r="A333" s="81"/>
      <c r="B333" s="94"/>
      <c r="C333" s="81"/>
      <c r="D333" s="81"/>
      <c r="E333" s="80"/>
      <c r="F333" s="80"/>
      <c r="G333" s="80"/>
      <c r="H333" s="81"/>
      <c r="I333" s="81"/>
      <c r="J333" s="35"/>
      <c r="K333" s="36"/>
      <c r="L333" s="36"/>
      <c r="M333" s="36"/>
      <c r="N333" s="36"/>
      <c r="O333" s="36"/>
      <c r="P333" s="36"/>
      <c r="Q333" s="36"/>
      <c r="R333" s="36"/>
      <c r="S333" s="36"/>
      <c r="T333" s="36"/>
      <c r="U333" s="36"/>
      <c r="V333" s="36"/>
      <c r="W333" s="36"/>
      <c r="X333" s="36"/>
      <c r="Y333" s="36"/>
      <c r="Z333" s="36"/>
      <c r="AA333" s="36"/>
      <c r="AB333" s="36"/>
      <c r="AC333" s="36"/>
    </row>
    <row r="334" spans="1:29" ht="36" customHeight="1">
      <c r="A334" s="81"/>
      <c r="B334" s="94"/>
      <c r="C334" s="81"/>
      <c r="D334" s="81"/>
      <c r="E334" s="80"/>
      <c r="F334" s="80"/>
      <c r="G334" s="80"/>
      <c r="H334" s="81"/>
      <c r="I334" s="81"/>
      <c r="J334" s="35"/>
      <c r="K334" s="36"/>
      <c r="L334" s="36"/>
      <c r="M334" s="36"/>
      <c r="N334" s="36"/>
      <c r="O334" s="36"/>
      <c r="P334" s="36"/>
      <c r="Q334" s="36"/>
      <c r="R334" s="36"/>
      <c r="S334" s="36"/>
      <c r="T334" s="36"/>
      <c r="U334" s="36"/>
      <c r="V334" s="36"/>
      <c r="W334" s="36"/>
      <c r="X334" s="36"/>
      <c r="Y334" s="36"/>
      <c r="Z334" s="36"/>
      <c r="AA334" s="36"/>
      <c r="AB334" s="36"/>
      <c r="AC334" s="36"/>
    </row>
    <row r="335" spans="1:29" ht="24" customHeight="1">
      <c r="A335" s="81"/>
      <c r="B335" s="94"/>
      <c r="C335" s="81"/>
      <c r="D335" s="81"/>
      <c r="E335" s="80"/>
      <c r="F335" s="80"/>
      <c r="G335" s="80"/>
      <c r="H335" s="81"/>
      <c r="I335" s="81"/>
      <c r="J335" s="35"/>
      <c r="K335" s="36"/>
      <c r="L335" s="36"/>
      <c r="M335" s="36"/>
      <c r="N335" s="36"/>
      <c r="O335" s="36"/>
      <c r="P335" s="36"/>
      <c r="Q335" s="36"/>
      <c r="R335" s="36"/>
      <c r="S335" s="36"/>
      <c r="T335" s="36"/>
      <c r="U335" s="36"/>
      <c r="V335" s="36"/>
      <c r="W335" s="36"/>
      <c r="X335" s="36"/>
      <c r="Y335" s="36"/>
      <c r="Z335" s="36"/>
      <c r="AA335" s="36"/>
      <c r="AB335" s="36"/>
      <c r="AC335" s="36"/>
    </row>
    <row r="336" spans="1:29" ht="36" customHeight="1">
      <c r="A336" s="81"/>
      <c r="B336" s="94"/>
      <c r="C336" s="81"/>
      <c r="D336" s="81"/>
      <c r="E336" s="80"/>
      <c r="F336" s="80"/>
      <c r="G336" s="80"/>
      <c r="H336" s="81"/>
      <c r="I336" s="81"/>
      <c r="J336" s="35"/>
      <c r="K336" s="36"/>
      <c r="L336" s="36"/>
      <c r="M336" s="36"/>
      <c r="N336" s="36"/>
      <c r="O336" s="36"/>
      <c r="P336" s="36"/>
      <c r="Q336" s="36"/>
      <c r="R336" s="36"/>
      <c r="S336" s="36"/>
      <c r="T336" s="36"/>
      <c r="U336" s="36"/>
      <c r="V336" s="36"/>
      <c r="W336" s="36"/>
      <c r="X336" s="36"/>
      <c r="Y336" s="36"/>
      <c r="Z336" s="36"/>
      <c r="AA336" s="36"/>
      <c r="AB336" s="36"/>
      <c r="AC336" s="36"/>
    </row>
    <row r="337" spans="1:29" ht="24" customHeight="1">
      <c r="A337" s="81"/>
      <c r="B337" s="94"/>
      <c r="C337" s="81"/>
      <c r="D337" s="81"/>
      <c r="E337" s="80"/>
      <c r="F337" s="80"/>
      <c r="G337" s="80"/>
      <c r="H337" s="81"/>
      <c r="I337" s="81"/>
      <c r="J337" s="35"/>
      <c r="K337" s="36"/>
      <c r="L337" s="36"/>
      <c r="M337" s="36"/>
      <c r="N337" s="36"/>
      <c r="O337" s="36"/>
      <c r="P337" s="36"/>
      <c r="Q337" s="36"/>
      <c r="R337" s="36"/>
      <c r="S337" s="36"/>
      <c r="T337" s="36"/>
      <c r="U337" s="36"/>
      <c r="V337" s="36"/>
      <c r="W337" s="36"/>
      <c r="X337" s="36"/>
      <c r="Y337" s="36"/>
      <c r="Z337" s="36"/>
      <c r="AA337" s="36"/>
      <c r="AB337" s="36"/>
      <c r="AC337" s="36"/>
    </row>
    <row r="338" spans="1:29" ht="24" customHeight="1">
      <c r="A338" s="81"/>
      <c r="B338" s="94"/>
      <c r="C338" s="81"/>
      <c r="D338" s="81"/>
      <c r="E338" s="80"/>
      <c r="F338" s="80"/>
      <c r="G338" s="80"/>
      <c r="H338" s="81"/>
      <c r="I338" s="81"/>
      <c r="J338" s="35"/>
      <c r="K338" s="36"/>
      <c r="L338" s="36"/>
      <c r="M338" s="36"/>
      <c r="N338" s="36"/>
      <c r="O338" s="36"/>
      <c r="P338" s="36"/>
      <c r="Q338" s="36"/>
      <c r="R338" s="36"/>
      <c r="S338" s="36"/>
      <c r="T338" s="36"/>
      <c r="U338" s="36"/>
      <c r="V338" s="36"/>
      <c r="W338" s="36"/>
      <c r="X338" s="36"/>
      <c r="Y338" s="36"/>
      <c r="Z338" s="36"/>
      <c r="AA338" s="36"/>
      <c r="AB338" s="36"/>
      <c r="AC338" s="36"/>
    </row>
    <row r="339" spans="1:29" ht="24" customHeight="1">
      <c r="A339" s="81"/>
      <c r="B339" s="94"/>
      <c r="C339" s="81"/>
      <c r="D339" s="81"/>
      <c r="E339" s="80"/>
      <c r="F339" s="80"/>
      <c r="G339" s="80"/>
      <c r="H339" s="81"/>
      <c r="I339" s="81"/>
      <c r="J339" s="35"/>
      <c r="K339" s="36"/>
      <c r="L339" s="36"/>
      <c r="M339" s="36"/>
      <c r="N339" s="36"/>
      <c r="O339" s="36"/>
      <c r="P339" s="36"/>
      <c r="Q339" s="36"/>
      <c r="R339" s="36"/>
      <c r="S339" s="36"/>
      <c r="T339" s="36"/>
      <c r="U339" s="36"/>
      <c r="V339" s="36"/>
      <c r="W339" s="36"/>
      <c r="X339" s="36"/>
      <c r="Y339" s="36"/>
      <c r="Z339" s="36"/>
      <c r="AA339" s="36"/>
      <c r="AB339" s="36"/>
      <c r="AC339" s="36"/>
    </row>
    <row r="340" spans="1:29" ht="24" customHeight="1">
      <c r="A340" s="81"/>
      <c r="B340" s="94"/>
      <c r="C340" s="81"/>
      <c r="D340" s="81"/>
      <c r="E340" s="80"/>
      <c r="F340" s="80"/>
      <c r="G340" s="80"/>
      <c r="H340" s="81"/>
      <c r="I340" s="81"/>
      <c r="J340" s="35"/>
      <c r="K340" s="36"/>
      <c r="L340" s="36"/>
      <c r="M340" s="36"/>
      <c r="N340" s="36"/>
      <c r="O340" s="36"/>
      <c r="P340" s="36"/>
      <c r="Q340" s="36"/>
      <c r="R340" s="36"/>
      <c r="S340" s="36"/>
      <c r="T340" s="36"/>
      <c r="U340" s="36"/>
      <c r="V340" s="36"/>
      <c r="W340" s="36"/>
      <c r="X340" s="36"/>
      <c r="Y340" s="36"/>
      <c r="Z340" s="36"/>
      <c r="AA340" s="36"/>
      <c r="AB340" s="36"/>
      <c r="AC340" s="36"/>
    </row>
    <row r="341" spans="1:29" ht="24" customHeight="1">
      <c r="A341" s="81"/>
      <c r="B341" s="94"/>
      <c r="C341" s="81"/>
      <c r="D341" s="81"/>
      <c r="E341" s="80"/>
      <c r="F341" s="80"/>
      <c r="G341" s="80"/>
      <c r="H341" s="81"/>
      <c r="I341" s="81"/>
      <c r="J341" s="35"/>
      <c r="K341" s="36"/>
      <c r="L341" s="36"/>
      <c r="M341" s="36"/>
      <c r="N341" s="36"/>
      <c r="O341" s="36"/>
      <c r="P341" s="36"/>
      <c r="Q341" s="36"/>
      <c r="R341" s="36"/>
      <c r="S341" s="36"/>
      <c r="T341" s="36"/>
      <c r="U341" s="36"/>
      <c r="V341" s="36"/>
      <c r="W341" s="36"/>
      <c r="X341" s="36"/>
      <c r="Y341" s="36"/>
      <c r="Z341" s="36"/>
      <c r="AA341" s="36"/>
      <c r="AB341" s="36"/>
      <c r="AC341" s="36"/>
    </row>
    <row r="342" spans="1:29" ht="36" customHeight="1">
      <c r="A342" s="81"/>
      <c r="B342" s="94"/>
      <c r="C342" s="81"/>
      <c r="D342" s="81"/>
      <c r="E342" s="80"/>
      <c r="F342" s="80"/>
      <c r="G342" s="80"/>
      <c r="H342" s="81"/>
      <c r="I342" s="81"/>
      <c r="J342" s="35"/>
      <c r="K342" s="36"/>
      <c r="L342" s="36"/>
      <c r="M342" s="36"/>
      <c r="N342" s="36"/>
      <c r="O342" s="36"/>
      <c r="P342" s="36"/>
      <c r="Q342" s="36"/>
      <c r="R342" s="36"/>
      <c r="S342" s="36"/>
      <c r="T342" s="36"/>
      <c r="U342" s="36"/>
      <c r="V342" s="36"/>
      <c r="W342" s="36"/>
      <c r="X342" s="36"/>
      <c r="Y342" s="36"/>
      <c r="Z342" s="36"/>
      <c r="AA342" s="36"/>
      <c r="AB342" s="36"/>
      <c r="AC342" s="36"/>
    </row>
    <row r="343" spans="1:29" ht="24" customHeight="1">
      <c r="A343" s="81"/>
      <c r="B343" s="94"/>
      <c r="C343" s="81"/>
      <c r="D343" s="81"/>
      <c r="E343" s="80"/>
      <c r="F343" s="80"/>
      <c r="G343" s="80"/>
      <c r="H343" s="81"/>
      <c r="I343" s="81"/>
      <c r="J343" s="35"/>
      <c r="K343" s="36"/>
      <c r="L343" s="36"/>
      <c r="M343" s="36"/>
      <c r="N343" s="36"/>
      <c r="O343" s="36"/>
      <c r="P343" s="36"/>
      <c r="Q343" s="36"/>
      <c r="R343" s="36"/>
      <c r="S343" s="36"/>
      <c r="T343" s="36"/>
      <c r="U343" s="36"/>
      <c r="V343" s="36"/>
      <c r="W343" s="36"/>
      <c r="X343" s="36"/>
      <c r="Y343" s="36"/>
      <c r="Z343" s="36"/>
      <c r="AA343" s="36"/>
      <c r="AB343" s="36"/>
      <c r="AC343" s="36"/>
    </row>
    <row r="344" spans="1:29" ht="24" customHeight="1">
      <c r="A344" s="81"/>
      <c r="B344" s="81"/>
      <c r="C344" s="81"/>
      <c r="D344" s="81"/>
      <c r="E344" s="80"/>
      <c r="F344" s="80"/>
      <c r="G344" s="80"/>
      <c r="H344" s="81"/>
      <c r="I344" s="81"/>
      <c r="J344" s="35"/>
      <c r="K344" s="36"/>
      <c r="L344" s="36"/>
      <c r="M344" s="36"/>
      <c r="N344" s="36"/>
      <c r="O344" s="36"/>
      <c r="P344" s="36"/>
      <c r="Q344" s="36"/>
      <c r="R344" s="36"/>
      <c r="S344" s="36"/>
      <c r="T344" s="36"/>
      <c r="U344" s="36"/>
      <c r="V344" s="36"/>
      <c r="W344" s="36"/>
      <c r="X344" s="36"/>
      <c r="Y344" s="36"/>
      <c r="Z344" s="36"/>
      <c r="AA344" s="36"/>
      <c r="AB344" s="36"/>
      <c r="AC344" s="36"/>
    </row>
    <row r="345" spans="1:29" ht="24" customHeight="1">
      <c r="A345" s="81"/>
      <c r="B345" s="94"/>
      <c r="C345" s="81"/>
      <c r="D345" s="81"/>
      <c r="E345" s="80"/>
      <c r="F345" s="80"/>
      <c r="G345" s="80"/>
      <c r="H345" s="81"/>
      <c r="I345" s="81"/>
      <c r="J345" s="35"/>
      <c r="K345" s="36"/>
      <c r="L345" s="36"/>
      <c r="M345" s="36"/>
      <c r="N345" s="36"/>
      <c r="O345" s="36"/>
      <c r="P345" s="36"/>
      <c r="Q345" s="36"/>
      <c r="R345" s="36"/>
      <c r="S345" s="36"/>
      <c r="T345" s="36"/>
      <c r="U345" s="36"/>
      <c r="V345" s="36"/>
      <c r="W345" s="36"/>
      <c r="X345" s="36"/>
      <c r="Y345" s="36"/>
      <c r="Z345" s="36"/>
      <c r="AA345" s="36"/>
      <c r="AB345" s="36"/>
      <c r="AC345" s="36"/>
    </row>
    <row r="346" spans="1:29" ht="24" customHeight="1">
      <c r="A346" s="81"/>
      <c r="B346" s="94"/>
      <c r="C346" s="81"/>
      <c r="D346" s="81"/>
      <c r="E346" s="80"/>
      <c r="F346" s="80"/>
      <c r="G346" s="80"/>
      <c r="H346" s="81"/>
      <c r="I346" s="81"/>
      <c r="J346" s="35"/>
      <c r="K346" s="36"/>
      <c r="L346" s="36"/>
      <c r="M346" s="36"/>
      <c r="N346" s="36"/>
      <c r="O346" s="36"/>
      <c r="P346" s="36"/>
      <c r="Q346" s="36"/>
      <c r="R346" s="36"/>
      <c r="S346" s="36"/>
      <c r="T346" s="36"/>
      <c r="U346" s="36"/>
      <c r="V346" s="36"/>
      <c r="W346" s="36"/>
      <c r="X346" s="36"/>
      <c r="Y346" s="36"/>
      <c r="Z346" s="36"/>
      <c r="AA346" s="36"/>
      <c r="AB346" s="36"/>
      <c r="AC346" s="36"/>
    </row>
    <row r="347" spans="1:29" ht="24" customHeight="1">
      <c r="A347" s="81"/>
      <c r="B347" s="94"/>
      <c r="C347" s="81"/>
      <c r="D347" s="81"/>
      <c r="E347" s="80"/>
      <c r="F347" s="80"/>
      <c r="G347" s="80"/>
      <c r="H347" s="81"/>
      <c r="I347" s="81"/>
      <c r="J347" s="35"/>
      <c r="K347" s="36"/>
      <c r="L347" s="36"/>
      <c r="M347" s="36"/>
      <c r="N347" s="36"/>
      <c r="O347" s="36"/>
      <c r="P347" s="36"/>
      <c r="Q347" s="36"/>
      <c r="R347" s="36"/>
      <c r="S347" s="36"/>
      <c r="T347" s="36"/>
      <c r="U347" s="36"/>
      <c r="V347" s="36"/>
      <c r="W347" s="36"/>
      <c r="X347" s="36"/>
      <c r="Y347" s="36"/>
      <c r="Z347" s="36"/>
      <c r="AA347" s="36"/>
      <c r="AB347" s="36"/>
      <c r="AC347" s="36"/>
    </row>
    <row r="348" spans="1:29" ht="24" customHeight="1">
      <c r="A348" s="81"/>
      <c r="B348" s="94"/>
      <c r="C348" s="81"/>
      <c r="D348" s="81"/>
      <c r="E348" s="80"/>
      <c r="F348" s="80"/>
      <c r="G348" s="80"/>
      <c r="H348" s="81"/>
      <c r="I348" s="81"/>
      <c r="J348" s="35"/>
      <c r="K348" s="36"/>
      <c r="L348" s="36"/>
      <c r="M348" s="36"/>
      <c r="N348" s="36"/>
      <c r="O348" s="36"/>
      <c r="P348" s="36"/>
      <c r="Q348" s="36"/>
      <c r="R348" s="36"/>
      <c r="S348" s="36"/>
      <c r="T348" s="36"/>
      <c r="U348" s="36"/>
      <c r="V348" s="36"/>
      <c r="W348" s="36"/>
      <c r="X348" s="36"/>
      <c r="Y348" s="36"/>
      <c r="Z348" s="36"/>
      <c r="AA348" s="36"/>
      <c r="AB348" s="36"/>
      <c r="AC348" s="36"/>
    </row>
    <row r="349" spans="1:29" ht="36" customHeight="1">
      <c r="A349" s="81"/>
      <c r="B349" s="81"/>
      <c r="C349" s="81"/>
      <c r="D349" s="81"/>
      <c r="E349" s="80"/>
      <c r="F349" s="80"/>
      <c r="G349" s="80"/>
      <c r="H349" s="81"/>
      <c r="I349" s="81"/>
      <c r="J349" s="35"/>
      <c r="K349" s="36"/>
      <c r="L349" s="36"/>
      <c r="M349" s="36"/>
      <c r="N349" s="36"/>
      <c r="O349" s="36"/>
      <c r="P349" s="36"/>
      <c r="Q349" s="36"/>
      <c r="R349" s="36"/>
      <c r="S349" s="36"/>
      <c r="T349" s="36"/>
      <c r="U349" s="36"/>
      <c r="V349" s="36"/>
      <c r="W349" s="36"/>
      <c r="X349" s="36"/>
      <c r="Y349" s="36"/>
      <c r="Z349" s="36"/>
      <c r="AA349" s="36"/>
      <c r="AB349" s="36"/>
      <c r="AC349" s="36"/>
    </row>
    <row r="350" spans="1:29" ht="48" customHeight="1">
      <c r="A350" s="81"/>
      <c r="B350" s="94"/>
      <c r="C350" s="81"/>
      <c r="D350" s="81"/>
      <c r="E350" s="80"/>
      <c r="F350" s="80"/>
      <c r="G350" s="80"/>
      <c r="H350" s="81"/>
      <c r="I350" s="81"/>
      <c r="J350" s="35"/>
      <c r="K350" s="36"/>
      <c r="L350" s="36"/>
      <c r="M350" s="36"/>
      <c r="N350" s="36"/>
      <c r="O350" s="36"/>
      <c r="P350" s="36"/>
      <c r="Q350" s="36"/>
      <c r="R350" s="36"/>
      <c r="S350" s="36"/>
      <c r="T350" s="36"/>
      <c r="U350" s="36"/>
      <c r="V350" s="36"/>
      <c r="W350" s="36"/>
      <c r="X350" s="36"/>
      <c r="Y350" s="36"/>
      <c r="Z350" s="36"/>
      <c r="AA350" s="36"/>
      <c r="AB350" s="36"/>
      <c r="AC350" s="36"/>
    </row>
    <row r="351" spans="1:29" ht="24" customHeight="1">
      <c r="A351" s="81"/>
      <c r="B351" s="94"/>
      <c r="C351" s="81"/>
      <c r="D351" s="81"/>
      <c r="E351" s="80"/>
      <c r="F351" s="80"/>
      <c r="G351" s="80"/>
      <c r="H351" s="81"/>
      <c r="I351" s="81"/>
      <c r="J351" s="35"/>
      <c r="K351" s="36"/>
      <c r="L351" s="36"/>
      <c r="M351" s="36"/>
      <c r="N351" s="36"/>
      <c r="O351" s="36"/>
      <c r="P351" s="36"/>
      <c r="Q351" s="36"/>
      <c r="R351" s="36"/>
      <c r="S351" s="36"/>
      <c r="T351" s="36"/>
      <c r="U351" s="36"/>
      <c r="V351" s="36"/>
      <c r="W351" s="36"/>
      <c r="X351" s="36"/>
      <c r="Y351" s="36"/>
      <c r="Z351" s="36"/>
      <c r="AA351" s="36"/>
      <c r="AB351" s="36"/>
      <c r="AC351" s="36"/>
    </row>
    <row r="352" spans="1:29" ht="36" customHeight="1">
      <c r="A352" s="81"/>
      <c r="B352" s="94"/>
      <c r="C352" s="81"/>
      <c r="D352" s="81"/>
      <c r="E352" s="80"/>
      <c r="F352" s="80"/>
      <c r="G352" s="80"/>
      <c r="H352" s="81"/>
      <c r="I352" s="81"/>
      <c r="J352" s="35"/>
      <c r="K352" s="36"/>
      <c r="L352" s="36"/>
      <c r="M352" s="36"/>
      <c r="N352" s="36"/>
      <c r="O352" s="36"/>
      <c r="P352" s="36"/>
      <c r="Q352" s="36"/>
      <c r="R352" s="36"/>
      <c r="S352" s="36"/>
      <c r="T352" s="36"/>
      <c r="U352" s="36"/>
      <c r="V352" s="36"/>
      <c r="W352" s="36"/>
      <c r="X352" s="36"/>
      <c r="Y352" s="36"/>
      <c r="Z352" s="36"/>
      <c r="AA352" s="36"/>
      <c r="AB352" s="36"/>
      <c r="AC352" s="36"/>
    </row>
    <row r="353" spans="1:29" ht="48" customHeight="1">
      <c r="A353" s="81"/>
      <c r="B353" s="94"/>
      <c r="C353" s="81"/>
      <c r="D353" s="81"/>
      <c r="E353" s="80"/>
      <c r="F353" s="80"/>
      <c r="G353" s="80"/>
      <c r="H353" s="81"/>
      <c r="I353" s="81"/>
      <c r="J353" s="35"/>
      <c r="K353" s="36"/>
      <c r="L353" s="36"/>
      <c r="M353" s="36"/>
      <c r="N353" s="36"/>
      <c r="O353" s="36"/>
      <c r="P353" s="36"/>
      <c r="Q353" s="36"/>
      <c r="R353" s="36"/>
      <c r="S353" s="36"/>
      <c r="T353" s="36"/>
      <c r="U353" s="36"/>
      <c r="V353" s="36"/>
      <c r="W353" s="36"/>
      <c r="X353" s="36"/>
      <c r="Y353" s="36"/>
      <c r="Z353" s="36"/>
      <c r="AA353" s="36"/>
      <c r="AB353" s="36"/>
      <c r="AC353" s="36"/>
    </row>
    <row r="354" spans="1:29" ht="36" customHeight="1">
      <c r="A354" s="81"/>
      <c r="B354" s="94"/>
      <c r="C354" s="81"/>
      <c r="D354" s="81"/>
      <c r="E354" s="80"/>
      <c r="F354" s="80"/>
      <c r="G354" s="80"/>
      <c r="H354" s="81"/>
      <c r="I354" s="81"/>
      <c r="J354" s="35"/>
      <c r="K354" s="36"/>
      <c r="L354" s="36"/>
      <c r="M354" s="36"/>
      <c r="N354" s="36"/>
      <c r="O354" s="36"/>
      <c r="P354" s="36"/>
      <c r="Q354" s="36"/>
      <c r="R354" s="36"/>
      <c r="S354" s="36"/>
      <c r="T354" s="36"/>
      <c r="U354" s="36"/>
      <c r="V354" s="36"/>
      <c r="W354" s="36"/>
      <c r="X354" s="36"/>
      <c r="Y354" s="36"/>
      <c r="Z354" s="36"/>
      <c r="AA354" s="36"/>
      <c r="AB354" s="36"/>
      <c r="AC354" s="36"/>
    </row>
    <row r="355" spans="1:29" ht="60" customHeight="1">
      <c r="A355" s="81"/>
      <c r="B355" s="94"/>
      <c r="C355" s="81"/>
      <c r="D355" s="81"/>
      <c r="E355" s="80"/>
      <c r="F355" s="80"/>
      <c r="G355" s="80"/>
      <c r="H355" s="81"/>
      <c r="I355" s="81"/>
      <c r="J355" s="35"/>
      <c r="K355" s="36"/>
      <c r="L355" s="36"/>
      <c r="M355" s="36"/>
      <c r="N355" s="36"/>
      <c r="O355" s="36"/>
      <c r="P355" s="36"/>
      <c r="Q355" s="36"/>
      <c r="R355" s="36"/>
      <c r="S355" s="36"/>
      <c r="T355" s="36"/>
      <c r="U355" s="36"/>
      <c r="V355" s="36"/>
      <c r="W355" s="36"/>
      <c r="X355" s="36"/>
      <c r="Y355" s="36"/>
      <c r="Z355" s="36"/>
      <c r="AA355" s="36"/>
      <c r="AB355" s="36"/>
      <c r="AC355" s="36"/>
    </row>
    <row r="356" spans="1:29" ht="24" customHeight="1">
      <c r="A356" s="81"/>
      <c r="B356" s="94"/>
      <c r="C356" s="81"/>
      <c r="D356" s="81"/>
      <c r="E356" s="80"/>
      <c r="F356" s="80"/>
      <c r="G356" s="80"/>
      <c r="H356" s="81"/>
      <c r="I356" s="81"/>
      <c r="J356" s="35"/>
      <c r="K356" s="36"/>
      <c r="L356" s="36"/>
      <c r="M356" s="36"/>
      <c r="N356" s="36"/>
      <c r="O356" s="36"/>
      <c r="P356" s="36"/>
      <c r="Q356" s="36"/>
      <c r="R356" s="36"/>
      <c r="S356" s="36"/>
      <c r="T356" s="36"/>
      <c r="U356" s="36"/>
      <c r="V356" s="36"/>
      <c r="W356" s="36"/>
      <c r="X356" s="36"/>
      <c r="Y356" s="36"/>
      <c r="Z356" s="36"/>
      <c r="AA356" s="36"/>
      <c r="AB356" s="36"/>
      <c r="AC356" s="36"/>
    </row>
    <row r="357" spans="1:29" ht="72" customHeight="1">
      <c r="A357" s="81"/>
      <c r="B357" s="94"/>
      <c r="C357" s="81"/>
      <c r="D357" s="81"/>
      <c r="E357" s="80"/>
      <c r="F357" s="80"/>
      <c r="G357" s="80"/>
      <c r="H357" s="81"/>
      <c r="I357" s="81"/>
      <c r="J357" s="35"/>
      <c r="K357" s="36"/>
      <c r="L357" s="36"/>
      <c r="M357" s="36"/>
      <c r="N357" s="36"/>
      <c r="O357" s="36"/>
      <c r="P357" s="36"/>
      <c r="Q357" s="36"/>
      <c r="R357" s="36"/>
      <c r="S357" s="36"/>
      <c r="T357" s="36"/>
      <c r="U357" s="36"/>
      <c r="V357" s="36"/>
      <c r="W357" s="36"/>
      <c r="X357" s="36"/>
      <c r="Y357" s="36"/>
      <c r="Z357" s="36"/>
      <c r="AA357" s="36"/>
      <c r="AB357" s="36"/>
      <c r="AC357" s="36"/>
    </row>
    <row r="358" spans="1:29" ht="24" customHeight="1">
      <c r="A358" s="81"/>
      <c r="B358" s="94"/>
      <c r="C358" s="81"/>
      <c r="D358" s="81"/>
      <c r="E358" s="80"/>
      <c r="F358" s="80"/>
      <c r="G358" s="80"/>
      <c r="H358" s="81"/>
      <c r="I358" s="81"/>
      <c r="J358" s="35"/>
      <c r="K358" s="36"/>
      <c r="L358" s="36"/>
      <c r="M358" s="36"/>
      <c r="N358" s="36"/>
      <c r="O358" s="36"/>
      <c r="P358" s="36"/>
      <c r="Q358" s="36"/>
      <c r="R358" s="36"/>
      <c r="S358" s="36"/>
      <c r="T358" s="36"/>
      <c r="U358" s="36"/>
      <c r="V358" s="36"/>
      <c r="W358" s="36"/>
      <c r="X358" s="36"/>
      <c r="Y358" s="36"/>
      <c r="Z358" s="36"/>
      <c r="AA358" s="36"/>
      <c r="AB358" s="36"/>
      <c r="AC358" s="36"/>
    </row>
    <row r="359" spans="1:29" ht="48" customHeight="1">
      <c r="A359" s="81"/>
      <c r="B359" s="94"/>
      <c r="C359" s="81"/>
      <c r="D359" s="81"/>
      <c r="E359" s="80"/>
      <c r="F359" s="80"/>
      <c r="G359" s="80"/>
      <c r="H359" s="81"/>
      <c r="I359" s="81"/>
      <c r="J359" s="35"/>
      <c r="K359" s="36"/>
      <c r="L359" s="36"/>
      <c r="M359" s="36"/>
      <c r="N359" s="36"/>
      <c r="O359" s="36"/>
      <c r="P359" s="36"/>
      <c r="Q359" s="36"/>
      <c r="R359" s="36"/>
      <c r="S359" s="36"/>
      <c r="T359" s="36"/>
      <c r="U359" s="36"/>
      <c r="V359" s="36"/>
      <c r="W359" s="36"/>
      <c r="X359" s="36"/>
      <c r="Y359" s="36"/>
      <c r="Z359" s="36"/>
      <c r="AA359" s="36"/>
      <c r="AB359" s="36"/>
      <c r="AC359" s="36"/>
    </row>
    <row r="360" spans="1:29" ht="24" customHeight="1">
      <c r="A360" s="81"/>
      <c r="B360" s="94"/>
      <c r="C360" s="81"/>
      <c r="D360" s="81"/>
      <c r="E360" s="80"/>
      <c r="F360" s="80"/>
      <c r="G360" s="80"/>
      <c r="H360" s="81"/>
      <c r="I360" s="81"/>
      <c r="J360" s="35"/>
      <c r="K360" s="36"/>
      <c r="L360" s="36"/>
      <c r="M360" s="36"/>
      <c r="N360" s="36"/>
      <c r="O360" s="36"/>
      <c r="P360" s="36"/>
      <c r="Q360" s="36"/>
      <c r="R360" s="36"/>
      <c r="S360" s="36"/>
      <c r="T360" s="36"/>
      <c r="U360" s="36"/>
      <c r="V360" s="36"/>
      <c r="W360" s="36"/>
      <c r="X360" s="36"/>
      <c r="Y360" s="36"/>
      <c r="Z360" s="36"/>
      <c r="AA360" s="36"/>
      <c r="AB360" s="36"/>
      <c r="AC360" s="36"/>
    </row>
    <row r="361" spans="1:29" ht="24" customHeight="1">
      <c r="A361" s="81"/>
      <c r="B361" s="94"/>
      <c r="C361" s="81"/>
      <c r="D361" s="81"/>
      <c r="E361" s="80"/>
      <c r="F361" s="80"/>
      <c r="G361" s="80"/>
      <c r="H361" s="81"/>
      <c r="I361" s="81"/>
      <c r="J361" s="35"/>
      <c r="K361" s="36"/>
      <c r="L361" s="36"/>
      <c r="M361" s="36"/>
      <c r="N361" s="36"/>
      <c r="O361" s="36"/>
      <c r="P361" s="36"/>
      <c r="Q361" s="36"/>
      <c r="R361" s="36"/>
      <c r="S361" s="36"/>
      <c r="T361" s="36"/>
      <c r="U361" s="36"/>
      <c r="V361" s="36"/>
      <c r="W361" s="36"/>
      <c r="X361" s="36"/>
      <c r="Y361" s="36"/>
      <c r="Z361" s="36"/>
      <c r="AA361" s="36"/>
      <c r="AB361" s="36"/>
      <c r="AC361" s="36"/>
    </row>
    <row r="362" spans="1:29" ht="60" customHeight="1">
      <c r="A362" s="81"/>
      <c r="B362" s="100"/>
      <c r="C362" s="100"/>
      <c r="D362" s="100"/>
      <c r="E362" s="99"/>
      <c r="F362" s="99"/>
      <c r="G362" s="99"/>
      <c r="H362" s="463"/>
      <c r="I362" s="100"/>
      <c r="J362" s="35"/>
      <c r="K362" s="36"/>
      <c r="L362" s="36"/>
      <c r="M362" s="36"/>
      <c r="N362" s="36"/>
      <c r="O362" s="36"/>
      <c r="P362" s="36"/>
      <c r="Q362" s="36"/>
      <c r="R362" s="36"/>
      <c r="S362" s="36"/>
      <c r="T362" s="36"/>
      <c r="U362" s="36"/>
      <c r="V362" s="36"/>
      <c r="W362" s="36"/>
      <c r="X362" s="36"/>
      <c r="Y362" s="36"/>
      <c r="Z362" s="36"/>
      <c r="AA362" s="36"/>
      <c r="AB362" s="36"/>
      <c r="AC362" s="36"/>
    </row>
    <row r="363" spans="1:29" ht="60" customHeight="1">
      <c r="A363" s="619"/>
      <c r="B363" s="94"/>
      <c r="C363" s="81"/>
      <c r="D363" s="81"/>
      <c r="E363" s="80"/>
      <c r="F363" s="80"/>
      <c r="G363" s="80"/>
      <c r="H363" s="81"/>
      <c r="I363" s="81"/>
      <c r="J363" s="35"/>
      <c r="K363" s="36"/>
      <c r="L363" s="36"/>
      <c r="M363" s="36"/>
      <c r="N363" s="36"/>
      <c r="O363" s="36"/>
      <c r="P363" s="36"/>
      <c r="Q363" s="36"/>
      <c r="R363" s="36"/>
      <c r="S363" s="36"/>
      <c r="T363" s="36"/>
      <c r="U363" s="36"/>
      <c r="V363" s="36"/>
      <c r="W363" s="36"/>
      <c r="X363" s="36"/>
      <c r="Y363" s="36"/>
      <c r="Z363" s="36"/>
      <c r="AA363" s="36"/>
      <c r="AB363" s="36"/>
      <c r="AC363" s="36"/>
    </row>
    <row r="364" spans="1:29" ht="120" customHeight="1">
      <c r="A364" s="619"/>
      <c r="B364" s="94"/>
      <c r="C364" s="81"/>
      <c r="D364" s="81"/>
      <c r="E364" s="80"/>
      <c r="F364" s="80"/>
      <c r="G364" s="80"/>
      <c r="H364" s="81"/>
      <c r="I364" s="81"/>
      <c r="J364" s="35"/>
      <c r="K364" s="36"/>
      <c r="L364" s="36"/>
      <c r="M364" s="36"/>
      <c r="N364" s="36"/>
      <c r="O364" s="36"/>
      <c r="P364" s="36"/>
      <c r="Q364" s="36"/>
      <c r="R364" s="36"/>
      <c r="S364" s="36"/>
      <c r="T364" s="36"/>
      <c r="U364" s="36"/>
      <c r="V364" s="36"/>
      <c r="W364" s="36"/>
      <c r="X364" s="36"/>
      <c r="Y364" s="36"/>
      <c r="Z364" s="36"/>
      <c r="AA364" s="36"/>
      <c r="AB364" s="36"/>
      <c r="AC364" s="36"/>
    </row>
    <row r="365" spans="1:29" ht="204" customHeight="1">
      <c r="A365" s="619"/>
      <c r="B365" s="94"/>
      <c r="C365" s="81"/>
      <c r="D365" s="81"/>
      <c r="E365" s="80"/>
      <c r="F365" s="80"/>
      <c r="G365" s="80"/>
      <c r="H365" s="81"/>
      <c r="I365" s="81"/>
      <c r="J365" s="35"/>
      <c r="K365" s="36"/>
      <c r="L365" s="36"/>
      <c r="M365" s="36"/>
      <c r="N365" s="36"/>
      <c r="O365" s="36"/>
      <c r="P365" s="36"/>
      <c r="Q365" s="36"/>
      <c r="R365" s="36"/>
      <c r="S365" s="36"/>
      <c r="T365" s="36"/>
      <c r="U365" s="36"/>
      <c r="V365" s="36"/>
      <c r="W365" s="36"/>
      <c r="X365" s="36"/>
      <c r="Y365" s="36"/>
      <c r="Z365" s="36"/>
      <c r="AA365" s="36"/>
      <c r="AB365" s="36"/>
      <c r="AC365" s="36"/>
    </row>
    <row r="366" spans="1:29" ht="24" customHeight="1">
      <c r="A366" s="619"/>
      <c r="B366" s="94"/>
      <c r="C366" s="81"/>
      <c r="D366" s="81"/>
      <c r="E366" s="80"/>
      <c r="F366" s="80"/>
      <c r="G366" s="80"/>
      <c r="H366" s="81"/>
      <c r="I366" s="81"/>
      <c r="J366" s="35"/>
      <c r="K366" s="36"/>
      <c r="L366" s="36"/>
      <c r="M366" s="36"/>
      <c r="N366" s="36"/>
      <c r="O366" s="36"/>
      <c r="P366" s="36"/>
      <c r="Q366" s="36"/>
      <c r="R366" s="36"/>
      <c r="S366" s="36"/>
      <c r="T366" s="36"/>
      <c r="U366" s="36"/>
      <c r="V366" s="36"/>
      <c r="W366" s="36"/>
      <c r="X366" s="36"/>
      <c r="Y366" s="36"/>
      <c r="Z366" s="36"/>
      <c r="AA366" s="36"/>
      <c r="AB366" s="36"/>
      <c r="AC366" s="36"/>
    </row>
    <row r="367" spans="1:29" ht="24" customHeight="1">
      <c r="A367" s="619"/>
      <c r="B367" s="94"/>
      <c r="C367" s="81"/>
      <c r="D367" s="81"/>
      <c r="E367" s="80"/>
      <c r="F367" s="80"/>
      <c r="G367" s="80"/>
      <c r="H367" s="81"/>
      <c r="I367" s="81"/>
      <c r="J367" s="35"/>
      <c r="K367" s="36"/>
      <c r="L367" s="36"/>
      <c r="M367" s="36"/>
      <c r="N367" s="36"/>
      <c r="O367" s="36"/>
      <c r="P367" s="36"/>
      <c r="Q367" s="36"/>
      <c r="R367" s="36"/>
      <c r="S367" s="36"/>
      <c r="T367" s="36"/>
      <c r="U367" s="36"/>
      <c r="V367" s="36"/>
      <c r="W367" s="36"/>
      <c r="X367" s="36"/>
      <c r="Y367" s="36"/>
      <c r="Z367" s="36"/>
      <c r="AA367" s="36"/>
      <c r="AB367" s="36"/>
      <c r="AC367" s="36"/>
    </row>
    <row r="368" spans="1:29" ht="24" customHeight="1">
      <c r="A368" s="619"/>
      <c r="B368" s="94"/>
      <c r="C368" s="81"/>
      <c r="D368" s="81"/>
      <c r="E368" s="80"/>
      <c r="F368" s="80"/>
      <c r="G368" s="80"/>
      <c r="H368" s="81"/>
      <c r="I368" s="81"/>
      <c r="J368" s="35"/>
      <c r="K368" s="36"/>
      <c r="L368" s="36"/>
      <c r="M368" s="36"/>
      <c r="N368" s="36"/>
      <c r="O368" s="36"/>
      <c r="P368" s="36"/>
      <c r="Q368" s="36"/>
      <c r="R368" s="36"/>
      <c r="S368" s="36"/>
      <c r="T368" s="36"/>
      <c r="U368" s="36"/>
      <c r="V368" s="36"/>
      <c r="W368" s="36"/>
      <c r="X368" s="36"/>
      <c r="Y368" s="36"/>
      <c r="Z368" s="36"/>
      <c r="AA368" s="36"/>
      <c r="AB368" s="36"/>
      <c r="AC368" s="36"/>
    </row>
    <row r="369" spans="1:29" ht="15" customHeight="1">
      <c r="A369" s="619"/>
      <c r="B369" s="94"/>
      <c r="C369" s="81"/>
      <c r="D369" s="81"/>
      <c r="E369" s="80"/>
      <c r="F369" s="80"/>
      <c r="G369" s="80"/>
      <c r="H369" s="81"/>
      <c r="I369" s="81"/>
      <c r="J369" s="35"/>
      <c r="K369" s="36"/>
      <c r="L369" s="36"/>
      <c r="M369" s="36"/>
      <c r="N369" s="36"/>
      <c r="O369" s="36"/>
      <c r="P369" s="36"/>
      <c r="Q369" s="36"/>
      <c r="R369" s="36"/>
      <c r="S369" s="36"/>
      <c r="T369" s="36"/>
      <c r="U369" s="36"/>
      <c r="V369" s="36"/>
      <c r="W369" s="36"/>
      <c r="X369" s="36"/>
      <c r="Y369" s="36"/>
      <c r="Z369" s="36"/>
      <c r="AA369" s="36"/>
      <c r="AB369" s="36"/>
      <c r="AC369" s="36"/>
    </row>
    <row r="370" spans="1:29" ht="36" customHeight="1">
      <c r="A370" s="619"/>
      <c r="B370" s="94"/>
      <c r="C370" s="81"/>
      <c r="D370" s="81"/>
      <c r="E370" s="80"/>
      <c r="F370" s="80"/>
      <c r="G370" s="80"/>
      <c r="H370" s="81"/>
      <c r="I370" s="81"/>
      <c r="J370" s="35"/>
      <c r="K370" s="36"/>
      <c r="L370" s="36"/>
      <c r="M370" s="36"/>
      <c r="N370" s="36"/>
      <c r="O370" s="36"/>
      <c r="P370" s="36"/>
      <c r="Q370" s="36"/>
      <c r="R370" s="36"/>
      <c r="S370" s="36"/>
      <c r="T370" s="36"/>
      <c r="U370" s="36"/>
      <c r="V370" s="36"/>
      <c r="W370" s="36"/>
      <c r="X370" s="36"/>
      <c r="Y370" s="36"/>
      <c r="Z370" s="36"/>
      <c r="AA370" s="36"/>
      <c r="AB370" s="36"/>
      <c r="AC370" s="36"/>
    </row>
    <row r="371" spans="1:29" ht="24" customHeight="1">
      <c r="A371" s="619"/>
      <c r="B371" s="94"/>
      <c r="C371" s="81"/>
      <c r="D371" s="81"/>
      <c r="E371" s="80"/>
      <c r="F371" s="80"/>
      <c r="G371" s="80"/>
      <c r="H371" s="81"/>
      <c r="I371" s="81"/>
      <c r="J371" s="35"/>
      <c r="K371" s="36"/>
      <c r="L371" s="36"/>
      <c r="M371" s="36"/>
      <c r="N371" s="36"/>
      <c r="O371" s="36"/>
      <c r="P371" s="36"/>
      <c r="Q371" s="36"/>
      <c r="R371" s="36"/>
      <c r="S371" s="36"/>
      <c r="T371" s="36"/>
      <c r="U371" s="36"/>
      <c r="V371" s="36"/>
      <c r="W371" s="36"/>
      <c r="X371" s="36"/>
      <c r="Y371" s="36"/>
      <c r="Z371" s="36"/>
      <c r="AA371" s="36"/>
      <c r="AB371" s="36"/>
      <c r="AC371" s="36"/>
    </row>
    <row r="372" spans="1:29" ht="36" customHeight="1">
      <c r="A372" s="619"/>
      <c r="B372" s="94"/>
      <c r="C372" s="81"/>
      <c r="D372" s="81"/>
      <c r="E372" s="80"/>
      <c r="F372" s="80"/>
      <c r="G372" s="80"/>
      <c r="H372" s="81"/>
      <c r="I372" s="81"/>
      <c r="J372" s="35"/>
      <c r="K372" s="36"/>
      <c r="L372" s="36"/>
      <c r="M372" s="36"/>
      <c r="N372" s="36"/>
      <c r="O372" s="36"/>
      <c r="P372" s="36"/>
      <c r="Q372" s="36"/>
      <c r="R372" s="36"/>
      <c r="S372" s="36"/>
      <c r="T372" s="36"/>
      <c r="U372" s="36"/>
      <c r="V372" s="36"/>
      <c r="W372" s="36"/>
      <c r="X372" s="36"/>
      <c r="Y372" s="36"/>
      <c r="Z372" s="36"/>
      <c r="AA372" s="36"/>
      <c r="AB372" s="36"/>
      <c r="AC372" s="36"/>
    </row>
    <row r="373" spans="1:29" ht="36" customHeight="1">
      <c r="A373" s="619"/>
      <c r="B373" s="94"/>
      <c r="C373" s="81"/>
      <c r="D373" s="81"/>
      <c r="E373" s="80"/>
      <c r="F373" s="80"/>
      <c r="G373" s="80"/>
      <c r="H373" s="81"/>
      <c r="I373" s="81"/>
      <c r="J373" s="35"/>
      <c r="K373" s="36"/>
      <c r="L373" s="36"/>
      <c r="M373" s="36"/>
      <c r="N373" s="36"/>
      <c r="O373" s="36"/>
      <c r="P373" s="36"/>
      <c r="Q373" s="36"/>
      <c r="R373" s="36"/>
      <c r="S373" s="36"/>
      <c r="T373" s="36"/>
      <c r="U373" s="36"/>
      <c r="V373" s="36"/>
      <c r="W373" s="36"/>
      <c r="X373" s="36"/>
      <c r="Y373" s="36"/>
      <c r="Z373" s="36"/>
      <c r="AA373" s="36"/>
      <c r="AB373" s="36"/>
      <c r="AC373" s="36"/>
    </row>
    <row r="374" spans="1:29" ht="24" customHeight="1">
      <c r="A374" s="81"/>
      <c r="B374" s="94"/>
      <c r="C374" s="81"/>
      <c r="D374" s="81"/>
      <c r="E374" s="80"/>
      <c r="F374" s="80"/>
      <c r="G374" s="80"/>
      <c r="H374" s="81"/>
      <c r="I374" s="81"/>
      <c r="J374" s="35"/>
      <c r="K374" s="36"/>
      <c r="L374" s="36"/>
      <c r="M374" s="36"/>
      <c r="N374" s="36"/>
      <c r="O374" s="36"/>
      <c r="P374" s="36"/>
      <c r="Q374" s="36"/>
      <c r="R374" s="36"/>
      <c r="S374" s="36"/>
      <c r="T374" s="36"/>
      <c r="U374" s="36"/>
      <c r="V374" s="36"/>
      <c r="W374" s="36"/>
      <c r="X374" s="36"/>
      <c r="Y374" s="36"/>
      <c r="Z374" s="36"/>
      <c r="AA374" s="36"/>
      <c r="AB374" s="36"/>
      <c r="AC374" s="36"/>
    </row>
    <row r="375" spans="1:29" ht="60" customHeight="1">
      <c r="A375" s="81"/>
      <c r="B375" s="94"/>
      <c r="C375" s="81"/>
      <c r="D375" s="81"/>
      <c r="E375" s="80"/>
      <c r="F375" s="80"/>
      <c r="G375" s="80"/>
      <c r="H375" s="81"/>
      <c r="I375" s="81"/>
      <c r="J375" s="35"/>
      <c r="K375" s="36"/>
      <c r="L375" s="36"/>
      <c r="M375" s="36"/>
      <c r="N375" s="36"/>
      <c r="O375" s="36"/>
      <c r="P375" s="36"/>
      <c r="Q375" s="36"/>
      <c r="R375" s="36"/>
      <c r="S375" s="36"/>
      <c r="T375" s="36"/>
      <c r="U375" s="36"/>
      <c r="V375" s="36"/>
      <c r="W375" s="36"/>
      <c r="X375" s="36"/>
      <c r="Y375" s="36"/>
      <c r="Z375" s="36"/>
      <c r="AA375" s="36"/>
      <c r="AB375" s="36"/>
      <c r="AC375" s="36"/>
    </row>
    <row r="376" spans="1:29" ht="24" customHeight="1">
      <c r="A376" s="81"/>
      <c r="B376" s="94"/>
      <c r="C376" s="81"/>
      <c r="D376" s="81"/>
      <c r="E376" s="80"/>
      <c r="F376" s="80"/>
      <c r="G376" s="80"/>
      <c r="H376" s="81"/>
      <c r="I376" s="81"/>
      <c r="J376" s="35"/>
      <c r="K376" s="36"/>
      <c r="L376" s="36"/>
      <c r="M376" s="36"/>
      <c r="N376" s="36"/>
      <c r="O376" s="36"/>
      <c r="P376" s="36"/>
      <c r="Q376" s="36"/>
      <c r="R376" s="36"/>
      <c r="S376" s="36"/>
      <c r="T376" s="36"/>
      <c r="U376" s="36"/>
      <c r="V376" s="36"/>
      <c r="W376" s="36"/>
      <c r="X376" s="36"/>
      <c r="Y376" s="36"/>
      <c r="Z376" s="36"/>
      <c r="AA376" s="36"/>
      <c r="AB376" s="36"/>
      <c r="AC376" s="36"/>
    </row>
    <row r="377" spans="1:29" ht="36" customHeight="1">
      <c r="A377" s="81"/>
      <c r="B377" s="94"/>
      <c r="C377" s="81"/>
      <c r="D377" s="81"/>
      <c r="E377" s="80"/>
      <c r="F377" s="80"/>
      <c r="G377" s="80"/>
      <c r="H377" s="81"/>
      <c r="I377" s="81"/>
      <c r="J377" s="35"/>
      <c r="K377" s="36"/>
      <c r="L377" s="36"/>
      <c r="M377" s="36"/>
      <c r="N377" s="36"/>
      <c r="O377" s="36"/>
      <c r="P377" s="36"/>
      <c r="Q377" s="36"/>
      <c r="R377" s="36"/>
      <c r="S377" s="36"/>
      <c r="T377" s="36"/>
      <c r="U377" s="36"/>
      <c r="V377" s="36"/>
      <c r="W377" s="36"/>
      <c r="X377" s="36"/>
      <c r="Y377" s="36"/>
      <c r="Z377" s="36"/>
      <c r="AA377" s="36"/>
      <c r="AB377" s="36"/>
      <c r="AC377" s="36"/>
    </row>
    <row r="378" spans="1:29" ht="24" customHeight="1">
      <c r="A378" s="81"/>
      <c r="B378" s="94"/>
      <c r="C378" s="81"/>
      <c r="D378" s="81"/>
      <c r="E378" s="80"/>
      <c r="F378" s="80"/>
      <c r="G378" s="80"/>
      <c r="H378" s="81"/>
      <c r="I378" s="81"/>
      <c r="J378" s="35"/>
      <c r="K378" s="36"/>
      <c r="L378" s="36"/>
      <c r="M378" s="36"/>
      <c r="N378" s="36"/>
      <c r="O378" s="36"/>
      <c r="P378" s="36"/>
      <c r="Q378" s="36"/>
      <c r="R378" s="36"/>
      <c r="S378" s="36"/>
      <c r="T378" s="36"/>
      <c r="U378" s="36"/>
      <c r="V378" s="36"/>
      <c r="W378" s="36"/>
      <c r="X378" s="36"/>
      <c r="Y378" s="36"/>
      <c r="Z378" s="36"/>
      <c r="AA378" s="36"/>
      <c r="AB378" s="36"/>
      <c r="AC378" s="36"/>
    </row>
    <row r="379" spans="1:29" ht="24" customHeight="1">
      <c r="A379" s="81"/>
      <c r="B379" s="94"/>
      <c r="C379" s="81"/>
      <c r="D379" s="81"/>
      <c r="E379" s="80"/>
      <c r="F379" s="80"/>
      <c r="G379" s="80"/>
      <c r="H379" s="81"/>
      <c r="I379" s="81"/>
      <c r="J379" s="35"/>
      <c r="K379" s="36"/>
      <c r="L379" s="36"/>
      <c r="M379" s="36"/>
      <c r="N379" s="36"/>
      <c r="O379" s="36"/>
      <c r="P379" s="36"/>
      <c r="Q379" s="36"/>
      <c r="R379" s="36"/>
      <c r="S379" s="36"/>
      <c r="T379" s="36"/>
      <c r="U379" s="36"/>
      <c r="V379" s="36"/>
      <c r="W379" s="36"/>
      <c r="X379" s="36"/>
      <c r="Y379" s="36"/>
      <c r="Z379" s="36"/>
      <c r="AA379" s="36"/>
      <c r="AB379" s="36"/>
      <c r="AC379" s="36"/>
    </row>
    <row r="380" spans="1:29" ht="24" customHeight="1">
      <c r="A380" s="81"/>
      <c r="B380" s="94"/>
      <c r="C380" s="81"/>
      <c r="D380" s="81"/>
      <c r="E380" s="80"/>
      <c r="F380" s="80"/>
      <c r="G380" s="80"/>
      <c r="H380" s="81"/>
      <c r="I380" s="81"/>
      <c r="J380" s="35"/>
      <c r="K380" s="36"/>
      <c r="L380" s="36"/>
      <c r="M380" s="36"/>
      <c r="N380" s="36"/>
      <c r="O380" s="36"/>
      <c r="P380" s="36"/>
      <c r="Q380" s="36"/>
      <c r="R380" s="36"/>
      <c r="S380" s="36"/>
      <c r="T380" s="36"/>
      <c r="U380" s="36"/>
      <c r="V380" s="36"/>
      <c r="W380" s="36"/>
      <c r="X380" s="36"/>
      <c r="Y380" s="36"/>
      <c r="Z380" s="36"/>
      <c r="AA380" s="36"/>
      <c r="AB380" s="36"/>
      <c r="AC380" s="36"/>
    </row>
    <row r="381" spans="1:29" ht="36" customHeight="1">
      <c r="A381" s="81"/>
      <c r="B381" s="94"/>
      <c r="C381" s="81"/>
      <c r="D381" s="81"/>
      <c r="E381" s="80"/>
      <c r="F381" s="80"/>
      <c r="G381" s="80"/>
      <c r="H381" s="81"/>
      <c r="I381" s="81"/>
      <c r="J381" s="35"/>
      <c r="K381" s="36"/>
      <c r="L381" s="36"/>
      <c r="M381" s="36"/>
      <c r="N381" s="36"/>
      <c r="O381" s="36"/>
      <c r="P381" s="36"/>
      <c r="Q381" s="36"/>
      <c r="R381" s="36"/>
      <c r="S381" s="36"/>
      <c r="T381" s="36"/>
      <c r="U381" s="36"/>
      <c r="V381" s="36"/>
      <c r="W381" s="36"/>
      <c r="X381" s="36"/>
      <c r="Y381" s="36"/>
      <c r="Z381" s="36"/>
      <c r="AA381" s="36"/>
      <c r="AB381" s="36"/>
      <c r="AC381" s="36"/>
    </row>
    <row r="382" spans="1:29" ht="36" customHeight="1">
      <c r="A382" s="81"/>
      <c r="B382" s="94"/>
      <c r="C382" s="81"/>
      <c r="D382" s="81"/>
      <c r="E382" s="80"/>
      <c r="F382" s="80"/>
      <c r="G382" s="80"/>
      <c r="H382" s="81"/>
      <c r="I382" s="81"/>
      <c r="J382" s="35"/>
      <c r="K382" s="36"/>
      <c r="L382" s="36"/>
      <c r="M382" s="36"/>
      <c r="N382" s="36"/>
      <c r="O382" s="36"/>
      <c r="P382" s="36"/>
      <c r="Q382" s="36"/>
      <c r="R382" s="36"/>
      <c r="S382" s="36"/>
      <c r="T382" s="36"/>
      <c r="U382" s="36"/>
      <c r="V382" s="36"/>
      <c r="W382" s="36"/>
      <c r="X382" s="36"/>
      <c r="Y382" s="36"/>
      <c r="Z382" s="36"/>
      <c r="AA382" s="36"/>
      <c r="AB382" s="36"/>
      <c r="AC382" s="36"/>
    </row>
    <row r="383" spans="1:29" ht="36" customHeight="1">
      <c r="A383" s="81"/>
      <c r="B383" s="94"/>
      <c r="C383" s="81"/>
      <c r="D383" s="81"/>
      <c r="E383" s="80"/>
      <c r="F383" s="80"/>
      <c r="G383" s="80"/>
      <c r="H383" s="81"/>
      <c r="I383" s="81"/>
      <c r="J383" s="35"/>
      <c r="K383" s="36"/>
      <c r="L383" s="36"/>
      <c r="M383" s="36"/>
      <c r="N383" s="36"/>
      <c r="O383" s="36"/>
      <c r="P383" s="36"/>
      <c r="Q383" s="36"/>
      <c r="R383" s="36"/>
      <c r="S383" s="36"/>
      <c r="T383" s="36"/>
      <c r="U383" s="36"/>
      <c r="V383" s="36"/>
      <c r="W383" s="36"/>
      <c r="X383" s="36"/>
      <c r="Y383" s="36"/>
      <c r="Z383" s="36"/>
      <c r="AA383" s="36"/>
      <c r="AB383" s="36"/>
      <c r="AC383" s="36"/>
    </row>
    <row r="384" spans="1:29" ht="36" customHeight="1">
      <c r="A384" s="81"/>
      <c r="B384" s="94"/>
      <c r="C384" s="81"/>
      <c r="D384" s="81"/>
      <c r="E384" s="80"/>
      <c r="F384" s="80"/>
      <c r="G384" s="80"/>
      <c r="H384" s="81"/>
      <c r="I384" s="81"/>
      <c r="J384" s="35"/>
      <c r="K384" s="36"/>
      <c r="L384" s="36"/>
      <c r="M384" s="36"/>
      <c r="N384" s="36"/>
      <c r="O384" s="36"/>
      <c r="P384" s="36"/>
      <c r="Q384" s="36"/>
      <c r="R384" s="36"/>
      <c r="S384" s="36"/>
      <c r="T384" s="36"/>
      <c r="U384" s="36"/>
      <c r="V384" s="36"/>
      <c r="W384" s="36"/>
      <c r="X384" s="36"/>
      <c r="Y384" s="36"/>
      <c r="Z384" s="36"/>
      <c r="AA384" s="36"/>
      <c r="AB384" s="36"/>
      <c r="AC384" s="36"/>
    </row>
    <row r="385" spans="1:29" ht="24" customHeight="1">
      <c r="A385" s="81"/>
      <c r="B385" s="94"/>
      <c r="C385" s="81"/>
      <c r="D385" s="81"/>
      <c r="E385" s="80"/>
      <c r="F385" s="80"/>
      <c r="G385" s="80"/>
      <c r="H385" s="81"/>
      <c r="I385" s="81"/>
      <c r="J385" s="35"/>
      <c r="K385" s="36"/>
      <c r="L385" s="36"/>
      <c r="M385" s="36"/>
      <c r="N385" s="36"/>
      <c r="O385" s="36"/>
      <c r="P385" s="36"/>
      <c r="Q385" s="36"/>
      <c r="R385" s="36"/>
      <c r="S385" s="36"/>
      <c r="T385" s="36"/>
      <c r="U385" s="36"/>
      <c r="V385" s="36"/>
      <c r="W385" s="36"/>
      <c r="X385" s="36"/>
      <c r="Y385" s="36"/>
      <c r="Z385" s="36"/>
      <c r="AA385" s="36"/>
      <c r="AB385" s="36"/>
      <c r="AC385" s="36"/>
    </row>
    <row r="386" spans="1:29" ht="36" customHeight="1">
      <c r="A386" s="81"/>
      <c r="B386" s="94"/>
      <c r="C386" s="81"/>
      <c r="D386" s="81"/>
      <c r="E386" s="80"/>
      <c r="F386" s="80"/>
      <c r="G386" s="80"/>
      <c r="H386" s="81"/>
      <c r="I386" s="81"/>
      <c r="J386" s="35"/>
      <c r="K386" s="36"/>
      <c r="L386" s="36"/>
      <c r="M386" s="36"/>
      <c r="N386" s="36"/>
      <c r="O386" s="36"/>
      <c r="P386" s="36"/>
      <c r="Q386" s="36"/>
      <c r="R386" s="36"/>
      <c r="S386" s="36"/>
      <c r="T386" s="36"/>
      <c r="U386" s="36"/>
      <c r="V386" s="36"/>
      <c r="W386" s="36"/>
      <c r="X386" s="36"/>
      <c r="Y386" s="36"/>
      <c r="Z386" s="36"/>
      <c r="AA386" s="36"/>
      <c r="AB386" s="36"/>
      <c r="AC386" s="36"/>
    </row>
    <row r="387" spans="1:29" ht="60" customHeight="1">
      <c r="A387" s="81"/>
      <c r="B387" s="94"/>
      <c r="C387" s="81"/>
      <c r="D387" s="81"/>
      <c r="E387" s="80"/>
      <c r="F387" s="80"/>
      <c r="G387" s="80"/>
      <c r="H387" s="81"/>
      <c r="I387" s="81"/>
      <c r="J387" s="35"/>
      <c r="K387" s="36"/>
      <c r="L387" s="36"/>
      <c r="M387" s="36"/>
      <c r="N387" s="36"/>
      <c r="O387" s="36"/>
      <c r="P387" s="36"/>
      <c r="Q387" s="36"/>
      <c r="R387" s="36"/>
      <c r="S387" s="36"/>
      <c r="T387" s="36"/>
      <c r="U387" s="36"/>
      <c r="V387" s="36"/>
      <c r="W387" s="36"/>
      <c r="X387" s="36"/>
      <c r="Y387" s="36"/>
      <c r="Z387" s="36"/>
      <c r="AA387" s="36"/>
      <c r="AB387" s="36"/>
      <c r="AC387" s="36"/>
    </row>
    <row r="388" spans="1:29" ht="24" customHeight="1">
      <c r="A388" s="81"/>
      <c r="B388" s="94"/>
      <c r="C388" s="81"/>
      <c r="D388" s="81"/>
      <c r="E388" s="80"/>
      <c r="F388" s="80"/>
      <c r="G388" s="80"/>
      <c r="H388" s="81"/>
      <c r="I388" s="81"/>
      <c r="J388" s="35"/>
      <c r="K388" s="36"/>
      <c r="L388" s="36"/>
      <c r="M388" s="36"/>
      <c r="N388" s="36"/>
      <c r="O388" s="36"/>
      <c r="P388" s="36"/>
      <c r="Q388" s="36"/>
      <c r="R388" s="36"/>
      <c r="S388" s="36"/>
      <c r="T388" s="36"/>
      <c r="U388" s="36"/>
      <c r="V388" s="36"/>
      <c r="W388" s="36"/>
      <c r="X388" s="36"/>
      <c r="Y388" s="36"/>
      <c r="Z388" s="36"/>
      <c r="AA388" s="36"/>
      <c r="AB388" s="36"/>
      <c r="AC388" s="36"/>
    </row>
    <row r="389" spans="1:29" ht="120" customHeight="1">
      <c r="A389" s="81"/>
      <c r="B389" s="94"/>
      <c r="C389" s="81"/>
      <c r="D389" s="81"/>
      <c r="E389" s="80"/>
      <c r="F389" s="80"/>
      <c r="G389" s="80"/>
      <c r="H389" s="81"/>
      <c r="I389" s="81"/>
      <c r="J389" s="35"/>
      <c r="K389" s="36"/>
      <c r="L389" s="36"/>
      <c r="M389" s="36"/>
      <c r="N389" s="36"/>
      <c r="O389" s="36"/>
      <c r="P389" s="36"/>
      <c r="Q389" s="36"/>
      <c r="R389" s="36"/>
      <c r="S389" s="36"/>
      <c r="T389" s="36"/>
      <c r="U389" s="36"/>
      <c r="V389" s="36"/>
      <c r="W389" s="36"/>
      <c r="X389" s="36"/>
      <c r="Y389" s="36"/>
      <c r="Z389" s="36"/>
      <c r="AA389" s="36"/>
      <c r="AB389" s="36"/>
      <c r="AC389" s="36"/>
    </row>
    <row r="390" spans="1:29" ht="36" customHeight="1">
      <c r="A390" s="81"/>
      <c r="B390" s="94"/>
      <c r="C390" s="81"/>
      <c r="D390" s="81"/>
      <c r="E390" s="80"/>
      <c r="F390" s="80"/>
      <c r="G390" s="80"/>
      <c r="H390" s="81"/>
      <c r="I390" s="81"/>
      <c r="J390" s="35"/>
      <c r="K390" s="36"/>
      <c r="L390" s="36"/>
      <c r="M390" s="36"/>
      <c r="N390" s="36"/>
      <c r="O390" s="36"/>
      <c r="P390" s="36"/>
      <c r="Q390" s="36"/>
      <c r="R390" s="36"/>
      <c r="S390" s="36"/>
      <c r="T390" s="36"/>
      <c r="U390" s="36"/>
      <c r="V390" s="36"/>
      <c r="W390" s="36"/>
      <c r="X390" s="36"/>
      <c r="Y390" s="36"/>
      <c r="Z390" s="36"/>
      <c r="AA390" s="36"/>
      <c r="AB390" s="36"/>
      <c r="AC390" s="36"/>
    </row>
    <row r="391" spans="1:29" ht="48" customHeight="1">
      <c r="A391" s="81"/>
      <c r="B391" s="94"/>
      <c r="C391" s="81"/>
      <c r="D391" s="81"/>
      <c r="E391" s="80"/>
      <c r="F391" s="80"/>
      <c r="G391" s="80"/>
      <c r="H391" s="81"/>
      <c r="I391" s="81"/>
      <c r="J391" s="35"/>
      <c r="K391" s="36"/>
      <c r="L391" s="36"/>
      <c r="M391" s="36"/>
      <c r="N391" s="36"/>
      <c r="O391" s="36"/>
      <c r="P391" s="36"/>
      <c r="Q391" s="36"/>
      <c r="R391" s="36"/>
      <c r="S391" s="36"/>
      <c r="T391" s="36"/>
      <c r="U391" s="36"/>
      <c r="V391" s="36"/>
      <c r="W391" s="36"/>
      <c r="X391" s="36"/>
      <c r="Y391" s="36"/>
      <c r="Z391" s="36"/>
      <c r="AA391" s="36"/>
      <c r="AB391" s="36"/>
      <c r="AC391" s="36"/>
    </row>
    <row r="392" spans="1:29" ht="36" customHeight="1">
      <c r="A392" s="81"/>
      <c r="B392" s="94"/>
      <c r="C392" s="81"/>
      <c r="D392" s="81"/>
      <c r="E392" s="80"/>
      <c r="F392" s="80"/>
      <c r="G392" s="80"/>
      <c r="H392" s="81"/>
      <c r="I392" s="81"/>
      <c r="J392" s="35"/>
      <c r="K392" s="36"/>
      <c r="L392" s="36"/>
      <c r="M392" s="36"/>
      <c r="N392" s="36"/>
      <c r="O392" s="36"/>
      <c r="P392" s="36"/>
      <c r="Q392" s="36"/>
      <c r="R392" s="36"/>
      <c r="S392" s="36"/>
      <c r="T392" s="36"/>
      <c r="U392" s="36"/>
      <c r="V392" s="36"/>
      <c r="W392" s="36"/>
      <c r="X392" s="36"/>
      <c r="Y392" s="36"/>
      <c r="Z392" s="36"/>
      <c r="AA392" s="36"/>
      <c r="AB392" s="36"/>
      <c r="AC392" s="36"/>
    </row>
    <row r="393" spans="1:29" ht="24" customHeight="1">
      <c r="A393" s="81"/>
      <c r="B393" s="94"/>
      <c r="C393" s="81"/>
      <c r="D393" s="81"/>
      <c r="E393" s="80"/>
      <c r="F393" s="80"/>
      <c r="G393" s="80"/>
      <c r="H393" s="81"/>
      <c r="I393" s="81"/>
      <c r="J393" s="35"/>
      <c r="K393" s="36"/>
      <c r="L393" s="36"/>
      <c r="M393" s="36"/>
      <c r="N393" s="36"/>
      <c r="O393" s="36"/>
      <c r="P393" s="36"/>
      <c r="Q393" s="36"/>
      <c r="R393" s="36"/>
      <c r="S393" s="36"/>
      <c r="T393" s="36"/>
      <c r="U393" s="36"/>
      <c r="V393" s="36"/>
      <c r="W393" s="36"/>
      <c r="X393" s="36"/>
      <c r="Y393" s="36"/>
      <c r="Z393" s="36"/>
      <c r="AA393" s="36"/>
      <c r="AB393" s="36"/>
      <c r="AC393" s="36"/>
    </row>
    <row r="394" spans="1:29" ht="84" customHeight="1">
      <c r="A394" s="81"/>
      <c r="B394" s="94"/>
      <c r="C394" s="81"/>
      <c r="D394" s="81"/>
      <c r="E394" s="80"/>
      <c r="F394" s="80"/>
      <c r="G394" s="80"/>
      <c r="H394" s="81"/>
      <c r="I394" s="81"/>
      <c r="J394" s="35"/>
      <c r="K394" s="36"/>
      <c r="L394" s="36"/>
      <c r="M394" s="36"/>
      <c r="N394" s="36"/>
      <c r="O394" s="36"/>
      <c r="P394" s="36"/>
      <c r="Q394" s="36"/>
      <c r="R394" s="36"/>
      <c r="S394" s="36"/>
      <c r="T394" s="36"/>
      <c r="U394" s="36"/>
      <c r="V394" s="36"/>
      <c r="W394" s="36"/>
      <c r="X394" s="36"/>
      <c r="Y394" s="36"/>
      <c r="Z394" s="36"/>
      <c r="AA394" s="36"/>
      <c r="AB394" s="36"/>
      <c r="AC394" s="36"/>
    </row>
    <row r="395" spans="1:29" ht="48" customHeight="1">
      <c r="A395" s="81"/>
      <c r="B395" s="94"/>
      <c r="C395" s="81"/>
      <c r="D395" s="81"/>
      <c r="E395" s="80"/>
      <c r="F395" s="80"/>
      <c r="G395" s="80"/>
      <c r="H395" s="81"/>
      <c r="I395" s="81"/>
      <c r="J395" s="35"/>
      <c r="K395" s="36"/>
      <c r="L395" s="36"/>
      <c r="M395" s="36"/>
      <c r="N395" s="36"/>
      <c r="O395" s="36"/>
      <c r="P395" s="36"/>
      <c r="Q395" s="36"/>
      <c r="R395" s="36"/>
      <c r="S395" s="36"/>
      <c r="T395" s="36"/>
      <c r="U395" s="36"/>
      <c r="V395" s="36"/>
      <c r="W395" s="36"/>
      <c r="X395" s="36"/>
      <c r="Y395" s="36"/>
      <c r="Z395" s="36"/>
      <c r="AA395" s="36"/>
      <c r="AB395" s="36"/>
      <c r="AC395" s="36"/>
    </row>
    <row r="396" spans="1:29" ht="36" customHeight="1">
      <c r="A396" s="81"/>
      <c r="B396" s="94"/>
      <c r="C396" s="81"/>
      <c r="D396" s="81"/>
      <c r="E396" s="80"/>
      <c r="F396" s="80"/>
      <c r="G396" s="80"/>
      <c r="H396" s="81"/>
      <c r="I396" s="81"/>
      <c r="J396" s="35"/>
      <c r="K396" s="36"/>
      <c r="L396" s="36"/>
      <c r="M396" s="36"/>
      <c r="N396" s="36"/>
      <c r="O396" s="36"/>
      <c r="P396" s="36"/>
      <c r="Q396" s="36"/>
      <c r="R396" s="36"/>
      <c r="S396" s="36"/>
      <c r="T396" s="36"/>
      <c r="U396" s="36"/>
      <c r="V396" s="36"/>
      <c r="W396" s="36"/>
      <c r="X396" s="36"/>
      <c r="Y396" s="36"/>
      <c r="Z396" s="36"/>
      <c r="AA396" s="36"/>
      <c r="AB396" s="36"/>
      <c r="AC396" s="36"/>
    </row>
    <row r="397" spans="1:29" ht="36" customHeight="1">
      <c r="A397" s="81"/>
      <c r="B397" s="94"/>
      <c r="C397" s="81"/>
      <c r="D397" s="81"/>
      <c r="E397" s="80"/>
      <c r="F397" s="80"/>
      <c r="G397" s="80"/>
      <c r="H397" s="81"/>
      <c r="I397" s="81"/>
      <c r="J397" s="35"/>
      <c r="K397" s="36"/>
      <c r="L397" s="36"/>
      <c r="M397" s="36"/>
      <c r="N397" s="36"/>
      <c r="O397" s="36"/>
      <c r="P397" s="36"/>
      <c r="Q397" s="36"/>
      <c r="R397" s="36"/>
      <c r="S397" s="36"/>
      <c r="T397" s="36"/>
      <c r="U397" s="36"/>
      <c r="V397" s="36"/>
      <c r="W397" s="36"/>
      <c r="X397" s="36"/>
      <c r="Y397" s="36"/>
      <c r="Z397" s="36"/>
      <c r="AA397" s="36"/>
      <c r="AB397" s="36"/>
      <c r="AC397" s="36"/>
    </row>
    <row r="398" spans="1:29" ht="72" customHeight="1">
      <c r="A398" s="81"/>
      <c r="B398" s="94"/>
      <c r="C398" s="81"/>
      <c r="D398" s="81"/>
      <c r="E398" s="80"/>
      <c r="F398" s="80"/>
      <c r="G398" s="80"/>
      <c r="H398" s="81"/>
      <c r="I398" s="81"/>
      <c r="J398" s="35"/>
      <c r="K398" s="36"/>
      <c r="L398" s="36"/>
      <c r="M398" s="36"/>
      <c r="N398" s="36"/>
      <c r="O398" s="36"/>
      <c r="P398" s="36"/>
      <c r="Q398" s="36"/>
      <c r="R398" s="36"/>
      <c r="S398" s="36"/>
      <c r="T398" s="36"/>
      <c r="U398" s="36"/>
      <c r="V398" s="36"/>
      <c r="W398" s="36"/>
      <c r="X398" s="36"/>
      <c r="Y398" s="36"/>
      <c r="Z398" s="36"/>
      <c r="AA398" s="36"/>
      <c r="AB398" s="36"/>
      <c r="AC398" s="36"/>
    </row>
    <row r="399" spans="1:29" ht="48" customHeight="1">
      <c r="A399" s="81"/>
      <c r="B399" s="94"/>
      <c r="C399" s="81"/>
      <c r="D399" s="81"/>
      <c r="E399" s="80"/>
      <c r="F399" s="80"/>
      <c r="G399" s="80"/>
      <c r="H399" s="81"/>
      <c r="I399" s="81"/>
      <c r="J399" s="35"/>
      <c r="K399" s="36"/>
      <c r="L399" s="36"/>
      <c r="M399" s="36"/>
      <c r="N399" s="36"/>
      <c r="O399" s="36"/>
      <c r="P399" s="36"/>
      <c r="Q399" s="36"/>
      <c r="R399" s="36"/>
      <c r="S399" s="36"/>
      <c r="T399" s="36"/>
      <c r="U399" s="36"/>
      <c r="V399" s="36"/>
      <c r="W399" s="36"/>
      <c r="X399" s="36"/>
      <c r="Y399" s="36"/>
      <c r="Z399" s="36"/>
      <c r="AA399" s="36"/>
      <c r="AB399" s="36"/>
      <c r="AC399" s="36"/>
    </row>
    <row r="400" spans="1:29" ht="24" customHeight="1">
      <c r="A400" s="81"/>
      <c r="B400" s="94"/>
      <c r="C400" s="81"/>
      <c r="D400" s="81"/>
      <c r="E400" s="80"/>
      <c r="F400" s="80"/>
      <c r="G400" s="80"/>
      <c r="H400" s="81"/>
      <c r="I400" s="81"/>
      <c r="J400" s="35"/>
      <c r="K400" s="36"/>
      <c r="L400" s="36"/>
      <c r="M400" s="36"/>
      <c r="N400" s="36"/>
      <c r="O400" s="36"/>
      <c r="P400" s="36"/>
      <c r="Q400" s="36"/>
      <c r="R400" s="36"/>
      <c r="S400" s="36"/>
      <c r="T400" s="36"/>
      <c r="U400" s="36"/>
      <c r="V400" s="36"/>
      <c r="W400" s="36"/>
      <c r="X400" s="36"/>
      <c r="Y400" s="36"/>
      <c r="Z400" s="36"/>
      <c r="AA400" s="36"/>
      <c r="AB400" s="36"/>
      <c r="AC400" s="36"/>
    </row>
    <row r="401" spans="1:29" ht="24" customHeight="1">
      <c r="A401" s="81"/>
      <c r="B401" s="100"/>
      <c r="C401" s="100"/>
      <c r="D401" s="100"/>
      <c r="E401" s="99"/>
      <c r="F401" s="99"/>
      <c r="G401" s="99"/>
      <c r="H401" s="463"/>
      <c r="I401" s="100"/>
      <c r="J401" s="35"/>
      <c r="K401" s="36"/>
      <c r="L401" s="36"/>
      <c r="M401" s="36"/>
      <c r="N401" s="36"/>
      <c r="O401" s="36"/>
      <c r="P401" s="36"/>
      <c r="Q401" s="36"/>
      <c r="R401" s="36"/>
      <c r="S401" s="36"/>
      <c r="T401" s="36"/>
      <c r="U401" s="36"/>
      <c r="V401" s="36"/>
      <c r="W401" s="36"/>
      <c r="X401" s="36"/>
      <c r="Y401" s="36"/>
      <c r="Z401" s="36"/>
      <c r="AA401" s="36"/>
      <c r="AB401" s="36"/>
      <c r="AC401" s="36"/>
    </row>
    <row r="402" spans="1:29" ht="48" customHeight="1">
      <c r="A402" s="81"/>
      <c r="B402" s="100"/>
      <c r="C402" s="100"/>
      <c r="D402" s="100"/>
      <c r="E402" s="99"/>
      <c r="F402" s="99"/>
      <c r="G402" s="99"/>
      <c r="H402" s="463"/>
      <c r="I402" s="100"/>
      <c r="J402" s="35"/>
      <c r="K402" s="36"/>
      <c r="L402" s="36"/>
      <c r="M402" s="36"/>
      <c r="N402" s="36"/>
      <c r="O402" s="36"/>
      <c r="P402" s="36"/>
      <c r="Q402" s="36"/>
      <c r="R402" s="36"/>
      <c r="S402" s="36"/>
      <c r="T402" s="36"/>
      <c r="U402" s="36"/>
      <c r="V402" s="36"/>
      <c r="W402" s="36"/>
      <c r="X402" s="36"/>
      <c r="Y402" s="36"/>
      <c r="Z402" s="36"/>
      <c r="AA402" s="36"/>
      <c r="AB402" s="36"/>
      <c r="AC402" s="36"/>
    </row>
    <row r="403" spans="1:29" ht="36" customHeight="1">
      <c r="A403" s="81"/>
      <c r="B403" s="100"/>
      <c r="C403" s="100"/>
      <c r="D403" s="100"/>
      <c r="E403" s="99"/>
      <c r="F403" s="99"/>
      <c r="G403" s="99"/>
      <c r="H403" s="463"/>
      <c r="I403" s="100"/>
      <c r="J403" s="35"/>
      <c r="K403" s="36"/>
      <c r="L403" s="36"/>
      <c r="M403" s="36"/>
      <c r="N403" s="36"/>
      <c r="O403" s="36"/>
      <c r="P403" s="36"/>
      <c r="Q403" s="36"/>
      <c r="R403" s="36"/>
      <c r="S403" s="36"/>
      <c r="T403" s="36"/>
      <c r="U403" s="36"/>
      <c r="V403" s="36"/>
      <c r="W403" s="36"/>
      <c r="X403" s="36"/>
      <c r="Y403" s="36"/>
      <c r="Z403" s="36"/>
      <c r="AA403" s="36"/>
      <c r="AB403" s="36"/>
      <c r="AC403" s="36"/>
    </row>
    <row r="404" spans="1:29" ht="24" customHeight="1">
      <c r="A404" s="81"/>
      <c r="B404" s="94"/>
      <c r="C404" s="81"/>
      <c r="D404" s="81"/>
      <c r="E404" s="80"/>
      <c r="F404" s="80"/>
      <c r="G404" s="80"/>
      <c r="H404" s="81"/>
      <c r="I404" s="81"/>
      <c r="J404" s="35"/>
      <c r="K404" s="36"/>
      <c r="L404" s="36"/>
      <c r="M404" s="36"/>
      <c r="N404" s="36"/>
      <c r="O404" s="36"/>
      <c r="P404" s="36"/>
      <c r="Q404" s="36"/>
      <c r="R404" s="36"/>
      <c r="S404" s="36"/>
      <c r="T404" s="36"/>
      <c r="U404" s="36"/>
      <c r="V404" s="36"/>
      <c r="W404" s="36"/>
      <c r="X404" s="36"/>
      <c r="Y404" s="36"/>
      <c r="Z404" s="36"/>
      <c r="AA404" s="36"/>
      <c r="AB404" s="36"/>
      <c r="AC404" s="36"/>
    </row>
    <row r="405" spans="1:29" ht="36" customHeight="1">
      <c r="A405" s="81"/>
      <c r="B405" s="94"/>
      <c r="C405" s="81"/>
      <c r="D405" s="81"/>
      <c r="E405" s="80"/>
      <c r="F405" s="80"/>
      <c r="G405" s="80"/>
      <c r="H405" s="81"/>
      <c r="I405" s="81"/>
      <c r="J405" s="35"/>
      <c r="K405" s="36"/>
      <c r="L405" s="36"/>
      <c r="M405" s="36"/>
      <c r="N405" s="36"/>
      <c r="O405" s="36"/>
      <c r="P405" s="36"/>
      <c r="Q405" s="36"/>
      <c r="R405" s="36"/>
      <c r="S405" s="36"/>
      <c r="T405" s="36"/>
      <c r="U405" s="36"/>
      <c r="V405" s="36"/>
      <c r="W405" s="36"/>
      <c r="X405" s="36"/>
      <c r="Y405" s="36"/>
      <c r="Z405" s="36"/>
      <c r="AA405" s="36"/>
      <c r="AB405" s="36"/>
      <c r="AC405" s="36"/>
    </row>
    <row r="406" spans="1:29" ht="24" customHeight="1">
      <c r="A406" s="81"/>
      <c r="B406" s="94"/>
      <c r="C406" s="81"/>
      <c r="D406" s="81"/>
      <c r="E406" s="80"/>
      <c r="F406" s="80"/>
      <c r="G406" s="80"/>
      <c r="H406" s="81"/>
      <c r="I406" s="81"/>
      <c r="J406" s="35"/>
      <c r="K406" s="36"/>
      <c r="L406" s="36"/>
      <c r="M406" s="36"/>
      <c r="N406" s="36"/>
      <c r="O406" s="36"/>
      <c r="P406" s="36"/>
      <c r="Q406" s="36"/>
      <c r="R406" s="36"/>
      <c r="S406" s="36"/>
      <c r="T406" s="36"/>
      <c r="U406" s="36"/>
      <c r="V406" s="36"/>
      <c r="W406" s="36"/>
      <c r="X406" s="36"/>
      <c r="Y406" s="36"/>
      <c r="Z406" s="36"/>
      <c r="AA406" s="36"/>
      <c r="AB406" s="36"/>
      <c r="AC406" s="36"/>
    </row>
    <row r="407" spans="1:29" ht="24" customHeight="1">
      <c r="A407" s="81"/>
      <c r="B407" s="94"/>
      <c r="C407" s="81"/>
      <c r="D407" s="81"/>
      <c r="E407" s="80"/>
      <c r="F407" s="80"/>
      <c r="G407" s="80"/>
      <c r="H407" s="81"/>
      <c r="I407" s="81"/>
      <c r="J407" s="35"/>
      <c r="K407" s="36"/>
      <c r="L407" s="36"/>
      <c r="M407" s="36"/>
      <c r="N407" s="36"/>
      <c r="O407" s="36"/>
      <c r="P407" s="36"/>
      <c r="Q407" s="36"/>
      <c r="R407" s="36"/>
      <c r="S407" s="36"/>
      <c r="T407" s="36"/>
      <c r="U407" s="36"/>
      <c r="V407" s="36"/>
      <c r="W407" s="36"/>
      <c r="X407" s="36"/>
      <c r="Y407" s="36"/>
      <c r="Z407" s="36"/>
      <c r="AA407" s="36"/>
      <c r="AB407" s="36"/>
      <c r="AC407" s="36"/>
    </row>
    <row r="408" spans="1:29" ht="24" customHeight="1">
      <c r="A408" s="81"/>
      <c r="B408" s="94"/>
      <c r="C408" s="81"/>
      <c r="D408" s="81"/>
      <c r="E408" s="80"/>
      <c r="F408" s="80"/>
      <c r="G408" s="80"/>
      <c r="H408" s="81"/>
      <c r="I408" s="81"/>
      <c r="J408" s="35"/>
      <c r="K408" s="36"/>
      <c r="L408" s="36"/>
      <c r="M408" s="36"/>
      <c r="N408" s="36"/>
      <c r="O408" s="36"/>
      <c r="P408" s="36"/>
      <c r="Q408" s="36"/>
      <c r="R408" s="36"/>
      <c r="S408" s="36"/>
      <c r="T408" s="36"/>
      <c r="U408" s="36"/>
      <c r="V408" s="36"/>
      <c r="W408" s="36"/>
      <c r="X408" s="36"/>
      <c r="Y408" s="36"/>
      <c r="Z408" s="36"/>
      <c r="AA408" s="36"/>
      <c r="AB408" s="36"/>
      <c r="AC408" s="36"/>
    </row>
    <row r="409" spans="1:29" ht="36" customHeight="1">
      <c r="A409" s="81"/>
      <c r="B409" s="94"/>
      <c r="C409" s="81"/>
      <c r="D409" s="81"/>
      <c r="E409" s="80"/>
      <c r="F409" s="80"/>
      <c r="G409" s="80"/>
      <c r="H409" s="81"/>
      <c r="I409" s="81"/>
      <c r="J409" s="35"/>
      <c r="K409" s="36"/>
      <c r="L409" s="36"/>
      <c r="M409" s="36"/>
      <c r="N409" s="36"/>
      <c r="O409" s="36"/>
      <c r="P409" s="36"/>
      <c r="Q409" s="36"/>
      <c r="R409" s="36"/>
      <c r="S409" s="36"/>
      <c r="T409" s="36"/>
      <c r="U409" s="36"/>
      <c r="V409" s="36"/>
      <c r="W409" s="36"/>
      <c r="X409" s="36"/>
      <c r="Y409" s="36"/>
      <c r="Z409" s="36"/>
      <c r="AA409" s="36"/>
      <c r="AB409" s="36"/>
      <c r="AC409" s="36"/>
    </row>
    <row r="410" spans="1:29" ht="12" customHeight="1">
      <c r="A410" s="81"/>
      <c r="B410" s="94"/>
      <c r="C410" s="81"/>
      <c r="D410" s="81"/>
      <c r="E410" s="80"/>
      <c r="F410" s="80"/>
      <c r="G410" s="80"/>
      <c r="H410" s="81"/>
      <c r="I410" s="81"/>
      <c r="J410" s="35"/>
      <c r="K410" s="36"/>
      <c r="L410" s="36"/>
      <c r="M410" s="36"/>
      <c r="N410" s="36"/>
      <c r="O410" s="36"/>
      <c r="P410" s="36"/>
      <c r="Q410" s="36"/>
      <c r="R410" s="36"/>
      <c r="S410" s="36"/>
      <c r="T410" s="36"/>
      <c r="U410" s="36"/>
      <c r="V410" s="36"/>
      <c r="W410" s="36"/>
      <c r="X410" s="36"/>
      <c r="Y410" s="36"/>
      <c r="Z410" s="36"/>
      <c r="AA410" s="36"/>
      <c r="AB410" s="36"/>
      <c r="AC410" s="36"/>
    </row>
    <row r="411" spans="1:29" ht="24" customHeight="1">
      <c r="A411" s="81"/>
      <c r="B411" s="94"/>
      <c r="C411" s="81"/>
      <c r="D411" s="81"/>
      <c r="E411" s="80"/>
      <c r="F411" s="80"/>
      <c r="G411" s="80"/>
      <c r="H411" s="81"/>
      <c r="I411" s="81"/>
      <c r="J411" s="35"/>
      <c r="K411" s="36"/>
      <c r="L411" s="36"/>
      <c r="M411" s="36"/>
      <c r="N411" s="36"/>
      <c r="O411" s="36"/>
      <c r="P411" s="36"/>
      <c r="Q411" s="36"/>
      <c r="R411" s="36"/>
      <c r="S411" s="36"/>
      <c r="T411" s="36"/>
      <c r="U411" s="36"/>
      <c r="V411" s="36"/>
      <c r="W411" s="36"/>
      <c r="X411" s="36"/>
      <c r="Y411" s="36"/>
      <c r="Z411" s="36"/>
      <c r="AA411" s="36"/>
      <c r="AB411" s="36"/>
      <c r="AC411" s="36"/>
    </row>
    <row r="412" spans="1:29" ht="24" customHeight="1">
      <c r="A412" s="81"/>
      <c r="B412" s="94"/>
      <c r="C412" s="81"/>
      <c r="D412" s="81"/>
      <c r="E412" s="80"/>
      <c r="F412" s="80"/>
      <c r="G412" s="80"/>
      <c r="H412" s="81"/>
      <c r="I412" s="81"/>
      <c r="J412" s="35"/>
      <c r="K412" s="36"/>
      <c r="L412" s="36"/>
      <c r="M412" s="36"/>
      <c r="N412" s="36"/>
      <c r="O412" s="36"/>
      <c r="P412" s="36"/>
      <c r="Q412" s="36"/>
      <c r="R412" s="36"/>
      <c r="S412" s="36"/>
      <c r="T412" s="36"/>
      <c r="U412" s="36"/>
      <c r="V412" s="36"/>
      <c r="W412" s="36"/>
      <c r="X412" s="36"/>
      <c r="Y412" s="36"/>
      <c r="Z412" s="36"/>
      <c r="AA412" s="36"/>
      <c r="AB412" s="36"/>
      <c r="AC412" s="36"/>
    </row>
    <row r="413" spans="1:29" ht="12" customHeight="1">
      <c r="A413" s="81"/>
      <c r="B413" s="94"/>
      <c r="C413" s="81"/>
      <c r="D413" s="81"/>
      <c r="E413" s="80"/>
      <c r="F413" s="80"/>
      <c r="G413" s="80"/>
      <c r="H413" s="81"/>
      <c r="I413" s="81"/>
      <c r="J413" s="35"/>
      <c r="K413" s="36"/>
      <c r="L413" s="36"/>
      <c r="M413" s="36"/>
      <c r="N413" s="36"/>
      <c r="O413" s="36"/>
      <c r="P413" s="36"/>
      <c r="Q413" s="36"/>
      <c r="R413" s="36"/>
      <c r="S413" s="36"/>
      <c r="T413" s="36"/>
      <c r="U413" s="36"/>
      <c r="V413" s="36"/>
      <c r="W413" s="36"/>
      <c r="X413" s="36"/>
      <c r="Y413" s="36"/>
      <c r="Z413" s="36"/>
      <c r="AA413" s="36"/>
      <c r="AB413" s="36"/>
      <c r="AC413" s="36"/>
    </row>
    <row r="414" spans="1:29" ht="36" customHeight="1">
      <c r="A414" s="81"/>
      <c r="B414" s="94"/>
      <c r="C414" s="81"/>
      <c r="D414" s="81"/>
      <c r="E414" s="80"/>
      <c r="F414" s="80"/>
      <c r="G414" s="80"/>
      <c r="H414" s="81"/>
      <c r="I414" s="81"/>
      <c r="J414" s="35"/>
      <c r="K414" s="36"/>
      <c r="L414" s="36"/>
      <c r="M414" s="36"/>
      <c r="N414" s="36"/>
      <c r="O414" s="36"/>
      <c r="P414" s="36"/>
      <c r="Q414" s="36"/>
      <c r="R414" s="36"/>
      <c r="S414" s="36"/>
      <c r="T414" s="36"/>
      <c r="U414" s="36"/>
      <c r="V414" s="36"/>
      <c r="W414" s="36"/>
      <c r="X414" s="36"/>
      <c r="Y414" s="36"/>
      <c r="Z414" s="36"/>
      <c r="AA414" s="36"/>
      <c r="AB414" s="36"/>
      <c r="AC414" s="36"/>
    </row>
    <row r="415" spans="1:29" ht="24" customHeight="1">
      <c r="A415" s="81"/>
      <c r="B415" s="94"/>
      <c r="C415" s="81"/>
      <c r="D415" s="81"/>
      <c r="E415" s="80"/>
      <c r="F415" s="80"/>
      <c r="G415" s="80"/>
      <c r="H415" s="81"/>
      <c r="I415" s="81"/>
      <c r="J415" s="35"/>
      <c r="K415" s="36"/>
      <c r="L415" s="36"/>
      <c r="M415" s="36"/>
      <c r="N415" s="36"/>
      <c r="O415" s="36"/>
      <c r="P415" s="36"/>
      <c r="Q415" s="36"/>
      <c r="R415" s="36"/>
      <c r="S415" s="36"/>
      <c r="T415" s="36"/>
      <c r="U415" s="36"/>
      <c r="V415" s="36"/>
      <c r="W415" s="36"/>
      <c r="X415" s="36"/>
      <c r="Y415" s="36"/>
      <c r="Z415" s="36"/>
      <c r="AA415" s="36"/>
      <c r="AB415" s="36"/>
      <c r="AC415" s="36"/>
    </row>
    <row r="416" spans="1:29" ht="12" customHeight="1">
      <c r="A416" s="81"/>
      <c r="B416" s="94"/>
      <c r="C416" s="81"/>
      <c r="D416" s="81"/>
      <c r="E416" s="80"/>
      <c r="F416" s="80"/>
      <c r="G416" s="80"/>
      <c r="H416" s="81"/>
      <c r="I416" s="81"/>
      <c r="J416" s="35"/>
      <c r="K416" s="36"/>
      <c r="L416" s="36"/>
      <c r="M416" s="36"/>
      <c r="N416" s="36"/>
      <c r="O416" s="36"/>
      <c r="P416" s="36"/>
      <c r="Q416" s="36"/>
      <c r="R416" s="36"/>
      <c r="S416" s="36"/>
      <c r="T416" s="36"/>
      <c r="U416" s="36"/>
      <c r="V416" s="36"/>
      <c r="W416" s="36"/>
      <c r="X416" s="36"/>
      <c r="Y416" s="36"/>
      <c r="Z416" s="36"/>
      <c r="AA416" s="36"/>
      <c r="AB416" s="36"/>
      <c r="AC416" s="36"/>
    </row>
    <row r="417" spans="1:29" ht="48" customHeight="1">
      <c r="A417" s="81"/>
      <c r="B417" s="94"/>
      <c r="C417" s="94"/>
      <c r="D417" s="94"/>
      <c r="E417" s="80"/>
      <c r="F417" s="80"/>
      <c r="G417" s="80"/>
      <c r="H417" s="81"/>
      <c r="I417" s="81"/>
      <c r="J417" s="35"/>
      <c r="K417" s="36"/>
      <c r="L417" s="36"/>
      <c r="M417" s="36"/>
      <c r="N417" s="36"/>
      <c r="O417" s="36"/>
      <c r="P417" s="36"/>
      <c r="Q417" s="36"/>
      <c r="R417" s="36"/>
      <c r="S417" s="36"/>
      <c r="T417" s="36"/>
      <c r="U417" s="36"/>
      <c r="V417" s="36"/>
      <c r="W417" s="36"/>
      <c r="X417" s="36"/>
      <c r="Y417" s="36"/>
      <c r="Z417" s="36"/>
      <c r="AA417" s="36"/>
      <c r="AB417" s="36"/>
      <c r="AC417" s="36"/>
    </row>
    <row r="418" spans="1:29" ht="101.25" customHeight="1">
      <c r="A418" s="81"/>
      <c r="B418" s="94"/>
      <c r="C418" s="81"/>
      <c r="D418" s="81"/>
      <c r="E418" s="80"/>
      <c r="F418" s="80"/>
      <c r="G418" s="80"/>
      <c r="H418" s="94"/>
      <c r="I418" s="81"/>
      <c r="J418" s="35"/>
      <c r="K418" s="36"/>
      <c r="L418" s="36"/>
      <c r="M418" s="36"/>
      <c r="N418" s="36"/>
      <c r="O418" s="36"/>
      <c r="P418" s="36"/>
      <c r="Q418" s="36"/>
      <c r="R418" s="36"/>
      <c r="S418" s="36"/>
      <c r="T418" s="36"/>
      <c r="U418" s="36"/>
      <c r="V418" s="36"/>
      <c r="W418" s="36"/>
      <c r="X418" s="36"/>
      <c r="Y418" s="36"/>
      <c r="Z418" s="36"/>
      <c r="AA418" s="36"/>
      <c r="AB418" s="36"/>
      <c r="AC418" s="36"/>
    </row>
    <row r="419" spans="1:29" ht="108" customHeight="1">
      <c r="A419" s="624"/>
      <c r="B419" s="94"/>
      <c r="C419" s="81"/>
      <c r="D419" s="81"/>
      <c r="E419" s="80"/>
      <c r="F419" s="80"/>
      <c r="G419" s="80"/>
      <c r="H419" s="81"/>
      <c r="I419" s="81"/>
      <c r="J419" s="35"/>
      <c r="K419" s="36"/>
      <c r="L419" s="36"/>
      <c r="M419" s="36"/>
      <c r="N419" s="36"/>
      <c r="O419" s="36"/>
      <c r="P419" s="36"/>
      <c r="Q419" s="36"/>
      <c r="R419" s="36"/>
      <c r="S419" s="36"/>
      <c r="T419" s="36"/>
      <c r="U419" s="36"/>
      <c r="V419" s="36"/>
      <c r="W419" s="36"/>
      <c r="X419" s="36"/>
      <c r="Y419" s="36"/>
      <c r="Z419" s="36"/>
      <c r="AA419" s="36"/>
      <c r="AB419" s="36"/>
      <c r="AC419" s="36"/>
    </row>
    <row r="420" spans="1:29" ht="48" customHeight="1">
      <c r="A420" s="624"/>
      <c r="B420" s="94"/>
      <c r="C420" s="81"/>
      <c r="D420" s="81"/>
      <c r="E420" s="80"/>
      <c r="F420" s="80"/>
      <c r="G420" s="80"/>
      <c r="H420" s="81"/>
      <c r="I420" s="81"/>
      <c r="J420" s="35"/>
      <c r="K420" s="36"/>
      <c r="L420" s="36"/>
      <c r="M420" s="36"/>
      <c r="N420" s="36"/>
      <c r="O420" s="36"/>
      <c r="P420" s="36"/>
      <c r="Q420" s="36"/>
      <c r="R420" s="36"/>
      <c r="S420" s="36"/>
      <c r="T420" s="36"/>
      <c r="U420" s="36"/>
      <c r="V420" s="36"/>
      <c r="W420" s="36"/>
      <c r="X420" s="36"/>
      <c r="Y420" s="36"/>
      <c r="Z420" s="36"/>
      <c r="AA420" s="36"/>
      <c r="AB420" s="36"/>
      <c r="AC420" s="36"/>
    </row>
    <row r="421" spans="1:29" ht="36" customHeight="1">
      <c r="A421" s="624"/>
      <c r="B421" s="94"/>
      <c r="C421" s="81"/>
      <c r="D421" s="81"/>
      <c r="E421" s="80"/>
      <c r="F421" s="80"/>
      <c r="G421" s="80"/>
      <c r="H421" s="81"/>
      <c r="I421" s="81"/>
      <c r="J421" s="35"/>
      <c r="K421" s="36"/>
      <c r="L421" s="36"/>
      <c r="M421" s="36"/>
      <c r="N421" s="36"/>
      <c r="O421" s="36"/>
      <c r="P421" s="36"/>
      <c r="Q421" s="36"/>
      <c r="R421" s="36"/>
      <c r="S421" s="36"/>
      <c r="T421" s="36"/>
      <c r="U421" s="36"/>
      <c r="V421" s="36"/>
      <c r="W421" s="36"/>
      <c r="X421" s="36"/>
      <c r="Y421" s="36"/>
      <c r="Z421" s="36"/>
      <c r="AA421" s="36"/>
      <c r="AB421" s="36"/>
      <c r="AC421" s="36"/>
    </row>
    <row r="422" spans="1:29" ht="240" customHeight="1">
      <c r="A422" s="624"/>
      <c r="B422" s="94"/>
      <c r="C422" s="81"/>
      <c r="D422" s="81"/>
      <c r="E422" s="80"/>
      <c r="F422" s="80"/>
      <c r="G422" s="80"/>
      <c r="H422" s="81"/>
      <c r="I422" s="81"/>
      <c r="J422" s="35"/>
      <c r="K422" s="36"/>
      <c r="L422" s="36"/>
      <c r="M422" s="36"/>
      <c r="N422" s="36"/>
      <c r="O422" s="36"/>
      <c r="P422" s="36"/>
      <c r="Q422" s="36"/>
      <c r="R422" s="36"/>
      <c r="S422" s="36"/>
      <c r="T422" s="36"/>
      <c r="U422" s="36"/>
      <c r="V422" s="36"/>
      <c r="W422" s="36"/>
      <c r="X422" s="36"/>
      <c r="Y422" s="36"/>
      <c r="Z422" s="36"/>
      <c r="AA422" s="36"/>
      <c r="AB422" s="36"/>
      <c r="AC422" s="36"/>
    </row>
    <row r="423" spans="1:29" ht="36" customHeight="1">
      <c r="A423" s="624"/>
      <c r="B423" s="94"/>
      <c r="C423" s="81"/>
      <c r="D423" s="81"/>
      <c r="E423" s="80"/>
      <c r="F423" s="80"/>
      <c r="G423" s="80"/>
      <c r="H423" s="81"/>
      <c r="I423" s="81"/>
      <c r="J423" s="35"/>
      <c r="K423" s="36"/>
      <c r="L423" s="36"/>
      <c r="M423" s="36"/>
      <c r="N423" s="36"/>
      <c r="O423" s="36"/>
      <c r="P423" s="36"/>
      <c r="Q423" s="36"/>
      <c r="R423" s="36"/>
      <c r="S423" s="36"/>
      <c r="T423" s="36"/>
      <c r="U423" s="36"/>
      <c r="V423" s="36"/>
      <c r="W423" s="36"/>
      <c r="X423" s="36"/>
      <c r="Y423" s="36"/>
      <c r="Z423" s="36"/>
      <c r="AA423" s="36"/>
      <c r="AB423" s="36"/>
      <c r="AC423" s="36"/>
    </row>
    <row r="424" spans="1:29" ht="108" customHeight="1">
      <c r="A424" s="624"/>
      <c r="B424" s="94"/>
      <c r="C424" s="81"/>
      <c r="D424" s="81"/>
      <c r="E424" s="80"/>
      <c r="F424" s="80"/>
      <c r="G424" s="80"/>
      <c r="H424" s="81"/>
      <c r="I424" s="81"/>
      <c r="J424" s="35"/>
      <c r="K424" s="36"/>
      <c r="L424" s="36"/>
      <c r="M424" s="36"/>
      <c r="N424" s="36"/>
      <c r="O424" s="36"/>
      <c r="P424" s="36"/>
      <c r="Q424" s="36"/>
      <c r="R424" s="36"/>
      <c r="S424" s="36"/>
      <c r="T424" s="36"/>
      <c r="U424" s="36"/>
      <c r="V424" s="36"/>
      <c r="W424" s="36"/>
      <c r="X424" s="36"/>
      <c r="Y424" s="36"/>
      <c r="Z424" s="36"/>
      <c r="AA424" s="36"/>
      <c r="AB424" s="36"/>
      <c r="AC424" s="36"/>
    </row>
    <row r="425" spans="1:29" ht="178.5" customHeight="1">
      <c r="A425" s="624"/>
      <c r="B425" s="94"/>
      <c r="C425" s="81"/>
      <c r="D425" s="81"/>
      <c r="E425" s="80"/>
      <c r="F425" s="80"/>
      <c r="G425" s="80"/>
      <c r="H425" s="81"/>
      <c r="I425" s="81"/>
      <c r="J425" s="35"/>
      <c r="K425" s="36"/>
      <c r="L425" s="36"/>
      <c r="M425" s="36"/>
      <c r="N425" s="36"/>
      <c r="O425" s="36"/>
      <c r="P425" s="36"/>
      <c r="Q425" s="36"/>
      <c r="R425" s="36"/>
      <c r="S425" s="36"/>
      <c r="T425" s="36"/>
      <c r="U425" s="36"/>
      <c r="V425" s="36"/>
      <c r="W425" s="36"/>
      <c r="X425" s="36"/>
      <c r="Y425" s="36"/>
      <c r="Z425" s="36"/>
      <c r="AA425" s="36"/>
      <c r="AB425" s="36"/>
      <c r="AC425" s="36"/>
    </row>
    <row r="426" spans="1:29" ht="78.75" customHeight="1">
      <c r="A426" s="624"/>
      <c r="B426" s="94"/>
      <c r="C426" s="81"/>
      <c r="D426" s="81"/>
      <c r="E426" s="80"/>
      <c r="F426" s="80"/>
      <c r="G426" s="80"/>
      <c r="H426" s="81"/>
      <c r="I426" s="81"/>
      <c r="J426" s="35"/>
      <c r="K426" s="36"/>
      <c r="L426" s="36"/>
      <c r="M426" s="36"/>
      <c r="N426" s="36"/>
      <c r="O426" s="36"/>
      <c r="P426" s="36"/>
      <c r="Q426" s="36"/>
      <c r="R426" s="36"/>
      <c r="S426" s="36"/>
      <c r="T426" s="36"/>
      <c r="U426" s="36"/>
      <c r="V426" s="36"/>
      <c r="W426" s="36"/>
      <c r="X426" s="36"/>
      <c r="Y426" s="36"/>
      <c r="Z426" s="36"/>
      <c r="AA426" s="36"/>
      <c r="AB426" s="36"/>
      <c r="AC426" s="36"/>
    </row>
    <row r="427" spans="1:29" ht="65.25" customHeight="1">
      <c r="A427" s="624"/>
      <c r="B427" s="94"/>
      <c r="C427" s="81"/>
      <c r="D427" s="81"/>
      <c r="E427" s="80"/>
      <c r="F427" s="80"/>
      <c r="G427" s="80"/>
      <c r="H427" s="81"/>
      <c r="I427" s="81"/>
      <c r="J427" s="35"/>
      <c r="K427" s="36"/>
      <c r="L427" s="36"/>
      <c r="M427" s="36"/>
      <c r="N427" s="36"/>
      <c r="O427" s="36"/>
      <c r="P427" s="36"/>
      <c r="Q427" s="36"/>
      <c r="R427" s="36"/>
      <c r="S427" s="36"/>
      <c r="T427" s="36"/>
      <c r="U427" s="36"/>
      <c r="V427" s="36"/>
      <c r="W427" s="36"/>
      <c r="X427" s="36"/>
      <c r="Y427" s="36"/>
      <c r="Z427" s="36"/>
      <c r="AA427" s="36"/>
      <c r="AB427" s="36"/>
      <c r="AC427" s="36"/>
    </row>
    <row r="428" spans="1:29" ht="180" customHeight="1">
      <c r="A428" s="81"/>
      <c r="B428" s="94"/>
      <c r="C428" s="81"/>
      <c r="D428" s="81"/>
      <c r="E428" s="80"/>
      <c r="F428" s="80"/>
      <c r="G428" s="80"/>
      <c r="H428" s="81"/>
      <c r="I428" s="81"/>
      <c r="J428" s="35"/>
      <c r="K428" s="36"/>
      <c r="L428" s="36"/>
      <c r="M428" s="36"/>
      <c r="N428" s="36"/>
      <c r="O428" s="36"/>
      <c r="P428" s="36"/>
      <c r="Q428" s="36"/>
      <c r="R428" s="36"/>
      <c r="S428" s="36"/>
      <c r="T428" s="36"/>
      <c r="U428" s="36"/>
      <c r="V428" s="36"/>
      <c r="W428" s="36"/>
      <c r="X428" s="36"/>
      <c r="Y428" s="36"/>
      <c r="Z428" s="36"/>
      <c r="AA428" s="36"/>
      <c r="AB428" s="36"/>
      <c r="AC428" s="36"/>
    </row>
    <row r="429" spans="1:29" ht="24" customHeight="1">
      <c r="A429" s="81"/>
      <c r="B429" s="94"/>
      <c r="C429" s="81"/>
      <c r="D429" s="81"/>
      <c r="E429" s="80"/>
      <c r="F429" s="80"/>
      <c r="G429" s="80"/>
      <c r="H429" s="81"/>
      <c r="I429" s="81"/>
      <c r="J429" s="35"/>
      <c r="K429" s="36"/>
      <c r="L429" s="36"/>
      <c r="M429" s="36"/>
      <c r="N429" s="36"/>
      <c r="O429" s="36"/>
      <c r="P429" s="36"/>
      <c r="Q429" s="36"/>
      <c r="R429" s="36"/>
      <c r="S429" s="36"/>
      <c r="T429" s="36"/>
      <c r="U429" s="36"/>
      <c r="V429" s="36"/>
      <c r="W429" s="36"/>
      <c r="X429" s="36"/>
      <c r="Y429" s="36"/>
      <c r="Z429" s="36"/>
      <c r="AA429" s="36"/>
      <c r="AB429" s="36"/>
      <c r="AC429" s="36"/>
    </row>
    <row r="430" spans="1:29" ht="24" customHeight="1">
      <c r="A430" s="81"/>
      <c r="B430" s="94"/>
      <c r="C430" s="81"/>
      <c r="D430" s="81"/>
      <c r="E430" s="80"/>
      <c r="F430" s="80"/>
      <c r="G430" s="80"/>
      <c r="H430" s="81"/>
      <c r="I430" s="81"/>
      <c r="J430" s="35"/>
      <c r="K430" s="36"/>
      <c r="L430" s="36"/>
      <c r="M430" s="36"/>
      <c r="N430" s="36"/>
      <c r="O430" s="36"/>
      <c r="P430" s="36"/>
      <c r="Q430" s="36"/>
      <c r="R430" s="36"/>
      <c r="S430" s="36"/>
      <c r="T430" s="36"/>
      <c r="U430" s="36"/>
      <c r="V430" s="36"/>
      <c r="W430" s="36"/>
      <c r="X430" s="36"/>
      <c r="Y430" s="36"/>
      <c r="Z430" s="36"/>
      <c r="AA430" s="36"/>
      <c r="AB430" s="36"/>
      <c r="AC430" s="36"/>
    </row>
    <row r="431" spans="1:29" ht="24" customHeight="1">
      <c r="A431" s="81"/>
      <c r="B431" s="94"/>
      <c r="C431" s="81"/>
      <c r="D431" s="81"/>
      <c r="E431" s="80"/>
      <c r="F431" s="80"/>
      <c r="G431" s="80"/>
      <c r="H431" s="81"/>
      <c r="I431" s="81"/>
      <c r="J431" s="35"/>
      <c r="K431" s="36"/>
      <c r="L431" s="36"/>
      <c r="M431" s="36"/>
      <c r="N431" s="36"/>
      <c r="O431" s="36"/>
      <c r="P431" s="36"/>
      <c r="Q431" s="36"/>
      <c r="R431" s="36"/>
      <c r="S431" s="36"/>
      <c r="T431" s="36"/>
      <c r="U431" s="36"/>
      <c r="V431" s="36"/>
      <c r="W431" s="36"/>
      <c r="X431" s="36"/>
      <c r="Y431" s="36"/>
      <c r="Z431" s="36"/>
      <c r="AA431" s="36"/>
      <c r="AB431" s="36"/>
      <c r="AC431" s="36"/>
    </row>
    <row r="432" spans="1:29" ht="36" customHeight="1">
      <c r="A432" s="81"/>
      <c r="B432" s="94"/>
      <c r="C432" s="81"/>
      <c r="D432" s="81"/>
      <c r="E432" s="80"/>
      <c r="F432" s="80"/>
      <c r="G432" s="80"/>
      <c r="H432" s="81"/>
      <c r="I432" s="81"/>
      <c r="J432" s="35"/>
      <c r="K432" s="36"/>
      <c r="L432" s="36"/>
      <c r="M432" s="36"/>
      <c r="N432" s="36"/>
      <c r="O432" s="36"/>
      <c r="P432" s="36"/>
      <c r="Q432" s="36"/>
      <c r="R432" s="36"/>
      <c r="S432" s="36"/>
      <c r="T432" s="36"/>
      <c r="U432" s="36"/>
      <c r="V432" s="36"/>
      <c r="W432" s="36"/>
      <c r="X432" s="36"/>
      <c r="Y432" s="36"/>
      <c r="Z432" s="36"/>
      <c r="AA432" s="36"/>
      <c r="AB432" s="36"/>
      <c r="AC432" s="36"/>
    </row>
    <row r="433" spans="1:29" ht="24" customHeight="1">
      <c r="A433" s="81"/>
      <c r="B433" s="94"/>
      <c r="C433" s="81"/>
      <c r="D433" s="81"/>
      <c r="E433" s="80"/>
      <c r="F433" s="80"/>
      <c r="G433" s="80"/>
      <c r="H433" s="81"/>
      <c r="I433" s="81"/>
      <c r="J433" s="35"/>
      <c r="K433" s="36"/>
      <c r="L433" s="36"/>
      <c r="M433" s="36"/>
      <c r="N433" s="36"/>
      <c r="O433" s="36"/>
      <c r="P433" s="36"/>
      <c r="Q433" s="36"/>
      <c r="R433" s="36"/>
      <c r="S433" s="36"/>
      <c r="T433" s="36"/>
      <c r="U433" s="36"/>
      <c r="V433" s="36"/>
      <c r="W433" s="36"/>
      <c r="X433" s="36"/>
      <c r="Y433" s="36"/>
      <c r="Z433" s="36"/>
      <c r="AA433" s="36"/>
      <c r="AB433" s="36"/>
      <c r="AC433" s="36"/>
    </row>
    <row r="434" spans="1:29" ht="36" customHeight="1">
      <c r="A434" s="81"/>
      <c r="B434" s="94"/>
      <c r="C434" s="81"/>
      <c r="D434" s="81"/>
      <c r="E434" s="80"/>
      <c r="F434" s="80"/>
      <c r="G434" s="80"/>
      <c r="H434" s="81"/>
      <c r="I434" s="81"/>
      <c r="J434" s="35"/>
      <c r="K434" s="36"/>
      <c r="L434" s="36"/>
      <c r="M434" s="36"/>
      <c r="N434" s="36"/>
      <c r="O434" s="36"/>
      <c r="P434" s="36"/>
      <c r="Q434" s="36"/>
      <c r="R434" s="36"/>
      <c r="S434" s="36"/>
      <c r="T434" s="36"/>
      <c r="U434" s="36"/>
      <c r="V434" s="36"/>
      <c r="W434" s="36"/>
      <c r="X434" s="36"/>
      <c r="Y434" s="36"/>
      <c r="Z434" s="36"/>
      <c r="AA434" s="36"/>
      <c r="AB434" s="36"/>
      <c r="AC434" s="36"/>
    </row>
    <row r="435" spans="1:29" ht="48" customHeight="1">
      <c r="A435" s="81"/>
      <c r="B435" s="94"/>
      <c r="C435" s="81"/>
      <c r="D435" s="81"/>
      <c r="E435" s="80"/>
      <c r="F435" s="80"/>
      <c r="G435" s="80"/>
      <c r="H435" s="81"/>
      <c r="I435" s="81"/>
      <c r="J435" s="35"/>
      <c r="K435" s="36"/>
      <c r="L435" s="36"/>
      <c r="M435" s="36"/>
      <c r="N435" s="36"/>
      <c r="O435" s="36"/>
      <c r="P435" s="36"/>
      <c r="Q435" s="36"/>
      <c r="R435" s="36"/>
      <c r="S435" s="36"/>
      <c r="T435" s="36"/>
      <c r="U435" s="36"/>
      <c r="V435" s="36"/>
      <c r="W435" s="36"/>
      <c r="X435" s="36"/>
      <c r="Y435" s="36"/>
      <c r="Z435" s="36"/>
      <c r="AA435" s="36"/>
      <c r="AB435" s="36"/>
      <c r="AC435" s="36"/>
    </row>
    <row r="436" spans="1:29" ht="36" customHeight="1">
      <c r="A436" s="81"/>
      <c r="B436" s="94"/>
      <c r="C436" s="81"/>
      <c r="D436" s="81"/>
      <c r="E436" s="80"/>
      <c r="F436" s="80"/>
      <c r="G436" s="80"/>
      <c r="H436" s="81"/>
      <c r="I436" s="81"/>
      <c r="J436" s="35"/>
      <c r="K436" s="36"/>
      <c r="L436" s="36"/>
      <c r="M436" s="36"/>
      <c r="N436" s="36"/>
      <c r="O436" s="36"/>
      <c r="P436" s="36"/>
      <c r="Q436" s="36"/>
      <c r="R436" s="36"/>
      <c r="S436" s="36"/>
      <c r="T436" s="36"/>
      <c r="U436" s="36"/>
      <c r="V436" s="36"/>
      <c r="W436" s="36"/>
      <c r="X436" s="36"/>
      <c r="Y436" s="36"/>
      <c r="Z436" s="36"/>
      <c r="AA436" s="36"/>
      <c r="AB436" s="36"/>
      <c r="AC436" s="36"/>
    </row>
    <row r="437" spans="1:29" ht="24" customHeight="1">
      <c r="A437" s="81"/>
      <c r="B437" s="94"/>
      <c r="C437" s="81"/>
      <c r="D437" s="81"/>
      <c r="E437" s="80"/>
      <c r="F437" s="80"/>
      <c r="G437" s="80"/>
      <c r="H437" s="81"/>
      <c r="I437" s="81"/>
      <c r="J437" s="35"/>
      <c r="K437" s="36"/>
      <c r="L437" s="36"/>
      <c r="M437" s="36"/>
      <c r="N437" s="36"/>
      <c r="O437" s="36"/>
      <c r="P437" s="36"/>
      <c r="Q437" s="36"/>
      <c r="R437" s="36"/>
      <c r="S437" s="36"/>
      <c r="T437" s="36"/>
      <c r="U437" s="36"/>
      <c r="V437" s="36"/>
      <c r="W437" s="36"/>
      <c r="X437" s="36"/>
      <c r="Y437" s="36"/>
      <c r="Z437" s="36"/>
      <c r="AA437" s="36"/>
      <c r="AB437" s="36"/>
      <c r="AC437" s="36"/>
    </row>
    <row r="438" spans="1:29" ht="24" customHeight="1">
      <c r="A438" s="81"/>
      <c r="B438" s="94"/>
      <c r="C438" s="81"/>
      <c r="D438" s="81"/>
      <c r="E438" s="80"/>
      <c r="F438" s="80"/>
      <c r="G438" s="80"/>
      <c r="H438" s="81"/>
      <c r="I438" s="81"/>
      <c r="J438" s="35"/>
      <c r="K438" s="36"/>
      <c r="L438" s="36"/>
      <c r="M438" s="36"/>
      <c r="N438" s="36"/>
      <c r="O438" s="36"/>
      <c r="P438" s="36"/>
      <c r="Q438" s="36"/>
      <c r="R438" s="36"/>
      <c r="S438" s="36"/>
      <c r="T438" s="36"/>
      <c r="U438" s="36"/>
      <c r="V438" s="36"/>
      <c r="W438" s="36"/>
      <c r="X438" s="36"/>
      <c r="Y438" s="36"/>
      <c r="Z438" s="36"/>
      <c r="AA438" s="36"/>
      <c r="AB438" s="36"/>
      <c r="AC438" s="36"/>
    </row>
    <row r="439" spans="1:29" ht="24" customHeight="1">
      <c r="A439" s="81"/>
      <c r="B439" s="94"/>
      <c r="C439" s="81"/>
      <c r="D439" s="81"/>
      <c r="E439" s="80"/>
      <c r="F439" s="80"/>
      <c r="G439" s="80"/>
      <c r="H439" s="81"/>
      <c r="I439" s="81"/>
      <c r="J439" s="35"/>
      <c r="K439" s="36"/>
      <c r="L439" s="36"/>
      <c r="M439" s="36"/>
      <c r="N439" s="36"/>
      <c r="O439" s="36"/>
      <c r="P439" s="36"/>
      <c r="Q439" s="36"/>
      <c r="R439" s="36"/>
      <c r="S439" s="36"/>
      <c r="T439" s="36"/>
      <c r="U439" s="36"/>
      <c r="V439" s="36"/>
      <c r="W439" s="36"/>
      <c r="X439" s="36"/>
      <c r="Y439" s="36"/>
      <c r="Z439" s="36"/>
      <c r="AA439" s="36"/>
      <c r="AB439" s="36"/>
      <c r="AC439" s="36"/>
    </row>
    <row r="440" spans="1:29" ht="24" customHeight="1">
      <c r="A440" s="81"/>
      <c r="B440" s="94"/>
      <c r="C440" s="81"/>
      <c r="D440" s="81"/>
      <c r="E440" s="80"/>
      <c r="F440" s="80"/>
      <c r="G440" s="80"/>
      <c r="H440" s="81"/>
      <c r="I440" s="81"/>
      <c r="J440" s="35"/>
      <c r="K440" s="36"/>
      <c r="L440" s="36"/>
      <c r="M440" s="36"/>
      <c r="N440" s="36"/>
      <c r="O440" s="36"/>
      <c r="P440" s="36"/>
      <c r="Q440" s="36"/>
      <c r="R440" s="36"/>
      <c r="S440" s="36"/>
      <c r="T440" s="36"/>
      <c r="U440" s="36"/>
      <c r="V440" s="36"/>
      <c r="W440" s="36"/>
      <c r="X440" s="36"/>
      <c r="Y440" s="36"/>
      <c r="Z440" s="36"/>
      <c r="AA440" s="36"/>
      <c r="AB440" s="36"/>
      <c r="AC440" s="36"/>
    </row>
    <row r="441" spans="1:29" ht="24" customHeight="1">
      <c r="A441" s="81"/>
      <c r="B441" s="94"/>
      <c r="C441" s="81"/>
      <c r="D441" s="81"/>
      <c r="E441" s="80"/>
      <c r="F441" s="80"/>
      <c r="G441" s="80"/>
      <c r="H441" s="81"/>
      <c r="I441" s="81"/>
      <c r="J441" s="35"/>
      <c r="K441" s="36"/>
      <c r="L441" s="36"/>
      <c r="M441" s="36"/>
      <c r="N441" s="36"/>
      <c r="O441" s="36"/>
      <c r="P441" s="36"/>
      <c r="Q441" s="36"/>
      <c r="R441" s="36"/>
      <c r="S441" s="36"/>
      <c r="T441" s="36"/>
      <c r="U441" s="36"/>
      <c r="V441" s="36"/>
      <c r="W441" s="36"/>
      <c r="X441" s="36"/>
      <c r="Y441" s="36"/>
      <c r="Z441" s="36"/>
      <c r="AA441" s="36"/>
      <c r="AB441" s="36"/>
      <c r="AC441" s="36"/>
    </row>
    <row r="442" spans="1:29" ht="24" customHeight="1">
      <c r="A442" s="81"/>
      <c r="B442" s="94"/>
      <c r="C442" s="81"/>
      <c r="D442" s="81"/>
      <c r="E442" s="80"/>
      <c r="F442" s="80"/>
      <c r="G442" s="80"/>
      <c r="H442" s="81"/>
      <c r="I442" s="81"/>
      <c r="J442" s="35"/>
      <c r="K442" s="36"/>
      <c r="L442" s="36"/>
      <c r="M442" s="36"/>
      <c r="N442" s="36"/>
      <c r="O442" s="36"/>
      <c r="P442" s="36"/>
      <c r="Q442" s="36"/>
      <c r="R442" s="36"/>
      <c r="S442" s="36"/>
      <c r="T442" s="36"/>
      <c r="U442" s="36"/>
      <c r="V442" s="36"/>
      <c r="W442" s="36"/>
      <c r="X442" s="36"/>
      <c r="Y442" s="36"/>
      <c r="Z442" s="36"/>
      <c r="AA442" s="36"/>
      <c r="AB442" s="36"/>
      <c r="AC442" s="36"/>
    </row>
    <row r="443" spans="1:29" ht="24" customHeight="1">
      <c r="A443" s="81"/>
      <c r="B443" s="94"/>
      <c r="C443" s="81"/>
      <c r="D443" s="81"/>
      <c r="E443" s="80"/>
      <c r="F443" s="80"/>
      <c r="G443" s="80"/>
      <c r="H443" s="81"/>
      <c r="I443" s="81"/>
      <c r="J443" s="35"/>
      <c r="K443" s="36"/>
      <c r="L443" s="36"/>
      <c r="M443" s="36"/>
      <c r="N443" s="36"/>
      <c r="O443" s="36"/>
      <c r="P443" s="36"/>
      <c r="Q443" s="36"/>
      <c r="R443" s="36"/>
      <c r="S443" s="36"/>
      <c r="T443" s="36"/>
      <c r="U443" s="36"/>
      <c r="V443" s="36"/>
      <c r="W443" s="36"/>
      <c r="X443" s="36"/>
      <c r="Y443" s="36"/>
      <c r="Z443" s="36"/>
      <c r="AA443" s="36"/>
      <c r="AB443" s="36"/>
      <c r="AC443" s="36"/>
    </row>
    <row r="444" spans="1:29" ht="48" customHeight="1">
      <c r="A444" s="81"/>
      <c r="B444" s="94"/>
      <c r="C444" s="81"/>
      <c r="D444" s="81"/>
      <c r="E444" s="80"/>
      <c r="F444" s="80"/>
      <c r="G444" s="80"/>
      <c r="H444" s="81"/>
      <c r="I444" s="81"/>
      <c r="J444" s="35"/>
      <c r="K444" s="36"/>
      <c r="L444" s="36"/>
      <c r="M444" s="36"/>
      <c r="N444" s="36"/>
      <c r="O444" s="36"/>
      <c r="P444" s="36"/>
      <c r="Q444" s="36"/>
      <c r="R444" s="36"/>
      <c r="S444" s="36"/>
      <c r="T444" s="36"/>
      <c r="U444" s="36"/>
      <c r="V444" s="36"/>
      <c r="W444" s="36"/>
      <c r="X444" s="36"/>
      <c r="Y444" s="36"/>
      <c r="Z444" s="36"/>
      <c r="AA444" s="36"/>
      <c r="AB444" s="36"/>
      <c r="AC444" s="36"/>
    </row>
    <row r="445" spans="1:29" ht="41.25" customHeight="1">
      <c r="A445" s="81"/>
      <c r="B445" s="94"/>
      <c r="C445" s="81"/>
      <c r="D445" s="81"/>
      <c r="E445" s="80"/>
      <c r="F445" s="80"/>
      <c r="G445" s="80"/>
      <c r="H445" s="81"/>
      <c r="I445" s="81"/>
      <c r="J445" s="35"/>
      <c r="K445" s="36"/>
      <c r="L445" s="36"/>
      <c r="M445" s="36"/>
      <c r="N445" s="36"/>
      <c r="O445" s="36"/>
      <c r="P445" s="36"/>
      <c r="Q445" s="36"/>
      <c r="R445" s="36"/>
      <c r="S445" s="36"/>
      <c r="T445" s="36"/>
      <c r="U445" s="36"/>
      <c r="V445" s="36"/>
      <c r="W445" s="36"/>
      <c r="X445" s="36"/>
      <c r="Y445" s="36"/>
      <c r="Z445" s="36"/>
      <c r="AA445" s="36"/>
      <c r="AB445" s="36"/>
      <c r="AC445" s="36"/>
    </row>
    <row r="446" spans="1:29" ht="36" customHeight="1">
      <c r="A446" s="81"/>
      <c r="B446" s="94"/>
      <c r="C446" s="81"/>
      <c r="D446" s="81"/>
      <c r="E446" s="80"/>
      <c r="F446" s="80"/>
      <c r="G446" s="80"/>
      <c r="H446" s="81"/>
      <c r="I446" s="81"/>
      <c r="J446" s="35"/>
      <c r="K446" s="36"/>
      <c r="L446" s="36"/>
      <c r="M446" s="36"/>
      <c r="N446" s="36"/>
      <c r="O446" s="36"/>
      <c r="P446" s="36"/>
      <c r="Q446" s="36"/>
      <c r="R446" s="36"/>
      <c r="S446" s="36"/>
      <c r="T446" s="36"/>
      <c r="U446" s="36"/>
      <c r="V446" s="36"/>
      <c r="W446" s="36"/>
      <c r="X446" s="36"/>
      <c r="Y446" s="36"/>
      <c r="Z446" s="36"/>
      <c r="AA446" s="36"/>
      <c r="AB446" s="36"/>
      <c r="AC446" s="36"/>
    </row>
    <row r="447" spans="1:29" ht="120" customHeight="1">
      <c r="A447" s="81"/>
      <c r="B447" s="94"/>
      <c r="C447" s="81"/>
      <c r="D447" s="81"/>
      <c r="E447" s="80"/>
      <c r="F447" s="80"/>
      <c r="G447" s="80"/>
      <c r="H447" s="81"/>
      <c r="I447" s="81"/>
      <c r="J447" s="35"/>
      <c r="K447" s="36"/>
      <c r="L447" s="36"/>
      <c r="M447" s="36"/>
      <c r="N447" s="36"/>
      <c r="O447" s="36"/>
      <c r="P447" s="36"/>
      <c r="Q447" s="36"/>
      <c r="R447" s="36"/>
      <c r="S447" s="36"/>
      <c r="T447" s="36"/>
      <c r="U447" s="36"/>
      <c r="V447" s="36"/>
      <c r="W447" s="36"/>
      <c r="X447" s="36"/>
      <c r="Y447" s="36"/>
      <c r="Z447" s="36"/>
      <c r="AA447" s="36"/>
      <c r="AB447" s="36"/>
      <c r="AC447" s="36"/>
    </row>
    <row r="448" spans="1:29" ht="125.25" customHeight="1">
      <c r="A448" s="81"/>
      <c r="B448" s="94"/>
      <c r="C448" s="81"/>
      <c r="D448" s="81"/>
      <c r="E448" s="80"/>
      <c r="F448" s="80"/>
      <c r="G448" s="80"/>
      <c r="H448" s="81"/>
      <c r="I448" s="81"/>
      <c r="J448" s="35"/>
      <c r="K448" s="36"/>
      <c r="L448" s="36"/>
      <c r="M448" s="36"/>
      <c r="N448" s="36"/>
      <c r="O448" s="36"/>
      <c r="P448" s="36"/>
      <c r="Q448" s="36"/>
      <c r="R448" s="36"/>
      <c r="S448" s="36"/>
      <c r="T448" s="36"/>
      <c r="U448" s="36"/>
      <c r="V448" s="36"/>
      <c r="W448" s="36"/>
      <c r="X448" s="36"/>
      <c r="Y448" s="36"/>
      <c r="Z448" s="36"/>
      <c r="AA448" s="36"/>
      <c r="AB448" s="36"/>
      <c r="AC448" s="36"/>
    </row>
    <row r="449" spans="1:29" ht="45.75" customHeight="1">
      <c r="A449" s="81"/>
      <c r="B449" s="94"/>
      <c r="C449" s="81"/>
      <c r="D449" s="81"/>
      <c r="E449" s="80"/>
      <c r="F449" s="80"/>
      <c r="G449" s="80"/>
      <c r="H449" s="81"/>
      <c r="I449" s="81"/>
      <c r="J449" s="35"/>
      <c r="K449" s="36"/>
      <c r="L449" s="36"/>
      <c r="M449" s="36"/>
      <c r="N449" s="36"/>
      <c r="O449" s="36"/>
      <c r="P449" s="36"/>
      <c r="Q449" s="36"/>
      <c r="R449" s="36"/>
      <c r="S449" s="36"/>
      <c r="T449" s="36"/>
      <c r="U449" s="36"/>
      <c r="V449" s="36"/>
      <c r="W449" s="36"/>
      <c r="X449" s="36"/>
      <c r="Y449" s="36"/>
      <c r="Z449" s="36"/>
      <c r="AA449" s="36"/>
      <c r="AB449" s="36"/>
      <c r="AC449" s="36"/>
    </row>
    <row r="450" spans="1:29" ht="55.5" customHeight="1">
      <c r="A450" s="81"/>
      <c r="B450" s="94"/>
      <c r="C450" s="81"/>
      <c r="D450" s="81"/>
      <c r="E450" s="80"/>
      <c r="F450" s="80"/>
      <c r="G450" s="80"/>
      <c r="H450" s="81"/>
      <c r="I450" s="81"/>
      <c r="J450" s="35"/>
      <c r="K450" s="36"/>
      <c r="L450" s="36"/>
      <c r="M450" s="36"/>
      <c r="N450" s="36"/>
      <c r="O450" s="36"/>
      <c r="P450" s="36"/>
      <c r="Q450" s="36"/>
      <c r="R450" s="36"/>
      <c r="S450" s="36"/>
      <c r="T450" s="36"/>
      <c r="U450" s="36"/>
      <c r="V450" s="36"/>
      <c r="W450" s="36"/>
      <c r="X450" s="36"/>
      <c r="Y450" s="36"/>
      <c r="Z450" s="36"/>
      <c r="AA450" s="36"/>
      <c r="AB450" s="36"/>
      <c r="AC450" s="36"/>
    </row>
    <row r="451" spans="1:29" ht="63.75" customHeight="1">
      <c r="A451" s="81"/>
      <c r="B451" s="94"/>
      <c r="C451" s="81"/>
      <c r="D451" s="81"/>
      <c r="E451" s="80"/>
      <c r="F451" s="80"/>
      <c r="G451" s="629"/>
      <c r="H451" s="95"/>
      <c r="I451" s="95"/>
      <c r="J451" s="35"/>
      <c r="K451" s="36"/>
      <c r="L451" s="36"/>
      <c r="M451" s="36"/>
      <c r="N451" s="36"/>
      <c r="O451" s="36"/>
      <c r="P451" s="36"/>
      <c r="Q451" s="36"/>
      <c r="R451" s="36"/>
      <c r="S451" s="36"/>
      <c r="T451" s="36"/>
      <c r="U451" s="36"/>
      <c r="V451" s="36"/>
      <c r="W451" s="36"/>
      <c r="X451" s="36"/>
      <c r="Y451" s="36"/>
      <c r="Z451" s="36"/>
      <c r="AA451" s="36"/>
      <c r="AB451" s="36"/>
      <c r="AC451" s="36"/>
    </row>
    <row r="452" spans="1:29" ht="77.25" customHeight="1">
      <c r="A452" s="81"/>
      <c r="B452" s="94"/>
      <c r="C452" s="81"/>
      <c r="D452" s="81"/>
      <c r="E452" s="80"/>
      <c r="F452" s="80"/>
      <c r="G452" s="80"/>
      <c r="H452" s="81"/>
      <c r="I452" s="81"/>
      <c r="J452" s="35"/>
      <c r="K452" s="36"/>
      <c r="L452" s="36"/>
      <c r="M452" s="36"/>
      <c r="N452" s="36"/>
      <c r="O452" s="36"/>
      <c r="P452" s="36"/>
      <c r="Q452" s="36"/>
      <c r="R452" s="36"/>
      <c r="S452" s="36"/>
      <c r="T452" s="36"/>
      <c r="U452" s="36"/>
      <c r="V452" s="36"/>
      <c r="W452" s="36"/>
      <c r="X452" s="36"/>
      <c r="Y452" s="36"/>
      <c r="Z452" s="36"/>
      <c r="AA452" s="36"/>
      <c r="AB452" s="36"/>
      <c r="AC452" s="36"/>
    </row>
    <row r="453" spans="1:29" ht="59.25" customHeight="1">
      <c r="A453" s="81"/>
      <c r="B453" s="94"/>
      <c r="C453" s="81"/>
      <c r="D453" s="81"/>
      <c r="E453" s="80"/>
      <c r="F453" s="80"/>
      <c r="G453" s="80"/>
      <c r="H453" s="81"/>
      <c r="I453" s="81"/>
      <c r="J453" s="35"/>
      <c r="K453" s="36"/>
      <c r="L453" s="36"/>
      <c r="M453" s="36"/>
      <c r="N453" s="36"/>
      <c r="O453" s="36"/>
      <c r="P453" s="36"/>
      <c r="Q453" s="36"/>
      <c r="R453" s="36"/>
      <c r="S453" s="36"/>
      <c r="T453" s="36"/>
      <c r="U453" s="36"/>
      <c r="V453" s="36"/>
      <c r="W453" s="36"/>
      <c r="X453" s="36"/>
      <c r="Y453" s="36"/>
      <c r="Z453" s="36"/>
      <c r="AA453" s="36"/>
      <c r="AB453" s="36"/>
      <c r="AC453" s="36"/>
    </row>
    <row r="454" spans="1:29" ht="48.75" customHeight="1">
      <c r="A454" s="81"/>
      <c r="B454" s="94"/>
      <c r="C454" s="81"/>
      <c r="D454" s="81"/>
      <c r="E454" s="80"/>
      <c r="F454" s="80"/>
      <c r="G454" s="80"/>
      <c r="H454" s="81"/>
      <c r="I454" s="81"/>
      <c r="J454" s="35"/>
      <c r="K454" s="36"/>
      <c r="L454" s="36"/>
      <c r="M454" s="36"/>
      <c r="N454" s="36"/>
      <c r="O454" s="36"/>
      <c r="P454" s="36"/>
      <c r="Q454" s="36"/>
      <c r="R454" s="36"/>
      <c r="S454" s="36"/>
      <c r="T454" s="36"/>
      <c r="U454" s="36"/>
      <c r="V454" s="36"/>
      <c r="W454" s="36"/>
      <c r="X454" s="36"/>
      <c r="Y454" s="36"/>
      <c r="Z454" s="36"/>
      <c r="AA454" s="36"/>
      <c r="AB454" s="36"/>
      <c r="AC454" s="36"/>
    </row>
    <row r="455" spans="1:29" ht="96" customHeight="1">
      <c r="A455" s="81"/>
      <c r="B455" s="94"/>
      <c r="C455" s="81"/>
      <c r="D455" s="81"/>
      <c r="E455" s="80"/>
      <c r="F455" s="80"/>
      <c r="G455" s="80"/>
      <c r="H455" s="81"/>
      <c r="I455" s="81"/>
      <c r="J455" s="35"/>
      <c r="K455" s="36"/>
      <c r="L455" s="36"/>
      <c r="M455" s="36"/>
      <c r="N455" s="36"/>
      <c r="O455" s="36"/>
      <c r="P455" s="36"/>
      <c r="Q455" s="36"/>
      <c r="R455" s="36"/>
      <c r="S455" s="36"/>
      <c r="T455" s="36"/>
      <c r="U455" s="36"/>
      <c r="V455" s="36"/>
      <c r="W455" s="36"/>
      <c r="X455" s="36"/>
      <c r="Y455" s="36"/>
      <c r="Z455" s="36"/>
      <c r="AA455" s="36"/>
      <c r="AB455" s="36"/>
      <c r="AC455" s="36"/>
    </row>
    <row r="456" spans="1:29" ht="81.75" customHeight="1">
      <c r="A456" s="81"/>
      <c r="B456" s="94"/>
      <c r="C456" s="81"/>
      <c r="D456" s="81"/>
      <c r="E456" s="80"/>
      <c r="F456" s="80"/>
      <c r="G456" s="80"/>
      <c r="H456" s="81"/>
      <c r="I456" s="81"/>
      <c r="J456" s="35"/>
      <c r="K456" s="36"/>
      <c r="L456" s="36"/>
      <c r="M456" s="36"/>
      <c r="N456" s="36"/>
      <c r="O456" s="36"/>
      <c r="P456" s="36"/>
      <c r="Q456" s="36"/>
      <c r="R456" s="36"/>
      <c r="S456" s="36"/>
      <c r="T456" s="36"/>
      <c r="U456" s="36"/>
      <c r="V456" s="36"/>
      <c r="W456" s="36"/>
      <c r="X456" s="36"/>
      <c r="Y456" s="36"/>
      <c r="Z456" s="36"/>
      <c r="AA456" s="36"/>
      <c r="AB456" s="36"/>
      <c r="AC456" s="36"/>
    </row>
    <row r="457" spans="1:29" ht="72" customHeight="1">
      <c r="A457" s="81"/>
      <c r="B457" s="94"/>
      <c r="C457" s="81"/>
      <c r="D457" s="81"/>
      <c r="E457" s="80"/>
      <c r="F457" s="80"/>
      <c r="G457" s="80"/>
      <c r="H457" s="81"/>
      <c r="I457" s="81"/>
      <c r="J457" s="35"/>
      <c r="K457" s="36"/>
      <c r="L457" s="36"/>
      <c r="M457" s="36"/>
      <c r="N457" s="36"/>
      <c r="O457" s="36"/>
      <c r="P457" s="36"/>
      <c r="Q457" s="36"/>
      <c r="R457" s="36"/>
      <c r="S457" s="36"/>
      <c r="T457" s="36"/>
      <c r="U457" s="36"/>
      <c r="V457" s="36"/>
      <c r="W457" s="36"/>
      <c r="X457" s="36"/>
      <c r="Y457" s="36"/>
      <c r="Z457" s="36"/>
      <c r="AA457" s="36"/>
      <c r="AB457" s="36"/>
      <c r="AC457" s="36"/>
    </row>
    <row r="458" spans="1:29" ht="84" customHeight="1">
      <c r="A458" s="81"/>
      <c r="B458" s="94"/>
      <c r="C458" s="81"/>
      <c r="D458" s="81"/>
      <c r="E458" s="80"/>
      <c r="F458" s="80"/>
      <c r="G458" s="80"/>
      <c r="H458" s="81"/>
      <c r="I458" s="81"/>
      <c r="J458" s="35"/>
      <c r="K458" s="36"/>
      <c r="L458" s="36"/>
      <c r="M458" s="36"/>
      <c r="N458" s="36"/>
      <c r="O458" s="36"/>
      <c r="P458" s="36"/>
      <c r="Q458" s="36"/>
      <c r="R458" s="36"/>
      <c r="S458" s="36"/>
      <c r="T458" s="36"/>
      <c r="U458" s="36"/>
      <c r="V458" s="36"/>
      <c r="W458" s="36"/>
      <c r="X458" s="36"/>
      <c r="Y458" s="36"/>
      <c r="Z458" s="36"/>
      <c r="AA458" s="36"/>
      <c r="AB458" s="36"/>
      <c r="AC458" s="36"/>
    </row>
    <row r="459" spans="1:29" ht="82.5" customHeight="1">
      <c r="A459" s="81"/>
      <c r="B459" s="460"/>
      <c r="C459" s="460"/>
      <c r="D459" s="81"/>
      <c r="E459" s="80"/>
      <c r="F459" s="80"/>
      <c r="G459" s="80"/>
      <c r="H459" s="81"/>
      <c r="I459" s="81"/>
      <c r="J459" s="35"/>
      <c r="K459" s="36"/>
      <c r="L459" s="36"/>
      <c r="M459" s="36"/>
      <c r="N459" s="36"/>
      <c r="O459" s="36"/>
      <c r="P459" s="36"/>
      <c r="Q459" s="36"/>
      <c r="R459" s="36"/>
      <c r="S459" s="36"/>
      <c r="T459" s="36"/>
      <c r="U459" s="36"/>
      <c r="V459" s="36"/>
      <c r="W459" s="36"/>
      <c r="X459" s="36"/>
      <c r="Y459" s="36"/>
      <c r="Z459" s="36"/>
      <c r="AA459" s="36"/>
      <c r="AB459" s="36"/>
      <c r="AC459" s="36"/>
    </row>
    <row r="460" spans="1:29" ht="60" customHeight="1">
      <c r="A460" s="81"/>
      <c r="B460" s="81"/>
      <c r="C460" s="460"/>
      <c r="D460" s="81"/>
      <c r="E460" s="80"/>
      <c r="F460" s="80"/>
      <c r="G460" s="80"/>
      <c r="H460" s="81"/>
      <c r="I460" s="81"/>
      <c r="J460" s="35"/>
      <c r="K460" s="36"/>
      <c r="L460" s="36"/>
      <c r="M460" s="36"/>
      <c r="N460" s="36"/>
      <c r="O460" s="36"/>
      <c r="P460" s="36"/>
      <c r="Q460" s="36"/>
      <c r="R460" s="36"/>
      <c r="S460" s="36"/>
      <c r="T460" s="36"/>
      <c r="U460" s="36"/>
      <c r="V460" s="36"/>
      <c r="W460" s="36"/>
      <c r="X460" s="36"/>
      <c r="Y460" s="36"/>
      <c r="Z460" s="36"/>
      <c r="AA460" s="36"/>
      <c r="AB460" s="36"/>
      <c r="AC460" s="36"/>
    </row>
    <row r="461" spans="1:29" ht="65.25" customHeight="1">
      <c r="A461" s="81"/>
      <c r="B461" s="94"/>
      <c r="C461" s="81"/>
      <c r="D461" s="81"/>
      <c r="E461" s="80"/>
      <c r="F461" s="80"/>
      <c r="G461" s="80"/>
      <c r="H461" s="81"/>
      <c r="I461" s="81"/>
      <c r="J461" s="35"/>
      <c r="K461" s="36"/>
      <c r="L461" s="36"/>
      <c r="M461" s="36"/>
      <c r="N461" s="36"/>
      <c r="O461" s="36"/>
      <c r="P461" s="36"/>
      <c r="Q461" s="36"/>
      <c r="R461" s="36"/>
      <c r="S461" s="36"/>
      <c r="T461" s="36"/>
      <c r="U461" s="36"/>
      <c r="V461" s="36"/>
      <c r="W461" s="36"/>
      <c r="X461" s="36"/>
      <c r="Y461" s="36"/>
      <c r="Z461" s="36"/>
      <c r="AA461" s="36"/>
      <c r="AB461" s="36"/>
      <c r="AC461" s="36"/>
    </row>
    <row r="462" spans="1:29" ht="52.5" customHeight="1">
      <c r="A462" s="81"/>
      <c r="B462" s="94"/>
      <c r="C462" s="81"/>
      <c r="D462" s="81"/>
      <c r="E462" s="80"/>
      <c r="F462" s="80"/>
      <c r="G462" s="80"/>
      <c r="H462" s="81"/>
      <c r="I462" s="81"/>
      <c r="J462" s="35"/>
      <c r="K462" s="36"/>
      <c r="L462" s="36"/>
      <c r="M462" s="36"/>
      <c r="N462" s="36"/>
      <c r="O462" s="36"/>
      <c r="P462" s="36"/>
      <c r="Q462" s="36"/>
      <c r="R462" s="36"/>
      <c r="S462" s="36"/>
      <c r="T462" s="36"/>
      <c r="U462" s="36"/>
      <c r="V462" s="36"/>
      <c r="W462" s="36"/>
      <c r="X462" s="36"/>
      <c r="Y462" s="36"/>
      <c r="Z462" s="36"/>
      <c r="AA462" s="36"/>
      <c r="AB462" s="36"/>
      <c r="AC462" s="36"/>
    </row>
    <row r="463" spans="1:29" ht="46.5" customHeight="1">
      <c r="A463" s="624"/>
      <c r="B463" s="94"/>
      <c r="C463" s="81"/>
      <c r="D463" s="81"/>
      <c r="E463" s="80"/>
      <c r="F463" s="80"/>
      <c r="G463" s="80"/>
      <c r="H463" s="81"/>
      <c r="I463" s="81"/>
      <c r="J463" s="35"/>
      <c r="K463" s="36"/>
      <c r="L463" s="36"/>
      <c r="M463" s="36"/>
      <c r="N463" s="36"/>
      <c r="O463" s="36"/>
      <c r="P463" s="36"/>
      <c r="Q463" s="36"/>
      <c r="R463" s="36"/>
      <c r="S463" s="36"/>
      <c r="T463" s="36"/>
      <c r="U463" s="36"/>
      <c r="V463" s="36"/>
      <c r="W463" s="36"/>
      <c r="X463" s="36"/>
      <c r="Y463" s="36"/>
      <c r="Z463" s="36"/>
      <c r="AA463" s="36"/>
      <c r="AB463" s="36"/>
      <c r="AC463" s="36"/>
    </row>
    <row r="464" spans="1:29" ht="56.25" customHeight="1">
      <c r="A464" s="624"/>
      <c r="B464" s="94"/>
      <c r="C464" s="81"/>
      <c r="D464" s="81"/>
      <c r="E464" s="80"/>
      <c r="F464" s="80"/>
      <c r="G464" s="80"/>
      <c r="H464" s="81"/>
      <c r="I464" s="81"/>
      <c r="J464" s="35"/>
      <c r="K464" s="36"/>
      <c r="L464" s="36"/>
      <c r="M464" s="36"/>
      <c r="N464" s="36"/>
      <c r="O464" s="36"/>
      <c r="P464" s="36"/>
      <c r="Q464" s="36"/>
      <c r="R464" s="36"/>
      <c r="S464" s="36"/>
      <c r="T464" s="36"/>
      <c r="U464" s="36"/>
      <c r="V464" s="36"/>
      <c r="W464" s="36"/>
      <c r="X464" s="36"/>
      <c r="Y464" s="36"/>
      <c r="Z464" s="36"/>
      <c r="AA464" s="36"/>
      <c r="AB464" s="36"/>
      <c r="AC464" s="36"/>
    </row>
    <row r="465" spans="1:29" ht="70.5" customHeight="1">
      <c r="A465" s="624"/>
      <c r="B465" s="94"/>
      <c r="C465" s="81"/>
      <c r="D465" s="81"/>
      <c r="E465" s="80"/>
      <c r="F465" s="80"/>
      <c r="G465" s="80"/>
      <c r="H465" s="81"/>
      <c r="I465" s="81"/>
      <c r="J465" s="35"/>
      <c r="K465" s="36"/>
      <c r="L465" s="36"/>
      <c r="M465" s="36"/>
      <c r="N465" s="36"/>
      <c r="O465" s="36"/>
      <c r="P465" s="36"/>
      <c r="Q465" s="36"/>
      <c r="R465" s="36"/>
      <c r="S465" s="36"/>
      <c r="T465" s="36"/>
      <c r="U465" s="36"/>
      <c r="V465" s="36"/>
      <c r="W465" s="36"/>
      <c r="X465" s="36"/>
      <c r="Y465" s="36"/>
      <c r="Z465" s="36"/>
      <c r="AA465" s="36"/>
      <c r="AB465" s="36"/>
      <c r="AC465" s="36"/>
    </row>
    <row r="466" spans="1:29" ht="64.5" customHeight="1">
      <c r="A466" s="624"/>
      <c r="B466" s="94"/>
      <c r="C466" s="81"/>
      <c r="D466" s="81"/>
      <c r="E466" s="80"/>
      <c r="F466" s="80"/>
      <c r="G466" s="80"/>
      <c r="H466" s="81"/>
      <c r="I466" s="81"/>
      <c r="J466" s="35"/>
      <c r="K466" s="36"/>
      <c r="L466" s="36"/>
      <c r="M466" s="36"/>
      <c r="N466" s="36"/>
      <c r="O466" s="36"/>
      <c r="P466" s="36"/>
      <c r="Q466" s="36"/>
      <c r="R466" s="36"/>
      <c r="S466" s="36"/>
      <c r="T466" s="36"/>
      <c r="U466" s="36"/>
      <c r="V466" s="36"/>
      <c r="W466" s="36"/>
      <c r="X466" s="36"/>
      <c r="Y466" s="36"/>
      <c r="Z466" s="36"/>
      <c r="AA466" s="36"/>
      <c r="AB466" s="36"/>
      <c r="AC466" s="36"/>
    </row>
    <row r="467" spans="1:29" ht="105" customHeight="1">
      <c r="A467" s="624"/>
      <c r="B467" s="94"/>
      <c r="C467" s="81"/>
      <c r="D467" s="81"/>
      <c r="E467" s="80"/>
      <c r="F467" s="80"/>
      <c r="G467" s="80"/>
      <c r="H467" s="81"/>
      <c r="I467" s="81"/>
      <c r="J467" s="35"/>
      <c r="K467" s="36"/>
      <c r="L467" s="36"/>
      <c r="M467" s="36"/>
      <c r="N467" s="36"/>
      <c r="O467" s="36"/>
      <c r="P467" s="36"/>
      <c r="Q467" s="36"/>
      <c r="R467" s="36"/>
      <c r="S467" s="36"/>
      <c r="T467" s="36"/>
      <c r="U467" s="36"/>
      <c r="V467" s="36"/>
      <c r="W467" s="36"/>
      <c r="X467" s="36"/>
      <c r="Y467" s="36"/>
      <c r="Z467" s="36"/>
      <c r="AA467" s="36"/>
      <c r="AB467" s="36"/>
      <c r="AC467" s="36"/>
    </row>
    <row r="468" spans="1:29" ht="85.5" customHeight="1">
      <c r="A468" s="624"/>
      <c r="B468" s="94"/>
      <c r="C468" s="81"/>
      <c r="D468" s="81"/>
      <c r="E468" s="80"/>
      <c r="F468" s="80"/>
      <c r="G468" s="80"/>
      <c r="H468" s="81"/>
      <c r="I468" s="81"/>
      <c r="J468" s="35"/>
      <c r="K468" s="36"/>
      <c r="L468" s="36"/>
      <c r="M468" s="36"/>
      <c r="N468" s="36"/>
      <c r="O468" s="36"/>
      <c r="P468" s="36"/>
      <c r="Q468" s="36"/>
      <c r="R468" s="36"/>
      <c r="S468" s="36"/>
      <c r="T468" s="36"/>
      <c r="U468" s="36"/>
      <c r="V468" s="36"/>
      <c r="W468" s="36"/>
      <c r="X468" s="36"/>
      <c r="Y468" s="36"/>
      <c r="Z468" s="36"/>
      <c r="AA468" s="36"/>
      <c r="AB468" s="36"/>
      <c r="AC468" s="36"/>
    </row>
    <row r="469" spans="1:29" ht="68.25" customHeight="1">
      <c r="A469" s="624"/>
      <c r="B469" s="94"/>
      <c r="C469" s="81"/>
      <c r="D469" s="81"/>
      <c r="E469" s="80"/>
      <c r="F469" s="80"/>
      <c r="G469" s="80"/>
      <c r="H469" s="81"/>
      <c r="I469" s="81"/>
      <c r="J469" s="35"/>
      <c r="K469" s="36"/>
      <c r="L469" s="36"/>
      <c r="M469" s="36"/>
      <c r="N469" s="36"/>
      <c r="O469" s="36"/>
      <c r="P469" s="36"/>
      <c r="Q469" s="36"/>
      <c r="R469" s="36"/>
      <c r="S469" s="36"/>
      <c r="T469" s="36"/>
      <c r="U469" s="36"/>
      <c r="V469" s="36"/>
      <c r="W469" s="36"/>
      <c r="X469" s="36"/>
      <c r="Y469" s="36"/>
      <c r="Z469" s="36"/>
      <c r="AA469" s="36"/>
      <c r="AB469" s="36"/>
      <c r="AC469" s="36"/>
    </row>
    <row r="470" spans="1:29" ht="72.75" customHeight="1">
      <c r="A470" s="81"/>
      <c r="B470" s="94"/>
      <c r="C470" s="81"/>
      <c r="D470" s="81"/>
      <c r="E470" s="80"/>
      <c r="F470" s="80"/>
      <c r="G470" s="80"/>
      <c r="H470" s="81"/>
      <c r="I470" s="81"/>
      <c r="J470" s="35"/>
      <c r="K470" s="36"/>
      <c r="L470" s="36"/>
      <c r="M470" s="36"/>
      <c r="N470" s="36"/>
      <c r="O470" s="36"/>
      <c r="P470" s="36"/>
      <c r="Q470" s="36"/>
      <c r="R470" s="36"/>
      <c r="S470" s="36"/>
      <c r="T470" s="36"/>
      <c r="U470" s="36"/>
      <c r="V470" s="36"/>
      <c r="W470" s="36"/>
      <c r="X470" s="36"/>
      <c r="Y470" s="36"/>
      <c r="Z470" s="36"/>
      <c r="AA470" s="36"/>
      <c r="AB470" s="36"/>
      <c r="AC470" s="36"/>
    </row>
    <row r="471" spans="1:29" ht="74.25" customHeight="1">
      <c r="A471" s="81"/>
      <c r="B471" s="94"/>
      <c r="C471" s="81"/>
      <c r="D471" s="81"/>
      <c r="E471" s="80"/>
      <c r="F471" s="80"/>
      <c r="G471" s="80"/>
      <c r="H471" s="81"/>
      <c r="I471" s="81"/>
      <c r="J471" s="35"/>
      <c r="K471" s="36"/>
      <c r="L471" s="36"/>
      <c r="M471" s="36"/>
      <c r="N471" s="36"/>
      <c r="O471" s="36"/>
      <c r="P471" s="36"/>
      <c r="Q471" s="36"/>
      <c r="R471" s="36"/>
      <c r="S471" s="36"/>
      <c r="T471" s="36"/>
      <c r="U471" s="36"/>
      <c r="V471" s="36"/>
      <c r="W471" s="36"/>
      <c r="X471" s="36"/>
      <c r="Y471" s="36"/>
      <c r="Z471" s="36"/>
      <c r="AA471" s="36"/>
      <c r="AB471" s="36"/>
      <c r="AC471" s="36"/>
    </row>
    <row r="472" spans="1:29" ht="58.5" customHeight="1">
      <c r="A472" s="81"/>
      <c r="B472" s="94"/>
      <c r="C472" s="81"/>
      <c r="D472" s="81"/>
      <c r="E472" s="80"/>
      <c r="F472" s="80"/>
      <c r="G472" s="80"/>
      <c r="H472" s="81"/>
      <c r="I472" s="81"/>
      <c r="J472" s="35"/>
      <c r="K472" s="36"/>
      <c r="L472" s="36"/>
      <c r="M472" s="36"/>
      <c r="N472" s="36"/>
      <c r="O472" s="36"/>
      <c r="P472" s="36"/>
      <c r="Q472" s="36"/>
      <c r="R472" s="36"/>
      <c r="S472" s="36"/>
      <c r="T472" s="36"/>
      <c r="U472" s="36"/>
      <c r="V472" s="36"/>
      <c r="W472" s="36"/>
      <c r="X472" s="36"/>
      <c r="Y472" s="36"/>
      <c r="Z472" s="36"/>
      <c r="AA472" s="36"/>
      <c r="AB472" s="36"/>
      <c r="AC472" s="36"/>
    </row>
    <row r="473" spans="1:29" ht="42.75" customHeight="1">
      <c r="A473" s="81"/>
      <c r="B473" s="94"/>
      <c r="C473" s="81"/>
      <c r="D473" s="81"/>
      <c r="E473" s="80"/>
      <c r="F473" s="80"/>
      <c r="G473" s="80"/>
      <c r="H473" s="81"/>
      <c r="I473" s="81"/>
      <c r="J473" s="35"/>
      <c r="K473" s="36"/>
      <c r="L473" s="36"/>
      <c r="M473" s="36"/>
      <c r="N473" s="36"/>
      <c r="O473" s="36"/>
      <c r="P473" s="36"/>
      <c r="Q473" s="36"/>
      <c r="R473" s="36"/>
      <c r="S473" s="36"/>
      <c r="T473" s="36"/>
      <c r="U473" s="36"/>
      <c r="V473" s="36"/>
      <c r="W473" s="36"/>
      <c r="X473" s="36"/>
      <c r="Y473" s="36"/>
      <c r="Z473" s="36"/>
      <c r="AA473" s="36"/>
      <c r="AB473" s="36"/>
      <c r="AC473" s="36"/>
    </row>
    <row r="474" spans="1:29" ht="53.25" customHeight="1">
      <c r="A474" s="81"/>
      <c r="B474" s="81"/>
      <c r="C474" s="115"/>
      <c r="D474" s="81"/>
      <c r="E474" s="80"/>
      <c r="F474" s="80"/>
      <c r="G474" s="80"/>
      <c r="H474" s="81"/>
      <c r="I474" s="81"/>
      <c r="J474" s="35"/>
      <c r="K474" s="36"/>
      <c r="L474" s="36"/>
      <c r="M474" s="36"/>
      <c r="N474" s="36"/>
      <c r="O474" s="36"/>
      <c r="P474" s="36"/>
      <c r="Q474" s="36"/>
      <c r="R474" s="36"/>
      <c r="S474" s="36"/>
      <c r="T474" s="36"/>
      <c r="U474" s="36"/>
      <c r="V474" s="36"/>
      <c r="W474" s="36"/>
      <c r="X474" s="36"/>
      <c r="Y474" s="36"/>
      <c r="Z474" s="36"/>
      <c r="AA474" s="36"/>
      <c r="AB474" s="36"/>
      <c r="AC474" s="36"/>
    </row>
    <row r="475" spans="1:29" ht="51" customHeight="1">
      <c r="A475" s="81"/>
      <c r="B475" s="94"/>
      <c r="C475" s="81"/>
      <c r="D475" s="81"/>
      <c r="E475" s="80"/>
      <c r="F475" s="80"/>
      <c r="G475" s="80"/>
      <c r="H475" s="81"/>
      <c r="I475" s="81"/>
      <c r="J475" s="35"/>
      <c r="K475" s="36"/>
      <c r="L475" s="36"/>
      <c r="M475" s="36"/>
      <c r="N475" s="36"/>
      <c r="O475" s="36"/>
      <c r="P475" s="36"/>
      <c r="Q475" s="36"/>
      <c r="R475" s="36"/>
      <c r="S475" s="36"/>
      <c r="T475" s="36"/>
      <c r="U475" s="36"/>
      <c r="V475" s="36"/>
      <c r="W475" s="36"/>
      <c r="X475" s="36"/>
      <c r="Y475" s="36"/>
      <c r="Z475" s="36"/>
      <c r="AA475" s="36"/>
      <c r="AB475" s="36"/>
      <c r="AC475" s="36"/>
    </row>
    <row r="476" spans="1:29" ht="36" customHeight="1">
      <c r="A476" s="81"/>
      <c r="B476" s="81"/>
      <c r="C476" s="81"/>
      <c r="D476" s="81"/>
      <c r="E476" s="80"/>
      <c r="F476" s="80"/>
      <c r="G476" s="80"/>
      <c r="H476" s="81"/>
      <c r="I476" s="81"/>
      <c r="J476" s="35"/>
      <c r="K476" s="36"/>
      <c r="L476" s="36"/>
      <c r="M476" s="36"/>
      <c r="N476" s="36"/>
      <c r="O476" s="36"/>
      <c r="P476" s="36"/>
      <c r="Q476" s="36"/>
      <c r="R476" s="36"/>
      <c r="S476" s="36"/>
      <c r="T476" s="36"/>
      <c r="U476" s="36"/>
      <c r="V476" s="36"/>
      <c r="W476" s="36"/>
      <c r="X476" s="36"/>
      <c r="Y476" s="36"/>
      <c r="Z476" s="36"/>
      <c r="AA476" s="36"/>
      <c r="AB476" s="36"/>
      <c r="AC476" s="36"/>
    </row>
    <row r="477" spans="1:29" ht="48" customHeight="1">
      <c r="A477" s="81"/>
      <c r="B477" s="94"/>
      <c r="C477" s="81"/>
      <c r="D477" s="81"/>
      <c r="E477" s="80"/>
      <c r="F477" s="80"/>
      <c r="G477" s="80"/>
      <c r="H477" s="81"/>
      <c r="I477" s="81"/>
      <c r="J477" s="35"/>
      <c r="K477" s="36"/>
      <c r="L477" s="36"/>
      <c r="M477" s="36"/>
      <c r="N477" s="36"/>
      <c r="O477" s="36"/>
      <c r="P477" s="36"/>
      <c r="Q477" s="36"/>
      <c r="R477" s="36"/>
      <c r="S477" s="36"/>
      <c r="T477" s="36"/>
      <c r="U477" s="36"/>
      <c r="V477" s="36"/>
      <c r="W477" s="36"/>
      <c r="X477" s="36"/>
      <c r="Y477" s="36"/>
      <c r="Z477" s="36"/>
      <c r="AA477" s="36"/>
      <c r="AB477" s="36"/>
      <c r="AC477" s="36"/>
    </row>
    <row r="478" spans="1:29" ht="55.5" customHeight="1">
      <c r="A478" s="81"/>
      <c r="B478" s="81"/>
      <c r="C478" s="115"/>
      <c r="D478" s="81"/>
      <c r="E478" s="80"/>
      <c r="F478" s="80"/>
      <c r="G478" s="80"/>
      <c r="H478" s="81"/>
      <c r="I478" s="81"/>
      <c r="J478" s="35"/>
      <c r="K478" s="36"/>
      <c r="L478" s="36"/>
      <c r="M478" s="36"/>
      <c r="N478" s="36"/>
      <c r="O478" s="36"/>
      <c r="P478" s="36"/>
      <c r="Q478" s="36"/>
      <c r="R478" s="36"/>
      <c r="S478" s="36"/>
      <c r="T478" s="36"/>
      <c r="U478" s="36"/>
      <c r="V478" s="36"/>
      <c r="W478" s="36"/>
      <c r="X478" s="36"/>
      <c r="Y478" s="36"/>
      <c r="Z478" s="36"/>
      <c r="AA478" s="36"/>
      <c r="AB478" s="36"/>
      <c r="AC478" s="36"/>
    </row>
    <row r="479" spans="1:29" ht="30.75" customHeight="1">
      <c r="A479" s="81"/>
      <c r="B479" s="94"/>
      <c r="C479" s="81"/>
      <c r="D479" s="81"/>
      <c r="E479" s="80"/>
      <c r="F479" s="80"/>
      <c r="G479" s="80"/>
      <c r="H479" s="81"/>
      <c r="I479" s="81"/>
      <c r="J479" s="35"/>
      <c r="K479" s="36"/>
      <c r="L479" s="36"/>
      <c r="M479" s="36"/>
      <c r="N479" s="36"/>
      <c r="O479" s="36"/>
      <c r="P479" s="36"/>
      <c r="Q479" s="36"/>
      <c r="R479" s="36"/>
      <c r="S479" s="36"/>
      <c r="T479" s="36"/>
      <c r="U479" s="36"/>
      <c r="V479" s="36"/>
      <c r="W479" s="36"/>
      <c r="X479" s="36"/>
      <c r="Y479" s="36"/>
      <c r="Z479" s="36"/>
      <c r="AA479" s="36"/>
      <c r="AB479" s="36"/>
      <c r="AC479" s="36"/>
    </row>
    <row r="480" spans="1:29" ht="28.5" customHeight="1">
      <c r="A480" s="81"/>
      <c r="B480" s="94"/>
      <c r="C480" s="81"/>
      <c r="D480" s="81"/>
      <c r="E480" s="80"/>
      <c r="F480" s="80"/>
      <c r="G480" s="80"/>
      <c r="H480" s="81"/>
      <c r="I480" s="81"/>
      <c r="J480" s="35"/>
      <c r="K480" s="36"/>
      <c r="L480" s="36"/>
      <c r="M480" s="36"/>
      <c r="N480" s="36"/>
      <c r="O480" s="36"/>
      <c r="P480" s="36"/>
      <c r="Q480" s="36"/>
      <c r="R480" s="36"/>
      <c r="S480" s="36"/>
      <c r="T480" s="36"/>
      <c r="U480" s="36"/>
      <c r="V480" s="36"/>
      <c r="W480" s="36"/>
      <c r="X480" s="36"/>
      <c r="Y480" s="36"/>
      <c r="Z480" s="36"/>
      <c r="AA480" s="36"/>
      <c r="AB480" s="36"/>
      <c r="AC480" s="36"/>
    </row>
    <row r="481" spans="1:29" ht="36" customHeight="1">
      <c r="A481" s="81"/>
      <c r="B481" s="94"/>
      <c r="C481" s="81"/>
      <c r="D481" s="81"/>
      <c r="E481" s="80"/>
      <c r="F481" s="80"/>
      <c r="G481" s="80"/>
      <c r="H481" s="81"/>
      <c r="I481" s="81"/>
      <c r="J481" s="35"/>
      <c r="K481" s="36"/>
      <c r="L481" s="36"/>
      <c r="M481" s="36"/>
      <c r="N481" s="36"/>
      <c r="O481" s="36"/>
      <c r="P481" s="36"/>
      <c r="Q481" s="36"/>
      <c r="R481" s="36"/>
      <c r="S481" s="36"/>
      <c r="T481" s="36"/>
      <c r="U481" s="36"/>
      <c r="V481" s="36"/>
      <c r="W481" s="36"/>
      <c r="X481" s="36"/>
      <c r="Y481" s="36"/>
      <c r="Z481" s="36"/>
      <c r="AA481" s="36"/>
      <c r="AB481" s="36"/>
      <c r="AC481" s="36"/>
    </row>
    <row r="482" spans="1:29" ht="48" customHeight="1">
      <c r="A482" s="81"/>
      <c r="B482" s="94"/>
      <c r="C482" s="81"/>
      <c r="D482" s="81"/>
      <c r="E482" s="80"/>
      <c r="F482" s="80"/>
      <c r="G482" s="80"/>
      <c r="H482" s="81"/>
      <c r="I482" s="81"/>
      <c r="J482" s="35"/>
      <c r="K482" s="36"/>
      <c r="L482" s="36"/>
      <c r="M482" s="36"/>
      <c r="N482" s="36"/>
      <c r="O482" s="36"/>
      <c r="P482" s="36"/>
      <c r="Q482" s="36"/>
      <c r="R482" s="36"/>
      <c r="S482" s="36"/>
      <c r="T482" s="36"/>
      <c r="U482" s="36"/>
      <c r="V482" s="36"/>
      <c r="W482" s="36"/>
      <c r="X482" s="36"/>
      <c r="Y482" s="36"/>
      <c r="Z482" s="36"/>
      <c r="AA482" s="36"/>
      <c r="AB482" s="36"/>
      <c r="AC482" s="36"/>
    </row>
    <row r="483" spans="1:29" ht="36" customHeight="1">
      <c r="A483" s="81"/>
      <c r="B483" s="94"/>
      <c r="C483" s="81"/>
      <c r="D483" s="81"/>
      <c r="E483" s="629"/>
      <c r="F483" s="629"/>
      <c r="G483" s="629"/>
      <c r="H483" s="95"/>
      <c r="I483" s="95"/>
      <c r="J483" s="35"/>
      <c r="K483" s="36"/>
      <c r="L483" s="36"/>
      <c r="M483" s="36"/>
      <c r="N483" s="36"/>
      <c r="O483" s="36"/>
      <c r="P483" s="36"/>
      <c r="Q483" s="36"/>
      <c r="R483" s="36"/>
      <c r="S483" s="36"/>
      <c r="T483" s="36"/>
      <c r="U483" s="36"/>
      <c r="V483" s="36"/>
      <c r="W483" s="36"/>
      <c r="X483" s="36"/>
      <c r="Y483" s="36"/>
      <c r="Z483" s="36"/>
      <c r="AA483" s="36"/>
      <c r="AB483" s="36"/>
      <c r="AC483" s="36"/>
    </row>
    <row r="484" spans="1:29" ht="156" customHeight="1">
      <c r="A484" s="81"/>
      <c r="B484" s="94"/>
      <c r="C484" s="81"/>
      <c r="D484" s="81"/>
      <c r="E484" s="80"/>
      <c r="F484" s="80"/>
      <c r="G484" s="80"/>
      <c r="H484" s="81"/>
      <c r="I484" s="81"/>
      <c r="J484" s="35"/>
      <c r="K484" s="36"/>
      <c r="L484" s="36"/>
      <c r="M484" s="36"/>
      <c r="N484" s="36"/>
      <c r="O484" s="36"/>
      <c r="P484" s="36"/>
      <c r="Q484" s="36"/>
      <c r="R484" s="36"/>
      <c r="S484" s="36"/>
      <c r="T484" s="36"/>
      <c r="U484" s="36"/>
      <c r="V484" s="36"/>
      <c r="W484" s="36"/>
      <c r="X484" s="36"/>
      <c r="Y484" s="36"/>
      <c r="Z484" s="36"/>
      <c r="AA484" s="36"/>
      <c r="AB484" s="36"/>
      <c r="AC484" s="36"/>
    </row>
    <row r="485" spans="1:29" ht="72" customHeight="1">
      <c r="A485" s="81"/>
      <c r="B485" s="94"/>
      <c r="C485" s="81"/>
      <c r="D485" s="81"/>
      <c r="E485" s="80"/>
      <c r="F485" s="80"/>
      <c r="G485" s="80"/>
      <c r="H485" s="81"/>
      <c r="I485" s="81"/>
      <c r="J485" s="35"/>
      <c r="K485" s="36"/>
      <c r="L485" s="36"/>
      <c r="M485" s="36"/>
      <c r="N485" s="36"/>
      <c r="O485" s="36"/>
      <c r="P485" s="36"/>
      <c r="Q485" s="36"/>
      <c r="R485" s="36"/>
      <c r="S485" s="36"/>
      <c r="T485" s="36"/>
      <c r="U485" s="36"/>
      <c r="V485" s="36"/>
      <c r="W485" s="36"/>
      <c r="X485" s="36"/>
      <c r="Y485" s="36"/>
      <c r="Z485" s="36"/>
      <c r="AA485" s="36"/>
      <c r="AB485" s="36"/>
      <c r="AC485" s="36"/>
    </row>
    <row r="486" spans="1:29" ht="36" customHeight="1">
      <c r="A486" s="619"/>
      <c r="B486" s="94"/>
      <c r="C486" s="81"/>
      <c r="D486" s="81"/>
      <c r="E486" s="80"/>
      <c r="F486" s="80"/>
      <c r="G486" s="80"/>
      <c r="H486" s="81"/>
      <c r="I486" s="81"/>
      <c r="J486" s="35"/>
      <c r="K486" s="36"/>
      <c r="L486" s="36"/>
      <c r="M486" s="36"/>
      <c r="N486" s="36"/>
      <c r="O486" s="36"/>
      <c r="P486" s="36"/>
      <c r="Q486" s="36"/>
      <c r="R486" s="36"/>
      <c r="S486" s="36"/>
      <c r="T486" s="36"/>
      <c r="U486" s="36"/>
      <c r="V486" s="36"/>
      <c r="W486" s="36"/>
      <c r="X486" s="36"/>
      <c r="Y486" s="36"/>
      <c r="Z486" s="36"/>
      <c r="AA486" s="36"/>
      <c r="AB486" s="36"/>
      <c r="AC486" s="36"/>
    </row>
    <row r="487" spans="1:29" ht="36" customHeight="1">
      <c r="A487" s="81"/>
      <c r="B487" s="94"/>
      <c r="C487" s="81"/>
      <c r="D487" s="81"/>
      <c r="E487" s="80"/>
      <c r="F487" s="80"/>
      <c r="G487" s="80"/>
      <c r="H487" s="81"/>
      <c r="I487" s="81"/>
      <c r="J487" s="35"/>
      <c r="K487" s="36"/>
      <c r="L487" s="36"/>
      <c r="M487" s="36"/>
      <c r="N487" s="36"/>
      <c r="O487" s="36"/>
      <c r="P487" s="36"/>
      <c r="Q487" s="36"/>
      <c r="R487" s="36"/>
      <c r="S487" s="36"/>
      <c r="T487" s="36"/>
      <c r="U487" s="36"/>
      <c r="V487" s="36"/>
      <c r="W487" s="36"/>
      <c r="X487" s="36"/>
      <c r="Y487" s="36"/>
      <c r="Z487" s="36"/>
      <c r="AA487" s="36"/>
      <c r="AB487" s="36"/>
      <c r="AC487" s="36"/>
    </row>
    <row r="488" spans="1:29" ht="24" customHeight="1">
      <c r="A488" s="619"/>
      <c r="B488" s="94"/>
      <c r="C488" s="81"/>
      <c r="D488" s="81"/>
      <c r="E488" s="80"/>
      <c r="F488" s="80"/>
      <c r="G488" s="80"/>
      <c r="H488" s="81"/>
      <c r="I488" s="81"/>
      <c r="J488" s="35"/>
      <c r="K488" s="36"/>
      <c r="L488" s="36"/>
      <c r="M488" s="36"/>
      <c r="N488" s="36"/>
      <c r="O488" s="36"/>
      <c r="P488" s="36"/>
      <c r="Q488" s="36"/>
      <c r="R488" s="36"/>
      <c r="S488" s="36"/>
      <c r="T488" s="36"/>
      <c r="U488" s="36"/>
      <c r="V488" s="36"/>
      <c r="W488" s="36"/>
      <c r="X488" s="36"/>
      <c r="Y488" s="36"/>
      <c r="Z488" s="36"/>
      <c r="AA488" s="36"/>
      <c r="AB488" s="36"/>
      <c r="AC488" s="36"/>
    </row>
    <row r="489" spans="1:29" ht="48" customHeight="1">
      <c r="A489" s="619"/>
      <c r="B489" s="94"/>
      <c r="C489" s="81"/>
      <c r="D489" s="81"/>
      <c r="E489" s="80"/>
      <c r="F489" s="80"/>
      <c r="G489" s="80"/>
      <c r="H489" s="81"/>
      <c r="I489" s="81"/>
      <c r="J489" s="35"/>
      <c r="K489" s="36"/>
      <c r="L489" s="36"/>
      <c r="M489" s="36"/>
      <c r="N489" s="36"/>
      <c r="O489" s="36"/>
      <c r="P489" s="36"/>
      <c r="Q489" s="36"/>
      <c r="R489" s="36"/>
      <c r="S489" s="36"/>
      <c r="T489" s="36"/>
      <c r="U489" s="36"/>
      <c r="V489" s="36"/>
      <c r="W489" s="36"/>
      <c r="X489" s="36"/>
      <c r="Y489" s="36"/>
      <c r="Z489" s="36"/>
      <c r="AA489" s="36"/>
      <c r="AB489" s="36"/>
      <c r="AC489" s="36"/>
    </row>
    <row r="490" spans="1:29" ht="24" customHeight="1">
      <c r="A490" s="619"/>
      <c r="B490" s="94"/>
      <c r="C490" s="81"/>
      <c r="D490" s="81"/>
      <c r="E490" s="80"/>
      <c r="F490" s="80"/>
      <c r="G490" s="80"/>
      <c r="H490" s="81"/>
      <c r="I490" s="81"/>
      <c r="J490" s="35"/>
      <c r="K490" s="36"/>
      <c r="L490" s="36"/>
      <c r="M490" s="36"/>
      <c r="N490" s="36"/>
      <c r="O490" s="36"/>
      <c r="P490" s="36"/>
      <c r="Q490" s="36"/>
      <c r="R490" s="36"/>
      <c r="S490" s="36"/>
      <c r="T490" s="36"/>
      <c r="U490" s="36"/>
      <c r="V490" s="36"/>
      <c r="W490" s="36"/>
      <c r="X490" s="36"/>
      <c r="Y490" s="36"/>
      <c r="Z490" s="36"/>
      <c r="AA490" s="36"/>
      <c r="AB490" s="36"/>
      <c r="AC490" s="36"/>
    </row>
    <row r="491" spans="1:29" ht="36" customHeight="1">
      <c r="A491" s="621"/>
      <c r="B491" s="94"/>
      <c r="C491" s="81"/>
      <c r="D491" s="81"/>
      <c r="E491" s="80"/>
      <c r="F491" s="80"/>
      <c r="G491" s="80"/>
      <c r="H491" s="81"/>
      <c r="I491" s="81"/>
      <c r="J491" s="35"/>
      <c r="K491" s="36"/>
      <c r="L491" s="36"/>
      <c r="M491" s="36"/>
      <c r="N491" s="36"/>
      <c r="O491" s="36"/>
      <c r="P491" s="36"/>
      <c r="Q491" s="36"/>
      <c r="R491" s="36"/>
      <c r="S491" s="36"/>
      <c r="T491" s="36"/>
      <c r="U491" s="36"/>
      <c r="V491" s="36"/>
      <c r="W491" s="36"/>
      <c r="X491" s="36"/>
      <c r="Y491" s="36"/>
      <c r="Z491" s="36"/>
      <c r="AA491" s="36"/>
      <c r="AB491" s="36"/>
      <c r="AC491" s="36"/>
    </row>
    <row r="492" spans="1:29" ht="24" customHeight="1">
      <c r="A492" s="81"/>
      <c r="B492" s="94"/>
      <c r="C492" s="81"/>
      <c r="D492" s="81"/>
      <c r="E492" s="80"/>
      <c r="F492" s="80"/>
      <c r="G492" s="80"/>
      <c r="H492" s="81"/>
      <c r="I492" s="81"/>
      <c r="J492" s="35"/>
      <c r="K492" s="36"/>
      <c r="L492" s="36"/>
      <c r="M492" s="36"/>
      <c r="N492" s="36"/>
      <c r="O492" s="36"/>
      <c r="P492" s="36"/>
      <c r="Q492" s="36"/>
      <c r="R492" s="36"/>
      <c r="S492" s="36"/>
      <c r="T492" s="36"/>
      <c r="U492" s="36"/>
      <c r="V492" s="36"/>
      <c r="W492" s="36"/>
      <c r="X492" s="36"/>
      <c r="Y492" s="36"/>
      <c r="Z492" s="36"/>
      <c r="AA492" s="36"/>
      <c r="AB492" s="36"/>
      <c r="AC492" s="36"/>
    </row>
    <row r="493" spans="1:29" ht="24" customHeight="1">
      <c r="A493" s="81"/>
      <c r="B493" s="94"/>
      <c r="C493" s="81"/>
      <c r="D493" s="81"/>
      <c r="E493" s="80"/>
      <c r="F493" s="80"/>
      <c r="G493" s="80"/>
      <c r="H493" s="81"/>
      <c r="I493" s="81"/>
      <c r="J493" s="35"/>
      <c r="K493" s="36"/>
      <c r="L493" s="36"/>
      <c r="M493" s="36"/>
      <c r="N493" s="36"/>
      <c r="O493" s="36"/>
      <c r="P493" s="36"/>
      <c r="Q493" s="36"/>
      <c r="R493" s="36"/>
      <c r="S493" s="36"/>
      <c r="T493" s="36"/>
      <c r="U493" s="36"/>
      <c r="V493" s="36"/>
      <c r="W493" s="36"/>
      <c r="X493" s="36"/>
      <c r="Y493" s="36"/>
      <c r="Z493" s="36"/>
      <c r="AA493" s="36"/>
      <c r="AB493" s="36"/>
      <c r="AC493" s="36"/>
    </row>
    <row r="494" spans="1:29" ht="24" customHeight="1">
      <c r="A494" s="81"/>
      <c r="B494" s="94"/>
      <c r="C494" s="81"/>
      <c r="D494" s="81"/>
      <c r="E494" s="80"/>
      <c r="F494" s="80"/>
      <c r="G494" s="80"/>
      <c r="H494" s="81"/>
      <c r="I494" s="81"/>
      <c r="J494" s="35"/>
      <c r="K494" s="36"/>
      <c r="L494" s="36"/>
      <c r="M494" s="36"/>
      <c r="N494" s="36"/>
      <c r="O494" s="36"/>
      <c r="P494" s="36"/>
      <c r="Q494" s="36"/>
      <c r="R494" s="36"/>
      <c r="S494" s="36"/>
      <c r="T494" s="36"/>
      <c r="U494" s="36"/>
      <c r="V494" s="36"/>
      <c r="W494" s="36"/>
      <c r="X494" s="36"/>
      <c r="Y494" s="36"/>
      <c r="Z494" s="36"/>
      <c r="AA494" s="36"/>
      <c r="AB494" s="36"/>
      <c r="AC494" s="36"/>
    </row>
    <row r="495" spans="1:29" ht="24" customHeight="1">
      <c r="A495" s="81"/>
      <c r="B495" s="94"/>
      <c r="C495" s="81"/>
      <c r="D495" s="81"/>
      <c r="E495" s="80"/>
      <c r="F495" s="80"/>
      <c r="G495" s="80"/>
      <c r="H495" s="81"/>
      <c r="I495" s="81"/>
      <c r="J495" s="35"/>
      <c r="K495" s="36"/>
      <c r="L495" s="36"/>
      <c r="M495" s="36"/>
      <c r="N495" s="36"/>
      <c r="O495" s="36"/>
      <c r="P495" s="36"/>
      <c r="Q495" s="36"/>
      <c r="R495" s="36"/>
      <c r="S495" s="36"/>
      <c r="T495" s="36"/>
      <c r="U495" s="36"/>
      <c r="V495" s="36"/>
      <c r="W495" s="36"/>
      <c r="X495" s="36"/>
      <c r="Y495" s="36"/>
      <c r="Z495" s="36"/>
      <c r="AA495" s="36"/>
      <c r="AB495" s="36"/>
      <c r="AC495" s="36"/>
    </row>
    <row r="496" spans="1:29" ht="12" customHeight="1">
      <c r="A496" s="81"/>
      <c r="B496" s="94"/>
      <c r="C496" s="81"/>
      <c r="D496" s="81"/>
      <c r="E496" s="80"/>
      <c r="F496" s="80"/>
      <c r="G496" s="80"/>
      <c r="H496" s="81"/>
      <c r="I496" s="81"/>
      <c r="J496" s="35"/>
      <c r="K496" s="36"/>
      <c r="L496" s="36"/>
      <c r="M496" s="36"/>
      <c r="N496" s="36"/>
      <c r="O496" s="36"/>
      <c r="P496" s="36"/>
      <c r="Q496" s="36"/>
      <c r="R496" s="36"/>
      <c r="S496" s="36"/>
      <c r="T496" s="36"/>
      <c r="U496" s="36"/>
      <c r="V496" s="36"/>
      <c r="W496" s="36"/>
      <c r="X496" s="36"/>
      <c r="Y496" s="36"/>
      <c r="Z496" s="36"/>
      <c r="AA496" s="36"/>
      <c r="AB496" s="36"/>
      <c r="AC496" s="36"/>
    </row>
    <row r="497" spans="1:29" ht="24" customHeight="1">
      <c r="A497" s="81"/>
      <c r="B497" s="94"/>
      <c r="C497" s="81"/>
      <c r="D497" s="81"/>
      <c r="E497" s="80"/>
      <c r="F497" s="80"/>
      <c r="G497" s="80"/>
      <c r="H497" s="81"/>
      <c r="I497" s="81"/>
      <c r="J497" s="35"/>
      <c r="K497" s="36"/>
      <c r="L497" s="36"/>
      <c r="M497" s="36"/>
      <c r="N497" s="36"/>
      <c r="O497" s="36"/>
      <c r="P497" s="36"/>
      <c r="Q497" s="36"/>
      <c r="R497" s="36"/>
      <c r="S497" s="36"/>
      <c r="T497" s="36"/>
      <c r="U497" s="36"/>
      <c r="V497" s="36"/>
      <c r="W497" s="36"/>
      <c r="X497" s="36"/>
      <c r="Y497" s="36"/>
      <c r="Z497" s="36"/>
      <c r="AA497" s="36"/>
      <c r="AB497" s="36"/>
      <c r="AC497" s="36"/>
    </row>
    <row r="498" spans="1:29" ht="36" customHeight="1">
      <c r="A498" s="81"/>
      <c r="B498" s="94"/>
      <c r="C498" s="81"/>
      <c r="D498" s="81"/>
      <c r="E498" s="80"/>
      <c r="F498" s="80"/>
      <c r="G498" s="80"/>
      <c r="H498" s="81"/>
      <c r="I498" s="81"/>
      <c r="J498" s="35"/>
      <c r="K498" s="36"/>
      <c r="L498" s="36"/>
      <c r="M498" s="36"/>
      <c r="N498" s="36"/>
      <c r="O498" s="36"/>
      <c r="P498" s="36"/>
      <c r="Q498" s="36"/>
      <c r="R498" s="36"/>
      <c r="S498" s="36"/>
      <c r="T498" s="36"/>
      <c r="U498" s="36"/>
      <c r="V498" s="36"/>
      <c r="W498" s="36"/>
      <c r="X498" s="36"/>
      <c r="Y498" s="36"/>
      <c r="Z498" s="36"/>
      <c r="AA498" s="36"/>
      <c r="AB498" s="36"/>
      <c r="AC498" s="36"/>
    </row>
    <row r="499" spans="1:29" ht="36" customHeight="1">
      <c r="A499" s="81"/>
      <c r="B499" s="94"/>
      <c r="C499" s="81"/>
      <c r="D499" s="81"/>
      <c r="E499" s="80"/>
      <c r="F499" s="80"/>
      <c r="G499" s="80"/>
      <c r="H499" s="81"/>
      <c r="I499" s="81"/>
      <c r="J499" s="35"/>
      <c r="K499" s="36"/>
      <c r="L499" s="36"/>
      <c r="M499" s="36"/>
      <c r="N499" s="36"/>
      <c r="O499" s="36"/>
      <c r="P499" s="36"/>
      <c r="Q499" s="36"/>
      <c r="R499" s="36"/>
      <c r="S499" s="36"/>
      <c r="T499" s="36"/>
      <c r="U499" s="36"/>
      <c r="V499" s="36"/>
      <c r="W499" s="36"/>
      <c r="X499" s="36"/>
      <c r="Y499" s="36"/>
      <c r="Z499" s="36"/>
      <c r="AA499" s="36"/>
      <c r="AB499" s="36"/>
      <c r="AC499" s="36"/>
    </row>
    <row r="500" spans="1:29" ht="36" customHeight="1">
      <c r="A500" s="81"/>
      <c r="B500" s="94"/>
      <c r="C500" s="81"/>
      <c r="D500" s="81"/>
      <c r="E500" s="80"/>
      <c r="F500" s="80"/>
      <c r="G500" s="80"/>
      <c r="H500" s="81"/>
      <c r="I500" s="81"/>
      <c r="J500" s="35"/>
      <c r="K500" s="36"/>
      <c r="L500" s="36"/>
      <c r="M500" s="36"/>
      <c r="N500" s="36"/>
      <c r="O500" s="36"/>
      <c r="P500" s="36"/>
      <c r="Q500" s="36"/>
      <c r="R500" s="36"/>
      <c r="S500" s="36"/>
      <c r="T500" s="36"/>
      <c r="U500" s="36"/>
      <c r="V500" s="36"/>
      <c r="W500" s="36"/>
      <c r="X500" s="36"/>
      <c r="Y500" s="36"/>
      <c r="Z500" s="36"/>
      <c r="AA500" s="36"/>
      <c r="AB500" s="36"/>
      <c r="AC500" s="36"/>
    </row>
    <row r="501" spans="1:29" ht="12" customHeight="1">
      <c r="A501" s="81"/>
      <c r="B501" s="94"/>
      <c r="C501" s="81"/>
      <c r="D501" s="81"/>
      <c r="E501" s="80"/>
      <c r="F501" s="80"/>
      <c r="G501" s="80"/>
      <c r="H501" s="81"/>
      <c r="I501" s="81"/>
      <c r="J501" s="35"/>
      <c r="K501" s="36"/>
      <c r="L501" s="36"/>
      <c r="M501" s="36"/>
      <c r="N501" s="36"/>
      <c r="O501" s="36"/>
      <c r="P501" s="36"/>
      <c r="Q501" s="36"/>
      <c r="R501" s="36"/>
      <c r="S501" s="36"/>
      <c r="T501" s="36"/>
      <c r="U501" s="36"/>
      <c r="V501" s="36"/>
      <c r="W501" s="36"/>
      <c r="X501" s="36"/>
      <c r="Y501" s="36"/>
      <c r="Z501" s="36"/>
      <c r="AA501" s="36"/>
      <c r="AB501" s="36"/>
      <c r="AC501" s="36"/>
    </row>
    <row r="502" spans="1:29" ht="24" customHeight="1">
      <c r="A502" s="81"/>
      <c r="B502" s="94"/>
      <c r="C502" s="81"/>
      <c r="D502" s="81"/>
      <c r="E502" s="80"/>
      <c r="F502" s="80"/>
      <c r="G502" s="80"/>
      <c r="H502" s="81"/>
      <c r="I502" s="81"/>
      <c r="J502" s="35"/>
      <c r="K502" s="36"/>
      <c r="L502" s="36"/>
      <c r="M502" s="36"/>
      <c r="N502" s="36"/>
      <c r="O502" s="36"/>
      <c r="P502" s="36"/>
      <c r="Q502" s="36"/>
      <c r="R502" s="36"/>
      <c r="S502" s="36"/>
      <c r="T502" s="36"/>
      <c r="U502" s="36"/>
      <c r="V502" s="36"/>
      <c r="W502" s="36"/>
      <c r="X502" s="36"/>
      <c r="Y502" s="36"/>
      <c r="Z502" s="36"/>
      <c r="AA502" s="36"/>
      <c r="AB502" s="36"/>
      <c r="AC502" s="36"/>
    </row>
    <row r="503" spans="1:29" ht="36" customHeight="1">
      <c r="A503" s="81"/>
      <c r="B503" s="94"/>
      <c r="C503" s="81"/>
      <c r="D503" s="81"/>
      <c r="E503" s="80"/>
      <c r="F503" s="80"/>
      <c r="G503" s="80"/>
      <c r="H503" s="81"/>
      <c r="I503" s="81"/>
      <c r="J503" s="35"/>
      <c r="K503" s="36"/>
      <c r="L503" s="36"/>
      <c r="M503" s="36"/>
      <c r="N503" s="36"/>
      <c r="O503" s="36"/>
      <c r="P503" s="36"/>
      <c r="Q503" s="36"/>
      <c r="R503" s="36"/>
      <c r="S503" s="36"/>
      <c r="T503" s="36"/>
      <c r="U503" s="36"/>
      <c r="V503" s="36"/>
      <c r="W503" s="36"/>
      <c r="X503" s="36"/>
      <c r="Y503" s="36"/>
      <c r="Z503" s="36"/>
      <c r="AA503" s="36"/>
      <c r="AB503" s="36"/>
      <c r="AC503" s="36"/>
    </row>
    <row r="504" spans="1:29" ht="48" customHeight="1">
      <c r="A504" s="81"/>
      <c r="B504" s="94"/>
      <c r="C504" s="81"/>
      <c r="D504" s="81"/>
      <c r="E504" s="80"/>
      <c r="F504" s="80"/>
      <c r="G504" s="80"/>
      <c r="H504" s="81"/>
      <c r="I504" s="81"/>
      <c r="J504" s="35"/>
      <c r="K504" s="36"/>
      <c r="L504" s="36"/>
      <c r="M504" s="36"/>
      <c r="N504" s="36"/>
      <c r="O504" s="36"/>
      <c r="P504" s="36"/>
      <c r="Q504" s="36"/>
      <c r="R504" s="36"/>
      <c r="S504" s="36"/>
      <c r="T504" s="36"/>
      <c r="U504" s="36"/>
      <c r="V504" s="36"/>
      <c r="W504" s="36"/>
      <c r="X504" s="36"/>
      <c r="Y504" s="36"/>
      <c r="Z504" s="36"/>
      <c r="AA504" s="36"/>
      <c r="AB504" s="36"/>
      <c r="AC504" s="36"/>
    </row>
    <row r="505" spans="1:29" ht="12" customHeight="1">
      <c r="A505" s="81"/>
      <c r="B505" s="94"/>
      <c r="C505" s="81"/>
      <c r="D505" s="81"/>
      <c r="E505" s="80"/>
      <c r="F505" s="80"/>
      <c r="G505" s="80"/>
      <c r="H505" s="81"/>
      <c r="I505" s="81"/>
      <c r="J505" s="35"/>
      <c r="K505" s="36"/>
      <c r="L505" s="36"/>
      <c r="M505" s="36"/>
      <c r="N505" s="36"/>
      <c r="O505" s="36"/>
      <c r="P505" s="36"/>
      <c r="Q505" s="36"/>
      <c r="R505" s="36"/>
      <c r="S505" s="36"/>
      <c r="T505" s="36"/>
      <c r="U505" s="36"/>
      <c r="V505" s="36"/>
      <c r="W505" s="36"/>
      <c r="X505" s="36"/>
      <c r="Y505" s="36"/>
      <c r="Z505" s="36"/>
      <c r="AA505" s="36"/>
      <c r="AB505" s="36"/>
      <c r="AC505" s="36"/>
    </row>
    <row r="506" spans="1:29" ht="24" customHeight="1">
      <c r="A506" s="81"/>
      <c r="B506" s="94"/>
      <c r="C506" s="81"/>
      <c r="D506" s="81"/>
      <c r="E506" s="80"/>
      <c r="F506" s="80"/>
      <c r="G506" s="80"/>
      <c r="H506" s="81"/>
      <c r="I506" s="81"/>
      <c r="J506" s="35"/>
      <c r="K506" s="36"/>
      <c r="L506" s="36"/>
      <c r="M506" s="36"/>
      <c r="N506" s="36"/>
      <c r="O506" s="36"/>
      <c r="P506" s="36"/>
      <c r="Q506" s="36"/>
      <c r="R506" s="36"/>
      <c r="S506" s="36"/>
      <c r="T506" s="36"/>
      <c r="U506" s="36"/>
      <c r="V506" s="36"/>
      <c r="W506" s="36"/>
      <c r="X506" s="36"/>
      <c r="Y506" s="36"/>
      <c r="Z506" s="36"/>
      <c r="AA506" s="36"/>
      <c r="AB506" s="36"/>
      <c r="AC506" s="36"/>
    </row>
    <row r="507" spans="1:29" ht="24" customHeight="1">
      <c r="A507" s="81"/>
      <c r="B507" s="94"/>
      <c r="C507" s="81"/>
      <c r="D507" s="81"/>
      <c r="E507" s="80"/>
      <c r="F507" s="80"/>
      <c r="G507" s="80"/>
      <c r="H507" s="81"/>
      <c r="I507" s="81"/>
      <c r="J507" s="35"/>
      <c r="K507" s="36"/>
      <c r="L507" s="36"/>
      <c r="M507" s="36"/>
      <c r="N507" s="36"/>
      <c r="O507" s="36"/>
      <c r="P507" s="36"/>
      <c r="Q507" s="36"/>
      <c r="R507" s="36"/>
      <c r="S507" s="36"/>
      <c r="T507" s="36"/>
      <c r="U507" s="36"/>
      <c r="V507" s="36"/>
      <c r="W507" s="36"/>
      <c r="X507" s="36"/>
      <c r="Y507" s="36"/>
      <c r="Z507" s="36"/>
      <c r="AA507" s="36"/>
      <c r="AB507" s="36"/>
      <c r="AC507" s="36"/>
    </row>
    <row r="508" spans="1:29" ht="48" customHeight="1">
      <c r="A508" s="81"/>
      <c r="B508" s="94"/>
      <c r="C508" s="81"/>
      <c r="D508" s="81"/>
      <c r="E508" s="80"/>
      <c r="F508" s="80"/>
      <c r="G508" s="80"/>
      <c r="H508" s="81"/>
      <c r="I508" s="81"/>
      <c r="J508" s="35"/>
      <c r="K508" s="36"/>
      <c r="L508" s="36"/>
      <c r="M508" s="36"/>
      <c r="N508" s="36"/>
      <c r="O508" s="36"/>
      <c r="P508" s="36"/>
      <c r="Q508" s="36"/>
      <c r="R508" s="36"/>
      <c r="S508" s="36"/>
      <c r="T508" s="36"/>
      <c r="U508" s="36"/>
      <c r="V508" s="36"/>
      <c r="W508" s="36"/>
      <c r="X508" s="36"/>
      <c r="Y508" s="36"/>
      <c r="Z508" s="36"/>
      <c r="AA508" s="36"/>
      <c r="AB508" s="36"/>
      <c r="AC508" s="36"/>
    </row>
    <row r="509" spans="1:29" ht="24" customHeight="1">
      <c r="A509" s="81"/>
      <c r="B509" s="94"/>
      <c r="C509" s="81"/>
      <c r="D509" s="81"/>
      <c r="E509" s="80"/>
      <c r="F509" s="80"/>
      <c r="G509" s="80"/>
      <c r="H509" s="81"/>
      <c r="I509" s="81"/>
      <c r="J509" s="35"/>
      <c r="K509" s="36"/>
      <c r="L509" s="36"/>
      <c r="M509" s="36"/>
      <c r="N509" s="36"/>
      <c r="O509" s="36"/>
      <c r="P509" s="36"/>
      <c r="Q509" s="36"/>
      <c r="R509" s="36"/>
      <c r="S509" s="36"/>
      <c r="T509" s="36"/>
      <c r="U509" s="36"/>
      <c r="V509" s="36"/>
      <c r="W509" s="36"/>
      <c r="X509" s="36"/>
      <c r="Y509" s="36"/>
      <c r="Z509" s="36"/>
      <c r="AA509" s="36"/>
      <c r="AB509" s="36"/>
      <c r="AC509" s="36"/>
    </row>
    <row r="510" spans="1:29" ht="36" customHeight="1">
      <c r="A510" s="81"/>
      <c r="B510" s="94"/>
      <c r="C510" s="81"/>
      <c r="D510" s="81"/>
      <c r="E510" s="80"/>
      <c r="F510" s="80"/>
      <c r="G510" s="80"/>
      <c r="H510" s="81"/>
      <c r="I510" s="81"/>
      <c r="J510" s="35"/>
      <c r="K510" s="36"/>
      <c r="L510" s="36"/>
      <c r="M510" s="36"/>
      <c r="N510" s="36"/>
      <c r="O510" s="36"/>
      <c r="P510" s="36"/>
      <c r="Q510" s="36"/>
      <c r="R510" s="36"/>
      <c r="S510" s="36"/>
      <c r="T510" s="36"/>
      <c r="U510" s="36"/>
      <c r="V510" s="36"/>
      <c r="W510" s="36"/>
      <c r="X510" s="36"/>
      <c r="Y510" s="36"/>
      <c r="Z510" s="36"/>
      <c r="AA510" s="36"/>
      <c r="AB510" s="36"/>
      <c r="AC510" s="36"/>
    </row>
    <row r="511" spans="1:29" ht="24" customHeight="1">
      <c r="A511" s="81"/>
      <c r="B511" s="94"/>
      <c r="C511" s="81"/>
      <c r="D511" s="81"/>
      <c r="E511" s="80"/>
      <c r="F511" s="80"/>
      <c r="G511" s="80"/>
      <c r="H511" s="81"/>
      <c r="I511" s="81"/>
      <c r="J511" s="35"/>
      <c r="K511" s="36"/>
      <c r="L511" s="36"/>
      <c r="M511" s="36"/>
      <c r="N511" s="36"/>
      <c r="O511" s="36"/>
      <c r="P511" s="36"/>
      <c r="Q511" s="36"/>
      <c r="R511" s="36"/>
      <c r="S511" s="36"/>
      <c r="T511" s="36"/>
      <c r="U511" s="36"/>
      <c r="V511" s="36"/>
      <c r="W511" s="36"/>
      <c r="X511" s="36"/>
      <c r="Y511" s="36"/>
      <c r="Z511" s="36"/>
      <c r="AA511" s="36"/>
      <c r="AB511" s="36"/>
      <c r="AC511" s="36"/>
    </row>
    <row r="512" spans="1:29" ht="24" customHeight="1">
      <c r="A512" s="81"/>
      <c r="B512" s="94"/>
      <c r="C512" s="81"/>
      <c r="D512" s="81"/>
      <c r="E512" s="80"/>
      <c r="F512" s="80"/>
      <c r="G512" s="80"/>
      <c r="H512" s="81"/>
      <c r="I512" s="81"/>
      <c r="J512" s="35"/>
      <c r="K512" s="36"/>
      <c r="L512" s="36"/>
      <c r="M512" s="36"/>
      <c r="N512" s="36"/>
      <c r="O512" s="36"/>
      <c r="P512" s="36"/>
      <c r="Q512" s="36"/>
      <c r="R512" s="36"/>
      <c r="S512" s="36"/>
      <c r="T512" s="36"/>
      <c r="U512" s="36"/>
      <c r="V512" s="36"/>
      <c r="W512" s="36"/>
      <c r="X512" s="36"/>
      <c r="Y512" s="36"/>
      <c r="Z512" s="36"/>
      <c r="AA512" s="36"/>
      <c r="AB512" s="36"/>
      <c r="AC512" s="36"/>
    </row>
    <row r="513" spans="1:29" ht="240" customHeight="1">
      <c r="A513" s="81"/>
      <c r="B513" s="94"/>
      <c r="C513" s="81"/>
      <c r="D513" s="81"/>
      <c r="E513" s="80"/>
      <c r="F513" s="80"/>
      <c r="G513" s="80"/>
      <c r="H513" s="81"/>
      <c r="I513" s="81"/>
      <c r="J513" s="35"/>
      <c r="K513" s="36"/>
      <c r="L513" s="36"/>
      <c r="M513" s="36"/>
      <c r="N513" s="36"/>
      <c r="O513" s="36"/>
      <c r="P513" s="36"/>
      <c r="Q513" s="36"/>
      <c r="R513" s="36"/>
      <c r="S513" s="36"/>
      <c r="T513" s="36"/>
      <c r="U513" s="36"/>
      <c r="V513" s="36"/>
      <c r="W513" s="36"/>
      <c r="X513" s="36"/>
      <c r="Y513" s="36"/>
      <c r="Z513" s="36"/>
      <c r="AA513" s="36"/>
      <c r="AB513" s="36"/>
      <c r="AC513" s="36"/>
    </row>
    <row r="514" spans="1:29" ht="60" customHeight="1">
      <c r="A514" s="81"/>
      <c r="B514" s="94"/>
      <c r="C514" s="81"/>
      <c r="D514" s="81"/>
      <c r="E514" s="80"/>
      <c r="F514" s="80"/>
      <c r="G514" s="80"/>
      <c r="H514" s="81"/>
      <c r="I514" s="81"/>
      <c r="J514" s="35"/>
      <c r="K514" s="36"/>
      <c r="L514" s="36"/>
      <c r="M514" s="36"/>
      <c r="N514" s="36"/>
      <c r="O514" s="36"/>
      <c r="P514" s="36"/>
      <c r="Q514" s="36"/>
      <c r="R514" s="36"/>
      <c r="S514" s="36"/>
      <c r="T514" s="36"/>
      <c r="U514" s="36"/>
      <c r="V514" s="36"/>
      <c r="W514" s="36"/>
      <c r="X514" s="36"/>
      <c r="Y514" s="36"/>
      <c r="Z514" s="36"/>
      <c r="AA514" s="36"/>
      <c r="AB514" s="36"/>
      <c r="AC514" s="36"/>
    </row>
    <row r="515" spans="1:29" ht="60" customHeight="1">
      <c r="A515" s="81"/>
      <c r="B515" s="94"/>
      <c r="C515" s="81"/>
      <c r="D515" s="81"/>
      <c r="E515" s="80"/>
      <c r="F515" s="80"/>
      <c r="G515" s="80"/>
      <c r="H515" s="81"/>
      <c r="I515" s="81"/>
      <c r="J515" s="35"/>
      <c r="K515" s="36"/>
      <c r="L515" s="36"/>
      <c r="M515" s="36"/>
      <c r="N515" s="36"/>
      <c r="O515" s="36"/>
      <c r="P515" s="36"/>
      <c r="Q515" s="36"/>
      <c r="R515" s="36"/>
      <c r="S515" s="36"/>
      <c r="T515" s="36"/>
      <c r="U515" s="36"/>
      <c r="V515" s="36"/>
      <c r="W515" s="36"/>
      <c r="X515" s="36"/>
      <c r="Y515" s="36"/>
      <c r="Z515" s="36"/>
      <c r="AA515" s="36"/>
      <c r="AB515" s="36"/>
      <c r="AC515" s="36"/>
    </row>
    <row r="516" spans="1:29" ht="24" customHeight="1">
      <c r="A516" s="81"/>
      <c r="B516" s="94"/>
      <c r="C516" s="81"/>
      <c r="D516" s="81"/>
      <c r="E516" s="80"/>
      <c r="F516" s="80"/>
      <c r="G516" s="80"/>
      <c r="H516" s="81"/>
      <c r="I516" s="81"/>
      <c r="J516" s="35"/>
      <c r="K516" s="36"/>
      <c r="L516" s="36"/>
      <c r="M516" s="36"/>
      <c r="N516" s="36"/>
      <c r="O516" s="36"/>
      <c r="P516" s="36"/>
      <c r="Q516" s="36"/>
      <c r="R516" s="36"/>
      <c r="S516" s="36"/>
      <c r="T516" s="36"/>
      <c r="U516" s="36"/>
      <c r="V516" s="36"/>
      <c r="W516" s="36"/>
      <c r="X516" s="36"/>
      <c r="Y516" s="36"/>
      <c r="Z516" s="36"/>
      <c r="AA516" s="36"/>
      <c r="AB516" s="36"/>
      <c r="AC516" s="36"/>
    </row>
    <row r="517" spans="1:29" ht="24" customHeight="1">
      <c r="A517" s="81"/>
      <c r="B517" s="94"/>
      <c r="C517" s="81"/>
      <c r="D517" s="81"/>
      <c r="E517" s="80"/>
      <c r="F517" s="80"/>
      <c r="G517" s="80"/>
      <c r="H517" s="81"/>
      <c r="I517" s="81"/>
      <c r="J517" s="35"/>
      <c r="K517" s="36"/>
      <c r="L517" s="36"/>
      <c r="M517" s="36"/>
      <c r="N517" s="36"/>
      <c r="O517" s="36"/>
      <c r="P517" s="36"/>
      <c r="Q517" s="36"/>
      <c r="R517" s="36"/>
      <c r="S517" s="36"/>
      <c r="T517" s="36"/>
      <c r="U517" s="36"/>
      <c r="V517" s="36"/>
      <c r="W517" s="36"/>
      <c r="X517" s="36"/>
      <c r="Y517" s="36"/>
      <c r="Z517" s="36"/>
      <c r="AA517" s="36"/>
      <c r="AB517" s="36"/>
      <c r="AC517" s="36"/>
    </row>
    <row r="518" spans="1:29" ht="84" customHeight="1">
      <c r="A518" s="81"/>
      <c r="B518" s="94"/>
      <c r="C518" s="81"/>
      <c r="D518" s="81"/>
      <c r="E518" s="80"/>
      <c r="F518" s="80"/>
      <c r="G518" s="80"/>
      <c r="H518" s="81"/>
      <c r="I518" s="81"/>
      <c r="J518" s="35"/>
      <c r="K518" s="36"/>
      <c r="L518" s="36"/>
      <c r="M518" s="36"/>
      <c r="N518" s="36"/>
      <c r="O518" s="36"/>
      <c r="P518" s="36"/>
      <c r="Q518" s="36"/>
      <c r="R518" s="36"/>
      <c r="S518" s="36"/>
      <c r="T518" s="36"/>
      <c r="U518" s="36"/>
      <c r="V518" s="36"/>
      <c r="W518" s="36"/>
      <c r="X518" s="36"/>
      <c r="Y518" s="36"/>
      <c r="Z518" s="36"/>
      <c r="AA518" s="36"/>
      <c r="AB518" s="36"/>
      <c r="AC518" s="36"/>
    </row>
    <row r="519" spans="1:29" ht="36" customHeight="1">
      <c r="A519" s="81"/>
      <c r="B519" s="94"/>
      <c r="C519" s="81"/>
      <c r="D519" s="81"/>
      <c r="E519" s="80"/>
      <c r="F519" s="80"/>
      <c r="G519" s="80"/>
      <c r="H519" s="81"/>
      <c r="I519" s="81"/>
      <c r="J519" s="35"/>
      <c r="K519" s="36"/>
      <c r="L519" s="36"/>
      <c r="M519" s="36"/>
      <c r="N519" s="36"/>
      <c r="O519" s="36"/>
      <c r="P519" s="36"/>
      <c r="Q519" s="36"/>
      <c r="R519" s="36"/>
      <c r="S519" s="36"/>
      <c r="T519" s="36"/>
      <c r="U519" s="36"/>
      <c r="V519" s="36"/>
      <c r="W519" s="36"/>
      <c r="X519" s="36"/>
      <c r="Y519" s="36"/>
      <c r="Z519" s="36"/>
      <c r="AA519" s="36"/>
      <c r="AB519" s="36"/>
      <c r="AC519" s="36"/>
    </row>
    <row r="520" spans="1:29" ht="24" customHeight="1">
      <c r="A520" s="81"/>
      <c r="B520" s="94"/>
      <c r="C520" s="81"/>
      <c r="D520" s="81"/>
      <c r="E520" s="80"/>
      <c r="F520" s="80"/>
      <c r="G520" s="80"/>
      <c r="H520" s="81"/>
      <c r="I520" s="81"/>
      <c r="J520" s="35"/>
      <c r="K520" s="36"/>
      <c r="L520" s="36"/>
      <c r="M520" s="36"/>
      <c r="N520" s="36"/>
      <c r="O520" s="36"/>
      <c r="P520" s="36"/>
      <c r="Q520" s="36"/>
      <c r="R520" s="36"/>
      <c r="S520" s="36"/>
      <c r="T520" s="36"/>
      <c r="U520" s="36"/>
      <c r="V520" s="36"/>
      <c r="W520" s="36"/>
      <c r="X520" s="36"/>
      <c r="Y520" s="36"/>
      <c r="Z520" s="36"/>
      <c r="AA520" s="36"/>
      <c r="AB520" s="36"/>
      <c r="AC520" s="36"/>
    </row>
    <row r="521" spans="1:29" ht="36" customHeight="1">
      <c r="A521" s="81"/>
      <c r="B521" s="94"/>
      <c r="C521" s="81"/>
      <c r="D521" s="81"/>
      <c r="E521" s="80"/>
      <c r="F521" s="80"/>
      <c r="G521" s="80"/>
      <c r="H521" s="81"/>
      <c r="I521" s="81"/>
      <c r="J521" s="35"/>
      <c r="K521" s="36"/>
      <c r="L521" s="36"/>
      <c r="M521" s="36"/>
      <c r="N521" s="36"/>
      <c r="O521" s="36"/>
      <c r="P521" s="36"/>
      <c r="Q521" s="36"/>
      <c r="R521" s="36"/>
      <c r="S521" s="36"/>
      <c r="T521" s="36"/>
      <c r="U521" s="36"/>
      <c r="V521" s="36"/>
      <c r="W521" s="36"/>
      <c r="X521" s="36"/>
      <c r="Y521" s="36"/>
      <c r="Z521" s="36"/>
      <c r="AA521" s="36"/>
      <c r="AB521" s="36"/>
      <c r="AC521" s="36"/>
    </row>
    <row r="522" spans="1:29" ht="24" customHeight="1">
      <c r="A522" s="81"/>
      <c r="B522" s="94"/>
      <c r="C522" s="81"/>
      <c r="D522" s="81"/>
      <c r="E522" s="80"/>
      <c r="F522" s="80"/>
      <c r="G522" s="80"/>
      <c r="H522" s="81"/>
      <c r="I522" s="81"/>
      <c r="J522" s="35"/>
      <c r="K522" s="36"/>
      <c r="L522" s="36"/>
      <c r="M522" s="36"/>
      <c r="N522" s="36"/>
      <c r="O522" s="36"/>
      <c r="P522" s="36"/>
      <c r="Q522" s="36"/>
      <c r="R522" s="36"/>
      <c r="S522" s="36"/>
      <c r="T522" s="36"/>
      <c r="U522" s="36"/>
      <c r="V522" s="36"/>
      <c r="W522" s="36"/>
      <c r="X522" s="36"/>
      <c r="Y522" s="36"/>
      <c r="Z522" s="36"/>
      <c r="AA522" s="36"/>
      <c r="AB522" s="36"/>
      <c r="AC522" s="36"/>
    </row>
    <row r="523" spans="1:29" ht="24" customHeight="1">
      <c r="A523" s="81"/>
      <c r="B523" s="94"/>
      <c r="C523" s="81"/>
      <c r="D523" s="81"/>
      <c r="E523" s="80"/>
      <c r="F523" s="80"/>
      <c r="G523" s="80"/>
      <c r="H523" s="81"/>
      <c r="I523" s="81"/>
      <c r="J523" s="35"/>
      <c r="K523" s="36"/>
      <c r="L523" s="36"/>
      <c r="M523" s="36"/>
      <c r="N523" s="36"/>
      <c r="O523" s="36"/>
      <c r="P523" s="36"/>
      <c r="Q523" s="36"/>
      <c r="R523" s="36"/>
      <c r="S523" s="36"/>
      <c r="T523" s="36"/>
      <c r="U523" s="36"/>
      <c r="V523" s="36"/>
      <c r="W523" s="36"/>
      <c r="X523" s="36"/>
      <c r="Y523" s="36"/>
      <c r="Z523" s="36"/>
      <c r="AA523" s="36"/>
      <c r="AB523" s="36"/>
      <c r="AC523" s="36"/>
    </row>
    <row r="524" spans="1:29" ht="24" customHeight="1">
      <c r="A524" s="81"/>
      <c r="B524" s="94"/>
      <c r="C524" s="81"/>
      <c r="D524" s="81"/>
      <c r="E524" s="80"/>
      <c r="F524" s="80"/>
      <c r="G524" s="80"/>
      <c r="H524" s="81"/>
      <c r="I524" s="81"/>
      <c r="J524" s="35"/>
      <c r="K524" s="36"/>
      <c r="L524" s="36"/>
      <c r="M524" s="36"/>
      <c r="N524" s="36"/>
      <c r="O524" s="36"/>
      <c r="P524" s="36"/>
      <c r="Q524" s="36"/>
      <c r="R524" s="36"/>
      <c r="S524" s="36"/>
      <c r="T524" s="36"/>
      <c r="U524" s="36"/>
      <c r="V524" s="36"/>
      <c r="W524" s="36"/>
      <c r="X524" s="36"/>
      <c r="Y524" s="36"/>
      <c r="Z524" s="36"/>
      <c r="AA524" s="36"/>
      <c r="AB524" s="36"/>
      <c r="AC524" s="36"/>
    </row>
    <row r="525" spans="1:29" ht="12" customHeight="1">
      <c r="A525" s="81"/>
      <c r="B525" s="94"/>
      <c r="C525" s="81"/>
      <c r="D525" s="81"/>
      <c r="E525" s="80"/>
      <c r="F525" s="80"/>
      <c r="G525" s="80"/>
      <c r="H525" s="81"/>
      <c r="I525" s="81"/>
      <c r="J525" s="35"/>
      <c r="K525" s="36"/>
      <c r="L525" s="36"/>
      <c r="M525" s="36"/>
      <c r="N525" s="36"/>
      <c r="O525" s="36"/>
      <c r="P525" s="36"/>
      <c r="Q525" s="36"/>
      <c r="R525" s="36"/>
      <c r="S525" s="36"/>
      <c r="T525" s="36"/>
      <c r="U525" s="36"/>
      <c r="V525" s="36"/>
      <c r="W525" s="36"/>
      <c r="X525" s="36"/>
      <c r="Y525" s="36"/>
      <c r="Z525" s="36"/>
      <c r="AA525" s="36"/>
      <c r="AB525" s="36"/>
      <c r="AC525" s="36"/>
    </row>
    <row r="526" spans="1:29" ht="24" customHeight="1">
      <c r="A526" s="81"/>
      <c r="B526" s="94"/>
      <c r="C526" s="81"/>
      <c r="D526" s="81"/>
      <c r="E526" s="80"/>
      <c r="F526" s="80"/>
      <c r="G526" s="80"/>
      <c r="H526" s="81"/>
      <c r="I526" s="81"/>
      <c r="J526" s="35"/>
      <c r="K526" s="36"/>
      <c r="L526" s="36"/>
      <c r="M526" s="36"/>
      <c r="N526" s="36"/>
      <c r="O526" s="36"/>
      <c r="P526" s="36"/>
      <c r="Q526" s="36"/>
      <c r="R526" s="36"/>
      <c r="S526" s="36"/>
      <c r="T526" s="36"/>
      <c r="U526" s="36"/>
      <c r="V526" s="36"/>
      <c r="W526" s="36"/>
      <c r="X526" s="36"/>
      <c r="Y526" s="36"/>
      <c r="Z526" s="36"/>
      <c r="AA526" s="36"/>
      <c r="AB526" s="36"/>
      <c r="AC526" s="36"/>
    </row>
    <row r="527" spans="1:29" ht="24" customHeight="1">
      <c r="A527" s="81"/>
      <c r="B527" s="94"/>
      <c r="C527" s="81"/>
      <c r="D527" s="81"/>
      <c r="E527" s="80"/>
      <c r="F527" s="80"/>
      <c r="G527" s="80"/>
      <c r="H527" s="81"/>
      <c r="I527" s="81"/>
      <c r="J527" s="35"/>
      <c r="K527" s="36"/>
      <c r="L527" s="36"/>
      <c r="M527" s="36"/>
      <c r="N527" s="36"/>
      <c r="O527" s="36"/>
      <c r="P527" s="36"/>
      <c r="Q527" s="36"/>
      <c r="R527" s="36"/>
      <c r="S527" s="36"/>
      <c r="T527" s="36"/>
      <c r="U527" s="36"/>
      <c r="V527" s="36"/>
      <c r="W527" s="36"/>
      <c r="X527" s="36"/>
      <c r="Y527" s="36"/>
      <c r="Z527" s="36"/>
      <c r="AA527" s="36"/>
      <c r="AB527" s="36"/>
      <c r="AC527" s="36"/>
    </row>
    <row r="528" spans="1:29" ht="24" customHeight="1">
      <c r="A528" s="81"/>
      <c r="B528" s="94"/>
      <c r="C528" s="81"/>
      <c r="D528" s="81"/>
      <c r="E528" s="80"/>
      <c r="F528" s="80"/>
      <c r="G528" s="80"/>
      <c r="H528" s="81"/>
      <c r="I528" s="81"/>
      <c r="J528" s="35"/>
      <c r="K528" s="36"/>
      <c r="L528" s="36"/>
      <c r="M528" s="36"/>
      <c r="N528" s="36"/>
      <c r="O528" s="36"/>
      <c r="P528" s="36"/>
      <c r="Q528" s="36"/>
      <c r="R528" s="36"/>
      <c r="S528" s="36"/>
      <c r="T528" s="36"/>
      <c r="U528" s="36"/>
      <c r="V528" s="36"/>
      <c r="W528" s="36"/>
      <c r="X528" s="36"/>
      <c r="Y528" s="36"/>
      <c r="Z528" s="36"/>
      <c r="AA528" s="36"/>
      <c r="AB528" s="36"/>
      <c r="AC528" s="36"/>
    </row>
    <row r="529" spans="1:29" ht="24" customHeight="1">
      <c r="A529" s="81"/>
      <c r="B529" s="94"/>
      <c r="C529" s="81"/>
      <c r="D529" s="81"/>
      <c r="E529" s="80"/>
      <c r="F529" s="80"/>
      <c r="G529" s="80"/>
      <c r="H529" s="81"/>
      <c r="I529" s="81"/>
      <c r="J529" s="35"/>
      <c r="K529" s="36"/>
      <c r="L529" s="36"/>
      <c r="M529" s="36"/>
      <c r="N529" s="36"/>
      <c r="O529" s="36"/>
      <c r="P529" s="36"/>
      <c r="Q529" s="36"/>
      <c r="R529" s="36"/>
      <c r="S529" s="36"/>
      <c r="T529" s="36"/>
      <c r="U529" s="36"/>
      <c r="V529" s="36"/>
      <c r="W529" s="36"/>
      <c r="X529" s="36"/>
      <c r="Y529" s="36"/>
      <c r="Z529" s="36"/>
      <c r="AA529" s="36"/>
      <c r="AB529" s="36"/>
      <c r="AC529" s="36"/>
    </row>
    <row r="530" spans="1:29" ht="24" customHeight="1">
      <c r="A530" s="81"/>
      <c r="B530" s="94"/>
      <c r="C530" s="81"/>
      <c r="D530" s="81"/>
      <c r="E530" s="80"/>
      <c r="F530" s="80"/>
      <c r="G530" s="80"/>
      <c r="H530" s="81"/>
      <c r="I530" s="81"/>
      <c r="J530" s="35"/>
      <c r="K530" s="36"/>
      <c r="L530" s="36"/>
      <c r="M530" s="36"/>
      <c r="N530" s="36"/>
      <c r="O530" s="36"/>
      <c r="P530" s="36"/>
      <c r="Q530" s="36"/>
      <c r="R530" s="36"/>
      <c r="S530" s="36"/>
      <c r="T530" s="36"/>
      <c r="U530" s="36"/>
      <c r="V530" s="36"/>
      <c r="W530" s="36"/>
      <c r="X530" s="36"/>
      <c r="Y530" s="36"/>
      <c r="Z530" s="36"/>
      <c r="AA530" s="36"/>
      <c r="AB530" s="36"/>
      <c r="AC530" s="36"/>
    </row>
    <row r="531" spans="1:29" ht="60" customHeight="1">
      <c r="A531" s="81"/>
      <c r="B531" s="94"/>
      <c r="C531" s="81"/>
      <c r="D531" s="81"/>
      <c r="E531" s="80"/>
      <c r="F531" s="80"/>
      <c r="G531" s="80"/>
      <c r="H531" s="81"/>
      <c r="I531" s="81"/>
      <c r="J531" s="35"/>
      <c r="K531" s="36"/>
      <c r="L531" s="36"/>
      <c r="M531" s="36"/>
      <c r="N531" s="36"/>
      <c r="O531" s="36"/>
      <c r="P531" s="36"/>
      <c r="Q531" s="36"/>
      <c r="R531" s="36"/>
      <c r="S531" s="36"/>
      <c r="T531" s="36"/>
      <c r="U531" s="36"/>
      <c r="V531" s="36"/>
      <c r="W531" s="36"/>
      <c r="X531" s="36"/>
      <c r="Y531" s="36"/>
      <c r="Z531" s="36"/>
      <c r="AA531" s="36"/>
      <c r="AB531" s="36"/>
      <c r="AC531" s="36"/>
    </row>
    <row r="532" spans="1:29" ht="24" customHeight="1">
      <c r="A532" s="81"/>
      <c r="B532" s="94"/>
      <c r="C532" s="81"/>
      <c r="D532" s="81"/>
      <c r="E532" s="80"/>
      <c r="F532" s="80"/>
      <c r="G532" s="80"/>
      <c r="H532" s="81"/>
      <c r="I532" s="81"/>
      <c r="J532" s="35"/>
      <c r="K532" s="36"/>
      <c r="L532" s="36"/>
      <c r="M532" s="36"/>
      <c r="N532" s="36"/>
      <c r="O532" s="36"/>
      <c r="P532" s="36"/>
      <c r="Q532" s="36"/>
      <c r="R532" s="36"/>
      <c r="S532" s="36"/>
      <c r="T532" s="36"/>
      <c r="U532" s="36"/>
      <c r="V532" s="36"/>
      <c r="W532" s="36"/>
      <c r="X532" s="36"/>
      <c r="Y532" s="36"/>
      <c r="Z532" s="36"/>
      <c r="AA532" s="36"/>
      <c r="AB532" s="36"/>
      <c r="AC532" s="36"/>
    </row>
    <row r="533" spans="1:29" ht="96" customHeight="1">
      <c r="A533" s="81"/>
      <c r="B533" s="94"/>
      <c r="C533" s="81"/>
      <c r="D533" s="81"/>
      <c r="E533" s="80"/>
      <c r="F533" s="80"/>
      <c r="G533" s="80"/>
      <c r="H533" s="81"/>
      <c r="I533" s="81"/>
      <c r="J533" s="35"/>
      <c r="K533" s="36"/>
      <c r="L533" s="36"/>
      <c r="M533" s="36"/>
      <c r="N533" s="36"/>
      <c r="O533" s="36"/>
      <c r="P533" s="36"/>
      <c r="Q533" s="36"/>
      <c r="R533" s="36"/>
      <c r="S533" s="36"/>
      <c r="T533" s="36"/>
      <c r="U533" s="36"/>
      <c r="V533" s="36"/>
      <c r="W533" s="36"/>
      <c r="X533" s="36"/>
      <c r="Y533" s="36"/>
      <c r="Z533" s="36"/>
      <c r="AA533" s="36"/>
      <c r="AB533" s="36"/>
      <c r="AC533" s="36"/>
    </row>
    <row r="534" spans="1:29" ht="48" customHeight="1">
      <c r="A534" s="81"/>
      <c r="B534" s="94"/>
      <c r="C534" s="81"/>
      <c r="D534" s="81"/>
      <c r="E534" s="80"/>
      <c r="F534" s="80"/>
      <c r="G534" s="80"/>
      <c r="H534" s="81"/>
      <c r="I534" s="81"/>
      <c r="J534" s="35"/>
      <c r="K534" s="36"/>
      <c r="L534" s="36"/>
      <c r="M534" s="36"/>
      <c r="N534" s="36"/>
      <c r="O534" s="36"/>
      <c r="P534" s="36"/>
      <c r="Q534" s="36"/>
      <c r="R534" s="36"/>
      <c r="S534" s="36"/>
      <c r="T534" s="36"/>
      <c r="U534" s="36"/>
      <c r="V534" s="36"/>
      <c r="W534" s="36"/>
      <c r="X534" s="36"/>
      <c r="Y534" s="36"/>
      <c r="Z534" s="36"/>
      <c r="AA534" s="36"/>
      <c r="AB534" s="36"/>
      <c r="AC534" s="36"/>
    </row>
    <row r="535" spans="1:29" ht="48" customHeight="1">
      <c r="A535" s="81"/>
      <c r="B535" s="94"/>
      <c r="C535" s="81"/>
      <c r="D535" s="81"/>
      <c r="E535" s="80"/>
      <c r="F535" s="80"/>
      <c r="G535" s="80"/>
      <c r="H535" s="81"/>
      <c r="I535" s="81"/>
      <c r="J535" s="35"/>
      <c r="K535" s="36"/>
      <c r="L535" s="36"/>
      <c r="M535" s="36"/>
      <c r="N535" s="36"/>
      <c r="O535" s="36"/>
      <c r="P535" s="36"/>
      <c r="Q535" s="36"/>
      <c r="R535" s="36"/>
      <c r="S535" s="36"/>
      <c r="T535" s="36"/>
      <c r="U535" s="36"/>
      <c r="V535" s="36"/>
      <c r="W535" s="36"/>
      <c r="X535" s="36"/>
      <c r="Y535" s="36"/>
      <c r="Z535" s="36"/>
      <c r="AA535" s="36"/>
      <c r="AB535" s="36"/>
      <c r="AC535" s="36"/>
    </row>
    <row r="536" spans="1:29" ht="24" customHeight="1">
      <c r="A536" s="81"/>
      <c r="B536" s="94"/>
      <c r="C536" s="81"/>
      <c r="D536" s="81"/>
      <c r="E536" s="80"/>
      <c r="F536" s="80"/>
      <c r="G536" s="80"/>
      <c r="H536" s="81"/>
      <c r="I536" s="81"/>
      <c r="J536" s="35"/>
      <c r="K536" s="36"/>
      <c r="L536" s="36"/>
      <c r="M536" s="36"/>
      <c r="N536" s="36"/>
      <c r="O536" s="36"/>
      <c r="P536" s="36"/>
      <c r="Q536" s="36"/>
      <c r="R536" s="36"/>
      <c r="S536" s="36"/>
      <c r="T536" s="36"/>
      <c r="U536" s="36"/>
      <c r="V536" s="36"/>
      <c r="W536" s="36"/>
      <c r="X536" s="36"/>
      <c r="Y536" s="36"/>
      <c r="Z536" s="36"/>
      <c r="AA536" s="36"/>
      <c r="AB536" s="36"/>
      <c r="AC536" s="36"/>
    </row>
    <row r="537" spans="1:29" ht="24" customHeight="1">
      <c r="A537" s="81"/>
      <c r="B537" s="94"/>
      <c r="C537" s="81"/>
      <c r="D537" s="81"/>
      <c r="E537" s="80"/>
      <c r="F537" s="80"/>
      <c r="G537" s="80"/>
      <c r="H537" s="81"/>
      <c r="I537" s="81"/>
      <c r="J537" s="35"/>
      <c r="K537" s="36"/>
      <c r="L537" s="36"/>
      <c r="M537" s="36"/>
      <c r="N537" s="36"/>
      <c r="O537" s="36"/>
      <c r="P537" s="36"/>
      <c r="Q537" s="36"/>
      <c r="R537" s="36"/>
      <c r="S537" s="36"/>
      <c r="T537" s="36"/>
      <c r="U537" s="36"/>
      <c r="V537" s="36"/>
      <c r="W537" s="36"/>
      <c r="X537" s="36"/>
      <c r="Y537" s="36"/>
      <c r="Z537" s="36"/>
      <c r="AA537" s="36"/>
      <c r="AB537" s="36"/>
      <c r="AC537" s="36"/>
    </row>
    <row r="538" spans="1:29" ht="12" customHeight="1">
      <c r="A538" s="81"/>
      <c r="B538" s="94"/>
      <c r="C538" s="81"/>
      <c r="D538" s="81"/>
      <c r="E538" s="80"/>
      <c r="F538" s="80"/>
      <c r="G538" s="80"/>
      <c r="H538" s="81"/>
      <c r="I538" s="81"/>
      <c r="J538" s="35"/>
      <c r="K538" s="36"/>
      <c r="L538" s="36"/>
      <c r="M538" s="36"/>
      <c r="N538" s="36"/>
      <c r="O538" s="36"/>
      <c r="P538" s="36"/>
      <c r="Q538" s="36"/>
      <c r="R538" s="36"/>
      <c r="S538" s="36"/>
      <c r="T538" s="36"/>
      <c r="U538" s="36"/>
      <c r="V538" s="36"/>
      <c r="W538" s="36"/>
      <c r="X538" s="36"/>
      <c r="Y538" s="36"/>
      <c r="Z538" s="36"/>
      <c r="AA538" s="36"/>
      <c r="AB538" s="36"/>
      <c r="AC538" s="36"/>
    </row>
    <row r="539" spans="1:29" ht="36" customHeight="1">
      <c r="A539" s="81"/>
      <c r="B539" s="94"/>
      <c r="C539" s="81"/>
      <c r="D539" s="81"/>
      <c r="E539" s="80"/>
      <c r="F539" s="80"/>
      <c r="G539" s="80"/>
      <c r="H539" s="81"/>
      <c r="I539" s="81"/>
      <c r="J539" s="35"/>
      <c r="K539" s="36"/>
      <c r="L539" s="36"/>
      <c r="M539" s="36"/>
      <c r="N539" s="36"/>
      <c r="O539" s="36"/>
      <c r="P539" s="36"/>
      <c r="Q539" s="36"/>
      <c r="R539" s="36"/>
      <c r="S539" s="36"/>
      <c r="T539" s="36"/>
      <c r="U539" s="36"/>
      <c r="V539" s="36"/>
      <c r="W539" s="36"/>
      <c r="X539" s="36"/>
      <c r="Y539" s="36"/>
      <c r="Z539" s="36"/>
      <c r="AA539" s="36"/>
      <c r="AB539" s="36"/>
      <c r="AC539" s="36"/>
    </row>
    <row r="540" spans="1:29" ht="36" customHeight="1">
      <c r="A540" s="81"/>
      <c r="B540" s="94"/>
      <c r="C540" s="81"/>
      <c r="D540" s="81"/>
      <c r="E540" s="80"/>
      <c r="F540" s="80"/>
      <c r="G540" s="80"/>
      <c r="H540" s="81"/>
      <c r="I540" s="81"/>
      <c r="J540" s="35"/>
      <c r="K540" s="36"/>
      <c r="L540" s="36"/>
      <c r="M540" s="36"/>
      <c r="N540" s="36"/>
      <c r="O540" s="36"/>
      <c r="P540" s="36"/>
      <c r="Q540" s="36"/>
      <c r="R540" s="36"/>
      <c r="S540" s="36"/>
      <c r="T540" s="36"/>
      <c r="U540" s="36"/>
      <c r="V540" s="36"/>
      <c r="W540" s="36"/>
      <c r="X540" s="36"/>
      <c r="Y540" s="36"/>
      <c r="Z540" s="36"/>
      <c r="AA540" s="36"/>
      <c r="AB540" s="36"/>
      <c r="AC540" s="36"/>
    </row>
    <row r="541" spans="1:29" ht="24" customHeight="1">
      <c r="A541" s="81"/>
      <c r="B541" s="94"/>
      <c r="C541" s="81"/>
      <c r="D541" s="81"/>
      <c r="E541" s="80"/>
      <c r="F541" s="80"/>
      <c r="G541" s="80"/>
      <c r="H541" s="81"/>
      <c r="I541" s="81"/>
      <c r="J541" s="35"/>
      <c r="K541" s="36"/>
      <c r="L541" s="36"/>
      <c r="M541" s="36"/>
      <c r="N541" s="36"/>
      <c r="O541" s="36"/>
      <c r="P541" s="36"/>
      <c r="Q541" s="36"/>
      <c r="R541" s="36"/>
      <c r="S541" s="36"/>
      <c r="T541" s="36"/>
      <c r="U541" s="36"/>
      <c r="V541" s="36"/>
      <c r="W541" s="36"/>
      <c r="X541" s="36"/>
      <c r="Y541" s="36"/>
      <c r="Z541" s="36"/>
      <c r="AA541" s="36"/>
      <c r="AB541" s="36"/>
      <c r="AC541" s="36"/>
    </row>
    <row r="542" spans="1:29" ht="48" customHeight="1">
      <c r="A542" s="81"/>
      <c r="B542" s="94"/>
      <c r="C542" s="81"/>
      <c r="D542" s="81"/>
      <c r="E542" s="80"/>
      <c r="F542" s="80"/>
      <c r="G542" s="80"/>
      <c r="H542" s="81"/>
      <c r="I542" s="81"/>
      <c r="J542" s="35"/>
      <c r="K542" s="36"/>
      <c r="L542" s="36"/>
      <c r="M542" s="36"/>
      <c r="N542" s="36"/>
      <c r="O542" s="36"/>
      <c r="P542" s="36"/>
      <c r="Q542" s="36"/>
      <c r="R542" s="36"/>
      <c r="S542" s="36"/>
      <c r="T542" s="36"/>
      <c r="U542" s="36"/>
      <c r="V542" s="36"/>
      <c r="W542" s="36"/>
      <c r="X542" s="36"/>
      <c r="Y542" s="36"/>
      <c r="Z542" s="36"/>
      <c r="AA542" s="36"/>
      <c r="AB542" s="36"/>
      <c r="AC542" s="36"/>
    </row>
    <row r="543" spans="1:29" ht="24" customHeight="1">
      <c r="A543" s="81"/>
      <c r="B543" s="94"/>
      <c r="C543" s="81"/>
      <c r="D543" s="81"/>
      <c r="E543" s="80"/>
      <c r="F543" s="80"/>
      <c r="G543" s="80"/>
      <c r="H543" s="81"/>
      <c r="I543" s="81"/>
      <c r="J543" s="35"/>
      <c r="K543" s="36"/>
      <c r="L543" s="36"/>
      <c r="M543" s="36"/>
      <c r="N543" s="36"/>
      <c r="O543" s="36"/>
      <c r="P543" s="36"/>
      <c r="Q543" s="36"/>
      <c r="R543" s="36"/>
      <c r="S543" s="36"/>
      <c r="T543" s="36"/>
      <c r="U543" s="36"/>
      <c r="V543" s="36"/>
      <c r="W543" s="36"/>
      <c r="X543" s="36"/>
      <c r="Y543" s="36"/>
      <c r="Z543" s="36"/>
      <c r="AA543" s="36"/>
      <c r="AB543" s="36"/>
      <c r="AC543" s="36"/>
    </row>
    <row r="544" spans="1:29" ht="24" customHeight="1">
      <c r="A544" s="81"/>
      <c r="B544" s="94"/>
      <c r="C544" s="81"/>
      <c r="D544" s="81"/>
      <c r="E544" s="80"/>
      <c r="F544" s="80"/>
      <c r="G544" s="80"/>
      <c r="H544" s="81"/>
      <c r="I544" s="81"/>
      <c r="J544" s="35"/>
      <c r="K544" s="36"/>
      <c r="L544" s="36"/>
      <c r="M544" s="36"/>
      <c r="N544" s="36"/>
      <c r="O544" s="36"/>
      <c r="P544" s="36"/>
      <c r="Q544" s="36"/>
      <c r="R544" s="36"/>
      <c r="S544" s="36"/>
      <c r="T544" s="36"/>
      <c r="U544" s="36"/>
      <c r="V544" s="36"/>
      <c r="W544" s="36"/>
      <c r="X544" s="36"/>
      <c r="Y544" s="36"/>
      <c r="Z544" s="36"/>
      <c r="AA544" s="36"/>
      <c r="AB544" s="36"/>
      <c r="AC544" s="36"/>
    </row>
    <row r="545" spans="1:29" ht="36" customHeight="1">
      <c r="A545" s="81"/>
      <c r="B545" s="94"/>
      <c r="C545" s="81"/>
      <c r="D545" s="81"/>
      <c r="E545" s="80"/>
      <c r="F545" s="80"/>
      <c r="G545" s="80"/>
      <c r="H545" s="81"/>
      <c r="I545" s="81"/>
      <c r="J545" s="35"/>
      <c r="K545" s="36"/>
      <c r="L545" s="36"/>
      <c r="M545" s="36"/>
      <c r="N545" s="36"/>
      <c r="O545" s="36"/>
      <c r="P545" s="36"/>
      <c r="Q545" s="36"/>
      <c r="R545" s="36"/>
      <c r="S545" s="36"/>
      <c r="T545" s="36"/>
      <c r="U545" s="36"/>
      <c r="V545" s="36"/>
      <c r="W545" s="36"/>
      <c r="X545" s="36"/>
      <c r="Y545" s="36"/>
      <c r="Z545" s="36"/>
      <c r="AA545" s="36"/>
      <c r="AB545" s="36"/>
      <c r="AC545" s="36"/>
    </row>
    <row r="546" spans="1:29" ht="48" customHeight="1">
      <c r="A546" s="81"/>
      <c r="B546" s="94"/>
      <c r="C546" s="81"/>
      <c r="D546" s="81"/>
      <c r="E546" s="80"/>
      <c r="F546" s="80"/>
      <c r="G546" s="80"/>
      <c r="H546" s="81"/>
      <c r="I546" s="81"/>
      <c r="J546" s="35"/>
      <c r="K546" s="36"/>
      <c r="L546" s="36"/>
      <c r="M546" s="36"/>
      <c r="N546" s="36"/>
      <c r="O546" s="36"/>
      <c r="P546" s="36"/>
      <c r="Q546" s="36"/>
      <c r="R546" s="36"/>
      <c r="S546" s="36"/>
      <c r="T546" s="36"/>
      <c r="U546" s="36"/>
      <c r="V546" s="36"/>
      <c r="W546" s="36"/>
      <c r="X546" s="36"/>
      <c r="Y546" s="36"/>
      <c r="Z546" s="36"/>
      <c r="AA546" s="36"/>
      <c r="AB546" s="36"/>
      <c r="AC546" s="36"/>
    </row>
    <row r="547" spans="1:29" ht="48" customHeight="1">
      <c r="A547" s="81"/>
      <c r="B547" s="94"/>
      <c r="C547" s="81"/>
      <c r="D547" s="81"/>
      <c r="E547" s="80"/>
      <c r="F547" s="80"/>
      <c r="G547" s="80"/>
      <c r="H547" s="81"/>
      <c r="I547" s="81"/>
      <c r="J547" s="35"/>
      <c r="K547" s="36"/>
      <c r="L547" s="36"/>
      <c r="M547" s="36"/>
      <c r="N547" s="36"/>
      <c r="O547" s="36"/>
      <c r="P547" s="36"/>
      <c r="Q547" s="36"/>
      <c r="R547" s="36"/>
      <c r="S547" s="36"/>
      <c r="T547" s="36"/>
      <c r="U547" s="36"/>
      <c r="V547" s="36"/>
      <c r="W547" s="36"/>
      <c r="X547" s="36"/>
      <c r="Y547" s="36"/>
      <c r="Z547" s="36"/>
      <c r="AA547" s="36"/>
      <c r="AB547" s="36"/>
      <c r="AC547" s="36"/>
    </row>
    <row r="548" spans="1:29" ht="36" customHeight="1">
      <c r="A548" s="81"/>
      <c r="B548" s="94"/>
      <c r="C548" s="81"/>
      <c r="D548" s="81"/>
      <c r="E548" s="80"/>
      <c r="F548" s="80"/>
      <c r="G548" s="80"/>
      <c r="H548" s="81"/>
      <c r="I548" s="81"/>
      <c r="J548" s="35"/>
      <c r="K548" s="36"/>
      <c r="L548" s="36"/>
      <c r="M548" s="36"/>
      <c r="N548" s="36"/>
      <c r="O548" s="36"/>
      <c r="P548" s="36"/>
      <c r="Q548" s="36"/>
      <c r="R548" s="36"/>
      <c r="S548" s="36"/>
      <c r="T548" s="36"/>
      <c r="U548" s="36"/>
      <c r="V548" s="36"/>
      <c r="W548" s="36"/>
      <c r="X548" s="36"/>
      <c r="Y548" s="36"/>
      <c r="Z548" s="36"/>
      <c r="AA548" s="36"/>
      <c r="AB548" s="36"/>
      <c r="AC548" s="36"/>
    </row>
    <row r="549" spans="1:29" ht="24" customHeight="1">
      <c r="A549" s="81"/>
      <c r="B549" s="94"/>
      <c r="C549" s="81"/>
      <c r="D549" s="81"/>
      <c r="E549" s="80"/>
      <c r="F549" s="80"/>
      <c r="G549" s="80"/>
      <c r="H549" s="81"/>
      <c r="I549" s="81"/>
      <c r="J549" s="35"/>
      <c r="K549" s="36"/>
      <c r="L549" s="36"/>
      <c r="M549" s="36"/>
      <c r="N549" s="36"/>
      <c r="O549" s="36"/>
      <c r="P549" s="36"/>
      <c r="Q549" s="36"/>
      <c r="R549" s="36"/>
      <c r="S549" s="36"/>
      <c r="T549" s="36"/>
      <c r="U549" s="36"/>
      <c r="V549" s="36"/>
      <c r="W549" s="36"/>
      <c r="X549" s="36"/>
      <c r="Y549" s="36"/>
      <c r="Z549" s="36"/>
      <c r="AA549" s="36"/>
      <c r="AB549" s="36"/>
      <c r="AC549" s="36"/>
    </row>
    <row r="550" spans="1:29" ht="24" customHeight="1">
      <c r="A550" s="81"/>
      <c r="B550" s="94"/>
      <c r="C550" s="81"/>
      <c r="D550" s="81"/>
      <c r="E550" s="80"/>
      <c r="F550" s="80"/>
      <c r="G550" s="80"/>
      <c r="H550" s="81"/>
      <c r="I550" s="81"/>
      <c r="J550" s="35"/>
      <c r="K550" s="36"/>
      <c r="L550" s="36"/>
      <c r="M550" s="36"/>
      <c r="N550" s="36"/>
      <c r="O550" s="36"/>
      <c r="P550" s="36"/>
      <c r="Q550" s="36"/>
      <c r="R550" s="36"/>
      <c r="S550" s="36"/>
      <c r="T550" s="36"/>
      <c r="U550" s="36"/>
      <c r="V550" s="36"/>
      <c r="W550" s="36"/>
      <c r="X550" s="36"/>
      <c r="Y550" s="36"/>
      <c r="Z550" s="36"/>
      <c r="AA550" s="36"/>
      <c r="AB550" s="36"/>
      <c r="AC550" s="36"/>
    </row>
    <row r="551" spans="1:29" ht="24" customHeight="1">
      <c r="A551" s="81"/>
      <c r="B551" s="94"/>
      <c r="C551" s="81"/>
      <c r="D551" s="81"/>
      <c r="E551" s="80"/>
      <c r="F551" s="80"/>
      <c r="G551" s="80"/>
      <c r="H551" s="81"/>
      <c r="I551" s="81"/>
      <c r="J551" s="35"/>
      <c r="K551" s="36"/>
      <c r="L551" s="36"/>
      <c r="M551" s="36"/>
      <c r="N551" s="36"/>
      <c r="O551" s="36"/>
      <c r="P551" s="36"/>
      <c r="Q551" s="36"/>
      <c r="R551" s="36"/>
      <c r="S551" s="36"/>
      <c r="T551" s="36"/>
      <c r="U551" s="36"/>
      <c r="V551" s="36"/>
      <c r="W551" s="36"/>
      <c r="X551" s="36"/>
      <c r="Y551" s="36"/>
      <c r="Z551" s="36"/>
      <c r="AA551" s="36"/>
      <c r="AB551" s="36"/>
      <c r="AC551" s="36"/>
    </row>
    <row r="552" spans="1:29" ht="24" customHeight="1">
      <c r="A552" s="81"/>
      <c r="B552" s="94"/>
      <c r="C552" s="81"/>
      <c r="D552" s="81"/>
      <c r="E552" s="80"/>
      <c r="F552" s="80"/>
      <c r="G552" s="80"/>
      <c r="H552" s="81"/>
      <c r="I552" s="81"/>
      <c r="J552" s="35"/>
      <c r="K552" s="36"/>
      <c r="L552" s="36"/>
      <c r="M552" s="36"/>
      <c r="N552" s="36"/>
      <c r="O552" s="36"/>
      <c r="P552" s="36"/>
      <c r="Q552" s="36"/>
      <c r="R552" s="36"/>
      <c r="S552" s="36"/>
      <c r="T552" s="36"/>
      <c r="U552" s="36"/>
      <c r="V552" s="36"/>
      <c r="W552" s="36"/>
      <c r="X552" s="36"/>
      <c r="Y552" s="36"/>
      <c r="Z552" s="36"/>
      <c r="AA552" s="36"/>
      <c r="AB552" s="36"/>
      <c r="AC552" s="36"/>
    </row>
    <row r="553" spans="1:29" ht="96" customHeight="1">
      <c r="A553" s="81"/>
      <c r="B553" s="94"/>
      <c r="C553" s="81"/>
      <c r="D553" s="81"/>
      <c r="E553" s="80"/>
      <c r="F553" s="80"/>
      <c r="G553" s="80"/>
      <c r="H553" s="81"/>
      <c r="I553" s="81"/>
      <c r="J553" s="35"/>
      <c r="K553" s="36"/>
      <c r="L553" s="36"/>
      <c r="M553" s="36"/>
      <c r="N553" s="36"/>
      <c r="O553" s="36"/>
      <c r="P553" s="36"/>
      <c r="Q553" s="36"/>
      <c r="R553" s="36"/>
      <c r="S553" s="36"/>
      <c r="T553" s="36"/>
      <c r="U553" s="36"/>
      <c r="V553" s="36"/>
      <c r="W553" s="36"/>
      <c r="X553" s="36"/>
      <c r="Y553" s="36"/>
      <c r="Z553" s="36"/>
      <c r="AA553" s="36"/>
      <c r="AB553" s="36"/>
      <c r="AC553" s="36"/>
    </row>
    <row r="554" spans="1:29" ht="36" customHeight="1">
      <c r="A554" s="81"/>
      <c r="B554" s="94"/>
      <c r="C554" s="81"/>
      <c r="D554" s="81"/>
      <c r="E554" s="80"/>
      <c r="F554" s="80"/>
      <c r="G554" s="80"/>
      <c r="H554" s="81"/>
      <c r="I554" s="81"/>
      <c r="J554" s="35"/>
      <c r="K554" s="36"/>
      <c r="L554" s="36"/>
      <c r="M554" s="36"/>
      <c r="N554" s="36"/>
      <c r="O554" s="36"/>
      <c r="P554" s="36"/>
      <c r="Q554" s="36"/>
      <c r="R554" s="36"/>
      <c r="S554" s="36"/>
      <c r="T554" s="36"/>
      <c r="U554" s="36"/>
      <c r="V554" s="36"/>
      <c r="W554" s="36"/>
      <c r="X554" s="36"/>
      <c r="Y554" s="36"/>
      <c r="Z554" s="36"/>
      <c r="AA554" s="36"/>
      <c r="AB554" s="36"/>
      <c r="AC554" s="36"/>
    </row>
    <row r="555" spans="1:29" ht="48" customHeight="1">
      <c r="A555" s="81"/>
      <c r="B555" s="94"/>
      <c r="C555" s="81"/>
      <c r="D555" s="81"/>
      <c r="E555" s="80"/>
      <c r="F555" s="80"/>
      <c r="G555" s="80"/>
      <c r="H555" s="81"/>
      <c r="I555" s="81"/>
      <c r="J555" s="35"/>
      <c r="K555" s="36"/>
      <c r="L555" s="36"/>
      <c r="M555" s="36"/>
      <c r="N555" s="36"/>
      <c r="O555" s="36"/>
      <c r="P555" s="36"/>
      <c r="Q555" s="36"/>
      <c r="R555" s="36"/>
      <c r="S555" s="36"/>
      <c r="T555" s="36"/>
      <c r="U555" s="36"/>
      <c r="V555" s="36"/>
      <c r="W555" s="36"/>
      <c r="X555" s="36"/>
      <c r="Y555" s="36"/>
      <c r="Z555" s="36"/>
      <c r="AA555" s="36"/>
      <c r="AB555" s="36"/>
      <c r="AC555" s="36"/>
    </row>
    <row r="556" spans="1:29" ht="36" customHeight="1">
      <c r="A556" s="81"/>
      <c r="B556" s="94"/>
      <c r="C556" s="81"/>
      <c r="D556" s="81"/>
      <c r="E556" s="80"/>
      <c r="F556" s="80"/>
      <c r="G556" s="80"/>
      <c r="H556" s="81"/>
      <c r="I556" s="81"/>
      <c r="J556" s="35"/>
      <c r="K556" s="36"/>
      <c r="L556" s="36"/>
      <c r="M556" s="36"/>
      <c r="N556" s="36"/>
      <c r="O556" s="36"/>
      <c r="P556" s="36"/>
      <c r="Q556" s="36"/>
      <c r="R556" s="36"/>
      <c r="S556" s="36"/>
      <c r="T556" s="36"/>
      <c r="U556" s="36"/>
      <c r="V556" s="36"/>
      <c r="W556" s="36"/>
      <c r="X556" s="36"/>
      <c r="Y556" s="36"/>
      <c r="Z556" s="36"/>
      <c r="AA556" s="36"/>
      <c r="AB556" s="36"/>
      <c r="AC556" s="36"/>
    </row>
    <row r="557" spans="1:29" ht="48" customHeight="1">
      <c r="A557" s="81"/>
      <c r="B557" s="94"/>
      <c r="C557" s="81"/>
      <c r="D557" s="81"/>
      <c r="E557" s="80"/>
      <c r="F557" s="80"/>
      <c r="G557" s="80"/>
      <c r="H557" s="81"/>
      <c r="I557" s="81"/>
      <c r="J557" s="35"/>
      <c r="K557" s="36"/>
      <c r="L557" s="36"/>
      <c r="M557" s="36"/>
      <c r="N557" s="36"/>
      <c r="O557" s="36"/>
      <c r="P557" s="36"/>
      <c r="Q557" s="36"/>
      <c r="R557" s="36"/>
      <c r="S557" s="36"/>
      <c r="T557" s="36"/>
      <c r="U557" s="36"/>
      <c r="V557" s="36"/>
      <c r="W557" s="36"/>
      <c r="X557" s="36"/>
      <c r="Y557" s="36"/>
      <c r="Z557" s="36"/>
      <c r="AA557" s="36"/>
      <c r="AB557" s="36"/>
      <c r="AC557" s="36"/>
    </row>
    <row r="558" spans="1:29" ht="24" customHeight="1">
      <c r="A558" s="100"/>
      <c r="B558" s="463"/>
      <c r="C558" s="100"/>
      <c r="D558" s="100"/>
      <c r="E558" s="99"/>
      <c r="F558" s="99"/>
      <c r="G558" s="99"/>
      <c r="H558" s="100"/>
      <c r="I558" s="100"/>
      <c r="J558" s="35"/>
      <c r="K558" s="36"/>
      <c r="L558" s="36"/>
      <c r="M558" s="36"/>
      <c r="N558" s="36"/>
      <c r="O558" s="36"/>
      <c r="P558" s="36"/>
      <c r="Q558" s="36"/>
      <c r="R558" s="36"/>
      <c r="S558" s="36"/>
      <c r="T558" s="36"/>
      <c r="U558" s="36"/>
      <c r="V558" s="36"/>
      <c r="W558" s="36"/>
      <c r="X558" s="36"/>
      <c r="Y558" s="36"/>
      <c r="Z558" s="36"/>
      <c r="AA558" s="36"/>
      <c r="AB558" s="36"/>
      <c r="AC558" s="36"/>
    </row>
    <row r="559" spans="1:29" ht="72" customHeight="1">
      <c r="A559" s="100"/>
      <c r="B559" s="463"/>
      <c r="C559" s="100"/>
      <c r="D559" s="100"/>
      <c r="E559" s="99"/>
      <c r="F559" s="99"/>
      <c r="G559" s="99"/>
      <c r="H559" s="100"/>
      <c r="I559" s="100"/>
      <c r="J559" s="35"/>
      <c r="K559" s="36"/>
      <c r="L559" s="36"/>
      <c r="M559" s="36"/>
      <c r="N559" s="36"/>
      <c r="O559" s="36"/>
      <c r="P559" s="36"/>
      <c r="Q559" s="36"/>
      <c r="R559" s="36"/>
      <c r="S559" s="36"/>
      <c r="T559" s="36"/>
      <c r="U559" s="36"/>
      <c r="V559" s="36"/>
      <c r="W559" s="36"/>
      <c r="X559" s="36"/>
      <c r="Y559" s="36"/>
      <c r="Z559" s="36"/>
      <c r="AA559" s="36"/>
      <c r="AB559" s="36"/>
      <c r="AC559" s="36"/>
    </row>
    <row r="560" spans="1:29" ht="36" customHeight="1">
      <c r="A560" s="100"/>
      <c r="B560" s="463"/>
      <c r="C560" s="100"/>
      <c r="D560" s="100"/>
      <c r="E560" s="99"/>
      <c r="F560" s="99"/>
      <c r="G560" s="99"/>
      <c r="H560" s="100"/>
      <c r="I560" s="100"/>
      <c r="J560" s="35"/>
      <c r="K560" s="36"/>
      <c r="L560" s="36"/>
      <c r="M560" s="36"/>
      <c r="N560" s="36"/>
      <c r="O560" s="36"/>
      <c r="P560" s="36"/>
      <c r="Q560" s="36"/>
      <c r="R560" s="36"/>
      <c r="S560" s="36"/>
      <c r="T560" s="36"/>
      <c r="U560" s="36"/>
      <c r="V560" s="36"/>
      <c r="W560" s="36"/>
      <c r="X560" s="36"/>
      <c r="Y560" s="36"/>
      <c r="Z560" s="36"/>
      <c r="AA560" s="36"/>
      <c r="AB560" s="36"/>
      <c r="AC560" s="36"/>
    </row>
    <row r="561" spans="1:29" ht="15.75" customHeight="1">
      <c r="A561" s="100"/>
      <c r="B561" s="463"/>
      <c r="C561" s="100"/>
      <c r="D561" s="100"/>
      <c r="E561" s="99"/>
      <c r="F561" s="99"/>
      <c r="G561" s="99"/>
      <c r="H561" s="100"/>
      <c r="I561" s="100"/>
      <c r="J561" s="35"/>
      <c r="K561" s="36"/>
      <c r="L561" s="36"/>
      <c r="M561" s="36"/>
      <c r="N561" s="36"/>
      <c r="O561" s="36"/>
      <c r="P561" s="36"/>
      <c r="Q561" s="36"/>
      <c r="R561" s="36"/>
      <c r="S561" s="36"/>
      <c r="T561" s="36"/>
      <c r="U561" s="36"/>
      <c r="V561" s="36"/>
      <c r="W561" s="36"/>
      <c r="X561" s="36"/>
      <c r="Y561" s="36"/>
      <c r="Z561" s="36"/>
      <c r="AA561" s="36"/>
      <c r="AB561" s="36"/>
      <c r="AC561" s="36"/>
    </row>
    <row r="562" spans="1:29" ht="36" customHeight="1">
      <c r="A562" s="100"/>
      <c r="B562" s="463"/>
      <c r="C562" s="100"/>
      <c r="D562" s="100"/>
      <c r="E562" s="99"/>
      <c r="F562" s="99"/>
      <c r="G562" s="99"/>
      <c r="H562" s="100"/>
      <c r="I562" s="100"/>
      <c r="J562" s="35"/>
      <c r="K562" s="36"/>
      <c r="L562" s="36"/>
      <c r="M562" s="36"/>
      <c r="N562" s="36"/>
      <c r="O562" s="36"/>
      <c r="P562" s="36"/>
      <c r="Q562" s="36"/>
      <c r="R562" s="36"/>
      <c r="S562" s="36"/>
      <c r="T562" s="36"/>
      <c r="U562" s="36"/>
      <c r="V562" s="36"/>
      <c r="W562" s="36"/>
      <c r="X562" s="36"/>
      <c r="Y562" s="36"/>
      <c r="Z562" s="36"/>
      <c r="AA562" s="36"/>
      <c r="AB562" s="36"/>
      <c r="AC562" s="36"/>
    </row>
    <row r="563" spans="1:29" ht="36" customHeight="1">
      <c r="A563" s="100"/>
      <c r="B563" s="463"/>
      <c r="C563" s="100"/>
      <c r="D563" s="100"/>
      <c r="E563" s="99"/>
      <c r="F563" s="99"/>
      <c r="G563" s="99"/>
      <c r="H563" s="100"/>
      <c r="I563" s="100"/>
      <c r="J563" s="35"/>
      <c r="K563" s="36"/>
      <c r="L563" s="36"/>
      <c r="M563" s="36"/>
      <c r="N563" s="36"/>
      <c r="O563" s="36"/>
      <c r="P563" s="36"/>
      <c r="Q563" s="36"/>
      <c r="R563" s="36"/>
      <c r="S563" s="36"/>
      <c r="T563" s="36"/>
      <c r="U563" s="36"/>
      <c r="V563" s="36"/>
      <c r="W563" s="36"/>
      <c r="X563" s="36"/>
      <c r="Y563" s="36"/>
      <c r="Z563" s="36"/>
      <c r="AA563" s="36"/>
      <c r="AB563" s="36"/>
      <c r="AC563" s="36"/>
    </row>
    <row r="564" spans="1:29" ht="36" customHeight="1">
      <c r="A564" s="100"/>
      <c r="B564" s="463"/>
      <c r="C564" s="100"/>
      <c r="D564" s="100"/>
      <c r="E564" s="99"/>
      <c r="F564" s="99"/>
      <c r="G564" s="99"/>
      <c r="H564" s="100"/>
      <c r="I564" s="100"/>
      <c r="J564" s="35"/>
      <c r="K564" s="36"/>
      <c r="L564" s="36"/>
      <c r="M564" s="36"/>
      <c r="N564" s="36"/>
      <c r="O564" s="36"/>
      <c r="P564" s="36"/>
      <c r="Q564" s="36"/>
      <c r="R564" s="36"/>
      <c r="S564" s="36"/>
      <c r="T564" s="36"/>
      <c r="U564" s="36"/>
      <c r="V564" s="36"/>
      <c r="W564" s="36"/>
      <c r="X564" s="36"/>
      <c r="Y564" s="36"/>
      <c r="Z564" s="36"/>
      <c r="AA564" s="36"/>
      <c r="AB564" s="36"/>
      <c r="AC564" s="36"/>
    </row>
    <row r="565" spans="1:29" ht="36" customHeight="1">
      <c r="A565" s="100"/>
      <c r="B565" s="463"/>
      <c r="C565" s="100"/>
      <c r="D565" s="100"/>
      <c r="E565" s="99"/>
      <c r="F565" s="99"/>
      <c r="G565" s="99"/>
      <c r="H565" s="100"/>
      <c r="I565" s="100"/>
      <c r="J565" s="35"/>
      <c r="K565" s="36"/>
      <c r="L565" s="36"/>
      <c r="M565" s="36"/>
      <c r="N565" s="36"/>
      <c r="O565" s="36"/>
      <c r="P565" s="36"/>
      <c r="Q565" s="36"/>
      <c r="R565" s="36"/>
      <c r="S565" s="36"/>
      <c r="T565" s="36"/>
      <c r="U565" s="36"/>
      <c r="V565" s="36"/>
      <c r="W565" s="36"/>
      <c r="X565" s="36"/>
      <c r="Y565" s="36"/>
      <c r="Z565" s="36"/>
      <c r="AA565" s="36"/>
      <c r="AB565" s="36"/>
      <c r="AC565" s="36"/>
    </row>
    <row r="566" spans="1:29" ht="24" customHeight="1">
      <c r="A566" s="100"/>
      <c r="B566" s="463"/>
      <c r="C566" s="100"/>
      <c r="D566" s="100"/>
      <c r="E566" s="99"/>
      <c r="F566" s="99"/>
      <c r="G566" s="99"/>
      <c r="H566" s="100"/>
      <c r="I566" s="100"/>
      <c r="J566" s="35"/>
      <c r="K566" s="36"/>
      <c r="L566" s="36"/>
      <c r="M566" s="36"/>
      <c r="N566" s="36"/>
      <c r="O566" s="36"/>
      <c r="P566" s="36"/>
      <c r="Q566" s="36"/>
      <c r="R566" s="36"/>
      <c r="S566" s="36"/>
      <c r="T566" s="36"/>
      <c r="U566" s="36"/>
      <c r="V566" s="36"/>
      <c r="W566" s="36"/>
      <c r="X566" s="36"/>
      <c r="Y566" s="36"/>
      <c r="Z566" s="36"/>
      <c r="AA566" s="36"/>
      <c r="AB566" s="36"/>
      <c r="AC566" s="36"/>
    </row>
    <row r="567" spans="1:29" ht="60" customHeight="1">
      <c r="A567" s="619"/>
      <c r="B567" s="463"/>
      <c r="C567" s="100"/>
      <c r="D567" s="100"/>
      <c r="E567" s="99"/>
      <c r="F567" s="99"/>
      <c r="G567" s="99"/>
      <c r="H567" s="100"/>
      <c r="I567" s="100"/>
      <c r="J567" s="35"/>
      <c r="K567" s="36"/>
      <c r="L567" s="36"/>
      <c r="M567" s="36"/>
      <c r="N567" s="36"/>
      <c r="O567" s="36"/>
      <c r="P567" s="36"/>
      <c r="Q567" s="36"/>
      <c r="R567" s="36"/>
      <c r="S567" s="36"/>
      <c r="T567" s="36"/>
      <c r="U567" s="36"/>
      <c r="V567" s="36"/>
      <c r="W567" s="36"/>
      <c r="X567" s="36"/>
      <c r="Y567" s="36"/>
      <c r="Z567" s="36"/>
      <c r="AA567" s="36"/>
      <c r="AB567" s="36"/>
      <c r="AC567" s="36"/>
    </row>
    <row r="568" spans="1:29" ht="24" customHeight="1">
      <c r="A568" s="619"/>
      <c r="B568" s="463"/>
      <c r="C568" s="100"/>
      <c r="D568" s="100"/>
      <c r="E568" s="99"/>
      <c r="F568" s="99"/>
      <c r="G568" s="99"/>
      <c r="H568" s="100"/>
      <c r="I568" s="100"/>
      <c r="J568" s="35"/>
      <c r="K568" s="36"/>
      <c r="L568" s="36"/>
      <c r="M568" s="36"/>
      <c r="N568" s="36"/>
      <c r="O568" s="36"/>
      <c r="P568" s="36"/>
      <c r="Q568" s="36"/>
      <c r="R568" s="36"/>
      <c r="S568" s="36"/>
      <c r="T568" s="36"/>
      <c r="U568" s="36"/>
      <c r="V568" s="36"/>
      <c r="W568" s="36"/>
      <c r="X568" s="36"/>
      <c r="Y568" s="36"/>
      <c r="Z568" s="36"/>
      <c r="AA568" s="36"/>
      <c r="AB568" s="36"/>
      <c r="AC568" s="36"/>
    </row>
    <row r="569" spans="1:29" ht="36" customHeight="1">
      <c r="A569" s="619"/>
      <c r="B569" s="463"/>
      <c r="C569" s="100"/>
      <c r="D569" s="100"/>
      <c r="E569" s="99"/>
      <c r="F569" s="99"/>
      <c r="G569" s="99"/>
      <c r="H569" s="100"/>
      <c r="I569" s="100"/>
      <c r="J569" s="35"/>
      <c r="K569" s="36"/>
      <c r="L569" s="36"/>
      <c r="M569" s="36"/>
      <c r="N569" s="36"/>
      <c r="O569" s="36"/>
      <c r="P569" s="36"/>
      <c r="Q569" s="36"/>
      <c r="R569" s="36"/>
      <c r="S569" s="36"/>
      <c r="T569" s="36"/>
      <c r="U569" s="36"/>
      <c r="V569" s="36"/>
      <c r="W569" s="36"/>
      <c r="X569" s="36"/>
      <c r="Y569" s="36"/>
      <c r="Z569" s="36"/>
      <c r="AA569" s="36"/>
      <c r="AB569" s="36"/>
      <c r="AC569" s="36"/>
    </row>
    <row r="570" spans="1:29" ht="48" customHeight="1">
      <c r="A570" s="619"/>
      <c r="B570" s="463"/>
      <c r="C570" s="100"/>
      <c r="D570" s="100"/>
      <c r="E570" s="99"/>
      <c r="F570" s="99"/>
      <c r="G570" s="99"/>
      <c r="H570" s="100"/>
      <c r="I570" s="100"/>
      <c r="J570" s="35"/>
      <c r="K570" s="36"/>
      <c r="L570" s="36"/>
      <c r="M570" s="36"/>
      <c r="N570" s="36"/>
      <c r="O570" s="36"/>
      <c r="P570" s="36"/>
      <c r="Q570" s="36"/>
      <c r="R570" s="36"/>
      <c r="S570" s="36"/>
      <c r="T570" s="36"/>
      <c r="U570" s="36"/>
      <c r="V570" s="36"/>
      <c r="W570" s="36"/>
      <c r="X570" s="36"/>
      <c r="Y570" s="36"/>
      <c r="Z570" s="36"/>
      <c r="AA570" s="36"/>
      <c r="AB570" s="36"/>
      <c r="AC570" s="36"/>
    </row>
    <row r="571" spans="1:29" ht="24" customHeight="1">
      <c r="A571" s="619"/>
      <c r="B571" s="463"/>
      <c r="C571" s="100"/>
      <c r="D571" s="100"/>
      <c r="E571" s="99"/>
      <c r="F571" s="99"/>
      <c r="G571" s="99"/>
      <c r="H571" s="100"/>
      <c r="I571" s="100"/>
      <c r="J571" s="35"/>
      <c r="K571" s="36"/>
      <c r="L571" s="36"/>
      <c r="M571" s="36"/>
      <c r="N571" s="36"/>
      <c r="O571" s="36"/>
      <c r="P571" s="36"/>
      <c r="Q571" s="36"/>
      <c r="R571" s="36"/>
      <c r="S571" s="36"/>
      <c r="T571" s="36"/>
      <c r="U571" s="36"/>
      <c r="V571" s="36"/>
      <c r="W571" s="36"/>
      <c r="X571" s="36"/>
      <c r="Y571" s="36"/>
      <c r="Z571" s="36"/>
      <c r="AA571" s="36"/>
      <c r="AB571" s="36"/>
      <c r="AC571" s="36"/>
    </row>
    <row r="572" spans="1:29" ht="36" customHeight="1">
      <c r="A572" s="619"/>
      <c r="B572" s="463"/>
      <c r="C572" s="100"/>
      <c r="D572" s="100"/>
      <c r="E572" s="99"/>
      <c r="F572" s="99"/>
      <c r="G572" s="99"/>
      <c r="H572" s="100"/>
      <c r="I572" s="100"/>
      <c r="J572" s="35"/>
      <c r="K572" s="36"/>
      <c r="L572" s="36"/>
      <c r="M572" s="36"/>
      <c r="N572" s="36"/>
      <c r="O572" s="36"/>
      <c r="P572" s="36"/>
      <c r="Q572" s="36"/>
      <c r="R572" s="36"/>
      <c r="S572" s="36"/>
      <c r="T572" s="36"/>
      <c r="U572" s="36"/>
      <c r="V572" s="36"/>
      <c r="W572" s="36"/>
      <c r="X572" s="36"/>
      <c r="Y572" s="36"/>
      <c r="Z572" s="36"/>
      <c r="AA572" s="36"/>
      <c r="AB572" s="36"/>
      <c r="AC572" s="36"/>
    </row>
    <row r="573" spans="1:29" ht="60" customHeight="1">
      <c r="A573" s="619"/>
      <c r="B573" s="463"/>
      <c r="C573" s="100"/>
      <c r="D573" s="100"/>
      <c r="E573" s="99"/>
      <c r="F573" s="99"/>
      <c r="G573" s="99"/>
      <c r="H573" s="100"/>
      <c r="I573" s="100"/>
      <c r="J573" s="35"/>
      <c r="K573" s="36"/>
      <c r="L573" s="36"/>
      <c r="M573" s="36"/>
      <c r="N573" s="36"/>
      <c r="O573" s="36"/>
      <c r="P573" s="36"/>
      <c r="Q573" s="36"/>
      <c r="R573" s="36"/>
      <c r="S573" s="36"/>
      <c r="T573" s="36"/>
      <c r="U573" s="36"/>
      <c r="V573" s="36"/>
      <c r="W573" s="36"/>
      <c r="X573" s="36"/>
      <c r="Y573" s="36"/>
      <c r="Z573" s="36"/>
      <c r="AA573" s="36"/>
      <c r="AB573" s="36"/>
      <c r="AC573" s="36"/>
    </row>
    <row r="574" spans="1:29" ht="24" customHeight="1">
      <c r="A574" s="100"/>
      <c r="B574" s="463"/>
      <c r="C574" s="100"/>
      <c r="D574" s="100"/>
      <c r="E574" s="99"/>
      <c r="F574" s="99"/>
      <c r="G574" s="99"/>
      <c r="H574" s="100"/>
      <c r="I574" s="100"/>
      <c r="J574" s="35"/>
      <c r="K574" s="36"/>
      <c r="L574" s="36"/>
      <c r="M574" s="36"/>
      <c r="N574" s="36"/>
      <c r="O574" s="36"/>
      <c r="P574" s="36"/>
      <c r="Q574" s="36"/>
      <c r="R574" s="36"/>
      <c r="S574" s="36"/>
      <c r="T574" s="36"/>
      <c r="U574" s="36"/>
      <c r="V574" s="36"/>
      <c r="W574" s="36"/>
      <c r="X574" s="36"/>
      <c r="Y574" s="36"/>
      <c r="Z574" s="36"/>
      <c r="AA574" s="36"/>
      <c r="AB574" s="36"/>
      <c r="AC574" s="36"/>
    </row>
    <row r="575" spans="1:29" ht="24" customHeight="1">
      <c r="A575" s="100"/>
      <c r="B575" s="463"/>
      <c r="C575" s="100"/>
      <c r="D575" s="100"/>
      <c r="E575" s="99"/>
      <c r="F575" s="99"/>
      <c r="G575" s="99"/>
      <c r="H575" s="100"/>
      <c r="I575" s="100"/>
      <c r="J575" s="35"/>
      <c r="K575" s="36"/>
      <c r="L575" s="36"/>
      <c r="M575" s="36"/>
      <c r="N575" s="36"/>
      <c r="O575" s="36"/>
      <c r="P575" s="36"/>
      <c r="Q575" s="36"/>
      <c r="R575" s="36"/>
      <c r="S575" s="36"/>
      <c r="T575" s="36"/>
      <c r="U575" s="36"/>
      <c r="V575" s="36"/>
      <c r="W575" s="36"/>
      <c r="X575" s="36"/>
      <c r="Y575" s="36"/>
      <c r="Z575" s="36"/>
      <c r="AA575" s="36"/>
      <c r="AB575" s="36"/>
      <c r="AC575" s="36"/>
    </row>
    <row r="576" spans="1:29" ht="24" customHeight="1">
      <c r="A576" s="100"/>
      <c r="B576" s="463"/>
      <c r="C576" s="100"/>
      <c r="D576" s="100"/>
      <c r="E576" s="99"/>
      <c r="F576" s="99"/>
      <c r="G576" s="99"/>
      <c r="H576" s="100"/>
      <c r="I576" s="100"/>
      <c r="J576" s="35"/>
      <c r="K576" s="36"/>
      <c r="L576" s="36"/>
      <c r="M576" s="36"/>
      <c r="N576" s="36"/>
      <c r="O576" s="36"/>
      <c r="P576" s="36"/>
      <c r="Q576" s="36"/>
      <c r="R576" s="36"/>
      <c r="S576" s="36"/>
      <c r="T576" s="36"/>
      <c r="U576" s="36"/>
      <c r="V576" s="36"/>
      <c r="W576" s="36"/>
      <c r="X576" s="36"/>
      <c r="Y576" s="36"/>
      <c r="Z576" s="36"/>
      <c r="AA576" s="36"/>
      <c r="AB576" s="36"/>
      <c r="AC576" s="36"/>
    </row>
    <row r="577" spans="1:29" ht="36" customHeight="1">
      <c r="A577" s="100"/>
      <c r="B577" s="463"/>
      <c r="C577" s="100"/>
      <c r="D577" s="100"/>
      <c r="E577" s="99"/>
      <c r="F577" s="99"/>
      <c r="G577" s="99"/>
      <c r="H577" s="100"/>
      <c r="I577" s="100"/>
      <c r="J577" s="35"/>
      <c r="K577" s="36"/>
      <c r="L577" s="36"/>
      <c r="M577" s="36"/>
      <c r="N577" s="36"/>
      <c r="O577" s="36"/>
      <c r="P577" s="36"/>
      <c r="Q577" s="36"/>
      <c r="R577" s="36"/>
      <c r="S577" s="36"/>
      <c r="T577" s="36"/>
      <c r="U577" s="36"/>
      <c r="V577" s="36"/>
      <c r="W577" s="36"/>
      <c r="X577" s="36"/>
      <c r="Y577" s="36"/>
      <c r="Z577" s="36"/>
      <c r="AA577" s="36"/>
      <c r="AB577" s="36"/>
      <c r="AC577" s="36"/>
    </row>
    <row r="578" spans="1:29" ht="36" customHeight="1">
      <c r="A578" s="100"/>
      <c r="B578" s="463"/>
      <c r="C578" s="100"/>
      <c r="D578" s="100"/>
      <c r="E578" s="99"/>
      <c r="F578" s="99"/>
      <c r="G578" s="99"/>
      <c r="H578" s="100"/>
      <c r="I578" s="100"/>
      <c r="J578" s="35"/>
      <c r="K578" s="36"/>
      <c r="L578" s="36"/>
      <c r="M578" s="36"/>
      <c r="N578" s="36"/>
      <c r="O578" s="36"/>
      <c r="P578" s="36"/>
      <c r="Q578" s="36"/>
      <c r="R578" s="36"/>
      <c r="S578" s="36"/>
      <c r="T578" s="36"/>
      <c r="U578" s="36"/>
      <c r="V578" s="36"/>
      <c r="W578" s="36"/>
      <c r="X578" s="36"/>
      <c r="Y578" s="36"/>
      <c r="Z578" s="36"/>
      <c r="AA578" s="36"/>
      <c r="AB578" s="36"/>
      <c r="AC578" s="36"/>
    </row>
    <row r="579" spans="1:29" ht="24" customHeight="1">
      <c r="A579" s="100"/>
      <c r="B579" s="463"/>
      <c r="C579" s="100"/>
      <c r="D579" s="100"/>
      <c r="E579" s="99"/>
      <c r="F579" s="99"/>
      <c r="G579" s="99"/>
      <c r="H579" s="100"/>
      <c r="I579" s="100"/>
      <c r="J579" s="35"/>
      <c r="K579" s="36"/>
      <c r="L579" s="36"/>
      <c r="M579" s="36"/>
      <c r="N579" s="36"/>
      <c r="O579" s="36"/>
      <c r="P579" s="36"/>
      <c r="Q579" s="36"/>
      <c r="R579" s="36"/>
      <c r="S579" s="36"/>
      <c r="T579" s="36"/>
      <c r="U579" s="36"/>
      <c r="V579" s="36"/>
      <c r="W579" s="36"/>
      <c r="X579" s="36"/>
      <c r="Y579" s="36"/>
      <c r="Z579" s="36"/>
      <c r="AA579" s="36"/>
      <c r="AB579" s="36"/>
      <c r="AC579" s="36"/>
    </row>
    <row r="580" spans="1:29" ht="36" customHeight="1">
      <c r="A580" s="100"/>
      <c r="B580" s="463"/>
      <c r="C580" s="100"/>
      <c r="D580" s="100"/>
      <c r="E580" s="99"/>
      <c r="F580" s="99"/>
      <c r="G580" s="99"/>
      <c r="H580" s="100"/>
      <c r="I580" s="100"/>
      <c r="J580" s="35"/>
      <c r="K580" s="36"/>
      <c r="L580" s="36"/>
      <c r="M580" s="36"/>
      <c r="N580" s="36"/>
      <c r="O580" s="36"/>
      <c r="P580" s="36"/>
      <c r="Q580" s="36"/>
      <c r="R580" s="36"/>
      <c r="S580" s="36"/>
      <c r="T580" s="36"/>
      <c r="U580" s="36"/>
      <c r="V580" s="36"/>
      <c r="W580" s="36"/>
      <c r="X580" s="36"/>
      <c r="Y580" s="36"/>
      <c r="Z580" s="36"/>
      <c r="AA580" s="36"/>
      <c r="AB580" s="36"/>
      <c r="AC580" s="36"/>
    </row>
    <row r="581" spans="1:29" ht="24" customHeight="1">
      <c r="A581" s="100"/>
      <c r="B581" s="463"/>
      <c r="C581" s="100"/>
      <c r="D581" s="100"/>
      <c r="E581" s="99"/>
      <c r="F581" s="99"/>
      <c r="G581" s="99"/>
      <c r="H581" s="100"/>
      <c r="I581" s="100"/>
      <c r="J581" s="35"/>
      <c r="K581" s="36"/>
      <c r="L581" s="36"/>
      <c r="M581" s="36"/>
      <c r="N581" s="36"/>
      <c r="O581" s="36"/>
      <c r="P581" s="36"/>
      <c r="Q581" s="36"/>
      <c r="R581" s="36"/>
      <c r="S581" s="36"/>
      <c r="T581" s="36"/>
      <c r="U581" s="36"/>
      <c r="V581" s="36"/>
      <c r="W581" s="36"/>
      <c r="X581" s="36"/>
      <c r="Y581" s="36"/>
      <c r="Z581" s="36"/>
      <c r="AA581" s="36"/>
      <c r="AB581" s="36"/>
      <c r="AC581" s="36"/>
    </row>
    <row r="582" spans="1:29" ht="48" customHeight="1">
      <c r="A582" s="100"/>
      <c r="B582" s="463"/>
      <c r="C582" s="100"/>
      <c r="D582" s="100"/>
      <c r="E582" s="99"/>
      <c r="F582" s="99"/>
      <c r="G582" s="99"/>
      <c r="H582" s="100"/>
      <c r="I582" s="100"/>
      <c r="J582" s="35"/>
      <c r="K582" s="36"/>
      <c r="L582" s="36"/>
      <c r="M582" s="36"/>
      <c r="N582" s="36"/>
      <c r="O582" s="36"/>
      <c r="P582" s="36"/>
      <c r="Q582" s="36"/>
      <c r="R582" s="36"/>
      <c r="S582" s="36"/>
      <c r="T582" s="36"/>
      <c r="U582" s="36"/>
      <c r="V582" s="36"/>
      <c r="W582" s="36"/>
      <c r="X582" s="36"/>
      <c r="Y582" s="36"/>
      <c r="Z582" s="36"/>
      <c r="AA582" s="36"/>
      <c r="AB582" s="36"/>
      <c r="AC582" s="36"/>
    </row>
    <row r="583" spans="1:29" ht="36" customHeight="1">
      <c r="A583" s="100"/>
      <c r="B583" s="463"/>
      <c r="C583" s="100"/>
      <c r="D583" s="100"/>
      <c r="E583" s="99"/>
      <c r="F583" s="99"/>
      <c r="G583" s="99"/>
      <c r="H583" s="100"/>
      <c r="I583" s="100"/>
      <c r="J583" s="35"/>
      <c r="K583" s="36"/>
      <c r="L583" s="36"/>
      <c r="M583" s="36"/>
      <c r="N583" s="36"/>
      <c r="O583" s="36"/>
      <c r="P583" s="36"/>
      <c r="Q583" s="36"/>
      <c r="R583" s="36"/>
      <c r="S583" s="36"/>
      <c r="T583" s="36"/>
      <c r="U583" s="36"/>
      <c r="V583" s="36"/>
      <c r="W583" s="36"/>
      <c r="X583" s="36"/>
      <c r="Y583" s="36"/>
      <c r="Z583" s="36"/>
      <c r="AA583" s="36"/>
      <c r="AB583" s="36"/>
      <c r="AC583" s="36"/>
    </row>
    <row r="584" spans="1:29" ht="24" customHeight="1">
      <c r="A584" s="100"/>
      <c r="B584" s="463"/>
      <c r="C584" s="100"/>
      <c r="D584" s="100"/>
      <c r="E584" s="99"/>
      <c r="F584" s="99"/>
      <c r="G584" s="99"/>
      <c r="H584" s="100"/>
      <c r="I584" s="100"/>
      <c r="J584" s="35"/>
      <c r="K584" s="36"/>
      <c r="L584" s="36"/>
      <c r="M584" s="36"/>
      <c r="N584" s="36"/>
      <c r="O584" s="36"/>
      <c r="P584" s="36"/>
      <c r="Q584" s="36"/>
      <c r="R584" s="36"/>
      <c r="S584" s="36"/>
      <c r="T584" s="36"/>
      <c r="U584" s="36"/>
      <c r="V584" s="36"/>
      <c r="W584" s="36"/>
      <c r="X584" s="36"/>
      <c r="Y584" s="36"/>
      <c r="Z584" s="36"/>
      <c r="AA584" s="36"/>
      <c r="AB584" s="36"/>
      <c r="AC584" s="36"/>
    </row>
    <row r="585" spans="1:29" ht="36" customHeight="1">
      <c r="A585" s="100"/>
      <c r="B585" s="463"/>
      <c r="C585" s="100"/>
      <c r="D585" s="100"/>
      <c r="E585" s="99"/>
      <c r="F585" s="99"/>
      <c r="G585" s="99"/>
      <c r="H585" s="100"/>
      <c r="I585" s="100"/>
      <c r="J585" s="35"/>
      <c r="K585" s="36"/>
      <c r="L585" s="36"/>
      <c r="M585" s="36"/>
      <c r="N585" s="36"/>
      <c r="O585" s="36"/>
      <c r="P585" s="36"/>
      <c r="Q585" s="36"/>
      <c r="R585" s="36"/>
      <c r="S585" s="36"/>
      <c r="T585" s="36"/>
      <c r="U585" s="36"/>
      <c r="V585" s="36"/>
      <c r="W585" s="36"/>
      <c r="X585" s="36"/>
      <c r="Y585" s="36"/>
      <c r="Z585" s="36"/>
      <c r="AA585" s="36"/>
      <c r="AB585" s="36"/>
      <c r="AC585" s="36"/>
    </row>
    <row r="586" spans="1:29" ht="24" customHeight="1">
      <c r="A586" s="100"/>
      <c r="B586" s="463"/>
      <c r="C586" s="100"/>
      <c r="D586" s="100"/>
      <c r="E586" s="99"/>
      <c r="F586" s="99"/>
      <c r="G586" s="99"/>
      <c r="H586" s="100"/>
      <c r="I586" s="100"/>
      <c r="J586" s="35"/>
      <c r="K586" s="36"/>
      <c r="L586" s="36"/>
      <c r="M586" s="36"/>
      <c r="N586" s="36"/>
      <c r="O586" s="36"/>
      <c r="P586" s="36"/>
      <c r="Q586" s="36"/>
      <c r="R586" s="36"/>
      <c r="S586" s="36"/>
      <c r="T586" s="36"/>
      <c r="U586" s="36"/>
      <c r="V586" s="36"/>
      <c r="W586" s="36"/>
      <c r="X586" s="36"/>
      <c r="Y586" s="36"/>
      <c r="Z586" s="36"/>
      <c r="AA586" s="36"/>
      <c r="AB586" s="36"/>
      <c r="AC586" s="36"/>
    </row>
    <row r="587" spans="1:29" ht="36" customHeight="1">
      <c r="A587" s="100"/>
      <c r="B587" s="463"/>
      <c r="C587" s="100"/>
      <c r="D587" s="100"/>
      <c r="E587" s="99"/>
      <c r="F587" s="99"/>
      <c r="G587" s="99"/>
      <c r="H587" s="100"/>
      <c r="I587" s="100"/>
      <c r="J587" s="35"/>
      <c r="K587" s="36"/>
      <c r="L587" s="36"/>
      <c r="M587" s="36"/>
      <c r="N587" s="36"/>
      <c r="O587" s="36"/>
      <c r="P587" s="36"/>
      <c r="Q587" s="36"/>
      <c r="R587" s="36"/>
      <c r="S587" s="36"/>
      <c r="T587" s="36"/>
      <c r="U587" s="36"/>
      <c r="V587" s="36"/>
      <c r="W587" s="36"/>
      <c r="X587" s="36"/>
      <c r="Y587" s="36"/>
      <c r="Z587" s="36"/>
      <c r="AA587" s="36"/>
      <c r="AB587" s="36"/>
      <c r="AC587" s="36"/>
    </row>
    <row r="588" spans="1:29" ht="48" customHeight="1">
      <c r="A588" s="100"/>
      <c r="B588" s="463"/>
      <c r="C588" s="100"/>
      <c r="D588" s="100"/>
      <c r="E588" s="99"/>
      <c r="F588" s="99"/>
      <c r="G588" s="99"/>
      <c r="H588" s="100"/>
      <c r="I588" s="100"/>
      <c r="J588" s="35"/>
      <c r="K588" s="36"/>
      <c r="L588" s="36"/>
      <c r="M588" s="36"/>
      <c r="N588" s="36"/>
      <c r="O588" s="36"/>
      <c r="P588" s="36"/>
      <c r="Q588" s="36"/>
      <c r="R588" s="36"/>
      <c r="S588" s="36"/>
      <c r="T588" s="36"/>
      <c r="U588" s="36"/>
      <c r="V588" s="36"/>
      <c r="W588" s="36"/>
      <c r="X588" s="36"/>
      <c r="Y588" s="36"/>
      <c r="Z588" s="36"/>
      <c r="AA588" s="36"/>
      <c r="AB588" s="36"/>
      <c r="AC588" s="36"/>
    </row>
    <row r="589" spans="1:29" ht="24" customHeight="1">
      <c r="A589" s="100"/>
      <c r="B589" s="463"/>
      <c r="C589" s="100"/>
      <c r="D589" s="100"/>
      <c r="E589" s="99"/>
      <c r="F589" s="99"/>
      <c r="G589" s="99"/>
      <c r="H589" s="100"/>
      <c r="I589" s="100"/>
      <c r="J589" s="35"/>
      <c r="K589" s="36"/>
      <c r="L589" s="36"/>
      <c r="M589" s="36"/>
      <c r="N589" s="36"/>
      <c r="O589" s="36"/>
      <c r="P589" s="36"/>
      <c r="Q589" s="36"/>
      <c r="R589" s="36"/>
      <c r="S589" s="36"/>
      <c r="T589" s="36"/>
      <c r="U589" s="36"/>
      <c r="V589" s="36"/>
      <c r="W589" s="36"/>
      <c r="X589" s="36"/>
      <c r="Y589" s="36"/>
      <c r="Z589" s="36"/>
      <c r="AA589" s="36"/>
      <c r="AB589" s="36"/>
      <c r="AC589" s="36"/>
    </row>
    <row r="590" spans="1:29" ht="24" customHeight="1">
      <c r="A590" s="100"/>
      <c r="B590" s="463"/>
      <c r="C590" s="100"/>
      <c r="D590" s="100"/>
      <c r="E590" s="99"/>
      <c r="F590" s="99"/>
      <c r="G590" s="99"/>
      <c r="H590" s="100"/>
      <c r="I590" s="100"/>
      <c r="J590" s="35"/>
      <c r="K590" s="36"/>
      <c r="L590" s="36"/>
      <c r="M590" s="36"/>
      <c r="N590" s="36"/>
      <c r="O590" s="36"/>
      <c r="P590" s="36"/>
      <c r="Q590" s="36"/>
      <c r="R590" s="36"/>
      <c r="S590" s="36"/>
      <c r="T590" s="36"/>
      <c r="U590" s="36"/>
      <c r="V590" s="36"/>
      <c r="W590" s="36"/>
      <c r="X590" s="36"/>
      <c r="Y590" s="36"/>
      <c r="Z590" s="36"/>
      <c r="AA590" s="36"/>
      <c r="AB590" s="36"/>
      <c r="AC590" s="36"/>
    </row>
    <row r="591" spans="1:29" ht="36" customHeight="1">
      <c r="A591" s="100"/>
      <c r="B591" s="463"/>
      <c r="C591" s="100"/>
      <c r="D591" s="100"/>
      <c r="E591" s="99"/>
      <c r="F591" s="99"/>
      <c r="G591" s="99"/>
      <c r="H591" s="100"/>
      <c r="I591" s="100"/>
      <c r="J591" s="35"/>
      <c r="K591" s="36"/>
      <c r="L591" s="36"/>
      <c r="M591" s="36"/>
      <c r="N591" s="36"/>
      <c r="O591" s="36"/>
      <c r="P591" s="36"/>
      <c r="Q591" s="36"/>
      <c r="R591" s="36"/>
      <c r="S591" s="36"/>
      <c r="T591" s="36"/>
      <c r="U591" s="36"/>
      <c r="V591" s="36"/>
      <c r="W591" s="36"/>
      <c r="X591" s="36"/>
      <c r="Y591" s="36"/>
      <c r="Z591" s="36"/>
      <c r="AA591" s="36"/>
      <c r="AB591" s="36"/>
      <c r="AC591" s="36"/>
    </row>
    <row r="592" spans="1:29" ht="108" customHeight="1">
      <c r="A592" s="100"/>
      <c r="B592" s="463"/>
      <c r="C592" s="100"/>
      <c r="D592" s="100"/>
      <c r="E592" s="99"/>
      <c r="F592" s="99"/>
      <c r="G592" s="99"/>
      <c r="H592" s="100"/>
      <c r="I592" s="100"/>
      <c r="J592" s="35"/>
      <c r="K592" s="36"/>
      <c r="L592" s="36"/>
      <c r="M592" s="36"/>
      <c r="N592" s="36"/>
      <c r="O592" s="36"/>
      <c r="P592" s="36"/>
      <c r="Q592" s="36"/>
      <c r="R592" s="36"/>
      <c r="S592" s="36"/>
      <c r="T592" s="36"/>
      <c r="U592" s="36"/>
      <c r="V592" s="36"/>
      <c r="W592" s="36"/>
      <c r="X592" s="36"/>
      <c r="Y592" s="36"/>
      <c r="Z592" s="36"/>
      <c r="AA592" s="36"/>
      <c r="AB592" s="36"/>
      <c r="AC592" s="36"/>
    </row>
    <row r="593" spans="1:29" ht="24" customHeight="1">
      <c r="A593" s="100"/>
      <c r="B593" s="463"/>
      <c r="C593" s="100"/>
      <c r="D593" s="100"/>
      <c r="E593" s="99"/>
      <c r="F593" s="99"/>
      <c r="G593" s="99"/>
      <c r="H593" s="100"/>
      <c r="I593" s="100"/>
      <c r="J593" s="35"/>
      <c r="K593" s="36"/>
      <c r="L593" s="36"/>
      <c r="M593" s="36"/>
      <c r="N593" s="36"/>
      <c r="O593" s="36"/>
      <c r="P593" s="36"/>
      <c r="Q593" s="36"/>
      <c r="R593" s="36"/>
      <c r="S593" s="36"/>
      <c r="T593" s="36"/>
      <c r="U593" s="36"/>
      <c r="V593" s="36"/>
      <c r="W593" s="36"/>
      <c r="X593" s="36"/>
      <c r="Y593" s="36"/>
      <c r="Z593" s="36"/>
      <c r="AA593" s="36"/>
      <c r="AB593" s="36"/>
      <c r="AC593" s="36"/>
    </row>
    <row r="594" spans="1:29" ht="24" customHeight="1">
      <c r="A594" s="100"/>
      <c r="B594" s="463"/>
      <c r="C594" s="100"/>
      <c r="D594" s="100"/>
      <c r="E594" s="99"/>
      <c r="F594" s="99"/>
      <c r="G594" s="99"/>
      <c r="H594" s="100"/>
      <c r="I594" s="100"/>
      <c r="J594" s="35"/>
      <c r="K594" s="36"/>
      <c r="L594" s="36"/>
      <c r="M594" s="36"/>
      <c r="N594" s="36"/>
      <c r="O594" s="36"/>
      <c r="P594" s="36"/>
      <c r="Q594" s="36"/>
      <c r="R594" s="36"/>
      <c r="S594" s="36"/>
      <c r="T594" s="36"/>
      <c r="U594" s="36"/>
      <c r="V594" s="36"/>
      <c r="W594" s="36"/>
      <c r="X594" s="36"/>
      <c r="Y594" s="36"/>
      <c r="Z594" s="36"/>
      <c r="AA594" s="36"/>
      <c r="AB594" s="36"/>
      <c r="AC594" s="36"/>
    </row>
    <row r="595" spans="1:29" ht="12" customHeight="1">
      <c r="A595" s="100"/>
      <c r="B595" s="463"/>
      <c r="C595" s="100"/>
      <c r="D595" s="100"/>
      <c r="E595" s="99"/>
      <c r="F595" s="99"/>
      <c r="G595" s="99"/>
      <c r="H595" s="100"/>
      <c r="I595" s="100"/>
      <c r="J595" s="35"/>
      <c r="K595" s="36"/>
      <c r="L595" s="36"/>
      <c r="M595" s="36"/>
      <c r="N595" s="36"/>
      <c r="O595" s="36"/>
      <c r="P595" s="36"/>
      <c r="Q595" s="36"/>
      <c r="R595" s="36"/>
      <c r="S595" s="36"/>
      <c r="T595" s="36"/>
      <c r="U595" s="36"/>
      <c r="V595" s="36"/>
      <c r="W595" s="36"/>
      <c r="X595" s="36"/>
      <c r="Y595" s="36"/>
      <c r="Z595" s="36"/>
      <c r="AA595" s="36"/>
      <c r="AB595" s="36"/>
      <c r="AC595" s="36"/>
    </row>
    <row r="596" spans="1:29" ht="24" customHeight="1">
      <c r="A596" s="100"/>
      <c r="B596" s="463"/>
      <c r="C596" s="100"/>
      <c r="D596" s="100"/>
      <c r="E596" s="99"/>
      <c r="F596" s="99"/>
      <c r="G596" s="99"/>
      <c r="H596" s="100"/>
      <c r="I596" s="100"/>
      <c r="J596" s="35"/>
      <c r="K596" s="36"/>
      <c r="L596" s="36"/>
      <c r="M596" s="36"/>
      <c r="N596" s="36"/>
      <c r="O596" s="36"/>
      <c r="P596" s="36"/>
      <c r="Q596" s="36"/>
      <c r="R596" s="36"/>
      <c r="S596" s="36"/>
      <c r="T596" s="36"/>
      <c r="U596" s="36"/>
      <c r="V596" s="36"/>
      <c r="W596" s="36"/>
      <c r="X596" s="36"/>
      <c r="Y596" s="36"/>
      <c r="Z596" s="36"/>
      <c r="AA596" s="36"/>
      <c r="AB596" s="36"/>
      <c r="AC596" s="36"/>
    </row>
    <row r="597" spans="1:29" ht="24" customHeight="1">
      <c r="A597" s="100"/>
      <c r="B597" s="463"/>
      <c r="C597" s="100"/>
      <c r="D597" s="100"/>
      <c r="E597" s="99"/>
      <c r="F597" s="99"/>
      <c r="G597" s="99"/>
      <c r="H597" s="100"/>
      <c r="I597" s="100"/>
      <c r="J597" s="35"/>
      <c r="K597" s="36"/>
      <c r="L597" s="36"/>
      <c r="M597" s="36"/>
      <c r="N597" s="36"/>
      <c r="O597" s="36"/>
      <c r="P597" s="36"/>
      <c r="Q597" s="36"/>
      <c r="R597" s="36"/>
      <c r="S597" s="36"/>
      <c r="T597" s="36"/>
      <c r="U597" s="36"/>
      <c r="V597" s="36"/>
      <c r="W597" s="36"/>
      <c r="X597" s="36"/>
      <c r="Y597" s="36"/>
      <c r="Z597" s="36"/>
      <c r="AA597" s="36"/>
      <c r="AB597" s="36"/>
      <c r="AC597" s="36"/>
    </row>
    <row r="598" spans="1:29" ht="24" customHeight="1">
      <c r="A598" s="100"/>
      <c r="B598" s="463"/>
      <c r="C598" s="100"/>
      <c r="D598" s="100"/>
      <c r="E598" s="99"/>
      <c r="F598" s="99"/>
      <c r="G598" s="99"/>
      <c r="H598" s="100"/>
      <c r="I598" s="100"/>
      <c r="J598" s="35"/>
      <c r="K598" s="36"/>
      <c r="L598" s="36"/>
      <c r="M598" s="36"/>
      <c r="N598" s="36"/>
      <c r="O598" s="36"/>
      <c r="P598" s="36"/>
      <c r="Q598" s="36"/>
      <c r="R598" s="36"/>
      <c r="S598" s="36"/>
      <c r="T598" s="36"/>
      <c r="U598" s="36"/>
      <c r="V598" s="36"/>
      <c r="W598" s="36"/>
      <c r="X598" s="36"/>
      <c r="Y598" s="36"/>
      <c r="Z598" s="36"/>
      <c r="AA598" s="36"/>
      <c r="AB598" s="36"/>
      <c r="AC598" s="36"/>
    </row>
    <row r="599" spans="1:29" ht="36" customHeight="1">
      <c r="A599" s="100"/>
      <c r="B599" s="463"/>
      <c r="C599" s="100"/>
      <c r="D599" s="100"/>
      <c r="E599" s="99"/>
      <c r="F599" s="99"/>
      <c r="G599" s="99"/>
      <c r="H599" s="100"/>
      <c r="I599" s="100"/>
      <c r="J599" s="35"/>
      <c r="K599" s="36"/>
      <c r="L599" s="36"/>
      <c r="M599" s="36"/>
      <c r="N599" s="36"/>
      <c r="O599" s="36"/>
      <c r="P599" s="36"/>
      <c r="Q599" s="36"/>
      <c r="R599" s="36"/>
      <c r="S599" s="36"/>
      <c r="T599" s="36"/>
      <c r="U599" s="36"/>
      <c r="V599" s="36"/>
      <c r="W599" s="36"/>
      <c r="X599" s="36"/>
      <c r="Y599" s="36"/>
      <c r="Z599" s="36"/>
      <c r="AA599" s="36"/>
      <c r="AB599" s="36"/>
      <c r="AC599" s="36"/>
    </row>
    <row r="600" spans="1:29" ht="24" customHeight="1">
      <c r="A600" s="100"/>
      <c r="B600" s="463"/>
      <c r="C600" s="100"/>
      <c r="D600" s="100"/>
      <c r="E600" s="99"/>
      <c r="F600" s="99"/>
      <c r="G600" s="99"/>
      <c r="H600" s="100"/>
      <c r="I600" s="100"/>
      <c r="J600" s="35"/>
      <c r="K600" s="36"/>
      <c r="L600" s="36"/>
      <c r="M600" s="36"/>
      <c r="N600" s="36"/>
      <c r="O600" s="36"/>
      <c r="P600" s="36"/>
      <c r="Q600" s="36"/>
      <c r="R600" s="36"/>
      <c r="S600" s="36"/>
      <c r="T600" s="36"/>
      <c r="U600" s="36"/>
      <c r="V600" s="36"/>
      <c r="W600" s="36"/>
      <c r="X600" s="36"/>
      <c r="Y600" s="36"/>
      <c r="Z600" s="36"/>
      <c r="AA600" s="36"/>
      <c r="AB600" s="36"/>
      <c r="AC600" s="36"/>
    </row>
    <row r="601" spans="1:29" ht="24" customHeight="1">
      <c r="A601" s="100"/>
      <c r="B601" s="463"/>
      <c r="C601" s="100"/>
      <c r="D601" s="100"/>
      <c r="E601" s="99"/>
      <c r="F601" s="99"/>
      <c r="G601" s="99"/>
      <c r="H601" s="100"/>
      <c r="I601" s="100"/>
      <c r="J601" s="35"/>
      <c r="K601" s="36"/>
      <c r="L601" s="36"/>
      <c r="M601" s="36"/>
      <c r="N601" s="36"/>
      <c r="O601" s="36"/>
      <c r="P601" s="36"/>
      <c r="Q601" s="36"/>
      <c r="R601" s="36"/>
      <c r="S601" s="36"/>
      <c r="T601" s="36"/>
      <c r="U601" s="36"/>
      <c r="V601" s="36"/>
      <c r="W601" s="36"/>
      <c r="X601" s="36"/>
      <c r="Y601" s="36"/>
      <c r="Z601" s="36"/>
      <c r="AA601" s="36"/>
      <c r="AB601" s="36"/>
      <c r="AC601" s="36"/>
    </row>
    <row r="602" spans="1:29" ht="36" customHeight="1">
      <c r="A602" s="100"/>
      <c r="B602" s="463"/>
      <c r="C602" s="100"/>
      <c r="D602" s="100"/>
      <c r="E602" s="99"/>
      <c r="F602" s="99"/>
      <c r="G602" s="99"/>
      <c r="H602" s="100"/>
      <c r="I602" s="100"/>
      <c r="J602" s="35"/>
      <c r="K602" s="36"/>
      <c r="L602" s="36"/>
      <c r="M602" s="36"/>
      <c r="N602" s="36"/>
      <c r="O602" s="36"/>
      <c r="P602" s="36"/>
      <c r="Q602" s="36"/>
      <c r="R602" s="36"/>
      <c r="S602" s="36"/>
      <c r="T602" s="36"/>
      <c r="U602" s="36"/>
      <c r="V602" s="36"/>
      <c r="W602" s="36"/>
      <c r="X602" s="36"/>
      <c r="Y602" s="36"/>
      <c r="Z602" s="36"/>
      <c r="AA602" s="36"/>
      <c r="AB602" s="36"/>
      <c r="AC602" s="36"/>
    </row>
    <row r="603" spans="1:29" ht="12" customHeight="1">
      <c r="A603" s="100"/>
      <c r="B603" s="463"/>
      <c r="C603" s="100"/>
      <c r="D603" s="100"/>
      <c r="E603" s="99"/>
      <c r="F603" s="99"/>
      <c r="G603" s="99"/>
      <c r="H603" s="100"/>
      <c r="I603" s="100"/>
      <c r="J603" s="35"/>
      <c r="K603" s="36"/>
      <c r="L603" s="36"/>
      <c r="M603" s="36"/>
      <c r="N603" s="36"/>
      <c r="O603" s="36"/>
      <c r="P603" s="36"/>
      <c r="Q603" s="36"/>
      <c r="R603" s="36"/>
      <c r="S603" s="36"/>
      <c r="T603" s="36"/>
      <c r="U603" s="36"/>
      <c r="V603" s="36"/>
      <c r="W603" s="36"/>
      <c r="X603" s="36"/>
      <c r="Y603" s="36"/>
      <c r="Z603" s="36"/>
      <c r="AA603" s="36"/>
      <c r="AB603" s="36"/>
      <c r="AC603" s="36"/>
    </row>
    <row r="604" spans="1:29" ht="12" customHeight="1">
      <c r="A604" s="100"/>
      <c r="B604" s="463"/>
      <c r="C604" s="100"/>
      <c r="D604" s="100"/>
      <c r="E604" s="99"/>
      <c r="F604" s="99"/>
      <c r="G604" s="99"/>
      <c r="H604" s="100"/>
      <c r="I604" s="100"/>
      <c r="J604" s="35"/>
      <c r="K604" s="36"/>
      <c r="L604" s="36"/>
      <c r="M604" s="36"/>
      <c r="N604" s="36"/>
      <c r="O604" s="36"/>
      <c r="P604" s="36"/>
      <c r="Q604" s="36"/>
      <c r="R604" s="36"/>
      <c r="S604" s="36"/>
      <c r="T604" s="36"/>
      <c r="U604" s="36"/>
      <c r="V604" s="36"/>
      <c r="W604" s="36"/>
      <c r="X604" s="36"/>
      <c r="Y604" s="36"/>
      <c r="Z604" s="36"/>
      <c r="AA604" s="36"/>
      <c r="AB604" s="36"/>
      <c r="AC604" s="36"/>
    </row>
    <row r="605" spans="1:29" ht="24" customHeight="1">
      <c r="A605" s="100"/>
      <c r="B605" s="463"/>
      <c r="C605" s="100"/>
      <c r="D605" s="100"/>
      <c r="E605" s="99"/>
      <c r="F605" s="99"/>
      <c r="G605" s="99"/>
      <c r="H605" s="100"/>
      <c r="I605" s="100"/>
      <c r="J605" s="35"/>
      <c r="K605" s="36"/>
      <c r="L605" s="36"/>
      <c r="M605" s="36"/>
      <c r="N605" s="36"/>
      <c r="O605" s="36"/>
      <c r="P605" s="36"/>
      <c r="Q605" s="36"/>
      <c r="R605" s="36"/>
      <c r="S605" s="36"/>
      <c r="T605" s="36"/>
      <c r="U605" s="36"/>
      <c r="V605" s="36"/>
      <c r="W605" s="36"/>
      <c r="X605" s="36"/>
      <c r="Y605" s="36"/>
      <c r="Z605" s="36"/>
      <c r="AA605" s="36"/>
      <c r="AB605" s="36"/>
      <c r="AC605" s="36"/>
    </row>
    <row r="606" spans="1:29" ht="24" customHeight="1">
      <c r="A606" s="100"/>
      <c r="B606" s="463"/>
      <c r="C606" s="100"/>
      <c r="D606" s="100"/>
      <c r="E606" s="99"/>
      <c r="F606" s="99"/>
      <c r="G606" s="99"/>
      <c r="H606" s="100"/>
      <c r="I606" s="100"/>
      <c r="J606" s="35"/>
      <c r="K606" s="36"/>
      <c r="L606" s="36"/>
      <c r="M606" s="36"/>
      <c r="N606" s="36"/>
      <c r="O606" s="36"/>
      <c r="P606" s="36"/>
      <c r="Q606" s="36"/>
      <c r="R606" s="36"/>
      <c r="S606" s="36"/>
      <c r="T606" s="36"/>
      <c r="U606" s="36"/>
      <c r="V606" s="36"/>
      <c r="W606" s="36"/>
      <c r="X606" s="36"/>
      <c r="Y606" s="36"/>
      <c r="Z606" s="36"/>
      <c r="AA606" s="36"/>
      <c r="AB606" s="36"/>
      <c r="AC606" s="36"/>
    </row>
    <row r="607" spans="1:29" ht="24" customHeight="1">
      <c r="A607" s="100"/>
      <c r="B607" s="463"/>
      <c r="C607" s="100"/>
      <c r="D607" s="100"/>
      <c r="E607" s="99"/>
      <c r="F607" s="99"/>
      <c r="G607" s="99"/>
      <c r="H607" s="100"/>
      <c r="I607" s="100"/>
      <c r="J607" s="35"/>
      <c r="K607" s="36"/>
      <c r="L607" s="36"/>
      <c r="M607" s="36"/>
      <c r="N607" s="36"/>
      <c r="O607" s="36"/>
      <c r="P607" s="36"/>
      <c r="Q607" s="36"/>
      <c r="R607" s="36"/>
      <c r="S607" s="36"/>
      <c r="T607" s="36"/>
      <c r="U607" s="36"/>
      <c r="V607" s="36"/>
      <c r="W607" s="36"/>
      <c r="X607" s="36"/>
      <c r="Y607" s="36"/>
      <c r="Z607" s="36"/>
      <c r="AA607" s="36"/>
      <c r="AB607" s="36"/>
      <c r="AC607" s="36"/>
    </row>
    <row r="608" spans="1:29" ht="24" customHeight="1">
      <c r="A608" s="100"/>
      <c r="B608" s="463"/>
      <c r="C608" s="100"/>
      <c r="D608" s="100"/>
      <c r="E608" s="99"/>
      <c r="F608" s="99"/>
      <c r="G608" s="99"/>
      <c r="H608" s="100"/>
      <c r="I608" s="100"/>
      <c r="J608" s="35"/>
      <c r="K608" s="36"/>
      <c r="L608" s="36"/>
      <c r="M608" s="36"/>
      <c r="N608" s="36"/>
      <c r="O608" s="36"/>
      <c r="P608" s="36"/>
      <c r="Q608" s="36"/>
      <c r="R608" s="36"/>
      <c r="S608" s="36"/>
      <c r="T608" s="36"/>
      <c r="U608" s="36"/>
      <c r="V608" s="36"/>
      <c r="W608" s="36"/>
      <c r="X608" s="36"/>
      <c r="Y608" s="36"/>
      <c r="Z608" s="36"/>
      <c r="AA608" s="36"/>
      <c r="AB608" s="36"/>
      <c r="AC608" s="36"/>
    </row>
    <row r="609" spans="1:29" ht="12" customHeight="1">
      <c r="A609" s="100"/>
      <c r="B609" s="463"/>
      <c r="C609" s="100"/>
      <c r="D609" s="100"/>
      <c r="E609" s="99"/>
      <c r="F609" s="99"/>
      <c r="G609" s="99"/>
      <c r="H609" s="100"/>
      <c r="I609" s="100"/>
      <c r="J609" s="35"/>
      <c r="K609" s="36"/>
      <c r="L609" s="36"/>
      <c r="M609" s="36"/>
      <c r="N609" s="36"/>
      <c r="O609" s="36"/>
      <c r="P609" s="36"/>
      <c r="Q609" s="36"/>
      <c r="R609" s="36"/>
      <c r="S609" s="36"/>
      <c r="T609" s="36"/>
      <c r="U609" s="36"/>
      <c r="V609" s="36"/>
      <c r="W609" s="36"/>
      <c r="X609" s="36"/>
      <c r="Y609" s="36"/>
      <c r="Z609" s="36"/>
      <c r="AA609" s="36"/>
      <c r="AB609" s="36"/>
      <c r="AC609" s="36"/>
    </row>
    <row r="610" spans="1:29" ht="36" customHeight="1">
      <c r="A610" s="100"/>
      <c r="B610" s="463"/>
      <c r="C610" s="100"/>
      <c r="D610" s="100"/>
      <c r="E610" s="99"/>
      <c r="F610" s="99"/>
      <c r="G610" s="99"/>
      <c r="H610" s="100"/>
      <c r="I610" s="100"/>
      <c r="J610" s="35"/>
      <c r="K610" s="36"/>
      <c r="L610" s="36"/>
      <c r="M610" s="36"/>
      <c r="N610" s="36"/>
      <c r="O610" s="36"/>
      <c r="P610" s="36"/>
      <c r="Q610" s="36"/>
      <c r="R610" s="36"/>
      <c r="S610" s="36"/>
      <c r="T610" s="36"/>
      <c r="U610" s="36"/>
      <c r="V610" s="36"/>
      <c r="W610" s="36"/>
      <c r="X610" s="36"/>
      <c r="Y610" s="36"/>
      <c r="Z610" s="36"/>
      <c r="AA610" s="36"/>
      <c r="AB610" s="36"/>
      <c r="AC610" s="36"/>
    </row>
    <row r="611" spans="1:29" ht="60" customHeight="1">
      <c r="A611" s="100"/>
      <c r="B611" s="463"/>
      <c r="C611" s="100"/>
      <c r="D611" s="100"/>
      <c r="E611" s="99"/>
      <c r="F611" s="99"/>
      <c r="G611" s="99"/>
      <c r="H611" s="100"/>
      <c r="I611" s="100"/>
      <c r="J611" s="35"/>
      <c r="K611" s="36"/>
      <c r="L611" s="36"/>
      <c r="M611" s="36"/>
      <c r="N611" s="36"/>
      <c r="O611" s="36"/>
      <c r="P611" s="36"/>
      <c r="Q611" s="36"/>
      <c r="R611" s="36"/>
      <c r="S611" s="36"/>
      <c r="T611" s="36"/>
      <c r="U611" s="36"/>
      <c r="V611" s="36"/>
      <c r="W611" s="36"/>
      <c r="X611" s="36"/>
      <c r="Y611" s="36"/>
      <c r="Z611" s="36"/>
      <c r="AA611" s="36"/>
      <c r="AB611" s="36"/>
      <c r="AC611" s="36"/>
    </row>
    <row r="612" spans="1:29" ht="12" customHeight="1">
      <c r="A612" s="100"/>
      <c r="B612" s="630"/>
      <c r="C612" s="100"/>
      <c r="D612" s="100"/>
      <c r="E612" s="99"/>
      <c r="F612" s="99"/>
      <c r="G612" s="99"/>
      <c r="H612" s="100"/>
      <c r="I612" s="100"/>
      <c r="J612" s="35"/>
      <c r="K612" s="36"/>
      <c r="L612" s="36"/>
      <c r="M612" s="36"/>
      <c r="N612" s="36"/>
      <c r="O612" s="36"/>
      <c r="P612" s="36"/>
      <c r="Q612" s="36"/>
      <c r="R612" s="36"/>
      <c r="S612" s="36"/>
      <c r="T612" s="36"/>
      <c r="U612" s="36"/>
      <c r="V612" s="36"/>
      <c r="W612" s="36"/>
      <c r="X612" s="36"/>
      <c r="Y612" s="36"/>
      <c r="Z612" s="36"/>
      <c r="AA612" s="36"/>
      <c r="AB612" s="36"/>
      <c r="AC612" s="36"/>
    </row>
    <row r="613" spans="1:29" ht="12" customHeight="1">
      <c r="A613" s="100"/>
      <c r="B613" s="631"/>
      <c r="C613" s="100"/>
      <c r="D613" s="100"/>
      <c r="E613" s="99"/>
      <c r="F613" s="99"/>
      <c r="G613" s="99"/>
      <c r="H613" s="100"/>
      <c r="I613" s="100"/>
      <c r="J613" s="35"/>
      <c r="K613" s="36"/>
      <c r="L613" s="36"/>
      <c r="M613" s="36"/>
      <c r="N613" s="36"/>
      <c r="O613" s="36"/>
      <c r="P613" s="36"/>
      <c r="Q613" s="36"/>
      <c r="R613" s="36"/>
      <c r="S613" s="36"/>
      <c r="T613" s="36"/>
      <c r="U613" s="36"/>
      <c r="V613" s="36"/>
      <c r="W613" s="36"/>
      <c r="X613" s="36"/>
      <c r="Y613" s="36"/>
      <c r="Z613" s="36"/>
      <c r="AA613" s="36"/>
      <c r="AB613" s="36"/>
      <c r="AC613" s="36"/>
    </row>
    <row r="614" spans="1:29" ht="12" customHeight="1">
      <c r="A614" s="100"/>
      <c r="B614" s="631"/>
      <c r="C614" s="632"/>
      <c r="D614" s="100"/>
      <c r="E614" s="99"/>
      <c r="F614" s="99"/>
      <c r="G614" s="99"/>
      <c r="H614" s="100"/>
      <c r="I614" s="100"/>
      <c r="J614" s="35"/>
      <c r="K614" s="36"/>
      <c r="L614" s="36"/>
      <c r="M614" s="36"/>
      <c r="N614" s="36"/>
      <c r="O614" s="36"/>
      <c r="P614" s="36"/>
      <c r="Q614" s="36"/>
      <c r="R614" s="36"/>
      <c r="S614" s="36"/>
      <c r="T614" s="36"/>
      <c r="U614" s="36"/>
      <c r="V614" s="36"/>
      <c r="W614" s="36"/>
      <c r="X614" s="36"/>
      <c r="Y614" s="36"/>
      <c r="Z614" s="36"/>
      <c r="AA614" s="36"/>
      <c r="AB614" s="36"/>
      <c r="AC614" s="36"/>
    </row>
    <row r="615" spans="1:29" ht="60" customHeight="1">
      <c r="A615" s="81"/>
      <c r="B615" s="94"/>
      <c r="C615" s="81"/>
      <c r="D615" s="81"/>
      <c r="E615" s="80"/>
      <c r="F615" s="80"/>
      <c r="G615" s="80"/>
      <c r="H615" s="81"/>
      <c r="I615" s="81"/>
      <c r="J615" s="35"/>
      <c r="K615" s="36"/>
      <c r="L615" s="36"/>
      <c r="M615" s="36"/>
      <c r="N615" s="36"/>
      <c r="O615" s="36"/>
      <c r="P615" s="36"/>
      <c r="Q615" s="36"/>
      <c r="R615" s="36"/>
      <c r="S615" s="36"/>
      <c r="T615" s="36"/>
      <c r="U615" s="36"/>
      <c r="V615" s="36"/>
      <c r="W615" s="36"/>
      <c r="X615" s="36"/>
      <c r="Y615" s="36"/>
      <c r="Z615" s="36"/>
      <c r="AA615" s="36"/>
      <c r="AB615" s="36"/>
      <c r="AC615" s="36"/>
    </row>
    <row r="616" spans="1:29" ht="48" customHeight="1">
      <c r="A616" s="81"/>
      <c r="B616" s="94"/>
      <c r="C616" s="81"/>
      <c r="D616" s="81"/>
      <c r="E616" s="80"/>
      <c r="F616" s="80"/>
      <c r="G616" s="80"/>
      <c r="H616" s="81"/>
      <c r="I616" s="81"/>
      <c r="J616" s="35"/>
      <c r="K616" s="36"/>
      <c r="L616" s="36"/>
      <c r="M616" s="36"/>
      <c r="N616" s="36"/>
      <c r="O616" s="36"/>
      <c r="P616" s="36"/>
      <c r="Q616" s="36"/>
      <c r="R616" s="36"/>
      <c r="S616" s="36"/>
      <c r="T616" s="36"/>
      <c r="U616" s="36"/>
      <c r="V616" s="36"/>
      <c r="W616" s="36"/>
      <c r="X616" s="36"/>
      <c r="Y616" s="36"/>
      <c r="Z616" s="36"/>
      <c r="AA616" s="36"/>
      <c r="AB616" s="36"/>
      <c r="AC616" s="36"/>
    </row>
    <row r="617" spans="1:29" ht="36" customHeight="1">
      <c r="A617" s="81"/>
      <c r="B617" s="94"/>
      <c r="C617" s="81"/>
      <c r="D617" s="81"/>
      <c r="E617" s="80"/>
      <c r="F617" s="80"/>
      <c r="G617" s="80"/>
      <c r="H617" s="81"/>
      <c r="I617" s="81"/>
      <c r="J617" s="35"/>
      <c r="K617" s="36"/>
      <c r="L617" s="36"/>
      <c r="M617" s="36"/>
      <c r="N617" s="36"/>
      <c r="O617" s="36"/>
      <c r="P617" s="36"/>
      <c r="Q617" s="36"/>
      <c r="R617" s="36"/>
      <c r="S617" s="36"/>
      <c r="T617" s="36"/>
      <c r="U617" s="36"/>
      <c r="V617" s="36"/>
      <c r="W617" s="36"/>
      <c r="X617" s="36"/>
      <c r="Y617" s="36"/>
      <c r="Z617" s="36"/>
      <c r="AA617" s="36"/>
      <c r="AB617" s="36"/>
      <c r="AC617" s="36"/>
    </row>
    <row r="618" spans="1:29" ht="48" customHeight="1">
      <c r="A618" s="81"/>
      <c r="B618" s="94"/>
      <c r="C618" s="81"/>
      <c r="D618" s="81"/>
      <c r="E618" s="80"/>
      <c r="F618" s="80"/>
      <c r="G618" s="80"/>
      <c r="H618" s="81"/>
      <c r="I618" s="81"/>
      <c r="J618" s="35"/>
      <c r="K618" s="36"/>
      <c r="L618" s="36"/>
      <c r="M618" s="36"/>
      <c r="N618" s="36"/>
      <c r="O618" s="36"/>
      <c r="P618" s="36"/>
      <c r="Q618" s="36"/>
      <c r="R618" s="36"/>
      <c r="S618" s="36"/>
      <c r="T618" s="36"/>
      <c r="U618" s="36"/>
      <c r="V618" s="36"/>
      <c r="W618" s="36"/>
      <c r="X618" s="36"/>
      <c r="Y618" s="36"/>
      <c r="Z618" s="36"/>
      <c r="AA618" s="36"/>
      <c r="AB618" s="36"/>
      <c r="AC618" s="36"/>
    </row>
    <row r="619" spans="1:29" ht="28.5" customHeight="1">
      <c r="A619" s="81"/>
      <c r="B619" s="94"/>
      <c r="C619" s="81"/>
      <c r="D619" s="81"/>
      <c r="E619" s="80"/>
      <c r="F619" s="80"/>
      <c r="G619" s="80"/>
      <c r="H619" s="81"/>
      <c r="I619" s="81"/>
      <c r="J619" s="35"/>
      <c r="K619" s="36"/>
      <c r="L619" s="36"/>
      <c r="M619" s="36"/>
      <c r="N619" s="36"/>
      <c r="O619" s="36"/>
      <c r="P619" s="36"/>
      <c r="Q619" s="36"/>
      <c r="R619" s="36"/>
      <c r="S619" s="36"/>
      <c r="T619" s="36"/>
      <c r="U619" s="36"/>
      <c r="V619" s="36"/>
      <c r="W619" s="36"/>
      <c r="X619" s="36"/>
      <c r="Y619" s="36"/>
      <c r="Z619" s="36"/>
      <c r="AA619" s="36"/>
      <c r="AB619" s="36"/>
      <c r="AC619" s="36"/>
    </row>
    <row r="620" spans="1:29" ht="180" customHeight="1">
      <c r="A620" s="81"/>
      <c r="B620" s="94"/>
      <c r="C620" s="81"/>
      <c r="D620" s="81"/>
      <c r="E620" s="80"/>
      <c r="F620" s="80"/>
      <c r="G620" s="80"/>
      <c r="H620" s="81"/>
      <c r="I620" s="81"/>
      <c r="J620" s="35"/>
      <c r="K620" s="36"/>
      <c r="L620" s="36"/>
      <c r="M620" s="36"/>
      <c r="N620" s="36"/>
      <c r="O620" s="36"/>
      <c r="P620" s="36"/>
      <c r="Q620" s="36"/>
      <c r="R620" s="36"/>
      <c r="S620" s="36"/>
      <c r="T620" s="36"/>
      <c r="U620" s="36"/>
      <c r="V620" s="36"/>
      <c r="W620" s="36"/>
      <c r="X620" s="36"/>
      <c r="Y620" s="36"/>
      <c r="Z620" s="36"/>
      <c r="AA620" s="36"/>
      <c r="AB620" s="36"/>
      <c r="AC620" s="36"/>
    </row>
    <row r="621" spans="1:29" ht="24" customHeight="1">
      <c r="A621" s="81"/>
      <c r="B621" s="94"/>
      <c r="C621" s="81"/>
      <c r="D621" s="81"/>
      <c r="E621" s="80"/>
      <c r="F621" s="80"/>
      <c r="G621" s="80"/>
      <c r="H621" s="81"/>
      <c r="I621" s="81"/>
      <c r="J621" s="35"/>
      <c r="K621" s="36"/>
      <c r="L621" s="36"/>
      <c r="M621" s="36"/>
      <c r="N621" s="36"/>
      <c r="O621" s="36"/>
      <c r="P621" s="36"/>
      <c r="Q621" s="36"/>
      <c r="R621" s="36"/>
      <c r="S621" s="36"/>
      <c r="T621" s="36"/>
      <c r="U621" s="36"/>
      <c r="V621" s="36"/>
      <c r="W621" s="36"/>
      <c r="X621" s="36"/>
      <c r="Y621" s="36"/>
      <c r="Z621" s="36"/>
      <c r="AA621" s="36"/>
      <c r="AB621" s="36"/>
      <c r="AC621" s="36"/>
    </row>
    <row r="622" spans="1:29" ht="24" customHeight="1">
      <c r="A622" s="81"/>
      <c r="B622" s="94"/>
      <c r="C622" s="81"/>
      <c r="D622" s="81"/>
      <c r="E622" s="80"/>
      <c r="F622" s="80"/>
      <c r="G622" s="80"/>
      <c r="H622" s="81"/>
      <c r="I622" s="81"/>
      <c r="J622" s="35"/>
      <c r="K622" s="36"/>
      <c r="L622" s="36"/>
      <c r="M622" s="36"/>
      <c r="N622" s="36"/>
      <c r="O622" s="36"/>
      <c r="P622" s="36"/>
      <c r="Q622" s="36"/>
      <c r="R622" s="36"/>
      <c r="S622" s="36"/>
      <c r="T622" s="36"/>
      <c r="U622" s="36"/>
      <c r="V622" s="36"/>
      <c r="W622" s="36"/>
      <c r="X622" s="36"/>
      <c r="Y622" s="36"/>
      <c r="Z622" s="36"/>
      <c r="AA622" s="36"/>
      <c r="AB622" s="36"/>
      <c r="AC622" s="36"/>
    </row>
    <row r="623" spans="1:29" ht="36" customHeight="1">
      <c r="A623" s="81"/>
      <c r="B623" s="81"/>
      <c r="C623" s="81"/>
      <c r="D623" s="81"/>
      <c r="E623" s="80"/>
      <c r="F623" s="80"/>
      <c r="G623" s="80"/>
      <c r="H623" s="81"/>
      <c r="I623" s="81"/>
      <c r="J623" s="35"/>
      <c r="K623" s="36"/>
      <c r="L623" s="36"/>
      <c r="M623" s="36"/>
      <c r="N623" s="36"/>
      <c r="O623" s="36"/>
      <c r="P623" s="36"/>
      <c r="Q623" s="36"/>
      <c r="R623" s="36"/>
      <c r="S623" s="36"/>
      <c r="T623" s="36"/>
      <c r="U623" s="36"/>
      <c r="V623" s="36"/>
      <c r="W623" s="36"/>
      <c r="X623" s="36"/>
      <c r="Y623" s="36"/>
      <c r="Z623" s="36"/>
      <c r="AA623" s="36"/>
      <c r="AB623" s="36"/>
      <c r="AC623" s="36"/>
    </row>
    <row r="624" spans="1:29" ht="36" customHeight="1">
      <c r="A624" s="81"/>
      <c r="B624" s="94"/>
      <c r="C624" s="81"/>
      <c r="D624" s="81"/>
      <c r="E624" s="80"/>
      <c r="F624" s="80"/>
      <c r="G624" s="80"/>
      <c r="H624" s="81"/>
      <c r="I624" s="81"/>
      <c r="J624" s="35"/>
      <c r="K624" s="36"/>
      <c r="L624" s="36"/>
      <c r="M624" s="36"/>
      <c r="N624" s="36"/>
      <c r="O624" s="36"/>
      <c r="P624" s="36"/>
      <c r="Q624" s="36"/>
      <c r="R624" s="36"/>
      <c r="S624" s="36"/>
      <c r="T624" s="36"/>
      <c r="U624" s="36"/>
      <c r="V624" s="36"/>
      <c r="W624" s="36"/>
      <c r="X624" s="36"/>
      <c r="Y624" s="36"/>
      <c r="Z624" s="36"/>
      <c r="AA624" s="36"/>
      <c r="AB624" s="36"/>
      <c r="AC624" s="36"/>
    </row>
    <row r="625" spans="1:29" ht="24" customHeight="1">
      <c r="A625" s="81"/>
      <c r="B625" s="94"/>
      <c r="C625" s="81"/>
      <c r="D625" s="81"/>
      <c r="E625" s="80"/>
      <c r="F625" s="80"/>
      <c r="G625" s="80"/>
      <c r="H625" s="81"/>
      <c r="I625" s="81"/>
      <c r="J625" s="35"/>
      <c r="K625" s="36"/>
      <c r="L625" s="36"/>
      <c r="M625" s="36"/>
      <c r="N625" s="36"/>
      <c r="O625" s="36"/>
      <c r="P625" s="36"/>
      <c r="Q625" s="36"/>
      <c r="R625" s="36"/>
      <c r="S625" s="36"/>
      <c r="T625" s="36"/>
      <c r="U625" s="36"/>
      <c r="V625" s="36"/>
      <c r="W625" s="36"/>
      <c r="X625" s="36"/>
      <c r="Y625" s="36"/>
      <c r="Z625" s="36"/>
      <c r="AA625" s="36"/>
      <c r="AB625" s="36"/>
      <c r="AC625" s="36"/>
    </row>
    <row r="626" spans="1:29" ht="24" customHeight="1">
      <c r="A626" s="81"/>
      <c r="B626" s="94"/>
      <c r="C626" s="81"/>
      <c r="D626" s="81"/>
      <c r="E626" s="80"/>
      <c r="F626" s="80"/>
      <c r="G626" s="80"/>
      <c r="H626" s="81"/>
      <c r="I626" s="81"/>
      <c r="J626" s="35"/>
      <c r="K626" s="36"/>
      <c r="L626" s="36"/>
      <c r="M626" s="36"/>
      <c r="N626" s="36"/>
      <c r="O626" s="36"/>
      <c r="P626" s="36"/>
      <c r="Q626" s="36"/>
      <c r="R626" s="36"/>
      <c r="S626" s="36"/>
      <c r="T626" s="36"/>
      <c r="U626" s="36"/>
      <c r="V626" s="36"/>
      <c r="W626" s="36"/>
      <c r="X626" s="36"/>
      <c r="Y626" s="36"/>
      <c r="Z626" s="36"/>
      <c r="AA626" s="36"/>
      <c r="AB626" s="36"/>
      <c r="AC626" s="36"/>
    </row>
    <row r="627" spans="1:29" ht="48" customHeight="1">
      <c r="A627" s="81"/>
      <c r="B627" s="94"/>
      <c r="C627" s="81"/>
      <c r="D627" s="81"/>
      <c r="E627" s="80"/>
      <c r="F627" s="80"/>
      <c r="G627" s="80"/>
      <c r="H627" s="81"/>
      <c r="I627" s="81"/>
      <c r="J627" s="35"/>
      <c r="K627" s="36"/>
      <c r="L627" s="36"/>
      <c r="M627" s="36"/>
      <c r="N627" s="36"/>
      <c r="O627" s="36"/>
      <c r="P627" s="36"/>
      <c r="Q627" s="36"/>
      <c r="R627" s="36"/>
      <c r="S627" s="36"/>
      <c r="T627" s="36"/>
      <c r="U627" s="36"/>
      <c r="V627" s="36"/>
      <c r="W627" s="36"/>
      <c r="X627" s="36"/>
      <c r="Y627" s="36"/>
      <c r="Z627" s="36"/>
      <c r="AA627" s="36"/>
      <c r="AB627" s="36"/>
      <c r="AC627" s="36"/>
    </row>
    <row r="628" spans="1:29" ht="36" customHeight="1">
      <c r="A628" s="81"/>
      <c r="B628" s="94"/>
      <c r="C628" s="81"/>
      <c r="D628" s="81"/>
      <c r="E628" s="80"/>
      <c r="F628" s="80"/>
      <c r="G628" s="80"/>
      <c r="H628" s="81"/>
      <c r="I628" s="81"/>
      <c r="J628" s="35"/>
      <c r="K628" s="36"/>
      <c r="L628" s="36"/>
      <c r="M628" s="36"/>
      <c r="N628" s="36"/>
      <c r="O628" s="36"/>
      <c r="P628" s="36"/>
      <c r="Q628" s="36"/>
      <c r="R628" s="36"/>
      <c r="S628" s="36"/>
      <c r="T628" s="36"/>
      <c r="U628" s="36"/>
      <c r="V628" s="36"/>
      <c r="W628" s="36"/>
      <c r="X628" s="36"/>
      <c r="Y628" s="36"/>
      <c r="Z628" s="36"/>
      <c r="AA628" s="36"/>
      <c r="AB628" s="36"/>
      <c r="AC628" s="36"/>
    </row>
    <row r="629" spans="1:29" ht="36" customHeight="1">
      <c r="A629" s="81"/>
      <c r="B629" s="94"/>
      <c r="C629" s="81"/>
      <c r="D629" s="81"/>
      <c r="E629" s="80"/>
      <c r="F629" s="80"/>
      <c r="G629" s="80"/>
      <c r="H629" s="81"/>
      <c r="I629" s="81"/>
      <c r="J629" s="35"/>
      <c r="K629" s="36"/>
      <c r="L629" s="36"/>
      <c r="M629" s="36"/>
      <c r="N629" s="36"/>
      <c r="O629" s="36"/>
      <c r="P629" s="36"/>
      <c r="Q629" s="36"/>
      <c r="R629" s="36"/>
      <c r="S629" s="36"/>
      <c r="T629" s="36"/>
      <c r="U629" s="36"/>
      <c r="V629" s="36"/>
      <c r="W629" s="36"/>
      <c r="X629" s="36"/>
      <c r="Y629" s="36"/>
      <c r="Z629" s="36"/>
      <c r="AA629" s="36"/>
      <c r="AB629" s="36"/>
      <c r="AC629" s="36"/>
    </row>
    <row r="630" spans="1:29" ht="24" customHeight="1">
      <c r="A630" s="81"/>
      <c r="B630" s="94"/>
      <c r="C630" s="81"/>
      <c r="D630" s="81"/>
      <c r="E630" s="80"/>
      <c r="F630" s="80"/>
      <c r="G630" s="80"/>
      <c r="H630" s="81"/>
      <c r="I630" s="81"/>
      <c r="J630" s="35"/>
      <c r="K630" s="36"/>
      <c r="L630" s="36"/>
      <c r="M630" s="36"/>
      <c r="N630" s="36"/>
      <c r="O630" s="36"/>
      <c r="P630" s="36"/>
      <c r="Q630" s="36"/>
      <c r="R630" s="36"/>
      <c r="S630" s="36"/>
      <c r="T630" s="36"/>
      <c r="U630" s="36"/>
      <c r="V630" s="36"/>
      <c r="W630" s="36"/>
      <c r="X630" s="36"/>
      <c r="Y630" s="36"/>
      <c r="Z630" s="36"/>
      <c r="AA630" s="36"/>
      <c r="AB630" s="36"/>
      <c r="AC630" s="36"/>
    </row>
    <row r="631" spans="1:29" ht="36" customHeight="1">
      <c r="A631" s="81"/>
      <c r="B631" s="94"/>
      <c r="C631" s="81"/>
      <c r="D631" s="81"/>
      <c r="E631" s="80"/>
      <c r="F631" s="80"/>
      <c r="G631" s="80"/>
      <c r="H631" s="81"/>
      <c r="I631" s="81"/>
      <c r="J631" s="35"/>
      <c r="K631" s="36"/>
      <c r="L631" s="36"/>
      <c r="M631" s="36"/>
      <c r="N631" s="36"/>
      <c r="O631" s="36"/>
      <c r="P631" s="36"/>
      <c r="Q631" s="36"/>
      <c r="R631" s="36"/>
      <c r="S631" s="36"/>
      <c r="T631" s="36"/>
      <c r="U631" s="36"/>
      <c r="V631" s="36"/>
      <c r="W631" s="36"/>
      <c r="X631" s="36"/>
      <c r="Y631" s="36"/>
      <c r="Z631" s="36"/>
      <c r="AA631" s="36"/>
      <c r="AB631" s="36"/>
      <c r="AC631" s="36"/>
    </row>
    <row r="632" spans="1:29" ht="24" customHeight="1">
      <c r="A632" s="81"/>
      <c r="B632" s="94"/>
      <c r="C632" s="81"/>
      <c r="D632" s="81"/>
      <c r="E632" s="80"/>
      <c r="F632" s="80"/>
      <c r="G632" s="80"/>
      <c r="H632" s="81"/>
      <c r="I632" s="81"/>
      <c r="J632" s="35"/>
      <c r="K632" s="36"/>
      <c r="L632" s="36"/>
      <c r="M632" s="36"/>
      <c r="N632" s="36"/>
      <c r="O632" s="36"/>
      <c r="P632" s="36"/>
      <c r="Q632" s="36"/>
      <c r="R632" s="36"/>
      <c r="S632" s="36"/>
      <c r="T632" s="36"/>
      <c r="U632" s="36"/>
      <c r="V632" s="36"/>
      <c r="W632" s="36"/>
      <c r="X632" s="36"/>
      <c r="Y632" s="36"/>
      <c r="Z632" s="36"/>
      <c r="AA632" s="36"/>
      <c r="AB632" s="36"/>
      <c r="AC632" s="36"/>
    </row>
    <row r="633" spans="1:29" ht="24" customHeight="1">
      <c r="A633" s="81"/>
      <c r="B633" s="94"/>
      <c r="C633" s="81"/>
      <c r="D633" s="81"/>
      <c r="E633" s="80"/>
      <c r="F633" s="80"/>
      <c r="G633" s="80"/>
      <c r="H633" s="81"/>
      <c r="I633" s="81"/>
      <c r="J633" s="35"/>
      <c r="K633" s="36"/>
      <c r="L633" s="36"/>
      <c r="M633" s="36"/>
      <c r="N633" s="36"/>
      <c r="O633" s="36"/>
      <c r="P633" s="36"/>
      <c r="Q633" s="36"/>
      <c r="R633" s="36"/>
      <c r="S633" s="36"/>
      <c r="T633" s="36"/>
      <c r="U633" s="36"/>
      <c r="V633" s="36"/>
      <c r="W633" s="36"/>
      <c r="X633" s="36"/>
      <c r="Y633" s="36"/>
      <c r="Z633" s="36"/>
      <c r="AA633" s="36"/>
      <c r="AB633" s="36"/>
      <c r="AC633" s="36"/>
    </row>
    <row r="634" spans="1:29" ht="24" customHeight="1">
      <c r="A634" s="81"/>
      <c r="B634" s="94"/>
      <c r="C634" s="81"/>
      <c r="D634" s="81"/>
      <c r="E634" s="80"/>
      <c r="F634" s="80"/>
      <c r="G634" s="80"/>
      <c r="H634" s="81"/>
      <c r="I634" s="81"/>
      <c r="J634" s="35"/>
      <c r="K634" s="36"/>
      <c r="L634" s="36"/>
      <c r="M634" s="36"/>
      <c r="N634" s="36"/>
      <c r="O634" s="36"/>
      <c r="P634" s="36"/>
      <c r="Q634" s="36"/>
      <c r="R634" s="36"/>
      <c r="S634" s="36"/>
      <c r="T634" s="36"/>
      <c r="U634" s="36"/>
      <c r="V634" s="36"/>
      <c r="W634" s="36"/>
      <c r="X634" s="36"/>
      <c r="Y634" s="36"/>
      <c r="Z634" s="36"/>
      <c r="AA634" s="36"/>
      <c r="AB634" s="36"/>
      <c r="AC634" s="36"/>
    </row>
    <row r="635" spans="1:29" ht="24" customHeight="1">
      <c r="A635" s="81"/>
      <c r="B635" s="94"/>
      <c r="C635" s="81"/>
      <c r="D635" s="81"/>
      <c r="E635" s="80"/>
      <c r="F635" s="80"/>
      <c r="G635" s="80"/>
      <c r="H635" s="81"/>
      <c r="I635" s="81"/>
      <c r="J635" s="35"/>
      <c r="K635" s="36"/>
      <c r="L635" s="36"/>
      <c r="M635" s="36"/>
      <c r="N635" s="36"/>
      <c r="O635" s="36"/>
      <c r="P635" s="36"/>
      <c r="Q635" s="36"/>
      <c r="R635" s="36"/>
      <c r="S635" s="36"/>
      <c r="T635" s="36"/>
      <c r="U635" s="36"/>
      <c r="V635" s="36"/>
      <c r="W635" s="36"/>
      <c r="X635" s="36"/>
      <c r="Y635" s="36"/>
      <c r="Z635" s="36"/>
      <c r="AA635" s="36"/>
      <c r="AB635" s="36"/>
      <c r="AC635" s="36"/>
    </row>
    <row r="636" spans="1:29" ht="24" customHeight="1">
      <c r="A636" s="81"/>
      <c r="B636" s="94"/>
      <c r="C636" s="81"/>
      <c r="D636" s="81"/>
      <c r="E636" s="80"/>
      <c r="F636" s="80"/>
      <c r="G636" s="80"/>
      <c r="H636" s="81"/>
      <c r="I636" s="81"/>
      <c r="J636" s="35"/>
      <c r="K636" s="36"/>
      <c r="L636" s="36"/>
      <c r="M636" s="36"/>
      <c r="N636" s="36"/>
      <c r="O636" s="36"/>
      <c r="P636" s="36"/>
      <c r="Q636" s="36"/>
      <c r="R636" s="36"/>
      <c r="S636" s="36"/>
      <c r="T636" s="36"/>
      <c r="U636" s="36"/>
      <c r="V636" s="36"/>
      <c r="W636" s="36"/>
      <c r="X636" s="36"/>
      <c r="Y636" s="36"/>
      <c r="Z636" s="36"/>
      <c r="AA636" s="36"/>
      <c r="AB636" s="36"/>
      <c r="AC636" s="36"/>
    </row>
    <row r="637" spans="1:29" ht="36" customHeight="1">
      <c r="A637" s="81"/>
      <c r="B637" s="94"/>
      <c r="C637" s="81"/>
      <c r="D637" s="81"/>
      <c r="E637" s="80"/>
      <c r="F637" s="80"/>
      <c r="G637" s="80"/>
      <c r="H637" s="81"/>
      <c r="I637" s="81"/>
      <c r="J637" s="35"/>
      <c r="K637" s="36"/>
      <c r="L637" s="36"/>
      <c r="M637" s="36"/>
      <c r="N637" s="36"/>
      <c r="O637" s="36"/>
      <c r="P637" s="36"/>
      <c r="Q637" s="36"/>
      <c r="R637" s="36"/>
      <c r="S637" s="36"/>
      <c r="T637" s="36"/>
      <c r="U637" s="36"/>
      <c r="V637" s="36"/>
      <c r="W637" s="36"/>
      <c r="X637" s="36"/>
      <c r="Y637" s="36"/>
      <c r="Z637" s="36"/>
      <c r="AA637" s="36"/>
      <c r="AB637" s="36"/>
      <c r="AC637" s="36"/>
    </row>
    <row r="638" spans="1:29" ht="36" customHeight="1">
      <c r="A638" s="81"/>
      <c r="B638" s="94"/>
      <c r="C638" s="81"/>
      <c r="D638" s="81"/>
      <c r="E638" s="80"/>
      <c r="F638" s="80"/>
      <c r="G638" s="80"/>
      <c r="H638" s="81"/>
      <c r="I638" s="81"/>
      <c r="J638" s="35"/>
      <c r="K638" s="36"/>
      <c r="L638" s="36"/>
      <c r="M638" s="36"/>
      <c r="N638" s="36"/>
      <c r="O638" s="36"/>
      <c r="P638" s="36"/>
      <c r="Q638" s="36"/>
      <c r="R638" s="36"/>
      <c r="S638" s="36"/>
      <c r="T638" s="36"/>
      <c r="U638" s="36"/>
      <c r="V638" s="36"/>
      <c r="W638" s="36"/>
      <c r="X638" s="36"/>
      <c r="Y638" s="36"/>
      <c r="Z638" s="36"/>
      <c r="AA638" s="36"/>
      <c r="AB638" s="36"/>
      <c r="AC638" s="36"/>
    </row>
    <row r="639" spans="1:29" ht="24" customHeight="1">
      <c r="A639" s="81"/>
      <c r="B639" s="94"/>
      <c r="C639" s="81"/>
      <c r="D639" s="81"/>
      <c r="E639" s="80"/>
      <c r="F639" s="80"/>
      <c r="G639" s="80"/>
      <c r="H639" s="81"/>
      <c r="I639" s="81"/>
      <c r="J639" s="35"/>
      <c r="K639" s="36"/>
      <c r="L639" s="36"/>
      <c r="M639" s="36"/>
      <c r="N639" s="36"/>
      <c r="O639" s="36"/>
      <c r="P639" s="36"/>
      <c r="Q639" s="36"/>
      <c r="R639" s="36"/>
      <c r="S639" s="36"/>
      <c r="T639" s="36"/>
      <c r="U639" s="36"/>
      <c r="V639" s="36"/>
      <c r="W639" s="36"/>
      <c r="X639" s="36"/>
      <c r="Y639" s="36"/>
      <c r="Z639" s="36"/>
      <c r="AA639" s="36"/>
      <c r="AB639" s="36"/>
      <c r="AC639" s="36"/>
    </row>
    <row r="640" spans="1:29" ht="48" customHeight="1">
      <c r="A640" s="81"/>
      <c r="B640" s="94"/>
      <c r="C640" s="81"/>
      <c r="D640" s="81"/>
      <c r="E640" s="80"/>
      <c r="F640" s="80"/>
      <c r="G640" s="80"/>
      <c r="H640" s="81"/>
      <c r="I640" s="81"/>
      <c r="J640" s="35"/>
      <c r="K640" s="36"/>
      <c r="L640" s="36"/>
      <c r="M640" s="36"/>
      <c r="N640" s="36"/>
      <c r="O640" s="36"/>
      <c r="P640" s="36"/>
      <c r="Q640" s="36"/>
      <c r="R640" s="36"/>
      <c r="S640" s="36"/>
      <c r="T640" s="36"/>
      <c r="U640" s="36"/>
      <c r="V640" s="36"/>
      <c r="W640" s="36"/>
      <c r="X640" s="36"/>
      <c r="Y640" s="36"/>
      <c r="Z640" s="36"/>
      <c r="AA640" s="36"/>
      <c r="AB640" s="36"/>
      <c r="AC640" s="36"/>
    </row>
    <row r="641" spans="1:29" ht="60" customHeight="1">
      <c r="A641" s="81"/>
      <c r="B641" s="94"/>
      <c r="C641" s="81"/>
      <c r="D641" s="81"/>
      <c r="E641" s="80"/>
      <c r="F641" s="80"/>
      <c r="G641" s="80"/>
      <c r="H641" s="81"/>
      <c r="I641" s="81"/>
      <c r="J641" s="35"/>
      <c r="K641" s="36"/>
      <c r="L641" s="36"/>
      <c r="M641" s="36"/>
      <c r="N641" s="36"/>
      <c r="O641" s="36"/>
      <c r="P641" s="36"/>
      <c r="Q641" s="36"/>
      <c r="R641" s="36"/>
      <c r="S641" s="36"/>
      <c r="T641" s="36"/>
      <c r="U641" s="36"/>
      <c r="V641" s="36"/>
      <c r="W641" s="36"/>
      <c r="X641" s="36"/>
      <c r="Y641" s="36"/>
      <c r="Z641" s="36"/>
      <c r="AA641" s="36"/>
      <c r="AB641" s="36"/>
      <c r="AC641" s="36"/>
    </row>
    <row r="642" spans="1:29" ht="24" customHeight="1">
      <c r="A642" s="81"/>
      <c r="B642" s="94"/>
      <c r="C642" s="81"/>
      <c r="D642" s="81"/>
      <c r="E642" s="80"/>
      <c r="F642" s="80"/>
      <c r="G642" s="80"/>
      <c r="H642" s="81"/>
      <c r="I642" s="81"/>
      <c r="J642" s="35"/>
      <c r="K642" s="36"/>
      <c r="L642" s="36"/>
      <c r="M642" s="36"/>
      <c r="N642" s="36"/>
      <c r="O642" s="36"/>
      <c r="P642" s="36"/>
      <c r="Q642" s="36"/>
      <c r="R642" s="36"/>
      <c r="S642" s="36"/>
      <c r="T642" s="36"/>
      <c r="U642" s="36"/>
      <c r="V642" s="36"/>
      <c r="W642" s="36"/>
      <c r="X642" s="36"/>
      <c r="Y642" s="36"/>
      <c r="Z642" s="36"/>
      <c r="AA642" s="36"/>
      <c r="AB642" s="36"/>
      <c r="AC642" s="36"/>
    </row>
    <row r="643" spans="1:29" ht="24" customHeight="1">
      <c r="A643" s="81"/>
      <c r="B643" s="94"/>
      <c r="C643" s="81"/>
      <c r="D643" s="81"/>
      <c r="E643" s="80"/>
      <c r="F643" s="80"/>
      <c r="G643" s="80"/>
      <c r="H643" s="81"/>
      <c r="I643" s="81"/>
      <c r="J643" s="35"/>
      <c r="K643" s="36"/>
      <c r="L643" s="36"/>
      <c r="M643" s="36"/>
      <c r="N643" s="36"/>
      <c r="O643" s="36"/>
      <c r="P643" s="36"/>
      <c r="Q643" s="36"/>
      <c r="R643" s="36"/>
      <c r="S643" s="36"/>
      <c r="T643" s="36"/>
      <c r="U643" s="36"/>
      <c r="V643" s="36"/>
      <c r="W643" s="36"/>
      <c r="X643" s="36"/>
      <c r="Y643" s="36"/>
      <c r="Z643" s="36"/>
      <c r="AA643" s="36"/>
      <c r="AB643" s="36"/>
      <c r="AC643" s="36"/>
    </row>
    <row r="644" spans="1:29" ht="36" customHeight="1">
      <c r="A644" s="81"/>
      <c r="B644" s="94"/>
      <c r="C644" s="81"/>
      <c r="D644" s="81"/>
      <c r="E644" s="80"/>
      <c r="F644" s="80"/>
      <c r="G644" s="80"/>
      <c r="H644" s="81"/>
      <c r="I644" s="81"/>
      <c r="J644" s="35"/>
      <c r="K644" s="36"/>
      <c r="L644" s="36"/>
      <c r="M644" s="36"/>
      <c r="N644" s="36"/>
      <c r="O644" s="36"/>
      <c r="P644" s="36"/>
      <c r="Q644" s="36"/>
      <c r="R644" s="36"/>
      <c r="S644" s="36"/>
      <c r="T644" s="36"/>
      <c r="U644" s="36"/>
      <c r="V644" s="36"/>
      <c r="W644" s="36"/>
      <c r="X644" s="36"/>
      <c r="Y644" s="36"/>
      <c r="Z644" s="36"/>
      <c r="AA644" s="36"/>
      <c r="AB644" s="36"/>
      <c r="AC644" s="36"/>
    </row>
    <row r="645" spans="1:29" ht="24" customHeight="1">
      <c r="A645" s="81"/>
      <c r="B645" s="94"/>
      <c r="C645" s="81"/>
      <c r="D645" s="81"/>
      <c r="E645" s="80"/>
      <c r="F645" s="80"/>
      <c r="G645" s="80"/>
      <c r="H645" s="81"/>
      <c r="I645" s="81"/>
      <c r="J645" s="35"/>
      <c r="K645" s="36"/>
      <c r="L645" s="36"/>
      <c r="M645" s="36"/>
      <c r="N645" s="36"/>
      <c r="O645" s="36"/>
      <c r="P645" s="36"/>
      <c r="Q645" s="36"/>
      <c r="R645" s="36"/>
      <c r="S645" s="36"/>
      <c r="T645" s="36"/>
      <c r="U645" s="36"/>
      <c r="V645" s="36"/>
      <c r="W645" s="36"/>
      <c r="X645" s="36"/>
      <c r="Y645" s="36"/>
      <c r="Z645" s="36"/>
      <c r="AA645" s="36"/>
      <c r="AB645" s="36"/>
      <c r="AC645" s="36"/>
    </row>
    <row r="646" spans="1:29" ht="72" customHeight="1">
      <c r="A646" s="81"/>
      <c r="B646" s="94"/>
      <c r="C646" s="81"/>
      <c r="D646" s="81"/>
      <c r="E646" s="80"/>
      <c r="F646" s="80"/>
      <c r="G646" s="80"/>
      <c r="H646" s="81"/>
      <c r="I646" s="81"/>
      <c r="J646" s="35"/>
      <c r="K646" s="36"/>
      <c r="L646" s="36"/>
      <c r="M646" s="36"/>
      <c r="N646" s="36"/>
      <c r="O646" s="36"/>
      <c r="P646" s="36"/>
      <c r="Q646" s="36"/>
      <c r="R646" s="36"/>
      <c r="S646" s="36"/>
      <c r="T646" s="36"/>
      <c r="U646" s="36"/>
      <c r="V646" s="36"/>
      <c r="W646" s="36"/>
      <c r="X646" s="36"/>
      <c r="Y646" s="36"/>
      <c r="Z646" s="36"/>
      <c r="AA646" s="36"/>
      <c r="AB646" s="36"/>
      <c r="AC646" s="36"/>
    </row>
    <row r="647" spans="1:29" ht="24" customHeight="1">
      <c r="A647" s="81"/>
      <c r="B647" s="94"/>
      <c r="C647" s="81"/>
      <c r="D647" s="81"/>
      <c r="E647" s="80"/>
      <c r="F647" s="80"/>
      <c r="G647" s="80"/>
      <c r="H647" s="81"/>
      <c r="I647" s="81"/>
      <c r="J647" s="35"/>
      <c r="K647" s="36"/>
      <c r="L647" s="36"/>
      <c r="M647" s="36"/>
      <c r="N647" s="36"/>
      <c r="O647" s="36"/>
      <c r="P647" s="36"/>
      <c r="Q647" s="36"/>
      <c r="R647" s="36"/>
      <c r="S647" s="36"/>
      <c r="T647" s="36"/>
      <c r="U647" s="36"/>
      <c r="V647" s="36"/>
      <c r="W647" s="36"/>
      <c r="X647" s="36"/>
      <c r="Y647" s="36"/>
      <c r="Z647" s="36"/>
      <c r="AA647" s="36"/>
      <c r="AB647" s="36"/>
      <c r="AC647" s="36"/>
    </row>
    <row r="648" spans="1:29" ht="36" customHeight="1">
      <c r="A648" s="81"/>
      <c r="B648" s="94"/>
      <c r="C648" s="81"/>
      <c r="D648" s="81"/>
      <c r="E648" s="80"/>
      <c r="F648" s="80"/>
      <c r="G648" s="80"/>
      <c r="H648" s="81"/>
      <c r="I648" s="81"/>
      <c r="J648" s="35"/>
      <c r="K648" s="36"/>
      <c r="L648" s="36"/>
      <c r="M648" s="36"/>
      <c r="N648" s="36"/>
      <c r="O648" s="36"/>
      <c r="P648" s="36"/>
      <c r="Q648" s="36"/>
      <c r="R648" s="36"/>
      <c r="S648" s="36"/>
      <c r="T648" s="36"/>
      <c r="U648" s="36"/>
      <c r="V648" s="36"/>
      <c r="W648" s="36"/>
      <c r="X648" s="36"/>
      <c r="Y648" s="36"/>
      <c r="Z648" s="36"/>
      <c r="AA648" s="36"/>
      <c r="AB648" s="36"/>
      <c r="AC648" s="36"/>
    </row>
    <row r="649" spans="1:29" ht="24" customHeight="1">
      <c r="A649" s="81"/>
      <c r="B649" s="94"/>
      <c r="C649" s="81"/>
      <c r="D649" s="81"/>
      <c r="E649" s="80"/>
      <c r="F649" s="80"/>
      <c r="G649" s="80"/>
      <c r="H649" s="81"/>
      <c r="I649" s="81"/>
      <c r="J649" s="35"/>
      <c r="K649" s="36"/>
      <c r="L649" s="36"/>
      <c r="M649" s="36"/>
      <c r="N649" s="36"/>
      <c r="O649" s="36"/>
      <c r="P649" s="36"/>
      <c r="Q649" s="36"/>
      <c r="R649" s="36"/>
      <c r="S649" s="36"/>
      <c r="T649" s="36"/>
      <c r="U649" s="36"/>
      <c r="V649" s="36"/>
      <c r="W649" s="36"/>
      <c r="X649" s="36"/>
      <c r="Y649" s="36"/>
      <c r="Z649" s="36"/>
      <c r="AA649" s="36"/>
      <c r="AB649" s="36"/>
      <c r="AC649" s="36"/>
    </row>
    <row r="650" spans="1:29" ht="72" customHeight="1">
      <c r="A650" s="81"/>
      <c r="B650" s="94"/>
      <c r="C650" s="81"/>
      <c r="D650" s="81"/>
      <c r="E650" s="80"/>
      <c r="F650" s="80"/>
      <c r="G650" s="80"/>
      <c r="H650" s="81"/>
      <c r="I650" s="81"/>
      <c r="J650" s="35"/>
      <c r="K650" s="36"/>
      <c r="L650" s="36"/>
      <c r="M650" s="36"/>
      <c r="N650" s="36"/>
      <c r="O650" s="36"/>
      <c r="P650" s="36"/>
      <c r="Q650" s="36"/>
      <c r="R650" s="36"/>
      <c r="S650" s="36"/>
      <c r="T650" s="36"/>
      <c r="U650" s="36"/>
      <c r="V650" s="36"/>
      <c r="W650" s="36"/>
      <c r="X650" s="36"/>
      <c r="Y650" s="36"/>
      <c r="Z650" s="36"/>
      <c r="AA650" s="36"/>
      <c r="AB650" s="36"/>
      <c r="AC650" s="36"/>
    </row>
    <row r="651" spans="1:29" ht="24" customHeight="1">
      <c r="A651" s="81"/>
      <c r="B651" s="94"/>
      <c r="C651" s="81"/>
      <c r="D651" s="81"/>
      <c r="E651" s="80"/>
      <c r="F651" s="80"/>
      <c r="G651" s="80"/>
      <c r="H651" s="81"/>
      <c r="I651" s="81"/>
      <c r="J651" s="35"/>
      <c r="K651" s="36"/>
      <c r="L651" s="36"/>
      <c r="M651" s="36"/>
      <c r="N651" s="36"/>
      <c r="O651" s="36"/>
      <c r="P651" s="36"/>
      <c r="Q651" s="36"/>
      <c r="R651" s="36"/>
      <c r="S651" s="36"/>
      <c r="T651" s="36"/>
      <c r="U651" s="36"/>
      <c r="V651" s="36"/>
      <c r="W651" s="36"/>
      <c r="X651" s="36"/>
      <c r="Y651" s="36"/>
      <c r="Z651" s="36"/>
      <c r="AA651" s="36"/>
      <c r="AB651" s="36"/>
      <c r="AC651" s="36"/>
    </row>
    <row r="652" spans="1:29" ht="24" customHeight="1">
      <c r="A652" s="81"/>
      <c r="B652" s="94"/>
      <c r="C652" s="81"/>
      <c r="D652" s="81"/>
      <c r="E652" s="80"/>
      <c r="F652" s="80"/>
      <c r="G652" s="80"/>
      <c r="H652" s="81"/>
      <c r="I652" s="81"/>
      <c r="J652" s="35"/>
      <c r="K652" s="36"/>
      <c r="L652" s="36"/>
      <c r="M652" s="36"/>
      <c r="N652" s="36"/>
      <c r="O652" s="36"/>
      <c r="P652" s="36"/>
      <c r="Q652" s="36"/>
      <c r="R652" s="36"/>
      <c r="S652" s="36"/>
      <c r="T652" s="36"/>
      <c r="U652" s="36"/>
      <c r="V652" s="36"/>
      <c r="W652" s="36"/>
      <c r="X652" s="36"/>
      <c r="Y652" s="36"/>
      <c r="Z652" s="36"/>
      <c r="AA652" s="36"/>
      <c r="AB652" s="36"/>
      <c r="AC652" s="36"/>
    </row>
    <row r="653" spans="1:29" ht="60" customHeight="1">
      <c r="A653" s="81"/>
      <c r="B653" s="94"/>
      <c r="C653" s="81"/>
      <c r="D653" s="81"/>
      <c r="E653" s="80"/>
      <c r="F653" s="80"/>
      <c r="G653" s="80"/>
      <c r="H653" s="81"/>
      <c r="I653" s="81"/>
      <c r="J653" s="35"/>
      <c r="K653" s="36"/>
      <c r="L653" s="36"/>
      <c r="M653" s="36"/>
      <c r="N653" s="36"/>
      <c r="O653" s="36"/>
      <c r="P653" s="36"/>
      <c r="Q653" s="36"/>
      <c r="R653" s="36"/>
      <c r="S653" s="36"/>
      <c r="T653" s="36"/>
      <c r="U653" s="36"/>
      <c r="V653" s="36"/>
      <c r="W653" s="36"/>
      <c r="X653" s="36"/>
      <c r="Y653" s="36"/>
      <c r="Z653" s="36"/>
      <c r="AA653" s="36"/>
      <c r="AB653" s="36"/>
      <c r="AC653" s="36"/>
    </row>
    <row r="654" spans="1:29" ht="24" customHeight="1">
      <c r="A654" s="81"/>
      <c r="B654" s="94"/>
      <c r="C654" s="81"/>
      <c r="D654" s="81"/>
      <c r="E654" s="80"/>
      <c r="F654" s="80"/>
      <c r="G654" s="80"/>
      <c r="H654" s="81"/>
      <c r="I654" s="81"/>
      <c r="J654" s="35"/>
      <c r="K654" s="36"/>
      <c r="L654" s="36"/>
      <c r="M654" s="36"/>
      <c r="N654" s="36"/>
      <c r="O654" s="36"/>
      <c r="P654" s="36"/>
      <c r="Q654" s="36"/>
      <c r="R654" s="36"/>
      <c r="S654" s="36"/>
      <c r="T654" s="36"/>
      <c r="U654" s="36"/>
      <c r="V654" s="36"/>
      <c r="W654" s="36"/>
      <c r="X654" s="36"/>
      <c r="Y654" s="36"/>
      <c r="Z654" s="36"/>
      <c r="AA654" s="36"/>
      <c r="AB654" s="36"/>
      <c r="AC654" s="36"/>
    </row>
    <row r="655" spans="1:29" ht="72" customHeight="1">
      <c r="A655" s="81"/>
      <c r="B655" s="94"/>
      <c r="C655" s="81"/>
      <c r="D655" s="81"/>
      <c r="E655" s="80"/>
      <c r="F655" s="80"/>
      <c r="G655" s="80"/>
      <c r="H655" s="81"/>
      <c r="I655" s="81"/>
      <c r="J655" s="35"/>
      <c r="K655" s="36"/>
      <c r="L655" s="36"/>
      <c r="M655" s="36"/>
      <c r="N655" s="36"/>
      <c r="O655" s="36"/>
      <c r="P655" s="36"/>
      <c r="Q655" s="36"/>
      <c r="R655" s="36"/>
      <c r="S655" s="36"/>
      <c r="T655" s="36"/>
      <c r="U655" s="36"/>
      <c r="V655" s="36"/>
      <c r="W655" s="36"/>
      <c r="X655" s="36"/>
      <c r="Y655" s="36"/>
      <c r="Z655" s="36"/>
      <c r="AA655" s="36"/>
      <c r="AB655" s="36"/>
      <c r="AC655" s="36"/>
    </row>
    <row r="656" spans="1:29" ht="48" customHeight="1">
      <c r="A656" s="81"/>
      <c r="B656" s="94"/>
      <c r="C656" s="81"/>
      <c r="D656" s="81"/>
      <c r="E656" s="80"/>
      <c r="F656" s="80"/>
      <c r="G656" s="80"/>
      <c r="H656" s="81"/>
      <c r="I656" s="81"/>
      <c r="J656" s="35"/>
      <c r="K656" s="36"/>
      <c r="L656" s="36"/>
      <c r="M656" s="36"/>
      <c r="N656" s="36"/>
      <c r="O656" s="36"/>
      <c r="P656" s="36"/>
      <c r="Q656" s="36"/>
      <c r="R656" s="36"/>
      <c r="S656" s="36"/>
      <c r="T656" s="36"/>
      <c r="U656" s="36"/>
      <c r="V656" s="36"/>
      <c r="W656" s="36"/>
      <c r="X656" s="36"/>
      <c r="Y656" s="36"/>
      <c r="Z656" s="36"/>
      <c r="AA656" s="36"/>
      <c r="AB656" s="36"/>
      <c r="AC656" s="36"/>
    </row>
    <row r="657" spans="1:29" ht="24" customHeight="1">
      <c r="A657" s="81"/>
      <c r="B657" s="94"/>
      <c r="C657" s="81"/>
      <c r="D657" s="81"/>
      <c r="E657" s="80"/>
      <c r="F657" s="80"/>
      <c r="G657" s="80"/>
      <c r="H657" s="81"/>
      <c r="I657" s="81"/>
      <c r="J657" s="35"/>
      <c r="K657" s="36"/>
      <c r="L657" s="36"/>
      <c r="M657" s="36"/>
      <c r="N657" s="36"/>
      <c r="O657" s="36"/>
      <c r="P657" s="36"/>
      <c r="Q657" s="36"/>
      <c r="R657" s="36"/>
      <c r="S657" s="36"/>
      <c r="T657" s="36"/>
      <c r="U657" s="36"/>
      <c r="V657" s="36"/>
      <c r="W657" s="36"/>
      <c r="X657" s="36"/>
      <c r="Y657" s="36"/>
      <c r="Z657" s="36"/>
      <c r="AA657" s="36"/>
      <c r="AB657" s="36"/>
      <c r="AC657" s="36"/>
    </row>
    <row r="658" spans="1:29" ht="24" customHeight="1">
      <c r="A658" s="81"/>
      <c r="B658" s="94"/>
      <c r="C658" s="81"/>
      <c r="D658" s="81"/>
      <c r="E658" s="80"/>
      <c r="F658" s="80"/>
      <c r="G658" s="80"/>
      <c r="H658" s="81"/>
      <c r="I658" s="81"/>
      <c r="J658" s="35"/>
      <c r="K658" s="36"/>
      <c r="L658" s="36"/>
      <c r="M658" s="36"/>
      <c r="N658" s="36"/>
      <c r="O658" s="36"/>
      <c r="P658" s="36"/>
      <c r="Q658" s="36"/>
      <c r="R658" s="36"/>
      <c r="S658" s="36"/>
      <c r="T658" s="36"/>
      <c r="U658" s="36"/>
      <c r="V658" s="36"/>
      <c r="W658" s="36"/>
      <c r="X658" s="36"/>
      <c r="Y658" s="36"/>
      <c r="Z658" s="36"/>
      <c r="AA658" s="36"/>
      <c r="AB658" s="36"/>
      <c r="AC658" s="36"/>
    </row>
    <row r="659" spans="1:29" ht="24" customHeight="1">
      <c r="A659" s="81"/>
      <c r="B659" s="94"/>
      <c r="C659" s="81"/>
      <c r="D659" s="81"/>
      <c r="E659" s="80"/>
      <c r="F659" s="80"/>
      <c r="G659" s="80"/>
      <c r="H659" s="81"/>
      <c r="I659" s="81"/>
      <c r="J659" s="35"/>
      <c r="K659" s="36"/>
      <c r="L659" s="36"/>
      <c r="M659" s="36"/>
      <c r="N659" s="36"/>
      <c r="O659" s="36"/>
      <c r="P659" s="36"/>
      <c r="Q659" s="36"/>
      <c r="R659" s="36"/>
      <c r="S659" s="36"/>
      <c r="T659" s="36"/>
      <c r="U659" s="36"/>
      <c r="V659" s="36"/>
      <c r="W659" s="36"/>
      <c r="X659" s="36"/>
      <c r="Y659" s="36"/>
      <c r="Z659" s="36"/>
      <c r="AA659" s="36"/>
      <c r="AB659" s="36"/>
      <c r="AC659" s="36"/>
    </row>
    <row r="660" spans="1:29" ht="60" customHeight="1">
      <c r="A660" s="81"/>
      <c r="B660" s="94"/>
      <c r="C660" s="81"/>
      <c r="D660" s="81"/>
      <c r="E660" s="80"/>
      <c r="F660" s="80"/>
      <c r="G660" s="80"/>
      <c r="H660" s="81"/>
      <c r="I660" s="81"/>
      <c r="J660" s="35"/>
      <c r="K660" s="36"/>
      <c r="L660" s="36"/>
      <c r="M660" s="36"/>
      <c r="N660" s="36"/>
      <c r="O660" s="36"/>
      <c r="P660" s="36"/>
      <c r="Q660" s="36"/>
      <c r="R660" s="36"/>
      <c r="S660" s="36"/>
      <c r="T660" s="36"/>
      <c r="U660" s="36"/>
      <c r="V660" s="36"/>
      <c r="W660" s="36"/>
      <c r="X660" s="36"/>
      <c r="Y660" s="36"/>
      <c r="Z660" s="36"/>
      <c r="AA660" s="36"/>
      <c r="AB660" s="36"/>
      <c r="AC660" s="36"/>
    </row>
    <row r="661" spans="1:29" ht="36" customHeight="1">
      <c r="A661" s="81"/>
      <c r="B661" s="94"/>
      <c r="C661" s="81"/>
      <c r="D661" s="81"/>
      <c r="E661" s="80"/>
      <c r="F661" s="80"/>
      <c r="G661" s="80"/>
      <c r="H661" s="81"/>
      <c r="I661" s="81"/>
      <c r="J661" s="35"/>
      <c r="K661" s="36"/>
      <c r="L661" s="36"/>
      <c r="M661" s="36"/>
      <c r="N661" s="36"/>
      <c r="O661" s="36"/>
      <c r="P661" s="36"/>
      <c r="Q661" s="36"/>
      <c r="R661" s="36"/>
      <c r="S661" s="36"/>
      <c r="T661" s="36"/>
      <c r="U661" s="36"/>
      <c r="V661" s="36"/>
      <c r="W661" s="36"/>
      <c r="X661" s="36"/>
      <c r="Y661" s="36"/>
      <c r="Z661" s="36"/>
      <c r="AA661" s="36"/>
      <c r="AB661" s="36"/>
      <c r="AC661" s="36"/>
    </row>
    <row r="662" spans="1:29" ht="24" customHeight="1">
      <c r="A662" s="81"/>
      <c r="B662" s="94"/>
      <c r="C662" s="81"/>
      <c r="D662" s="81"/>
      <c r="E662" s="80"/>
      <c r="F662" s="80"/>
      <c r="G662" s="80"/>
      <c r="H662" s="81"/>
      <c r="I662" s="81"/>
      <c r="J662" s="35"/>
      <c r="K662" s="36"/>
      <c r="L662" s="36"/>
      <c r="M662" s="36"/>
      <c r="N662" s="36"/>
      <c r="O662" s="36"/>
      <c r="P662" s="36"/>
      <c r="Q662" s="36"/>
      <c r="R662" s="36"/>
      <c r="S662" s="36"/>
      <c r="T662" s="36"/>
      <c r="U662" s="36"/>
      <c r="V662" s="36"/>
      <c r="W662" s="36"/>
      <c r="X662" s="36"/>
      <c r="Y662" s="36"/>
      <c r="Z662" s="36"/>
      <c r="AA662" s="36"/>
      <c r="AB662" s="36"/>
      <c r="AC662" s="36"/>
    </row>
    <row r="663" spans="1:29" ht="36" customHeight="1">
      <c r="A663" s="81"/>
      <c r="B663" s="94"/>
      <c r="C663" s="81"/>
      <c r="D663" s="81"/>
      <c r="E663" s="80"/>
      <c r="F663" s="80"/>
      <c r="G663" s="80"/>
      <c r="H663" s="81"/>
      <c r="I663" s="81"/>
      <c r="J663" s="35"/>
      <c r="K663" s="36"/>
      <c r="L663" s="36"/>
      <c r="M663" s="36"/>
      <c r="N663" s="36"/>
      <c r="O663" s="36"/>
      <c r="P663" s="36"/>
      <c r="Q663" s="36"/>
      <c r="R663" s="36"/>
      <c r="S663" s="36"/>
      <c r="T663" s="36"/>
      <c r="U663" s="36"/>
      <c r="V663" s="36"/>
      <c r="W663" s="36"/>
      <c r="X663" s="36"/>
      <c r="Y663" s="36"/>
      <c r="Z663" s="36"/>
      <c r="AA663" s="36"/>
      <c r="AB663" s="36"/>
      <c r="AC663" s="36"/>
    </row>
    <row r="664" spans="1:29" ht="48" customHeight="1">
      <c r="A664" s="81"/>
      <c r="B664" s="94"/>
      <c r="C664" s="81"/>
      <c r="D664" s="81"/>
      <c r="E664" s="80"/>
      <c r="F664" s="80"/>
      <c r="G664" s="80"/>
      <c r="H664" s="81"/>
      <c r="I664" s="81"/>
      <c r="J664" s="35"/>
      <c r="K664" s="36"/>
      <c r="L664" s="36"/>
      <c r="M664" s="36"/>
      <c r="N664" s="36"/>
      <c r="O664" s="36"/>
      <c r="P664" s="36"/>
      <c r="Q664" s="36"/>
      <c r="R664" s="36"/>
      <c r="S664" s="36"/>
      <c r="T664" s="36"/>
      <c r="U664" s="36"/>
      <c r="V664" s="36"/>
      <c r="W664" s="36"/>
      <c r="X664" s="36"/>
      <c r="Y664" s="36"/>
      <c r="Z664" s="36"/>
      <c r="AA664" s="36"/>
      <c r="AB664" s="36"/>
      <c r="AC664" s="36"/>
    </row>
    <row r="665" spans="1:29" ht="96" customHeight="1">
      <c r="A665" s="81"/>
      <c r="B665" s="94"/>
      <c r="C665" s="81"/>
      <c r="D665" s="81"/>
      <c r="E665" s="80"/>
      <c r="F665" s="80"/>
      <c r="G665" s="80"/>
      <c r="H665" s="81"/>
      <c r="I665" s="81"/>
      <c r="J665" s="35"/>
      <c r="K665" s="36"/>
      <c r="L665" s="36"/>
      <c r="M665" s="36"/>
      <c r="N665" s="36"/>
      <c r="O665" s="36"/>
      <c r="P665" s="36"/>
      <c r="Q665" s="36"/>
      <c r="R665" s="36"/>
      <c r="S665" s="36"/>
      <c r="T665" s="36"/>
      <c r="U665" s="36"/>
      <c r="V665" s="36"/>
      <c r="W665" s="36"/>
      <c r="X665" s="36"/>
      <c r="Y665" s="36"/>
      <c r="Z665" s="36"/>
      <c r="AA665" s="36"/>
      <c r="AB665" s="36"/>
      <c r="AC665" s="36"/>
    </row>
    <row r="666" spans="1:29" ht="75.75" customHeight="1">
      <c r="A666" s="81"/>
      <c r="B666" s="94"/>
      <c r="C666" s="81"/>
      <c r="D666" s="81"/>
      <c r="E666" s="80"/>
      <c r="F666" s="80"/>
      <c r="G666" s="80"/>
      <c r="H666" s="81"/>
      <c r="I666" s="81"/>
      <c r="J666" s="35"/>
      <c r="K666" s="36"/>
      <c r="L666" s="36"/>
      <c r="M666" s="36"/>
      <c r="N666" s="36"/>
      <c r="O666" s="36"/>
      <c r="P666" s="36"/>
      <c r="Q666" s="36"/>
      <c r="R666" s="36"/>
      <c r="S666" s="36"/>
      <c r="T666" s="36"/>
      <c r="U666" s="36"/>
      <c r="V666" s="36"/>
      <c r="W666" s="36"/>
      <c r="X666" s="36"/>
      <c r="Y666" s="36"/>
      <c r="Z666" s="36"/>
      <c r="AA666" s="36"/>
      <c r="AB666" s="36"/>
      <c r="AC666" s="36"/>
    </row>
    <row r="667" spans="1:29" ht="84" customHeight="1">
      <c r="A667" s="81"/>
      <c r="B667" s="94"/>
      <c r="C667" s="81"/>
      <c r="D667" s="81"/>
      <c r="E667" s="80"/>
      <c r="F667" s="80"/>
      <c r="G667" s="80"/>
      <c r="H667" s="81"/>
      <c r="I667" s="81"/>
      <c r="J667" s="35"/>
      <c r="K667" s="36"/>
      <c r="L667" s="36"/>
      <c r="M667" s="36"/>
      <c r="N667" s="36"/>
      <c r="O667" s="36"/>
      <c r="P667" s="36"/>
      <c r="Q667" s="36"/>
      <c r="R667" s="36"/>
      <c r="S667" s="36"/>
      <c r="T667" s="36"/>
      <c r="U667" s="36"/>
      <c r="V667" s="36"/>
      <c r="W667" s="36"/>
      <c r="X667" s="36"/>
      <c r="Y667" s="36"/>
      <c r="Z667" s="36"/>
      <c r="AA667" s="36"/>
      <c r="AB667" s="36"/>
      <c r="AC667" s="36"/>
    </row>
    <row r="668" spans="1:29" ht="48" customHeight="1">
      <c r="A668" s="81"/>
      <c r="B668" s="94"/>
      <c r="C668" s="81"/>
      <c r="D668" s="81"/>
      <c r="E668" s="80"/>
      <c r="F668" s="80"/>
      <c r="G668" s="80"/>
      <c r="H668" s="81"/>
      <c r="I668" s="81"/>
      <c r="J668" s="35"/>
      <c r="K668" s="36"/>
      <c r="L668" s="36"/>
      <c r="M668" s="36"/>
      <c r="N668" s="36"/>
      <c r="O668" s="36"/>
      <c r="P668" s="36"/>
      <c r="Q668" s="36"/>
      <c r="R668" s="36"/>
      <c r="S668" s="36"/>
      <c r="T668" s="36"/>
      <c r="U668" s="36"/>
      <c r="V668" s="36"/>
      <c r="W668" s="36"/>
      <c r="X668" s="36"/>
      <c r="Y668" s="36"/>
      <c r="Z668" s="36"/>
      <c r="AA668" s="36"/>
      <c r="AB668" s="36"/>
      <c r="AC668" s="36"/>
    </row>
    <row r="669" spans="1:29" ht="72" customHeight="1">
      <c r="A669" s="81"/>
      <c r="B669" s="94"/>
      <c r="C669" s="81"/>
      <c r="D669" s="81"/>
      <c r="E669" s="80"/>
      <c r="F669" s="80"/>
      <c r="G669" s="80"/>
      <c r="H669" s="81"/>
      <c r="I669" s="81"/>
      <c r="J669" s="35"/>
      <c r="K669" s="36"/>
      <c r="L669" s="36"/>
      <c r="M669" s="36"/>
      <c r="N669" s="36"/>
      <c r="O669" s="36"/>
      <c r="P669" s="36"/>
      <c r="Q669" s="36"/>
      <c r="R669" s="36"/>
      <c r="S669" s="36"/>
      <c r="T669" s="36"/>
      <c r="U669" s="36"/>
      <c r="V669" s="36"/>
      <c r="W669" s="36"/>
      <c r="X669" s="36"/>
      <c r="Y669" s="36"/>
      <c r="Z669" s="36"/>
      <c r="AA669" s="36"/>
      <c r="AB669" s="36"/>
      <c r="AC669" s="36"/>
    </row>
    <row r="670" spans="1:29" ht="53.25" customHeight="1">
      <c r="A670" s="81"/>
      <c r="B670" s="94"/>
      <c r="C670" s="81"/>
      <c r="D670" s="81"/>
      <c r="E670" s="80"/>
      <c r="F670" s="80"/>
      <c r="G670" s="80"/>
      <c r="H670" s="81"/>
      <c r="I670" s="81"/>
      <c r="J670" s="35"/>
      <c r="K670" s="36"/>
      <c r="L670" s="36"/>
      <c r="M670" s="36"/>
      <c r="N670" s="36"/>
      <c r="O670" s="36"/>
      <c r="P670" s="36"/>
      <c r="Q670" s="36"/>
      <c r="R670" s="36"/>
      <c r="S670" s="36"/>
      <c r="T670" s="36"/>
      <c r="U670" s="36"/>
      <c r="V670" s="36"/>
      <c r="W670" s="36"/>
      <c r="X670" s="36"/>
      <c r="Y670" s="36"/>
      <c r="Z670" s="36"/>
      <c r="AA670" s="36"/>
      <c r="AB670" s="36"/>
      <c r="AC670" s="36"/>
    </row>
    <row r="671" spans="1:29" ht="54" customHeight="1">
      <c r="A671" s="81"/>
      <c r="B671" s="94"/>
      <c r="C671" s="81"/>
      <c r="D671" s="81"/>
      <c r="E671" s="80"/>
      <c r="F671" s="80"/>
      <c r="G671" s="80"/>
      <c r="H671" s="81"/>
      <c r="I671" s="81"/>
      <c r="J671" s="35"/>
      <c r="K671" s="36"/>
      <c r="L671" s="36"/>
      <c r="M671" s="36"/>
      <c r="N671" s="36"/>
      <c r="O671" s="36"/>
      <c r="P671" s="36"/>
      <c r="Q671" s="36"/>
      <c r="R671" s="36"/>
      <c r="S671" s="36"/>
      <c r="T671" s="36"/>
      <c r="U671" s="36"/>
      <c r="V671" s="36"/>
      <c r="W671" s="36"/>
      <c r="X671" s="36"/>
      <c r="Y671" s="36"/>
      <c r="Z671" s="36"/>
      <c r="AA671" s="36"/>
      <c r="AB671" s="36"/>
      <c r="AC671" s="36"/>
    </row>
    <row r="672" spans="1:29" ht="57" customHeight="1">
      <c r="A672" s="81"/>
      <c r="B672" s="94"/>
      <c r="C672" s="81"/>
      <c r="D672" s="81"/>
      <c r="E672" s="80"/>
      <c r="F672" s="80"/>
      <c r="G672" s="80"/>
      <c r="H672" s="81"/>
      <c r="I672" s="81"/>
      <c r="J672" s="35"/>
      <c r="K672" s="36"/>
      <c r="L672" s="36"/>
      <c r="M672" s="36"/>
      <c r="N672" s="36"/>
      <c r="O672" s="36"/>
      <c r="P672" s="36"/>
      <c r="Q672" s="36"/>
      <c r="R672" s="36"/>
      <c r="S672" s="36"/>
      <c r="T672" s="36"/>
      <c r="U672" s="36"/>
      <c r="V672" s="36"/>
      <c r="W672" s="36"/>
      <c r="X672" s="36"/>
      <c r="Y672" s="36"/>
      <c r="Z672" s="36"/>
      <c r="AA672" s="36"/>
      <c r="AB672" s="36"/>
      <c r="AC672" s="36"/>
    </row>
    <row r="673" spans="1:29" ht="47.25" customHeight="1">
      <c r="A673" s="81"/>
      <c r="B673" s="94"/>
      <c r="C673" s="81"/>
      <c r="D673" s="81"/>
      <c r="E673" s="80"/>
      <c r="F673" s="80"/>
      <c r="G673" s="80"/>
      <c r="H673" s="81"/>
      <c r="I673" s="81"/>
      <c r="J673" s="35"/>
      <c r="K673" s="36"/>
      <c r="L673" s="36"/>
      <c r="M673" s="36"/>
      <c r="N673" s="36"/>
      <c r="O673" s="36"/>
      <c r="P673" s="36"/>
      <c r="Q673" s="36"/>
      <c r="R673" s="36"/>
      <c r="S673" s="36"/>
      <c r="T673" s="36"/>
      <c r="U673" s="36"/>
      <c r="V673" s="36"/>
      <c r="W673" s="36"/>
      <c r="X673" s="36"/>
      <c r="Y673" s="36"/>
      <c r="Z673" s="36"/>
      <c r="AA673" s="36"/>
      <c r="AB673" s="36"/>
      <c r="AC673" s="36"/>
    </row>
    <row r="674" spans="1:29" ht="36" customHeight="1">
      <c r="A674" s="81"/>
      <c r="B674" s="94"/>
      <c r="C674" s="81"/>
      <c r="D674" s="81"/>
      <c r="E674" s="80"/>
      <c r="F674" s="80"/>
      <c r="G674" s="80"/>
      <c r="H674" s="81"/>
      <c r="I674" s="81"/>
      <c r="J674" s="35"/>
      <c r="K674" s="36"/>
      <c r="L674" s="36"/>
      <c r="M674" s="36"/>
      <c r="N674" s="36"/>
      <c r="O674" s="36"/>
      <c r="P674" s="36"/>
      <c r="Q674" s="36"/>
      <c r="R674" s="36"/>
      <c r="S674" s="36"/>
      <c r="T674" s="36"/>
      <c r="U674" s="36"/>
      <c r="V674" s="36"/>
      <c r="W674" s="36"/>
      <c r="X674" s="36"/>
      <c r="Y674" s="36"/>
      <c r="Z674" s="36"/>
      <c r="AA674" s="36"/>
      <c r="AB674" s="36"/>
      <c r="AC674" s="36"/>
    </row>
    <row r="675" spans="1:29" ht="36" customHeight="1">
      <c r="A675" s="81"/>
      <c r="B675" s="94"/>
      <c r="C675" s="81"/>
      <c r="D675" s="81"/>
      <c r="E675" s="80"/>
      <c r="F675" s="80"/>
      <c r="G675" s="80"/>
      <c r="H675" s="81"/>
      <c r="I675" s="81"/>
      <c r="J675" s="35"/>
      <c r="K675" s="36"/>
      <c r="L675" s="36"/>
      <c r="M675" s="36"/>
      <c r="N675" s="36"/>
      <c r="O675" s="36"/>
      <c r="P675" s="36"/>
      <c r="Q675" s="36"/>
      <c r="R675" s="36"/>
      <c r="S675" s="36"/>
      <c r="T675" s="36"/>
      <c r="U675" s="36"/>
      <c r="V675" s="36"/>
      <c r="W675" s="36"/>
      <c r="X675" s="36"/>
      <c r="Y675" s="36"/>
      <c r="Z675" s="36"/>
      <c r="AA675" s="36"/>
      <c r="AB675" s="36"/>
      <c r="AC675" s="36"/>
    </row>
    <row r="676" spans="1:29" ht="36" customHeight="1">
      <c r="A676" s="624"/>
      <c r="B676" s="94"/>
      <c r="C676" s="81"/>
      <c r="D676" s="81"/>
      <c r="E676" s="80"/>
      <c r="F676" s="80"/>
      <c r="G676" s="80"/>
      <c r="H676" s="81"/>
      <c r="I676" s="81"/>
      <c r="J676" s="35"/>
      <c r="K676" s="36"/>
      <c r="L676" s="36"/>
      <c r="M676" s="36"/>
      <c r="N676" s="36"/>
      <c r="O676" s="36"/>
      <c r="P676" s="36"/>
      <c r="Q676" s="36"/>
      <c r="R676" s="36"/>
      <c r="S676" s="36"/>
      <c r="T676" s="36"/>
      <c r="U676" s="36"/>
      <c r="V676" s="36"/>
      <c r="W676" s="36"/>
      <c r="X676" s="36"/>
      <c r="Y676" s="36"/>
      <c r="Z676" s="36"/>
      <c r="AA676" s="36"/>
      <c r="AB676" s="36"/>
      <c r="AC676" s="36"/>
    </row>
    <row r="677" spans="1:29" ht="48" customHeight="1">
      <c r="A677" s="624"/>
      <c r="B677" s="94"/>
      <c r="C677" s="81"/>
      <c r="D677" s="81"/>
      <c r="E677" s="80"/>
      <c r="F677" s="80"/>
      <c r="G677" s="80"/>
      <c r="H677" s="81"/>
      <c r="I677" s="81"/>
      <c r="J677" s="35"/>
      <c r="K677" s="36"/>
      <c r="L677" s="36"/>
      <c r="M677" s="36"/>
      <c r="N677" s="36"/>
      <c r="O677" s="36"/>
      <c r="P677" s="36"/>
      <c r="Q677" s="36"/>
      <c r="R677" s="36"/>
      <c r="S677" s="36"/>
      <c r="T677" s="36"/>
      <c r="U677" s="36"/>
      <c r="V677" s="36"/>
      <c r="W677" s="36"/>
      <c r="X677" s="36"/>
      <c r="Y677" s="36"/>
      <c r="Z677" s="36"/>
      <c r="AA677" s="36"/>
      <c r="AB677" s="36"/>
      <c r="AC677" s="36"/>
    </row>
    <row r="678" spans="1:29" ht="36" customHeight="1">
      <c r="A678" s="624"/>
      <c r="B678" s="633"/>
      <c r="C678" s="100"/>
      <c r="D678" s="100"/>
      <c r="E678" s="99"/>
      <c r="F678" s="99"/>
      <c r="G678" s="99"/>
      <c r="H678" s="100"/>
      <c r="I678" s="100"/>
      <c r="J678" s="35"/>
      <c r="K678" s="36"/>
      <c r="L678" s="36"/>
      <c r="M678" s="36"/>
      <c r="N678" s="36"/>
      <c r="O678" s="36"/>
      <c r="P678" s="36"/>
      <c r="Q678" s="36"/>
      <c r="R678" s="36"/>
      <c r="S678" s="36"/>
      <c r="T678" s="36"/>
      <c r="U678" s="36"/>
      <c r="V678" s="36"/>
      <c r="W678" s="36"/>
      <c r="X678" s="36"/>
      <c r="Y678" s="36"/>
      <c r="Z678" s="36"/>
      <c r="AA678" s="36"/>
      <c r="AB678" s="36"/>
      <c r="AC678" s="36"/>
    </row>
    <row r="679" spans="1:29" ht="36" customHeight="1">
      <c r="A679" s="624"/>
      <c r="B679" s="633"/>
      <c r="C679" s="100"/>
      <c r="D679" s="100"/>
      <c r="E679" s="99"/>
      <c r="F679" s="99"/>
      <c r="G679" s="99"/>
      <c r="H679" s="100"/>
      <c r="I679" s="100"/>
      <c r="J679" s="35"/>
      <c r="K679" s="36"/>
      <c r="L679" s="36"/>
      <c r="M679" s="36"/>
      <c r="N679" s="36"/>
      <c r="O679" s="36"/>
      <c r="P679" s="36"/>
      <c r="Q679" s="36"/>
      <c r="R679" s="36"/>
      <c r="S679" s="36"/>
      <c r="T679" s="36"/>
      <c r="U679" s="36"/>
      <c r="V679" s="36"/>
      <c r="W679" s="36"/>
      <c r="X679" s="36"/>
      <c r="Y679" s="36"/>
      <c r="Z679" s="36"/>
      <c r="AA679" s="36"/>
      <c r="AB679" s="36"/>
      <c r="AC679" s="36"/>
    </row>
    <row r="680" spans="1:29" ht="36" customHeight="1">
      <c r="A680" s="619"/>
      <c r="B680" s="94"/>
      <c r="C680" s="81"/>
      <c r="D680" s="81"/>
      <c r="E680" s="80"/>
      <c r="F680" s="80"/>
      <c r="G680" s="80"/>
      <c r="H680" s="81"/>
      <c r="I680" s="81"/>
      <c r="J680" s="35"/>
      <c r="K680" s="36"/>
      <c r="L680" s="36"/>
      <c r="M680" s="36"/>
      <c r="N680" s="36"/>
      <c r="O680" s="36"/>
      <c r="P680" s="36"/>
      <c r="Q680" s="36"/>
      <c r="R680" s="36"/>
      <c r="S680" s="36"/>
      <c r="T680" s="36"/>
      <c r="U680" s="36"/>
      <c r="V680" s="36"/>
      <c r="W680" s="36"/>
      <c r="X680" s="36"/>
      <c r="Y680" s="36"/>
      <c r="Z680" s="36"/>
      <c r="AA680" s="36"/>
      <c r="AB680" s="36"/>
      <c r="AC680" s="36"/>
    </row>
    <row r="681" spans="1:29" ht="48" customHeight="1">
      <c r="A681" s="619"/>
      <c r="B681" s="94"/>
      <c r="C681" s="81"/>
      <c r="D681" s="81"/>
      <c r="E681" s="80"/>
      <c r="F681" s="80"/>
      <c r="G681" s="80"/>
      <c r="H681" s="81"/>
      <c r="I681" s="81"/>
      <c r="J681" s="35"/>
      <c r="K681" s="36"/>
      <c r="L681" s="36"/>
      <c r="M681" s="36"/>
      <c r="N681" s="36"/>
      <c r="O681" s="36"/>
      <c r="P681" s="36"/>
      <c r="Q681" s="36"/>
      <c r="R681" s="36"/>
      <c r="S681" s="36"/>
      <c r="T681" s="36"/>
      <c r="U681" s="36"/>
      <c r="V681" s="36"/>
      <c r="W681" s="36"/>
      <c r="X681" s="36"/>
      <c r="Y681" s="36"/>
      <c r="Z681" s="36"/>
      <c r="AA681" s="36"/>
      <c r="AB681" s="36"/>
      <c r="AC681" s="36"/>
    </row>
    <row r="682" spans="1:29" ht="36" customHeight="1">
      <c r="A682" s="619"/>
      <c r="B682" s="94"/>
      <c r="C682" s="81"/>
      <c r="D682" s="81"/>
      <c r="E682" s="80"/>
      <c r="F682" s="80"/>
      <c r="G682" s="80"/>
      <c r="H682" s="81"/>
      <c r="I682" s="81"/>
      <c r="J682" s="35"/>
      <c r="K682" s="36"/>
      <c r="L682" s="36"/>
      <c r="M682" s="36"/>
      <c r="N682" s="36"/>
      <c r="O682" s="36"/>
      <c r="P682" s="36"/>
      <c r="Q682" s="36"/>
      <c r="R682" s="36"/>
      <c r="S682" s="36"/>
      <c r="T682" s="36"/>
      <c r="U682" s="36"/>
      <c r="V682" s="36"/>
      <c r="W682" s="36"/>
      <c r="X682" s="36"/>
      <c r="Y682" s="36"/>
      <c r="Z682" s="36"/>
      <c r="AA682" s="36"/>
      <c r="AB682" s="36"/>
      <c r="AC682" s="36"/>
    </row>
    <row r="683" spans="1:29" ht="24" customHeight="1">
      <c r="A683" s="619"/>
      <c r="B683" s="94"/>
      <c r="C683" s="81"/>
      <c r="D683" s="81"/>
      <c r="E683" s="80"/>
      <c r="F683" s="80"/>
      <c r="G683" s="80"/>
      <c r="H683" s="81"/>
      <c r="I683" s="81"/>
      <c r="J683" s="35"/>
      <c r="K683" s="36"/>
      <c r="L683" s="36"/>
      <c r="M683" s="36"/>
      <c r="N683" s="36"/>
      <c r="O683" s="36"/>
      <c r="P683" s="36"/>
      <c r="Q683" s="36"/>
      <c r="R683" s="36"/>
      <c r="S683" s="36"/>
      <c r="T683" s="36"/>
      <c r="U683" s="36"/>
      <c r="V683" s="36"/>
      <c r="W683" s="36"/>
      <c r="X683" s="36"/>
      <c r="Y683" s="36"/>
      <c r="Z683" s="36"/>
      <c r="AA683" s="36"/>
      <c r="AB683" s="36"/>
      <c r="AC683" s="36"/>
    </row>
    <row r="684" spans="1:29" ht="24" customHeight="1">
      <c r="A684" s="619"/>
      <c r="B684" s="94"/>
      <c r="C684" s="81"/>
      <c r="D684" s="81"/>
      <c r="E684" s="80"/>
      <c r="F684" s="80"/>
      <c r="G684" s="80"/>
      <c r="H684" s="81"/>
      <c r="I684" s="81"/>
      <c r="J684" s="35"/>
      <c r="K684" s="36"/>
      <c r="L684" s="36"/>
      <c r="M684" s="36"/>
      <c r="N684" s="36"/>
      <c r="O684" s="36"/>
      <c r="P684" s="36"/>
      <c r="Q684" s="36"/>
      <c r="R684" s="36"/>
      <c r="S684" s="36"/>
      <c r="T684" s="36"/>
      <c r="U684" s="36"/>
      <c r="V684" s="36"/>
      <c r="W684" s="36"/>
      <c r="X684" s="36"/>
      <c r="Y684" s="36"/>
      <c r="Z684" s="36"/>
      <c r="AA684" s="36"/>
      <c r="AB684" s="36"/>
      <c r="AC684" s="36"/>
    </row>
    <row r="685" spans="1:29" ht="24" customHeight="1">
      <c r="A685" s="619"/>
      <c r="B685" s="94"/>
      <c r="C685" s="81"/>
      <c r="D685" s="81"/>
      <c r="E685" s="80"/>
      <c r="F685" s="80"/>
      <c r="G685" s="80"/>
      <c r="H685" s="81"/>
      <c r="I685" s="81"/>
      <c r="J685" s="35"/>
      <c r="K685" s="36"/>
      <c r="L685" s="36"/>
      <c r="M685" s="36"/>
      <c r="N685" s="36"/>
      <c r="O685" s="36"/>
      <c r="P685" s="36"/>
      <c r="Q685" s="36"/>
      <c r="R685" s="36"/>
      <c r="S685" s="36"/>
      <c r="T685" s="36"/>
      <c r="U685" s="36"/>
      <c r="V685" s="36"/>
      <c r="W685" s="36"/>
      <c r="X685" s="36"/>
      <c r="Y685" s="36"/>
      <c r="Z685" s="36"/>
      <c r="AA685" s="36"/>
      <c r="AB685" s="36"/>
      <c r="AC685" s="36"/>
    </row>
    <row r="686" spans="1:29" ht="24" customHeight="1">
      <c r="A686" s="619"/>
      <c r="B686" s="94"/>
      <c r="C686" s="81"/>
      <c r="D686" s="81"/>
      <c r="E686" s="80"/>
      <c r="F686" s="80"/>
      <c r="G686" s="80"/>
      <c r="H686" s="81"/>
      <c r="I686" s="81"/>
      <c r="J686" s="35"/>
      <c r="K686" s="36"/>
      <c r="L686" s="36"/>
      <c r="M686" s="36"/>
      <c r="N686" s="36"/>
      <c r="O686" s="36"/>
      <c r="P686" s="36"/>
      <c r="Q686" s="36"/>
      <c r="R686" s="36"/>
      <c r="S686" s="36"/>
      <c r="T686" s="36"/>
      <c r="U686" s="36"/>
      <c r="V686" s="36"/>
      <c r="W686" s="36"/>
      <c r="X686" s="36"/>
      <c r="Y686" s="36"/>
      <c r="Z686" s="36"/>
      <c r="AA686" s="36"/>
      <c r="AB686" s="36"/>
      <c r="AC686" s="36"/>
    </row>
    <row r="687" spans="1:29" ht="36" customHeight="1">
      <c r="A687" s="619"/>
      <c r="B687" s="94"/>
      <c r="C687" s="81"/>
      <c r="D687" s="81"/>
      <c r="E687" s="80"/>
      <c r="F687" s="80"/>
      <c r="G687" s="80"/>
      <c r="H687" s="81"/>
      <c r="I687" s="81"/>
      <c r="J687" s="35"/>
      <c r="K687" s="36"/>
      <c r="L687" s="36"/>
      <c r="M687" s="36"/>
      <c r="N687" s="36"/>
      <c r="O687" s="36"/>
      <c r="P687" s="36"/>
      <c r="Q687" s="36"/>
      <c r="R687" s="36"/>
      <c r="S687" s="36"/>
      <c r="T687" s="36"/>
      <c r="U687" s="36"/>
      <c r="V687" s="36"/>
      <c r="W687" s="36"/>
      <c r="X687" s="36"/>
      <c r="Y687" s="36"/>
      <c r="Z687" s="36"/>
      <c r="AA687" s="36"/>
      <c r="AB687" s="36"/>
      <c r="AC687" s="36"/>
    </row>
    <row r="688" spans="1:29" ht="36" customHeight="1">
      <c r="A688" s="619"/>
      <c r="B688" s="94"/>
      <c r="C688" s="81"/>
      <c r="D688" s="81"/>
      <c r="E688" s="80"/>
      <c r="F688" s="80"/>
      <c r="G688" s="80"/>
      <c r="H688" s="81"/>
      <c r="I688" s="81"/>
      <c r="J688" s="35"/>
      <c r="K688" s="36"/>
      <c r="L688" s="36"/>
      <c r="M688" s="36"/>
      <c r="N688" s="36"/>
      <c r="O688" s="36"/>
      <c r="P688" s="36"/>
      <c r="Q688" s="36"/>
      <c r="R688" s="36"/>
      <c r="S688" s="36"/>
      <c r="T688" s="36"/>
      <c r="U688" s="36"/>
      <c r="V688" s="36"/>
      <c r="W688" s="36"/>
      <c r="X688" s="36"/>
      <c r="Y688" s="36"/>
      <c r="Z688" s="36"/>
      <c r="AA688" s="36"/>
      <c r="AB688" s="36"/>
      <c r="AC688" s="36"/>
    </row>
    <row r="689" spans="1:29" ht="36" customHeight="1">
      <c r="A689" s="619"/>
      <c r="B689" s="94"/>
      <c r="C689" s="81"/>
      <c r="D689" s="81"/>
      <c r="E689" s="80"/>
      <c r="F689" s="80"/>
      <c r="G689" s="80"/>
      <c r="H689" s="81"/>
      <c r="I689" s="81"/>
      <c r="J689" s="35"/>
      <c r="K689" s="36"/>
      <c r="L689" s="36"/>
      <c r="M689" s="36"/>
      <c r="N689" s="36"/>
      <c r="O689" s="36"/>
      <c r="P689" s="36"/>
      <c r="Q689" s="36"/>
      <c r="R689" s="36"/>
      <c r="S689" s="36"/>
      <c r="T689" s="36"/>
      <c r="U689" s="36"/>
      <c r="V689" s="36"/>
      <c r="W689" s="36"/>
      <c r="X689" s="36"/>
      <c r="Y689" s="36"/>
      <c r="Z689" s="36"/>
      <c r="AA689" s="36"/>
      <c r="AB689" s="36"/>
      <c r="AC689" s="36"/>
    </row>
    <row r="690" spans="1:29" ht="24" customHeight="1">
      <c r="A690" s="619"/>
      <c r="B690" s="94"/>
      <c r="C690" s="81"/>
      <c r="D690" s="81"/>
      <c r="E690" s="80"/>
      <c r="F690" s="80"/>
      <c r="G690" s="80"/>
      <c r="H690" s="81"/>
      <c r="I690" s="81"/>
      <c r="J690" s="35"/>
      <c r="K690" s="36"/>
      <c r="L690" s="36"/>
      <c r="M690" s="36"/>
      <c r="N690" s="36"/>
      <c r="O690" s="36"/>
      <c r="P690" s="36"/>
      <c r="Q690" s="36"/>
      <c r="R690" s="36"/>
      <c r="S690" s="36"/>
      <c r="T690" s="36"/>
      <c r="U690" s="36"/>
      <c r="V690" s="36"/>
      <c r="W690" s="36"/>
      <c r="X690" s="36"/>
      <c r="Y690" s="36"/>
      <c r="Z690" s="36"/>
      <c r="AA690" s="36"/>
      <c r="AB690" s="36"/>
      <c r="AC690" s="36"/>
    </row>
    <row r="691" spans="1:29" ht="24" customHeight="1">
      <c r="A691" s="619"/>
      <c r="B691" s="94"/>
      <c r="C691" s="81"/>
      <c r="D691" s="81"/>
      <c r="E691" s="80"/>
      <c r="F691" s="80"/>
      <c r="G691" s="80"/>
      <c r="H691" s="81"/>
      <c r="I691" s="81"/>
      <c r="J691" s="35"/>
      <c r="K691" s="36"/>
      <c r="L691" s="36"/>
      <c r="M691" s="36"/>
      <c r="N691" s="36"/>
      <c r="O691" s="36"/>
      <c r="P691" s="36"/>
      <c r="Q691" s="36"/>
      <c r="R691" s="36"/>
      <c r="S691" s="36"/>
      <c r="T691" s="36"/>
      <c r="U691" s="36"/>
      <c r="V691" s="36"/>
      <c r="W691" s="36"/>
      <c r="X691" s="36"/>
      <c r="Y691" s="36"/>
      <c r="Z691" s="36"/>
      <c r="AA691" s="36"/>
      <c r="AB691" s="36"/>
      <c r="AC691" s="36"/>
    </row>
    <row r="692" spans="1:29" ht="24" customHeight="1">
      <c r="A692" s="619"/>
      <c r="B692" s="94"/>
      <c r="C692" s="81"/>
      <c r="D692" s="81"/>
      <c r="E692" s="80"/>
      <c r="F692" s="80"/>
      <c r="G692" s="80"/>
      <c r="H692" s="81"/>
      <c r="I692" s="81"/>
      <c r="J692" s="35"/>
      <c r="K692" s="36"/>
      <c r="L692" s="36"/>
      <c r="M692" s="36"/>
      <c r="N692" s="36"/>
      <c r="O692" s="36"/>
      <c r="P692" s="36"/>
      <c r="Q692" s="36"/>
      <c r="R692" s="36"/>
      <c r="S692" s="36"/>
      <c r="T692" s="36"/>
      <c r="U692" s="36"/>
      <c r="V692" s="36"/>
      <c r="W692" s="36"/>
      <c r="X692" s="36"/>
      <c r="Y692" s="36"/>
      <c r="Z692" s="36"/>
      <c r="AA692" s="36"/>
      <c r="AB692" s="36"/>
      <c r="AC692" s="36"/>
    </row>
    <row r="693" spans="1:29" ht="36" customHeight="1">
      <c r="A693" s="619"/>
      <c r="B693" s="94"/>
      <c r="C693" s="81"/>
      <c r="D693" s="81"/>
      <c r="E693" s="80"/>
      <c r="F693" s="80"/>
      <c r="G693" s="80"/>
      <c r="H693" s="81"/>
      <c r="I693" s="81"/>
      <c r="J693" s="35"/>
      <c r="K693" s="36"/>
      <c r="L693" s="36"/>
      <c r="M693" s="36"/>
      <c r="N693" s="36"/>
      <c r="O693" s="36"/>
      <c r="P693" s="36"/>
      <c r="Q693" s="36"/>
      <c r="R693" s="36"/>
      <c r="S693" s="36"/>
      <c r="T693" s="36"/>
      <c r="U693" s="36"/>
      <c r="V693" s="36"/>
      <c r="W693" s="36"/>
      <c r="X693" s="36"/>
      <c r="Y693" s="36"/>
      <c r="Z693" s="36"/>
      <c r="AA693" s="36"/>
      <c r="AB693" s="36"/>
      <c r="AC693" s="36"/>
    </row>
    <row r="694" spans="1:29" ht="24" customHeight="1">
      <c r="A694" s="619"/>
      <c r="B694" s="94"/>
      <c r="C694" s="81"/>
      <c r="D694" s="81"/>
      <c r="E694" s="80"/>
      <c r="F694" s="80"/>
      <c r="G694" s="80"/>
      <c r="H694" s="81"/>
      <c r="I694" s="81"/>
      <c r="J694" s="35"/>
      <c r="K694" s="36"/>
      <c r="L694" s="36"/>
      <c r="M694" s="36"/>
      <c r="N694" s="36"/>
      <c r="O694" s="36"/>
      <c r="P694" s="36"/>
      <c r="Q694" s="36"/>
      <c r="R694" s="36"/>
      <c r="S694" s="36"/>
      <c r="T694" s="36"/>
      <c r="U694" s="36"/>
      <c r="V694" s="36"/>
      <c r="W694" s="36"/>
      <c r="X694" s="36"/>
      <c r="Y694" s="36"/>
      <c r="Z694" s="36"/>
      <c r="AA694" s="36"/>
      <c r="AB694" s="36"/>
      <c r="AC694" s="36"/>
    </row>
    <row r="695" spans="1:29" ht="48" customHeight="1">
      <c r="A695" s="619"/>
      <c r="B695" s="94"/>
      <c r="C695" s="81"/>
      <c r="D695" s="81"/>
      <c r="E695" s="80"/>
      <c r="F695" s="80"/>
      <c r="G695" s="80"/>
      <c r="H695" s="81"/>
      <c r="I695" s="81"/>
      <c r="J695" s="35"/>
      <c r="K695" s="36"/>
      <c r="L695" s="36"/>
      <c r="M695" s="36"/>
      <c r="N695" s="36"/>
      <c r="O695" s="36"/>
      <c r="P695" s="36"/>
      <c r="Q695" s="36"/>
      <c r="R695" s="36"/>
      <c r="S695" s="36"/>
      <c r="T695" s="36"/>
      <c r="U695" s="36"/>
      <c r="V695" s="36"/>
      <c r="W695" s="36"/>
      <c r="X695" s="36"/>
      <c r="Y695" s="36"/>
      <c r="Z695" s="36"/>
      <c r="AA695" s="36"/>
      <c r="AB695" s="36"/>
      <c r="AC695" s="36"/>
    </row>
    <row r="696" spans="1:29" ht="12" customHeight="1">
      <c r="A696" s="619"/>
      <c r="B696" s="94"/>
      <c r="C696" s="81"/>
      <c r="D696" s="81"/>
      <c r="E696" s="80"/>
      <c r="F696" s="80"/>
      <c r="G696" s="80"/>
      <c r="H696" s="81"/>
      <c r="I696" s="81"/>
      <c r="J696" s="35"/>
      <c r="K696" s="36"/>
      <c r="L696" s="36"/>
      <c r="M696" s="36"/>
      <c r="N696" s="36"/>
      <c r="O696" s="36"/>
      <c r="P696" s="36"/>
      <c r="Q696" s="36"/>
      <c r="R696" s="36"/>
      <c r="S696" s="36"/>
      <c r="T696" s="36"/>
      <c r="U696" s="36"/>
      <c r="V696" s="36"/>
      <c r="W696" s="36"/>
      <c r="X696" s="36"/>
      <c r="Y696" s="36"/>
      <c r="Z696" s="36"/>
      <c r="AA696" s="36"/>
      <c r="AB696" s="36"/>
      <c r="AC696" s="36"/>
    </row>
    <row r="697" spans="1:29" ht="24" customHeight="1">
      <c r="A697" s="619"/>
      <c r="B697" s="94"/>
      <c r="C697" s="81"/>
      <c r="D697" s="81"/>
      <c r="E697" s="80"/>
      <c r="F697" s="80"/>
      <c r="G697" s="80"/>
      <c r="H697" s="81"/>
      <c r="I697" s="81"/>
      <c r="J697" s="35"/>
      <c r="K697" s="36"/>
      <c r="L697" s="36"/>
      <c r="M697" s="36"/>
      <c r="N697" s="36"/>
      <c r="O697" s="36"/>
      <c r="P697" s="36"/>
      <c r="Q697" s="36"/>
      <c r="R697" s="36"/>
      <c r="S697" s="36"/>
      <c r="T697" s="36"/>
      <c r="U697" s="36"/>
      <c r="V697" s="36"/>
      <c r="W697" s="36"/>
      <c r="X697" s="36"/>
      <c r="Y697" s="36"/>
      <c r="Z697" s="36"/>
      <c r="AA697" s="36"/>
      <c r="AB697" s="36"/>
      <c r="AC697" s="36"/>
    </row>
    <row r="698" spans="1:29" ht="48" customHeight="1">
      <c r="A698" s="619"/>
      <c r="B698" s="94"/>
      <c r="C698" s="81"/>
      <c r="D698" s="81"/>
      <c r="E698" s="80"/>
      <c r="F698" s="80"/>
      <c r="G698" s="80"/>
      <c r="H698" s="81"/>
      <c r="I698" s="81"/>
      <c r="J698" s="35"/>
      <c r="K698" s="36"/>
      <c r="L698" s="36"/>
      <c r="M698" s="36"/>
      <c r="N698" s="36"/>
      <c r="O698" s="36"/>
      <c r="P698" s="36"/>
      <c r="Q698" s="36"/>
      <c r="R698" s="36"/>
      <c r="S698" s="36"/>
      <c r="T698" s="36"/>
      <c r="U698" s="36"/>
      <c r="V698" s="36"/>
      <c r="W698" s="36"/>
      <c r="X698" s="36"/>
      <c r="Y698" s="36"/>
      <c r="Z698" s="36"/>
      <c r="AA698" s="36"/>
      <c r="AB698" s="36"/>
      <c r="AC698" s="36"/>
    </row>
    <row r="699" spans="1:29" ht="36" customHeight="1">
      <c r="A699" s="619"/>
      <c r="B699" s="94"/>
      <c r="C699" s="81"/>
      <c r="D699" s="81"/>
      <c r="E699" s="80"/>
      <c r="F699" s="80"/>
      <c r="G699" s="80"/>
      <c r="H699" s="81"/>
      <c r="I699" s="81"/>
      <c r="J699" s="35"/>
      <c r="K699" s="36"/>
      <c r="L699" s="36"/>
      <c r="M699" s="36"/>
      <c r="N699" s="36"/>
      <c r="O699" s="36"/>
      <c r="P699" s="36"/>
      <c r="Q699" s="36"/>
      <c r="R699" s="36"/>
      <c r="S699" s="36"/>
      <c r="T699" s="36"/>
      <c r="U699" s="36"/>
      <c r="V699" s="36"/>
      <c r="W699" s="36"/>
      <c r="X699" s="36"/>
      <c r="Y699" s="36"/>
      <c r="Z699" s="36"/>
      <c r="AA699" s="36"/>
      <c r="AB699" s="36"/>
      <c r="AC699" s="36"/>
    </row>
    <row r="700" spans="1:29" ht="36" customHeight="1">
      <c r="A700" s="619"/>
      <c r="B700" s="94"/>
      <c r="C700" s="81"/>
      <c r="D700" s="81"/>
      <c r="E700" s="80"/>
      <c r="F700" s="80"/>
      <c r="G700" s="80"/>
      <c r="H700" s="81"/>
      <c r="I700" s="81"/>
      <c r="J700" s="35"/>
      <c r="K700" s="36"/>
      <c r="L700" s="36"/>
      <c r="M700" s="36"/>
      <c r="N700" s="36"/>
      <c r="O700" s="36"/>
      <c r="P700" s="36"/>
      <c r="Q700" s="36"/>
      <c r="R700" s="36"/>
      <c r="S700" s="36"/>
      <c r="T700" s="36"/>
      <c r="U700" s="36"/>
      <c r="V700" s="36"/>
      <c r="W700" s="36"/>
      <c r="X700" s="36"/>
      <c r="Y700" s="36"/>
      <c r="Z700" s="36"/>
      <c r="AA700" s="36"/>
      <c r="AB700" s="36"/>
      <c r="AC700" s="36"/>
    </row>
    <row r="701" spans="1:29" ht="36" customHeight="1">
      <c r="A701" s="619"/>
      <c r="B701" s="94"/>
      <c r="C701" s="81"/>
      <c r="D701" s="81"/>
      <c r="E701" s="80"/>
      <c r="F701" s="80"/>
      <c r="G701" s="80"/>
      <c r="H701" s="81"/>
      <c r="I701" s="81"/>
      <c r="J701" s="35"/>
      <c r="K701" s="36"/>
      <c r="L701" s="36"/>
      <c r="M701" s="36"/>
      <c r="N701" s="36"/>
      <c r="O701" s="36"/>
      <c r="P701" s="36"/>
      <c r="Q701" s="36"/>
      <c r="R701" s="36"/>
      <c r="S701" s="36"/>
      <c r="T701" s="36"/>
      <c r="U701" s="36"/>
      <c r="V701" s="36"/>
      <c r="W701" s="36"/>
      <c r="X701" s="36"/>
      <c r="Y701" s="36"/>
      <c r="Z701" s="36"/>
      <c r="AA701" s="36"/>
      <c r="AB701" s="36"/>
      <c r="AC701" s="36"/>
    </row>
    <row r="702" spans="1:29" ht="24" customHeight="1">
      <c r="A702" s="81"/>
      <c r="B702" s="94"/>
      <c r="C702" s="81"/>
      <c r="D702" s="81"/>
      <c r="E702" s="80"/>
      <c r="F702" s="80"/>
      <c r="G702" s="80"/>
      <c r="H702" s="81"/>
      <c r="I702" s="81"/>
      <c r="J702" s="35"/>
      <c r="K702" s="36"/>
      <c r="L702" s="36"/>
      <c r="M702" s="36"/>
      <c r="N702" s="36"/>
      <c r="O702" s="36"/>
      <c r="P702" s="36"/>
      <c r="Q702" s="36"/>
      <c r="R702" s="36"/>
      <c r="S702" s="36"/>
      <c r="T702" s="36"/>
      <c r="U702" s="36"/>
      <c r="V702" s="36"/>
      <c r="W702" s="36"/>
      <c r="X702" s="36"/>
      <c r="Y702" s="36"/>
      <c r="Z702" s="36"/>
      <c r="AA702" s="36"/>
      <c r="AB702" s="36"/>
      <c r="AC702" s="36"/>
    </row>
    <row r="703" spans="1:29" ht="36" customHeight="1">
      <c r="A703" s="81"/>
      <c r="B703" s="94"/>
      <c r="C703" s="81"/>
      <c r="D703" s="81"/>
      <c r="E703" s="80"/>
      <c r="F703" s="80"/>
      <c r="G703" s="80"/>
      <c r="H703" s="81"/>
      <c r="I703" s="81"/>
      <c r="J703" s="35"/>
      <c r="K703" s="36"/>
      <c r="L703" s="36"/>
      <c r="M703" s="36"/>
      <c r="N703" s="36"/>
      <c r="O703" s="36"/>
      <c r="P703" s="36"/>
      <c r="Q703" s="36"/>
      <c r="R703" s="36"/>
      <c r="S703" s="36"/>
      <c r="T703" s="36"/>
      <c r="U703" s="36"/>
      <c r="V703" s="36"/>
      <c r="W703" s="36"/>
      <c r="X703" s="36"/>
      <c r="Y703" s="36"/>
      <c r="Z703" s="36"/>
      <c r="AA703" s="36"/>
      <c r="AB703" s="36"/>
      <c r="AC703" s="36"/>
    </row>
    <row r="704" spans="1:29" ht="36" customHeight="1">
      <c r="A704" s="81"/>
      <c r="B704" s="94"/>
      <c r="C704" s="81"/>
      <c r="D704" s="81"/>
      <c r="E704" s="80"/>
      <c r="F704" s="80"/>
      <c r="G704" s="80"/>
      <c r="H704" s="81"/>
      <c r="I704" s="81"/>
      <c r="J704" s="35"/>
      <c r="K704" s="36"/>
      <c r="L704" s="36"/>
      <c r="M704" s="36"/>
      <c r="N704" s="36"/>
      <c r="O704" s="36"/>
      <c r="P704" s="36"/>
      <c r="Q704" s="36"/>
      <c r="R704" s="36"/>
      <c r="S704" s="36"/>
      <c r="T704" s="36"/>
      <c r="U704" s="36"/>
      <c r="V704" s="36"/>
      <c r="W704" s="36"/>
      <c r="X704" s="36"/>
      <c r="Y704" s="36"/>
      <c r="Z704" s="36"/>
      <c r="AA704" s="36"/>
      <c r="AB704" s="36"/>
      <c r="AC704" s="36"/>
    </row>
    <row r="705" spans="1:29" ht="60" customHeight="1">
      <c r="A705" s="81"/>
      <c r="B705" s="94"/>
      <c r="C705" s="81"/>
      <c r="D705" s="81"/>
      <c r="E705" s="80"/>
      <c r="F705" s="80"/>
      <c r="G705" s="80"/>
      <c r="H705" s="81"/>
      <c r="I705" s="81"/>
      <c r="J705" s="35"/>
      <c r="K705" s="36"/>
      <c r="L705" s="36"/>
      <c r="M705" s="36"/>
      <c r="N705" s="36"/>
      <c r="O705" s="36"/>
      <c r="P705" s="36"/>
      <c r="Q705" s="36"/>
      <c r="R705" s="36"/>
      <c r="S705" s="36"/>
      <c r="T705" s="36"/>
      <c r="U705" s="36"/>
      <c r="V705" s="36"/>
      <c r="W705" s="36"/>
      <c r="X705" s="36"/>
      <c r="Y705" s="36"/>
      <c r="Z705" s="36"/>
      <c r="AA705" s="36"/>
      <c r="AB705" s="36"/>
      <c r="AC705" s="36"/>
    </row>
    <row r="706" spans="1:29" ht="24" customHeight="1">
      <c r="A706" s="81"/>
      <c r="B706" s="94"/>
      <c r="C706" s="81"/>
      <c r="D706" s="81"/>
      <c r="E706" s="80"/>
      <c r="F706" s="80"/>
      <c r="G706" s="80"/>
      <c r="H706" s="81"/>
      <c r="I706" s="81"/>
      <c r="J706" s="35"/>
      <c r="K706" s="36"/>
      <c r="L706" s="36"/>
      <c r="M706" s="36"/>
      <c r="N706" s="36"/>
      <c r="O706" s="36"/>
      <c r="P706" s="36"/>
      <c r="Q706" s="36"/>
      <c r="R706" s="36"/>
      <c r="S706" s="36"/>
      <c r="T706" s="36"/>
      <c r="U706" s="36"/>
      <c r="V706" s="36"/>
      <c r="W706" s="36"/>
      <c r="X706" s="36"/>
      <c r="Y706" s="36"/>
      <c r="Z706" s="36"/>
      <c r="AA706" s="36"/>
      <c r="AB706" s="36"/>
      <c r="AC706" s="36"/>
    </row>
    <row r="707" spans="1:29" ht="24" customHeight="1">
      <c r="A707" s="81"/>
      <c r="B707" s="94"/>
      <c r="C707" s="81"/>
      <c r="D707" s="81"/>
      <c r="E707" s="80"/>
      <c r="F707" s="80"/>
      <c r="G707" s="80"/>
      <c r="H707" s="81"/>
      <c r="I707" s="81"/>
      <c r="J707" s="35"/>
      <c r="K707" s="36"/>
      <c r="L707" s="36"/>
      <c r="M707" s="36"/>
      <c r="N707" s="36"/>
      <c r="O707" s="36"/>
      <c r="P707" s="36"/>
      <c r="Q707" s="36"/>
      <c r="R707" s="36"/>
      <c r="S707" s="36"/>
      <c r="T707" s="36"/>
      <c r="U707" s="36"/>
      <c r="V707" s="36"/>
      <c r="W707" s="36"/>
      <c r="X707" s="36"/>
      <c r="Y707" s="36"/>
      <c r="Z707" s="36"/>
      <c r="AA707" s="36"/>
      <c r="AB707" s="36"/>
      <c r="AC707" s="36"/>
    </row>
    <row r="708" spans="1:29" ht="24" customHeight="1">
      <c r="A708" s="81"/>
      <c r="B708" s="94"/>
      <c r="C708" s="81"/>
      <c r="D708" s="81"/>
      <c r="E708" s="80"/>
      <c r="F708" s="80"/>
      <c r="G708" s="80"/>
      <c r="H708" s="81"/>
      <c r="I708" s="81"/>
      <c r="J708" s="35"/>
      <c r="K708" s="36"/>
      <c r="L708" s="36"/>
      <c r="M708" s="36"/>
      <c r="N708" s="36"/>
      <c r="O708" s="36"/>
      <c r="P708" s="36"/>
      <c r="Q708" s="36"/>
      <c r="R708" s="36"/>
      <c r="S708" s="36"/>
      <c r="T708" s="36"/>
      <c r="U708" s="36"/>
      <c r="V708" s="36"/>
      <c r="W708" s="36"/>
      <c r="X708" s="36"/>
      <c r="Y708" s="36"/>
      <c r="Z708" s="36"/>
      <c r="AA708" s="36"/>
      <c r="AB708" s="36"/>
      <c r="AC708" s="36"/>
    </row>
    <row r="709" spans="1:29" ht="36" customHeight="1">
      <c r="A709" s="81"/>
      <c r="B709" s="94"/>
      <c r="C709" s="81"/>
      <c r="D709" s="81"/>
      <c r="E709" s="80"/>
      <c r="F709" s="80"/>
      <c r="G709" s="80"/>
      <c r="H709" s="81"/>
      <c r="I709" s="81"/>
      <c r="J709" s="35"/>
      <c r="K709" s="36"/>
      <c r="L709" s="36"/>
      <c r="M709" s="36"/>
      <c r="N709" s="36"/>
      <c r="O709" s="36"/>
      <c r="P709" s="36"/>
      <c r="Q709" s="36"/>
      <c r="R709" s="36"/>
      <c r="S709" s="36"/>
      <c r="T709" s="36"/>
      <c r="U709" s="36"/>
      <c r="V709" s="36"/>
      <c r="W709" s="36"/>
      <c r="X709" s="36"/>
      <c r="Y709" s="36"/>
      <c r="Z709" s="36"/>
      <c r="AA709" s="36"/>
      <c r="AB709" s="36"/>
      <c r="AC709" s="36"/>
    </row>
    <row r="710" spans="1:29" ht="36" customHeight="1">
      <c r="A710" s="81"/>
      <c r="B710" s="94"/>
      <c r="C710" s="81"/>
      <c r="D710" s="81"/>
      <c r="E710" s="80"/>
      <c r="F710" s="80"/>
      <c r="G710" s="80"/>
      <c r="H710" s="81"/>
      <c r="I710" s="81"/>
      <c r="J710" s="35"/>
      <c r="K710" s="36"/>
      <c r="L710" s="36"/>
      <c r="M710" s="36"/>
      <c r="N710" s="36"/>
      <c r="O710" s="36"/>
      <c r="P710" s="36"/>
      <c r="Q710" s="36"/>
      <c r="R710" s="36"/>
      <c r="S710" s="36"/>
      <c r="T710" s="36"/>
      <c r="U710" s="36"/>
      <c r="V710" s="36"/>
      <c r="W710" s="36"/>
      <c r="X710" s="36"/>
      <c r="Y710" s="36"/>
      <c r="Z710" s="36"/>
      <c r="AA710" s="36"/>
      <c r="AB710" s="36"/>
      <c r="AC710" s="36"/>
    </row>
    <row r="711" spans="1:29" ht="48" customHeight="1">
      <c r="A711" s="81"/>
      <c r="B711" s="94"/>
      <c r="C711" s="81"/>
      <c r="D711" s="81"/>
      <c r="E711" s="80"/>
      <c r="F711" s="80"/>
      <c r="G711" s="80"/>
      <c r="H711" s="81"/>
      <c r="I711" s="81"/>
      <c r="J711" s="35"/>
      <c r="K711" s="36"/>
      <c r="L711" s="36"/>
      <c r="M711" s="36"/>
      <c r="N711" s="36"/>
      <c r="O711" s="36"/>
      <c r="P711" s="36"/>
      <c r="Q711" s="36"/>
      <c r="R711" s="36"/>
      <c r="S711" s="36"/>
      <c r="T711" s="36"/>
      <c r="U711" s="36"/>
      <c r="V711" s="36"/>
      <c r="W711" s="36"/>
      <c r="X711" s="36"/>
      <c r="Y711" s="36"/>
      <c r="Z711" s="36"/>
      <c r="AA711" s="36"/>
      <c r="AB711" s="36"/>
      <c r="AC711" s="36"/>
    </row>
    <row r="712" spans="1:29" ht="48" customHeight="1">
      <c r="A712" s="81"/>
      <c r="B712" s="94"/>
      <c r="C712" s="81"/>
      <c r="D712" s="81"/>
      <c r="E712" s="80"/>
      <c r="F712" s="80"/>
      <c r="G712" s="80"/>
      <c r="H712" s="81"/>
      <c r="I712" s="81"/>
      <c r="J712" s="35"/>
      <c r="K712" s="36"/>
      <c r="L712" s="36"/>
      <c r="M712" s="36"/>
      <c r="N712" s="36"/>
      <c r="O712" s="36"/>
      <c r="P712" s="36"/>
      <c r="Q712" s="36"/>
      <c r="R712" s="36"/>
      <c r="S712" s="36"/>
      <c r="T712" s="36"/>
      <c r="U712" s="36"/>
      <c r="V712" s="36"/>
      <c r="W712" s="36"/>
      <c r="X712" s="36"/>
      <c r="Y712" s="36"/>
      <c r="Z712" s="36"/>
      <c r="AA712" s="36"/>
      <c r="AB712" s="36"/>
      <c r="AC712" s="36"/>
    </row>
    <row r="713" spans="1:29" ht="36" customHeight="1">
      <c r="A713" s="81"/>
      <c r="B713" s="94"/>
      <c r="C713" s="81"/>
      <c r="D713" s="81"/>
      <c r="E713" s="80"/>
      <c r="F713" s="80"/>
      <c r="G713" s="80"/>
      <c r="H713" s="81"/>
      <c r="I713" s="81"/>
      <c r="J713" s="35"/>
      <c r="K713" s="36"/>
      <c r="L713" s="36"/>
      <c r="M713" s="36"/>
      <c r="N713" s="36"/>
      <c r="O713" s="36"/>
      <c r="P713" s="36"/>
      <c r="Q713" s="36"/>
      <c r="R713" s="36"/>
      <c r="S713" s="36"/>
      <c r="T713" s="36"/>
      <c r="U713" s="36"/>
      <c r="V713" s="36"/>
      <c r="W713" s="36"/>
      <c r="X713" s="36"/>
      <c r="Y713" s="36"/>
      <c r="Z713" s="36"/>
      <c r="AA713" s="36"/>
      <c r="AB713" s="36"/>
      <c r="AC713" s="36"/>
    </row>
    <row r="714" spans="1:29" ht="36" customHeight="1">
      <c r="A714" s="81"/>
      <c r="B714" s="94"/>
      <c r="C714" s="81"/>
      <c r="D714" s="81"/>
      <c r="E714" s="80"/>
      <c r="F714" s="80"/>
      <c r="G714" s="80"/>
      <c r="H714" s="81"/>
      <c r="I714" s="81"/>
      <c r="J714" s="35"/>
      <c r="K714" s="36"/>
      <c r="L714" s="36"/>
      <c r="M714" s="36"/>
      <c r="N714" s="36"/>
      <c r="O714" s="36"/>
      <c r="P714" s="36"/>
      <c r="Q714" s="36"/>
      <c r="R714" s="36"/>
      <c r="S714" s="36"/>
      <c r="T714" s="36"/>
      <c r="U714" s="36"/>
      <c r="V714" s="36"/>
      <c r="W714" s="36"/>
      <c r="X714" s="36"/>
      <c r="Y714" s="36"/>
      <c r="Z714" s="36"/>
      <c r="AA714" s="36"/>
      <c r="AB714" s="36"/>
      <c r="AC714" s="36"/>
    </row>
    <row r="715" spans="1:29" ht="48" customHeight="1">
      <c r="A715" s="81"/>
      <c r="B715" s="94"/>
      <c r="C715" s="81"/>
      <c r="D715" s="81"/>
      <c r="E715" s="80"/>
      <c r="F715" s="80"/>
      <c r="G715" s="80"/>
      <c r="H715" s="81"/>
      <c r="I715" s="81"/>
      <c r="J715" s="35"/>
      <c r="K715" s="36"/>
      <c r="L715" s="36"/>
      <c r="M715" s="36"/>
      <c r="N715" s="36"/>
      <c r="O715" s="36"/>
      <c r="P715" s="36"/>
      <c r="Q715" s="36"/>
      <c r="R715" s="36"/>
      <c r="S715" s="36"/>
      <c r="T715" s="36"/>
      <c r="U715" s="36"/>
      <c r="V715" s="36"/>
      <c r="W715" s="36"/>
      <c r="X715" s="36"/>
      <c r="Y715" s="36"/>
      <c r="Z715" s="36"/>
      <c r="AA715" s="36"/>
      <c r="AB715" s="36"/>
      <c r="AC715" s="36"/>
    </row>
    <row r="716" spans="1:29" ht="48" customHeight="1">
      <c r="A716" s="81"/>
      <c r="B716" s="94"/>
      <c r="C716" s="81"/>
      <c r="D716" s="81"/>
      <c r="E716" s="80"/>
      <c r="F716" s="80"/>
      <c r="G716" s="80"/>
      <c r="H716" s="81"/>
      <c r="I716" s="81"/>
      <c r="J716" s="35"/>
      <c r="K716" s="36"/>
      <c r="L716" s="36"/>
      <c r="M716" s="36"/>
      <c r="N716" s="36"/>
      <c r="O716" s="36"/>
      <c r="P716" s="36"/>
      <c r="Q716" s="36"/>
      <c r="R716" s="36"/>
      <c r="S716" s="36"/>
      <c r="T716" s="36"/>
      <c r="U716" s="36"/>
      <c r="V716" s="36"/>
      <c r="W716" s="36"/>
      <c r="X716" s="36"/>
      <c r="Y716" s="36"/>
      <c r="Z716" s="36"/>
      <c r="AA716" s="36"/>
      <c r="AB716" s="36"/>
      <c r="AC716" s="36"/>
    </row>
    <row r="717" spans="1:29" ht="36" customHeight="1">
      <c r="A717" s="81"/>
      <c r="B717" s="94"/>
      <c r="C717" s="81"/>
      <c r="D717" s="81"/>
      <c r="E717" s="80"/>
      <c r="F717" s="80"/>
      <c r="G717" s="80"/>
      <c r="H717" s="81"/>
      <c r="I717" s="81"/>
      <c r="J717" s="35"/>
      <c r="K717" s="36"/>
      <c r="L717" s="36"/>
      <c r="M717" s="36"/>
      <c r="N717" s="36"/>
      <c r="O717" s="36"/>
      <c r="P717" s="36"/>
      <c r="Q717" s="36"/>
      <c r="R717" s="36"/>
      <c r="S717" s="36"/>
      <c r="T717" s="36"/>
      <c r="U717" s="36"/>
      <c r="V717" s="36"/>
      <c r="W717" s="36"/>
      <c r="X717" s="36"/>
      <c r="Y717" s="36"/>
      <c r="Z717" s="36"/>
      <c r="AA717" s="36"/>
      <c r="AB717" s="36"/>
      <c r="AC717" s="36"/>
    </row>
    <row r="718" spans="1:29" ht="48" customHeight="1">
      <c r="A718" s="81"/>
      <c r="B718" s="94"/>
      <c r="C718" s="81"/>
      <c r="D718" s="81"/>
      <c r="E718" s="80"/>
      <c r="F718" s="80"/>
      <c r="G718" s="80"/>
      <c r="H718" s="81"/>
      <c r="I718" s="81"/>
      <c r="J718" s="35"/>
      <c r="K718" s="36"/>
      <c r="L718" s="36"/>
      <c r="M718" s="36"/>
      <c r="N718" s="36"/>
      <c r="O718" s="36"/>
      <c r="P718" s="36"/>
      <c r="Q718" s="36"/>
      <c r="R718" s="36"/>
      <c r="S718" s="36"/>
      <c r="T718" s="36"/>
      <c r="U718" s="36"/>
      <c r="V718" s="36"/>
      <c r="W718" s="36"/>
      <c r="X718" s="36"/>
      <c r="Y718" s="36"/>
      <c r="Z718" s="36"/>
      <c r="AA718" s="36"/>
      <c r="AB718" s="36"/>
      <c r="AC718" s="36"/>
    </row>
    <row r="719" spans="1:29" ht="84" customHeight="1">
      <c r="A719" s="81"/>
      <c r="B719" s="94"/>
      <c r="C719" s="81"/>
      <c r="D719" s="81"/>
      <c r="E719" s="80"/>
      <c r="F719" s="80"/>
      <c r="G719" s="80"/>
      <c r="H719" s="81"/>
      <c r="I719" s="81"/>
      <c r="J719" s="35"/>
      <c r="K719" s="36"/>
      <c r="L719" s="36"/>
      <c r="M719" s="36"/>
      <c r="N719" s="36"/>
      <c r="O719" s="36"/>
      <c r="P719" s="36"/>
      <c r="Q719" s="36"/>
      <c r="R719" s="36"/>
      <c r="S719" s="36"/>
      <c r="T719" s="36"/>
      <c r="U719" s="36"/>
      <c r="V719" s="36"/>
      <c r="W719" s="36"/>
      <c r="X719" s="36"/>
      <c r="Y719" s="36"/>
      <c r="Z719" s="36"/>
      <c r="AA719" s="36"/>
      <c r="AB719" s="36"/>
      <c r="AC719" s="36"/>
    </row>
    <row r="720" spans="1:29" ht="36" customHeight="1">
      <c r="A720" s="81"/>
      <c r="B720" s="94"/>
      <c r="C720" s="81"/>
      <c r="D720" s="81"/>
      <c r="E720" s="80"/>
      <c r="F720" s="80"/>
      <c r="G720" s="80"/>
      <c r="H720" s="81"/>
      <c r="I720" s="81"/>
      <c r="J720" s="35"/>
      <c r="K720" s="36"/>
      <c r="L720" s="36"/>
      <c r="M720" s="36"/>
      <c r="N720" s="36"/>
      <c r="O720" s="36"/>
      <c r="P720" s="36"/>
      <c r="Q720" s="36"/>
      <c r="R720" s="36"/>
      <c r="S720" s="36"/>
      <c r="T720" s="36"/>
      <c r="U720" s="36"/>
      <c r="V720" s="36"/>
      <c r="W720" s="36"/>
      <c r="X720" s="36"/>
      <c r="Y720" s="36"/>
      <c r="Z720" s="36"/>
      <c r="AA720" s="36"/>
      <c r="AB720" s="36"/>
      <c r="AC720" s="36"/>
    </row>
    <row r="721" spans="1:29" ht="36" customHeight="1">
      <c r="A721" s="81"/>
      <c r="B721" s="94"/>
      <c r="C721" s="81"/>
      <c r="D721" s="81"/>
      <c r="E721" s="80"/>
      <c r="F721" s="80"/>
      <c r="G721" s="80"/>
      <c r="H721" s="81"/>
      <c r="I721" s="81"/>
      <c r="J721" s="35"/>
      <c r="K721" s="36"/>
      <c r="L721" s="36"/>
      <c r="M721" s="36"/>
      <c r="N721" s="36"/>
      <c r="O721" s="36"/>
      <c r="P721" s="36"/>
      <c r="Q721" s="36"/>
      <c r="R721" s="36"/>
      <c r="S721" s="36"/>
      <c r="T721" s="36"/>
      <c r="U721" s="36"/>
      <c r="V721" s="36"/>
      <c r="W721" s="36"/>
      <c r="X721" s="36"/>
      <c r="Y721" s="36"/>
      <c r="Z721" s="36"/>
      <c r="AA721" s="36"/>
      <c r="AB721" s="36"/>
      <c r="AC721" s="36"/>
    </row>
    <row r="722" spans="1:29" ht="48" customHeight="1">
      <c r="A722" s="81"/>
      <c r="B722" s="94"/>
      <c r="C722" s="81"/>
      <c r="D722" s="81"/>
      <c r="E722" s="80"/>
      <c r="F722" s="80"/>
      <c r="G722" s="80"/>
      <c r="H722" s="81"/>
      <c r="I722" s="81"/>
      <c r="J722" s="35"/>
      <c r="K722" s="36"/>
      <c r="L722" s="36"/>
      <c r="M722" s="36"/>
      <c r="N722" s="36"/>
      <c r="O722" s="36"/>
      <c r="P722" s="36"/>
      <c r="Q722" s="36"/>
      <c r="R722" s="36"/>
      <c r="S722" s="36"/>
      <c r="T722" s="36"/>
      <c r="U722" s="36"/>
      <c r="V722" s="36"/>
      <c r="W722" s="36"/>
      <c r="X722" s="36"/>
      <c r="Y722" s="36"/>
      <c r="Z722" s="36"/>
      <c r="AA722" s="36"/>
      <c r="AB722" s="36"/>
      <c r="AC722" s="36"/>
    </row>
    <row r="723" spans="1:29" ht="36" customHeight="1">
      <c r="A723" s="81"/>
      <c r="B723" s="94"/>
      <c r="C723" s="81"/>
      <c r="D723" s="81"/>
      <c r="E723" s="80"/>
      <c r="F723" s="80"/>
      <c r="G723" s="80"/>
      <c r="H723" s="81"/>
      <c r="I723" s="81"/>
      <c r="J723" s="35"/>
      <c r="K723" s="36"/>
      <c r="L723" s="36"/>
      <c r="M723" s="36"/>
      <c r="N723" s="36"/>
      <c r="O723" s="36"/>
      <c r="P723" s="36"/>
      <c r="Q723" s="36"/>
      <c r="R723" s="36"/>
      <c r="S723" s="36"/>
      <c r="T723" s="36"/>
      <c r="U723" s="36"/>
      <c r="V723" s="36"/>
      <c r="W723" s="36"/>
      <c r="X723" s="36"/>
      <c r="Y723" s="36"/>
      <c r="Z723" s="36"/>
      <c r="AA723" s="36"/>
      <c r="AB723" s="36"/>
      <c r="AC723" s="36"/>
    </row>
    <row r="724" spans="1:29" ht="48" customHeight="1">
      <c r="A724" s="81"/>
      <c r="B724" s="94"/>
      <c r="C724" s="81"/>
      <c r="D724" s="81"/>
      <c r="E724" s="80"/>
      <c r="F724" s="80"/>
      <c r="G724" s="80"/>
      <c r="H724" s="81"/>
      <c r="I724" s="81"/>
      <c r="J724" s="35"/>
      <c r="K724" s="36"/>
      <c r="L724" s="36"/>
      <c r="M724" s="36"/>
      <c r="N724" s="36"/>
      <c r="O724" s="36"/>
      <c r="P724" s="36"/>
      <c r="Q724" s="36"/>
      <c r="R724" s="36"/>
      <c r="S724" s="36"/>
      <c r="T724" s="36"/>
      <c r="U724" s="36"/>
      <c r="V724" s="36"/>
      <c r="W724" s="36"/>
      <c r="X724" s="36"/>
      <c r="Y724" s="36"/>
      <c r="Z724" s="36"/>
      <c r="AA724" s="36"/>
      <c r="AB724" s="36"/>
      <c r="AC724" s="36"/>
    </row>
    <row r="725" spans="1:29" ht="24" customHeight="1">
      <c r="A725" s="81"/>
      <c r="B725" s="94"/>
      <c r="C725" s="81"/>
      <c r="D725" s="81"/>
      <c r="E725" s="80"/>
      <c r="F725" s="80"/>
      <c r="G725" s="80"/>
      <c r="H725" s="81"/>
      <c r="I725" s="81"/>
      <c r="J725" s="35"/>
      <c r="K725" s="36"/>
      <c r="L725" s="36"/>
      <c r="M725" s="36"/>
      <c r="N725" s="36"/>
      <c r="O725" s="36"/>
      <c r="P725" s="36"/>
      <c r="Q725" s="36"/>
      <c r="R725" s="36"/>
      <c r="S725" s="36"/>
      <c r="T725" s="36"/>
      <c r="U725" s="36"/>
      <c r="V725" s="36"/>
      <c r="W725" s="36"/>
      <c r="X725" s="36"/>
      <c r="Y725" s="36"/>
      <c r="Z725" s="36"/>
      <c r="AA725" s="36"/>
      <c r="AB725" s="36"/>
      <c r="AC725" s="36"/>
    </row>
    <row r="726" spans="1:29" ht="24" customHeight="1">
      <c r="A726" s="81"/>
      <c r="B726" s="94"/>
      <c r="C726" s="81"/>
      <c r="D726" s="81"/>
      <c r="E726" s="80"/>
      <c r="F726" s="80"/>
      <c r="G726" s="80"/>
      <c r="H726" s="81"/>
      <c r="I726" s="81"/>
      <c r="J726" s="35"/>
      <c r="K726" s="36"/>
      <c r="L726" s="36"/>
      <c r="M726" s="36"/>
      <c r="N726" s="36"/>
      <c r="O726" s="36"/>
      <c r="P726" s="36"/>
      <c r="Q726" s="36"/>
      <c r="R726" s="36"/>
      <c r="S726" s="36"/>
      <c r="T726" s="36"/>
      <c r="U726" s="36"/>
      <c r="V726" s="36"/>
      <c r="W726" s="36"/>
      <c r="X726" s="36"/>
      <c r="Y726" s="36"/>
      <c r="Z726" s="36"/>
      <c r="AA726" s="36"/>
      <c r="AB726" s="36"/>
      <c r="AC726" s="36"/>
    </row>
    <row r="727" spans="1:29" ht="12" customHeight="1">
      <c r="A727" s="81"/>
      <c r="B727" s="94"/>
      <c r="C727" s="81"/>
      <c r="D727" s="81"/>
      <c r="E727" s="80"/>
      <c r="F727" s="80"/>
      <c r="G727" s="80"/>
      <c r="H727" s="81"/>
      <c r="I727" s="81"/>
      <c r="J727" s="35"/>
      <c r="K727" s="36"/>
      <c r="L727" s="36"/>
      <c r="M727" s="36"/>
      <c r="N727" s="36"/>
      <c r="O727" s="36"/>
      <c r="P727" s="36"/>
      <c r="Q727" s="36"/>
      <c r="R727" s="36"/>
      <c r="S727" s="36"/>
      <c r="T727" s="36"/>
      <c r="U727" s="36"/>
      <c r="V727" s="36"/>
      <c r="W727" s="36"/>
      <c r="X727" s="36"/>
      <c r="Y727" s="36"/>
      <c r="Z727" s="36"/>
      <c r="AA727" s="36"/>
      <c r="AB727" s="36"/>
      <c r="AC727" s="36"/>
    </row>
    <row r="728" spans="1:29" ht="36" customHeight="1">
      <c r="A728" s="81"/>
      <c r="B728" s="94"/>
      <c r="C728" s="81"/>
      <c r="D728" s="81"/>
      <c r="E728" s="80"/>
      <c r="F728" s="80"/>
      <c r="G728" s="80"/>
      <c r="H728" s="81"/>
      <c r="I728" s="81"/>
      <c r="J728" s="35"/>
      <c r="K728" s="36"/>
      <c r="L728" s="36"/>
      <c r="M728" s="36"/>
      <c r="N728" s="36"/>
      <c r="O728" s="36"/>
      <c r="P728" s="36"/>
      <c r="Q728" s="36"/>
      <c r="R728" s="36"/>
      <c r="S728" s="36"/>
      <c r="T728" s="36"/>
      <c r="U728" s="36"/>
      <c r="V728" s="36"/>
      <c r="W728" s="36"/>
      <c r="X728" s="36"/>
      <c r="Y728" s="36"/>
      <c r="Z728" s="36"/>
      <c r="AA728" s="36"/>
      <c r="AB728" s="36"/>
      <c r="AC728" s="36"/>
    </row>
    <row r="729" spans="1:29" ht="12" customHeight="1">
      <c r="A729" s="81"/>
      <c r="B729" s="94"/>
      <c r="C729" s="81"/>
      <c r="D729" s="81"/>
      <c r="E729" s="80"/>
      <c r="F729" s="80"/>
      <c r="G729" s="80"/>
      <c r="H729" s="81"/>
      <c r="I729" s="81"/>
      <c r="J729" s="35"/>
      <c r="K729" s="36"/>
      <c r="L729" s="36"/>
      <c r="M729" s="36"/>
      <c r="N729" s="36"/>
      <c r="O729" s="36"/>
      <c r="P729" s="36"/>
      <c r="Q729" s="36"/>
      <c r="R729" s="36"/>
      <c r="S729" s="36"/>
      <c r="T729" s="36"/>
      <c r="U729" s="36"/>
      <c r="V729" s="36"/>
      <c r="W729" s="36"/>
      <c r="X729" s="36"/>
      <c r="Y729" s="36"/>
      <c r="Z729" s="36"/>
      <c r="AA729" s="36"/>
      <c r="AB729" s="36"/>
      <c r="AC729" s="36"/>
    </row>
    <row r="730" spans="1:29" ht="72" customHeight="1">
      <c r="A730" s="81"/>
      <c r="B730" s="81"/>
      <c r="C730" s="81"/>
      <c r="D730" s="81"/>
      <c r="E730" s="80"/>
      <c r="F730" s="80"/>
      <c r="G730" s="80"/>
      <c r="H730" s="81"/>
      <c r="I730" s="81"/>
      <c r="J730" s="35"/>
      <c r="K730" s="36"/>
      <c r="L730" s="36"/>
      <c r="M730" s="36"/>
      <c r="N730" s="36"/>
      <c r="O730" s="36"/>
      <c r="P730" s="36"/>
      <c r="Q730" s="36"/>
      <c r="R730" s="36"/>
      <c r="S730" s="36"/>
      <c r="T730" s="36"/>
      <c r="U730" s="36"/>
      <c r="V730" s="36"/>
      <c r="W730" s="36"/>
      <c r="X730" s="36"/>
      <c r="Y730" s="36"/>
      <c r="Z730" s="36"/>
      <c r="AA730" s="36"/>
      <c r="AB730" s="36"/>
      <c r="AC730" s="36"/>
    </row>
    <row r="731" spans="1:29" ht="108" customHeight="1">
      <c r="A731" s="81"/>
      <c r="B731" s="94"/>
      <c r="C731" s="81"/>
      <c r="D731" s="81"/>
      <c r="E731" s="80"/>
      <c r="F731" s="80"/>
      <c r="G731" s="80"/>
      <c r="H731" s="81"/>
      <c r="I731" s="81"/>
      <c r="J731" s="35"/>
      <c r="K731" s="36"/>
      <c r="L731" s="36"/>
      <c r="M731" s="36"/>
      <c r="N731" s="36"/>
      <c r="O731" s="36"/>
      <c r="P731" s="36"/>
      <c r="Q731" s="36"/>
      <c r="R731" s="36"/>
      <c r="S731" s="36"/>
      <c r="T731" s="36"/>
      <c r="U731" s="36"/>
      <c r="V731" s="36"/>
      <c r="W731" s="36"/>
      <c r="X731" s="36"/>
      <c r="Y731" s="36"/>
      <c r="Z731" s="36"/>
      <c r="AA731" s="36"/>
      <c r="AB731" s="36"/>
      <c r="AC731" s="36"/>
    </row>
    <row r="732" spans="1:29" ht="24" customHeight="1">
      <c r="A732" s="81"/>
      <c r="B732" s="94"/>
      <c r="C732" s="81"/>
      <c r="D732" s="81"/>
      <c r="E732" s="80"/>
      <c r="F732" s="80"/>
      <c r="G732" s="80"/>
      <c r="H732" s="81"/>
      <c r="I732" s="81"/>
      <c r="J732" s="35"/>
      <c r="K732" s="36"/>
      <c r="L732" s="36"/>
      <c r="M732" s="36"/>
      <c r="N732" s="36"/>
      <c r="O732" s="36"/>
      <c r="P732" s="36"/>
      <c r="Q732" s="36"/>
      <c r="R732" s="36"/>
      <c r="S732" s="36"/>
      <c r="T732" s="36"/>
      <c r="U732" s="36"/>
      <c r="V732" s="36"/>
      <c r="W732" s="36"/>
      <c r="X732" s="36"/>
      <c r="Y732" s="36"/>
      <c r="Z732" s="36"/>
      <c r="AA732" s="36"/>
      <c r="AB732" s="36"/>
      <c r="AC732" s="36"/>
    </row>
    <row r="733" spans="1:29" ht="24" customHeight="1">
      <c r="A733" s="81"/>
      <c r="B733" s="94"/>
      <c r="C733" s="81"/>
      <c r="D733" s="81"/>
      <c r="E733" s="80"/>
      <c r="F733" s="80"/>
      <c r="G733" s="80"/>
      <c r="H733" s="81"/>
      <c r="I733" s="81"/>
      <c r="J733" s="35"/>
      <c r="K733" s="36"/>
      <c r="L733" s="36"/>
      <c r="M733" s="36"/>
      <c r="N733" s="36"/>
      <c r="O733" s="36"/>
      <c r="P733" s="36"/>
      <c r="Q733" s="36"/>
      <c r="R733" s="36"/>
      <c r="S733" s="36"/>
      <c r="T733" s="36"/>
      <c r="U733" s="36"/>
      <c r="V733" s="36"/>
      <c r="W733" s="36"/>
      <c r="X733" s="36"/>
      <c r="Y733" s="36"/>
      <c r="Z733" s="36"/>
      <c r="AA733" s="36"/>
      <c r="AB733" s="36"/>
      <c r="AC733" s="36"/>
    </row>
    <row r="734" spans="1:29" ht="24" customHeight="1">
      <c r="A734" s="81"/>
      <c r="B734" s="94"/>
      <c r="C734" s="81"/>
      <c r="D734" s="81"/>
      <c r="E734" s="80"/>
      <c r="F734" s="80"/>
      <c r="G734" s="80"/>
      <c r="H734" s="81"/>
      <c r="I734" s="81"/>
      <c r="J734" s="35"/>
      <c r="K734" s="36"/>
      <c r="L734" s="36"/>
      <c r="M734" s="36"/>
      <c r="N734" s="36"/>
      <c r="O734" s="36"/>
      <c r="P734" s="36"/>
      <c r="Q734" s="36"/>
      <c r="R734" s="36"/>
      <c r="S734" s="36"/>
      <c r="T734" s="36"/>
      <c r="U734" s="36"/>
      <c r="V734" s="36"/>
      <c r="W734" s="36"/>
      <c r="X734" s="36"/>
      <c r="Y734" s="36"/>
      <c r="Z734" s="36"/>
      <c r="AA734" s="36"/>
      <c r="AB734" s="36"/>
      <c r="AC734" s="36"/>
    </row>
    <row r="735" spans="1:29" ht="24" customHeight="1">
      <c r="A735" s="81"/>
      <c r="B735" s="94"/>
      <c r="C735" s="81"/>
      <c r="D735" s="81"/>
      <c r="E735" s="80"/>
      <c r="F735" s="80"/>
      <c r="G735" s="80"/>
      <c r="H735" s="81"/>
      <c r="I735" s="81"/>
      <c r="J735" s="35"/>
      <c r="K735" s="36"/>
      <c r="L735" s="36"/>
      <c r="M735" s="36"/>
      <c r="N735" s="36"/>
      <c r="O735" s="36"/>
      <c r="P735" s="36"/>
      <c r="Q735" s="36"/>
      <c r="R735" s="36"/>
      <c r="S735" s="36"/>
      <c r="T735" s="36"/>
      <c r="U735" s="36"/>
      <c r="V735" s="36"/>
      <c r="W735" s="36"/>
      <c r="X735" s="36"/>
      <c r="Y735" s="36"/>
      <c r="Z735" s="36"/>
      <c r="AA735" s="36"/>
      <c r="AB735" s="36"/>
      <c r="AC735" s="36"/>
    </row>
    <row r="736" spans="1:29" ht="36" customHeight="1">
      <c r="A736" s="81"/>
      <c r="B736" s="94"/>
      <c r="C736" s="81"/>
      <c r="D736" s="81"/>
      <c r="E736" s="80"/>
      <c r="F736" s="80"/>
      <c r="G736" s="80"/>
      <c r="H736" s="81"/>
      <c r="I736" s="81"/>
      <c r="J736" s="35"/>
      <c r="K736" s="36"/>
      <c r="L736" s="36"/>
      <c r="M736" s="36"/>
      <c r="N736" s="36"/>
      <c r="O736" s="36"/>
      <c r="P736" s="36"/>
      <c r="Q736" s="36"/>
      <c r="R736" s="36"/>
      <c r="S736" s="36"/>
      <c r="T736" s="36"/>
      <c r="U736" s="36"/>
      <c r="V736" s="36"/>
      <c r="W736" s="36"/>
      <c r="X736" s="36"/>
      <c r="Y736" s="36"/>
      <c r="Z736" s="36"/>
      <c r="AA736" s="36"/>
      <c r="AB736" s="36"/>
      <c r="AC736" s="36"/>
    </row>
    <row r="737" spans="1:29" ht="24" customHeight="1">
      <c r="A737" s="619"/>
      <c r="B737" s="94"/>
      <c r="C737" s="81"/>
      <c r="D737" s="81"/>
      <c r="E737" s="80"/>
      <c r="F737" s="80"/>
      <c r="G737" s="80"/>
      <c r="H737" s="81"/>
      <c r="I737" s="81"/>
      <c r="J737" s="35"/>
      <c r="K737" s="36"/>
      <c r="L737" s="36"/>
      <c r="M737" s="36"/>
      <c r="N737" s="36"/>
      <c r="O737" s="36"/>
      <c r="P737" s="36"/>
      <c r="Q737" s="36"/>
      <c r="R737" s="36"/>
      <c r="S737" s="36"/>
      <c r="T737" s="36"/>
      <c r="U737" s="36"/>
      <c r="V737" s="36"/>
      <c r="W737" s="36"/>
      <c r="X737" s="36"/>
      <c r="Y737" s="36"/>
      <c r="Z737" s="36"/>
      <c r="AA737" s="36"/>
      <c r="AB737" s="36"/>
      <c r="AC737" s="36"/>
    </row>
    <row r="738" spans="1:29" ht="24" customHeight="1">
      <c r="A738" s="81"/>
      <c r="B738" s="81"/>
      <c r="C738" s="81"/>
      <c r="D738" s="81"/>
      <c r="E738" s="80"/>
      <c r="F738" s="80"/>
      <c r="G738" s="80"/>
      <c r="H738" s="81"/>
      <c r="I738" s="81"/>
      <c r="J738" s="35"/>
      <c r="K738" s="36"/>
      <c r="L738" s="36"/>
      <c r="M738" s="36"/>
      <c r="N738" s="36"/>
      <c r="O738" s="36"/>
      <c r="P738" s="36"/>
      <c r="Q738" s="36"/>
      <c r="R738" s="36"/>
      <c r="S738" s="36"/>
      <c r="T738" s="36"/>
      <c r="U738" s="36"/>
      <c r="V738" s="36"/>
      <c r="W738" s="36"/>
      <c r="X738" s="36"/>
      <c r="Y738" s="36"/>
      <c r="Z738" s="36"/>
      <c r="AA738" s="36"/>
      <c r="AB738" s="36"/>
      <c r="AC738" s="36"/>
    </row>
    <row r="739" spans="1:29" ht="36" customHeight="1">
      <c r="A739" s="81"/>
      <c r="B739" s="81"/>
      <c r="C739" s="81"/>
      <c r="D739" s="81"/>
      <c r="E739" s="80"/>
      <c r="F739" s="80"/>
      <c r="G739" s="80"/>
      <c r="H739" s="81"/>
      <c r="I739" s="81"/>
      <c r="J739" s="35"/>
      <c r="K739" s="36"/>
      <c r="L739" s="36"/>
      <c r="M739" s="36"/>
      <c r="N739" s="36"/>
      <c r="O739" s="36"/>
      <c r="P739" s="36"/>
      <c r="Q739" s="36"/>
      <c r="R739" s="36"/>
      <c r="S739" s="36"/>
      <c r="T739" s="36"/>
      <c r="U739" s="36"/>
      <c r="V739" s="36"/>
      <c r="W739" s="36"/>
      <c r="X739" s="36"/>
      <c r="Y739" s="36"/>
      <c r="Z739" s="36"/>
      <c r="AA739" s="36"/>
      <c r="AB739" s="36"/>
      <c r="AC739" s="36"/>
    </row>
    <row r="740" spans="1:29" ht="24" customHeight="1">
      <c r="A740" s="81"/>
      <c r="B740" s="81"/>
      <c r="C740" s="81"/>
      <c r="D740" s="81"/>
      <c r="E740" s="80"/>
      <c r="F740" s="80"/>
      <c r="G740" s="80"/>
      <c r="H740" s="81"/>
      <c r="I740" s="81"/>
      <c r="J740" s="35"/>
      <c r="K740" s="36"/>
      <c r="L740" s="36"/>
      <c r="M740" s="36"/>
      <c r="N740" s="36"/>
      <c r="O740" s="36"/>
      <c r="P740" s="36"/>
      <c r="Q740" s="36"/>
      <c r="R740" s="36"/>
      <c r="S740" s="36"/>
      <c r="T740" s="36"/>
      <c r="U740" s="36"/>
      <c r="V740" s="36"/>
      <c r="W740" s="36"/>
      <c r="X740" s="36"/>
      <c r="Y740" s="36"/>
      <c r="Z740" s="36"/>
      <c r="AA740" s="36"/>
      <c r="AB740" s="36"/>
      <c r="AC740" s="36"/>
    </row>
    <row r="741" spans="1:29" ht="36" customHeight="1">
      <c r="A741" s="81"/>
      <c r="B741" s="81"/>
      <c r="C741" s="81"/>
      <c r="D741" s="81"/>
      <c r="E741" s="80"/>
      <c r="F741" s="80"/>
      <c r="G741" s="80"/>
      <c r="H741" s="81"/>
      <c r="I741" s="81"/>
      <c r="J741" s="35"/>
      <c r="K741" s="36"/>
      <c r="L741" s="36"/>
      <c r="M741" s="36"/>
      <c r="N741" s="36"/>
      <c r="O741" s="36"/>
      <c r="P741" s="36"/>
      <c r="Q741" s="36"/>
      <c r="R741" s="36"/>
      <c r="S741" s="36"/>
      <c r="T741" s="36"/>
      <c r="U741" s="36"/>
      <c r="V741" s="36"/>
      <c r="W741" s="36"/>
      <c r="X741" s="36"/>
      <c r="Y741" s="36"/>
      <c r="Z741" s="36"/>
      <c r="AA741" s="36"/>
      <c r="AB741" s="36"/>
      <c r="AC741" s="36"/>
    </row>
    <row r="742" spans="1:29" ht="24" customHeight="1">
      <c r="A742" s="81"/>
      <c r="B742" s="94"/>
      <c r="C742" s="81"/>
      <c r="D742" s="81"/>
      <c r="E742" s="80"/>
      <c r="F742" s="80"/>
      <c r="G742" s="80"/>
      <c r="H742" s="81"/>
      <c r="I742" s="81"/>
      <c r="J742" s="35"/>
      <c r="K742" s="36"/>
      <c r="L742" s="36"/>
      <c r="M742" s="36"/>
      <c r="N742" s="36"/>
      <c r="O742" s="36"/>
      <c r="P742" s="36"/>
      <c r="Q742" s="36"/>
      <c r="R742" s="36"/>
      <c r="S742" s="36"/>
      <c r="T742" s="36"/>
      <c r="U742" s="36"/>
      <c r="V742" s="36"/>
      <c r="W742" s="36"/>
      <c r="X742" s="36"/>
      <c r="Y742" s="36"/>
      <c r="Z742" s="36"/>
      <c r="AA742" s="36"/>
      <c r="AB742" s="36"/>
      <c r="AC742" s="36"/>
    </row>
    <row r="743" spans="1:29" ht="24" customHeight="1">
      <c r="A743" s="81"/>
      <c r="B743" s="81"/>
      <c r="C743" s="81"/>
      <c r="D743" s="81"/>
      <c r="E743" s="80"/>
      <c r="F743" s="80"/>
      <c r="G743" s="80"/>
      <c r="H743" s="81"/>
      <c r="I743" s="81"/>
      <c r="J743" s="35"/>
      <c r="K743" s="36"/>
      <c r="L743" s="36"/>
      <c r="M743" s="36"/>
      <c r="N743" s="36"/>
      <c r="O743" s="36"/>
      <c r="P743" s="36"/>
      <c r="Q743" s="36"/>
      <c r="R743" s="36"/>
      <c r="S743" s="36"/>
      <c r="T743" s="36"/>
      <c r="U743" s="36"/>
      <c r="V743" s="36"/>
      <c r="W743" s="36"/>
      <c r="X743" s="36"/>
      <c r="Y743" s="36"/>
      <c r="Z743" s="36"/>
      <c r="AA743" s="36"/>
      <c r="AB743" s="36"/>
      <c r="AC743" s="36"/>
    </row>
    <row r="744" spans="1:29" ht="204" customHeight="1">
      <c r="A744" s="81"/>
      <c r="B744" s="81"/>
      <c r="C744" s="81"/>
      <c r="D744" s="81"/>
      <c r="E744" s="80"/>
      <c r="F744" s="80"/>
      <c r="G744" s="80"/>
      <c r="H744" s="81"/>
      <c r="I744" s="81"/>
      <c r="J744" s="35"/>
      <c r="K744" s="36"/>
      <c r="L744" s="36"/>
      <c r="M744" s="36"/>
      <c r="N744" s="36"/>
      <c r="O744" s="36"/>
      <c r="P744" s="36"/>
      <c r="Q744" s="36"/>
      <c r="R744" s="36"/>
      <c r="S744" s="36"/>
      <c r="T744" s="36"/>
      <c r="U744" s="36"/>
      <c r="V744" s="36"/>
      <c r="W744" s="36"/>
      <c r="X744" s="36"/>
      <c r="Y744" s="36"/>
      <c r="Z744" s="36"/>
      <c r="AA744" s="36"/>
      <c r="AB744" s="36"/>
      <c r="AC744" s="36"/>
    </row>
    <row r="745" spans="1:29" ht="24" customHeight="1">
      <c r="A745" s="619"/>
      <c r="B745" s="81"/>
      <c r="C745" s="81"/>
      <c r="D745" s="81"/>
      <c r="E745" s="80"/>
      <c r="F745" s="80"/>
      <c r="G745" s="80"/>
      <c r="H745" s="81"/>
      <c r="I745" s="81"/>
      <c r="J745" s="35"/>
      <c r="K745" s="36"/>
      <c r="L745" s="36"/>
      <c r="M745" s="36"/>
      <c r="N745" s="36"/>
      <c r="O745" s="36"/>
      <c r="P745" s="36"/>
      <c r="Q745" s="36"/>
      <c r="R745" s="36"/>
      <c r="S745" s="36"/>
      <c r="T745" s="36"/>
      <c r="U745" s="36"/>
      <c r="V745" s="36"/>
      <c r="W745" s="36"/>
      <c r="X745" s="36"/>
      <c r="Y745" s="36"/>
      <c r="Z745" s="36"/>
      <c r="AA745" s="36"/>
      <c r="AB745" s="36"/>
      <c r="AC745" s="36"/>
    </row>
    <row r="746" spans="1:29" ht="48" customHeight="1">
      <c r="A746" s="100"/>
      <c r="B746" s="100"/>
      <c r="C746" s="100"/>
      <c r="D746" s="100"/>
      <c r="E746" s="99"/>
      <c r="F746" s="99"/>
      <c r="G746" s="99"/>
      <c r="H746" s="100"/>
      <c r="I746" s="100"/>
      <c r="J746" s="35"/>
      <c r="K746" s="36"/>
      <c r="L746" s="36"/>
      <c r="M746" s="36"/>
      <c r="N746" s="36"/>
      <c r="O746" s="36"/>
      <c r="P746" s="36"/>
      <c r="Q746" s="36"/>
      <c r="R746" s="36"/>
      <c r="S746" s="36"/>
      <c r="T746" s="36"/>
      <c r="U746" s="36"/>
      <c r="V746" s="36"/>
      <c r="W746" s="36"/>
      <c r="X746" s="36"/>
      <c r="Y746" s="36"/>
      <c r="Z746" s="36"/>
      <c r="AA746" s="36"/>
      <c r="AB746" s="36"/>
      <c r="AC746" s="36"/>
    </row>
    <row r="747" spans="1:29" ht="48" customHeight="1">
      <c r="A747" s="81"/>
      <c r="B747" s="81"/>
      <c r="C747" s="81"/>
      <c r="D747" s="81"/>
      <c r="E747" s="80"/>
      <c r="F747" s="80"/>
      <c r="G747" s="80"/>
      <c r="H747" s="81"/>
      <c r="I747" s="81"/>
      <c r="J747" s="35"/>
      <c r="K747" s="36"/>
      <c r="L747" s="36"/>
      <c r="M747" s="36"/>
      <c r="N747" s="36"/>
      <c r="O747" s="36"/>
      <c r="P747" s="36"/>
      <c r="Q747" s="36"/>
      <c r="R747" s="36"/>
      <c r="S747" s="36"/>
      <c r="T747" s="36"/>
      <c r="U747" s="36"/>
      <c r="V747" s="36"/>
      <c r="W747" s="36"/>
      <c r="X747" s="36"/>
      <c r="Y747" s="36"/>
      <c r="Z747" s="36"/>
      <c r="AA747" s="36"/>
      <c r="AB747" s="36"/>
      <c r="AC747" s="36"/>
    </row>
    <row r="748" spans="1:29" ht="48" customHeight="1">
      <c r="A748" s="81"/>
      <c r="B748" s="81"/>
      <c r="C748" s="81"/>
      <c r="D748" s="81"/>
      <c r="E748" s="80"/>
      <c r="F748" s="80"/>
      <c r="G748" s="80"/>
      <c r="H748" s="81"/>
      <c r="I748" s="81"/>
      <c r="J748" s="35"/>
      <c r="K748" s="36"/>
      <c r="L748" s="36"/>
      <c r="M748" s="36"/>
      <c r="N748" s="36"/>
      <c r="O748" s="36"/>
      <c r="P748" s="36"/>
      <c r="Q748" s="36"/>
      <c r="R748" s="36"/>
      <c r="S748" s="36"/>
      <c r="T748" s="36"/>
      <c r="U748" s="36"/>
      <c r="V748" s="36"/>
      <c r="W748" s="36"/>
      <c r="X748" s="36"/>
      <c r="Y748" s="36"/>
      <c r="Z748" s="36"/>
      <c r="AA748" s="36"/>
      <c r="AB748" s="36"/>
      <c r="AC748" s="36"/>
    </row>
    <row r="749" spans="1:29" ht="36" customHeight="1">
      <c r="A749" s="81"/>
      <c r="B749" s="81"/>
      <c r="C749" s="81"/>
      <c r="D749" s="81"/>
      <c r="E749" s="80"/>
      <c r="F749" s="80"/>
      <c r="G749" s="80"/>
      <c r="H749" s="81"/>
      <c r="I749" s="81"/>
      <c r="J749" s="35"/>
      <c r="K749" s="36"/>
      <c r="L749" s="36"/>
      <c r="M749" s="36"/>
      <c r="N749" s="36"/>
      <c r="O749" s="36"/>
      <c r="P749" s="36"/>
      <c r="Q749" s="36"/>
      <c r="R749" s="36"/>
      <c r="S749" s="36"/>
      <c r="T749" s="36"/>
      <c r="U749" s="36"/>
      <c r="V749" s="36"/>
      <c r="W749" s="36"/>
      <c r="X749" s="36"/>
      <c r="Y749" s="36"/>
      <c r="Z749" s="36"/>
      <c r="AA749" s="36"/>
      <c r="AB749" s="36"/>
      <c r="AC749" s="36"/>
    </row>
    <row r="750" spans="1:29" ht="24" customHeight="1">
      <c r="A750" s="81"/>
      <c r="B750" s="81"/>
      <c r="C750" s="81"/>
      <c r="D750" s="81"/>
      <c r="E750" s="80"/>
      <c r="F750" s="80"/>
      <c r="G750" s="80"/>
      <c r="H750" s="81"/>
      <c r="I750" s="81"/>
      <c r="J750" s="35"/>
      <c r="K750" s="36"/>
      <c r="L750" s="36"/>
      <c r="M750" s="36"/>
      <c r="N750" s="36"/>
      <c r="O750" s="36"/>
      <c r="P750" s="36"/>
      <c r="Q750" s="36"/>
      <c r="R750" s="36"/>
      <c r="S750" s="36"/>
      <c r="T750" s="36"/>
      <c r="U750" s="36"/>
      <c r="V750" s="36"/>
      <c r="W750" s="36"/>
      <c r="X750" s="36"/>
      <c r="Y750" s="36"/>
      <c r="Z750" s="36"/>
      <c r="AA750" s="36"/>
      <c r="AB750" s="36"/>
      <c r="AC750" s="36"/>
    </row>
    <row r="751" spans="1:29" ht="24" customHeight="1">
      <c r="A751" s="81"/>
      <c r="B751" s="81"/>
      <c r="C751" s="81"/>
      <c r="D751" s="81"/>
      <c r="E751" s="80"/>
      <c r="F751" s="80"/>
      <c r="G751" s="80"/>
      <c r="H751" s="81"/>
      <c r="I751" s="81"/>
      <c r="J751" s="35"/>
      <c r="K751" s="36"/>
      <c r="L751" s="36"/>
      <c r="M751" s="36"/>
      <c r="N751" s="36"/>
      <c r="O751" s="36"/>
      <c r="P751" s="36"/>
      <c r="Q751" s="36"/>
      <c r="R751" s="36"/>
      <c r="S751" s="36"/>
      <c r="T751" s="36"/>
      <c r="U751" s="36"/>
      <c r="V751" s="36"/>
      <c r="W751" s="36"/>
      <c r="X751" s="36"/>
      <c r="Y751" s="36"/>
      <c r="Z751" s="36"/>
      <c r="AA751" s="36"/>
      <c r="AB751" s="36"/>
      <c r="AC751" s="36"/>
    </row>
    <row r="752" spans="1:29" ht="36" customHeight="1">
      <c r="A752" s="81"/>
      <c r="B752" s="81"/>
      <c r="C752" s="81"/>
      <c r="D752" s="81"/>
      <c r="E752" s="80"/>
      <c r="F752" s="80"/>
      <c r="G752" s="80"/>
      <c r="H752" s="81"/>
      <c r="I752" s="81"/>
      <c r="J752" s="35"/>
      <c r="K752" s="36"/>
      <c r="L752" s="36"/>
      <c r="M752" s="36"/>
      <c r="N752" s="36"/>
      <c r="O752" s="36"/>
      <c r="P752" s="36"/>
      <c r="Q752" s="36"/>
      <c r="R752" s="36"/>
      <c r="S752" s="36"/>
      <c r="T752" s="36"/>
      <c r="U752" s="36"/>
      <c r="V752" s="36"/>
      <c r="W752" s="36"/>
      <c r="X752" s="36"/>
      <c r="Y752" s="36"/>
      <c r="Z752" s="36"/>
      <c r="AA752" s="36"/>
      <c r="AB752" s="36"/>
      <c r="AC752" s="36"/>
    </row>
    <row r="753" spans="1:29" ht="36" customHeight="1">
      <c r="A753" s="81"/>
      <c r="B753" s="81"/>
      <c r="C753" s="81"/>
      <c r="D753" s="81"/>
      <c r="E753" s="80"/>
      <c r="F753" s="80"/>
      <c r="G753" s="80"/>
      <c r="H753" s="81"/>
      <c r="I753" s="81"/>
      <c r="J753" s="35"/>
      <c r="K753" s="36"/>
      <c r="L753" s="36"/>
      <c r="M753" s="36"/>
      <c r="N753" s="36"/>
      <c r="O753" s="36"/>
      <c r="P753" s="36"/>
      <c r="Q753" s="36"/>
      <c r="R753" s="36"/>
      <c r="S753" s="36"/>
      <c r="T753" s="36"/>
      <c r="U753" s="36"/>
      <c r="V753" s="36"/>
      <c r="W753" s="36"/>
      <c r="X753" s="36"/>
      <c r="Y753" s="36"/>
      <c r="Z753" s="36"/>
      <c r="AA753" s="36"/>
      <c r="AB753" s="36"/>
      <c r="AC753" s="36"/>
    </row>
    <row r="754" spans="1:29" ht="24" customHeight="1">
      <c r="A754" s="81"/>
      <c r="B754" s="81"/>
      <c r="C754" s="81"/>
      <c r="D754" s="81"/>
      <c r="E754" s="80"/>
      <c r="F754" s="80"/>
      <c r="G754" s="80"/>
      <c r="H754" s="81"/>
      <c r="I754" s="81"/>
      <c r="J754" s="35"/>
      <c r="K754" s="36"/>
      <c r="L754" s="36"/>
      <c r="M754" s="36"/>
      <c r="N754" s="36"/>
      <c r="O754" s="36"/>
      <c r="P754" s="36"/>
      <c r="Q754" s="36"/>
      <c r="R754" s="36"/>
      <c r="S754" s="36"/>
      <c r="T754" s="36"/>
      <c r="U754" s="36"/>
      <c r="V754" s="36"/>
      <c r="W754" s="36"/>
      <c r="X754" s="36"/>
      <c r="Y754" s="36"/>
      <c r="Z754" s="36"/>
      <c r="AA754" s="36"/>
      <c r="AB754" s="36"/>
      <c r="AC754" s="36"/>
    </row>
    <row r="755" spans="1:29" ht="36" customHeight="1">
      <c r="A755" s="81"/>
      <c r="B755" s="81"/>
      <c r="C755" s="81"/>
      <c r="D755" s="81"/>
      <c r="E755" s="80"/>
      <c r="F755" s="80"/>
      <c r="G755" s="80"/>
      <c r="H755" s="81"/>
      <c r="I755" s="81"/>
      <c r="J755" s="35"/>
      <c r="K755" s="36"/>
      <c r="L755" s="36"/>
      <c r="M755" s="36"/>
      <c r="N755" s="36"/>
      <c r="O755" s="36"/>
      <c r="P755" s="36"/>
      <c r="Q755" s="36"/>
      <c r="R755" s="36"/>
      <c r="S755" s="36"/>
      <c r="T755" s="36"/>
      <c r="U755" s="36"/>
      <c r="V755" s="36"/>
      <c r="W755" s="36"/>
      <c r="X755" s="36"/>
      <c r="Y755" s="36"/>
      <c r="Z755" s="36"/>
      <c r="AA755" s="36"/>
      <c r="AB755" s="36"/>
      <c r="AC755" s="36"/>
    </row>
    <row r="756" spans="1:29" ht="24" customHeight="1">
      <c r="A756" s="81"/>
      <c r="B756" s="81"/>
      <c r="C756" s="81"/>
      <c r="D756" s="81"/>
      <c r="E756" s="80"/>
      <c r="F756" s="80"/>
      <c r="G756" s="80"/>
      <c r="H756" s="81"/>
      <c r="I756" s="81"/>
      <c r="J756" s="240"/>
      <c r="K756" s="241"/>
      <c r="L756" s="36"/>
      <c r="M756" s="36"/>
      <c r="N756" s="36"/>
      <c r="O756" s="36"/>
      <c r="P756" s="36"/>
      <c r="Q756" s="36"/>
      <c r="R756" s="36"/>
      <c r="S756" s="36"/>
      <c r="T756" s="36"/>
      <c r="U756" s="36"/>
      <c r="V756" s="36"/>
      <c r="W756" s="36"/>
      <c r="X756" s="36"/>
      <c r="Y756" s="36"/>
      <c r="Z756" s="36"/>
      <c r="AA756" s="36"/>
      <c r="AB756" s="36"/>
      <c r="AC756" s="36"/>
    </row>
    <row r="757" spans="1:29" ht="24" customHeight="1">
      <c r="A757" s="81"/>
      <c r="B757" s="81"/>
      <c r="C757" s="81"/>
      <c r="D757" s="81"/>
      <c r="E757" s="80"/>
      <c r="F757" s="80"/>
      <c r="G757" s="80"/>
      <c r="H757" s="81"/>
      <c r="I757" s="81"/>
      <c r="J757" s="35"/>
      <c r="K757" s="242"/>
      <c r="L757" s="36"/>
      <c r="M757" s="36"/>
      <c r="N757" s="36"/>
      <c r="O757" s="36"/>
      <c r="P757" s="36"/>
      <c r="Q757" s="36"/>
      <c r="R757" s="36"/>
      <c r="S757" s="36"/>
      <c r="T757" s="36"/>
      <c r="U757" s="36"/>
      <c r="V757" s="36"/>
      <c r="W757" s="36"/>
      <c r="X757" s="36"/>
      <c r="Y757" s="36"/>
      <c r="Z757" s="36"/>
      <c r="AA757" s="36"/>
      <c r="AB757" s="36"/>
      <c r="AC757" s="36"/>
    </row>
    <row r="758" spans="1:29" ht="36" customHeight="1">
      <c r="A758" s="81"/>
      <c r="B758" s="81"/>
      <c r="C758" s="81"/>
      <c r="D758" s="81"/>
      <c r="E758" s="80"/>
      <c r="F758" s="80"/>
      <c r="G758" s="80"/>
      <c r="H758" s="81"/>
      <c r="I758" s="81"/>
      <c r="J758" s="243"/>
      <c r="K758" s="241"/>
      <c r="L758" s="36"/>
      <c r="M758" s="36"/>
      <c r="N758" s="36"/>
      <c r="O758" s="36"/>
      <c r="P758" s="36"/>
      <c r="Q758" s="36"/>
      <c r="R758" s="36"/>
      <c r="S758" s="36"/>
      <c r="T758" s="36"/>
      <c r="U758" s="36"/>
      <c r="V758" s="36"/>
      <c r="W758" s="36"/>
      <c r="X758" s="36"/>
      <c r="Y758" s="36"/>
      <c r="Z758" s="36"/>
      <c r="AA758" s="36"/>
      <c r="AB758" s="36"/>
      <c r="AC758" s="36"/>
    </row>
    <row r="759" spans="1:29" ht="24" customHeight="1">
      <c r="A759" s="81"/>
      <c r="B759" s="81"/>
      <c r="C759" s="81"/>
      <c r="D759" s="81"/>
      <c r="E759" s="80"/>
      <c r="F759" s="80"/>
      <c r="G759" s="80"/>
      <c r="H759" s="81"/>
      <c r="I759" s="81"/>
      <c r="J759" s="240"/>
      <c r="K759" s="241"/>
      <c r="L759" s="36"/>
      <c r="M759" s="36"/>
      <c r="N759" s="36"/>
      <c r="O759" s="36"/>
      <c r="P759" s="36"/>
      <c r="Q759" s="36"/>
      <c r="R759" s="36"/>
      <c r="S759" s="36"/>
      <c r="T759" s="36"/>
      <c r="U759" s="36"/>
      <c r="V759" s="36"/>
      <c r="W759" s="36"/>
      <c r="X759" s="36"/>
      <c r="Y759" s="36"/>
      <c r="Z759" s="36"/>
      <c r="AA759" s="36"/>
      <c r="AB759" s="36"/>
      <c r="AC759" s="36"/>
    </row>
    <row r="760" spans="1:29" ht="36" customHeight="1">
      <c r="A760" s="81"/>
      <c r="B760" s="81"/>
      <c r="C760" s="81"/>
      <c r="D760" s="81"/>
      <c r="E760" s="80"/>
      <c r="F760" s="80"/>
      <c r="G760" s="80"/>
      <c r="H760" s="81"/>
      <c r="I760" s="81"/>
      <c r="J760" s="35"/>
      <c r="K760" s="36"/>
      <c r="L760" s="36"/>
      <c r="M760" s="36"/>
      <c r="N760" s="36"/>
      <c r="O760" s="36"/>
      <c r="P760" s="36"/>
      <c r="Q760" s="36"/>
      <c r="R760" s="36"/>
      <c r="S760" s="36"/>
      <c r="T760" s="36"/>
      <c r="U760" s="36"/>
      <c r="V760" s="36"/>
      <c r="W760" s="36"/>
      <c r="X760" s="36"/>
      <c r="Y760" s="36"/>
      <c r="Z760" s="36"/>
      <c r="AA760" s="36"/>
      <c r="AB760" s="36"/>
      <c r="AC760" s="36"/>
    </row>
    <row r="761" spans="1:29" ht="72" customHeight="1">
      <c r="A761" s="81"/>
      <c r="B761" s="81"/>
      <c r="C761" s="81"/>
      <c r="D761" s="81"/>
      <c r="E761" s="80"/>
      <c r="F761" s="80"/>
      <c r="G761" s="80"/>
      <c r="H761" s="81"/>
      <c r="I761" s="81"/>
      <c r="J761" s="35"/>
      <c r="K761" s="36"/>
      <c r="L761" s="36"/>
      <c r="M761" s="36"/>
      <c r="N761" s="36"/>
      <c r="O761" s="36"/>
      <c r="P761" s="36"/>
      <c r="Q761" s="241"/>
      <c r="R761" s="36"/>
      <c r="S761" s="241"/>
      <c r="T761" s="36"/>
      <c r="U761" s="36"/>
      <c r="V761" s="36"/>
      <c r="W761" s="36"/>
      <c r="X761" s="36"/>
      <c r="Y761" s="36"/>
      <c r="Z761" s="36"/>
      <c r="AA761" s="36"/>
      <c r="AB761" s="36"/>
      <c r="AC761" s="36"/>
    </row>
    <row r="762" spans="1:29" ht="24" customHeight="1">
      <c r="A762" s="81"/>
      <c r="B762" s="81"/>
      <c r="C762" s="81"/>
      <c r="D762" s="81"/>
      <c r="E762" s="80"/>
      <c r="F762" s="80"/>
      <c r="G762" s="80"/>
      <c r="H762" s="81"/>
      <c r="I762" s="81"/>
      <c r="J762" s="35"/>
      <c r="K762" s="36"/>
      <c r="L762" s="36"/>
      <c r="M762" s="36"/>
      <c r="N762" s="36"/>
      <c r="O762" s="36"/>
      <c r="P762" s="36"/>
      <c r="Q762" s="36"/>
      <c r="R762" s="36"/>
      <c r="S762" s="36"/>
      <c r="T762" s="36"/>
      <c r="U762" s="36"/>
      <c r="V762" s="36"/>
      <c r="W762" s="36"/>
      <c r="X762" s="36"/>
      <c r="Y762" s="36"/>
      <c r="Z762" s="36"/>
      <c r="AA762" s="36"/>
      <c r="AB762" s="36"/>
      <c r="AC762" s="36"/>
    </row>
    <row r="763" spans="1:29" ht="24" customHeight="1">
      <c r="A763" s="81"/>
      <c r="B763" s="81"/>
      <c r="C763" s="81"/>
      <c r="D763" s="81"/>
      <c r="E763" s="80"/>
      <c r="F763" s="80"/>
      <c r="G763" s="80"/>
      <c r="H763" s="81"/>
      <c r="I763" s="81"/>
      <c r="J763" s="35"/>
      <c r="K763" s="36"/>
      <c r="L763" s="36"/>
      <c r="M763" s="36"/>
      <c r="N763" s="36"/>
      <c r="O763" s="36"/>
      <c r="P763" s="36"/>
      <c r="Q763" s="36"/>
      <c r="R763" s="36"/>
      <c r="S763" s="36"/>
      <c r="T763" s="36"/>
      <c r="U763" s="36"/>
      <c r="V763" s="36"/>
      <c r="W763" s="36"/>
      <c r="X763" s="36"/>
      <c r="Y763" s="36"/>
      <c r="Z763" s="36"/>
      <c r="AA763" s="36"/>
      <c r="AB763" s="36"/>
      <c r="AC763" s="36"/>
    </row>
    <row r="764" spans="1:29" ht="84" customHeight="1">
      <c r="A764" s="81"/>
      <c r="B764" s="81"/>
      <c r="C764" s="81"/>
      <c r="D764" s="81"/>
      <c r="E764" s="80"/>
      <c r="F764" s="80"/>
      <c r="G764" s="80"/>
      <c r="H764" s="81"/>
      <c r="I764" s="81"/>
      <c r="J764" s="35"/>
      <c r="K764" s="36"/>
      <c r="L764" s="36"/>
      <c r="M764" s="36"/>
      <c r="N764" s="36"/>
      <c r="O764" s="36"/>
      <c r="P764" s="36"/>
      <c r="Q764" s="36"/>
      <c r="R764" s="36"/>
      <c r="S764" s="36"/>
      <c r="T764" s="36"/>
      <c r="U764" s="36"/>
      <c r="V764" s="36"/>
      <c r="W764" s="36"/>
      <c r="X764" s="36"/>
      <c r="Y764" s="36"/>
      <c r="Z764" s="36"/>
      <c r="AA764" s="36"/>
      <c r="AB764" s="36"/>
      <c r="AC764" s="36"/>
    </row>
    <row r="765" spans="1:29" ht="72" customHeight="1">
      <c r="A765" s="81"/>
      <c r="B765" s="81"/>
      <c r="C765" s="81"/>
      <c r="D765" s="81"/>
      <c r="E765" s="80"/>
      <c r="F765" s="80"/>
      <c r="G765" s="80"/>
      <c r="H765" s="81"/>
      <c r="I765" s="81"/>
      <c r="J765" s="35"/>
      <c r="K765" s="36"/>
      <c r="L765" s="36"/>
      <c r="M765" s="36"/>
      <c r="N765" s="36"/>
      <c r="O765" s="36"/>
      <c r="P765" s="36"/>
      <c r="Q765" s="36"/>
      <c r="R765" s="36"/>
      <c r="S765" s="36"/>
      <c r="T765" s="36"/>
      <c r="U765" s="36"/>
      <c r="V765" s="36"/>
      <c r="W765" s="36"/>
      <c r="X765" s="36"/>
      <c r="Y765" s="36"/>
      <c r="Z765" s="36"/>
      <c r="AA765" s="36"/>
      <c r="AB765" s="36"/>
      <c r="AC765" s="36"/>
    </row>
    <row r="766" spans="1:29" ht="24" customHeight="1">
      <c r="A766" s="81"/>
      <c r="B766" s="81"/>
      <c r="C766" s="81"/>
      <c r="D766" s="81"/>
      <c r="E766" s="80"/>
      <c r="F766" s="80"/>
      <c r="G766" s="80"/>
      <c r="H766" s="81"/>
      <c r="I766" s="81"/>
      <c r="J766" s="35"/>
      <c r="K766" s="36"/>
      <c r="L766" s="36"/>
      <c r="M766" s="36"/>
      <c r="N766" s="36"/>
      <c r="O766" s="36"/>
      <c r="P766" s="36"/>
      <c r="Q766" s="36"/>
      <c r="R766" s="36"/>
      <c r="S766" s="36"/>
      <c r="T766" s="36"/>
      <c r="U766" s="36"/>
      <c r="V766" s="36"/>
      <c r="W766" s="36"/>
      <c r="X766" s="36"/>
      <c r="Y766" s="36"/>
      <c r="Z766" s="36"/>
      <c r="AA766" s="36"/>
      <c r="AB766" s="36"/>
      <c r="AC766" s="36"/>
    </row>
    <row r="767" spans="1:29" ht="36" customHeight="1">
      <c r="A767" s="81"/>
      <c r="B767" s="81"/>
      <c r="C767" s="81"/>
      <c r="D767" s="81"/>
      <c r="E767" s="80"/>
      <c r="F767" s="80"/>
      <c r="G767" s="80"/>
      <c r="H767" s="81"/>
      <c r="I767" s="81"/>
      <c r="J767" s="35"/>
      <c r="K767" s="36"/>
      <c r="L767" s="36"/>
      <c r="M767" s="36"/>
      <c r="N767" s="36"/>
      <c r="O767" s="36"/>
      <c r="P767" s="36"/>
      <c r="Q767" s="36"/>
      <c r="R767" s="36"/>
      <c r="S767" s="36"/>
      <c r="T767" s="36"/>
      <c r="U767" s="36"/>
      <c r="V767" s="36"/>
      <c r="W767" s="36"/>
      <c r="X767" s="36"/>
      <c r="Y767" s="36"/>
      <c r="Z767" s="36"/>
      <c r="AA767" s="36"/>
      <c r="AB767" s="36"/>
      <c r="AC767" s="36"/>
    </row>
    <row r="768" spans="1:29" ht="48" customHeight="1">
      <c r="A768" s="81"/>
      <c r="B768" s="81"/>
      <c r="C768" s="81"/>
      <c r="D768" s="81"/>
      <c r="E768" s="80"/>
      <c r="F768" s="80"/>
      <c r="G768" s="80"/>
      <c r="H768" s="81"/>
      <c r="I768" s="81"/>
      <c r="J768" s="35"/>
      <c r="K768" s="36"/>
      <c r="L768" s="36"/>
      <c r="M768" s="36"/>
      <c r="N768" s="36"/>
      <c r="O768" s="36"/>
      <c r="P768" s="36"/>
      <c r="Q768" s="36"/>
      <c r="R768" s="36"/>
      <c r="S768" s="36"/>
      <c r="T768" s="36"/>
      <c r="U768" s="36"/>
      <c r="V768" s="36"/>
      <c r="W768" s="36"/>
      <c r="X768" s="36"/>
      <c r="Y768" s="36"/>
      <c r="Z768" s="36"/>
      <c r="AA768" s="36"/>
      <c r="AB768" s="36"/>
      <c r="AC768" s="36"/>
    </row>
    <row r="769" spans="1:29" ht="36" customHeight="1">
      <c r="A769" s="81"/>
      <c r="B769" s="81"/>
      <c r="C769" s="81"/>
      <c r="D769" s="81"/>
      <c r="E769" s="80"/>
      <c r="F769" s="80"/>
      <c r="G769" s="80"/>
      <c r="H769" s="81"/>
      <c r="I769" s="81"/>
      <c r="J769" s="35"/>
      <c r="K769" s="36"/>
      <c r="L769" s="36"/>
      <c r="M769" s="36"/>
      <c r="N769" s="36"/>
      <c r="O769" s="36"/>
      <c r="P769" s="36"/>
      <c r="Q769" s="36"/>
      <c r="R769" s="36"/>
      <c r="S769" s="36"/>
      <c r="T769" s="36"/>
      <c r="U769" s="36"/>
      <c r="V769" s="36"/>
      <c r="W769" s="36"/>
      <c r="X769" s="36"/>
      <c r="Y769" s="36"/>
      <c r="Z769" s="36"/>
      <c r="AA769" s="36"/>
      <c r="AB769" s="36"/>
      <c r="AC769" s="36"/>
    </row>
    <row r="770" spans="1:29" ht="48" customHeight="1">
      <c r="A770" s="81"/>
      <c r="B770" s="81"/>
      <c r="C770" s="81"/>
      <c r="D770" s="81"/>
      <c r="E770" s="80"/>
      <c r="F770" s="80"/>
      <c r="G770" s="80"/>
      <c r="H770" s="81"/>
      <c r="I770" s="81"/>
      <c r="J770" s="35"/>
      <c r="K770" s="36"/>
      <c r="L770" s="36"/>
      <c r="M770" s="36"/>
      <c r="N770" s="36"/>
      <c r="O770" s="36"/>
      <c r="P770" s="36"/>
      <c r="Q770" s="36"/>
      <c r="R770" s="36"/>
      <c r="S770" s="36"/>
      <c r="T770" s="36"/>
      <c r="U770" s="36"/>
      <c r="V770" s="36"/>
      <c r="W770" s="36"/>
      <c r="X770" s="36"/>
      <c r="Y770" s="36"/>
      <c r="Z770" s="36"/>
      <c r="AA770" s="36"/>
      <c r="AB770" s="36"/>
      <c r="AC770" s="36"/>
    </row>
    <row r="771" spans="1:29" ht="24" customHeight="1">
      <c r="A771" s="81"/>
      <c r="B771" s="81"/>
      <c r="C771" s="81"/>
      <c r="D771" s="81"/>
      <c r="E771" s="80"/>
      <c r="F771" s="80"/>
      <c r="G771" s="80"/>
      <c r="H771" s="81"/>
      <c r="I771" s="81"/>
      <c r="J771" s="35"/>
      <c r="K771" s="36"/>
      <c r="L771" s="36"/>
      <c r="M771" s="36"/>
      <c r="N771" s="36"/>
      <c r="O771" s="36"/>
      <c r="P771" s="36"/>
      <c r="Q771" s="36"/>
      <c r="R771" s="36"/>
      <c r="S771" s="36"/>
      <c r="T771" s="36"/>
      <c r="U771" s="36"/>
      <c r="V771" s="36"/>
      <c r="W771" s="36"/>
      <c r="X771" s="36"/>
      <c r="Y771" s="36"/>
      <c r="Z771" s="36"/>
      <c r="AA771" s="36"/>
      <c r="AB771" s="36"/>
      <c r="AC771" s="36"/>
    </row>
    <row r="772" spans="1:29" ht="24" customHeight="1">
      <c r="A772" s="81"/>
      <c r="B772" s="81"/>
      <c r="C772" s="81"/>
      <c r="D772" s="81"/>
      <c r="E772" s="80"/>
      <c r="F772" s="80"/>
      <c r="G772" s="80"/>
      <c r="H772" s="81"/>
      <c r="I772" s="81"/>
      <c r="J772" s="35"/>
      <c r="K772" s="36"/>
      <c r="L772" s="36"/>
      <c r="M772" s="36"/>
      <c r="N772" s="36"/>
      <c r="O772" s="36"/>
      <c r="P772" s="36"/>
      <c r="Q772" s="36"/>
      <c r="R772" s="36"/>
      <c r="S772" s="36"/>
      <c r="T772" s="36"/>
      <c r="U772" s="36"/>
      <c r="V772" s="36"/>
      <c r="W772" s="36"/>
      <c r="X772" s="36"/>
      <c r="Y772" s="36"/>
      <c r="Z772" s="36"/>
      <c r="AA772" s="36"/>
      <c r="AB772" s="36"/>
      <c r="AC772" s="36"/>
    </row>
    <row r="773" spans="1:29" ht="36" customHeight="1">
      <c r="A773" s="81"/>
      <c r="B773" s="81"/>
      <c r="C773" s="81"/>
      <c r="D773" s="81"/>
      <c r="E773" s="80"/>
      <c r="F773" s="80"/>
      <c r="G773" s="80"/>
      <c r="H773" s="81"/>
      <c r="I773" s="81"/>
      <c r="J773" s="35"/>
      <c r="K773" s="36"/>
      <c r="L773" s="36"/>
      <c r="M773" s="36"/>
      <c r="N773" s="36"/>
      <c r="O773" s="36"/>
      <c r="P773" s="36"/>
      <c r="Q773" s="36"/>
      <c r="R773" s="36"/>
      <c r="S773" s="36"/>
      <c r="T773" s="36"/>
      <c r="U773" s="36"/>
      <c r="V773" s="36"/>
      <c r="W773" s="36"/>
      <c r="X773" s="36"/>
      <c r="Y773" s="36"/>
      <c r="Z773" s="36"/>
      <c r="AA773" s="36"/>
      <c r="AB773" s="36"/>
      <c r="AC773" s="36"/>
    </row>
    <row r="774" spans="1:29" ht="48" customHeight="1">
      <c r="A774" s="81"/>
      <c r="B774" s="81"/>
      <c r="C774" s="81"/>
      <c r="D774" s="81"/>
      <c r="E774" s="80"/>
      <c r="F774" s="80"/>
      <c r="G774" s="80"/>
      <c r="H774" s="81"/>
      <c r="I774" s="81"/>
      <c r="J774" s="35"/>
      <c r="K774" s="36"/>
      <c r="L774" s="36"/>
      <c r="M774" s="36"/>
      <c r="N774" s="36"/>
      <c r="O774" s="36"/>
      <c r="P774" s="36"/>
      <c r="Q774" s="36"/>
      <c r="R774" s="36"/>
      <c r="S774" s="36"/>
      <c r="T774" s="36"/>
      <c r="U774" s="36"/>
      <c r="V774" s="36"/>
      <c r="W774" s="36"/>
      <c r="X774" s="36"/>
      <c r="Y774" s="36"/>
      <c r="Z774" s="36"/>
      <c r="AA774" s="36"/>
      <c r="AB774" s="36"/>
      <c r="AC774" s="36"/>
    </row>
    <row r="775" spans="1:29" ht="36" customHeight="1">
      <c r="A775" s="81"/>
      <c r="B775" s="81"/>
      <c r="C775" s="81"/>
      <c r="D775" s="81"/>
      <c r="E775" s="80"/>
      <c r="F775" s="80"/>
      <c r="G775" s="80"/>
      <c r="H775" s="81"/>
      <c r="I775" s="81"/>
      <c r="J775" s="35"/>
      <c r="K775" s="36"/>
      <c r="L775" s="36"/>
      <c r="M775" s="36"/>
      <c r="N775" s="36"/>
      <c r="O775" s="36"/>
      <c r="P775" s="36"/>
      <c r="Q775" s="36"/>
      <c r="R775" s="36"/>
      <c r="S775" s="36"/>
      <c r="T775" s="36"/>
      <c r="U775" s="36"/>
      <c r="V775" s="36"/>
      <c r="W775" s="36"/>
      <c r="X775" s="36"/>
      <c r="Y775" s="36"/>
      <c r="Z775" s="36"/>
      <c r="AA775" s="36"/>
      <c r="AB775" s="36"/>
      <c r="AC775" s="36"/>
    </row>
    <row r="776" spans="1:29" ht="24" customHeight="1">
      <c r="A776" s="81"/>
      <c r="B776" s="81"/>
      <c r="C776" s="81"/>
      <c r="D776" s="81"/>
      <c r="E776" s="80"/>
      <c r="F776" s="80"/>
      <c r="G776" s="80"/>
      <c r="H776" s="81"/>
      <c r="I776" s="81"/>
      <c r="J776" s="35"/>
      <c r="K776" s="36"/>
      <c r="L776" s="36"/>
      <c r="M776" s="36"/>
      <c r="N776" s="36"/>
      <c r="O776" s="36"/>
      <c r="P776" s="36"/>
      <c r="Q776" s="36"/>
      <c r="R776" s="36"/>
      <c r="S776" s="36"/>
      <c r="T776" s="36"/>
      <c r="U776" s="36"/>
      <c r="V776" s="36"/>
      <c r="W776" s="36"/>
      <c r="X776" s="36"/>
      <c r="Y776" s="36"/>
      <c r="Z776" s="36"/>
      <c r="AA776" s="36"/>
      <c r="AB776" s="36"/>
      <c r="AC776" s="36"/>
    </row>
    <row r="777" spans="1:29" ht="36" customHeight="1">
      <c r="A777" s="619"/>
      <c r="B777" s="81"/>
      <c r="C777" s="81"/>
      <c r="D777" s="81"/>
      <c r="E777" s="80"/>
      <c r="F777" s="80"/>
      <c r="G777" s="80"/>
      <c r="H777" s="81"/>
      <c r="I777" s="81"/>
      <c r="J777" s="35"/>
      <c r="K777" s="36"/>
      <c r="L777" s="36"/>
      <c r="M777" s="36"/>
      <c r="N777" s="36"/>
      <c r="O777" s="36"/>
      <c r="P777" s="36"/>
      <c r="Q777" s="36"/>
      <c r="R777" s="36"/>
      <c r="S777" s="36"/>
      <c r="T777" s="36"/>
      <c r="U777" s="36"/>
      <c r="V777" s="36"/>
      <c r="W777" s="36"/>
      <c r="X777" s="36"/>
      <c r="Y777" s="36"/>
      <c r="Z777" s="36"/>
      <c r="AA777" s="36"/>
      <c r="AB777" s="36"/>
      <c r="AC777" s="36"/>
    </row>
    <row r="778" spans="1:29" ht="24" customHeight="1">
      <c r="A778" s="619"/>
      <c r="B778" s="81"/>
      <c r="C778" s="81"/>
      <c r="D778" s="81"/>
      <c r="E778" s="80"/>
      <c r="F778" s="80"/>
      <c r="G778" s="80"/>
      <c r="H778" s="81"/>
      <c r="I778" s="81"/>
      <c r="J778" s="35"/>
      <c r="K778" s="36"/>
      <c r="L778" s="36"/>
      <c r="M778" s="36"/>
      <c r="N778" s="36"/>
      <c r="O778" s="36"/>
      <c r="P778" s="36"/>
      <c r="Q778" s="36"/>
      <c r="R778" s="36"/>
      <c r="S778" s="36"/>
      <c r="T778" s="36"/>
      <c r="U778" s="36"/>
      <c r="V778" s="36"/>
      <c r="W778" s="36"/>
      <c r="X778" s="36"/>
      <c r="Y778" s="36"/>
      <c r="Z778" s="36"/>
      <c r="AA778" s="36"/>
      <c r="AB778" s="36"/>
      <c r="AC778" s="36"/>
    </row>
    <row r="779" spans="1:29" ht="24" customHeight="1">
      <c r="A779" s="619"/>
      <c r="B779" s="81"/>
      <c r="C779" s="81"/>
      <c r="D779" s="81"/>
      <c r="E779" s="80"/>
      <c r="F779" s="80"/>
      <c r="G779" s="80"/>
      <c r="H779" s="81"/>
      <c r="I779" s="81"/>
      <c r="J779" s="35"/>
      <c r="K779" s="36"/>
      <c r="L779" s="36"/>
      <c r="M779" s="36"/>
      <c r="N779" s="36"/>
      <c r="O779" s="36"/>
      <c r="P779" s="36"/>
      <c r="Q779" s="36"/>
      <c r="R779" s="36"/>
      <c r="S779" s="36"/>
      <c r="T779" s="36"/>
      <c r="U779" s="36"/>
      <c r="V779" s="36"/>
      <c r="W779" s="36"/>
      <c r="X779" s="36"/>
      <c r="Y779" s="36"/>
      <c r="Z779" s="36"/>
      <c r="AA779" s="36"/>
      <c r="AB779" s="36"/>
      <c r="AC779" s="36"/>
    </row>
    <row r="780" spans="1:29" ht="36" customHeight="1">
      <c r="A780" s="619"/>
      <c r="B780" s="81"/>
      <c r="C780" s="81"/>
      <c r="D780" s="81"/>
      <c r="E780" s="80"/>
      <c r="F780" s="80"/>
      <c r="G780" s="80"/>
      <c r="H780" s="81"/>
      <c r="I780" s="81"/>
      <c r="J780" s="35"/>
      <c r="K780" s="36"/>
      <c r="L780" s="36"/>
      <c r="M780" s="36"/>
      <c r="N780" s="36"/>
      <c r="O780" s="36"/>
      <c r="P780" s="36"/>
      <c r="Q780" s="36"/>
      <c r="R780" s="36"/>
      <c r="S780" s="36"/>
      <c r="T780" s="36"/>
      <c r="U780" s="36"/>
      <c r="V780" s="36"/>
      <c r="W780" s="36"/>
      <c r="X780" s="36"/>
      <c r="Y780" s="36"/>
      <c r="Z780" s="36"/>
      <c r="AA780" s="36"/>
      <c r="AB780" s="36"/>
      <c r="AC780" s="36"/>
    </row>
    <row r="781" spans="1:29" ht="36" customHeight="1">
      <c r="A781" s="81"/>
      <c r="B781" s="81"/>
      <c r="C781" s="81"/>
      <c r="D781" s="81"/>
      <c r="E781" s="80"/>
      <c r="F781" s="80"/>
      <c r="G781" s="80"/>
      <c r="H781" s="81"/>
      <c r="I781" s="81"/>
      <c r="J781" s="35"/>
      <c r="K781" s="36"/>
      <c r="L781" s="36"/>
      <c r="M781" s="36"/>
      <c r="N781" s="36"/>
      <c r="O781" s="36"/>
      <c r="P781" s="36"/>
      <c r="Q781" s="36"/>
      <c r="R781" s="36"/>
      <c r="S781" s="36"/>
      <c r="T781" s="36"/>
      <c r="U781" s="36"/>
      <c r="V781" s="36"/>
      <c r="W781" s="36"/>
      <c r="X781" s="36"/>
      <c r="Y781" s="36"/>
      <c r="Z781" s="36"/>
      <c r="AA781" s="36"/>
      <c r="AB781" s="36"/>
      <c r="AC781" s="36"/>
    </row>
    <row r="782" spans="1:29" ht="48" customHeight="1">
      <c r="A782" s="81"/>
      <c r="B782" s="81"/>
      <c r="C782" s="81"/>
      <c r="D782" s="81"/>
      <c r="E782" s="80"/>
      <c r="F782" s="80"/>
      <c r="G782" s="80"/>
      <c r="H782" s="81"/>
      <c r="I782" s="81"/>
      <c r="J782" s="35"/>
      <c r="K782" s="36"/>
      <c r="L782" s="36"/>
      <c r="M782" s="36"/>
      <c r="N782" s="36"/>
      <c r="O782" s="36"/>
      <c r="P782" s="36"/>
      <c r="Q782" s="36"/>
      <c r="R782" s="36"/>
      <c r="S782" s="36"/>
      <c r="T782" s="36"/>
      <c r="U782" s="36"/>
      <c r="V782" s="36"/>
      <c r="W782" s="36"/>
      <c r="X782" s="36"/>
      <c r="Y782" s="36"/>
      <c r="Z782" s="36"/>
      <c r="AA782" s="36"/>
      <c r="AB782" s="36"/>
      <c r="AC782" s="36"/>
    </row>
    <row r="783" spans="1:29" ht="36" customHeight="1">
      <c r="A783" s="81"/>
      <c r="B783" s="81"/>
      <c r="C783" s="81"/>
      <c r="D783" s="81"/>
      <c r="E783" s="80"/>
      <c r="F783" s="80"/>
      <c r="G783" s="80"/>
      <c r="H783" s="81"/>
      <c r="I783" s="81"/>
      <c r="J783" s="35"/>
      <c r="K783" s="36"/>
      <c r="L783" s="36"/>
      <c r="M783" s="36"/>
      <c r="N783" s="36"/>
      <c r="O783" s="36"/>
      <c r="P783" s="36"/>
      <c r="Q783" s="36"/>
      <c r="R783" s="36"/>
      <c r="S783" s="36"/>
      <c r="T783" s="36"/>
      <c r="U783" s="36"/>
      <c r="V783" s="36"/>
      <c r="W783" s="36"/>
      <c r="X783" s="36"/>
      <c r="Y783" s="36"/>
      <c r="Z783" s="36"/>
      <c r="AA783" s="36"/>
      <c r="AB783" s="36"/>
      <c r="AC783" s="36"/>
    </row>
    <row r="784" spans="1:29" ht="36" customHeight="1">
      <c r="A784" s="81"/>
      <c r="B784" s="81"/>
      <c r="C784" s="81"/>
      <c r="D784" s="81"/>
      <c r="E784" s="80"/>
      <c r="F784" s="80"/>
      <c r="G784" s="80"/>
      <c r="H784" s="81"/>
      <c r="I784" s="81"/>
      <c r="J784" s="35"/>
      <c r="K784" s="36"/>
      <c r="L784" s="36"/>
      <c r="M784" s="36"/>
      <c r="N784" s="36"/>
      <c r="O784" s="36"/>
      <c r="P784" s="36"/>
      <c r="Q784" s="36"/>
      <c r="R784" s="36"/>
      <c r="S784" s="36"/>
      <c r="T784" s="36"/>
      <c r="U784" s="36"/>
      <c r="V784" s="36"/>
      <c r="W784" s="36"/>
      <c r="X784" s="36"/>
      <c r="Y784" s="36"/>
      <c r="Z784" s="36"/>
      <c r="AA784" s="36"/>
      <c r="AB784" s="36"/>
      <c r="AC784" s="36"/>
    </row>
    <row r="785" spans="1:29" ht="36" customHeight="1">
      <c r="A785" s="81"/>
      <c r="B785" s="81"/>
      <c r="C785" s="81"/>
      <c r="D785" s="81"/>
      <c r="E785" s="80"/>
      <c r="F785" s="80"/>
      <c r="G785" s="80"/>
      <c r="H785" s="81"/>
      <c r="I785" s="81"/>
      <c r="J785" s="35"/>
      <c r="K785" s="36"/>
      <c r="L785" s="36"/>
      <c r="M785" s="36"/>
      <c r="N785" s="36"/>
      <c r="O785" s="36"/>
      <c r="P785" s="36"/>
      <c r="Q785" s="36"/>
      <c r="R785" s="36"/>
      <c r="S785" s="36"/>
      <c r="T785" s="36"/>
      <c r="U785" s="36"/>
      <c r="V785" s="36"/>
      <c r="W785" s="36"/>
      <c r="X785" s="36"/>
      <c r="Y785" s="36"/>
      <c r="Z785" s="36"/>
      <c r="AA785" s="36"/>
      <c r="AB785" s="36"/>
      <c r="AC785" s="36"/>
    </row>
    <row r="786" spans="1:29" ht="48" customHeight="1">
      <c r="A786" s="81"/>
      <c r="B786" s="81"/>
      <c r="C786" s="81"/>
      <c r="D786" s="81"/>
      <c r="E786" s="80"/>
      <c r="F786" s="80"/>
      <c r="G786" s="80"/>
      <c r="H786" s="81"/>
      <c r="I786" s="81"/>
      <c r="J786" s="35"/>
      <c r="K786" s="36"/>
      <c r="L786" s="36"/>
      <c r="M786" s="36"/>
      <c r="N786" s="36"/>
      <c r="O786" s="36"/>
      <c r="P786" s="36"/>
      <c r="Q786" s="36"/>
      <c r="R786" s="36"/>
      <c r="S786" s="36"/>
      <c r="T786" s="36"/>
      <c r="U786" s="36"/>
      <c r="V786" s="36"/>
      <c r="W786" s="36"/>
      <c r="X786" s="36"/>
      <c r="Y786" s="36"/>
      <c r="Z786" s="36"/>
      <c r="AA786" s="36"/>
      <c r="AB786" s="36"/>
      <c r="AC786" s="36"/>
    </row>
    <row r="787" spans="1:29" ht="36" customHeight="1">
      <c r="A787" s="81"/>
      <c r="B787" s="81"/>
      <c r="C787" s="81"/>
      <c r="D787" s="81"/>
      <c r="E787" s="80"/>
      <c r="F787" s="80"/>
      <c r="G787" s="80"/>
      <c r="H787" s="81"/>
      <c r="I787" s="81"/>
      <c r="J787" s="35"/>
      <c r="K787" s="36"/>
      <c r="L787" s="36"/>
      <c r="M787" s="36"/>
      <c r="N787" s="36"/>
      <c r="O787" s="36"/>
      <c r="P787" s="36"/>
      <c r="Q787" s="36"/>
      <c r="R787" s="36"/>
      <c r="S787" s="36"/>
      <c r="T787" s="36"/>
      <c r="U787" s="36"/>
      <c r="V787" s="36"/>
      <c r="W787" s="36"/>
      <c r="X787" s="36"/>
      <c r="Y787" s="36"/>
      <c r="Z787" s="36"/>
      <c r="AA787" s="36"/>
      <c r="AB787" s="36"/>
      <c r="AC787" s="36"/>
    </row>
    <row r="788" spans="1:29" ht="36" customHeight="1">
      <c r="A788" s="81"/>
      <c r="B788" s="81"/>
      <c r="C788" s="81"/>
      <c r="D788" s="81"/>
      <c r="E788" s="80"/>
      <c r="F788" s="80"/>
      <c r="G788" s="80"/>
      <c r="H788" s="81"/>
      <c r="I788" s="81"/>
      <c r="J788" s="35"/>
      <c r="K788" s="36"/>
      <c r="L788" s="36"/>
      <c r="M788" s="36"/>
      <c r="N788" s="36"/>
      <c r="O788" s="36"/>
      <c r="P788" s="36"/>
      <c r="Q788" s="36"/>
      <c r="R788" s="36"/>
      <c r="S788" s="36"/>
      <c r="T788" s="36"/>
      <c r="U788" s="36"/>
      <c r="V788" s="36"/>
      <c r="W788" s="36"/>
      <c r="X788" s="36"/>
      <c r="Y788" s="36"/>
      <c r="Z788" s="36"/>
      <c r="AA788" s="36"/>
      <c r="AB788" s="36"/>
      <c r="AC788" s="36"/>
    </row>
    <row r="789" spans="1:29" ht="36" customHeight="1">
      <c r="A789" s="81"/>
      <c r="B789" s="81"/>
      <c r="C789" s="81"/>
      <c r="D789" s="81"/>
      <c r="E789" s="80"/>
      <c r="F789" s="80"/>
      <c r="G789" s="80"/>
      <c r="H789" s="81"/>
      <c r="I789" s="81"/>
      <c r="J789" s="35"/>
      <c r="K789" s="36"/>
      <c r="L789" s="36"/>
      <c r="M789" s="36"/>
      <c r="N789" s="36"/>
      <c r="O789" s="36"/>
      <c r="P789" s="36"/>
      <c r="Q789" s="36"/>
      <c r="R789" s="36"/>
      <c r="S789" s="36"/>
      <c r="T789" s="36"/>
      <c r="U789" s="36"/>
      <c r="V789" s="36"/>
      <c r="W789" s="36"/>
      <c r="X789" s="36"/>
      <c r="Y789" s="36"/>
      <c r="Z789" s="36"/>
      <c r="AA789" s="36"/>
      <c r="AB789" s="36"/>
      <c r="AC789" s="36"/>
    </row>
    <row r="790" spans="1:29" ht="36" customHeight="1">
      <c r="A790" s="81"/>
      <c r="B790" s="81"/>
      <c r="C790" s="81"/>
      <c r="D790" s="81"/>
      <c r="E790" s="80"/>
      <c r="F790" s="80"/>
      <c r="G790" s="80"/>
      <c r="H790" s="81"/>
      <c r="I790" s="81"/>
      <c r="J790" s="35"/>
      <c r="K790" s="36"/>
      <c r="L790" s="36"/>
      <c r="M790" s="36"/>
      <c r="N790" s="36"/>
      <c r="O790" s="36"/>
      <c r="P790" s="36"/>
      <c r="Q790" s="36"/>
      <c r="R790" s="36"/>
      <c r="S790" s="36"/>
      <c r="T790" s="36"/>
      <c r="U790" s="36"/>
      <c r="V790" s="36"/>
      <c r="W790" s="36"/>
      <c r="X790" s="36"/>
      <c r="Y790" s="36"/>
      <c r="Z790" s="36"/>
      <c r="AA790" s="36"/>
      <c r="AB790" s="36"/>
      <c r="AC790" s="36"/>
    </row>
    <row r="791" spans="1:29" ht="24" customHeight="1">
      <c r="A791" s="81"/>
      <c r="B791" s="81"/>
      <c r="C791" s="81"/>
      <c r="D791" s="81"/>
      <c r="E791" s="80"/>
      <c r="F791" s="80"/>
      <c r="G791" s="80"/>
      <c r="H791" s="81"/>
      <c r="I791" s="81"/>
      <c r="J791" s="35"/>
      <c r="K791" s="36"/>
      <c r="L791" s="36"/>
      <c r="M791" s="36"/>
      <c r="N791" s="36"/>
      <c r="O791" s="36"/>
      <c r="P791" s="36"/>
      <c r="Q791" s="36"/>
      <c r="R791" s="36"/>
      <c r="S791" s="36"/>
      <c r="T791" s="36"/>
      <c r="U791" s="36"/>
      <c r="V791" s="36"/>
      <c r="W791" s="36"/>
      <c r="X791" s="36"/>
      <c r="Y791" s="36"/>
      <c r="Z791" s="36"/>
      <c r="AA791" s="36"/>
      <c r="AB791" s="36"/>
      <c r="AC791" s="36"/>
    </row>
    <row r="792" spans="1:29" ht="24" customHeight="1">
      <c r="A792" s="81"/>
      <c r="B792" s="81"/>
      <c r="C792" s="81"/>
      <c r="D792" s="81"/>
      <c r="E792" s="80"/>
      <c r="F792" s="80"/>
      <c r="G792" s="80"/>
      <c r="H792" s="81"/>
      <c r="I792" s="81"/>
      <c r="J792" s="35"/>
      <c r="K792" s="36"/>
      <c r="L792" s="36"/>
      <c r="M792" s="36"/>
      <c r="N792" s="36"/>
      <c r="O792" s="36"/>
      <c r="P792" s="36"/>
      <c r="Q792" s="36"/>
      <c r="R792" s="36"/>
      <c r="S792" s="36"/>
      <c r="T792" s="36"/>
      <c r="U792" s="36"/>
      <c r="V792" s="36"/>
      <c r="W792" s="36"/>
      <c r="X792" s="36"/>
      <c r="Y792" s="36"/>
      <c r="Z792" s="36"/>
      <c r="AA792" s="36"/>
      <c r="AB792" s="36"/>
      <c r="AC792" s="36"/>
    </row>
    <row r="793" spans="1:29" ht="36" customHeight="1">
      <c r="A793" s="81"/>
      <c r="B793" s="81"/>
      <c r="C793" s="81"/>
      <c r="D793" s="81"/>
      <c r="E793" s="80"/>
      <c r="F793" s="80"/>
      <c r="G793" s="80"/>
      <c r="H793" s="81"/>
      <c r="I793" s="81"/>
      <c r="J793" s="35"/>
      <c r="K793" s="36"/>
      <c r="L793" s="36"/>
      <c r="M793" s="36"/>
      <c r="N793" s="36"/>
      <c r="O793" s="36"/>
      <c r="P793" s="36"/>
      <c r="Q793" s="36"/>
      <c r="R793" s="36"/>
      <c r="S793" s="36"/>
      <c r="T793" s="36"/>
      <c r="U793" s="36"/>
      <c r="V793" s="36"/>
      <c r="W793" s="36"/>
      <c r="X793" s="36"/>
      <c r="Y793" s="36"/>
      <c r="Z793" s="36"/>
      <c r="AA793" s="36"/>
      <c r="AB793" s="36"/>
      <c r="AC793" s="36"/>
    </row>
    <row r="794" spans="1:29" ht="48" customHeight="1">
      <c r="A794" s="81"/>
      <c r="B794" s="81"/>
      <c r="C794" s="81"/>
      <c r="D794" s="81"/>
      <c r="E794" s="80"/>
      <c r="F794" s="80"/>
      <c r="G794" s="80"/>
      <c r="H794" s="81"/>
      <c r="I794" s="81"/>
      <c r="J794" s="35"/>
      <c r="K794" s="36"/>
      <c r="L794" s="36"/>
      <c r="M794" s="36"/>
      <c r="N794" s="36"/>
      <c r="O794" s="36"/>
      <c r="P794" s="36"/>
      <c r="Q794" s="36"/>
      <c r="R794" s="36"/>
      <c r="S794" s="36"/>
      <c r="T794" s="36"/>
      <c r="U794" s="36"/>
      <c r="V794" s="36"/>
      <c r="W794" s="36"/>
      <c r="X794" s="36"/>
      <c r="Y794" s="36"/>
      <c r="Z794" s="36"/>
      <c r="AA794" s="36"/>
      <c r="AB794" s="36"/>
      <c r="AC794" s="36"/>
    </row>
    <row r="795" spans="1:29" ht="24" customHeight="1">
      <c r="A795" s="81"/>
      <c r="B795" s="81"/>
      <c r="C795" s="81"/>
      <c r="D795" s="81"/>
      <c r="E795" s="80"/>
      <c r="F795" s="80"/>
      <c r="G795" s="80"/>
      <c r="H795" s="81"/>
      <c r="I795" s="81"/>
      <c r="J795" s="35"/>
      <c r="K795" s="36"/>
      <c r="L795" s="36"/>
      <c r="M795" s="36"/>
      <c r="N795" s="36"/>
      <c r="O795" s="36"/>
      <c r="P795" s="36"/>
      <c r="Q795" s="36"/>
      <c r="R795" s="36"/>
      <c r="S795" s="36"/>
      <c r="T795" s="36"/>
      <c r="U795" s="36"/>
      <c r="V795" s="36"/>
      <c r="W795" s="36"/>
      <c r="X795" s="36"/>
      <c r="Y795" s="36"/>
      <c r="Z795" s="36"/>
      <c r="AA795" s="36"/>
      <c r="AB795" s="36"/>
      <c r="AC795" s="36"/>
    </row>
    <row r="796" spans="1:29" ht="24" customHeight="1">
      <c r="A796" s="81"/>
      <c r="B796" s="81"/>
      <c r="C796" s="81"/>
      <c r="D796" s="81"/>
      <c r="E796" s="80"/>
      <c r="F796" s="80"/>
      <c r="G796" s="80"/>
      <c r="H796" s="81"/>
      <c r="I796" s="81"/>
      <c r="J796" s="35"/>
      <c r="K796" s="36"/>
      <c r="L796" s="36"/>
      <c r="M796" s="36"/>
      <c r="N796" s="36"/>
      <c r="O796" s="36"/>
      <c r="P796" s="36"/>
      <c r="Q796" s="36"/>
      <c r="R796" s="36"/>
      <c r="S796" s="36"/>
      <c r="T796" s="36"/>
      <c r="U796" s="36"/>
      <c r="V796" s="36"/>
      <c r="W796" s="36"/>
      <c r="X796" s="36"/>
      <c r="Y796" s="36"/>
      <c r="Z796" s="36"/>
      <c r="AA796" s="36"/>
      <c r="AB796" s="36"/>
      <c r="AC796" s="36"/>
    </row>
    <row r="797" spans="1:29" ht="48" customHeight="1">
      <c r="A797" s="81"/>
      <c r="B797" s="81"/>
      <c r="C797" s="81"/>
      <c r="D797" s="81"/>
      <c r="E797" s="80"/>
      <c r="F797" s="80"/>
      <c r="G797" s="80"/>
      <c r="H797" s="81"/>
      <c r="I797" s="81"/>
      <c r="J797" s="35"/>
      <c r="K797" s="36"/>
      <c r="L797" s="36"/>
      <c r="M797" s="36"/>
      <c r="N797" s="36"/>
      <c r="O797" s="36"/>
      <c r="P797" s="36"/>
      <c r="Q797" s="36"/>
      <c r="R797" s="36"/>
      <c r="S797" s="36"/>
      <c r="T797" s="36"/>
      <c r="U797" s="36"/>
      <c r="V797" s="36"/>
      <c r="W797" s="36"/>
      <c r="X797" s="36"/>
      <c r="Y797" s="36"/>
      <c r="Z797" s="36"/>
      <c r="AA797" s="36"/>
      <c r="AB797" s="36"/>
      <c r="AC797" s="36"/>
    </row>
    <row r="798" spans="1:29" ht="24" customHeight="1">
      <c r="A798" s="81"/>
      <c r="B798" s="81"/>
      <c r="C798" s="81"/>
      <c r="D798" s="81"/>
      <c r="E798" s="80"/>
      <c r="F798" s="80"/>
      <c r="G798" s="80"/>
      <c r="H798" s="81"/>
      <c r="I798" s="81"/>
      <c r="J798" s="35"/>
      <c r="K798" s="36"/>
      <c r="L798" s="36"/>
      <c r="M798" s="36"/>
      <c r="N798" s="36"/>
      <c r="O798" s="36"/>
      <c r="P798" s="36"/>
      <c r="Q798" s="36"/>
      <c r="R798" s="36"/>
      <c r="S798" s="36"/>
      <c r="T798" s="36"/>
      <c r="U798" s="36"/>
      <c r="V798" s="36"/>
      <c r="W798" s="36"/>
      <c r="X798" s="36"/>
      <c r="Y798" s="36"/>
      <c r="Z798" s="36"/>
      <c r="AA798" s="36"/>
      <c r="AB798" s="36"/>
      <c r="AC798" s="36"/>
    </row>
    <row r="799" spans="1:29" ht="24" customHeight="1">
      <c r="A799" s="81"/>
      <c r="B799" s="81"/>
      <c r="C799" s="81"/>
      <c r="D799" s="81"/>
      <c r="E799" s="80"/>
      <c r="F799" s="80"/>
      <c r="G799" s="80"/>
      <c r="H799" s="81"/>
      <c r="I799" s="81"/>
      <c r="J799" s="35"/>
      <c r="K799" s="36"/>
      <c r="L799" s="36"/>
      <c r="M799" s="36"/>
      <c r="N799" s="36"/>
      <c r="O799" s="36"/>
      <c r="P799" s="36"/>
      <c r="Q799" s="36"/>
      <c r="R799" s="36"/>
      <c r="S799" s="36"/>
      <c r="T799" s="36"/>
      <c r="U799" s="36"/>
      <c r="V799" s="36"/>
      <c r="W799" s="36"/>
      <c r="X799" s="36"/>
      <c r="Y799" s="36"/>
      <c r="Z799" s="36"/>
      <c r="AA799" s="36"/>
      <c r="AB799" s="36"/>
      <c r="AC799" s="36"/>
    </row>
    <row r="800" spans="1:29" ht="36" customHeight="1">
      <c r="A800" s="81"/>
      <c r="B800" s="81"/>
      <c r="C800" s="81"/>
      <c r="D800" s="81"/>
      <c r="E800" s="80"/>
      <c r="F800" s="80"/>
      <c r="G800" s="80"/>
      <c r="H800" s="81"/>
      <c r="I800" s="81"/>
      <c r="J800" s="35"/>
      <c r="K800" s="36"/>
      <c r="L800" s="36"/>
      <c r="M800" s="36"/>
      <c r="N800" s="36"/>
      <c r="O800" s="36"/>
      <c r="P800" s="36"/>
      <c r="Q800" s="36"/>
      <c r="R800" s="36"/>
      <c r="S800" s="36"/>
      <c r="T800" s="36"/>
      <c r="U800" s="36"/>
      <c r="V800" s="36"/>
      <c r="W800" s="36"/>
      <c r="X800" s="36"/>
      <c r="Y800" s="36"/>
      <c r="Z800" s="36"/>
      <c r="AA800" s="36"/>
      <c r="AB800" s="36"/>
      <c r="AC800" s="36"/>
    </row>
    <row r="801" spans="1:29" ht="36" customHeight="1">
      <c r="A801" s="81"/>
      <c r="B801" s="81"/>
      <c r="C801" s="81"/>
      <c r="D801" s="81"/>
      <c r="E801" s="80"/>
      <c r="F801" s="80"/>
      <c r="G801" s="80"/>
      <c r="H801" s="81"/>
      <c r="I801" s="81"/>
      <c r="J801" s="35"/>
      <c r="K801" s="36"/>
      <c r="L801" s="36"/>
      <c r="M801" s="36"/>
      <c r="N801" s="36"/>
      <c r="O801" s="36"/>
      <c r="P801" s="36"/>
      <c r="Q801" s="36"/>
      <c r="R801" s="36"/>
      <c r="S801" s="36"/>
      <c r="T801" s="36"/>
      <c r="U801" s="36"/>
      <c r="V801" s="36"/>
      <c r="W801" s="36"/>
      <c r="X801" s="36"/>
      <c r="Y801" s="36"/>
      <c r="Z801" s="36"/>
      <c r="AA801" s="36"/>
      <c r="AB801" s="36"/>
      <c r="AC801" s="36"/>
    </row>
    <row r="802" spans="1:29" ht="84" customHeight="1">
      <c r="A802" s="100"/>
      <c r="B802" s="100"/>
      <c r="C802" s="100"/>
      <c r="D802" s="100"/>
      <c r="E802" s="99"/>
      <c r="F802" s="99"/>
      <c r="G802" s="99"/>
      <c r="H802" s="100"/>
      <c r="I802" s="100"/>
      <c r="J802" s="35"/>
      <c r="K802" s="36"/>
      <c r="L802" s="36"/>
      <c r="M802" s="36"/>
      <c r="N802" s="36"/>
      <c r="O802" s="36"/>
      <c r="P802" s="36"/>
      <c r="Q802" s="36"/>
      <c r="R802" s="36"/>
      <c r="S802" s="36"/>
      <c r="T802" s="36"/>
      <c r="U802" s="36"/>
      <c r="V802" s="36"/>
      <c r="W802" s="36"/>
      <c r="X802" s="36"/>
      <c r="Y802" s="36"/>
      <c r="Z802" s="36"/>
      <c r="AA802" s="36"/>
      <c r="AB802" s="36"/>
      <c r="AC802" s="36"/>
    </row>
    <row r="803" spans="1:29" ht="180" customHeight="1">
      <c r="A803" s="100"/>
      <c r="B803" s="100"/>
      <c r="C803" s="100"/>
      <c r="D803" s="100"/>
      <c r="E803" s="99"/>
      <c r="F803" s="99"/>
      <c r="G803" s="99"/>
      <c r="H803" s="100"/>
      <c r="I803" s="100"/>
      <c r="J803" s="35"/>
      <c r="K803" s="36"/>
      <c r="L803" s="36"/>
      <c r="M803" s="36"/>
      <c r="N803" s="36"/>
      <c r="O803" s="36"/>
      <c r="P803" s="36"/>
      <c r="Q803" s="36"/>
      <c r="R803" s="36"/>
      <c r="S803" s="36"/>
      <c r="T803" s="36"/>
      <c r="U803" s="36"/>
      <c r="V803" s="36"/>
      <c r="W803" s="36"/>
      <c r="X803" s="36"/>
      <c r="Y803" s="36"/>
      <c r="Z803" s="36"/>
      <c r="AA803" s="36"/>
      <c r="AB803" s="36"/>
      <c r="AC803" s="36"/>
    </row>
    <row r="804" spans="1:29" ht="24" customHeight="1">
      <c r="A804" s="81"/>
      <c r="B804" s="81"/>
      <c r="C804" s="81"/>
      <c r="D804" s="81"/>
      <c r="E804" s="80"/>
      <c r="F804" s="80"/>
      <c r="G804" s="80"/>
      <c r="H804" s="81"/>
      <c r="I804" s="81"/>
      <c r="J804" s="35"/>
      <c r="K804" s="36"/>
      <c r="L804" s="36"/>
      <c r="M804" s="36"/>
      <c r="N804" s="36"/>
      <c r="O804" s="36"/>
      <c r="P804" s="36"/>
      <c r="Q804" s="36"/>
      <c r="R804" s="36"/>
      <c r="S804" s="36"/>
      <c r="T804" s="36"/>
      <c r="U804" s="36"/>
      <c r="V804" s="36"/>
      <c r="W804" s="36"/>
      <c r="X804" s="36"/>
      <c r="Y804" s="36"/>
      <c r="Z804" s="36"/>
      <c r="AA804" s="36"/>
      <c r="AB804" s="36"/>
      <c r="AC804" s="36"/>
    </row>
    <row r="805" spans="1:29" ht="36" customHeight="1">
      <c r="A805" s="81"/>
      <c r="B805" s="95"/>
      <c r="C805" s="81"/>
      <c r="D805" s="81"/>
      <c r="E805" s="80"/>
      <c r="F805" s="80"/>
      <c r="G805" s="80"/>
      <c r="H805" s="81"/>
      <c r="I805" s="81"/>
      <c r="J805" s="35"/>
      <c r="K805" s="36"/>
      <c r="L805" s="36"/>
      <c r="M805" s="36"/>
      <c r="N805" s="36"/>
      <c r="O805" s="36"/>
      <c r="P805" s="36"/>
      <c r="Q805" s="36"/>
      <c r="R805" s="36"/>
      <c r="S805" s="36"/>
      <c r="T805" s="36"/>
      <c r="U805" s="36"/>
      <c r="V805" s="36"/>
      <c r="W805" s="36"/>
      <c r="X805" s="36"/>
      <c r="Y805" s="36"/>
      <c r="Z805" s="36"/>
      <c r="AA805" s="36"/>
      <c r="AB805" s="36"/>
      <c r="AC805" s="36"/>
    </row>
    <row r="806" spans="1:29" ht="24" customHeight="1">
      <c r="A806" s="81"/>
      <c r="B806" s="95"/>
      <c r="C806" s="81"/>
      <c r="D806" s="81"/>
      <c r="E806" s="80"/>
      <c r="F806" s="80"/>
      <c r="G806" s="80"/>
      <c r="H806" s="81"/>
      <c r="I806" s="81"/>
      <c r="J806" s="35"/>
      <c r="K806" s="36"/>
      <c r="L806" s="36"/>
      <c r="M806" s="36"/>
      <c r="N806" s="36"/>
      <c r="O806" s="36"/>
      <c r="P806" s="36"/>
      <c r="Q806" s="36"/>
      <c r="R806" s="36"/>
      <c r="S806" s="36"/>
      <c r="T806" s="36"/>
      <c r="U806" s="36"/>
      <c r="V806" s="36"/>
      <c r="W806" s="36"/>
      <c r="X806" s="36"/>
      <c r="Y806" s="36"/>
      <c r="Z806" s="36"/>
      <c r="AA806" s="36"/>
      <c r="AB806" s="36"/>
      <c r="AC806" s="36"/>
    </row>
    <row r="807" spans="1:29" ht="36" customHeight="1">
      <c r="A807" s="81"/>
      <c r="B807" s="81"/>
      <c r="C807" s="81"/>
      <c r="D807" s="81"/>
      <c r="E807" s="80"/>
      <c r="F807" s="80"/>
      <c r="G807" s="80"/>
      <c r="H807" s="81"/>
      <c r="I807" s="81"/>
      <c r="J807" s="35"/>
      <c r="K807" s="36"/>
      <c r="L807" s="36"/>
      <c r="M807" s="36"/>
      <c r="N807" s="36"/>
      <c r="O807" s="36"/>
      <c r="P807" s="36"/>
      <c r="Q807" s="36"/>
      <c r="R807" s="36"/>
      <c r="S807" s="36"/>
      <c r="T807" s="36"/>
      <c r="U807" s="36"/>
      <c r="V807" s="36"/>
      <c r="W807" s="36"/>
      <c r="X807" s="36"/>
      <c r="Y807" s="36"/>
      <c r="Z807" s="36"/>
      <c r="AA807" s="36"/>
      <c r="AB807" s="36"/>
      <c r="AC807" s="36"/>
    </row>
    <row r="808" spans="1:29" ht="24" customHeight="1">
      <c r="A808" s="81"/>
      <c r="B808" s="95"/>
      <c r="C808" s="81"/>
      <c r="D808" s="81"/>
      <c r="E808" s="80"/>
      <c r="F808" s="80"/>
      <c r="G808" s="80"/>
      <c r="H808" s="81"/>
      <c r="I808" s="81"/>
      <c r="J808" s="35"/>
      <c r="K808" s="36"/>
      <c r="L808" s="36"/>
      <c r="M808" s="36"/>
      <c r="N808" s="36"/>
      <c r="O808" s="36"/>
      <c r="P808" s="36"/>
      <c r="Q808" s="36"/>
      <c r="R808" s="36"/>
      <c r="S808" s="36"/>
      <c r="T808" s="36"/>
      <c r="U808" s="36"/>
      <c r="V808" s="36"/>
      <c r="W808" s="36"/>
      <c r="X808" s="36"/>
      <c r="Y808" s="36"/>
      <c r="Z808" s="36"/>
      <c r="AA808" s="36"/>
      <c r="AB808" s="36"/>
      <c r="AC808" s="36"/>
    </row>
    <row r="809" spans="1:29" ht="36" customHeight="1">
      <c r="A809" s="619"/>
      <c r="B809" s="81"/>
      <c r="C809" s="81"/>
      <c r="D809" s="81"/>
      <c r="E809" s="80"/>
      <c r="F809" s="80"/>
      <c r="G809" s="80"/>
      <c r="H809" s="94"/>
      <c r="I809" s="81"/>
      <c r="J809" s="35"/>
      <c r="K809" s="36"/>
      <c r="L809" s="36"/>
      <c r="M809" s="36"/>
      <c r="N809" s="36"/>
      <c r="O809" s="36"/>
      <c r="P809" s="36"/>
      <c r="Q809" s="36"/>
      <c r="R809" s="36"/>
      <c r="S809" s="36"/>
      <c r="T809" s="36"/>
      <c r="U809" s="36"/>
      <c r="V809" s="36"/>
      <c r="W809" s="36"/>
      <c r="X809" s="36"/>
      <c r="Y809" s="36"/>
      <c r="Z809" s="36"/>
      <c r="AA809" s="36"/>
      <c r="AB809" s="36"/>
      <c r="AC809" s="36"/>
    </row>
    <row r="810" spans="1:29" ht="24" customHeight="1">
      <c r="A810" s="81"/>
      <c r="B810" s="94"/>
      <c r="C810" s="81"/>
      <c r="D810" s="81"/>
      <c r="E810" s="80"/>
      <c r="F810" s="80"/>
      <c r="G810" s="80"/>
      <c r="H810" s="94"/>
      <c r="I810" s="81"/>
      <c r="J810" s="35"/>
      <c r="K810" s="36"/>
      <c r="L810" s="36"/>
      <c r="M810" s="36"/>
      <c r="N810" s="36"/>
      <c r="O810" s="36"/>
      <c r="P810" s="36"/>
      <c r="Q810" s="36"/>
      <c r="R810" s="36"/>
      <c r="S810" s="36"/>
      <c r="T810" s="36"/>
      <c r="U810" s="36"/>
      <c r="V810" s="36"/>
      <c r="W810" s="36"/>
      <c r="X810" s="36"/>
      <c r="Y810" s="36"/>
      <c r="Z810" s="36"/>
      <c r="AA810" s="36"/>
      <c r="AB810" s="36"/>
      <c r="AC810" s="36"/>
    </row>
    <row r="811" spans="1:29" ht="24" customHeight="1">
      <c r="A811" s="81"/>
      <c r="B811" s="81"/>
      <c r="C811" s="81"/>
      <c r="D811" s="81"/>
      <c r="E811" s="80"/>
      <c r="F811" s="80"/>
      <c r="G811" s="80"/>
      <c r="H811" s="94"/>
      <c r="I811" s="81"/>
      <c r="J811" s="35"/>
      <c r="K811" s="36"/>
      <c r="L811" s="36"/>
      <c r="M811" s="36"/>
      <c r="N811" s="36"/>
      <c r="O811" s="36"/>
      <c r="P811" s="36"/>
      <c r="Q811" s="36"/>
      <c r="R811" s="36"/>
      <c r="S811" s="36"/>
      <c r="T811" s="36"/>
      <c r="U811" s="36"/>
      <c r="V811" s="36"/>
      <c r="W811" s="36"/>
      <c r="X811" s="36"/>
      <c r="Y811" s="36"/>
      <c r="Z811" s="36"/>
      <c r="AA811" s="36"/>
      <c r="AB811" s="36"/>
      <c r="AC811" s="36"/>
    </row>
    <row r="812" spans="1:29" ht="48" customHeight="1">
      <c r="A812" s="81"/>
      <c r="B812" s="81"/>
      <c r="C812" s="81"/>
      <c r="D812" s="81"/>
      <c r="E812" s="80"/>
      <c r="F812" s="80"/>
      <c r="G812" s="80"/>
      <c r="H812" s="94"/>
      <c r="I812" s="81"/>
      <c r="J812" s="35"/>
      <c r="K812" s="36"/>
      <c r="L812" s="36"/>
      <c r="M812" s="36"/>
      <c r="N812" s="36"/>
      <c r="O812" s="36"/>
      <c r="P812" s="36"/>
      <c r="Q812" s="36"/>
      <c r="R812" s="36"/>
      <c r="S812" s="36"/>
      <c r="T812" s="36"/>
      <c r="U812" s="36"/>
      <c r="V812" s="36"/>
      <c r="W812" s="36"/>
      <c r="X812" s="36"/>
      <c r="Y812" s="36"/>
      <c r="Z812" s="36"/>
      <c r="AA812" s="36"/>
      <c r="AB812" s="36"/>
      <c r="AC812" s="36"/>
    </row>
    <row r="813" spans="1:29" ht="48" customHeight="1">
      <c r="A813" s="81"/>
      <c r="B813" s="94"/>
      <c r="C813" s="81"/>
      <c r="D813" s="81"/>
      <c r="E813" s="80"/>
      <c r="F813" s="80"/>
      <c r="G813" s="80"/>
      <c r="H813" s="94"/>
      <c r="I813" s="81"/>
      <c r="J813" s="35"/>
      <c r="K813" s="36"/>
      <c r="L813" s="36"/>
      <c r="M813" s="36"/>
      <c r="N813" s="36"/>
      <c r="O813" s="36"/>
      <c r="P813" s="36"/>
      <c r="Q813" s="36"/>
      <c r="R813" s="36"/>
      <c r="S813" s="36"/>
      <c r="T813" s="36"/>
      <c r="U813" s="36"/>
      <c r="V813" s="36"/>
      <c r="W813" s="36"/>
      <c r="X813" s="36"/>
      <c r="Y813" s="36"/>
      <c r="Z813" s="36"/>
      <c r="AA813" s="36"/>
      <c r="AB813" s="36"/>
      <c r="AC813" s="36"/>
    </row>
    <row r="814" spans="1:29" ht="24" customHeight="1">
      <c r="A814" s="81"/>
      <c r="B814" s="94"/>
      <c r="C814" s="81"/>
      <c r="D814" s="81"/>
      <c r="E814" s="80"/>
      <c r="F814" s="80"/>
      <c r="G814" s="80"/>
      <c r="H814" s="94"/>
      <c r="I814" s="81"/>
      <c r="J814" s="35"/>
      <c r="K814" s="36"/>
      <c r="L814" s="36"/>
      <c r="M814" s="36"/>
      <c r="N814" s="36"/>
      <c r="O814" s="36"/>
      <c r="P814" s="36"/>
      <c r="Q814" s="36"/>
      <c r="R814" s="36"/>
      <c r="S814" s="36"/>
      <c r="T814" s="36"/>
      <c r="U814" s="36"/>
      <c r="V814" s="36"/>
      <c r="W814" s="36"/>
      <c r="X814" s="36"/>
      <c r="Y814" s="36"/>
      <c r="Z814" s="36"/>
      <c r="AA814" s="36"/>
      <c r="AB814" s="36"/>
      <c r="AC814" s="36"/>
    </row>
    <row r="815" spans="1:29" ht="36" customHeight="1">
      <c r="A815" s="81"/>
      <c r="B815" s="81"/>
      <c r="C815" s="81"/>
      <c r="D815" s="81"/>
      <c r="E815" s="80"/>
      <c r="F815" s="80"/>
      <c r="G815" s="80"/>
      <c r="H815" s="94"/>
      <c r="I815" s="81"/>
      <c r="J815" s="35"/>
      <c r="K815" s="36"/>
      <c r="L815" s="36"/>
      <c r="M815" s="36"/>
      <c r="N815" s="36"/>
      <c r="O815" s="36"/>
      <c r="P815" s="36"/>
      <c r="Q815" s="36"/>
      <c r="R815" s="36"/>
      <c r="S815" s="36"/>
      <c r="T815" s="36"/>
      <c r="U815" s="36"/>
      <c r="V815" s="36"/>
      <c r="W815" s="36"/>
      <c r="X815" s="36"/>
      <c r="Y815" s="36"/>
      <c r="Z815" s="36"/>
      <c r="AA815" s="36"/>
      <c r="AB815" s="36"/>
      <c r="AC815" s="36"/>
    </row>
    <row r="816" spans="1:29" ht="24" customHeight="1">
      <c r="A816" s="81"/>
      <c r="B816" s="81"/>
      <c r="C816" s="81"/>
      <c r="D816" s="81"/>
      <c r="E816" s="80"/>
      <c r="F816" s="80"/>
      <c r="G816" s="80"/>
      <c r="H816" s="94"/>
      <c r="I816" s="81"/>
      <c r="J816" s="35"/>
      <c r="K816" s="36"/>
      <c r="L816" s="36"/>
      <c r="M816" s="36"/>
      <c r="N816" s="36"/>
      <c r="O816" s="36"/>
      <c r="P816" s="36"/>
      <c r="Q816" s="36"/>
      <c r="R816" s="36"/>
      <c r="S816" s="36"/>
      <c r="T816" s="36"/>
      <c r="U816" s="36"/>
      <c r="V816" s="36"/>
      <c r="W816" s="36"/>
      <c r="X816" s="36"/>
      <c r="Y816" s="36"/>
      <c r="Z816" s="36"/>
      <c r="AA816" s="36"/>
      <c r="AB816" s="36"/>
      <c r="AC816" s="36"/>
    </row>
    <row r="817" spans="1:29" ht="24" customHeight="1">
      <c r="A817" s="81"/>
      <c r="B817" s="81"/>
      <c r="C817" s="81"/>
      <c r="D817" s="81"/>
      <c r="E817" s="80"/>
      <c r="F817" s="80"/>
      <c r="G817" s="80"/>
      <c r="H817" s="94"/>
      <c r="I817" s="81"/>
      <c r="J817" s="35"/>
      <c r="K817" s="36"/>
      <c r="L817" s="36"/>
      <c r="M817" s="36"/>
      <c r="N817" s="36"/>
      <c r="O817" s="36"/>
      <c r="P817" s="36"/>
      <c r="Q817" s="36"/>
      <c r="R817" s="36"/>
      <c r="S817" s="36"/>
      <c r="T817" s="36"/>
      <c r="U817" s="36"/>
      <c r="V817" s="36"/>
      <c r="W817" s="36"/>
      <c r="X817" s="36"/>
      <c r="Y817" s="36"/>
      <c r="Z817" s="36"/>
      <c r="AA817" s="36"/>
      <c r="AB817" s="36"/>
      <c r="AC817" s="36"/>
    </row>
    <row r="818" spans="1:29" ht="24" customHeight="1">
      <c r="A818" s="81"/>
      <c r="B818" s="81"/>
      <c r="C818" s="81"/>
      <c r="D818" s="81"/>
      <c r="E818" s="80"/>
      <c r="F818" s="80"/>
      <c r="G818" s="80"/>
      <c r="H818" s="94"/>
      <c r="I818" s="81"/>
      <c r="J818" s="35"/>
      <c r="K818" s="36"/>
      <c r="L818" s="36"/>
      <c r="M818" s="36"/>
      <c r="N818" s="36"/>
      <c r="O818" s="36"/>
      <c r="P818" s="36"/>
      <c r="Q818" s="36"/>
      <c r="R818" s="36"/>
      <c r="S818" s="36"/>
      <c r="T818" s="36"/>
      <c r="U818" s="36"/>
      <c r="V818" s="36"/>
      <c r="W818" s="36"/>
      <c r="X818" s="36"/>
      <c r="Y818" s="36"/>
      <c r="Z818" s="36"/>
      <c r="AA818" s="36"/>
      <c r="AB818" s="36"/>
      <c r="AC818" s="36"/>
    </row>
    <row r="819" spans="1:29" ht="36" customHeight="1">
      <c r="A819" s="81"/>
      <c r="B819" s="81"/>
      <c r="C819" s="81"/>
      <c r="D819" s="81"/>
      <c r="E819" s="80"/>
      <c r="F819" s="80"/>
      <c r="G819" s="80"/>
      <c r="H819" s="94"/>
      <c r="I819" s="81"/>
      <c r="J819" s="35"/>
      <c r="K819" s="36"/>
      <c r="L819" s="36"/>
      <c r="M819" s="36"/>
      <c r="N819" s="36"/>
      <c r="O819" s="36"/>
      <c r="P819" s="36"/>
      <c r="Q819" s="36"/>
      <c r="R819" s="36"/>
      <c r="S819" s="36"/>
      <c r="T819" s="36"/>
      <c r="U819" s="36"/>
      <c r="V819" s="36"/>
      <c r="W819" s="36"/>
      <c r="X819" s="36"/>
      <c r="Y819" s="36"/>
      <c r="Z819" s="36"/>
      <c r="AA819" s="36"/>
      <c r="AB819" s="36"/>
      <c r="AC819" s="36"/>
    </row>
    <row r="820" spans="1:29" ht="48" customHeight="1">
      <c r="A820" s="81"/>
      <c r="B820" s="81"/>
      <c r="C820" s="81"/>
      <c r="D820" s="81"/>
      <c r="E820" s="80"/>
      <c r="F820" s="80"/>
      <c r="G820" s="80"/>
      <c r="H820" s="94"/>
      <c r="I820" s="81"/>
      <c r="J820" s="35"/>
      <c r="K820" s="36"/>
      <c r="L820" s="36"/>
      <c r="M820" s="36"/>
      <c r="N820" s="36"/>
      <c r="O820" s="36"/>
      <c r="P820" s="36"/>
      <c r="Q820" s="36"/>
      <c r="R820" s="36"/>
      <c r="S820" s="36"/>
      <c r="T820" s="36"/>
      <c r="U820" s="36"/>
      <c r="V820" s="36"/>
      <c r="W820" s="36"/>
      <c r="X820" s="36"/>
      <c r="Y820" s="36"/>
      <c r="Z820" s="36"/>
      <c r="AA820" s="36"/>
      <c r="AB820" s="36"/>
      <c r="AC820" s="36"/>
    </row>
    <row r="821" spans="1:29" ht="24" customHeight="1">
      <c r="A821" s="81"/>
      <c r="B821" s="81"/>
      <c r="C821" s="81"/>
      <c r="D821" s="81"/>
      <c r="E821" s="80"/>
      <c r="F821" s="80"/>
      <c r="G821" s="80"/>
      <c r="H821" s="94"/>
      <c r="I821" s="81"/>
      <c r="J821" s="35"/>
      <c r="K821" s="36"/>
      <c r="L821" s="36"/>
      <c r="M821" s="36"/>
      <c r="N821" s="36"/>
      <c r="O821" s="36"/>
      <c r="P821" s="36"/>
      <c r="Q821" s="36"/>
      <c r="R821" s="36"/>
      <c r="S821" s="36"/>
      <c r="T821" s="36"/>
      <c r="U821" s="36"/>
      <c r="V821" s="36"/>
      <c r="W821" s="36"/>
      <c r="X821" s="36"/>
      <c r="Y821" s="36"/>
      <c r="Z821" s="36"/>
      <c r="AA821" s="36"/>
      <c r="AB821" s="36"/>
      <c r="AC821" s="36"/>
    </row>
    <row r="822" spans="1:29" ht="36" customHeight="1">
      <c r="A822" s="81"/>
      <c r="B822" s="81"/>
      <c r="C822" s="81"/>
      <c r="D822" s="81"/>
      <c r="E822" s="80"/>
      <c r="F822" s="80"/>
      <c r="G822" s="80"/>
      <c r="H822" s="94"/>
      <c r="I822" s="81"/>
      <c r="J822" s="35"/>
      <c r="K822" s="36"/>
      <c r="L822" s="36"/>
      <c r="M822" s="36"/>
      <c r="N822" s="36"/>
      <c r="O822" s="36"/>
      <c r="P822" s="36"/>
      <c r="Q822" s="36"/>
      <c r="R822" s="36"/>
      <c r="S822" s="36"/>
      <c r="T822" s="36"/>
      <c r="U822" s="36"/>
      <c r="V822" s="36"/>
      <c r="W822" s="36"/>
      <c r="X822" s="36"/>
      <c r="Y822" s="36"/>
      <c r="Z822" s="36"/>
      <c r="AA822" s="36"/>
      <c r="AB822" s="36"/>
      <c r="AC822" s="36"/>
    </row>
    <row r="823" spans="1:29" ht="48" customHeight="1">
      <c r="A823" s="81"/>
      <c r="B823" s="81"/>
      <c r="C823" s="81"/>
      <c r="D823" s="81"/>
      <c r="E823" s="80"/>
      <c r="F823" s="80"/>
      <c r="G823" s="80"/>
      <c r="H823" s="94"/>
      <c r="I823" s="81"/>
      <c r="J823" s="35"/>
      <c r="K823" s="36"/>
      <c r="L823" s="36"/>
      <c r="M823" s="36"/>
      <c r="N823" s="36"/>
      <c r="O823" s="36"/>
      <c r="P823" s="36"/>
      <c r="Q823" s="36"/>
      <c r="R823" s="36"/>
      <c r="S823" s="36"/>
      <c r="T823" s="36"/>
      <c r="U823" s="36"/>
      <c r="V823" s="36"/>
      <c r="W823" s="36"/>
      <c r="X823" s="36"/>
      <c r="Y823" s="36"/>
      <c r="Z823" s="36"/>
      <c r="AA823" s="36"/>
      <c r="AB823" s="36"/>
      <c r="AC823" s="36"/>
    </row>
    <row r="824" spans="1:29" ht="36" customHeight="1">
      <c r="A824" s="81"/>
      <c r="B824" s="81"/>
      <c r="C824" s="81"/>
      <c r="D824" s="81"/>
      <c r="E824" s="80"/>
      <c r="F824" s="80"/>
      <c r="G824" s="80"/>
      <c r="H824" s="94"/>
      <c r="I824" s="81"/>
      <c r="J824" s="35"/>
      <c r="K824" s="36"/>
      <c r="L824" s="36"/>
      <c r="M824" s="36"/>
      <c r="N824" s="36"/>
      <c r="O824" s="36"/>
      <c r="P824" s="36"/>
      <c r="Q824" s="36"/>
      <c r="R824" s="36"/>
      <c r="S824" s="36"/>
      <c r="T824" s="36"/>
      <c r="U824" s="36"/>
      <c r="V824" s="36"/>
      <c r="W824" s="36"/>
      <c r="X824" s="36"/>
      <c r="Y824" s="36"/>
      <c r="Z824" s="36"/>
      <c r="AA824" s="36"/>
      <c r="AB824" s="36"/>
      <c r="AC824" s="36"/>
    </row>
    <row r="825" spans="1:29" ht="24" customHeight="1">
      <c r="A825" s="81"/>
      <c r="B825" s="81"/>
      <c r="C825" s="81"/>
      <c r="D825" s="81"/>
      <c r="E825" s="80"/>
      <c r="F825" s="80"/>
      <c r="G825" s="80"/>
      <c r="H825" s="94"/>
      <c r="I825" s="81"/>
      <c r="J825" s="35"/>
      <c r="K825" s="36"/>
      <c r="L825" s="36"/>
      <c r="M825" s="36"/>
      <c r="N825" s="36"/>
      <c r="O825" s="36"/>
      <c r="P825" s="36"/>
      <c r="Q825" s="36"/>
      <c r="R825" s="36"/>
      <c r="S825" s="36"/>
      <c r="T825" s="36"/>
      <c r="U825" s="36"/>
      <c r="V825" s="36"/>
      <c r="W825" s="36"/>
      <c r="X825" s="36"/>
      <c r="Y825" s="36"/>
      <c r="Z825" s="36"/>
      <c r="AA825" s="36"/>
      <c r="AB825" s="36"/>
      <c r="AC825" s="36"/>
    </row>
    <row r="826" spans="1:29" ht="24" customHeight="1">
      <c r="A826" s="81"/>
      <c r="B826" s="81"/>
      <c r="C826" s="81"/>
      <c r="D826" s="81"/>
      <c r="E826" s="80"/>
      <c r="F826" s="80"/>
      <c r="G826" s="80"/>
      <c r="H826" s="94"/>
      <c r="I826" s="81"/>
      <c r="J826" s="35"/>
      <c r="K826" s="36"/>
      <c r="L826" s="36"/>
      <c r="M826" s="36"/>
      <c r="N826" s="36"/>
      <c r="O826" s="36"/>
      <c r="P826" s="36"/>
      <c r="Q826" s="36"/>
      <c r="R826" s="36"/>
      <c r="S826" s="36"/>
      <c r="T826" s="36"/>
      <c r="U826" s="36"/>
      <c r="V826" s="36"/>
      <c r="W826" s="36"/>
      <c r="X826" s="36"/>
      <c r="Y826" s="36"/>
      <c r="Z826" s="36"/>
      <c r="AA826" s="36"/>
      <c r="AB826" s="36"/>
      <c r="AC826" s="36"/>
    </row>
    <row r="827" spans="1:29" ht="36" customHeight="1">
      <c r="A827" s="81"/>
      <c r="B827" s="81"/>
      <c r="C827" s="81"/>
      <c r="D827" s="81"/>
      <c r="E827" s="80"/>
      <c r="F827" s="80"/>
      <c r="G827" s="80"/>
      <c r="H827" s="94"/>
      <c r="I827" s="81"/>
      <c r="J827" s="35"/>
      <c r="K827" s="36"/>
      <c r="L827" s="36"/>
      <c r="M827" s="36"/>
      <c r="N827" s="36"/>
      <c r="O827" s="36"/>
      <c r="P827" s="36"/>
      <c r="Q827" s="36"/>
      <c r="R827" s="36"/>
      <c r="S827" s="36"/>
      <c r="T827" s="36"/>
      <c r="U827" s="36"/>
      <c r="V827" s="36"/>
      <c r="W827" s="36"/>
      <c r="X827" s="36"/>
      <c r="Y827" s="36"/>
      <c r="Z827" s="36"/>
      <c r="AA827" s="36"/>
      <c r="AB827" s="36"/>
      <c r="AC827" s="36"/>
    </row>
    <row r="828" spans="1:29" ht="24" customHeight="1">
      <c r="A828" s="81"/>
      <c r="B828" s="81"/>
      <c r="C828" s="81"/>
      <c r="D828" s="81"/>
      <c r="E828" s="80"/>
      <c r="F828" s="80"/>
      <c r="G828" s="80"/>
      <c r="H828" s="94"/>
      <c r="I828" s="81"/>
      <c r="J828" s="35"/>
      <c r="K828" s="36"/>
      <c r="L828" s="36"/>
      <c r="M828" s="36"/>
      <c r="N828" s="36"/>
      <c r="O828" s="36"/>
      <c r="P828" s="36"/>
      <c r="Q828" s="36"/>
      <c r="R828" s="36"/>
      <c r="S828" s="36"/>
      <c r="T828" s="36"/>
      <c r="U828" s="36"/>
      <c r="V828" s="36"/>
      <c r="W828" s="36"/>
      <c r="X828" s="36"/>
      <c r="Y828" s="36"/>
      <c r="Z828" s="36"/>
      <c r="AA828" s="36"/>
      <c r="AB828" s="36"/>
      <c r="AC828" s="36"/>
    </row>
    <row r="829" spans="1:29" ht="24" customHeight="1">
      <c r="A829" s="81"/>
      <c r="B829" s="81"/>
      <c r="C829" s="81"/>
      <c r="D829" s="81"/>
      <c r="E829" s="80"/>
      <c r="F829" s="80"/>
      <c r="G829" s="80"/>
      <c r="H829" s="94"/>
      <c r="I829" s="81"/>
      <c r="J829" s="35"/>
      <c r="K829" s="36"/>
      <c r="L829" s="36"/>
      <c r="M829" s="36"/>
      <c r="N829" s="36"/>
      <c r="O829" s="36"/>
      <c r="P829" s="36"/>
      <c r="Q829" s="36"/>
      <c r="R829" s="36"/>
      <c r="S829" s="36"/>
      <c r="T829" s="36"/>
      <c r="U829" s="36"/>
      <c r="V829" s="36"/>
      <c r="W829" s="36"/>
      <c r="X829" s="36"/>
      <c r="Y829" s="36"/>
      <c r="Z829" s="36"/>
      <c r="AA829" s="36"/>
      <c r="AB829" s="36"/>
      <c r="AC829" s="36"/>
    </row>
    <row r="830" spans="1:29" ht="24" customHeight="1">
      <c r="A830" s="81"/>
      <c r="B830" s="81"/>
      <c r="C830" s="81"/>
      <c r="D830" s="81"/>
      <c r="E830" s="80"/>
      <c r="F830" s="80"/>
      <c r="G830" s="80"/>
      <c r="H830" s="94"/>
      <c r="I830" s="81"/>
      <c r="J830" s="35"/>
      <c r="K830" s="36"/>
      <c r="L830" s="36"/>
      <c r="M830" s="36"/>
      <c r="N830" s="36"/>
      <c r="O830" s="36"/>
      <c r="P830" s="36"/>
      <c r="Q830" s="36"/>
      <c r="R830" s="36"/>
      <c r="S830" s="36"/>
      <c r="T830" s="36"/>
      <c r="U830" s="36"/>
      <c r="V830" s="36"/>
      <c r="W830" s="36"/>
      <c r="X830" s="36"/>
      <c r="Y830" s="36"/>
      <c r="Z830" s="36"/>
      <c r="AA830" s="36"/>
      <c r="AB830" s="36"/>
      <c r="AC830" s="36"/>
    </row>
    <row r="831" spans="1:29" ht="24" customHeight="1">
      <c r="A831" s="81"/>
      <c r="B831" s="81"/>
      <c r="C831" s="81"/>
      <c r="D831" s="81"/>
      <c r="E831" s="80"/>
      <c r="F831" s="80"/>
      <c r="G831" s="80"/>
      <c r="H831" s="94"/>
      <c r="I831" s="81"/>
      <c r="J831" s="35"/>
      <c r="K831" s="36"/>
      <c r="L831" s="36"/>
      <c r="M831" s="36"/>
      <c r="N831" s="36"/>
      <c r="O831" s="36"/>
      <c r="P831" s="36"/>
      <c r="Q831" s="36"/>
      <c r="R831" s="36"/>
      <c r="S831" s="36"/>
      <c r="T831" s="36"/>
      <c r="U831" s="36"/>
      <c r="V831" s="36"/>
      <c r="W831" s="36"/>
      <c r="X831" s="36"/>
      <c r="Y831" s="36"/>
      <c r="Z831" s="36"/>
      <c r="AA831" s="36"/>
      <c r="AB831" s="36"/>
      <c r="AC831" s="36"/>
    </row>
    <row r="832" spans="1:29" ht="24" customHeight="1">
      <c r="A832" s="81"/>
      <c r="B832" s="81"/>
      <c r="C832" s="81"/>
      <c r="D832" s="81"/>
      <c r="E832" s="80"/>
      <c r="F832" s="80"/>
      <c r="G832" s="80"/>
      <c r="H832" s="94"/>
      <c r="I832" s="81"/>
      <c r="J832" s="35"/>
      <c r="K832" s="36"/>
      <c r="L832" s="36"/>
      <c r="M832" s="36"/>
      <c r="N832" s="36"/>
      <c r="O832" s="36"/>
      <c r="P832" s="36"/>
      <c r="Q832" s="36"/>
      <c r="R832" s="36"/>
      <c r="S832" s="36"/>
      <c r="T832" s="36"/>
      <c r="U832" s="36"/>
      <c r="V832" s="36"/>
      <c r="W832" s="36"/>
      <c r="X832" s="36"/>
      <c r="Y832" s="36"/>
      <c r="Z832" s="36"/>
      <c r="AA832" s="36"/>
      <c r="AB832" s="36"/>
      <c r="AC832" s="36"/>
    </row>
    <row r="833" spans="1:29" ht="24" customHeight="1">
      <c r="A833" s="81"/>
      <c r="B833" s="81"/>
      <c r="C833" s="81"/>
      <c r="D833" s="81"/>
      <c r="E833" s="80"/>
      <c r="F833" s="80"/>
      <c r="G833" s="80"/>
      <c r="H833" s="94"/>
      <c r="I833" s="81"/>
      <c r="J833" s="35"/>
      <c r="K833" s="36"/>
      <c r="L833" s="36"/>
      <c r="M833" s="36"/>
      <c r="N833" s="36"/>
      <c r="O833" s="36"/>
      <c r="P833" s="36"/>
      <c r="Q833" s="36"/>
      <c r="R833" s="36"/>
      <c r="S833" s="36"/>
      <c r="T833" s="36"/>
      <c r="U833" s="36"/>
      <c r="V833" s="36"/>
      <c r="W833" s="36"/>
      <c r="X833" s="36"/>
      <c r="Y833" s="36"/>
      <c r="Z833" s="36"/>
      <c r="AA833" s="36"/>
      <c r="AB833" s="36"/>
      <c r="AC833" s="36"/>
    </row>
    <row r="834" spans="1:29" ht="24" customHeight="1">
      <c r="A834" s="81"/>
      <c r="B834" s="81"/>
      <c r="C834" s="81"/>
      <c r="D834" s="81"/>
      <c r="E834" s="80"/>
      <c r="F834" s="80"/>
      <c r="G834" s="80"/>
      <c r="H834" s="94"/>
      <c r="I834" s="81"/>
      <c r="J834" s="35"/>
      <c r="K834" s="36"/>
      <c r="L834" s="36"/>
      <c r="M834" s="36"/>
      <c r="N834" s="36"/>
      <c r="O834" s="36"/>
      <c r="P834" s="36"/>
      <c r="Q834" s="36"/>
      <c r="R834" s="36"/>
      <c r="S834" s="36"/>
      <c r="T834" s="36"/>
      <c r="U834" s="36"/>
      <c r="V834" s="36"/>
      <c r="W834" s="36"/>
      <c r="X834" s="36"/>
      <c r="Y834" s="36"/>
      <c r="Z834" s="36"/>
      <c r="AA834" s="36"/>
      <c r="AB834" s="36"/>
      <c r="AC834" s="36"/>
    </row>
    <row r="835" spans="1:29" ht="36" customHeight="1">
      <c r="A835" s="81"/>
      <c r="B835" s="81"/>
      <c r="C835" s="81"/>
      <c r="D835" s="81"/>
      <c r="E835" s="80"/>
      <c r="F835" s="80"/>
      <c r="G835" s="80"/>
      <c r="H835" s="94"/>
      <c r="I835" s="81"/>
      <c r="J835" s="35"/>
      <c r="K835" s="36"/>
      <c r="L835" s="36"/>
      <c r="M835" s="36"/>
      <c r="N835" s="36"/>
      <c r="O835" s="36"/>
      <c r="P835" s="36"/>
      <c r="Q835" s="36"/>
      <c r="R835" s="36"/>
      <c r="S835" s="36"/>
      <c r="T835" s="36"/>
      <c r="U835" s="36"/>
      <c r="V835" s="36"/>
      <c r="W835" s="36"/>
      <c r="X835" s="36"/>
      <c r="Y835" s="36"/>
      <c r="Z835" s="36"/>
      <c r="AA835" s="36"/>
      <c r="AB835" s="36"/>
      <c r="AC835" s="36"/>
    </row>
    <row r="836" spans="1:29" ht="24" customHeight="1">
      <c r="A836" s="81"/>
      <c r="B836" s="81"/>
      <c r="C836" s="81"/>
      <c r="D836" s="81"/>
      <c r="E836" s="80"/>
      <c r="F836" s="80"/>
      <c r="G836" s="80"/>
      <c r="H836" s="94"/>
      <c r="I836" s="81"/>
      <c r="J836" s="35"/>
      <c r="K836" s="36"/>
      <c r="L836" s="36"/>
      <c r="M836" s="36"/>
      <c r="N836" s="36"/>
      <c r="O836" s="36"/>
      <c r="P836" s="36"/>
      <c r="Q836" s="36"/>
      <c r="R836" s="36"/>
      <c r="S836" s="36"/>
      <c r="T836" s="36"/>
      <c r="U836" s="36"/>
      <c r="V836" s="36"/>
      <c r="W836" s="36"/>
      <c r="X836" s="36"/>
      <c r="Y836" s="36"/>
      <c r="Z836" s="36"/>
      <c r="AA836" s="36"/>
      <c r="AB836" s="36"/>
      <c r="AC836" s="36"/>
    </row>
    <row r="837" spans="1:29" ht="24" customHeight="1">
      <c r="A837" s="81"/>
      <c r="B837" s="81"/>
      <c r="C837" s="81"/>
      <c r="D837" s="81"/>
      <c r="E837" s="80"/>
      <c r="F837" s="80"/>
      <c r="G837" s="80"/>
      <c r="H837" s="94"/>
      <c r="I837" s="81"/>
      <c r="J837" s="35"/>
      <c r="K837" s="36"/>
      <c r="L837" s="36"/>
      <c r="M837" s="36"/>
      <c r="N837" s="36"/>
      <c r="O837" s="36"/>
      <c r="P837" s="36"/>
      <c r="Q837" s="36"/>
      <c r="R837" s="36"/>
      <c r="S837" s="36"/>
      <c r="T837" s="36"/>
      <c r="U837" s="36"/>
      <c r="V837" s="36"/>
      <c r="W837" s="36"/>
      <c r="X837" s="36"/>
      <c r="Y837" s="36"/>
      <c r="Z837" s="36"/>
      <c r="AA837" s="36"/>
      <c r="AB837" s="36"/>
      <c r="AC837" s="36"/>
    </row>
    <row r="838" spans="1:29" ht="24" customHeight="1">
      <c r="A838" s="81"/>
      <c r="B838" s="81"/>
      <c r="C838" s="81"/>
      <c r="D838" s="81"/>
      <c r="E838" s="80"/>
      <c r="F838" s="80"/>
      <c r="G838" s="80"/>
      <c r="H838" s="94"/>
      <c r="I838" s="81"/>
      <c r="J838" s="35"/>
      <c r="K838" s="36"/>
      <c r="L838" s="36"/>
      <c r="M838" s="36"/>
      <c r="N838" s="36"/>
      <c r="O838" s="36"/>
      <c r="P838" s="36"/>
      <c r="Q838" s="36"/>
      <c r="R838" s="36"/>
      <c r="S838" s="36"/>
      <c r="T838" s="36"/>
      <c r="U838" s="36"/>
      <c r="V838" s="36"/>
      <c r="W838" s="36"/>
      <c r="X838" s="36"/>
      <c r="Y838" s="36"/>
      <c r="Z838" s="36"/>
      <c r="AA838" s="36"/>
      <c r="AB838" s="36"/>
      <c r="AC838" s="36"/>
    </row>
    <row r="839" spans="1:29" ht="24" customHeight="1">
      <c r="A839" s="81"/>
      <c r="B839" s="81"/>
      <c r="C839" s="81"/>
      <c r="D839" s="81"/>
      <c r="E839" s="80"/>
      <c r="F839" s="80"/>
      <c r="G839" s="80"/>
      <c r="H839" s="94"/>
      <c r="I839" s="81"/>
      <c r="J839" s="35"/>
      <c r="K839" s="36"/>
      <c r="L839" s="36"/>
      <c r="M839" s="36"/>
      <c r="N839" s="36"/>
      <c r="O839" s="36"/>
      <c r="P839" s="36"/>
      <c r="Q839" s="36"/>
      <c r="R839" s="36"/>
      <c r="S839" s="36"/>
      <c r="T839" s="36"/>
      <c r="U839" s="36"/>
      <c r="V839" s="36"/>
      <c r="W839" s="36"/>
      <c r="X839" s="36"/>
      <c r="Y839" s="36"/>
      <c r="Z839" s="36"/>
      <c r="AA839" s="36"/>
      <c r="AB839" s="36"/>
      <c r="AC839" s="36"/>
    </row>
    <row r="840" spans="1:29" ht="48" customHeight="1">
      <c r="A840" s="81"/>
      <c r="B840" s="81"/>
      <c r="C840" s="81"/>
      <c r="D840" s="81"/>
      <c r="E840" s="80"/>
      <c r="F840" s="80"/>
      <c r="G840" s="80"/>
      <c r="H840" s="94"/>
      <c r="I840" s="81"/>
      <c r="J840" s="35"/>
      <c r="K840" s="36"/>
      <c r="L840" s="36"/>
      <c r="M840" s="36"/>
      <c r="N840" s="36"/>
      <c r="O840" s="36"/>
      <c r="P840" s="36"/>
      <c r="Q840" s="36"/>
      <c r="R840" s="36"/>
      <c r="S840" s="36"/>
      <c r="T840" s="36"/>
      <c r="U840" s="36"/>
      <c r="V840" s="36"/>
      <c r="W840" s="36"/>
      <c r="X840" s="36"/>
      <c r="Y840" s="36"/>
      <c r="Z840" s="36"/>
      <c r="AA840" s="36"/>
      <c r="AB840" s="36"/>
      <c r="AC840" s="36"/>
    </row>
    <row r="841" spans="1:29" ht="36" customHeight="1">
      <c r="A841" s="81"/>
      <c r="B841" s="81"/>
      <c r="C841" s="81"/>
      <c r="D841" s="81"/>
      <c r="E841" s="80"/>
      <c r="F841" s="80"/>
      <c r="G841" s="80"/>
      <c r="H841" s="94"/>
      <c r="I841" s="81"/>
      <c r="J841" s="35"/>
      <c r="K841" s="36"/>
      <c r="L841" s="36"/>
      <c r="M841" s="36"/>
      <c r="N841" s="36"/>
      <c r="O841" s="36"/>
      <c r="P841" s="36"/>
      <c r="Q841" s="36"/>
      <c r="R841" s="36"/>
      <c r="S841" s="36"/>
      <c r="T841" s="36"/>
      <c r="U841" s="36"/>
      <c r="V841" s="36"/>
      <c r="W841" s="36"/>
      <c r="X841" s="36"/>
      <c r="Y841" s="36"/>
      <c r="Z841" s="36"/>
      <c r="AA841" s="36"/>
      <c r="AB841" s="36"/>
      <c r="AC841" s="36"/>
    </row>
    <row r="842" spans="1:29" ht="36" customHeight="1">
      <c r="A842" s="81"/>
      <c r="B842" s="94"/>
      <c r="C842" s="81"/>
      <c r="D842" s="81"/>
      <c r="E842" s="80"/>
      <c r="F842" s="80"/>
      <c r="G842" s="80"/>
      <c r="H842" s="94"/>
      <c r="I842" s="81"/>
      <c r="J842" s="35"/>
      <c r="K842" s="36"/>
      <c r="L842" s="36"/>
      <c r="M842" s="36"/>
      <c r="N842" s="36"/>
      <c r="O842" s="36"/>
      <c r="P842" s="36"/>
      <c r="Q842" s="36"/>
      <c r="R842" s="36"/>
      <c r="S842" s="36"/>
      <c r="T842" s="36"/>
      <c r="U842" s="36"/>
      <c r="V842" s="36"/>
      <c r="W842" s="36"/>
      <c r="X842" s="36"/>
      <c r="Y842" s="36"/>
      <c r="Z842" s="36"/>
      <c r="AA842" s="36"/>
      <c r="AB842" s="36"/>
      <c r="AC842" s="36"/>
    </row>
    <row r="843" spans="1:29" ht="24" customHeight="1">
      <c r="A843" s="81"/>
      <c r="B843" s="81"/>
      <c r="C843" s="81"/>
      <c r="D843" s="81"/>
      <c r="E843" s="80"/>
      <c r="F843" s="80"/>
      <c r="G843" s="80"/>
      <c r="H843" s="94"/>
      <c r="I843" s="81"/>
      <c r="J843" s="35"/>
      <c r="K843" s="36"/>
      <c r="L843" s="36"/>
      <c r="M843" s="36"/>
      <c r="N843" s="36"/>
      <c r="O843" s="36"/>
      <c r="P843" s="36"/>
      <c r="Q843" s="36"/>
      <c r="R843" s="36"/>
      <c r="S843" s="36"/>
      <c r="T843" s="36"/>
      <c r="U843" s="36"/>
      <c r="V843" s="36"/>
      <c r="W843" s="36"/>
      <c r="X843" s="36"/>
      <c r="Y843" s="36"/>
      <c r="Z843" s="36"/>
      <c r="AA843" s="36"/>
      <c r="AB843" s="36"/>
      <c r="AC843" s="36"/>
    </row>
    <row r="844" spans="1:29" ht="24" customHeight="1">
      <c r="A844" s="81"/>
      <c r="B844" s="81"/>
      <c r="C844" s="81"/>
      <c r="D844" s="81"/>
      <c r="E844" s="80"/>
      <c r="F844" s="80"/>
      <c r="G844" s="80"/>
      <c r="H844" s="94"/>
      <c r="I844" s="81"/>
      <c r="J844" s="35"/>
      <c r="K844" s="36"/>
      <c r="L844" s="36"/>
      <c r="M844" s="36"/>
      <c r="N844" s="36"/>
      <c r="O844" s="36"/>
      <c r="P844" s="36"/>
      <c r="Q844" s="36"/>
      <c r="R844" s="36"/>
      <c r="S844" s="36"/>
      <c r="T844" s="36"/>
      <c r="U844" s="36"/>
      <c r="V844" s="36"/>
      <c r="W844" s="36"/>
      <c r="X844" s="36"/>
      <c r="Y844" s="36"/>
      <c r="Z844" s="36"/>
      <c r="AA844" s="36"/>
      <c r="AB844" s="36"/>
      <c r="AC844" s="36"/>
    </row>
    <row r="845" spans="1:29" ht="24" customHeight="1">
      <c r="A845" s="81"/>
      <c r="B845" s="81"/>
      <c r="C845" s="81"/>
      <c r="D845" s="81"/>
      <c r="E845" s="80"/>
      <c r="F845" s="80"/>
      <c r="G845" s="80"/>
      <c r="H845" s="94"/>
      <c r="I845" s="81"/>
      <c r="J845" s="35"/>
      <c r="K845" s="36"/>
      <c r="L845" s="36"/>
      <c r="M845" s="36"/>
      <c r="N845" s="36"/>
      <c r="O845" s="36"/>
      <c r="P845" s="36"/>
      <c r="Q845" s="36"/>
      <c r="R845" s="36"/>
      <c r="S845" s="36"/>
      <c r="T845" s="36"/>
      <c r="U845" s="36"/>
      <c r="V845" s="36"/>
      <c r="W845" s="36"/>
      <c r="X845" s="36"/>
      <c r="Y845" s="36"/>
      <c r="Z845" s="36"/>
      <c r="AA845" s="36"/>
      <c r="AB845" s="36"/>
      <c r="AC845" s="36"/>
    </row>
    <row r="846" spans="1:29" ht="24" customHeight="1">
      <c r="A846" s="81"/>
      <c r="B846" s="81"/>
      <c r="C846" s="81"/>
      <c r="D846" s="81"/>
      <c r="E846" s="80"/>
      <c r="F846" s="80"/>
      <c r="G846" s="80"/>
      <c r="H846" s="94"/>
      <c r="I846" s="81"/>
      <c r="J846" s="35"/>
      <c r="K846" s="36"/>
      <c r="L846" s="36"/>
      <c r="M846" s="36"/>
      <c r="N846" s="36"/>
      <c r="O846" s="36"/>
      <c r="P846" s="36"/>
      <c r="Q846" s="36"/>
      <c r="R846" s="36"/>
      <c r="S846" s="36"/>
      <c r="T846" s="36"/>
      <c r="U846" s="36"/>
      <c r="V846" s="36"/>
      <c r="W846" s="36"/>
      <c r="X846" s="36"/>
      <c r="Y846" s="36"/>
      <c r="Z846" s="36"/>
      <c r="AA846" s="36"/>
      <c r="AB846" s="36"/>
      <c r="AC846" s="36"/>
    </row>
    <row r="847" spans="1:29" ht="24" customHeight="1">
      <c r="A847" s="81"/>
      <c r="B847" s="81"/>
      <c r="C847" s="81"/>
      <c r="D847" s="81"/>
      <c r="E847" s="80"/>
      <c r="F847" s="80"/>
      <c r="G847" s="80"/>
      <c r="H847" s="94"/>
      <c r="I847" s="81"/>
      <c r="J847" s="35"/>
      <c r="K847" s="36"/>
      <c r="L847" s="36"/>
      <c r="M847" s="36"/>
      <c r="N847" s="36"/>
      <c r="O847" s="36"/>
      <c r="P847" s="36"/>
      <c r="Q847" s="36"/>
      <c r="R847" s="36"/>
      <c r="S847" s="36"/>
      <c r="T847" s="36"/>
      <c r="U847" s="36"/>
      <c r="V847" s="36"/>
      <c r="W847" s="36"/>
      <c r="X847" s="36"/>
      <c r="Y847" s="36"/>
      <c r="Z847" s="36"/>
      <c r="AA847" s="36"/>
      <c r="AB847" s="36"/>
      <c r="AC847" s="36"/>
    </row>
    <row r="848" spans="1:29" ht="48" customHeight="1">
      <c r="A848" s="81"/>
      <c r="B848" s="81"/>
      <c r="C848" s="81"/>
      <c r="D848" s="81"/>
      <c r="E848" s="80"/>
      <c r="F848" s="80"/>
      <c r="G848" s="80"/>
      <c r="H848" s="94"/>
      <c r="I848" s="81"/>
      <c r="J848" s="35"/>
      <c r="K848" s="36"/>
      <c r="L848" s="36"/>
      <c r="M848" s="36"/>
      <c r="N848" s="36"/>
      <c r="O848" s="36"/>
      <c r="P848" s="36"/>
      <c r="Q848" s="36"/>
      <c r="R848" s="36"/>
      <c r="S848" s="36"/>
      <c r="T848" s="36"/>
      <c r="U848" s="36"/>
      <c r="V848" s="36"/>
      <c r="W848" s="36"/>
      <c r="X848" s="36"/>
      <c r="Y848" s="36"/>
      <c r="Z848" s="36"/>
      <c r="AA848" s="36"/>
      <c r="AB848" s="36"/>
      <c r="AC848" s="36"/>
    </row>
    <row r="849" spans="1:29" ht="24" customHeight="1">
      <c r="A849" s="81"/>
      <c r="B849" s="81"/>
      <c r="C849" s="81"/>
      <c r="D849" s="81"/>
      <c r="E849" s="80"/>
      <c r="F849" s="80"/>
      <c r="G849" s="80"/>
      <c r="H849" s="94"/>
      <c r="I849" s="81"/>
      <c r="J849" s="35"/>
      <c r="K849" s="36"/>
      <c r="L849" s="36"/>
      <c r="M849" s="36"/>
      <c r="N849" s="36"/>
      <c r="O849" s="36"/>
      <c r="P849" s="36"/>
      <c r="Q849" s="36"/>
      <c r="R849" s="36"/>
      <c r="S849" s="36"/>
      <c r="T849" s="36"/>
      <c r="U849" s="36"/>
      <c r="V849" s="36"/>
      <c r="W849" s="36"/>
      <c r="X849" s="36"/>
      <c r="Y849" s="36"/>
      <c r="Z849" s="36"/>
      <c r="AA849" s="36"/>
      <c r="AB849" s="36"/>
      <c r="AC849" s="36"/>
    </row>
    <row r="850" spans="1:29" ht="36" customHeight="1">
      <c r="A850" s="81"/>
      <c r="B850" s="81"/>
      <c r="C850" s="81"/>
      <c r="D850" s="81"/>
      <c r="E850" s="80"/>
      <c r="F850" s="80"/>
      <c r="G850" s="80"/>
      <c r="H850" s="94"/>
      <c r="I850" s="81"/>
      <c r="J850" s="35"/>
      <c r="K850" s="36"/>
      <c r="L850" s="36"/>
      <c r="M850" s="36"/>
      <c r="N850" s="36"/>
      <c r="O850" s="36"/>
      <c r="P850" s="36"/>
      <c r="Q850" s="36"/>
      <c r="R850" s="36"/>
      <c r="S850" s="36"/>
      <c r="T850" s="36"/>
      <c r="U850" s="36"/>
      <c r="V850" s="36"/>
      <c r="W850" s="36"/>
      <c r="X850" s="36"/>
      <c r="Y850" s="36"/>
      <c r="Z850" s="36"/>
      <c r="AA850" s="36"/>
      <c r="AB850" s="36"/>
      <c r="AC850" s="36"/>
    </row>
    <row r="851" spans="1:29" ht="36" customHeight="1">
      <c r="A851" s="81"/>
      <c r="B851" s="81"/>
      <c r="C851" s="81"/>
      <c r="D851" s="81"/>
      <c r="E851" s="80"/>
      <c r="F851" s="80"/>
      <c r="G851" s="80"/>
      <c r="H851" s="94"/>
      <c r="I851" s="81"/>
      <c r="J851" s="35"/>
      <c r="K851" s="36"/>
      <c r="L851" s="36"/>
      <c r="M851" s="36"/>
      <c r="N851" s="36"/>
      <c r="O851" s="36"/>
      <c r="P851" s="36"/>
      <c r="Q851" s="36"/>
      <c r="R851" s="36"/>
      <c r="S851" s="36"/>
      <c r="T851" s="36"/>
      <c r="U851" s="36"/>
      <c r="V851" s="36"/>
      <c r="W851" s="36"/>
      <c r="X851" s="36"/>
      <c r="Y851" s="36"/>
      <c r="Z851" s="36"/>
      <c r="AA851" s="36"/>
      <c r="AB851" s="36"/>
      <c r="AC851" s="36"/>
    </row>
    <row r="852" spans="1:29" ht="36" customHeight="1">
      <c r="A852" s="81"/>
      <c r="B852" s="81"/>
      <c r="C852" s="81"/>
      <c r="D852" s="81"/>
      <c r="E852" s="80"/>
      <c r="F852" s="80"/>
      <c r="G852" s="80"/>
      <c r="H852" s="94"/>
      <c r="I852" s="81"/>
      <c r="J852" s="35"/>
      <c r="K852" s="36"/>
      <c r="L852" s="36"/>
      <c r="M852" s="36"/>
      <c r="N852" s="36"/>
      <c r="O852" s="36"/>
      <c r="P852" s="36"/>
      <c r="Q852" s="36"/>
      <c r="R852" s="36"/>
      <c r="S852" s="36"/>
      <c r="T852" s="36"/>
      <c r="U852" s="36"/>
      <c r="V852" s="36"/>
      <c r="W852" s="36"/>
      <c r="X852" s="36"/>
      <c r="Y852" s="36"/>
      <c r="Z852" s="36"/>
      <c r="AA852" s="36"/>
      <c r="AB852" s="36"/>
      <c r="AC852" s="36"/>
    </row>
    <row r="853" spans="1:29" ht="24" customHeight="1">
      <c r="A853" s="81"/>
      <c r="B853" s="81"/>
      <c r="C853" s="81"/>
      <c r="D853" s="81"/>
      <c r="E853" s="80"/>
      <c r="F853" s="80"/>
      <c r="G853" s="80"/>
      <c r="H853" s="94"/>
      <c r="I853" s="81"/>
      <c r="J853" s="35"/>
      <c r="K853" s="36"/>
      <c r="L853" s="36"/>
      <c r="M853" s="36"/>
      <c r="N853" s="36"/>
      <c r="O853" s="36"/>
      <c r="P853" s="36"/>
      <c r="Q853" s="36"/>
      <c r="R853" s="36"/>
      <c r="S853" s="36"/>
      <c r="T853" s="36"/>
      <c r="U853" s="36"/>
      <c r="V853" s="36"/>
      <c r="W853" s="36"/>
      <c r="X853" s="36"/>
      <c r="Y853" s="36"/>
      <c r="Z853" s="36"/>
      <c r="AA853" s="36"/>
      <c r="AB853" s="36"/>
      <c r="AC853" s="36"/>
    </row>
    <row r="854" spans="1:29" ht="24" customHeight="1">
      <c r="A854" s="81"/>
      <c r="B854" s="81"/>
      <c r="C854" s="81"/>
      <c r="D854" s="81"/>
      <c r="E854" s="80"/>
      <c r="F854" s="80"/>
      <c r="G854" s="80"/>
      <c r="H854" s="94"/>
      <c r="I854" s="81"/>
      <c r="J854" s="35"/>
      <c r="K854" s="36"/>
      <c r="L854" s="36"/>
      <c r="M854" s="36"/>
      <c r="N854" s="36"/>
      <c r="O854" s="36"/>
      <c r="P854" s="36"/>
      <c r="Q854" s="36"/>
      <c r="R854" s="36"/>
      <c r="S854" s="36"/>
      <c r="T854" s="36"/>
      <c r="U854" s="36"/>
      <c r="V854" s="36"/>
      <c r="W854" s="36"/>
      <c r="X854" s="36"/>
      <c r="Y854" s="36"/>
      <c r="Z854" s="36"/>
      <c r="AA854" s="36"/>
      <c r="AB854" s="36"/>
      <c r="AC854" s="36"/>
    </row>
    <row r="855" spans="1:29" ht="24" customHeight="1">
      <c r="A855" s="81"/>
      <c r="B855" s="81"/>
      <c r="C855" s="81"/>
      <c r="D855" s="81"/>
      <c r="E855" s="80"/>
      <c r="F855" s="80"/>
      <c r="G855" s="80"/>
      <c r="H855" s="94"/>
      <c r="I855" s="81"/>
      <c r="J855" s="35"/>
      <c r="K855" s="36"/>
      <c r="L855" s="36"/>
      <c r="M855" s="36"/>
      <c r="N855" s="36"/>
      <c r="O855" s="36"/>
      <c r="P855" s="36"/>
      <c r="Q855" s="36"/>
      <c r="R855" s="36"/>
      <c r="S855" s="36"/>
      <c r="T855" s="36"/>
      <c r="U855" s="36"/>
      <c r="V855" s="36"/>
      <c r="W855" s="36"/>
      <c r="X855" s="36"/>
      <c r="Y855" s="36"/>
      <c r="Z855" s="36"/>
      <c r="AA855" s="36"/>
      <c r="AB855" s="36"/>
      <c r="AC855" s="36"/>
    </row>
    <row r="856" spans="1:29" ht="84" customHeight="1">
      <c r="A856" s="81"/>
      <c r="B856" s="81"/>
      <c r="C856" s="81"/>
      <c r="D856" s="81"/>
      <c r="E856" s="80"/>
      <c r="F856" s="80"/>
      <c r="G856" s="80"/>
      <c r="H856" s="94"/>
      <c r="I856" s="81"/>
      <c r="J856" s="35"/>
      <c r="K856" s="36"/>
      <c r="L856" s="36"/>
      <c r="M856" s="36"/>
      <c r="N856" s="36"/>
      <c r="O856" s="36"/>
      <c r="P856" s="36"/>
      <c r="Q856" s="36"/>
      <c r="R856" s="36"/>
      <c r="S856" s="36"/>
      <c r="T856" s="36"/>
      <c r="U856" s="36"/>
      <c r="V856" s="36"/>
      <c r="W856" s="36"/>
      <c r="X856" s="36"/>
      <c r="Y856" s="36"/>
      <c r="Z856" s="36"/>
      <c r="AA856" s="36"/>
      <c r="AB856" s="36"/>
      <c r="AC856" s="36"/>
    </row>
    <row r="857" spans="1:29" ht="24" customHeight="1">
      <c r="A857" s="81"/>
      <c r="B857" s="81"/>
      <c r="C857" s="81"/>
      <c r="D857" s="81"/>
      <c r="E857" s="80"/>
      <c r="F857" s="80"/>
      <c r="G857" s="80"/>
      <c r="H857" s="94"/>
      <c r="I857" s="81"/>
      <c r="J857" s="35"/>
      <c r="K857" s="36"/>
      <c r="L857" s="36"/>
      <c r="M857" s="36"/>
      <c r="N857" s="36"/>
      <c r="O857" s="36"/>
      <c r="P857" s="36"/>
      <c r="Q857" s="36"/>
      <c r="R857" s="36"/>
      <c r="S857" s="36"/>
      <c r="T857" s="36"/>
      <c r="U857" s="36"/>
      <c r="V857" s="36"/>
      <c r="W857" s="36"/>
      <c r="X857" s="36"/>
      <c r="Y857" s="36"/>
      <c r="Z857" s="36"/>
      <c r="AA857" s="36"/>
      <c r="AB857" s="36"/>
      <c r="AC857" s="36"/>
    </row>
    <row r="858" spans="1:29" ht="60" customHeight="1">
      <c r="A858" s="81"/>
      <c r="B858" s="81"/>
      <c r="C858" s="81"/>
      <c r="D858" s="81"/>
      <c r="E858" s="80"/>
      <c r="F858" s="80"/>
      <c r="G858" s="80"/>
      <c r="H858" s="94"/>
      <c r="I858" s="81"/>
      <c r="J858" s="35"/>
      <c r="K858" s="36"/>
      <c r="L858" s="36"/>
      <c r="M858" s="36"/>
      <c r="N858" s="36"/>
      <c r="O858" s="36"/>
      <c r="P858" s="36"/>
      <c r="Q858" s="36"/>
      <c r="R858" s="36"/>
      <c r="S858" s="36"/>
      <c r="T858" s="36"/>
      <c r="U858" s="36"/>
      <c r="V858" s="36"/>
      <c r="W858" s="36"/>
      <c r="X858" s="36"/>
      <c r="Y858" s="36"/>
      <c r="Z858" s="36"/>
      <c r="AA858" s="36"/>
      <c r="AB858" s="36"/>
      <c r="AC858" s="36"/>
    </row>
    <row r="859" spans="1:29" ht="36" customHeight="1">
      <c r="A859" s="81"/>
      <c r="B859" s="81"/>
      <c r="C859" s="81"/>
      <c r="D859" s="81"/>
      <c r="E859" s="80"/>
      <c r="F859" s="80"/>
      <c r="G859" s="80"/>
      <c r="H859" s="94"/>
      <c r="I859" s="81"/>
      <c r="J859" s="35"/>
      <c r="K859" s="36"/>
      <c r="L859" s="36"/>
      <c r="M859" s="36"/>
      <c r="N859" s="36"/>
      <c r="O859" s="36"/>
      <c r="P859" s="36"/>
      <c r="Q859" s="36"/>
      <c r="R859" s="36"/>
      <c r="S859" s="36"/>
      <c r="T859" s="36"/>
      <c r="U859" s="36"/>
      <c r="V859" s="36"/>
      <c r="W859" s="36"/>
      <c r="X859" s="36"/>
      <c r="Y859" s="36"/>
      <c r="Z859" s="36"/>
      <c r="AA859" s="36"/>
      <c r="AB859" s="36"/>
      <c r="AC859" s="36"/>
    </row>
    <row r="860" spans="1:29" ht="36" customHeight="1">
      <c r="A860" s="81"/>
      <c r="B860" s="81"/>
      <c r="C860" s="81"/>
      <c r="D860" s="81"/>
      <c r="E860" s="80"/>
      <c r="F860" s="80"/>
      <c r="G860" s="80"/>
      <c r="H860" s="94"/>
      <c r="I860" s="81"/>
      <c r="J860" s="35"/>
      <c r="K860" s="36"/>
      <c r="L860" s="36"/>
      <c r="M860" s="36"/>
      <c r="N860" s="36"/>
      <c r="O860" s="36"/>
      <c r="P860" s="36"/>
      <c r="Q860" s="36"/>
      <c r="R860" s="36"/>
      <c r="S860" s="36"/>
      <c r="T860" s="36"/>
      <c r="U860" s="36"/>
      <c r="V860" s="36"/>
      <c r="W860" s="36"/>
      <c r="X860" s="36"/>
      <c r="Y860" s="36"/>
      <c r="Z860" s="36"/>
      <c r="AA860" s="36"/>
      <c r="AB860" s="36"/>
      <c r="AC860" s="36"/>
    </row>
    <row r="861" spans="1:29" ht="84" customHeight="1">
      <c r="A861" s="81"/>
      <c r="B861" s="94"/>
      <c r="C861" s="81"/>
      <c r="D861" s="81"/>
      <c r="E861" s="80"/>
      <c r="F861" s="80"/>
      <c r="G861" s="80"/>
      <c r="H861" s="94"/>
      <c r="I861" s="81"/>
      <c r="J861" s="35"/>
      <c r="K861" s="36"/>
      <c r="L861" s="36"/>
      <c r="M861" s="36"/>
      <c r="N861" s="36"/>
      <c r="O861" s="36"/>
      <c r="P861" s="36"/>
      <c r="Q861" s="36"/>
      <c r="R861" s="36"/>
      <c r="S861" s="36"/>
      <c r="T861" s="36"/>
      <c r="U861" s="36"/>
      <c r="V861" s="36"/>
      <c r="W861" s="36"/>
      <c r="X861" s="36"/>
      <c r="Y861" s="36"/>
      <c r="Z861" s="36"/>
      <c r="AA861" s="36"/>
      <c r="AB861" s="36"/>
      <c r="AC861" s="36"/>
    </row>
    <row r="862" spans="1:29" ht="48" customHeight="1">
      <c r="A862" s="81"/>
      <c r="B862" s="81"/>
      <c r="C862" s="81"/>
      <c r="D862" s="81"/>
      <c r="E862" s="80"/>
      <c r="F862" s="80"/>
      <c r="G862" s="80"/>
      <c r="H862" s="94"/>
      <c r="I862" s="81"/>
      <c r="J862" s="35"/>
      <c r="K862" s="36"/>
      <c r="L862" s="36"/>
      <c r="M862" s="36"/>
      <c r="N862" s="36"/>
      <c r="O862" s="36"/>
      <c r="P862" s="36"/>
      <c r="Q862" s="36"/>
      <c r="R862" s="36"/>
      <c r="S862" s="36"/>
      <c r="T862" s="36"/>
      <c r="U862" s="36"/>
      <c r="V862" s="36"/>
      <c r="W862" s="36"/>
      <c r="X862" s="36"/>
      <c r="Y862" s="36"/>
      <c r="Z862" s="36"/>
      <c r="AA862" s="36"/>
      <c r="AB862" s="36"/>
      <c r="AC862" s="36"/>
    </row>
    <row r="863" spans="1:29" ht="36" customHeight="1">
      <c r="A863" s="81"/>
      <c r="B863" s="81"/>
      <c r="C863" s="81"/>
      <c r="D863" s="81"/>
      <c r="E863" s="80"/>
      <c r="F863" s="80"/>
      <c r="G863" s="80"/>
      <c r="H863" s="94"/>
      <c r="I863" s="81"/>
      <c r="J863" s="35"/>
      <c r="K863" s="36"/>
      <c r="L863" s="36"/>
      <c r="M863" s="36"/>
      <c r="N863" s="36"/>
      <c r="O863" s="36"/>
      <c r="P863" s="36"/>
      <c r="Q863" s="36"/>
      <c r="R863" s="36"/>
      <c r="S863" s="36"/>
      <c r="T863" s="36"/>
      <c r="U863" s="36"/>
      <c r="V863" s="36"/>
      <c r="W863" s="36"/>
      <c r="X863" s="36"/>
      <c r="Y863" s="36"/>
      <c r="Z863" s="36"/>
      <c r="AA863" s="36"/>
      <c r="AB863" s="36"/>
      <c r="AC863" s="36"/>
    </row>
    <row r="864" spans="1:29" ht="36" customHeight="1">
      <c r="A864" s="81"/>
      <c r="B864" s="81"/>
      <c r="C864" s="81"/>
      <c r="D864" s="81"/>
      <c r="E864" s="80"/>
      <c r="F864" s="80"/>
      <c r="G864" s="80"/>
      <c r="H864" s="94"/>
      <c r="I864" s="81"/>
      <c r="J864" s="35"/>
      <c r="K864" s="36"/>
      <c r="L864" s="36"/>
      <c r="M864" s="36"/>
      <c r="N864" s="36"/>
      <c r="O864" s="36"/>
      <c r="P864" s="36"/>
      <c r="Q864" s="36"/>
      <c r="R864" s="36"/>
      <c r="S864" s="36"/>
      <c r="T864" s="36"/>
      <c r="U864" s="36"/>
      <c r="V864" s="36"/>
      <c r="W864" s="36"/>
      <c r="X864" s="36"/>
      <c r="Y864" s="36"/>
      <c r="Z864" s="36"/>
      <c r="AA864" s="36"/>
      <c r="AB864" s="36"/>
      <c r="AC864" s="36"/>
    </row>
    <row r="865" spans="1:29" ht="36" customHeight="1">
      <c r="A865" s="81"/>
      <c r="B865" s="81"/>
      <c r="C865" s="81"/>
      <c r="D865" s="81"/>
      <c r="E865" s="80"/>
      <c r="F865" s="80"/>
      <c r="G865" s="80"/>
      <c r="H865" s="94"/>
      <c r="I865" s="81"/>
      <c r="J865" s="35"/>
      <c r="K865" s="36"/>
      <c r="L865" s="36"/>
      <c r="M865" s="36"/>
      <c r="N865" s="36"/>
      <c r="O865" s="36"/>
      <c r="P865" s="36"/>
      <c r="Q865" s="36"/>
      <c r="R865" s="36"/>
      <c r="S865" s="36"/>
      <c r="T865" s="36"/>
      <c r="U865" s="36"/>
      <c r="V865" s="36"/>
      <c r="W865" s="36"/>
      <c r="X865" s="36"/>
      <c r="Y865" s="36"/>
      <c r="Z865" s="36"/>
      <c r="AA865" s="36"/>
      <c r="AB865" s="36"/>
      <c r="AC865" s="36"/>
    </row>
    <row r="866" spans="1:29" ht="48" customHeight="1">
      <c r="A866" s="81"/>
      <c r="B866" s="81"/>
      <c r="C866" s="81"/>
      <c r="D866" s="81"/>
      <c r="E866" s="80"/>
      <c r="F866" s="80"/>
      <c r="G866" s="80"/>
      <c r="H866" s="94"/>
      <c r="I866" s="81"/>
      <c r="J866" s="35"/>
      <c r="K866" s="36"/>
      <c r="L866" s="36"/>
      <c r="M866" s="36"/>
      <c r="N866" s="36"/>
      <c r="O866" s="36"/>
      <c r="P866" s="36"/>
      <c r="Q866" s="36"/>
      <c r="R866" s="36"/>
      <c r="S866" s="36"/>
      <c r="T866" s="36"/>
      <c r="U866" s="36"/>
      <c r="V866" s="36"/>
      <c r="W866" s="36"/>
      <c r="X866" s="36"/>
      <c r="Y866" s="36"/>
      <c r="Z866" s="36"/>
      <c r="AA866" s="36"/>
      <c r="AB866" s="36"/>
      <c r="AC866" s="36"/>
    </row>
    <row r="867" spans="1:29" ht="48" customHeight="1">
      <c r="A867" s="81"/>
      <c r="B867" s="81"/>
      <c r="C867" s="81"/>
      <c r="D867" s="81"/>
      <c r="E867" s="80"/>
      <c r="F867" s="80"/>
      <c r="G867" s="80"/>
      <c r="H867" s="94"/>
      <c r="I867" s="81"/>
      <c r="J867" s="35"/>
      <c r="K867" s="36"/>
      <c r="L867" s="36"/>
      <c r="M867" s="36"/>
      <c r="N867" s="36"/>
      <c r="O867" s="36"/>
      <c r="P867" s="36"/>
      <c r="Q867" s="36"/>
      <c r="R867" s="36"/>
      <c r="S867" s="36"/>
      <c r="T867" s="36"/>
      <c r="U867" s="36"/>
      <c r="V867" s="36"/>
      <c r="W867" s="36"/>
      <c r="X867" s="36"/>
      <c r="Y867" s="36"/>
      <c r="Z867" s="36"/>
      <c r="AA867" s="36"/>
      <c r="AB867" s="36"/>
      <c r="AC867" s="36"/>
    </row>
    <row r="868" spans="1:29" ht="48" customHeight="1">
      <c r="A868" s="81"/>
      <c r="B868" s="81"/>
      <c r="C868" s="81"/>
      <c r="D868" s="81"/>
      <c r="E868" s="80"/>
      <c r="F868" s="80"/>
      <c r="G868" s="80"/>
      <c r="H868" s="94"/>
      <c r="I868" s="81"/>
      <c r="J868" s="35"/>
      <c r="K868" s="36"/>
      <c r="L868" s="36"/>
      <c r="M868" s="36"/>
      <c r="N868" s="36"/>
      <c r="O868" s="36"/>
      <c r="P868" s="36"/>
      <c r="Q868" s="36"/>
      <c r="R868" s="36"/>
      <c r="S868" s="36"/>
      <c r="T868" s="36"/>
      <c r="U868" s="36"/>
      <c r="V868" s="36"/>
      <c r="W868" s="36"/>
      <c r="X868" s="36"/>
      <c r="Y868" s="36"/>
      <c r="Z868" s="36"/>
      <c r="AA868" s="36"/>
      <c r="AB868" s="36"/>
      <c r="AC868" s="36"/>
    </row>
    <row r="869" spans="1:29" ht="36" customHeight="1">
      <c r="A869" s="81"/>
      <c r="B869" s="81"/>
      <c r="C869" s="81"/>
      <c r="D869" s="81"/>
      <c r="E869" s="80"/>
      <c r="F869" s="80"/>
      <c r="G869" s="80"/>
      <c r="H869" s="94"/>
      <c r="I869" s="81"/>
      <c r="J869" s="35"/>
      <c r="K869" s="36"/>
      <c r="L869" s="36"/>
      <c r="M869" s="36"/>
      <c r="N869" s="36"/>
      <c r="O869" s="36"/>
      <c r="P869" s="36"/>
      <c r="Q869" s="36"/>
      <c r="R869" s="36"/>
      <c r="S869" s="36"/>
      <c r="T869" s="36"/>
      <c r="U869" s="36"/>
      <c r="V869" s="36"/>
      <c r="W869" s="36"/>
      <c r="X869" s="36"/>
      <c r="Y869" s="36"/>
      <c r="Z869" s="36"/>
      <c r="AA869" s="36"/>
      <c r="AB869" s="36"/>
      <c r="AC869" s="36"/>
    </row>
    <row r="870" spans="1:29" ht="24" customHeight="1">
      <c r="A870" s="81"/>
      <c r="B870" s="81"/>
      <c r="C870" s="81"/>
      <c r="D870" s="81"/>
      <c r="E870" s="80"/>
      <c r="F870" s="80"/>
      <c r="G870" s="80"/>
      <c r="H870" s="94"/>
      <c r="I870" s="81"/>
      <c r="J870" s="35"/>
      <c r="K870" s="36"/>
      <c r="L870" s="36"/>
      <c r="M870" s="36"/>
      <c r="N870" s="36"/>
      <c r="O870" s="36"/>
      <c r="P870" s="36"/>
      <c r="Q870" s="36"/>
      <c r="R870" s="36"/>
      <c r="S870" s="36"/>
      <c r="T870" s="36"/>
      <c r="U870" s="36"/>
      <c r="V870" s="36"/>
      <c r="W870" s="36"/>
      <c r="X870" s="36"/>
      <c r="Y870" s="36"/>
      <c r="Z870" s="36"/>
      <c r="AA870" s="36"/>
      <c r="AB870" s="36"/>
      <c r="AC870" s="36"/>
    </row>
    <row r="871" spans="1:29" ht="36" customHeight="1">
      <c r="A871" s="81"/>
      <c r="B871" s="81"/>
      <c r="C871" s="81"/>
      <c r="D871" s="81"/>
      <c r="E871" s="80"/>
      <c r="F871" s="80"/>
      <c r="G871" s="80"/>
      <c r="H871" s="94"/>
      <c r="I871" s="81"/>
      <c r="J871" s="35"/>
      <c r="K871" s="36"/>
      <c r="L871" s="36"/>
      <c r="M871" s="36"/>
      <c r="N871" s="36"/>
      <c r="O871" s="36"/>
      <c r="P871" s="36"/>
      <c r="Q871" s="36"/>
      <c r="R871" s="36"/>
      <c r="S871" s="36"/>
      <c r="T871" s="36"/>
      <c r="U871" s="36"/>
      <c r="V871" s="36"/>
      <c r="W871" s="36"/>
      <c r="X871" s="36"/>
      <c r="Y871" s="36"/>
      <c r="Z871" s="36"/>
      <c r="AA871" s="36"/>
      <c r="AB871" s="36"/>
      <c r="AC871" s="36"/>
    </row>
    <row r="872" spans="1:29" ht="36" customHeight="1">
      <c r="A872" s="81"/>
      <c r="B872" s="81"/>
      <c r="C872" s="81"/>
      <c r="D872" s="81"/>
      <c r="E872" s="80"/>
      <c r="F872" s="80"/>
      <c r="G872" s="80"/>
      <c r="H872" s="94"/>
      <c r="I872" s="81"/>
      <c r="J872" s="35"/>
      <c r="K872" s="36"/>
      <c r="L872" s="36"/>
      <c r="M872" s="36"/>
      <c r="N872" s="36"/>
      <c r="O872" s="36"/>
      <c r="P872" s="36"/>
      <c r="Q872" s="36"/>
      <c r="R872" s="36"/>
      <c r="S872" s="36"/>
      <c r="T872" s="36"/>
      <c r="U872" s="36"/>
      <c r="V872" s="36"/>
      <c r="W872" s="36"/>
      <c r="X872" s="36"/>
      <c r="Y872" s="36"/>
      <c r="Z872" s="36"/>
      <c r="AA872" s="36"/>
      <c r="AB872" s="36"/>
      <c r="AC872" s="36"/>
    </row>
    <row r="873" spans="1:29" ht="36" customHeight="1">
      <c r="A873" s="81"/>
      <c r="B873" s="81"/>
      <c r="C873" s="81"/>
      <c r="D873" s="81"/>
      <c r="E873" s="80"/>
      <c r="F873" s="80"/>
      <c r="G873" s="80"/>
      <c r="H873" s="94"/>
      <c r="I873" s="81"/>
      <c r="J873" s="35"/>
      <c r="K873" s="36"/>
      <c r="L873" s="36"/>
      <c r="M873" s="36"/>
      <c r="N873" s="36"/>
      <c r="O873" s="36"/>
      <c r="P873" s="36"/>
      <c r="Q873" s="36"/>
      <c r="R873" s="36"/>
      <c r="S873" s="36"/>
      <c r="T873" s="36"/>
      <c r="U873" s="36"/>
      <c r="V873" s="36"/>
      <c r="W873" s="36"/>
      <c r="X873" s="36"/>
      <c r="Y873" s="36"/>
      <c r="Z873" s="36"/>
      <c r="AA873" s="36"/>
      <c r="AB873" s="36"/>
      <c r="AC873" s="36"/>
    </row>
    <row r="874" spans="1:29" ht="36" customHeight="1">
      <c r="A874" s="81"/>
      <c r="B874" s="81"/>
      <c r="C874" s="81"/>
      <c r="D874" s="81"/>
      <c r="E874" s="80"/>
      <c r="F874" s="80"/>
      <c r="G874" s="80"/>
      <c r="H874" s="94"/>
      <c r="I874" s="81"/>
      <c r="J874" s="35"/>
      <c r="K874" s="36"/>
      <c r="L874" s="36"/>
      <c r="M874" s="36"/>
      <c r="N874" s="36"/>
      <c r="O874" s="36"/>
      <c r="P874" s="36"/>
      <c r="Q874" s="36"/>
      <c r="R874" s="36"/>
      <c r="S874" s="36"/>
      <c r="T874" s="36"/>
      <c r="U874" s="36"/>
      <c r="V874" s="36"/>
      <c r="W874" s="36"/>
      <c r="X874" s="36"/>
      <c r="Y874" s="36"/>
      <c r="Z874" s="36"/>
      <c r="AA874" s="36"/>
      <c r="AB874" s="36"/>
      <c r="AC874" s="36"/>
    </row>
    <row r="875" spans="1:29" ht="288" customHeight="1">
      <c r="A875" s="619"/>
      <c r="B875" s="81"/>
      <c r="C875" s="81"/>
      <c r="D875" s="81"/>
      <c r="E875" s="80"/>
      <c r="F875" s="80"/>
      <c r="G875" s="80"/>
      <c r="H875" s="94"/>
      <c r="I875" s="81"/>
      <c r="J875" s="35"/>
      <c r="K875" s="36"/>
      <c r="L875" s="36"/>
      <c r="M875" s="36"/>
      <c r="N875" s="36"/>
      <c r="O875" s="36"/>
      <c r="P875" s="36"/>
      <c r="Q875" s="36"/>
      <c r="R875" s="36"/>
      <c r="S875" s="36"/>
      <c r="T875" s="36"/>
      <c r="U875" s="36"/>
      <c r="V875" s="36"/>
      <c r="W875" s="36"/>
      <c r="X875" s="36"/>
      <c r="Y875" s="36"/>
      <c r="Z875" s="36"/>
      <c r="AA875" s="36"/>
      <c r="AB875" s="36"/>
      <c r="AC875" s="36"/>
    </row>
    <row r="876" spans="1:29" ht="24" customHeight="1">
      <c r="A876" s="619"/>
      <c r="B876" s="81"/>
      <c r="C876" s="81"/>
      <c r="D876" s="81"/>
      <c r="E876" s="80"/>
      <c r="F876" s="80"/>
      <c r="G876" s="80"/>
      <c r="H876" s="94"/>
      <c r="I876" s="81"/>
      <c r="J876" s="35"/>
      <c r="K876" s="36"/>
      <c r="L876" s="36"/>
      <c r="M876" s="36"/>
      <c r="N876" s="36"/>
      <c r="O876" s="36"/>
      <c r="P876" s="36"/>
      <c r="Q876" s="36"/>
      <c r="R876" s="36"/>
      <c r="S876" s="36"/>
      <c r="T876" s="36"/>
      <c r="U876" s="36"/>
      <c r="V876" s="36"/>
      <c r="W876" s="36"/>
      <c r="X876" s="36"/>
      <c r="Y876" s="36"/>
      <c r="Z876" s="36"/>
      <c r="AA876" s="36"/>
      <c r="AB876" s="36"/>
      <c r="AC876" s="36"/>
    </row>
    <row r="877" spans="1:29" ht="60" customHeight="1">
      <c r="A877" s="619"/>
      <c r="B877" s="81"/>
      <c r="C877" s="81"/>
      <c r="D877" s="81"/>
      <c r="E877" s="80"/>
      <c r="F877" s="80"/>
      <c r="G877" s="80"/>
      <c r="H877" s="94"/>
      <c r="I877" s="81"/>
      <c r="J877" s="35"/>
      <c r="K877" s="36"/>
      <c r="L877" s="36"/>
      <c r="M877" s="36"/>
      <c r="N877" s="36"/>
      <c r="O877" s="36"/>
      <c r="P877" s="36"/>
      <c r="Q877" s="36"/>
      <c r="R877" s="36"/>
      <c r="S877" s="36"/>
      <c r="T877" s="36"/>
      <c r="U877" s="36"/>
      <c r="V877" s="36"/>
      <c r="W877" s="36"/>
      <c r="X877" s="36"/>
      <c r="Y877" s="36"/>
      <c r="Z877" s="36"/>
      <c r="AA877" s="36"/>
      <c r="AB877" s="36"/>
      <c r="AC877" s="36"/>
    </row>
    <row r="878" spans="1:29" ht="24" customHeight="1">
      <c r="A878" s="619"/>
      <c r="B878" s="81"/>
      <c r="C878" s="81"/>
      <c r="D878" s="81"/>
      <c r="E878" s="80"/>
      <c r="F878" s="80"/>
      <c r="G878" s="80"/>
      <c r="H878" s="94"/>
      <c r="I878" s="81"/>
      <c r="J878" s="35"/>
      <c r="K878" s="36"/>
      <c r="L878" s="36"/>
      <c r="M878" s="36"/>
      <c r="N878" s="36"/>
      <c r="O878" s="36"/>
      <c r="P878" s="36"/>
      <c r="Q878" s="36"/>
      <c r="R878" s="36"/>
      <c r="S878" s="36"/>
      <c r="T878" s="36"/>
      <c r="U878" s="36"/>
      <c r="V878" s="36"/>
      <c r="W878" s="36"/>
      <c r="X878" s="36"/>
      <c r="Y878" s="36"/>
      <c r="Z878" s="36"/>
      <c r="AA878" s="36"/>
      <c r="AB878" s="36"/>
      <c r="AC878" s="36"/>
    </row>
    <row r="879" spans="1:29" ht="36" customHeight="1">
      <c r="A879" s="619"/>
      <c r="B879" s="81"/>
      <c r="C879" s="81"/>
      <c r="D879" s="81"/>
      <c r="E879" s="80"/>
      <c r="F879" s="80"/>
      <c r="G879" s="80"/>
      <c r="H879" s="94"/>
      <c r="I879" s="81"/>
      <c r="J879" s="35"/>
      <c r="K879" s="36"/>
      <c r="L879" s="36"/>
      <c r="M879" s="36"/>
      <c r="N879" s="36"/>
      <c r="O879" s="36"/>
      <c r="P879" s="36"/>
      <c r="Q879" s="36"/>
      <c r="R879" s="36"/>
      <c r="S879" s="36"/>
      <c r="T879" s="36"/>
      <c r="U879" s="36"/>
      <c r="V879" s="36"/>
      <c r="W879" s="36"/>
      <c r="X879" s="36"/>
      <c r="Y879" s="36"/>
      <c r="Z879" s="36"/>
      <c r="AA879" s="36"/>
      <c r="AB879" s="36"/>
      <c r="AC879" s="36"/>
    </row>
    <row r="880" spans="1:29" ht="24" customHeight="1">
      <c r="A880" s="619"/>
      <c r="B880" s="81"/>
      <c r="C880" s="81"/>
      <c r="D880" s="81"/>
      <c r="E880" s="80"/>
      <c r="F880" s="80"/>
      <c r="G880" s="80"/>
      <c r="H880" s="94"/>
      <c r="I880" s="81"/>
      <c r="J880" s="35"/>
      <c r="K880" s="36"/>
      <c r="L880" s="36"/>
      <c r="M880" s="36"/>
      <c r="N880" s="36"/>
      <c r="O880" s="36"/>
      <c r="P880" s="36"/>
      <c r="Q880" s="36"/>
      <c r="R880" s="36"/>
      <c r="S880" s="36"/>
      <c r="T880" s="36"/>
      <c r="U880" s="36"/>
      <c r="V880" s="36"/>
      <c r="W880" s="36"/>
      <c r="X880" s="36"/>
      <c r="Y880" s="36"/>
      <c r="Z880" s="36"/>
      <c r="AA880" s="36"/>
      <c r="AB880" s="36"/>
      <c r="AC880" s="36"/>
    </row>
    <row r="881" spans="1:29" ht="48" customHeight="1">
      <c r="A881" s="619"/>
      <c r="B881" s="81"/>
      <c r="C881" s="81"/>
      <c r="D881" s="81"/>
      <c r="E881" s="80"/>
      <c r="F881" s="80"/>
      <c r="G881" s="80"/>
      <c r="H881" s="94"/>
      <c r="I881" s="81"/>
      <c r="J881" s="35"/>
      <c r="K881" s="36"/>
      <c r="L881" s="36"/>
      <c r="M881" s="36"/>
      <c r="N881" s="36"/>
      <c r="O881" s="36"/>
      <c r="P881" s="36"/>
      <c r="Q881" s="36"/>
      <c r="R881" s="36"/>
      <c r="S881" s="36"/>
      <c r="T881" s="36"/>
      <c r="U881" s="36"/>
      <c r="V881" s="36"/>
      <c r="W881" s="36"/>
      <c r="X881" s="36"/>
      <c r="Y881" s="36"/>
      <c r="Z881" s="36"/>
      <c r="AA881" s="36"/>
      <c r="AB881" s="36"/>
      <c r="AC881" s="36"/>
    </row>
    <row r="882" spans="1:29" ht="36" customHeight="1">
      <c r="A882" s="619"/>
      <c r="B882" s="81"/>
      <c r="C882" s="81"/>
      <c r="D882" s="81"/>
      <c r="E882" s="80"/>
      <c r="F882" s="80"/>
      <c r="G882" s="80"/>
      <c r="H882" s="94"/>
      <c r="I882" s="81"/>
      <c r="J882" s="35"/>
      <c r="K882" s="36"/>
      <c r="L882" s="36"/>
      <c r="M882" s="36"/>
      <c r="N882" s="36"/>
      <c r="O882" s="36"/>
      <c r="P882" s="36"/>
      <c r="Q882" s="36"/>
      <c r="R882" s="36"/>
      <c r="S882" s="36"/>
      <c r="T882" s="36"/>
      <c r="U882" s="36"/>
      <c r="V882" s="36"/>
      <c r="W882" s="36"/>
      <c r="X882" s="36"/>
      <c r="Y882" s="36"/>
      <c r="Z882" s="36"/>
      <c r="AA882" s="36"/>
      <c r="AB882" s="36"/>
      <c r="AC882" s="36"/>
    </row>
    <row r="883" spans="1:29" ht="24" customHeight="1">
      <c r="A883" s="619"/>
      <c r="B883" s="81"/>
      <c r="C883" s="81"/>
      <c r="D883" s="81"/>
      <c r="E883" s="80"/>
      <c r="F883" s="80"/>
      <c r="G883" s="80"/>
      <c r="H883" s="94"/>
      <c r="I883" s="81"/>
      <c r="J883" s="35"/>
      <c r="K883" s="36"/>
      <c r="L883" s="36"/>
      <c r="M883" s="36"/>
      <c r="N883" s="36"/>
      <c r="O883" s="36"/>
      <c r="P883" s="36"/>
      <c r="Q883" s="36"/>
      <c r="R883" s="36"/>
      <c r="S883" s="36"/>
      <c r="T883" s="36"/>
      <c r="U883" s="36"/>
      <c r="V883" s="36"/>
      <c r="W883" s="36"/>
      <c r="X883" s="36"/>
      <c r="Y883" s="36"/>
      <c r="Z883" s="36"/>
      <c r="AA883" s="36"/>
      <c r="AB883" s="36"/>
      <c r="AC883" s="36"/>
    </row>
    <row r="884" spans="1:29" ht="24" customHeight="1">
      <c r="A884" s="619"/>
      <c r="B884" s="81"/>
      <c r="C884" s="81"/>
      <c r="D884" s="81"/>
      <c r="E884" s="80"/>
      <c r="F884" s="80"/>
      <c r="G884" s="80"/>
      <c r="H884" s="94"/>
      <c r="I884" s="81"/>
      <c r="J884" s="35"/>
      <c r="K884" s="36"/>
      <c r="L884" s="36"/>
      <c r="M884" s="36"/>
      <c r="N884" s="36"/>
      <c r="O884" s="36"/>
      <c r="P884" s="36"/>
      <c r="Q884" s="36"/>
      <c r="R884" s="36"/>
      <c r="S884" s="36"/>
      <c r="T884" s="36"/>
      <c r="U884" s="36"/>
      <c r="V884" s="36"/>
      <c r="W884" s="36"/>
      <c r="X884" s="36"/>
      <c r="Y884" s="36"/>
      <c r="Z884" s="36"/>
      <c r="AA884" s="36"/>
      <c r="AB884" s="36"/>
      <c r="AC884" s="36"/>
    </row>
    <row r="885" spans="1:29" ht="60" customHeight="1">
      <c r="A885" s="619"/>
      <c r="B885" s="81"/>
      <c r="C885" s="81"/>
      <c r="D885" s="81"/>
      <c r="E885" s="80"/>
      <c r="F885" s="80"/>
      <c r="G885" s="80"/>
      <c r="H885" s="94"/>
      <c r="I885" s="81"/>
      <c r="J885" s="35"/>
      <c r="K885" s="36"/>
      <c r="L885" s="36"/>
      <c r="M885" s="36"/>
      <c r="N885" s="36"/>
      <c r="O885" s="36"/>
      <c r="P885" s="36"/>
      <c r="Q885" s="36"/>
      <c r="R885" s="36"/>
      <c r="S885" s="36"/>
      <c r="T885" s="36"/>
      <c r="U885" s="36"/>
      <c r="V885" s="36"/>
      <c r="W885" s="36"/>
      <c r="X885" s="36"/>
      <c r="Y885" s="36"/>
      <c r="Z885" s="36"/>
      <c r="AA885" s="36"/>
      <c r="AB885" s="36"/>
      <c r="AC885" s="36"/>
    </row>
    <row r="886" spans="1:29" ht="24" customHeight="1">
      <c r="A886" s="619"/>
      <c r="B886" s="81"/>
      <c r="C886" s="81"/>
      <c r="D886" s="81"/>
      <c r="E886" s="80"/>
      <c r="F886" s="80"/>
      <c r="G886" s="80"/>
      <c r="H886" s="94"/>
      <c r="I886" s="81"/>
      <c r="J886" s="35"/>
      <c r="K886" s="36"/>
      <c r="L886" s="36"/>
      <c r="M886" s="36"/>
      <c r="N886" s="36"/>
      <c r="O886" s="36"/>
      <c r="P886" s="36"/>
      <c r="Q886" s="36"/>
      <c r="R886" s="36"/>
      <c r="S886" s="36"/>
      <c r="T886" s="36"/>
      <c r="U886" s="36"/>
      <c r="V886" s="36"/>
      <c r="W886" s="36"/>
      <c r="X886" s="36"/>
      <c r="Y886" s="36"/>
      <c r="Z886" s="36"/>
      <c r="AA886" s="36"/>
      <c r="AB886" s="36"/>
      <c r="AC886" s="36"/>
    </row>
    <row r="887" spans="1:29" ht="36" customHeight="1">
      <c r="A887" s="619"/>
      <c r="B887" s="81"/>
      <c r="C887" s="81"/>
      <c r="D887" s="81"/>
      <c r="E887" s="80"/>
      <c r="F887" s="80"/>
      <c r="G887" s="80"/>
      <c r="H887" s="94"/>
      <c r="I887" s="81"/>
      <c r="J887" s="35"/>
      <c r="K887" s="36"/>
      <c r="L887" s="36"/>
      <c r="M887" s="36"/>
      <c r="N887" s="36"/>
      <c r="O887" s="36"/>
      <c r="P887" s="36"/>
      <c r="Q887" s="36"/>
      <c r="R887" s="36"/>
      <c r="S887" s="36"/>
      <c r="T887" s="36"/>
      <c r="U887" s="36"/>
      <c r="V887" s="36"/>
      <c r="W887" s="36"/>
      <c r="X887" s="36"/>
      <c r="Y887" s="36"/>
      <c r="Z887" s="36"/>
      <c r="AA887" s="36"/>
      <c r="AB887" s="36"/>
      <c r="AC887" s="36"/>
    </row>
    <row r="888" spans="1:29" ht="36" customHeight="1">
      <c r="A888" s="619"/>
      <c r="B888" s="81"/>
      <c r="C888" s="81"/>
      <c r="D888" s="81"/>
      <c r="E888" s="80"/>
      <c r="F888" s="80"/>
      <c r="G888" s="80"/>
      <c r="H888" s="94"/>
      <c r="I888" s="81"/>
      <c r="J888" s="35"/>
      <c r="K888" s="36"/>
      <c r="L888" s="36"/>
      <c r="M888" s="36"/>
      <c r="N888" s="36"/>
      <c r="O888" s="36"/>
      <c r="P888" s="36"/>
      <c r="Q888" s="36"/>
      <c r="R888" s="36"/>
      <c r="S888" s="36"/>
      <c r="T888" s="36"/>
      <c r="U888" s="36"/>
      <c r="V888" s="36"/>
      <c r="W888" s="36"/>
      <c r="X888" s="36"/>
      <c r="Y888" s="36"/>
      <c r="Z888" s="36"/>
      <c r="AA888" s="36"/>
      <c r="AB888" s="36"/>
      <c r="AC888" s="36"/>
    </row>
    <row r="889" spans="1:29" ht="24" customHeight="1">
      <c r="A889" s="81"/>
      <c r="B889" s="81"/>
      <c r="C889" s="81"/>
      <c r="D889" s="81"/>
      <c r="E889" s="80"/>
      <c r="F889" s="80"/>
      <c r="G889" s="80"/>
      <c r="H889" s="94"/>
      <c r="I889" s="81"/>
      <c r="J889" s="35"/>
      <c r="K889" s="36"/>
      <c r="L889" s="36"/>
      <c r="M889" s="36"/>
      <c r="N889" s="36"/>
      <c r="O889" s="36"/>
      <c r="P889" s="36"/>
      <c r="Q889" s="36"/>
      <c r="R889" s="36"/>
      <c r="S889" s="36"/>
      <c r="T889" s="36"/>
      <c r="U889" s="36"/>
      <c r="V889" s="36"/>
      <c r="W889" s="36"/>
      <c r="X889" s="36"/>
      <c r="Y889" s="36"/>
      <c r="Z889" s="36"/>
      <c r="AA889" s="36"/>
      <c r="AB889" s="36"/>
      <c r="AC889" s="36"/>
    </row>
    <row r="890" spans="1:29" ht="24" customHeight="1">
      <c r="A890" s="81"/>
      <c r="B890" s="81"/>
      <c r="C890" s="81"/>
      <c r="D890" s="81"/>
      <c r="E890" s="80"/>
      <c r="F890" s="80"/>
      <c r="G890" s="80"/>
      <c r="H890" s="94"/>
      <c r="I890" s="81"/>
      <c r="J890" s="35"/>
      <c r="K890" s="36"/>
      <c r="L890" s="36"/>
      <c r="M890" s="36"/>
      <c r="N890" s="36"/>
      <c r="O890" s="36"/>
      <c r="P890" s="36"/>
      <c r="Q890" s="36"/>
      <c r="R890" s="36"/>
      <c r="S890" s="36"/>
      <c r="T890" s="36"/>
      <c r="U890" s="36"/>
      <c r="V890" s="36"/>
      <c r="W890" s="36"/>
      <c r="X890" s="36"/>
      <c r="Y890" s="36"/>
      <c r="Z890" s="36"/>
      <c r="AA890" s="36"/>
      <c r="AB890" s="36"/>
      <c r="AC890" s="36"/>
    </row>
    <row r="891" spans="1:29" ht="24" customHeight="1">
      <c r="A891" s="619"/>
      <c r="B891" s="81"/>
      <c r="C891" s="81"/>
      <c r="D891" s="81"/>
      <c r="E891" s="80"/>
      <c r="F891" s="80"/>
      <c r="G891" s="80"/>
      <c r="H891" s="94"/>
      <c r="I891" s="81"/>
      <c r="J891" s="35"/>
      <c r="K891" s="36"/>
      <c r="L891" s="36"/>
      <c r="M891" s="36"/>
      <c r="N891" s="36"/>
      <c r="O891" s="36"/>
      <c r="P891" s="36"/>
      <c r="Q891" s="36"/>
      <c r="R891" s="36"/>
      <c r="S891" s="36"/>
      <c r="T891" s="36"/>
      <c r="U891" s="36"/>
      <c r="V891" s="36"/>
      <c r="W891" s="36"/>
      <c r="X891" s="36"/>
      <c r="Y891" s="36"/>
      <c r="Z891" s="36"/>
      <c r="AA891" s="36"/>
      <c r="AB891" s="36"/>
      <c r="AC891" s="36"/>
    </row>
    <row r="892" spans="1:29" ht="24" customHeight="1">
      <c r="A892" s="619"/>
      <c r="B892" s="81"/>
      <c r="C892" s="81"/>
      <c r="D892" s="81"/>
      <c r="E892" s="80"/>
      <c r="F892" s="80"/>
      <c r="G892" s="80"/>
      <c r="H892" s="94"/>
      <c r="I892" s="81"/>
      <c r="J892" s="35"/>
      <c r="K892" s="36"/>
      <c r="L892" s="36"/>
      <c r="M892" s="36"/>
      <c r="N892" s="36"/>
      <c r="O892" s="36"/>
      <c r="P892" s="36"/>
      <c r="Q892" s="36"/>
      <c r="R892" s="36"/>
      <c r="S892" s="36"/>
      <c r="T892" s="36"/>
      <c r="U892" s="36"/>
      <c r="V892" s="36"/>
      <c r="W892" s="36"/>
      <c r="X892" s="36"/>
      <c r="Y892" s="36"/>
      <c r="Z892" s="36"/>
      <c r="AA892" s="36"/>
      <c r="AB892" s="36"/>
      <c r="AC892" s="36"/>
    </row>
    <row r="893" spans="1:29" ht="24" customHeight="1">
      <c r="A893" s="619"/>
      <c r="B893" s="81"/>
      <c r="C893" s="81"/>
      <c r="D893" s="81"/>
      <c r="E893" s="80"/>
      <c r="F893" s="80"/>
      <c r="G893" s="80"/>
      <c r="H893" s="94"/>
      <c r="I893" s="81"/>
      <c r="J893" s="35"/>
      <c r="K893" s="36"/>
      <c r="L893" s="36"/>
      <c r="M893" s="36"/>
      <c r="N893" s="36"/>
      <c r="O893" s="36"/>
      <c r="P893" s="36"/>
      <c r="Q893" s="36"/>
      <c r="R893" s="36"/>
      <c r="S893" s="36"/>
      <c r="T893" s="36"/>
      <c r="U893" s="36"/>
      <c r="V893" s="36"/>
      <c r="W893" s="36"/>
      <c r="X893" s="36"/>
      <c r="Y893" s="36"/>
      <c r="Z893" s="36"/>
      <c r="AA893" s="36"/>
      <c r="AB893" s="36"/>
      <c r="AC893" s="36"/>
    </row>
    <row r="894" spans="1:29" ht="72" customHeight="1">
      <c r="A894" s="81"/>
      <c r="B894" s="81"/>
      <c r="C894" s="81"/>
      <c r="D894" s="81"/>
      <c r="E894" s="80"/>
      <c r="F894" s="80"/>
      <c r="G894" s="80"/>
      <c r="H894" s="94"/>
      <c r="I894" s="81"/>
      <c r="J894" s="35"/>
      <c r="K894" s="36"/>
      <c r="L894" s="36"/>
      <c r="M894" s="36"/>
      <c r="N894" s="36"/>
      <c r="O894" s="36"/>
      <c r="P894" s="36"/>
      <c r="Q894" s="36"/>
      <c r="R894" s="36"/>
      <c r="S894" s="36"/>
      <c r="T894" s="36"/>
      <c r="U894" s="36"/>
      <c r="V894" s="36"/>
      <c r="W894" s="36"/>
      <c r="X894" s="36"/>
      <c r="Y894" s="36"/>
      <c r="Z894" s="36"/>
      <c r="AA894" s="36"/>
      <c r="AB894" s="36"/>
      <c r="AC894" s="36"/>
    </row>
    <row r="895" spans="1:29" ht="24" customHeight="1">
      <c r="A895" s="81"/>
      <c r="B895" s="81"/>
      <c r="C895" s="81"/>
      <c r="D895" s="81"/>
      <c r="E895" s="80"/>
      <c r="F895" s="80"/>
      <c r="G895" s="80"/>
      <c r="H895" s="94"/>
      <c r="I895" s="81"/>
      <c r="J895" s="35"/>
      <c r="K895" s="36"/>
      <c r="L895" s="36"/>
      <c r="M895" s="36"/>
      <c r="N895" s="36"/>
      <c r="O895" s="36"/>
      <c r="P895" s="36"/>
      <c r="Q895" s="36"/>
      <c r="R895" s="36"/>
      <c r="S895" s="36"/>
      <c r="T895" s="36"/>
      <c r="U895" s="36"/>
      <c r="V895" s="36"/>
      <c r="W895" s="36"/>
      <c r="X895" s="36"/>
      <c r="Y895" s="36"/>
      <c r="Z895" s="36"/>
      <c r="AA895" s="36"/>
      <c r="AB895" s="36"/>
      <c r="AC895" s="36"/>
    </row>
    <row r="896" spans="1:29" ht="60" customHeight="1">
      <c r="A896" s="81"/>
      <c r="B896" s="81"/>
      <c r="C896" s="81"/>
      <c r="D896" s="81"/>
      <c r="E896" s="80"/>
      <c r="F896" s="80"/>
      <c r="G896" s="80"/>
      <c r="H896" s="94"/>
      <c r="I896" s="81"/>
      <c r="J896" s="35"/>
      <c r="K896" s="36"/>
      <c r="L896" s="36"/>
      <c r="M896" s="36"/>
      <c r="N896" s="36"/>
      <c r="O896" s="36"/>
      <c r="P896" s="36"/>
      <c r="Q896" s="36"/>
      <c r="R896" s="36"/>
      <c r="S896" s="36"/>
      <c r="T896" s="36"/>
      <c r="U896" s="36"/>
      <c r="V896" s="36"/>
      <c r="W896" s="36"/>
      <c r="X896" s="36"/>
      <c r="Y896" s="36"/>
      <c r="Z896" s="36"/>
      <c r="AA896" s="36"/>
      <c r="AB896" s="36"/>
      <c r="AC896" s="36"/>
    </row>
    <row r="897" spans="1:29" ht="72" customHeight="1">
      <c r="A897" s="81"/>
      <c r="B897" s="81"/>
      <c r="C897" s="81"/>
      <c r="D897" s="81"/>
      <c r="E897" s="80"/>
      <c r="F897" s="80"/>
      <c r="G897" s="80"/>
      <c r="H897" s="94"/>
      <c r="I897" s="81"/>
      <c r="J897" s="35"/>
      <c r="K897" s="36"/>
      <c r="L897" s="36"/>
      <c r="M897" s="36"/>
      <c r="N897" s="36"/>
      <c r="O897" s="36"/>
      <c r="P897" s="36"/>
      <c r="Q897" s="36"/>
      <c r="R897" s="36"/>
      <c r="S897" s="36"/>
      <c r="T897" s="36"/>
      <c r="U897" s="36"/>
      <c r="V897" s="36"/>
      <c r="W897" s="36"/>
      <c r="X897" s="36"/>
      <c r="Y897" s="36"/>
      <c r="Z897" s="36"/>
      <c r="AA897" s="36"/>
      <c r="AB897" s="36"/>
      <c r="AC897" s="36"/>
    </row>
    <row r="898" spans="1:29" ht="36" customHeight="1">
      <c r="A898" s="81"/>
      <c r="B898" s="81"/>
      <c r="C898" s="81"/>
      <c r="D898" s="81"/>
      <c r="E898" s="80"/>
      <c r="F898" s="80"/>
      <c r="G898" s="80"/>
      <c r="H898" s="94"/>
      <c r="I898" s="81"/>
      <c r="J898" s="35"/>
      <c r="K898" s="36"/>
      <c r="L898" s="36"/>
      <c r="M898" s="36"/>
      <c r="N898" s="36"/>
      <c r="O898" s="36"/>
      <c r="P898" s="36"/>
      <c r="Q898" s="36"/>
      <c r="R898" s="36"/>
      <c r="S898" s="36"/>
      <c r="T898" s="36"/>
      <c r="U898" s="36"/>
      <c r="V898" s="36"/>
      <c r="W898" s="36"/>
      <c r="X898" s="36"/>
      <c r="Y898" s="36"/>
      <c r="Z898" s="36"/>
      <c r="AA898" s="36"/>
      <c r="AB898" s="36"/>
      <c r="AC898" s="36"/>
    </row>
    <row r="899" spans="1:29" ht="36" customHeight="1">
      <c r="A899" s="81"/>
      <c r="B899" s="81"/>
      <c r="C899" s="81"/>
      <c r="D899" s="81"/>
      <c r="E899" s="80"/>
      <c r="F899" s="80"/>
      <c r="G899" s="80"/>
      <c r="H899" s="94"/>
      <c r="I899" s="81"/>
      <c r="J899" s="35"/>
      <c r="K899" s="36"/>
      <c r="L899" s="36"/>
      <c r="M899" s="36"/>
      <c r="N899" s="36"/>
      <c r="O899" s="36"/>
      <c r="P899" s="36"/>
      <c r="Q899" s="36"/>
      <c r="R899" s="36"/>
      <c r="S899" s="36"/>
      <c r="T899" s="36"/>
      <c r="U899" s="36"/>
      <c r="V899" s="36"/>
      <c r="W899" s="36"/>
      <c r="X899" s="36"/>
      <c r="Y899" s="36"/>
      <c r="Z899" s="36"/>
      <c r="AA899" s="36"/>
      <c r="AB899" s="36"/>
      <c r="AC899" s="36"/>
    </row>
    <row r="900" spans="1:29" ht="24" customHeight="1">
      <c r="A900" s="81"/>
      <c r="B900" s="81"/>
      <c r="C900" s="81"/>
      <c r="D900" s="81"/>
      <c r="E900" s="80"/>
      <c r="F900" s="80"/>
      <c r="G900" s="80"/>
      <c r="H900" s="94"/>
      <c r="I900" s="81"/>
      <c r="J900" s="35"/>
      <c r="K900" s="36"/>
      <c r="L900" s="36"/>
      <c r="M900" s="36"/>
      <c r="N900" s="36"/>
      <c r="O900" s="36"/>
      <c r="P900" s="36"/>
      <c r="Q900" s="36"/>
      <c r="R900" s="36"/>
      <c r="S900" s="36"/>
      <c r="T900" s="36"/>
      <c r="U900" s="36"/>
      <c r="V900" s="36"/>
      <c r="W900" s="36"/>
      <c r="X900" s="36"/>
      <c r="Y900" s="36"/>
      <c r="Z900" s="36"/>
      <c r="AA900" s="36"/>
      <c r="AB900" s="36"/>
      <c r="AC900" s="36"/>
    </row>
    <row r="901" spans="1:29" ht="24" customHeight="1">
      <c r="A901" s="81"/>
      <c r="B901" s="81"/>
      <c r="C901" s="81"/>
      <c r="D901" s="81"/>
      <c r="E901" s="80"/>
      <c r="F901" s="80"/>
      <c r="G901" s="80"/>
      <c r="H901" s="94"/>
      <c r="I901" s="81"/>
      <c r="J901" s="35"/>
      <c r="K901" s="36"/>
      <c r="L901" s="36"/>
      <c r="M901" s="36"/>
      <c r="N901" s="36"/>
      <c r="O901" s="36"/>
      <c r="P901" s="36"/>
      <c r="Q901" s="36"/>
      <c r="R901" s="36"/>
      <c r="S901" s="36"/>
      <c r="T901" s="36"/>
      <c r="U901" s="36"/>
      <c r="V901" s="36"/>
      <c r="W901" s="36"/>
      <c r="X901" s="36"/>
      <c r="Y901" s="36"/>
      <c r="Z901" s="36"/>
      <c r="AA901" s="36"/>
      <c r="AB901" s="36"/>
      <c r="AC901" s="36"/>
    </row>
    <row r="902" spans="1:29" ht="36" customHeight="1">
      <c r="A902" s="81"/>
      <c r="B902" s="81"/>
      <c r="C902" s="81"/>
      <c r="D902" s="81"/>
      <c r="E902" s="80"/>
      <c r="F902" s="80"/>
      <c r="G902" s="80"/>
      <c r="H902" s="94"/>
      <c r="I902" s="81"/>
      <c r="J902" s="35"/>
      <c r="K902" s="36"/>
      <c r="L902" s="36"/>
      <c r="M902" s="36"/>
      <c r="N902" s="36"/>
      <c r="O902" s="36"/>
      <c r="P902" s="36"/>
      <c r="Q902" s="36"/>
      <c r="R902" s="36"/>
      <c r="S902" s="36"/>
      <c r="T902" s="36"/>
      <c r="U902" s="36"/>
      <c r="V902" s="36"/>
      <c r="W902" s="36"/>
      <c r="X902" s="36"/>
      <c r="Y902" s="36"/>
      <c r="Z902" s="36"/>
      <c r="AA902" s="36"/>
      <c r="AB902" s="36"/>
      <c r="AC902" s="36"/>
    </row>
    <row r="903" spans="1:29" ht="36" customHeight="1">
      <c r="A903" s="81"/>
      <c r="B903" s="81"/>
      <c r="C903" s="81"/>
      <c r="D903" s="81"/>
      <c r="E903" s="80"/>
      <c r="F903" s="80"/>
      <c r="G903" s="80"/>
      <c r="H903" s="94"/>
      <c r="I903" s="81"/>
      <c r="J903" s="35"/>
      <c r="K903" s="36"/>
      <c r="L903" s="36"/>
      <c r="M903" s="36"/>
      <c r="N903" s="36"/>
      <c r="O903" s="36"/>
      <c r="P903" s="36"/>
      <c r="Q903" s="36"/>
      <c r="R903" s="36"/>
      <c r="S903" s="36"/>
      <c r="T903" s="36"/>
      <c r="U903" s="36"/>
      <c r="V903" s="36"/>
      <c r="W903" s="36"/>
      <c r="X903" s="36"/>
      <c r="Y903" s="36"/>
      <c r="Z903" s="36"/>
      <c r="AA903" s="36"/>
      <c r="AB903" s="36"/>
      <c r="AC903" s="36"/>
    </row>
    <row r="904" spans="1:29" ht="36" customHeight="1">
      <c r="A904" s="81"/>
      <c r="B904" s="81"/>
      <c r="C904" s="81"/>
      <c r="D904" s="81"/>
      <c r="E904" s="80"/>
      <c r="F904" s="80"/>
      <c r="G904" s="80"/>
      <c r="H904" s="94"/>
      <c r="I904" s="81"/>
      <c r="J904" s="35"/>
      <c r="K904" s="36"/>
      <c r="L904" s="36"/>
      <c r="M904" s="36"/>
      <c r="N904" s="36"/>
      <c r="O904" s="36"/>
      <c r="P904" s="36"/>
      <c r="Q904" s="36"/>
      <c r="R904" s="36"/>
      <c r="S904" s="36"/>
      <c r="T904" s="36"/>
      <c r="U904" s="36"/>
      <c r="V904" s="36"/>
      <c r="W904" s="36"/>
      <c r="X904" s="36"/>
      <c r="Y904" s="36"/>
      <c r="Z904" s="36"/>
      <c r="AA904" s="36"/>
      <c r="AB904" s="36"/>
      <c r="AC904" s="36"/>
    </row>
    <row r="905" spans="1:29" ht="36" customHeight="1">
      <c r="A905" s="81"/>
      <c r="B905" s="81"/>
      <c r="C905" s="81"/>
      <c r="D905" s="81"/>
      <c r="E905" s="80"/>
      <c r="F905" s="80"/>
      <c r="G905" s="80"/>
      <c r="H905" s="94"/>
      <c r="I905" s="81"/>
      <c r="J905" s="35"/>
      <c r="K905" s="36"/>
      <c r="L905" s="36"/>
      <c r="M905" s="36"/>
      <c r="N905" s="36"/>
      <c r="O905" s="36"/>
      <c r="P905" s="36"/>
      <c r="Q905" s="36"/>
      <c r="R905" s="36"/>
      <c r="S905" s="36"/>
      <c r="T905" s="36"/>
      <c r="U905" s="36"/>
      <c r="V905" s="36"/>
      <c r="W905" s="36"/>
      <c r="X905" s="36"/>
      <c r="Y905" s="36"/>
      <c r="Z905" s="36"/>
      <c r="AA905" s="36"/>
      <c r="AB905" s="36"/>
      <c r="AC905" s="36"/>
    </row>
    <row r="906" spans="1:29" ht="24" customHeight="1">
      <c r="A906" s="81"/>
      <c r="B906" s="81"/>
      <c r="C906" s="81"/>
      <c r="D906" s="81"/>
      <c r="E906" s="80"/>
      <c r="F906" s="80"/>
      <c r="G906" s="80"/>
      <c r="H906" s="94"/>
      <c r="I906" s="81"/>
      <c r="J906" s="35"/>
      <c r="K906" s="36"/>
      <c r="L906" s="36"/>
      <c r="M906" s="36"/>
      <c r="N906" s="36"/>
      <c r="O906" s="36"/>
      <c r="P906" s="36"/>
      <c r="Q906" s="36"/>
      <c r="R906" s="36"/>
      <c r="S906" s="36"/>
      <c r="T906" s="36"/>
      <c r="U906" s="36"/>
      <c r="V906" s="36"/>
      <c r="W906" s="36"/>
      <c r="X906" s="36"/>
      <c r="Y906" s="36"/>
      <c r="Z906" s="36"/>
      <c r="AA906" s="36"/>
      <c r="AB906" s="36"/>
      <c r="AC906" s="36"/>
    </row>
    <row r="907" spans="1:29" ht="48" customHeight="1">
      <c r="A907" s="81"/>
      <c r="B907" s="81"/>
      <c r="C907" s="81"/>
      <c r="D907" s="81"/>
      <c r="E907" s="80"/>
      <c r="F907" s="80"/>
      <c r="G907" s="80"/>
      <c r="H907" s="94"/>
      <c r="I907" s="81"/>
      <c r="J907" s="35"/>
      <c r="K907" s="36"/>
      <c r="L907" s="36"/>
      <c r="M907" s="36"/>
      <c r="N907" s="36"/>
      <c r="O907" s="36"/>
      <c r="P907" s="36"/>
      <c r="Q907" s="36"/>
      <c r="R907" s="36"/>
      <c r="S907" s="36"/>
      <c r="T907" s="36"/>
      <c r="U907" s="36"/>
      <c r="V907" s="36"/>
      <c r="W907" s="36"/>
      <c r="X907" s="36"/>
      <c r="Y907" s="36"/>
      <c r="Z907" s="36"/>
      <c r="AA907" s="36"/>
      <c r="AB907" s="36"/>
      <c r="AC907" s="36"/>
    </row>
    <row r="908" spans="1:29" ht="36" customHeight="1">
      <c r="A908" s="81"/>
      <c r="B908" s="81"/>
      <c r="C908" s="81"/>
      <c r="D908" s="81"/>
      <c r="E908" s="80"/>
      <c r="F908" s="80"/>
      <c r="G908" s="80"/>
      <c r="H908" s="94"/>
      <c r="I908" s="81"/>
      <c r="J908" s="35"/>
      <c r="K908" s="36"/>
      <c r="L908" s="36"/>
      <c r="M908" s="36"/>
      <c r="N908" s="36"/>
      <c r="O908" s="36"/>
      <c r="P908" s="36"/>
      <c r="Q908" s="36"/>
      <c r="R908" s="36"/>
      <c r="S908" s="36"/>
      <c r="T908" s="36"/>
      <c r="U908" s="36"/>
      <c r="V908" s="36"/>
      <c r="W908" s="36"/>
      <c r="X908" s="36"/>
      <c r="Y908" s="36"/>
      <c r="Z908" s="36"/>
      <c r="AA908" s="36"/>
      <c r="AB908" s="36"/>
      <c r="AC908" s="36"/>
    </row>
    <row r="909" spans="1:29" ht="48" customHeight="1">
      <c r="A909" s="81"/>
      <c r="B909" s="81"/>
      <c r="C909" s="81"/>
      <c r="D909" s="81"/>
      <c r="E909" s="80"/>
      <c r="F909" s="80"/>
      <c r="G909" s="80"/>
      <c r="H909" s="94"/>
      <c r="I909" s="81"/>
      <c r="J909" s="35"/>
      <c r="K909" s="36"/>
      <c r="L909" s="36"/>
      <c r="M909" s="36"/>
      <c r="N909" s="36"/>
      <c r="O909" s="36"/>
      <c r="P909" s="36"/>
      <c r="Q909" s="36"/>
      <c r="R909" s="36"/>
      <c r="S909" s="36"/>
      <c r="T909" s="36"/>
      <c r="U909" s="36"/>
      <c r="V909" s="36"/>
      <c r="W909" s="36"/>
      <c r="X909" s="36"/>
      <c r="Y909" s="36"/>
      <c r="Z909" s="36"/>
      <c r="AA909" s="36"/>
      <c r="AB909" s="36"/>
      <c r="AC909" s="36"/>
    </row>
    <row r="910" spans="1:29" ht="24" customHeight="1">
      <c r="A910" s="81"/>
      <c r="B910" s="81"/>
      <c r="C910" s="81"/>
      <c r="D910" s="81"/>
      <c r="E910" s="80"/>
      <c r="F910" s="80"/>
      <c r="G910" s="80"/>
      <c r="H910" s="94"/>
      <c r="I910" s="81"/>
      <c r="J910" s="35"/>
      <c r="K910" s="36"/>
      <c r="L910" s="36"/>
      <c r="M910" s="36"/>
      <c r="N910" s="36"/>
      <c r="O910" s="36"/>
      <c r="P910" s="36"/>
      <c r="Q910" s="36"/>
      <c r="R910" s="36"/>
      <c r="S910" s="36"/>
      <c r="T910" s="36"/>
      <c r="U910" s="36"/>
      <c r="V910" s="36"/>
      <c r="W910" s="36"/>
      <c r="X910" s="36"/>
      <c r="Y910" s="36"/>
      <c r="Z910" s="36"/>
      <c r="AA910" s="36"/>
      <c r="AB910" s="36"/>
      <c r="AC910" s="36"/>
    </row>
    <row r="911" spans="1:29" ht="48" customHeight="1">
      <c r="A911" s="81"/>
      <c r="B911" s="81"/>
      <c r="C911" s="81"/>
      <c r="D911" s="81"/>
      <c r="E911" s="80"/>
      <c r="F911" s="80"/>
      <c r="G911" s="80"/>
      <c r="H911" s="94"/>
      <c r="I911" s="81"/>
      <c r="J911" s="35"/>
      <c r="K911" s="36"/>
      <c r="L911" s="36"/>
      <c r="M911" s="36"/>
      <c r="N911" s="36"/>
      <c r="O911" s="36"/>
      <c r="P911" s="36"/>
      <c r="Q911" s="36"/>
      <c r="R911" s="36"/>
      <c r="S911" s="36"/>
      <c r="T911" s="36"/>
      <c r="U911" s="36"/>
      <c r="V911" s="36"/>
      <c r="W911" s="36"/>
      <c r="X911" s="36"/>
      <c r="Y911" s="36"/>
      <c r="Z911" s="36"/>
      <c r="AA911" s="36"/>
      <c r="AB911" s="36"/>
      <c r="AC911" s="36"/>
    </row>
    <row r="912" spans="1:29" ht="24" customHeight="1">
      <c r="A912" s="81"/>
      <c r="B912" s="81"/>
      <c r="C912" s="81"/>
      <c r="D912" s="81"/>
      <c r="E912" s="80"/>
      <c r="F912" s="80"/>
      <c r="G912" s="80"/>
      <c r="H912" s="94"/>
      <c r="I912" s="81"/>
      <c r="J912" s="35"/>
      <c r="K912" s="36"/>
      <c r="L912" s="36"/>
      <c r="M912" s="36"/>
      <c r="N912" s="36"/>
      <c r="O912" s="36"/>
      <c r="P912" s="36"/>
      <c r="Q912" s="36"/>
      <c r="R912" s="36"/>
      <c r="S912" s="36"/>
      <c r="T912" s="36"/>
      <c r="U912" s="36"/>
      <c r="V912" s="36"/>
      <c r="W912" s="36"/>
      <c r="X912" s="36"/>
      <c r="Y912" s="36"/>
      <c r="Z912" s="36"/>
      <c r="AA912" s="36"/>
      <c r="AB912" s="36"/>
      <c r="AC912" s="36"/>
    </row>
    <row r="913" spans="1:29" ht="36" customHeight="1">
      <c r="A913" s="81"/>
      <c r="B913" s="81"/>
      <c r="C913" s="81"/>
      <c r="D913" s="81"/>
      <c r="E913" s="80"/>
      <c r="F913" s="80"/>
      <c r="G913" s="80"/>
      <c r="H913" s="94"/>
      <c r="I913" s="81"/>
      <c r="J913" s="35"/>
      <c r="K913" s="36"/>
      <c r="L913" s="36"/>
      <c r="M913" s="36"/>
      <c r="N913" s="36"/>
      <c r="O913" s="36"/>
      <c r="P913" s="36"/>
      <c r="Q913" s="36"/>
      <c r="R913" s="36"/>
      <c r="S913" s="36"/>
      <c r="T913" s="36"/>
      <c r="U913" s="36"/>
      <c r="V913" s="36"/>
      <c r="W913" s="36"/>
      <c r="X913" s="36"/>
      <c r="Y913" s="36"/>
      <c r="Z913" s="36"/>
      <c r="AA913" s="36"/>
      <c r="AB913" s="36"/>
      <c r="AC913" s="36"/>
    </row>
    <row r="914" spans="1:29" ht="24" customHeight="1">
      <c r="A914" s="81"/>
      <c r="B914" s="81"/>
      <c r="C914" s="81"/>
      <c r="D914" s="81"/>
      <c r="E914" s="80"/>
      <c r="F914" s="80"/>
      <c r="G914" s="80"/>
      <c r="H914" s="94"/>
      <c r="I914" s="81"/>
      <c r="J914" s="35"/>
      <c r="K914" s="36"/>
      <c r="L914" s="36"/>
      <c r="M914" s="36"/>
      <c r="N914" s="36"/>
      <c r="O914" s="36"/>
      <c r="P914" s="36"/>
      <c r="Q914" s="36"/>
      <c r="R914" s="36"/>
      <c r="S914" s="36"/>
      <c r="T914" s="36"/>
      <c r="U914" s="36"/>
      <c r="V914" s="36"/>
      <c r="W914" s="36"/>
      <c r="X914" s="36"/>
      <c r="Y914" s="36"/>
      <c r="Z914" s="36"/>
      <c r="AA914" s="36"/>
      <c r="AB914" s="36"/>
      <c r="AC914" s="36"/>
    </row>
    <row r="915" spans="1:29" ht="48" customHeight="1">
      <c r="A915" s="81"/>
      <c r="B915" s="81"/>
      <c r="C915" s="81"/>
      <c r="D915" s="81"/>
      <c r="E915" s="80"/>
      <c r="F915" s="80"/>
      <c r="G915" s="80"/>
      <c r="H915" s="94"/>
      <c r="I915" s="81"/>
      <c r="J915" s="35"/>
      <c r="K915" s="36"/>
      <c r="L915" s="36"/>
      <c r="M915" s="36"/>
      <c r="N915" s="36"/>
      <c r="O915" s="36"/>
      <c r="P915" s="36"/>
      <c r="Q915" s="36"/>
      <c r="R915" s="36"/>
      <c r="S915" s="36"/>
      <c r="T915" s="36"/>
      <c r="U915" s="36"/>
      <c r="V915" s="36"/>
      <c r="W915" s="36"/>
      <c r="X915" s="36"/>
      <c r="Y915" s="36"/>
      <c r="Z915" s="36"/>
      <c r="AA915" s="36"/>
      <c r="AB915" s="36"/>
      <c r="AC915" s="36"/>
    </row>
    <row r="916" spans="1:29" ht="24" customHeight="1">
      <c r="A916" s="81"/>
      <c r="B916" s="81"/>
      <c r="C916" s="81"/>
      <c r="D916" s="81"/>
      <c r="E916" s="80"/>
      <c r="F916" s="80"/>
      <c r="G916" s="80"/>
      <c r="H916" s="94"/>
      <c r="I916" s="81"/>
      <c r="J916" s="35"/>
      <c r="K916" s="36"/>
      <c r="L916" s="36"/>
      <c r="M916" s="36"/>
      <c r="N916" s="36"/>
      <c r="O916" s="36"/>
      <c r="P916" s="36"/>
      <c r="Q916" s="36"/>
      <c r="R916" s="36"/>
      <c r="S916" s="36"/>
      <c r="T916" s="36"/>
      <c r="U916" s="36"/>
      <c r="V916" s="36"/>
      <c r="W916" s="36"/>
      <c r="X916" s="36"/>
      <c r="Y916" s="36"/>
      <c r="Z916" s="36"/>
      <c r="AA916" s="36"/>
      <c r="AB916" s="36"/>
      <c r="AC916" s="36"/>
    </row>
    <row r="917" spans="1:29" ht="24" customHeight="1">
      <c r="A917" s="81"/>
      <c r="B917" s="81"/>
      <c r="C917" s="81"/>
      <c r="D917" s="81"/>
      <c r="E917" s="80"/>
      <c r="F917" s="80"/>
      <c r="G917" s="80"/>
      <c r="H917" s="94"/>
      <c r="I917" s="81"/>
      <c r="J917" s="35"/>
      <c r="K917" s="36"/>
      <c r="L917" s="36"/>
      <c r="M917" s="36"/>
      <c r="N917" s="36"/>
      <c r="O917" s="36"/>
      <c r="P917" s="36"/>
      <c r="Q917" s="36"/>
      <c r="R917" s="36"/>
      <c r="S917" s="36"/>
      <c r="T917" s="36"/>
      <c r="U917" s="36"/>
      <c r="V917" s="36"/>
      <c r="W917" s="36"/>
      <c r="X917" s="36"/>
      <c r="Y917" s="36"/>
      <c r="Z917" s="36"/>
      <c r="AA917" s="36"/>
      <c r="AB917" s="36"/>
      <c r="AC917" s="36"/>
    </row>
    <row r="918" spans="1:29" ht="36" customHeight="1">
      <c r="A918" s="81"/>
      <c r="B918" s="81"/>
      <c r="C918" s="81"/>
      <c r="D918" s="81"/>
      <c r="E918" s="80"/>
      <c r="F918" s="80"/>
      <c r="G918" s="80"/>
      <c r="H918" s="94"/>
      <c r="I918" s="81"/>
      <c r="J918" s="35"/>
      <c r="K918" s="36"/>
      <c r="L918" s="36"/>
      <c r="M918" s="36"/>
      <c r="N918" s="36"/>
      <c r="O918" s="36"/>
      <c r="P918" s="36"/>
      <c r="Q918" s="36"/>
      <c r="R918" s="36"/>
      <c r="S918" s="36"/>
      <c r="T918" s="36"/>
      <c r="U918" s="36"/>
      <c r="V918" s="36"/>
      <c r="W918" s="36"/>
      <c r="X918" s="36"/>
      <c r="Y918" s="36"/>
      <c r="Z918" s="36"/>
      <c r="AA918" s="36"/>
      <c r="AB918" s="36"/>
      <c r="AC918" s="36"/>
    </row>
    <row r="919" spans="1:29" ht="24" customHeight="1">
      <c r="A919" s="81"/>
      <c r="B919" s="81"/>
      <c r="C919" s="81"/>
      <c r="D919" s="81"/>
      <c r="E919" s="80"/>
      <c r="F919" s="80"/>
      <c r="G919" s="80"/>
      <c r="H919" s="94"/>
      <c r="I919" s="81"/>
      <c r="J919" s="35"/>
      <c r="K919" s="36"/>
      <c r="L919" s="36"/>
      <c r="M919" s="36"/>
      <c r="N919" s="36"/>
      <c r="O919" s="36"/>
      <c r="P919" s="36"/>
      <c r="Q919" s="36"/>
      <c r="R919" s="36"/>
      <c r="S919" s="36"/>
      <c r="T919" s="36"/>
      <c r="U919" s="36"/>
      <c r="V919" s="36"/>
      <c r="W919" s="36"/>
      <c r="X919" s="36"/>
      <c r="Y919" s="36"/>
      <c r="Z919" s="36"/>
      <c r="AA919" s="36"/>
      <c r="AB919" s="36"/>
      <c r="AC919" s="36"/>
    </row>
    <row r="920" spans="1:29" ht="24" customHeight="1">
      <c r="A920" s="81"/>
      <c r="B920" s="81"/>
      <c r="C920" s="81"/>
      <c r="D920" s="81"/>
      <c r="E920" s="80"/>
      <c r="F920" s="80"/>
      <c r="G920" s="80"/>
      <c r="H920" s="94"/>
      <c r="I920" s="81"/>
      <c r="J920" s="35"/>
      <c r="K920" s="36"/>
      <c r="L920" s="36"/>
      <c r="M920" s="36"/>
      <c r="N920" s="36"/>
      <c r="O920" s="36"/>
      <c r="P920" s="36"/>
      <c r="Q920" s="36"/>
      <c r="R920" s="36"/>
      <c r="S920" s="36"/>
      <c r="T920" s="36"/>
      <c r="U920" s="36"/>
      <c r="V920" s="36"/>
      <c r="W920" s="36"/>
      <c r="X920" s="36"/>
      <c r="Y920" s="36"/>
      <c r="Z920" s="36"/>
      <c r="AA920" s="36"/>
      <c r="AB920" s="36"/>
      <c r="AC920" s="36"/>
    </row>
    <row r="921" spans="1:29" ht="12" customHeight="1">
      <c r="A921" s="619"/>
      <c r="B921" s="81"/>
      <c r="C921" s="81"/>
      <c r="D921" s="81"/>
      <c r="E921" s="80"/>
      <c r="F921" s="80"/>
      <c r="G921" s="80"/>
      <c r="H921" s="94"/>
      <c r="I921" s="81"/>
      <c r="J921" s="35"/>
      <c r="K921" s="36"/>
      <c r="L921" s="36"/>
      <c r="M921" s="36"/>
      <c r="N921" s="36"/>
      <c r="O921" s="36"/>
      <c r="P921" s="36"/>
      <c r="Q921" s="36"/>
      <c r="R921" s="36"/>
      <c r="S921" s="36"/>
      <c r="T921" s="36"/>
      <c r="U921" s="36"/>
      <c r="V921" s="36"/>
      <c r="W921" s="36"/>
      <c r="X921" s="36"/>
      <c r="Y921" s="36"/>
      <c r="Z921" s="36"/>
      <c r="AA921" s="36"/>
      <c r="AB921" s="36"/>
      <c r="AC921" s="36"/>
    </row>
    <row r="922" spans="1:29" ht="48" customHeight="1">
      <c r="A922" s="81"/>
      <c r="B922" s="81"/>
      <c r="C922" s="81"/>
      <c r="D922" s="81"/>
      <c r="E922" s="80"/>
      <c r="F922" s="80"/>
      <c r="G922" s="80"/>
      <c r="H922" s="94"/>
      <c r="I922" s="81"/>
      <c r="J922" s="35"/>
      <c r="K922" s="36"/>
      <c r="L922" s="36"/>
      <c r="M922" s="36"/>
      <c r="N922" s="36"/>
      <c r="O922" s="36"/>
      <c r="P922" s="36"/>
      <c r="Q922" s="36"/>
      <c r="R922" s="36"/>
      <c r="S922" s="36"/>
      <c r="T922" s="36"/>
      <c r="U922" s="36"/>
      <c r="V922" s="36"/>
      <c r="W922" s="36"/>
      <c r="X922" s="36"/>
      <c r="Y922" s="36"/>
      <c r="Z922" s="36"/>
      <c r="AA922" s="36"/>
      <c r="AB922" s="36"/>
      <c r="AC922" s="36"/>
    </row>
    <row r="923" spans="1:29" ht="24" customHeight="1">
      <c r="A923" s="81"/>
      <c r="B923" s="81"/>
      <c r="C923" s="81"/>
      <c r="D923" s="81"/>
      <c r="E923" s="80"/>
      <c r="F923" s="80"/>
      <c r="G923" s="80"/>
      <c r="H923" s="94"/>
      <c r="I923" s="81"/>
      <c r="J923" s="35"/>
      <c r="K923" s="36"/>
      <c r="L923" s="36"/>
      <c r="M923" s="36"/>
      <c r="N923" s="36"/>
      <c r="O923" s="36"/>
      <c r="P923" s="36"/>
      <c r="Q923" s="36"/>
      <c r="R923" s="36"/>
      <c r="S923" s="36"/>
      <c r="T923" s="36"/>
      <c r="U923" s="36"/>
      <c r="V923" s="36"/>
      <c r="W923" s="36"/>
      <c r="X923" s="36"/>
      <c r="Y923" s="36"/>
      <c r="Z923" s="36"/>
      <c r="AA923" s="36"/>
      <c r="AB923" s="36"/>
      <c r="AC923" s="36"/>
    </row>
    <row r="924" spans="1:29" ht="36" customHeight="1">
      <c r="A924" s="81"/>
      <c r="B924" s="81"/>
      <c r="C924" s="81"/>
      <c r="D924" s="81"/>
      <c r="E924" s="80"/>
      <c r="F924" s="80"/>
      <c r="G924" s="80"/>
      <c r="H924" s="94"/>
      <c r="I924" s="81"/>
      <c r="J924" s="35"/>
      <c r="K924" s="36"/>
      <c r="L924" s="36"/>
      <c r="M924" s="36"/>
      <c r="N924" s="36"/>
      <c r="O924" s="36"/>
      <c r="P924" s="36"/>
      <c r="Q924" s="36"/>
      <c r="R924" s="36"/>
      <c r="S924" s="36"/>
      <c r="T924" s="36"/>
      <c r="U924" s="36"/>
      <c r="V924" s="36"/>
      <c r="W924" s="36"/>
      <c r="X924" s="36"/>
      <c r="Y924" s="36"/>
      <c r="Z924" s="36"/>
      <c r="AA924" s="36"/>
      <c r="AB924" s="36"/>
      <c r="AC924" s="36"/>
    </row>
    <row r="925" spans="1:29" ht="36" customHeight="1">
      <c r="A925" s="81"/>
      <c r="B925" s="81"/>
      <c r="C925" s="81"/>
      <c r="D925" s="81"/>
      <c r="E925" s="80"/>
      <c r="F925" s="80"/>
      <c r="G925" s="80"/>
      <c r="H925" s="94"/>
      <c r="I925" s="81"/>
      <c r="J925" s="35"/>
      <c r="K925" s="36"/>
      <c r="L925" s="36"/>
      <c r="M925" s="36"/>
      <c r="N925" s="36"/>
      <c r="O925" s="36"/>
      <c r="P925" s="36"/>
      <c r="Q925" s="36"/>
      <c r="R925" s="36"/>
      <c r="S925" s="36"/>
      <c r="T925" s="36"/>
      <c r="U925" s="36"/>
      <c r="V925" s="36"/>
      <c r="W925" s="36"/>
      <c r="X925" s="36"/>
      <c r="Y925" s="36"/>
      <c r="Z925" s="36"/>
      <c r="AA925" s="36"/>
      <c r="AB925" s="36"/>
      <c r="AC925" s="36"/>
    </row>
    <row r="926" spans="1:29" ht="48" customHeight="1">
      <c r="A926" s="81"/>
      <c r="B926" s="81"/>
      <c r="C926" s="81"/>
      <c r="D926" s="81"/>
      <c r="E926" s="80"/>
      <c r="F926" s="80"/>
      <c r="G926" s="80"/>
      <c r="H926" s="634"/>
      <c r="I926" s="95"/>
      <c r="J926" s="35"/>
      <c r="K926" s="36"/>
      <c r="L926" s="36"/>
      <c r="M926" s="36"/>
      <c r="N926" s="36"/>
      <c r="O926" s="36"/>
      <c r="P926" s="36"/>
      <c r="Q926" s="36"/>
      <c r="R926" s="36"/>
      <c r="S926" s="36"/>
      <c r="T926" s="36"/>
      <c r="U926" s="36"/>
      <c r="V926" s="36"/>
      <c r="W926" s="36"/>
      <c r="X926" s="36"/>
      <c r="Y926" s="36"/>
      <c r="Z926" s="36"/>
      <c r="AA926" s="36"/>
      <c r="AB926" s="36"/>
      <c r="AC926" s="36"/>
    </row>
    <row r="927" spans="1:29" ht="24" customHeight="1">
      <c r="A927" s="81"/>
      <c r="B927" s="94"/>
      <c r="C927" s="81"/>
      <c r="D927" s="81"/>
      <c r="E927" s="80"/>
      <c r="F927" s="80"/>
      <c r="G927" s="80"/>
      <c r="H927" s="94"/>
      <c r="I927" s="81"/>
      <c r="J927" s="35"/>
      <c r="K927" s="36"/>
      <c r="L927" s="36"/>
      <c r="M927" s="36"/>
      <c r="N927" s="36"/>
      <c r="O927" s="36"/>
      <c r="P927" s="36"/>
      <c r="Q927" s="36"/>
      <c r="R927" s="36"/>
      <c r="S927" s="36"/>
      <c r="T927" s="36"/>
      <c r="U927" s="36"/>
      <c r="V927" s="36"/>
      <c r="W927" s="36"/>
      <c r="X927" s="36"/>
      <c r="Y927" s="36"/>
      <c r="Z927" s="36"/>
      <c r="AA927" s="36"/>
      <c r="AB927" s="36"/>
      <c r="AC927" s="36"/>
    </row>
    <row r="928" spans="1:29" ht="36" customHeight="1">
      <c r="A928" s="81"/>
      <c r="B928" s="94"/>
      <c r="C928" s="81"/>
      <c r="D928" s="81"/>
      <c r="E928" s="80"/>
      <c r="F928" s="80"/>
      <c r="G928" s="80"/>
      <c r="H928" s="94"/>
      <c r="I928" s="81"/>
      <c r="J928" s="35"/>
      <c r="K928" s="36"/>
      <c r="L928" s="36"/>
      <c r="M928" s="36"/>
      <c r="N928" s="36"/>
      <c r="O928" s="36"/>
      <c r="P928" s="36"/>
      <c r="Q928" s="36"/>
      <c r="R928" s="36"/>
      <c r="S928" s="36"/>
      <c r="T928" s="36"/>
      <c r="U928" s="36"/>
      <c r="V928" s="36"/>
      <c r="W928" s="36"/>
      <c r="X928" s="36"/>
      <c r="Y928" s="36"/>
      <c r="Z928" s="36"/>
      <c r="AA928" s="36"/>
      <c r="AB928" s="36"/>
      <c r="AC928" s="36"/>
    </row>
    <row r="929" spans="1:29" ht="24" customHeight="1">
      <c r="A929" s="81"/>
      <c r="B929" s="94"/>
      <c r="C929" s="81"/>
      <c r="D929" s="81"/>
      <c r="E929" s="80"/>
      <c r="F929" s="80"/>
      <c r="G929" s="80"/>
      <c r="H929" s="94"/>
      <c r="I929" s="81"/>
      <c r="J929" s="35"/>
      <c r="K929" s="36"/>
      <c r="L929" s="36"/>
      <c r="M929" s="36"/>
      <c r="N929" s="36"/>
      <c r="O929" s="36"/>
      <c r="P929" s="36"/>
      <c r="Q929" s="36"/>
      <c r="R929" s="36"/>
      <c r="S929" s="36"/>
      <c r="T929" s="36"/>
      <c r="U929" s="36"/>
      <c r="V929" s="36"/>
      <c r="W929" s="36"/>
      <c r="X929" s="36"/>
      <c r="Y929" s="36"/>
      <c r="Z929" s="36"/>
      <c r="AA929" s="36"/>
      <c r="AB929" s="36"/>
      <c r="AC929" s="36"/>
    </row>
    <row r="930" spans="1:29" ht="24" customHeight="1">
      <c r="A930" s="81"/>
      <c r="B930" s="94"/>
      <c r="C930" s="81"/>
      <c r="D930" s="81"/>
      <c r="E930" s="80"/>
      <c r="F930" s="80"/>
      <c r="G930" s="80"/>
      <c r="H930" s="94"/>
      <c r="I930" s="81"/>
      <c r="J930" s="35"/>
      <c r="K930" s="36"/>
      <c r="L930" s="36"/>
      <c r="M930" s="36"/>
      <c r="N930" s="36"/>
      <c r="O930" s="36"/>
      <c r="P930" s="36"/>
      <c r="Q930" s="36"/>
      <c r="R930" s="36"/>
      <c r="S930" s="36"/>
      <c r="T930" s="36"/>
      <c r="U930" s="36"/>
      <c r="V930" s="36"/>
      <c r="W930" s="36"/>
      <c r="X930" s="36"/>
      <c r="Y930" s="36"/>
      <c r="Z930" s="36"/>
      <c r="AA930" s="36"/>
      <c r="AB930" s="36"/>
      <c r="AC930" s="36"/>
    </row>
    <row r="931" spans="1:29" ht="36" customHeight="1">
      <c r="A931" s="81"/>
      <c r="B931" s="94"/>
      <c r="C931" s="81"/>
      <c r="D931" s="81"/>
      <c r="E931" s="80"/>
      <c r="F931" s="80"/>
      <c r="G931" s="80"/>
      <c r="H931" s="94"/>
      <c r="I931" s="81"/>
      <c r="J931" s="35"/>
      <c r="K931" s="36"/>
      <c r="L931" s="36"/>
      <c r="M931" s="36"/>
      <c r="N931" s="36"/>
      <c r="O931" s="36"/>
      <c r="P931" s="36"/>
      <c r="Q931" s="36"/>
      <c r="R931" s="36"/>
      <c r="S931" s="36"/>
      <c r="T931" s="36"/>
      <c r="U931" s="36"/>
      <c r="V931" s="36"/>
      <c r="W931" s="36"/>
      <c r="X931" s="36"/>
      <c r="Y931" s="36"/>
      <c r="Z931" s="36"/>
      <c r="AA931" s="36"/>
      <c r="AB931" s="36"/>
      <c r="AC931" s="36"/>
    </row>
    <row r="932" spans="1:29" ht="15" customHeight="1">
      <c r="A932" s="81"/>
      <c r="B932" s="94"/>
      <c r="C932" s="81"/>
      <c r="D932" s="81"/>
      <c r="E932" s="80"/>
      <c r="F932" s="80"/>
      <c r="G932" s="80"/>
      <c r="H932" s="94"/>
      <c r="I932" s="81"/>
      <c r="J932" s="35"/>
      <c r="K932" s="36"/>
      <c r="L932" s="36"/>
      <c r="M932" s="36"/>
      <c r="N932" s="36"/>
      <c r="O932" s="36"/>
      <c r="P932" s="36"/>
      <c r="Q932" s="36"/>
      <c r="R932" s="36"/>
      <c r="S932" s="36"/>
      <c r="T932" s="36"/>
      <c r="U932" s="36"/>
      <c r="V932" s="36"/>
      <c r="W932" s="36"/>
      <c r="X932" s="36"/>
      <c r="Y932" s="36"/>
      <c r="Z932" s="36"/>
      <c r="AA932" s="36"/>
      <c r="AB932" s="36"/>
      <c r="AC932" s="36"/>
    </row>
    <row r="933" spans="1:29" ht="72" customHeight="1">
      <c r="A933" s="81"/>
      <c r="B933" s="94"/>
      <c r="C933" s="81"/>
      <c r="D933" s="81"/>
      <c r="E933" s="80"/>
      <c r="F933" s="80"/>
      <c r="G933" s="80"/>
      <c r="H933" s="94"/>
      <c r="I933" s="81"/>
      <c r="J933" s="35"/>
      <c r="K933" s="36"/>
      <c r="L933" s="36"/>
      <c r="M933" s="36"/>
      <c r="N933" s="36"/>
      <c r="O933" s="36"/>
      <c r="P933" s="36"/>
      <c r="Q933" s="36"/>
      <c r="R933" s="36"/>
      <c r="S933" s="36"/>
      <c r="T933" s="36"/>
      <c r="U933" s="36"/>
      <c r="V933" s="36"/>
      <c r="W933" s="36"/>
      <c r="X933" s="36"/>
      <c r="Y933" s="36"/>
      <c r="Z933" s="36"/>
      <c r="AA933" s="36"/>
      <c r="AB933" s="36"/>
      <c r="AC933" s="36"/>
    </row>
    <row r="934" spans="1:29" ht="24" customHeight="1">
      <c r="A934" s="81"/>
      <c r="B934" s="94"/>
      <c r="C934" s="81"/>
      <c r="D934" s="81"/>
      <c r="E934" s="80"/>
      <c r="F934" s="80"/>
      <c r="G934" s="80"/>
      <c r="H934" s="94"/>
      <c r="I934" s="81"/>
      <c r="J934" s="35"/>
      <c r="K934" s="36"/>
      <c r="L934" s="36"/>
      <c r="M934" s="36"/>
      <c r="N934" s="36"/>
      <c r="O934" s="36"/>
      <c r="P934" s="36"/>
      <c r="Q934" s="36"/>
      <c r="R934" s="36"/>
      <c r="S934" s="36"/>
      <c r="T934" s="36"/>
      <c r="U934" s="36"/>
      <c r="V934" s="36"/>
      <c r="W934" s="36"/>
      <c r="X934" s="36"/>
      <c r="Y934" s="36"/>
      <c r="Z934" s="36"/>
      <c r="AA934" s="36"/>
      <c r="AB934" s="36"/>
      <c r="AC934" s="36"/>
    </row>
    <row r="935" spans="1:29" ht="24" customHeight="1">
      <c r="A935" s="81"/>
      <c r="B935" s="94"/>
      <c r="C935" s="81"/>
      <c r="D935" s="81"/>
      <c r="E935" s="80"/>
      <c r="F935" s="80"/>
      <c r="G935" s="80"/>
      <c r="H935" s="94"/>
      <c r="I935" s="81"/>
      <c r="J935" s="35"/>
      <c r="K935" s="36"/>
      <c r="L935" s="36"/>
      <c r="M935" s="36"/>
      <c r="N935" s="36"/>
      <c r="O935" s="36"/>
      <c r="P935" s="36"/>
      <c r="Q935" s="36"/>
      <c r="R935" s="36"/>
      <c r="S935" s="36"/>
      <c r="T935" s="36"/>
      <c r="U935" s="36"/>
      <c r="V935" s="36"/>
      <c r="W935" s="36"/>
      <c r="X935" s="36"/>
      <c r="Y935" s="36"/>
      <c r="Z935" s="36"/>
      <c r="AA935" s="36"/>
      <c r="AB935" s="36"/>
      <c r="AC935" s="36"/>
    </row>
    <row r="936" spans="1:29" ht="12" customHeight="1">
      <c r="A936" s="81"/>
      <c r="B936" s="94"/>
      <c r="C936" s="81"/>
      <c r="D936" s="81"/>
      <c r="E936" s="80"/>
      <c r="F936" s="80"/>
      <c r="G936" s="80"/>
      <c r="H936" s="94"/>
      <c r="I936" s="81"/>
      <c r="J936" s="35"/>
      <c r="K936" s="36"/>
      <c r="L936" s="36"/>
      <c r="M936" s="36"/>
      <c r="N936" s="36"/>
      <c r="O936" s="36"/>
      <c r="P936" s="36"/>
      <c r="Q936" s="36"/>
      <c r="R936" s="36"/>
      <c r="S936" s="36"/>
      <c r="T936" s="36"/>
      <c r="U936" s="36"/>
      <c r="V936" s="36"/>
      <c r="W936" s="36"/>
      <c r="X936" s="36"/>
      <c r="Y936" s="36"/>
      <c r="Z936" s="36"/>
      <c r="AA936" s="36"/>
      <c r="AB936" s="36"/>
      <c r="AC936" s="36"/>
    </row>
    <row r="937" spans="1:29" ht="12" customHeight="1">
      <c r="A937" s="81"/>
      <c r="B937" s="94"/>
      <c r="C937" s="81"/>
      <c r="D937" s="81"/>
      <c r="E937" s="80"/>
      <c r="F937" s="80"/>
      <c r="G937" s="80"/>
      <c r="H937" s="94"/>
      <c r="I937" s="81"/>
      <c r="J937" s="35"/>
      <c r="K937" s="36"/>
      <c r="L937" s="36"/>
      <c r="M937" s="36"/>
      <c r="N937" s="36"/>
      <c r="O937" s="36"/>
      <c r="P937" s="36"/>
      <c r="Q937" s="36"/>
      <c r="R937" s="36"/>
      <c r="S937" s="36"/>
      <c r="T937" s="36"/>
      <c r="U937" s="36"/>
      <c r="V937" s="36"/>
      <c r="W937" s="36"/>
      <c r="X937" s="36"/>
      <c r="Y937" s="36"/>
      <c r="Z937" s="36"/>
      <c r="AA937" s="36"/>
      <c r="AB937" s="36"/>
      <c r="AC937" s="36"/>
    </row>
    <row r="938" spans="1:29" ht="24" customHeight="1">
      <c r="A938" s="619"/>
      <c r="B938" s="94"/>
      <c r="C938" s="81"/>
      <c r="D938" s="81"/>
      <c r="E938" s="80"/>
      <c r="F938" s="80"/>
      <c r="G938" s="80"/>
      <c r="H938" s="94"/>
      <c r="I938" s="81"/>
      <c r="J938" s="35"/>
      <c r="K938" s="36"/>
      <c r="L938" s="36"/>
      <c r="M938" s="36"/>
      <c r="N938" s="36"/>
      <c r="O938" s="36"/>
      <c r="P938" s="36"/>
      <c r="Q938" s="36"/>
      <c r="R938" s="36"/>
      <c r="S938" s="36"/>
      <c r="T938" s="36"/>
      <c r="U938" s="36"/>
      <c r="V938" s="36"/>
      <c r="W938" s="36"/>
      <c r="X938" s="36"/>
      <c r="Y938" s="36"/>
      <c r="Z938" s="36"/>
      <c r="AA938" s="36"/>
      <c r="AB938" s="36"/>
      <c r="AC938" s="36"/>
    </row>
    <row r="939" spans="1:29" ht="132" customHeight="1">
      <c r="A939" s="81"/>
      <c r="B939" s="94"/>
      <c r="C939" s="81"/>
      <c r="D939" s="81"/>
      <c r="E939" s="80"/>
      <c r="F939" s="80"/>
      <c r="G939" s="80"/>
      <c r="H939" s="94"/>
      <c r="I939" s="81"/>
      <c r="J939" s="35"/>
      <c r="K939" s="36"/>
      <c r="L939" s="36"/>
      <c r="M939" s="36"/>
      <c r="N939" s="36"/>
      <c r="O939" s="36"/>
      <c r="P939" s="36"/>
      <c r="Q939" s="36"/>
      <c r="R939" s="36"/>
      <c r="S939" s="36"/>
      <c r="T939" s="36"/>
      <c r="U939" s="36"/>
      <c r="V939" s="36"/>
      <c r="W939" s="36"/>
      <c r="X939" s="36"/>
      <c r="Y939" s="36"/>
      <c r="Z939" s="36"/>
      <c r="AA939" s="36"/>
      <c r="AB939" s="36"/>
      <c r="AC939" s="36"/>
    </row>
    <row r="940" spans="1:29" ht="24" customHeight="1">
      <c r="A940" s="81"/>
      <c r="B940" s="94"/>
      <c r="C940" s="81"/>
      <c r="D940" s="81"/>
      <c r="E940" s="80"/>
      <c r="F940" s="80"/>
      <c r="G940" s="80"/>
      <c r="H940" s="94"/>
      <c r="I940" s="81"/>
      <c r="J940" s="35"/>
      <c r="K940" s="36"/>
      <c r="L940" s="36"/>
      <c r="M940" s="36"/>
      <c r="N940" s="36"/>
      <c r="O940" s="36"/>
      <c r="P940" s="36"/>
      <c r="Q940" s="36"/>
      <c r="R940" s="36"/>
      <c r="S940" s="36"/>
      <c r="T940" s="36"/>
      <c r="U940" s="36"/>
      <c r="V940" s="36"/>
      <c r="W940" s="36"/>
      <c r="X940" s="36"/>
      <c r="Y940" s="36"/>
      <c r="Z940" s="36"/>
      <c r="AA940" s="36"/>
      <c r="AB940" s="36"/>
      <c r="AC940" s="36"/>
    </row>
    <row r="941" spans="1:29" ht="156" customHeight="1">
      <c r="A941" s="81"/>
      <c r="B941" s="94"/>
      <c r="C941" s="94"/>
      <c r="D941" s="81"/>
      <c r="E941" s="80"/>
      <c r="F941" s="80"/>
      <c r="G941" s="80"/>
      <c r="H941" s="94"/>
      <c r="I941" s="81"/>
      <c r="J941" s="35"/>
      <c r="K941" s="36"/>
      <c r="L941" s="36"/>
      <c r="M941" s="36"/>
      <c r="N941" s="36"/>
      <c r="O941" s="36"/>
      <c r="P941" s="36"/>
      <c r="Q941" s="36"/>
      <c r="R941" s="36"/>
      <c r="S941" s="36"/>
      <c r="T941" s="36"/>
      <c r="U941" s="36"/>
      <c r="V941" s="36"/>
      <c r="W941" s="36"/>
      <c r="X941" s="36"/>
      <c r="Y941" s="36"/>
      <c r="Z941" s="36"/>
      <c r="AA941" s="36"/>
      <c r="AB941" s="36"/>
      <c r="AC941" s="36"/>
    </row>
    <row r="942" spans="1:29" ht="96" customHeight="1">
      <c r="A942" s="81"/>
      <c r="B942" s="94"/>
      <c r="C942" s="81"/>
      <c r="D942" s="81"/>
      <c r="E942" s="80"/>
      <c r="F942" s="80"/>
      <c r="G942" s="80"/>
      <c r="H942" s="94"/>
      <c r="I942" s="81"/>
      <c r="J942" s="35"/>
      <c r="K942" s="36"/>
      <c r="L942" s="36"/>
      <c r="M942" s="36"/>
      <c r="N942" s="36"/>
      <c r="O942" s="36"/>
      <c r="P942" s="36"/>
      <c r="Q942" s="36"/>
      <c r="R942" s="36"/>
      <c r="S942" s="36"/>
      <c r="T942" s="36"/>
      <c r="U942" s="36"/>
      <c r="V942" s="36"/>
      <c r="W942" s="36"/>
      <c r="X942" s="36"/>
      <c r="Y942" s="36"/>
      <c r="Z942" s="36"/>
      <c r="AA942" s="36"/>
      <c r="AB942" s="36"/>
      <c r="AC942" s="36"/>
    </row>
    <row r="943" spans="1:29" ht="156" customHeight="1">
      <c r="A943" s="81"/>
      <c r="B943" s="634"/>
      <c r="C943" s="95"/>
      <c r="D943" s="81"/>
      <c r="E943" s="80"/>
      <c r="F943" s="80"/>
      <c r="G943" s="80"/>
      <c r="H943" s="94"/>
      <c r="I943" s="81"/>
      <c r="J943" s="35"/>
      <c r="K943" s="36"/>
      <c r="L943" s="36"/>
      <c r="M943" s="36"/>
      <c r="N943" s="36"/>
      <c r="O943" s="36"/>
      <c r="P943" s="36"/>
      <c r="Q943" s="36"/>
      <c r="R943" s="36"/>
      <c r="S943" s="36"/>
      <c r="T943" s="36"/>
      <c r="U943" s="36"/>
      <c r="V943" s="36"/>
      <c r="W943" s="36"/>
      <c r="X943" s="36"/>
      <c r="Y943" s="36"/>
      <c r="Z943" s="36"/>
      <c r="AA943" s="36"/>
      <c r="AB943" s="36"/>
      <c r="AC943" s="36"/>
    </row>
    <row r="944" spans="1:29" ht="216" customHeight="1">
      <c r="A944" s="81"/>
      <c r="B944" s="94"/>
      <c r="C944" s="81"/>
      <c r="D944" s="81"/>
      <c r="E944" s="80"/>
      <c r="F944" s="80"/>
      <c r="G944" s="80"/>
      <c r="H944" s="94"/>
      <c r="I944" s="81"/>
      <c r="J944" s="35"/>
      <c r="K944" s="36"/>
      <c r="L944" s="36"/>
      <c r="M944" s="36"/>
      <c r="N944" s="36"/>
      <c r="O944" s="36"/>
      <c r="P944" s="36"/>
      <c r="Q944" s="36"/>
      <c r="R944" s="36"/>
      <c r="S944" s="36"/>
      <c r="T944" s="36"/>
      <c r="U944" s="36"/>
      <c r="V944" s="36"/>
      <c r="W944" s="36"/>
      <c r="X944" s="36"/>
      <c r="Y944" s="36"/>
      <c r="Z944" s="36"/>
      <c r="AA944" s="36"/>
      <c r="AB944" s="36"/>
      <c r="AC944" s="36"/>
    </row>
    <row r="945" spans="1:29" ht="240" customHeight="1">
      <c r="A945" s="81"/>
      <c r="B945" s="94"/>
      <c r="C945" s="81"/>
      <c r="D945" s="81"/>
      <c r="E945" s="80"/>
      <c r="F945" s="80"/>
      <c r="G945" s="80"/>
      <c r="H945" s="94"/>
      <c r="I945" s="81"/>
      <c r="J945" s="35"/>
      <c r="K945" s="36"/>
      <c r="L945" s="36"/>
      <c r="M945" s="36"/>
      <c r="N945" s="36"/>
      <c r="O945" s="36"/>
      <c r="P945" s="36"/>
      <c r="Q945" s="36"/>
      <c r="R945" s="36"/>
      <c r="S945" s="36"/>
      <c r="T945" s="36"/>
      <c r="U945" s="36"/>
      <c r="V945" s="36"/>
      <c r="W945" s="36"/>
      <c r="X945" s="36"/>
      <c r="Y945" s="36"/>
      <c r="Z945" s="36"/>
      <c r="AA945" s="36"/>
      <c r="AB945" s="36"/>
      <c r="AC945" s="36"/>
    </row>
    <row r="946" spans="1:29" ht="192" customHeight="1">
      <c r="A946" s="81"/>
      <c r="B946" s="634"/>
      <c r="C946" s="81"/>
      <c r="D946" s="81"/>
      <c r="E946" s="80"/>
      <c r="F946" s="80"/>
      <c r="G946" s="80"/>
      <c r="H946" s="94"/>
      <c r="I946" s="81"/>
      <c r="J946" s="35"/>
      <c r="K946" s="36"/>
      <c r="L946" s="36"/>
      <c r="M946" s="36"/>
      <c r="N946" s="36"/>
      <c r="O946" s="36"/>
      <c r="P946" s="36"/>
      <c r="Q946" s="36"/>
      <c r="R946" s="36"/>
      <c r="S946" s="36"/>
      <c r="T946" s="36"/>
      <c r="U946" s="36"/>
      <c r="V946" s="36"/>
      <c r="W946" s="36"/>
      <c r="X946" s="36"/>
      <c r="Y946" s="36"/>
      <c r="Z946" s="36"/>
      <c r="AA946" s="36"/>
      <c r="AB946" s="36"/>
      <c r="AC946" s="36"/>
    </row>
    <row r="947" spans="1:29" ht="24" customHeight="1">
      <c r="A947" s="619"/>
      <c r="B947" s="94"/>
      <c r="C947" s="81"/>
      <c r="D947" s="81"/>
      <c r="E947" s="80"/>
      <c r="F947" s="80"/>
      <c r="G947" s="80"/>
      <c r="H947" s="94"/>
      <c r="I947" s="81"/>
      <c r="J947" s="35"/>
      <c r="K947" s="36"/>
      <c r="L947" s="36"/>
      <c r="M947" s="36"/>
      <c r="N947" s="36"/>
      <c r="O947" s="36"/>
      <c r="P947" s="36"/>
      <c r="Q947" s="36"/>
      <c r="R947" s="36"/>
      <c r="S947" s="36"/>
      <c r="T947" s="36"/>
      <c r="U947" s="36"/>
      <c r="V947" s="36"/>
      <c r="W947" s="36"/>
      <c r="X947" s="36"/>
      <c r="Y947" s="36"/>
      <c r="Z947" s="36"/>
      <c r="AA947" s="36"/>
      <c r="AB947" s="36"/>
      <c r="AC947" s="36"/>
    </row>
    <row r="948" spans="1:29" ht="108" customHeight="1">
      <c r="A948" s="81"/>
      <c r="B948" s="81"/>
      <c r="C948" s="81"/>
      <c r="D948" s="81"/>
      <c r="E948" s="80"/>
      <c r="F948" s="80"/>
      <c r="G948" s="80"/>
      <c r="H948" s="94"/>
      <c r="I948" s="81"/>
      <c r="J948" s="35"/>
      <c r="K948" s="36"/>
      <c r="L948" s="36"/>
      <c r="M948" s="36"/>
      <c r="N948" s="36"/>
      <c r="O948" s="36"/>
      <c r="P948" s="36"/>
      <c r="Q948" s="36"/>
      <c r="R948" s="36"/>
      <c r="S948" s="36"/>
      <c r="T948" s="36"/>
      <c r="U948" s="36"/>
      <c r="V948" s="36"/>
      <c r="W948" s="36"/>
      <c r="X948" s="36"/>
      <c r="Y948" s="36"/>
      <c r="Z948" s="36"/>
      <c r="AA948" s="36"/>
      <c r="AB948" s="36"/>
      <c r="AC948" s="36"/>
    </row>
    <row r="949" spans="1:29" ht="409.5" customHeight="1">
      <c r="A949" s="81"/>
      <c r="B949" s="94"/>
      <c r="C949" s="81"/>
      <c r="D949" s="81"/>
      <c r="E949" s="80"/>
      <c r="F949" s="80"/>
      <c r="G949" s="80"/>
      <c r="H949" s="94"/>
      <c r="I949" s="81"/>
      <c r="J949" s="35"/>
      <c r="K949" s="36"/>
      <c r="L949" s="36"/>
      <c r="M949" s="36"/>
      <c r="N949" s="36"/>
      <c r="O949" s="36"/>
      <c r="P949" s="36"/>
      <c r="Q949" s="36"/>
      <c r="R949" s="36"/>
      <c r="S949" s="36"/>
      <c r="T949" s="36"/>
      <c r="U949" s="36"/>
      <c r="V949" s="36"/>
      <c r="W949" s="36"/>
      <c r="X949" s="36"/>
      <c r="Y949" s="36"/>
      <c r="Z949" s="36"/>
      <c r="AA949" s="36"/>
      <c r="AB949" s="36"/>
      <c r="AC949" s="36"/>
    </row>
    <row r="950" spans="1:29" ht="168" customHeight="1">
      <c r="A950" s="81"/>
      <c r="B950" s="81"/>
      <c r="C950" s="81"/>
      <c r="D950" s="81"/>
      <c r="E950" s="80"/>
      <c r="F950" s="80"/>
      <c r="G950" s="80"/>
      <c r="H950" s="94"/>
      <c r="I950" s="81"/>
      <c r="J950" s="35"/>
      <c r="K950" s="36"/>
      <c r="L950" s="36"/>
      <c r="M950" s="36"/>
      <c r="N950" s="36"/>
      <c r="O950" s="36"/>
      <c r="P950" s="36"/>
      <c r="Q950" s="36"/>
      <c r="R950" s="36"/>
      <c r="S950" s="36"/>
      <c r="T950" s="36"/>
      <c r="U950" s="36"/>
      <c r="V950" s="36"/>
      <c r="W950" s="36"/>
      <c r="X950" s="36"/>
      <c r="Y950" s="36"/>
      <c r="Z950" s="36"/>
      <c r="AA950" s="36"/>
      <c r="AB950" s="36"/>
      <c r="AC950" s="36"/>
    </row>
    <row r="951" spans="1:29" ht="276" customHeight="1">
      <c r="A951" s="81"/>
      <c r="B951" s="81"/>
      <c r="C951" s="81"/>
      <c r="D951" s="81"/>
      <c r="E951" s="80"/>
      <c r="F951" s="80"/>
      <c r="G951" s="80"/>
      <c r="H951" s="94"/>
      <c r="I951" s="81"/>
      <c r="J951" s="35"/>
      <c r="K951" s="36"/>
      <c r="L951" s="36"/>
      <c r="M951" s="36"/>
      <c r="N951" s="36"/>
      <c r="O951" s="36"/>
      <c r="P951" s="36"/>
      <c r="Q951" s="36"/>
      <c r="R951" s="36"/>
      <c r="S951" s="36"/>
      <c r="T951" s="36"/>
      <c r="U951" s="36"/>
      <c r="V951" s="36"/>
      <c r="W951" s="36"/>
      <c r="X951" s="36"/>
      <c r="Y951" s="36"/>
      <c r="Z951" s="36"/>
      <c r="AA951" s="36"/>
      <c r="AB951" s="36"/>
      <c r="AC951" s="36"/>
    </row>
    <row r="952" spans="1:29" ht="180" customHeight="1">
      <c r="A952" s="81"/>
      <c r="B952" s="81"/>
      <c r="C952" s="81"/>
      <c r="D952" s="81"/>
      <c r="E952" s="80"/>
      <c r="F952" s="80"/>
      <c r="G952" s="80"/>
      <c r="H952" s="94"/>
      <c r="I952" s="81"/>
      <c r="J952" s="35"/>
      <c r="K952" s="36"/>
      <c r="L952" s="36"/>
      <c r="M952" s="36"/>
      <c r="N952" s="36"/>
      <c r="O952" s="36"/>
      <c r="P952" s="36"/>
      <c r="Q952" s="36"/>
      <c r="R952" s="36"/>
      <c r="S952" s="36"/>
      <c r="T952" s="36"/>
      <c r="U952" s="36"/>
      <c r="V952" s="36"/>
      <c r="W952" s="36"/>
      <c r="X952" s="36"/>
      <c r="Y952" s="36"/>
      <c r="Z952" s="36"/>
      <c r="AA952" s="36"/>
      <c r="AB952" s="36"/>
      <c r="AC952" s="36"/>
    </row>
    <row r="953" spans="1:29" ht="168" customHeight="1">
      <c r="A953" s="476"/>
      <c r="B953" s="81"/>
      <c r="C953" s="81"/>
      <c r="D953" s="100"/>
      <c r="E953" s="99"/>
      <c r="F953" s="99"/>
      <c r="G953" s="99"/>
      <c r="H953" s="463"/>
      <c r="I953" s="81"/>
      <c r="J953" s="35"/>
      <c r="K953" s="36"/>
      <c r="L953" s="36"/>
      <c r="M953" s="36"/>
      <c r="N953" s="36"/>
      <c r="O953" s="36"/>
      <c r="P953" s="36"/>
      <c r="Q953" s="36"/>
      <c r="R953" s="36"/>
      <c r="S953" s="36"/>
      <c r="T953" s="36"/>
      <c r="U953" s="36"/>
      <c r="V953" s="36"/>
      <c r="W953" s="36"/>
      <c r="X953" s="36"/>
      <c r="Y953" s="36"/>
      <c r="Z953" s="36"/>
      <c r="AA953" s="36"/>
      <c r="AB953" s="36"/>
      <c r="AC953" s="36"/>
    </row>
    <row r="954" spans="1:29" ht="132" customHeight="1">
      <c r="A954" s="81"/>
      <c r="B954" s="81"/>
      <c r="C954" s="81"/>
      <c r="D954" s="81"/>
      <c r="E954" s="80"/>
      <c r="F954" s="80"/>
      <c r="G954" s="80"/>
      <c r="H954" s="94"/>
      <c r="I954" s="81"/>
      <c r="J954" s="35"/>
      <c r="K954" s="36"/>
      <c r="L954" s="36"/>
      <c r="M954" s="36"/>
      <c r="N954" s="36"/>
      <c r="O954" s="36"/>
      <c r="P954" s="36"/>
      <c r="Q954" s="36"/>
      <c r="R954" s="36"/>
      <c r="S954" s="36"/>
      <c r="T954" s="36"/>
      <c r="U954" s="36"/>
      <c r="V954" s="36"/>
      <c r="W954" s="36"/>
      <c r="X954" s="36"/>
      <c r="Y954" s="36"/>
      <c r="Z954" s="36"/>
      <c r="AA954" s="36"/>
      <c r="AB954" s="36"/>
      <c r="AC954" s="36"/>
    </row>
    <row r="955" spans="1:29" ht="108" customHeight="1">
      <c r="A955" s="81"/>
      <c r="B955" s="81"/>
      <c r="C955" s="81"/>
      <c r="D955" s="81"/>
      <c r="E955" s="80"/>
      <c r="F955" s="80"/>
      <c r="G955" s="80"/>
      <c r="H955" s="94"/>
      <c r="I955" s="81"/>
      <c r="J955" s="35"/>
      <c r="K955" s="36"/>
      <c r="L955" s="36"/>
      <c r="M955" s="36"/>
      <c r="N955" s="36"/>
      <c r="O955" s="36"/>
      <c r="P955" s="36"/>
      <c r="Q955" s="36"/>
      <c r="R955" s="36"/>
      <c r="S955" s="36"/>
      <c r="T955" s="36"/>
      <c r="U955" s="36"/>
      <c r="V955" s="36"/>
      <c r="W955" s="36"/>
      <c r="X955" s="36"/>
      <c r="Y955" s="36"/>
      <c r="Z955" s="36"/>
      <c r="AA955" s="36"/>
      <c r="AB955" s="36"/>
      <c r="AC955" s="36"/>
    </row>
    <row r="956" spans="1:29" ht="409.5" customHeight="1">
      <c r="A956" s="81"/>
      <c r="B956" s="81"/>
      <c r="C956" s="81"/>
      <c r="D956" s="81"/>
      <c r="E956" s="80"/>
      <c r="F956" s="80"/>
      <c r="G956" s="80"/>
      <c r="H956" s="94"/>
      <c r="I956" s="81"/>
      <c r="J956" s="35"/>
      <c r="K956" s="36"/>
      <c r="L956" s="36"/>
      <c r="M956" s="36"/>
      <c r="N956" s="36"/>
      <c r="O956" s="36"/>
      <c r="P956" s="36"/>
      <c r="Q956" s="36"/>
      <c r="R956" s="36"/>
      <c r="S956" s="36"/>
      <c r="T956" s="36"/>
      <c r="U956" s="36"/>
      <c r="V956" s="36"/>
      <c r="W956" s="36"/>
      <c r="X956" s="36"/>
      <c r="Y956" s="36"/>
      <c r="Z956" s="36"/>
      <c r="AA956" s="36"/>
      <c r="AB956" s="36"/>
      <c r="AC956" s="36"/>
    </row>
    <row r="957" spans="1:29" ht="216" customHeight="1">
      <c r="A957" s="81"/>
      <c r="B957" s="81"/>
      <c r="C957" s="81"/>
      <c r="D957" s="81"/>
      <c r="E957" s="80"/>
      <c r="F957" s="80"/>
      <c r="G957" s="80"/>
      <c r="H957" s="94"/>
      <c r="I957" s="81"/>
      <c r="J957" s="35"/>
      <c r="K957" s="36"/>
      <c r="L957" s="36"/>
      <c r="M957" s="36"/>
      <c r="N957" s="36"/>
      <c r="O957" s="36"/>
      <c r="P957" s="36"/>
      <c r="Q957" s="36"/>
      <c r="R957" s="36"/>
      <c r="S957" s="36"/>
      <c r="T957" s="36"/>
      <c r="U957" s="36"/>
      <c r="V957" s="36"/>
      <c r="W957" s="36"/>
      <c r="X957" s="36"/>
      <c r="Y957" s="36"/>
      <c r="Z957" s="36"/>
      <c r="AA957" s="36"/>
      <c r="AB957" s="36"/>
      <c r="AC957" s="36"/>
    </row>
    <row r="958" spans="1:29" ht="84" customHeight="1">
      <c r="A958" s="81"/>
      <c r="B958" s="81"/>
      <c r="C958" s="81"/>
      <c r="D958" s="81"/>
      <c r="E958" s="80"/>
      <c r="F958" s="80"/>
      <c r="G958" s="80"/>
      <c r="H958" s="94"/>
      <c r="I958" s="81"/>
      <c r="J958" s="35"/>
      <c r="K958" s="36"/>
      <c r="L958" s="36"/>
      <c r="M958" s="36"/>
      <c r="N958" s="36"/>
      <c r="O958" s="36"/>
      <c r="P958" s="36"/>
      <c r="Q958" s="36"/>
      <c r="R958" s="36"/>
      <c r="S958" s="36"/>
      <c r="T958" s="36"/>
      <c r="U958" s="36"/>
      <c r="V958" s="36"/>
      <c r="W958" s="36"/>
      <c r="X958" s="36"/>
      <c r="Y958" s="36"/>
      <c r="Z958" s="36"/>
      <c r="AA958" s="36"/>
      <c r="AB958" s="36"/>
      <c r="AC958" s="36"/>
    </row>
    <row r="959" spans="1:29" ht="180" customHeight="1">
      <c r="A959" s="81"/>
      <c r="B959" s="81"/>
      <c r="C959" s="81"/>
      <c r="D959" s="81"/>
      <c r="E959" s="80"/>
      <c r="F959" s="80"/>
      <c r="G959" s="80"/>
      <c r="H959" s="94"/>
      <c r="I959" s="81"/>
      <c r="J959" s="35"/>
      <c r="K959" s="36"/>
      <c r="L959" s="36"/>
      <c r="M959" s="36"/>
      <c r="N959" s="36"/>
      <c r="O959" s="36"/>
      <c r="P959" s="36"/>
      <c r="Q959" s="36"/>
      <c r="R959" s="36"/>
      <c r="S959" s="36"/>
      <c r="T959" s="36"/>
      <c r="U959" s="36"/>
      <c r="V959" s="36"/>
      <c r="W959" s="36"/>
      <c r="X959" s="36"/>
      <c r="Y959" s="36"/>
      <c r="Z959" s="36"/>
      <c r="AA959" s="36"/>
      <c r="AB959" s="36"/>
      <c r="AC959" s="36"/>
    </row>
    <row r="960" spans="1:29" ht="60" customHeight="1">
      <c r="A960" s="81"/>
      <c r="B960" s="81"/>
      <c r="C960" s="81"/>
      <c r="D960" s="81"/>
      <c r="E960" s="80"/>
      <c r="F960" s="80"/>
      <c r="G960" s="80"/>
      <c r="H960" s="94"/>
      <c r="I960" s="81"/>
      <c r="J960" s="35"/>
      <c r="K960" s="36"/>
      <c r="L960" s="36"/>
      <c r="M960" s="36"/>
      <c r="N960" s="36"/>
      <c r="O960" s="36"/>
      <c r="P960" s="36"/>
      <c r="Q960" s="36"/>
      <c r="R960" s="36"/>
      <c r="S960" s="36"/>
      <c r="T960" s="36"/>
      <c r="U960" s="36"/>
      <c r="V960" s="36"/>
      <c r="W960" s="36"/>
      <c r="X960" s="36"/>
      <c r="Y960" s="36"/>
      <c r="Z960" s="36"/>
      <c r="AA960" s="36"/>
      <c r="AB960" s="36"/>
      <c r="AC960" s="36"/>
    </row>
    <row r="961" spans="1:29" ht="252" customHeight="1">
      <c r="A961" s="81"/>
      <c r="B961" s="81"/>
      <c r="C961" s="81"/>
      <c r="D961" s="81"/>
      <c r="E961" s="80"/>
      <c r="F961" s="80"/>
      <c r="G961" s="80"/>
      <c r="H961" s="94"/>
      <c r="I961" s="81"/>
      <c r="J961" s="35"/>
      <c r="K961" s="36"/>
      <c r="L961" s="36"/>
      <c r="M961" s="36"/>
      <c r="N961" s="36"/>
      <c r="O961" s="36"/>
      <c r="P961" s="36"/>
      <c r="Q961" s="36"/>
      <c r="R961" s="36"/>
      <c r="S961" s="36"/>
      <c r="T961" s="36"/>
      <c r="U961" s="36"/>
      <c r="V961" s="36"/>
      <c r="W961" s="36"/>
      <c r="X961" s="36"/>
      <c r="Y961" s="36"/>
      <c r="Z961" s="36"/>
      <c r="AA961" s="36"/>
      <c r="AB961" s="36"/>
      <c r="AC961" s="36"/>
    </row>
    <row r="962" spans="1:29" ht="36" customHeight="1">
      <c r="A962" s="81"/>
      <c r="B962" s="94"/>
      <c r="C962" s="81"/>
      <c r="D962" s="81"/>
      <c r="E962" s="80"/>
      <c r="F962" s="80"/>
      <c r="G962" s="80"/>
      <c r="H962" s="94"/>
      <c r="I962" s="81"/>
      <c r="J962" s="35"/>
      <c r="K962" s="36"/>
      <c r="L962" s="36"/>
      <c r="M962" s="36"/>
      <c r="N962" s="36"/>
      <c r="O962" s="36"/>
      <c r="P962" s="36"/>
      <c r="Q962" s="36"/>
      <c r="R962" s="36"/>
      <c r="S962" s="36"/>
      <c r="T962" s="36"/>
      <c r="U962" s="36"/>
      <c r="V962" s="36"/>
      <c r="W962" s="36"/>
      <c r="X962" s="36"/>
      <c r="Y962" s="36"/>
      <c r="Z962" s="36"/>
      <c r="AA962" s="36"/>
      <c r="AB962" s="36"/>
      <c r="AC962" s="36"/>
    </row>
    <row r="963" spans="1:29" ht="168" customHeight="1">
      <c r="A963" s="81"/>
      <c r="B963" s="94"/>
      <c r="C963" s="81"/>
      <c r="D963" s="81"/>
      <c r="E963" s="80"/>
      <c r="F963" s="80"/>
      <c r="G963" s="80"/>
      <c r="H963" s="94"/>
      <c r="I963" s="81"/>
      <c r="J963" s="35"/>
      <c r="K963" s="36"/>
      <c r="L963" s="36"/>
      <c r="M963" s="36"/>
      <c r="N963" s="36"/>
      <c r="O963" s="36"/>
      <c r="P963" s="36"/>
      <c r="Q963" s="36"/>
      <c r="R963" s="36"/>
      <c r="S963" s="36"/>
      <c r="T963" s="36"/>
      <c r="U963" s="36"/>
      <c r="V963" s="36"/>
      <c r="W963" s="36"/>
      <c r="X963" s="36"/>
      <c r="Y963" s="36"/>
      <c r="Z963" s="36"/>
      <c r="AA963" s="36"/>
      <c r="AB963" s="36"/>
      <c r="AC963" s="36"/>
    </row>
    <row r="964" spans="1:29" ht="120" customHeight="1">
      <c r="A964" s="81"/>
      <c r="B964" s="94"/>
      <c r="C964" s="81"/>
      <c r="D964" s="81"/>
      <c r="E964" s="80"/>
      <c r="F964" s="80"/>
      <c r="G964" s="80"/>
      <c r="H964" s="94"/>
      <c r="I964" s="81"/>
      <c r="J964" s="35"/>
      <c r="K964" s="36"/>
      <c r="L964" s="36"/>
      <c r="M964" s="36"/>
      <c r="N964" s="36"/>
      <c r="O964" s="36"/>
      <c r="P964" s="36"/>
      <c r="Q964" s="36"/>
      <c r="R964" s="36"/>
      <c r="S964" s="36"/>
      <c r="T964" s="36"/>
      <c r="U964" s="36"/>
      <c r="V964" s="36"/>
      <c r="W964" s="36"/>
      <c r="X964" s="36"/>
      <c r="Y964" s="36"/>
      <c r="Z964" s="36"/>
      <c r="AA964" s="36"/>
      <c r="AB964" s="36"/>
      <c r="AC964" s="36"/>
    </row>
    <row r="965" spans="1:29" ht="96" customHeight="1">
      <c r="A965" s="81"/>
      <c r="B965" s="81"/>
      <c r="C965" s="81"/>
      <c r="D965" s="81"/>
      <c r="E965" s="80"/>
      <c r="F965" s="80"/>
      <c r="G965" s="80"/>
      <c r="H965" s="94"/>
      <c r="I965" s="81"/>
      <c r="J965" s="35"/>
      <c r="K965" s="36"/>
      <c r="L965" s="36"/>
      <c r="M965" s="36"/>
      <c r="N965" s="36"/>
      <c r="O965" s="36"/>
      <c r="P965" s="36"/>
      <c r="Q965" s="36"/>
      <c r="R965" s="36"/>
      <c r="S965" s="36"/>
      <c r="T965" s="36"/>
      <c r="U965" s="36"/>
      <c r="V965" s="36"/>
      <c r="W965" s="36"/>
      <c r="X965" s="36"/>
      <c r="Y965" s="36"/>
      <c r="Z965" s="36"/>
      <c r="AA965" s="36"/>
      <c r="AB965" s="36"/>
      <c r="AC965" s="36"/>
    </row>
    <row r="966" spans="1:29" ht="409.5" customHeight="1">
      <c r="A966" s="81"/>
      <c r="B966" s="94"/>
      <c r="C966" s="81"/>
      <c r="D966" s="81"/>
      <c r="E966" s="80"/>
      <c r="F966" s="80"/>
      <c r="G966" s="80"/>
      <c r="H966" s="94"/>
      <c r="I966" s="81"/>
      <c r="J966" s="35"/>
      <c r="K966" s="36"/>
      <c r="L966" s="36"/>
      <c r="M966" s="36"/>
      <c r="N966" s="36"/>
      <c r="O966" s="36"/>
      <c r="P966" s="36"/>
      <c r="Q966" s="36"/>
      <c r="R966" s="36"/>
      <c r="S966" s="36"/>
      <c r="T966" s="36"/>
      <c r="U966" s="36"/>
      <c r="V966" s="36"/>
      <c r="W966" s="36"/>
      <c r="X966" s="36"/>
      <c r="Y966" s="36"/>
      <c r="Z966" s="36"/>
      <c r="AA966" s="36"/>
      <c r="AB966" s="36"/>
      <c r="AC966" s="36"/>
    </row>
    <row r="967" spans="1:29" ht="108" customHeight="1">
      <c r="A967" s="81"/>
      <c r="B967" s="81"/>
      <c r="C967" s="81"/>
      <c r="D967" s="81"/>
      <c r="E967" s="80"/>
      <c r="F967" s="80"/>
      <c r="G967" s="80"/>
      <c r="H967" s="94"/>
      <c r="I967" s="81"/>
      <c r="J967" s="35"/>
      <c r="K967" s="36"/>
      <c r="L967" s="36"/>
      <c r="M967" s="36"/>
      <c r="N967" s="36"/>
      <c r="O967" s="36"/>
      <c r="P967" s="36"/>
      <c r="Q967" s="36"/>
      <c r="R967" s="36"/>
      <c r="S967" s="36"/>
      <c r="T967" s="36"/>
      <c r="U967" s="36"/>
      <c r="V967" s="36"/>
      <c r="W967" s="36"/>
      <c r="X967" s="36"/>
      <c r="Y967" s="36"/>
      <c r="Z967" s="36"/>
      <c r="AA967" s="36"/>
      <c r="AB967" s="36"/>
      <c r="AC967" s="36"/>
    </row>
    <row r="968" spans="1:29" ht="96" customHeight="1">
      <c r="A968" s="81"/>
      <c r="B968" s="81"/>
      <c r="C968" s="81"/>
      <c r="D968" s="81"/>
      <c r="E968" s="80"/>
      <c r="F968" s="80"/>
      <c r="G968" s="80"/>
      <c r="H968" s="94"/>
      <c r="I968" s="81"/>
      <c r="J968" s="35"/>
      <c r="K968" s="36"/>
      <c r="L968" s="36"/>
      <c r="M968" s="36"/>
      <c r="N968" s="36"/>
      <c r="O968" s="36"/>
      <c r="P968" s="36"/>
      <c r="Q968" s="36"/>
      <c r="R968" s="36"/>
      <c r="S968" s="36"/>
      <c r="T968" s="36"/>
      <c r="U968" s="36"/>
      <c r="V968" s="36"/>
      <c r="W968" s="36"/>
      <c r="X968" s="36"/>
      <c r="Y968" s="36"/>
      <c r="Z968" s="36"/>
      <c r="AA968" s="36"/>
      <c r="AB968" s="36"/>
      <c r="AC968" s="36"/>
    </row>
    <row r="969" spans="1:29" ht="144" customHeight="1">
      <c r="A969" s="81"/>
      <c r="B969" s="81"/>
      <c r="C969" s="81"/>
      <c r="D969" s="81"/>
      <c r="E969" s="80"/>
      <c r="F969" s="80"/>
      <c r="G969" s="80"/>
      <c r="H969" s="94"/>
      <c r="I969" s="81"/>
      <c r="J969" s="35"/>
      <c r="K969" s="36"/>
      <c r="L969" s="36"/>
      <c r="M969" s="36"/>
      <c r="N969" s="36"/>
      <c r="O969" s="36"/>
      <c r="P969" s="36"/>
      <c r="Q969" s="36"/>
      <c r="R969" s="36"/>
      <c r="S969" s="36"/>
      <c r="T969" s="36"/>
      <c r="U969" s="36"/>
      <c r="V969" s="36"/>
      <c r="W969" s="36"/>
      <c r="X969" s="36"/>
      <c r="Y969" s="36"/>
      <c r="Z969" s="36"/>
      <c r="AA969" s="36"/>
      <c r="AB969" s="36"/>
      <c r="AC969" s="36"/>
    </row>
    <row r="970" spans="1:29" ht="108" customHeight="1">
      <c r="A970" s="81"/>
      <c r="B970" s="81"/>
      <c r="C970" s="81"/>
      <c r="D970" s="81"/>
      <c r="E970" s="80"/>
      <c r="F970" s="80"/>
      <c r="G970" s="80"/>
      <c r="H970" s="94"/>
      <c r="I970" s="81"/>
      <c r="J970" s="35"/>
      <c r="K970" s="36"/>
      <c r="L970" s="36"/>
      <c r="M970" s="36"/>
      <c r="N970" s="36"/>
      <c r="O970" s="36"/>
      <c r="P970" s="36"/>
      <c r="Q970" s="36"/>
      <c r="R970" s="36"/>
      <c r="S970" s="36"/>
      <c r="T970" s="36"/>
      <c r="U970" s="36"/>
      <c r="V970" s="36"/>
      <c r="W970" s="36"/>
      <c r="X970" s="36"/>
      <c r="Y970" s="36"/>
      <c r="Z970" s="36"/>
      <c r="AA970" s="36"/>
      <c r="AB970" s="36"/>
      <c r="AC970" s="36"/>
    </row>
    <row r="971" spans="1:29" ht="120" customHeight="1">
      <c r="A971" s="81"/>
      <c r="B971" s="81"/>
      <c r="C971" s="81"/>
      <c r="D971" s="81"/>
      <c r="E971" s="80"/>
      <c r="F971" s="80"/>
      <c r="G971" s="80"/>
      <c r="H971" s="94"/>
      <c r="I971" s="81"/>
      <c r="J971" s="35"/>
      <c r="K971" s="36"/>
      <c r="L971" s="36"/>
      <c r="M971" s="36"/>
      <c r="N971" s="36"/>
      <c r="O971" s="36"/>
      <c r="P971" s="36"/>
      <c r="Q971" s="36"/>
      <c r="R971" s="36"/>
      <c r="S971" s="36"/>
      <c r="T971" s="36"/>
      <c r="U971" s="36"/>
      <c r="V971" s="36"/>
      <c r="W971" s="36"/>
      <c r="X971" s="36"/>
      <c r="Y971" s="36"/>
      <c r="Z971" s="36"/>
      <c r="AA971" s="36"/>
      <c r="AB971" s="36"/>
      <c r="AC971" s="36"/>
    </row>
    <row r="972" spans="1:29" ht="132" customHeight="1">
      <c r="A972" s="81"/>
      <c r="B972" s="81"/>
      <c r="C972" s="81"/>
      <c r="D972" s="81"/>
      <c r="E972" s="80"/>
      <c r="F972" s="80"/>
      <c r="G972" s="80"/>
      <c r="H972" s="94"/>
      <c r="I972" s="81"/>
      <c r="J972" s="35"/>
      <c r="K972" s="36"/>
      <c r="L972" s="36"/>
      <c r="M972" s="36"/>
      <c r="N972" s="36"/>
      <c r="O972" s="36"/>
      <c r="P972" s="36"/>
      <c r="Q972" s="36"/>
      <c r="R972" s="36"/>
      <c r="S972" s="36"/>
      <c r="T972" s="36"/>
      <c r="U972" s="36"/>
      <c r="V972" s="36"/>
      <c r="W972" s="36"/>
      <c r="X972" s="36"/>
      <c r="Y972" s="36"/>
      <c r="Z972" s="36"/>
      <c r="AA972" s="36"/>
      <c r="AB972" s="36"/>
      <c r="AC972" s="36"/>
    </row>
    <row r="973" spans="1:29" ht="168" customHeight="1">
      <c r="A973" s="81"/>
      <c r="B973" s="81"/>
      <c r="C973" s="81"/>
      <c r="D973" s="81"/>
      <c r="E973" s="80"/>
      <c r="F973" s="80"/>
      <c r="G973" s="80"/>
      <c r="H973" s="94"/>
      <c r="I973" s="81"/>
      <c r="J973" s="35"/>
      <c r="K973" s="36"/>
      <c r="L973" s="36"/>
      <c r="M973" s="36"/>
      <c r="N973" s="36"/>
      <c r="O973" s="36"/>
      <c r="P973" s="36"/>
      <c r="Q973" s="36"/>
      <c r="R973" s="36"/>
      <c r="S973" s="36"/>
      <c r="T973" s="36"/>
      <c r="U973" s="36"/>
      <c r="V973" s="36"/>
      <c r="W973" s="36"/>
      <c r="X973" s="36"/>
      <c r="Y973" s="36"/>
      <c r="Z973" s="36"/>
      <c r="AA973" s="36"/>
      <c r="AB973" s="36"/>
      <c r="AC973" s="36"/>
    </row>
    <row r="974" spans="1:29" ht="72" customHeight="1">
      <c r="A974" s="81"/>
      <c r="B974" s="81"/>
      <c r="C974" s="81"/>
      <c r="D974" s="81"/>
      <c r="E974" s="80"/>
      <c r="F974" s="80"/>
      <c r="G974" s="80"/>
      <c r="H974" s="94"/>
      <c r="I974" s="81"/>
      <c r="J974" s="35"/>
      <c r="K974" s="36"/>
      <c r="L974" s="36"/>
      <c r="M974" s="36"/>
      <c r="N974" s="36"/>
      <c r="O974" s="36"/>
      <c r="P974" s="36"/>
      <c r="Q974" s="36"/>
      <c r="R974" s="36"/>
      <c r="S974" s="36"/>
      <c r="T974" s="36"/>
      <c r="U974" s="36"/>
      <c r="V974" s="36"/>
      <c r="W974" s="36"/>
      <c r="X974" s="36"/>
      <c r="Y974" s="36"/>
      <c r="Z974" s="36"/>
      <c r="AA974" s="36"/>
      <c r="AB974" s="36"/>
      <c r="AC974" s="36"/>
    </row>
    <row r="975" spans="1:29" ht="336" customHeight="1">
      <c r="A975" s="81"/>
      <c r="B975" s="81"/>
      <c r="C975" s="81"/>
      <c r="D975" s="81"/>
      <c r="E975" s="80"/>
      <c r="F975" s="80"/>
      <c r="G975" s="80"/>
      <c r="H975" s="94"/>
      <c r="I975" s="81"/>
      <c r="J975" s="35"/>
      <c r="K975" s="36"/>
      <c r="L975" s="36"/>
      <c r="M975" s="36"/>
      <c r="N975" s="36"/>
      <c r="O975" s="36"/>
      <c r="P975" s="36"/>
      <c r="Q975" s="36"/>
      <c r="R975" s="36"/>
      <c r="S975" s="36"/>
      <c r="T975" s="36"/>
      <c r="U975" s="36"/>
      <c r="V975" s="36"/>
      <c r="W975" s="36"/>
      <c r="X975" s="36"/>
      <c r="Y975" s="36"/>
      <c r="Z975" s="36"/>
      <c r="AA975" s="36"/>
      <c r="AB975" s="36"/>
      <c r="AC975" s="36"/>
    </row>
    <row r="976" spans="1:29" ht="48" customHeight="1">
      <c r="A976" s="81"/>
      <c r="B976" s="81"/>
      <c r="C976" s="81"/>
      <c r="D976" s="81"/>
      <c r="E976" s="80"/>
      <c r="F976" s="80"/>
      <c r="G976" s="80"/>
      <c r="H976" s="94"/>
      <c r="I976" s="81"/>
      <c r="J976" s="35"/>
      <c r="K976" s="36"/>
      <c r="L976" s="36"/>
      <c r="M976" s="36"/>
      <c r="N976" s="36"/>
      <c r="O976" s="36"/>
      <c r="P976" s="36"/>
      <c r="Q976" s="36"/>
      <c r="R976" s="36"/>
      <c r="S976" s="36"/>
      <c r="T976" s="36"/>
      <c r="U976" s="36"/>
      <c r="V976" s="36"/>
      <c r="W976" s="36"/>
      <c r="X976" s="36"/>
      <c r="Y976" s="36"/>
      <c r="Z976" s="36"/>
      <c r="AA976" s="36"/>
      <c r="AB976" s="36"/>
      <c r="AC976" s="36"/>
    </row>
    <row r="977" spans="1:29" ht="24" customHeight="1">
      <c r="A977" s="81"/>
      <c r="B977" s="94"/>
      <c r="C977" s="81"/>
      <c r="D977" s="81"/>
      <c r="E977" s="80"/>
      <c r="F977" s="80"/>
      <c r="G977" s="80"/>
      <c r="H977" s="94"/>
      <c r="I977" s="81"/>
      <c r="J977" s="35"/>
      <c r="K977" s="36"/>
      <c r="L977" s="36"/>
      <c r="M977" s="36"/>
      <c r="N977" s="36"/>
      <c r="O977" s="36"/>
      <c r="P977" s="36"/>
      <c r="Q977" s="36"/>
      <c r="R977" s="36"/>
      <c r="S977" s="36"/>
      <c r="T977" s="36"/>
      <c r="U977" s="36"/>
      <c r="V977" s="36"/>
      <c r="W977" s="36"/>
      <c r="X977" s="36"/>
      <c r="Y977" s="36"/>
      <c r="Z977" s="36"/>
      <c r="AA977" s="36"/>
      <c r="AB977" s="36"/>
      <c r="AC977" s="36"/>
    </row>
    <row r="978" spans="1:29" ht="192" customHeight="1">
      <c r="A978" s="81"/>
      <c r="B978" s="81"/>
      <c r="C978" s="81"/>
      <c r="D978" s="81"/>
      <c r="E978" s="80"/>
      <c r="F978" s="80"/>
      <c r="G978" s="80"/>
      <c r="H978" s="94"/>
      <c r="I978" s="81"/>
      <c r="J978" s="35"/>
      <c r="K978" s="36"/>
      <c r="L978" s="36"/>
      <c r="M978" s="36"/>
      <c r="N978" s="36"/>
      <c r="O978" s="36"/>
      <c r="P978" s="36"/>
      <c r="Q978" s="36"/>
      <c r="R978" s="36"/>
      <c r="S978" s="36"/>
      <c r="T978" s="36"/>
      <c r="U978" s="36"/>
      <c r="V978" s="36"/>
      <c r="W978" s="36"/>
      <c r="X978" s="36"/>
      <c r="Y978" s="36"/>
      <c r="Z978" s="36"/>
      <c r="AA978" s="36"/>
      <c r="AB978" s="36"/>
      <c r="AC978" s="36"/>
    </row>
    <row r="979" spans="1:29" ht="12" customHeight="1">
      <c r="A979" s="81"/>
      <c r="B979" s="81"/>
      <c r="C979" s="81"/>
      <c r="D979" s="81"/>
      <c r="E979" s="80"/>
      <c r="F979" s="80"/>
      <c r="G979" s="80"/>
      <c r="H979" s="94"/>
      <c r="I979" s="81"/>
      <c r="J979" s="35"/>
      <c r="K979" s="36"/>
      <c r="L979" s="36"/>
      <c r="M979" s="36"/>
      <c r="N979" s="36"/>
      <c r="O979" s="36"/>
      <c r="P979" s="36"/>
      <c r="Q979" s="36"/>
      <c r="R979" s="36"/>
      <c r="S979" s="36"/>
      <c r="T979" s="36"/>
      <c r="U979" s="36"/>
      <c r="V979" s="36"/>
      <c r="W979" s="36"/>
      <c r="X979" s="36"/>
      <c r="Y979" s="36"/>
      <c r="Z979" s="36"/>
      <c r="AA979" s="36"/>
      <c r="AB979" s="36"/>
      <c r="AC979" s="36"/>
    </row>
    <row r="980" spans="1:29" ht="264" customHeight="1">
      <c r="A980" s="81"/>
      <c r="B980" s="81"/>
      <c r="C980" s="81"/>
      <c r="D980" s="81"/>
      <c r="E980" s="80"/>
      <c r="F980" s="80"/>
      <c r="G980" s="80"/>
      <c r="H980" s="94"/>
      <c r="I980" s="81"/>
      <c r="J980" s="35"/>
      <c r="K980" s="36"/>
      <c r="L980" s="36"/>
      <c r="M980" s="36"/>
      <c r="N980" s="36"/>
      <c r="O980" s="36"/>
      <c r="P980" s="36"/>
      <c r="Q980" s="36"/>
      <c r="R980" s="36"/>
      <c r="S980" s="36"/>
      <c r="T980" s="36"/>
      <c r="U980" s="36"/>
      <c r="V980" s="36"/>
      <c r="W980" s="36"/>
      <c r="X980" s="36"/>
      <c r="Y980" s="36"/>
      <c r="Z980" s="36"/>
      <c r="AA980" s="36"/>
      <c r="AB980" s="36"/>
      <c r="AC980" s="36"/>
    </row>
    <row r="981" spans="1:29" ht="24" customHeight="1">
      <c r="A981" s="81"/>
      <c r="B981" s="81"/>
      <c r="C981" s="81"/>
      <c r="D981" s="81"/>
      <c r="E981" s="80"/>
      <c r="F981" s="80"/>
      <c r="G981" s="80"/>
      <c r="H981" s="94"/>
      <c r="I981" s="81"/>
      <c r="J981" s="35"/>
      <c r="K981" s="36"/>
      <c r="L981" s="36"/>
      <c r="M981" s="36"/>
      <c r="N981" s="36"/>
      <c r="O981" s="36"/>
      <c r="P981" s="36"/>
      <c r="Q981" s="36"/>
      <c r="R981" s="36"/>
      <c r="S981" s="36"/>
      <c r="T981" s="36"/>
      <c r="U981" s="36"/>
      <c r="V981" s="36"/>
      <c r="W981" s="36"/>
      <c r="X981" s="36"/>
      <c r="Y981" s="36"/>
      <c r="Z981" s="36"/>
      <c r="AA981" s="36"/>
      <c r="AB981" s="36"/>
      <c r="AC981" s="36"/>
    </row>
    <row r="982" spans="1:29" ht="119.25" customHeight="1">
      <c r="A982" s="81"/>
      <c r="B982" s="81"/>
      <c r="C982" s="81"/>
      <c r="D982" s="81"/>
      <c r="E982" s="80"/>
      <c r="F982" s="80"/>
      <c r="G982" s="80"/>
      <c r="H982" s="94"/>
      <c r="I982" s="81"/>
      <c r="J982" s="35"/>
      <c r="K982" s="36"/>
      <c r="L982" s="36"/>
      <c r="M982" s="36"/>
      <c r="N982" s="36"/>
      <c r="O982" s="36"/>
      <c r="P982" s="36"/>
      <c r="Q982" s="36"/>
      <c r="R982" s="36"/>
      <c r="S982" s="36"/>
      <c r="T982" s="36"/>
      <c r="U982" s="36"/>
      <c r="V982" s="36"/>
      <c r="W982" s="36"/>
      <c r="X982" s="36"/>
      <c r="Y982" s="36"/>
      <c r="Z982" s="36"/>
      <c r="AA982" s="36"/>
      <c r="AB982" s="36"/>
      <c r="AC982" s="36"/>
    </row>
    <row r="983" spans="1:29" ht="96" customHeight="1">
      <c r="A983" s="476"/>
      <c r="B983" s="81"/>
      <c r="C983" s="100"/>
      <c r="D983" s="100"/>
      <c r="E983" s="99"/>
      <c r="F983" s="99"/>
      <c r="G983" s="99"/>
      <c r="H983" s="463"/>
      <c r="I983" s="81"/>
      <c r="J983" s="35"/>
      <c r="K983" s="36"/>
      <c r="L983" s="36"/>
      <c r="M983" s="36"/>
      <c r="N983" s="36"/>
      <c r="O983" s="36"/>
      <c r="P983" s="36"/>
      <c r="Q983" s="36"/>
      <c r="R983" s="36"/>
      <c r="S983" s="36"/>
      <c r="T983" s="36"/>
      <c r="U983" s="36"/>
      <c r="V983" s="36"/>
      <c r="W983" s="36"/>
      <c r="X983" s="36"/>
      <c r="Y983" s="36"/>
      <c r="Z983" s="36"/>
      <c r="AA983" s="36"/>
      <c r="AB983" s="36"/>
      <c r="AC983" s="36"/>
    </row>
    <row r="984" spans="1:29" ht="132" customHeight="1">
      <c r="A984" s="81"/>
      <c r="B984" s="81"/>
      <c r="C984" s="81"/>
      <c r="D984" s="81"/>
      <c r="E984" s="80"/>
      <c r="F984" s="80"/>
      <c r="G984" s="80"/>
      <c r="H984" s="94"/>
      <c r="I984" s="81"/>
      <c r="J984" s="35"/>
      <c r="K984" s="36"/>
      <c r="L984" s="36"/>
      <c r="M984" s="36"/>
      <c r="N984" s="36"/>
      <c r="O984" s="36"/>
      <c r="P984" s="36"/>
      <c r="Q984" s="36"/>
      <c r="R984" s="36"/>
      <c r="S984" s="36"/>
      <c r="T984" s="36"/>
      <c r="U984" s="36"/>
      <c r="V984" s="36"/>
      <c r="W984" s="36"/>
      <c r="X984" s="36"/>
      <c r="Y984" s="36"/>
      <c r="Z984" s="36"/>
      <c r="AA984" s="36"/>
      <c r="AB984" s="36"/>
      <c r="AC984" s="36"/>
    </row>
    <row r="985" spans="1:29" ht="132" customHeight="1">
      <c r="A985" s="476"/>
      <c r="B985" s="81"/>
      <c r="C985" s="100"/>
      <c r="D985" s="100"/>
      <c r="E985" s="99"/>
      <c r="F985" s="99"/>
      <c r="G985" s="99"/>
      <c r="H985" s="463"/>
      <c r="I985" s="81"/>
      <c r="J985" s="35"/>
      <c r="K985" s="36"/>
      <c r="L985" s="36"/>
      <c r="M985" s="36"/>
      <c r="N985" s="36"/>
      <c r="O985" s="36"/>
      <c r="P985" s="36"/>
      <c r="Q985" s="36"/>
      <c r="R985" s="36"/>
      <c r="S985" s="36"/>
      <c r="T985" s="36"/>
      <c r="U985" s="36"/>
      <c r="V985" s="36"/>
      <c r="W985" s="36"/>
      <c r="X985" s="36"/>
      <c r="Y985" s="36"/>
      <c r="Z985" s="36"/>
      <c r="AA985" s="36"/>
      <c r="AB985" s="36"/>
      <c r="AC985" s="36"/>
    </row>
    <row r="986" spans="1:29" ht="409.5" customHeight="1">
      <c r="A986" s="81"/>
      <c r="B986" s="94"/>
      <c r="C986" s="81"/>
      <c r="D986" s="81"/>
      <c r="E986" s="80"/>
      <c r="F986" s="80"/>
      <c r="G986" s="80"/>
      <c r="H986" s="94"/>
      <c r="I986" s="81"/>
      <c r="J986" s="35"/>
      <c r="K986" s="36"/>
      <c r="L986" s="36"/>
      <c r="M986" s="36"/>
      <c r="N986" s="36"/>
      <c r="O986" s="36"/>
      <c r="P986" s="36"/>
      <c r="Q986" s="36"/>
      <c r="R986" s="36"/>
      <c r="S986" s="36"/>
      <c r="T986" s="36"/>
      <c r="U986" s="36"/>
      <c r="V986" s="36"/>
      <c r="W986" s="36"/>
      <c r="X986" s="36"/>
      <c r="Y986" s="36"/>
      <c r="Z986" s="36"/>
      <c r="AA986" s="36"/>
      <c r="AB986" s="36"/>
      <c r="AC986" s="36"/>
    </row>
    <row r="987" spans="1:29" ht="36" customHeight="1">
      <c r="A987" s="81"/>
      <c r="B987" s="81"/>
      <c r="C987" s="81"/>
      <c r="D987" s="81"/>
      <c r="E987" s="80"/>
      <c r="F987" s="80"/>
      <c r="G987" s="80"/>
      <c r="H987" s="94"/>
      <c r="I987" s="81"/>
      <c r="J987" s="35"/>
      <c r="K987" s="36"/>
      <c r="L987" s="36"/>
      <c r="M987" s="36"/>
      <c r="N987" s="36"/>
      <c r="O987" s="36"/>
      <c r="P987" s="36"/>
      <c r="Q987" s="36"/>
      <c r="R987" s="36"/>
      <c r="S987" s="36"/>
      <c r="T987" s="36"/>
      <c r="U987" s="36"/>
      <c r="V987" s="36"/>
      <c r="W987" s="36"/>
      <c r="X987" s="36"/>
      <c r="Y987" s="36"/>
      <c r="Z987" s="36"/>
      <c r="AA987" s="36"/>
      <c r="AB987" s="36"/>
      <c r="AC987" s="36"/>
    </row>
    <row r="988" spans="1:29" ht="119.25" customHeight="1">
      <c r="A988" s="81"/>
      <c r="B988" s="81"/>
      <c r="C988" s="100"/>
      <c r="D988" s="100"/>
      <c r="E988" s="99"/>
      <c r="F988" s="99"/>
      <c r="G988" s="80"/>
      <c r="H988" s="94"/>
      <c r="I988" s="81"/>
      <c r="J988" s="35"/>
      <c r="K988" s="36"/>
      <c r="L988" s="36"/>
      <c r="M988" s="36"/>
      <c r="N988" s="36"/>
      <c r="O988" s="36"/>
      <c r="P988" s="36"/>
      <c r="Q988" s="36"/>
      <c r="R988" s="36"/>
      <c r="S988" s="36"/>
      <c r="T988" s="36"/>
      <c r="U988" s="36"/>
      <c r="V988" s="36"/>
      <c r="W988" s="36"/>
      <c r="X988" s="36"/>
      <c r="Y988" s="36"/>
      <c r="Z988" s="36"/>
      <c r="AA988" s="36"/>
      <c r="AB988" s="36"/>
      <c r="AC988" s="36"/>
    </row>
    <row r="989" spans="1:29" ht="84" customHeight="1">
      <c r="A989" s="81"/>
      <c r="B989" s="81"/>
      <c r="C989" s="81"/>
      <c r="D989" s="81"/>
      <c r="E989" s="80"/>
      <c r="F989" s="80"/>
      <c r="G989" s="80"/>
      <c r="H989" s="94"/>
      <c r="I989" s="81"/>
      <c r="J989" s="35"/>
      <c r="K989" s="36"/>
      <c r="L989" s="36"/>
      <c r="M989" s="36"/>
      <c r="N989" s="36"/>
      <c r="O989" s="36"/>
      <c r="P989" s="36"/>
      <c r="Q989" s="36"/>
      <c r="R989" s="36"/>
      <c r="S989" s="36"/>
      <c r="T989" s="36"/>
      <c r="U989" s="36"/>
      <c r="V989" s="36"/>
      <c r="W989" s="36"/>
      <c r="X989" s="36"/>
      <c r="Y989" s="36"/>
      <c r="Z989" s="36"/>
      <c r="AA989" s="36"/>
      <c r="AB989" s="36"/>
      <c r="AC989" s="36"/>
    </row>
    <row r="990" spans="1:29" ht="264" customHeight="1">
      <c r="A990" s="81"/>
      <c r="B990" s="81"/>
      <c r="C990" s="81"/>
      <c r="D990" s="81"/>
      <c r="E990" s="80"/>
      <c r="F990" s="80"/>
      <c r="G990" s="80"/>
      <c r="H990" s="94"/>
      <c r="I990" s="81"/>
      <c r="J990" s="35"/>
      <c r="K990" s="36"/>
      <c r="L990" s="36"/>
      <c r="M990" s="36"/>
      <c r="N990" s="36"/>
      <c r="O990" s="36"/>
      <c r="P990" s="36"/>
      <c r="Q990" s="36"/>
      <c r="R990" s="36"/>
      <c r="S990" s="36"/>
      <c r="T990" s="36"/>
      <c r="U990" s="36"/>
      <c r="V990" s="36"/>
      <c r="W990" s="36"/>
      <c r="X990" s="36"/>
      <c r="Y990" s="36"/>
      <c r="Z990" s="36"/>
      <c r="AA990" s="36"/>
      <c r="AB990" s="36"/>
      <c r="AC990" s="36"/>
    </row>
    <row r="991" spans="1:29" ht="276" customHeight="1">
      <c r="A991" s="81"/>
      <c r="B991" s="81"/>
      <c r="C991" s="81"/>
      <c r="D991" s="81"/>
      <c r="E991" s="80"/>
      <c r="F991" s="80"/>
      <c r="G991" s="80"/>
      <c r="H991" s="94"/>
      <c r="I991" s="81"/>
      <c r="J991" s="35"/>
      <c r="K991" s="36"/>
      <c r="L991" s="36"/>
      <c r="M991" s="36"/>
      <c r="N991" s="36"/>
      <c r="O991" s="36"/>
      <c r="P991" s="36"/>
      <c r="Q991" s="36"/>
      <c r="R991" s="36"/>
      <c r="S991" s="36"/>
      <c r="T991" s="36"/>
      <c r="U991" s="36"/>
      <c r="V991" s="36"/>
      <c r="W991" s="36"/>
      <c r="X991" s="36"/>
      <c r="Y991" s="36"/>
      <c r="Z991" s="36"/>
      <c r="AA991" s="36"/>
      <c r="AB991" s="36"/>
      <c r="AC991" s="36"/>
    </row>
    <row r="992" spans="1:29" ht="24" customHeight="1">
      <c r="A992" s="81"/>
      <c r="B992" s="81"/>
      <c r="C992" s="81"/>
      <c r="D992" s="81"/>
      <c r="E992" s="80"/>
      <c r="F992" s="80"/>
      <c r="G992" s="80"/>
      <c r="H992" s="94"/>
      <c r="I992" s="81"/>
      <c r="J992" s="35"/>
      <c r="K992" s="36"/>
      <c r="L992" s="36"/>
      <c r="M992" s="36"/>
      <c r="N992" s="36"/>
      <c r="O992" s="36"/>
      <c r="P992" s="36"/>
      <c r="Q992" s="36"/>
      <c r="R992" s="36"/>
      <c r="S992" s="36"/>
      <c r="T992" s="36"/>
      <c r="U992" s="36"/>
      <c r="V992" s="36"/>
      <c r="W992" s="36"/>
      <c r="X992" s="36"/>
      <c r="Y992" s="36"/>
      <c r="Z992" s="36"/>
      <c r="AA992" s="36"/>
      <c r="AB992" s="36"/>
      <c r="AC992" s="36"/>
    </row>
    <row r="993" spans="1:29" ht="180" customHeight="1">
      <c r="A993" s="81"/>
      <c r="B993" s="94"/>
      <c r="C993" s="100"/>
      <c r="D993" s="100"/>
      <c r="E993" s="99"/>
      <c r="F993" s="99"/>
      <c r="G993" s="80"/>
      <c r="H993" s="100"/>
      <c r="I993" s="81"/>
      <c r="J993" s="35"/>
      <c r="K993" s="36"/>
      <c r="L993" s="36"/>
      <c r="M993" s="36"/>
      <c r="N993" s="36"/>
      <c r="O993" s="36"/>
      <c r="P993" s="36"/>
      <c r="Q993" s="36"/>
      <c r="R993" s="36"/>
      <c r="S993" s="36"/>
      <c r="T993" s="36"/>
      <c r="U993" s="36"/>
      <c r="V993" s="36"/>
      <c r="W993" s="36"/>
      <c r="X993" s="36"/>
      <c r="Y993" s="36"/>
      <c r="Z993" s="36"/>
      <c r="AA993" s="36"/>
      <c r="AB993" s="36"/>
      <c r="AC993" s="36"/>
    </row>
    <row r="994" spans="1:29" ht="96" customHeight="1">
      <c r="A994" s="81"/>
      <c r="B994" s="94"/>
      <c r="C994" s="100"/>
      <c r="D994" s="100"/>
      <c r="E994" s="99"/>
      <c r="F994" s="99"/>
      <c r="G994" s="80"/>
      <c r="H994" s="100"/>
      <c r="I994" s="81"/>
      <c r="J994" s="35"/>
      <c r="K994" s="36"/>
      <c r="L994" s="36"/>
      <c r="M994" s="36"/>
      <c r="N994" s="36"/>
      <c r="O994" s="36"/>
      <c r="P994" s="36"/>
      <c r="Q994" s="36"/>
      <c r="R994" s="36"/>
      <c r="S994" s="36"/>
      <c r="T994" s="36"/>
      <c r="U994" s="36"/>
      <c r="V994" s="36"/>
      <c r="W994" s="36"/>
      <c r="X994" s="36"/>
      <c r="Y994" s="36"/>
      <c r="Z994" s="36"/>
      <c r="AA994" s="36"/>
      <c r="AB994" s="36"/>
      <c r="AC994" s="36"/>
    </row>
    <row r="995" spans="1:29" ht="108" customHeight="1">
      <c r="A995" s="81"/>
      <c r="B995" s="81"/>
      <c r="C995" s="81"/>
      <c r="D995" s="81"/>
      <c r="E995" s="80"/>
      <c r="F995" s="80"/>
      <c r="G995" s="80"/>
      <c r="H995" s="94"/>
      <c r="I995" s="81"/>
      <c r="J995" s="35"/>
      <c r="K995" s="36"/>
      <c r="L995" s="36"/>
      <c r="M995" s="36"/>
      <c r="N995" s="36"/>
      <c r="O995" s="36"/>
      <c r="P995" s="36"/>
      <c r="Q995" s="36"/>
      <c r="R995" s="36"/>
      <c r="S995" s="36"/>
      <c r="T995" s="36"/>
      <c r="U995" s="36"/>
      <c r="V995" s="36"/>
      <c r="W995" s="36"/>
      <c r="X995" s="36"/>
      <c r="Y995" s="36"/>
      <c r="Z995" s="36"/>
      <c r="AA995" s="36"/>
      <c r="AB995" s="36"/>
      <c r="AC995" s="36"/>
    </row>
    <row r="996" spans="1:29" ht="84" customHeight="1">
      <c r="A996" s="81"/>
      <c r="B996" s="81"/>
      <c r="C996" s="81"/>
      <c r="D996" s="81"/>
      <c r="E996" s="80"/>
      <c r="F996" s="80"/>
      <c r="G996" s="80"/>
      <c r="H996" s="94"/>
      <c r="I996" s="81"/>
      <c r="J996" s="35"/>
      <c r="K996" s="36"/>
      <c r="L996" s="36"/>
      <c r="M996" s="36"/>
      <c r="N996" s="36"/>
      <c r="O996" s="36"/>
      <c r="P996" s="36"/>
      <c r="Q996" s="36"/>
      <c r="R996" s="36"/>
      <c r="S996" s="36"/>
      <c r="T996" s="36"/>
      <c r="U996" s="36"/>
      <c r="V996" s="36"/>
      <c r="W996" s="36"/>
      <c r="X996" s="36"/>
      <c r="Y996" s="36"/>
      <c r="Z996" s="36"/>
      <c r="AA996" s="36"/>
      <c r="AB996" s="36"/>
      <c r="AC996" s="36"/>
    </row>
    <row r="997" spans="1:29" ht="72" customHeight="1">
      <c r="A997" s="81"/>
      <c r="B997" s="81"/>
      <c r="C997" s="81"/>
      <c r="D997" s="81"/>
      <c r="E997" s="80"/>
      <c r="F997" s="80"/>
      <c r="G997" s="80"/>
      <c r="H997" s="94"/>
      <c r="I997" s="81"/>
      <c r="J997" s="35"/>
      <c r="K997" s="36"/>
      <c r="L997" s="36"/>
      <c r="M997" s="36"/>
      <c r="N997" s="36"/>
      <c r="O997" s="36"/>
      <c r="P997" s="36"/>
      <c r="Q997" s="36"/>
      <c r="R997" s="36"/>
      <c r="S997" s="36"/>
      <c r="T997" s="36"/>
      <c r="U997" s="36"/>
      <c r="V997" s="36"/>
      <c r="W997" s="36"/>
      <c r="X997" s="36"/>
      <c r="Y997" s="36"/>
      <c r="Z997" s="36"/>
      <c r="AA997" s="36"/>
      <c r="AB997" s="36"/>
      <c r="AC997" s="36"/>
    </row>
    <row r="998" spans="1:29" ht="180" customHeight="1">
      <c r="A998" s="81"/>
      <c r="B998" s="81"/>
      <c r="C998" s="81"/>
      <c r="D998" s="81"/>
      <c r="E998" s="80"/>
      <c r="F998" s="80"/>
      <c r="G998" s="80"/>
      <c r="H998" s="94"/>
      <c r="I998" s="81"/>
      <c r="J998" s="35"/>
      <c r="K998" s="36"/>
      <c r="L998" s="36"/>
      <c r="M998" s="36"/>
      <c r="N998" s="36"/>
      <c r="O998" s="36"/>
      <c r="P998" s="36"/>
      <c r="Q998" s="36"/>
      <c r="R998" s="36"/>
      <c r="S998" s="36"/>
      <c r="T998" s="36"/>
      <c r="U998" s="36"/>
      <c r="V998" s="36"/>
      <c r="W998" s="36"/>
      <c r="X998" s="36"/>
      <c r="Y998" s="36"/>
      <c r="Z998" s="36"/>
      <c r="AA998" s="36"/>
      <c r="AB998" s="36"/>
      <c r="AC998" s="36"/>
    </row>
    <row r="999" spans="1:29" ht="72" customHeight="1">
      <c r="A999" s="619"/>
      <c r="B999" s="81"/>
      <c r="C999" s="81"/>
      <c r="D999" s="81"/>
      <c r="E999" s="80"/>
      <c r="F999" s="80"/>
      <c r="G999" s="80"/>
      <c r="H999" s="94"/>
      <c r="I999" s="81"/>
      <c r="J999" s="35"/>
      <c r="K999" s="36"/>
      <c r="L999" s="36"/>
      <c r="M999" s="36"/>
      <c r="N999" s="36"/>
      <c r="O999" s="36"/>
      <c r="P999" s="36"/>
      <c r="Q999" s="36"/>
      <c r="R999" s="36"/>
      <c r="S999" s="36"/>
      <c r="T999" s="36"/>
      <c r="U999" s="36"/>
      <c r="V999" s="36"/>
      <c r="W999" s="36"/>
      <c r="X999" s="36"/>
      <c r="Y999" s="36"/>
      <c r="Z999" s="36"/>
      <c r="AA999" s="36"/>
      <c r="AB999" s="36"/>
      <c r="AC999" s="36"/>
    </row>
    <row r="1000" spans="1:29" ht="192" customHeight="1">
      <c r="A1000" s="619"/>
      <c r="B1000" s="81"/>
      <c r="C1000" s="81"/>
      <c r="D1000" s="81"/>
      <c r="E1000" s="80"/>
      <c r="F1000" s="80"/>
      <c r="G1000" s="80"/>
      <c r="H1000" s="94"/>
      <c r="I1000" s="81"/>
      <c r="J1000" s="35"/>
      <c r="K1000" s="36"/>
      <c r="L1000" s="36"/>
      <c r="M1000" s="36"/>
      <c r="N1000" s="36"/>
      <c r="O1000" s="36"/>
      <c r="P1000" s="36"/>
      <c r="Q1000" s="36"/>
      <c r="R1000" s="36"/>
      <c r="S1000" s="36"/>
      <c r="T1000" s="36"/>
      <c r="U1000" s="36"/>
      <c r="V1000" s="36"/>
      <c r="W1000" s="36"/>
      <c r="X1000" s="36"/>
      <c r="Y1000" s="36"/>
      <c r="Z1000" s="36"/>
      <c r="AA1000" s="36"/>
      <c r="AB1000" s="36"/>
      <c r="AC1000" s="36"/>
    </row>
    <row r="1001" spans="1:29" ht="60" customHeight="1">
      <c r="A1001" s="619"/>
      <c r="B1001" s="81"/>
      <c r="C1001" s="81"/>
      <c r="D1001" s="81"/>
      <c r="E1001" s="80"/>
      <c r="F1001" s="80"/>
      <c r="G1001" s="80"/>
      <c r="H1001" s="94"/>
      <c r="I1001" s="81"/>
      <c r="J1001" s="35"/>
      <c r="K1001" s="36"/>
      <c r="L1001" s="36"/>
      <c r="M1001" s="36"/>
      <c r="N1001" s="36"/>
      <c r="O1001" s="36"/>
      <c r="P1001" s="36"/>
      <c r="Q1001" s="36"/>
      <c r="R1001" s="36"/>
      <c r="S1001" s="36"/>
      <c r="T1001" s="36"/>
      <c r="U1001" s="36"/>
      <c r="V1001" s="36"/>
      <c r="W1001" s="36"/>
      <c r="X1001" s="36"/>
      <c r="Y1001" s="36"/>
      <c r="Z1001" s="36"/>
      <c r="AA1001" s="36"/>
      <c r="AB1001" s="36"/>
      <c r="AC1001" s="36"/>
    </row>
    <row r="1002" spans="1:29" ht="84" customHeight="1">
      <c r="A1002" s="619"/>
      <c r="B1002" s="81"/>
      <c r="C1002" s="81"/>
      <c r="D1002" s="81"/>
      <c r="E1002" s="80"/>
      <c r="F1002" s="80"/>
      <c r="G1002" s="80"/>
      <c r="H1002" s="94"/>
      <c r="I1002" s="81"/>
      <c r="J1002" s="35"/>
      <c r="K1002" s="36"/>
      <c r="L1002" s="36"/>
      <c r="M1002" s="36"/>
      <c r="N1002" s="36"/>
      <c r="O1002" s="36"/>
      <c r="P1002" s="36"/>
      <c r="Q1002" s="36"/>
      <c r="R1002" s="36"/>
      <c r="S1002" s="36"/>
      <c r="T1002" s="36"/>
      <c r="U1002" s="36"/>
      <c r="V1002" s="36"/>
      <c r="W1002" s="36"/>
      <c r="X1002" s="36"/>
      <c r="Y1002" s="36"/>
      <c r="Z1002" s="36"/>
      <c r="AA1002" s="36"/>
      <c r="AB1002" s="36"/>
      <c r="AC1002" s="36"/>
    </row>
    <row r="1003" spans="1:29" ht="228" customHeight="1">
      <c r="A1003" s="619"/>
      <c r="B1003" s="81"/>
      <c r="C1003" s="100"/>
      <c r="D1003" s="100"/>
      <c r="E1003" s="99"/>
      <c r="F1003" s="99"/>
      <c r="G1003" s="80"/>
      <c r="H1003" s="100"/>
      <c r="I1003" s="81"/>
      <c r="J1003" s="35"/>
      <c r="K1003" s="36"/>
      <c r="L1003" s="36"/>
      <c r="M1003" s="36"/>
      <c r="N1003" s="36"/>
      <c r="O1003" s="36"/>
      <c r="P1003" s="36"/>
      <c r="Q1003" s="36"/>
      <c r="R1003" s="36"/>
      <c r="S1003" s="36"/>
      <c r="T1003" s="36"/>
      <c r="U1003" s="36"/>
      <c r="V1003" s="36"/>
      <c r="W1003" s="36"/>
      <c r="X1003" s="36"/>
      <c r="Y1003" s="36"/>
      <c r="Z1003" s="36"/>
      <c r="AA1003" s="36"/>
      <c r="AB1003" s="36"/>
      <c r="AC1003" s="36"/>
    </row>
    <row r="1004" spans="1:29" ht="84" customHeight="1">
      <c r="A1004" s="619"/>
      <c r="B1004" s="81"/>
      <c r="C1004" s="81"/>
      <c r="D1004" s="81"/>
      <c r="E1004" s="80"/>
      <c r="F1004" s="80"/>
      <c r="G1004" s="80"/>
      <c r="H1004" s="94"/>
      <c r="I1004" s="81"/>
      <c r="J1004" s="35"/>
      <c r="K1004" s="36"/>
      <c r="L1004" s="36"/>
      <c r="M1004" s="36"/>
      <c r="N1004" s="36"/>
      <c r="O1004" s="36"/>
      <c r="P1004" s="36"/>
      <c r="Q1004" s="36"/>
      <c r="R1004" s="36"/>
      <c r="S1004" s="36"/>
      <c r="T1004" s="36"/>
      <c r="U1004" s="36"/>
      <c r="V1004" s="36"/>
      <c r="W1004" s="36"/>
      <c r="X1004" s="36"/>
      <c r="Y1004" s="36"/>
      <c r="Z1004" s="36"/>
      <c r="AA1004" s="36"/>
      <c r="AB1004" s="36"/>
      <c r="AC1004" s="36"/>
    </row>
    <row r="1005" spans="1:29" ht="144" customHeight="1">
      <c r="A1005" s="619"/>
      <c r="B1005" s="81"/>
      <c r="C1005" s="81"/>
      <c r="D1005" s="81"/>
      <c r="E1005" s="80"/>
      <c r="F1005" s="80"/>
      <c r="G1005" s="80"/>
      <c r="H1005" s="94"/>
      <c r="I1005" s="81"/>
      <c r="J1005" s="35"/>
      <c r="K1005" s="36"/>
      <c r="L1005" s="36"/>
      <c r="M1005" s="36"/>
      <c r="N1005" s="36"/>
      <c r="O1005" s="36"/>
      <c r="P1005" s="36"/>
      <c r="Q1005" s="36"/>
      <c r="R1005" s="36"/>
      <c r="S1005" s="36"/>
      <c r="T1005" s="36"/>
      <c r="U1005" s="36"/>
      <c r="V1005" s="36"/>
      <c r="W1005" s="36"/>
      <c r="X1005" s="36"/>
      <c r="Y1005" s="36"/>
      <c r="Z1005" s="36"/>
      <c r="AA1005" s="36"/>
      <c r="AB1005" s="36"/>
      <c r="AC1005" s="36"/>
    </row>
    <row r="1006" spans="1:29" ht="409.5" customHeight="1">
      <c r="A1006" s="619"/>
      <c r="B1006" s="81"/>
      <c r="C1006" s="81"/>
      <c r="D1006" s="81"/>
      <c r="E1006" s="80"/>
      <c r="F1006" s="80"/>
      <c r="G1006" s="80"/>
      <c r="H1006" s="94"/>
      <c r="I1006" s="81"/>
      <c r="J1006" s="35"/>
      <c r="K1006" s="36"/>
      <c r="L1006" s="36"/>
      <c r="M1006" s="36"/>
      <c r="N1006" s="36"/>
      <c r="O1006" s="36"/>
      <c r="P1006" s="36"/>
      <c r="Q1006" s="36"/>
      <c r="R1006" s="36"/>
      <c r="S1006" s="36"/>
      <c r="T1006" s="36"/>
      <c r="U1006" s="36"/>
      <c r="V1006" s="36"/>
      <c r="W1006" s="36"/>
      <c r="X1006" s="36"/>
      <c r="Y1006" s="36"/>
      <c r="Z1006" s="36"/>
      <c r="AA1006" s="36"/>
      <c r="AB1006" s="36"/>
      <c r="AC1006" s="36"/>
    </row>
    <row r="1007" spans="1:29" ht="96" customHeight="1">
      <c r="A1007" s="619"/>
      <c r="B1007" s="81"/>
      <c r="C1007" s="81"/>
      <c r="D1007" s="81"/>
      <c r="E1007" s="80"/>
      <c r="F1007" s="80"/>
      <c r="G1007" s="80"/>
      <c r="H1007" s="94"/>
      <c r="I1007" s="81"/>
      <c r="J1007" s="35"/>
      <c r="K1007" s="36"/>
      <c r="L1007" s="36"/>
      <c r="M1007" s="36"/>
      <c r="N1007" s="36"/>
      <c r="O1007" s="36"/>
      <c r="P1007" s="36"/>
      <c r="Q1007" s="36"/>
      <c r="R1007" s="36"/>
      <c r="S1007" s="36"/>
      <c r="T1007" s="36"/>
      <c r="U1007" s="36"/>
      <c r="V1007" s="36"/>
      <c r="W1007" s="36"/>
      <c r="X1007" s="36"/>
      <c r="Y1007" s="36"/>
      <c r="Z1007" s="36"/>
      <c r="AA1007" s="36"/>
      <c r="AB1007" s="36"/>
      <c r="AC1007" s="36"/>
    </row>
    <row r="1008" spans="1:29" ht="180" customHeight="1">
      <c r="A1008" s="619"/>
      <c r="B1008" s="81"/>
      <c r="C1008" s="81"/>
      <c r="D1008" s="81"/>
      <c r="E1008" s="80"/>
      <c r="F1008" s="80"/>
      <c r="G1008" s="80"/>
      <c r="H1008" s="94"/>
      <c r="I1008" s="81"/>
      <c r="J1008" s="35"/>
      <c r="K1008" s="36"/>
      <c r="L1008" s="36"/>
      <c r="M1008" s="36"/>
      <c r="N1008" s="36"/>
      <c r="O1008" s="36"/>
      <c r="P1008" s="36"/>
      <c r="Q1008" s="36"/>
      <c r="R1008" s="36"/>
      <c r="S1008" s="36"/>
      <c r="T1008" s="36"/>
      <c r="U1008" s="36"/>
      <c r="V1008" s="36"/>
      <c r="W1008" s="36"/>
      <c r="X1008" s="36"/>
      <c r="Y1008" s="36"/>
      <c r="Z1008" s="36"/>
      <c r="AA1008" s="36"/>
      <c r="AB1008" s="36"/>
      <c r="AC1008" s="36"/>
    </row>
    <row r="1009" spans="1:29" ht="156" customHeight="1">
      <c r="A1009" s="619"/>
      <c r="B1009" s="81"/>
      <c r="C1009" s="100"/>
      <c r="D1009" s="100"/>
      <c r="E1009" s="99"/>
      <c r="F1009" s="99"/>
      <c r="G1009" s="99"/>
      <c r="H1009" s="463"/>
      <c r="I1009" s="100"/>
      <c r="J1009" s="35"/>
      <c r="K1009" s="36"/>
      <c r="L1009" s="36"/>
      <c r="M1009" s="36"/>
      <c r="N1009" s="36"/>
      <c r="O1009" s="36"/>
      <c r="P1009" s="36"/>
      <c r="Q1009" s="36"/>
      <c r="R1009" s="36"/>
      <c r="S1009" s="36"/>
      <c r="T1009" s="36"/>
      <c r="U1009" s="36"/>
      <c r="V1009" s="36"/>
      <c r="W1009" s="36"/>
      <c r="X1009" s="36"/>
      <c r="Y1009" s="36"/>
      <c r="Z1009" s="36"/>
      <c r="AA1009" s="36"/>
      <c r="AB1009" s="36"/>
      <c r="AC1009" s="36"/>
    </row>
    <row r="1010" spans="1:29" ht="144" customHeight="1">
      <c r="A1010" s="81"/>
      <c r="B1010" s="81"/>
      <c r="C1010" s="81"/>
      <c r="D1010" s="81"/>
      <c r="E1010" s="80"/>
      <c r="F1010" s="80"/>
      <c r="G1010" s="80"/>
      <c r="H1010" s="94"/>
      <c r="I1010" s="81"/>
      <c r="J1010" s="35"/>
      <c r="K1010" s="36"/>
      <c r="L1010" s="36"/>
      <c r="M1010" s="36"/>
      <c r="N1010" s="36"/>
      <c r="O1010" s="36"/>
      <c r="P1010" s="36"/>
      <c r="Q1010" s="36"/>
      <c r="R1010" s="36"/>
      <c r="S1010" s="36"/>
      <c r="T1010" s="36"/>
      <c r="U1010" s="36"/>
      <c r="V1010" s="36"/>
      <c r="W1010" s="36"/>
      <c r="X1010" s="36"/>
      <c r="Y1010" s="36"/>
      <c r="Z1010" s="36"/>
      <c r="AA1010" s="36"/>
      <c r="AB1010" s="36"/>
      <c r="AC1010" s="36"/>
    </row>
    <row r="1011" spans="1:29" ht="228" customHeight="1">
      <c r="A1011" s="81"/>
      <c r="B1011" s="81"/>
      <c r="C1011" s="100"/>
      <c r="D1011" s="100"/>
      <c r="E1011" s="99"/>
      <c r="F1011" s="99"/>
      <c r="G1011" s="80"/>
      <c r="H1011" s="94"/>
      <c r="I1011" s="81"/>
      <c r="J1011" s="35"/>
      <c r="K1011" s="36"/>
      <c r="L1011" s="36"/>
      <c r="M1011" s="36"/>
      <c r="N1011" s="36"/>
      <c r="O1011" s="36"/>
      <c r="P1011" s="36"/>
      <c r="Q1011" s="36"/>
      <c r="R1011" s="36"/>
      <c r="S1011" s="36"/>
      <c r="T1011" s="36"/>
      <c r="U1011" s="36"/>
      <c r="V1011" s="36"/>
      <c r="W1011" s="36"/>
      <c r="X1011" s="36"/>
      <c r="Y1011" s="36"/>
      <c r="Z1011" s="36"/>
      <c r="AA1011" s="36"/>
      <c r="AB1011" s="36"/>
      <c r="AC1011" s="36"/>
    </row>
    <row r="1012" spans="1:29" ht="204" customHeight="1">
      <c r="A1012" s="81"/>
      <c r="B1012" s="81"/>
      <c r="C1012" s="81"/>
      <c r="D1012" s="81"/>
      <c r="E1012" s="80"/>
      <c r="F1012" s="80"/>
      <c r="G1012" s="80"/>
      <c r="H1012" s="94"/>
      <c r="I1012" s="81"/>
      <c r="J1012" s="35"/>
      <c r="K1012" s="36"/>
      <c r="L1012" s="36"/>
      <c r="M1012" s="36"/>
      <c r="N1012" s="36"/>
      <c r="O1012" s="36"/>
      <c r="P1012" s="36"/>
      <c r="Q1012" s="36"/>
      <c r="R1012" s="36"/>
      <c r="S1012" s="36"/>
      <c r="T1012" s="36"/>
      <c r="U1012" s="36"/>
      <c r="V1012" s="36"/>
      <c r="W1012" s="36"/>
      <c r="X1012" s="36"/>
      <c r="Y1012" s="36"/>
      <c r="Z1012" s="36"/>
      <c r="AA1012" s="36"/>
      <c r="AB1012" s="36"/>
      <c r="AC1012" s="36"/>
    </row>
    <row r="1013" spans="1:29" ht="168" customHeight="1">
      <c r="A1013" s="81"/>
      <c r="B1013" s="81"/>
      <c r="C1013" s="81"/>
      <c r="D1013" s="81"/>
      <c r="E1013" s="80"/>
      <c r="F1013" s="80"/>
      <c r="G1013" s="80"/>
      <c r="H1013" s="94"/>
      <c r="I1013" s="81"/>
      <c r="J1013" s="35"/>
      <c r="K1013" s="36"/>
      <c r="L1013" s="36"/>
      <c r="M1013" s="36"/>
      <c r="N1013" s="36"/>
      <c r="O1013" s="36"/>
      <c r="P1013" s="36"/>
      <c r="Q1013" s="36"/>
      <c r="R1013" s="36"/>
      <c r="S1013" s="36"/>
      <c r="T1013" s="36"/>
      <c r="U1013" s="36"/>
      <c r="V1013" s="36"/>
      <c r="W1013" s="36"/>
      <c r="X1013" s="36"/>
      <c r="Y1013" s="36"/>
      <c r="Z1013" s="36"/>
      <c r="AA1013" s="36"/>
      <c r="AB1013" s="36"/>
      <c r="AC1013" s="36"/>
    </row>
    <row r="1014" spans="1:29" ht="240" customHeight="1">
      <c r="A1014" s="81"/>
      <c r="B1014" s="81"/>
      <c r="C1014" s="81"/>
      <c r="D1014" s="81"/>
      <c r="E1014" s="80"/>
      <c r="F1014" s="80"/>
      <c r="G1014" s="80"/>
      <c r="H1014" s="94"/>
      <c r="I1014" s="81"/>
      <c r="J1014" s="35"/>
      <c r="K1014" s="36"/>
      <c r="L1014" s="36"/>
      <c r="M1014" s="36"/>
      <c r="N1014" s="36"/>
      <c r="O1014" s="36"/>
      <c r="P1014" s="36"/>
      <c r="Q1014" s="36"/>
      <c r="R1014" s="36"/>
      <c r="S1014" s="36"/>
      <c r="T1014" s="36"/>
      <c r="U1014" s="36"/>
      <c r="V1014" s="36"/>
      <c r="W1014" s="36"/>
      <c r="X1014" s="36"/>
      <c r="Y1014" s="36"/>
      <c r="Z1014" s="36"/>
      <c r="AA1014" s="36"/>
      <c r="AB1014" s="36"/>
      <c r="AC1014" s="36"/>
    </row>
    <row r="1015" spans="1:29" ht="204" customHeight="1">
      <c r="A1015" s="81"/>
      <c r="B1015" s="81"/>
      <c r="C1015" s="81"/>
      <c r="D1015" s="81"/>
      <c r="E1015" s="80"/>
      <c r="F1015" s="80"/>
      <c r="G1015" s="80"/>
      <c r="H1015" s="94"/>
      <c r="I1015" s="81"/>
      <c r="J1015" s="35"/>
      <c r="K1015" s="36"/>
      <c r="L1015" s="36"/>
      <c r="M1015" s="36"/>
      <c r="N1015" s="36"/>
      <c r="O1015" s="36"/>
      <c r="P1015" s="36"/>
      <c r="Q1015" s="36"/>
      <c r="R1015" s="36"/>
      <c r="S1015" s="36"/>
      <c r="T1015" s="36"/>
      <c r="U1015" s="36"/>
      <c r="V1015" s="36"/>
      <c r="W1015" s="36"/>
      <c r="X1015" s="36"/>
      <c r="Y1015" s="36"/>
      <c r="Z1015" s="36"/>
      <c r="AA1015" s="36"/>
      <c r="AB1015" s="36"/>
      <c r="AC1015" s="36"/>
    </row>
    <row r="1016" spans="1:29" ht="264" customHeight="1">
      <c r="A1016" s="81"/>
      <c r="B1016" s="81"/>
      <c r="C1016" s="81"/>
      <c r="D1016" s="81"/>
      <c r="E1016" s="80"/>
      <c r="F1016" s="80"/>
      <c r="G1016" s="80"/>
      <c r="H1016" s="94"/>
      <c r="I1016" s="81"/>
      <c r="J1016" s="35"/>
      <c r="K1016" s="36"/>
      <c r="L1016" s="36"/>
      <c r="M1016" s="36"/>
      <c r="N1016" s="36"/>
      <c r="O1016" s="36"/>
      <c r="P1016" s="36"/>
      <c r="Q1016" s="36"/>
      <c r="R1016" s="36"/>
      <c r="S1016" s="36"/>
      <c r="T1016" s="36"/>
      <c r="U1016" s="36"/>
      <c r="V1016" s="36"/>
      <c r="W1016" s="36"/>
      <c r="X1016" s="36"/>
      <c r="Y1016" s="36"/>
      <c r="Z1016" s="36"/>
      <c r="AA1016" s="36"/>
      <c r="AB1016" s="36"/>
      <c r="AC1016" s="36"/>
    </row>
    <row r="1017" spans="1:29" ht="60" customHeight="1">
      <c r="A1017" s="81"/>
      <c r="B1017" s="81"/>
      <c r="C1017" s="81"/>
      <c r="D1017" s="81"/>
      <c r="E1017" s="80"/>
      <c r="F1017" s="80"/>
      <c r="G1017" s="80"/>
      <c r="H1017" s="94"/>
      <c r="I1017" s="81"/>
      <c r="J1017" s="35"/>
      <c r="K1017" s="36"/>
      <c r="L1017" s="36"/>
      <c r="M1017" s="36"/>
      <c r="N1017" s="36"/>
      <c r="O1017" s="36"/>
      <c r="P1017" s="36"/>
      <c r="Q1017" s="36"/>
      <c r="R1017" s="36"/>
      <c r="S1017" s="36"/>
      <c r="T1017" s="36"/>
      <c r="U1017" s="36"/>
      <c r="V1017" s="36"/>
      <c r="W1017" s="36"/>
      <c r="X1017" s="36"/>
      <c r="Y1017" s="36"/>
      <c r="Z1017" s="36"/>
      <c r="AA1017" s="36"/>
      <c r="AB1017" s="36"/>
      <c r="AC1017" s="36"/>
    </row>
    <row r="1018" spans="1:29" ht="36" customHeight="1">
      <c r="A1018" s="81"/>
      <c r="B1018" s="81"/>
      <c r="C1018" s="81"/>
      <c r="D1018" s="81"/>
      <c r="E1018" s="80"/>
      <c r="F1018" s="80"/>
      <c r="G1018" s="80"/>
      <c r="H1018" s="94"/>
      <c r="I1018" s="81"/>
      <c r="J1018" s="35"/>
      <c r="K1018" s="36"/>
      <c r="L1018" s="36"/>
      <c r="M1018" s="36"/>
      <c r="N1018" s="36"/>
      <c r="O1018" s="36"/>
      <c r="P1018" s="36"/>
      <c r="Q1018" s="36"/>
      <c r="R1018" s="36"/>
      <c r="S1018" s="36"/>
      <c r="T1018" s="36"/>
      <c r="U1018" s="36"/>
      <c r="V1018" s="36"/>
      <c r="W1018" s="36"/>
      <c r="X1018" s="36"/>
      <c r="Y1018" s="36"/>
      <c r="Z1018" s="36"/>
      <c r="AA1018" s="36"/>
      <c r="AB1018" s="36"/>
      <c r="AC1018" s="36"/>
    </row>
    <row r="1019" spans="1:29" ht="216" customHeight="1">
      <c r="A1019" s="81"/>
      <c r="B1019" s="81"/>
      <c r="C1019" s="100"/>
      <c r="D1019" s="100"/>
      <c r="E1019" s="99"/>
      <c r="F1019" s="99"/>
      <c r="G1019" s="80"/>
      <c r="H1019" s="100"/>
      <c r="I1019" s="81"/>
      <c r="J1019" s="35"/>
      <c r="K1019" s="36"/>
      <c r="L1019" s="36"/>
      <c r="M1019" s="36"/>
      <c r="N1019" s="36"/>
      <c r="O1019" s="36"/>
      <c r="P1019" s="36"/>
      <c r="Q1019" s="36"/>
      <c r="R1019" s="36"/>
      <c r="S1019" s="36"/>
      <c r="T1019" s="36"/>
      <c r="U1019" s="36"/>
      <c r="V1019" s="36"/>
      <c r="W1019" s="36"/>
      <c r="X1019" s="36"/>
      <c r="Y1019" s="36"/>
      <c r="Z1019" s="36"/>
      <c r="AA1019" s="36"/>
      <c r="AB1019" s="36"/>
      <c r="AC1019" s="36"/>
    </row>
    <row r="1020" spans="1:29" ht="72" customHeight="1">
      <c r="A1020" s="81"/>
      <c r="B1020" s="81"/>
      <c r="C1020" s="81"/>
      <c r="D1020" s="81"/>
      <c r="E1020" s="80"/>
      <c r="F1020" s="80"/>
      <c r="G1020" s="80"/>
      <c r="H1020" s="94"/>
      <c r="I1020" s="81"/>
      <c r="J1020" s="35"/>
      <c r="K1020" s="36"/>
      <c r="L1020" s="36"/>
      <c r="M1020" s="36"/>
      <c r="N1020" s="36"/>
      <c r="O1020" s="36"/>
      <c r="P1020" s="36"/>
      <c r="Q1020" s="36"/>
      <c r="R1020" s="36"/>
      <c r="S1020" s="36"/>
      <c r="T1020" s="36"/>
      <c r="U1020" s="36"/>
      <c r="V1020" s="36"/>
      <c r="W1020" s="36"/>
      <c r="X1020" s="36"/>
      <c r="Y1020" s="36"/>
      <c r="Z1020" s="36"/>
      <c r="AA1020" s="36"/>
      <c r="AB1020" s="36"/>
      <c r="AC1020" s="36"/>
    </row>
    <row r="1021" spans="1:29" ht="72" customHeight="1">
      <c r="A1021" s="81"/>
      <c r="B1021" s="81"/>
      <c r="C1021" s="81"/>
      <c r="D1021" s="81"/>
      <c r="E1021" s="80"/>
      <c r="F1021" s="80"/>
      <c r="G1021" s="80"/>
      <c r="H1021" s="94"/>
      <c r="I1021" s="81"/>
      <c r="J1021" s="35"/>
      <c r="K1021" s="36"/>
      <c r="L1021" s="36"/>
      <c r="M1021" s="36"/>
      <c r="N1021" s="36"/>
      <c r="O1021" s="36"/>
      <c r="P1021" s="36"/>
      <c r="Q1021" s="36"/>
      <c r="R1021" s="36"/>
      <c r="S1021" s="36"/>
      <c r="T1021" s="36"/>
      <c r="U1021" s="36"/>
      <c r="V1021" s="36"/>
      <c r="W1021" s="36"/>
      <c r="X1021" s="36"/>
      <c r="Y1021" s="36"/>
      <c r="Z1021" s="36"/>
      <c r="AA1021" s="36"/>
      <c r="AB1021" s="36"/>
      <c r="AC1021" s="36"/>
    </row>
    <row r="1022" spans="1:29" ht="48" customHeight="1">
      <c r="A1022" s="81"/>
      <c r="B1022" s="81"/>
      <c r="C1022" s="81"/>
      <c r="D1022" s="81"/>
      <c r="E1022" s="80"/>
      <c r="F1022" s="80"/>
      <c r="G1022" s="80"/>
      <c r="H1022" s="94"/>
      <c r="I1022" s="81"/>
      <c r="J1022" s="35"/>
      <c r="K1022" s="36"/>
      <c r="L1022" s="36"/>
      <c r="M1022" s="36"/>
      <c r="N1022" s="36"/>
      <c r="O1022" s="36"/>
      <c r="P1022" s="36"/>
      <c r="Q1022" s="36"/>
      <c r="R1022" s="36"/>
      <c r="S1022" s="36"/>
      <c r="T1022" s="36"/>
      <c r="U1022" s="36"/>
      <c r="V1022" s="36"/>
      <c r="W1022" s="36"/>
      <c r="X1022" s="36"/>
      <c r="Y1022" s="36"/>
      <c r="Z1022" s="36"/>
      <c r="AA1022" s="36"/>
      <c r="AB1022" s="36"/>
      <c r="AC1022" s="36"/>
    </row>
    <row r="1023" spans="1:29" ht="24" customHeight="1">
      <c r="A1023" s="81"/>
      <c r="B1023" s="81"/>
      <c r="C1023" s="81"/>
      <c r="D1023" s="81"/>
      <c r="E1023" s="80"/>
      <c r="F1023" s="80"/>
      <c r="G1023" s="80"/>
      <c r="H1023" s="94"/>
      <c r="I1023" s="81"/>
      <c r="J1023" s="35"/>
      <c r="K1023" s="36"/>
      <c r="L1023" s="36"/>
      <c r="M1023" s="36"/>
      <c r="N1023" s="36"/>
      <c r="O1023" s="36"/>
      <c r="P1023" s="36"/>
      <c r="Q1023" s="36"/>
      <c r="R1023" s="36"/>
      <c r="S1023" s="36"/>
      <c r="T1023" s="36"/>
      <c r="U1023" s="36"/>
      <c r="V1023" s="36"/>
      <c r="W1023" s="36"/>
      <c r="X1023" s="36"/>
      <c r="Y1023" s="36"/>
      <c r="Z1023" s="36"/>
      <c r="AA1023" s="36"/>
      <c r="AB1023" s="36"/>
      <c r="AC1023" s="36"/>
    </row>
    <row r="1024" spans="1:29" ht="216" customHeight="1">
      <c r="A1024" s="81"/>
      <c r="B1024" s="81"/>
      <c r="C1024" s="81"/>
      <c r="D1024" s="81"/>
      <c r="E1024" s="80"/>
      <c r="F1024" s="80"/>
      <c r="G1024" s="80"/>
      <c r="H1024" s="94"/>
      <c r="I1024" s="81"/>
      <c r="J1024" s="35"/>
      <c r="K1024" s="36"/>
      <c r="L1024" s="36"/>
      <c r="M1024" s="36"/>
      <c r="N1024" s="36"/>
      <c r="O1024" s="36"/>
      <c r="P1024" s="36"/>
      <c r="Q1024" s="36"/>
      <c r="R1024" s="36"/>
      <c r="S1024" s="36"/>
      <c r="T1024" s="36"/>
      <c r="U1024" s="36"/>
      <c r="V1024" s="36"/>
      <c r="W1024" s="36"/>
      <c r="X1024" s="36"/>
      <c r="Y1024" s="36"/>
      <c r="Z1024" s="36"/>
      <c r="AA1024" s="36"/>
      <c r="AB1024" s="36"/>
      <c r="AC1024" s="36"/>
    </row>
    <row r="1025" spans="1:29" ht="276" customHeight="1">
      <c r="A1025" s="81"/>
      <c r="B1025" s="81"/>
      <c r="C1025" s="81"/>
      <c r="D1025" s="81"/>
      <c r="E1025" s="80"/>
      <c r="F1025" s="80"/>
      <c r="G1025" s="80"/>
      <c r="H1025" s="94"/>
      <c r="I1025" s="81"/>
      <c r="J1025" s="35"/>
      <c r="K1025" s="36"/>
      <c r="L1025" s="36"/>
      <c r="M1025" s="36"/>
      <c r="N1025" s="36"/>
      <c r="O1025" s="36"/>
      <c r="P1025" s="36"/>
      <c r="Q1025" s="36"/>
      <c r="R1025" s="36"/>
      <c r="S1025" s="36"/>
      <c r="T1025" s="36"/>
      <c r="U1025" s="36"/>
      <c r="V1025" s="36"/>
      <c r="W1025" s="36"/>
      <c r="X1025" s="36"/>
      <c r="Y1025" s="36"/>
      <c r="Z1025" s="36"/>
      <c r="AA1025" s="36"/>
      <c r="AB1025" s="36"/>
      <c r="AC1025" s="36"/>
    </row>
    <row r="1026" spans="1:29" ht="132" customHeight="1">
      <c r="A1026" s="81"/>
      <c r="B1026" s="81"/>
      <c r="C1026" s="100"/>
      <c r="D1026" s="100"/>
      <c r="E1026" s="99"/>
      <c r="F1026" s="99"/>
      <c r="G1026" s="99"/>
      <c r="H1026" s="463"/>
      <c r="I1026" s="81"/>
      <c r="J1026" s="35"/>
      <c r="K1026" s="36"/>
      <c r="L1026" s="36"/>
      <c r="M1026" s="36"/>
      <c r="N1026" s="36"/>
      <c r="O1026" s="36"/>
      <c r="P1026" s="36"/>
      <c r="Q1026" s="36"/>
      <c r="R1026" s="36"/>
      <c r="S1026" s="36"/>
      <c r="T1026" s="36"/>
      <c r="U1026" s="36"/>
      <c r="V1026" s="36"/>
      <c r="W1026" s="36"/>
      <c r="X1026" s="36"/>
      <c r="Y1026" s="36"/>
      <c r="Z1026" s="36"/>
      <c r="AA1026" s="36"/>
      <c r="AB1026" s="36"/>
      <c r="AC1026" s="36"/>
    </row>
    <row r="1027" spans="1:29" ht="60" customHeight="1">
      <c r="A1027" s="81"/>
      <c r="B1027" s="81"/>
      <c r="C1027" s="100"/>
      <c r="D1027" s="100"/>
      <c r="E1027" s="99"/>
      <c r="F1027" s="99"/>
      <c r="G1027" s="80"/>
      <c r="H1027" s="94"/>
      <c r="I1027" s="81"/>
      <c r="J1027" s="35"/>
      <c r="K1027" s="36"/>
      <c r="L1027" s="36"/>
      <c r="M1027" s="36"/>
      <c r="N1027" s="36"/>
      <c r="O1027" s="36"/>
      <c r="P1027" s="36"/>
      <c r="Q1027" s="36"/>
      <c r="R1027" s="36"/>
      <c r="S1027" s="36"/>
      <c r="T1027" s="36"/>
      <c r="U1027" s="36"/>
      <c r="V1027" s="36"/>
      <c r="W1027" s="36"/>
      <c r="X1027" s="36"/>
      <c r="Y1027" s="36"/>
      <c r="Z1027" s="36"/>
      <c r="AA1027" s="36"/>
      <c r="AB1027" s="36"/>
      <c r="AC1027" s="36"/>
    </row>
    <row r="1028" spans="1:29" ht="96" customHeight="1">
      <c r="A1028" s="81"/>
      <c r="B1028" s="81"/>
      <c r="C1028" s="81"/>
      <c r="D1028" s="81"/>
      <c r="E1028" s="80"/>
      <c r="F1028" s="80"/>
      <c r="G1028" s="80"/>
      <c r="H1028" s="94"/>
      <c r="I1028" s="81"/>
      <c r="J1028" s="35"/>
      <c r="K1028" s="36"/>
      <c r="L1028" s="36"/>
      <c r="M1028" s="36"/>
      <c r="N1028" s="36"/>
      <c r="O1028" s="36"/>
      <c r="P1028" s="36"/>
      <c r="Q1028" s="36"/>
      <c r="R1028" s="36"/>
      <c r="S1028" s="36"/>
      <c r="T1028" s="36"/>
      <c r="U1028" s="36"/>
      <c r="V1028" s="36"/>
      <c r="W1028" s="36"/>
      <c r="X1028" s="36"/>
      <c r="Y1028" s="36"/>
      <c r="Z1028" s="36"/>
      <c r="AA1028" s="36"/>
      <c r="AB1028" s="36"/>
      <c r="AC1028" s="36"/>
    </row>
    <row r="1029" spans="1:29" ht="108" customHeight="1">
      <c r="A1029" s="81"/>
      <c r="B1029" s="81"/>
      <c r="C1029" s="81"/>
      <c r="D1029" s="81"/>
      <c r="E1029" s="80"/>
      <c r="F1029" s="80"/>
      <c r="G1029" s="80"/>
      <c r="H1029" s="94"/>
      <c r="I1029" s="81"/>
      <c r="J1029" s="35"/>
      <c r="K1029" s="36"/>
      <c r="L1029" s="36"/>
      <c r="M1029" s="36"/>
      <c r="N1029" s="36"/>
      <c r="O1029" s="36"/>
      <c r="P1029" s="36"/>
      <c r="Q1029" s="36"/>
      <c r="R1029" s="36"/>
      <c r="S1029" s="36"/>
      <c r="T1029" s="36"/>
      <c r="U1029" s="36"/>
      <c r="V1029" s="36"/>
      <c r="W1029" s="36"/>
      <c r="X1029" s="36"/>
      <c r="Y1029" s="36"/>
      <c r="Z1029" s="36"/>
      <c r="AA1029" s="36"/>
      <c r="AB1029" s="36"/>
      <c r="AC1029" s="36"/>
    </row>
    <row r="1030" spans="1:29" ht="164.25" customHeight="1">
      <c r="A1030" s="81"/>
      <c r="B1030" s="81"/>
      <c r="C1030" s="81"/>
      <c r="D1030" s="81"/>
      <c r="E1030" s="80"/>
      <c r="F1030" s="80"/>
      <c r="G1030" s="80"/>
      <c r="H1030" s="94"/>
      <c r="I1030" s="81"/>
      <c r="J1030" s="35"/>
      <c r="K1030" s="36"/>
      <c r="L1030" s="36"/>
      <c r="M1030" s="36"/>
      <c r="N1030" s="36"/>
      <c r="O1030" s="36"/>
      <c r="P1030" s="36"/>
      <c r="Q1030" s="36"/>
      <c r="R1030" s="36"/>
      <c r="S1030" s="36"/>
      <c r="T1030" s="36"/>
      <c r="U1030" s="36"/>
      <c r="V1030" s="36"/>
      <c r="W1030" s="36"/>
      <c r="X1030" s="36"/>
      <c r="Y1030" s="36"/>
      <c r="Z1030" s="36"/>
      <c r="AA1030" s="36"/>
      <c r="AB1030" s="36"/>
      <c r="AC1030" s="36"/>
    </row>
    <row r="1031" spans="1:29" ht="132" customHeight="1">
      <c r="A1031" s="81"/>
      <c r="B1031" s="81"/>
      <c r="C1031" s="81"/>
      <c r="D1031" s="81"/>
      <c r="E1031" s="80"/>
      <c r="F1031" s="80"/>
      <c r="G1031" s="80"/>
      <c r="H1031" s="94"/>
      <c r="I1031" s="81"/>
      <c r="J1031" s="35"/>
      <c r="K1031" s="36"/>
      <c r="L1031" s="36"/>
      <c r="M1031" s="36"/>
      <c r="N1031" s="36"/>
      <c r="O1031" s="36"/>
      <c r="P1031" s="36"/>
      <c r="Q1031" s="36"/>
      <c r="R1031" s="36"/>
      <c r="S1031" s="36"/>
      <c r="T1031" s="36"/>
      <c r="U1031" s="36"/>
      <c r="V1031" s="36"/>
      <c r="W1031" s="36"/>
      <c r="X1031" s="36"/>
      <c r="Y1031" s="36"/>
      <c r="Z1031" s="36"/>
      <c r="AA1031" s="36"/>
      <c r="AB1031" s="36"/>
      <c r="AC1031" s="36"/>
    </row>
    <row r="1032" spans="1:29" ht="96" customHeight="1">
      <c r="A1032" s="81"/>
      <c r="B1032" s="81"/>
      <c r="C1032" s="81"/>
      <c r="D1032" s="81"/>
      <c r="E1032" s="80"/>
      <c r="F1032" s="80"/>
      <c r="G1032" s="80"/>
      <c r="H1032" s="94"/>
      <c r="I1032" s="81"/>
      <c r="J1032" s="35"/>
      <c r="K1032" s="36"/>
      <c r="L1032" s="36"/>
      <c r="M1032" s="36"/>
      <c r="N1032" s="36"/>
      <c r="O1032" s="36"/>
      <c r="P1032" s="36"/>
      <c r="Q1032" s="36"/>
      <c r="R1032" s="36"/>
      <c r="S1032" s="36"/>
      <c r="T1032" s="36"/>
      <c r="U1032" s="36"/>
      <c r="V1032" s="36"/>
      <c r="W1032" s="36"/>
      <c r="X1032" s="36"/>
      <c r="Y1032" s="36"/>
      <c r="Z1032" s="36"/>
      <c r="AA1032" s="36"/>
      <c r="AB1032" s="36"/>
      <c r="AC1032" s="36"/>
    </row>
    <row r="1033" spans="1:29" ht="108" customHeight="1">
      <c r="A1033" s="81"/>
      <c r="B1033" s="81"/>
      <c r="C1033" s="81"/>
      <c r="D1033" s="81"/>
      <c r="E1033" s="80"/>
      <c r="F1033" s="80"/>
      <c r="G1033" s="80"/>
      <c r="H1033" s="94"/>
      <c r="I1033" s="81"/>
      <c r="J1033" s="35"/>
      <c r="K1033" s="36"/>
      <c r="L1033" s="36"/>
      <c r="M1033" s="36"/>
      <c r="N1033" s="36"/>
      <c r="O1033" s="36"/>
      <c r="P1033" s="36"/>
      <c r="Q1033" s="36"/>
      <c r="R1033" s="36"/>
      <c r="S1033" s="36"/>
      <c r="T1033" s="36"/>
      <c r="U1033" s="36"/>
      <c r="V1033" s="36"/>
      <c r="W1033" s="36"/>
      <c r="X1033" s="36"/>
      <c r="Y1033" s="36"/>
      <c r="Z1033" s="36"/>
      <c r="AA1033" s="36"/>
      <c r="AB1033" s="36"/>
      <c r="AC1033" s="36"/>
    </row>
    <row r="1034" spans="1:29" ht="99.75" customHeight="1">
      <c r="A1034" s="81"/>
      <c r="B1034" s="81"/>
      <c r="C1034" s="81"/>
      <c r="D1034" s="81"/>
      <c r="E1034" s="80"/>
      <c r="F1034" s="80"/>
      <c r="G1034" s="80"/>
      <c r="H1034" s="94"/>
      <c r="I1034" s="81"/>
      <c r="J1034" s="35"/>
      <c r="K1034" s="36"/>
      <c r="L1034" s="36"/>
      <c r="M1034" s="36"/>
      <c r="N1034" s="36"/>
      <c r="O1034" s="36"/>
      <c r="P1034" s="36"/>
      <c r="Q1034" s="36"/>
      <c r="R1034" s="36"/>
      <c r="S1034" s="36"/>
      <c r="T1034" s="36"/>
      <c r="U1034" s="36"/>
      <c r="V1034" s="36"/>
      <c r="W1034" s="36"/>
      <c r="X1034" s="36"/>
      <c r="Y1034" s="36"/>
      <c r="Z1034" s="36"/>
      <c r="AA1034" s="36"/>
      <c r="AB1034" s="36"/>
      <c r="AC1034" s="36"/>
    </row>
    <row r="1035" spans="1:29" ht="204" customHeight="1">
      <c r="A1035" s="81"/>
      <c r="B1035" s="81"/>
      <c r="C1035" s="100"/>
      <c r="D1035" s="100"/>
      <c r="E1035" s="99"/>
      <c r="F1035" s="99"/>
      <c r="G1035" s="80"/>
      <c r="H1035" s="94"/>
      <c r="I1035" s="81"/>
      <c r="J1035" s="35"/>
      <c r="K1035" s="36"/>
      <c r="L1035" s="36"/>
      <c r="M1035" s="36"/>
      <c r="N1035" s="36"/>
      <c r="O1035" s="36"/>
      <c r="P1035" s="36"/>
      <c r="Q1035" s="36"/>
      <c r="R1035" s="36"/>
      <c r="S1035" s="36"/>
      <c r="T1035" s="36"/>
      <c r="U1035" s="36"/>
      <c r="V1035" s="36"/>
      <c r="W1035" s="36"/>
      <c r="X1035" s="36"/>
      <c r="Y1035" s="36"/>
      <c r="Z1035" s="36"/>
      <c r="AA1035" s="36"/>
      <c r="AB1035" s="36"/>
      <c r="AC1035" s="36"/>
    </row>
    <row r="1036" spans="1:29" ht="12" customHeight="1">
      <c r="A1036" s="81"/>
      <c r="B1036" s="81"/>
      <c r="C1036" s="100"/>
      <c r="D1036" s="100"/>
      <c r="E1036" s="99"/>
      <c r="F1036" s="99"/>
      <c r="G1036" s="80"/>
      <c r="H1036" s="94"/>
      <c r="I1036" s="81"/>
      <c r="J1036" s="35"/>
      <c r="K1036" s="36"/>
      <c r="L1036" s="36"/>
      <c r="M1036" s="36"/>
      <c r="N1036" s="36"/>
      <c r="O1036" s="36"/>
      <c r="P1036" s="36"/>
      <c r="Q1036" s="36"/>
      <c r="R1036" s="36"/>
      <c r="S1036" s="36"/>
      <c r="T1036" s="36"/>
      <c r="U1036" s="36"/>
      <c r="V1036" s="36"/>
      <c r="W1036" s="36"/>
      <c r="X1036" s="36"/>
      <c r="Y1036" s="36"/>
      <c r="Z1036" s="36"/>
      <c r="AA1036" s="36"/>
      <c r="AB1036" s="36"/>
      <c r="AC1036" s="36"/>
    </row>
    <row r="1037" spans="1:29" ht="48" customHeight="1">
      <c r="A1037" s="81"/>
      <c r="B1037" s="81"/>
      <c r="C1037" s="100"/>
      <c r="D1037" s="100"/>
      <c r="E1037" s="99"/>
      <c r="F1037" s="99"/>
      <c r="G1037" s="80"/>
      <c r="H1037" s="100"/>
      <c r="I1037" s="81"/>
      <c r="J1037" s="246"/>
      <c r="K1037" s="36"/>
      <c r="L1037" s="36"/>
      <c r="M1037" s="36"/>
      <c r="N1037" s="36"/>
      <c r="O1037" s="36"/>
      <c r="P1037" s="36"/>
      <c r="Q1037" s="36"/>
      <c r="R1037" s="36"/>
      <c r="S1037" s="36"/>
      <c r="T1037" s="36"/>
      <c r="U1037" s="36"/>
      <c r="V1037" s="36"/>
      <c r="W1037" s="36"/>
      <c r="X1037" s="36"/>
      <c r="Y1037" s="36"/>
      <c r="Z1037" s="36"/>
      <c r="AA1037" s="36"/>
      <c r="AB1037" s="36"/>
      <c r="AC1037" s="36"/>
    </row>
    <row r="1038" spans="1:29" ht="24" customHeight="1">
      <c r="A1038" s="81"/>
      <c r="B1038" s="81"/>
      <c r="C1038" s="100"/>
      <c r="D1038" s="100"/>
      <c r="E1038" s="99"/>
      <c r="F1038" s="99"/>
      <c r="G1038" s="80"/>
      <c r="H1038" s="100"/>
      <c r="I1038" s="81"/>
      <c r="J1038" s="35"/>
      <c r="K1038" s="36"/>
      <c r="L1038" s="36"/>
      <c r="M1038" s="36"/>
      <c r="N1038" s="36"/>
      <c r="O1038" s="36"/>
      <c r="P1038" s="36"/>
      <c r="Q1038" s="36"/>
      <c r="R1038" s="36"/>
      <c r="S1038" s="36"/>
      <c r="T1038" s="36"/>
      <c r="U1038" s="36"/>
      <c r="V1038" s="36"/>
      <c r="W1038" s="36"/>
      <c r="X1038" s="36"/>
      <c r="Y1038" s="36"/>
      <c r="Z1038" s="36"/>
      <c r="AA1038" s="36"/>
      <c r="AB1038" s="36"/>
      <c r="AC1038" s="36"/>
    </row>
    <row r="1039" spans="1:29" ht="12" customHeight="1">
      <c r="A1039" s="81"/>
      <c r="B1039" s="94"/>
      <c r="C1039" s="100"/>
      <c r="D1039" s="100"/>
      <c r="E1039" s="99"/>
      <c r="F1039" s="99"/>
      <c r="G1039" s="80"/>
      <c r="H1039" s="100"/>
      <c r="I1039" s="81"/>
      <c r="J1039" s="35"/>
      <c r="K1039" s="36"/>
      <c r="L1039" s="36"/>
      <c r="M1039" s="36"/>
      <c r="N1039" s="36"/>
      <c r="O1039" s="36"/>
      <c r="P1039" s="36"/>
      <c r="Q1039" s="36"/>
      <c r="R1039" s="36"/>
      <c r="S1039" s="36"/>
      <c r="T1039" s="36"/>
      <c r="U1039" s="36"/>
      <c r="V1039" s="36"/>
      <c r="W1039" s="36"/>
      <c r="X1039" s="36"/>
      <c r="Y1039" s="36"/>
      <c r="Z1039" s="36"/>
      <c r="AA1039" s="36"/>
      <c r="AB1039" s="36"/>
      <c r="AC1039" s="36"/>
    </row>
    <row r="1040" spans="1:29" ht="36" customHeight="1">
      <c r="A1040" s="81"/>
      <c r="B1040" s="81"/>
      <c r="C1040" s="100"/>
      <c r="D1040" s="100"/>
      <c r="E1040" s="99"/>
      <c r="F1040" s="99"/>
      <c r="G1040" s="80"/>
      <c r="H1040" s="100"/>
      <c r="I1040" s="81"/>
      <c r="J1040" s="35"/>
      <c r="K1040" s="36"/>
      <c r="L1040" s="36"/>
      <c r="M1040" s="36"/>
      <c r="N1040" s="36"/>
      <c r="O1040" s="36"/>
      <c r="P1040" s="36"/>
      <c r="Q1040" s="36"/>
      <c r="R1040" s="36"/>
      <c r="S1040" s="36"/>
      <c r="T1040" s="36"/>
      <c r="U1040" s="36"/>
      <c r="V1040" s="36"/>
      <c r="W1040" s="36"/>
      <c r="X1040" s="36"/>
      <c r="Y1040" s="36"/>
      <c r="Z1040" s="36"/>
      <c r="AA1040" s="36"/>
      <c r="AB1040" s="36"/>
      <c r="AC1040" s="36"/>
    </row>
    <row r="1041" spans="1:29" ht="12" customHeight="1">
      <c r="A1041" s="625"/>
      <c r="B1041" s="94"/>
      <c r="C1041" s="81"/>
      <c r="D1041" s="81"/>
      <c r="E1041" s="80"/>
      <c r="F1041" s="80"/>
      <c r="G1041" s="80"/>
      <c r="H1041" s="94"/>
      <c r="I1041" s="81"/>
      <c r="J1041" s="35"/>
      <c r="K1041" s="36"/>
      <c r="L1041" s="36"/>
      <c r="M1041" s="36"/>
      <c r="N1041" s="36"/>
      <c r="O1041" s="36"/>
      <c r="P1041" s="36"/>
      <c r="Q1041" s="36"/>
      <c r="R1041" s="36"/>
      <c r="S1041" s="36"/>
      <c r="T1041" s="36"/>
      <c r="U1041" s="36"/>
      <c r="V1041" s="36"/>
      <c r="W1041" s="36"/>
      <c r="X1041" s="36"/>
      <c r="Y1041" s="36"/>
      <c r="Z1041" s="36"/>
      <c r="AA1041" s="36"/>
      <c r="AB1041" s="36"/>
      <c r="AC1041" s="36"/>
    </row>
    <row r="1042" spans="1:29" ht="24" customHeight="1">
      <c r="A1042" s="81"/>
      <c r="B1042" s="81"/>
      <c r="C1042" s="81"/>
      <c r="D1042" s="81"/>
      <c r="E1042" s="80"/>
      <c r="F1042" s="80"/>
      <c r="G1042" s="80"/>
      <c r="H1042" s="94"/>
      <c r="I1042" s="81"/>
      <c r="J1042" s="35"/>
      <c r="K1042" s="36"/>
      <c r="L1042" s="36"/>
      <c r="M1042" s="36"/>
      <c r="N1042" s="36"/>
      <c r="O1042" s="36"/>
      <c r="P1042" s="36"/>
      <c r="Q1042" s="36"/>
      <c r="R1042" s="36"/>
      <c r="S1042" s="36"/>
      <c r="T1042" s="36"/>
      <c r="U1042" s="36"/>
      <c r="V1042" s="36"/>
      <c r="W1042" s="36"/>
      <c r="X1042" s="36"/>
      <c r="Y1042" s="36"/>
      <c r="Z1042" s="36"/>
      <c r="AA1042" s="36"/>
      <c r="AB1042" s="36"/>
      <c r="AC1042" s="36"/>
    </row>
    <row r="1043" spans="1:29" ht="72" customHeight="1">
      <c r="A1043" s="81"/>
      <c r="B1043" s="81"/>
      <c r="C1043" s="81"/>
      <c r="D1043" s="81"/>
      <c r="E1043" s="80"/>
      <c r="F1043" s="80"/>
      <c r="G1043" s="80"/>
      <c r="H1043" s="94"/>
      <c r="I1043" s="81"/>
      <c r="J1043" s="35"/>
      <c r="K1043" s="36"/>
      <c r="L1043" s="36"/>
      <c r="M1043" s="36"/>
      <c r="N1043" s="36"/>
      <c r="O1043" s="36"/>
      <c r="P1043" s="36"/>
      <c r="Q1043" s="36"/>
      <c r="R1043" s="36"/>
      <c r="S1043" s="36"/>
      <c r="T1043" s="36"/>
      <c r="U1043" s="36"/>
      <c r="V1043" s="36"/>
      <c r="W1043" s="36"/>
      <c r="X1043" s="36"/>
      <c r="Y1043" s="36"/>
      <c r="Z1043" s="36"/>
      <c r="AA1043" s="36"/>
      <c r="AB1043" s="36"/>
      <c r="AC1043" s="36"/>
    </row>
    <row r="1044" spans="1:29" ht="24" customHeight="1">
      <c r="A1044" s="81"/>
      <c r="B1044" s="81"/>
      <c r="C1044" s="81"/>
      <c r="D1044" s="81"/>
      <c r="E1044" s="80"/>
      <c r="F1044" s="80"/>
      <c r="G1044" s="80"/>
      <c r="H1044" s="94"/>
      <c r="I1044" s="81"/>
      <c r="J1044" s="35"/>
      <c r="K1044" s="36"/>
      <c r="L1044" s="36"/>
      <c r="M1044" s="36"/>
      <c r="N1044" s="36"/>
      <c r="O1044" s="36"/>
      <c r="P1044" s="36"/>
      <c r="Q1044" s="36"/>
      <c r="R1044" s="36"/>
      <c r="S1044" s="36"/>
      <c r="T1044" s="36"/>
      <c r="U1044" s="36"/>
      <c r="V1044" s="36"/>
      <c r="W1044" s="36"/>
      <c r="X1044" s="36"/>
      <c r="Y1044" s="36"/>
      <c r="Z1044" s="36"/>
      <c r="AA1044" s="36"/>
      <c r="AB1044" s="36"/>
      <c r="AC1044" s="36"/>
    </row>
    <row r="1045" spans="1:29" ht="84" customHeight="1">
      <c r="A1045" s="81"/>
      <c r="B1045" s="81"/>
      <c r="C1045" s="81"/>
      <c r="D1045" s="81"/>
      <c r="E1045" s="80"/>
      <c r="F1045" s="80"/>
      <c r="G1045" s="80"/>
      <c r="H1045" s="94"/>
      <c r="I1045" s="81"/>
      <c r="J1045" s="246"/>
      <c r="K1045" s="36"/>
      <c r="L1045" s="36"/>
      <c r="M1045" s="36"/>
      <c r="N1045" s="36"/>
      <c r="O1045" s="36"/>
      <c r="P1045" s="36"/>
      <c r="Q1045" s="36"/>
      <c r="R1045" s="36"/>
      <c r="S1045" s="36"/>
      <c r="T1045" s="36"/>
      <c r="U1045" s="36"/>
      <c r="V1045" s="36"/>
      <c r="W1045" s="36"/>
      <c r="X1045" s="36"/>
      <c r="Y1045" s="36"/>
      <c r="Z1045" s="36"/>
      <c r="AA1045" s="36"/>
      <c r="AB1045" s="36"/>
      <c r="AC1045" s="36"/>
    </row>
    <row r="1046" spans="1:29" ht="60" customHeight="1">
      <c r="A1046" s="81"/>
      <c r="B1046" s="81"/>
      <c r="C1046" s="81"/>
      <c r="D1046" s="81"/>
      <c r="E1046" s="80"/>
      <c r="F1046" s="80"/>
      <c r="G1046" s="80"/>
      <c r="H1046" s="94"/>
      <c r="I1046" s="81"/>
      <c r="J1046" s="248"/>
      <c r="K1046" s="36"/>
      <c r="L1046" s="36"/>
      <c r="M1046" s="36"/>
      <c r="N1046" s="36"/>
      <c r="O1046" s="36"/>
      <c r="P1046" s="36"/>
      <c r="Q1046" s="36"/>
      <c r="R1046" s="36"/>
      <c r="S1046" s="36"/>
      <c r="T1046" s="36"/>
      <c r="U1046" s="36"/>
      <c r="V1046" s="36"/>
      <c r="W1046" s="36"/>
      <c r="X1046" s="36"/>
      <c r="Y1046" s="36"/>
      <c r="Z1046" s="36"/>
      <c r="AA1046" s="36"/>
      <c r="AB1046" s="36"/>
      <c r="AC1046" s="36"/>
    </row>
    <row r="1047" spans="1:29" ht="12" customHeight="1">
      <c r="A1047" s="81"/>
      <c r="B1047" s="81"/>
      <c r="C1047" s="81"/>
      <c r="D1047" s="81"/>
      <c r="E1047" s="80"/>
      <c r="F1047" s="80"/>
      <c r="G1047" s="80"/>
      <c r="H1047" s="94"/>
      <c r="I1047" s="81"/>
      <c r="J1047" s="35"/>
      <c r="K1047" s="36"/>
      <c r="L1047" s="36"/>
      <c r="M1047" s="36"/>
      <c r="N1047" s="36"/>
      <c r="O1047" s="36"/>
      <c r="P1047" s="36"/>
      <c r="Q1047" s="36"/>
      <c r="R1047" s="36"/>
      <c r="S1047" s="36"/>
      <c r="T1047" s="36"/>
      <c r="U1047" s="36"/>
      <c r="V1047" s="36"/>
      <c r="W1047" s="36"/>
      <c r="X1047" s="36"/>
      <c r="Y1047" s="36"/>
      <c r="Z1047" s="36"/>
      <c r="AA1047" s="36"/>
      <c r="AB1047" s="36"/>
      <c r="AC1047" s="36"/>
    </row>
    <row r="1048" spans="1:29" ht="48" customHeight="1">
      <c r="A1048" s="81"/>
      <c r="B1048" s="81"/>
      <c r="C1048" s="81"/>
      <c r="D1048" s="81"/>
      <c r="E1048" s="80"/>
      <c r="F1048" s="80"/>
      <c r="G1048" s="80"/>
      <c r="H1048" s="94"/>
      <c r="I1048" s="81"/>
      <c r="J1048" s="35"/>
      <c r="K1048" s="36"/>
      <c r="L1048" s="36"/>
      <c r="M1048" s="36"/>
      <c r="N1048" s="36"/>
      <c r="O1048" s="36"/>
      <c r="P1048" s="36"/>
      <c r="Q1048" s="36"/>
      <c r="R1048" s="36"/>
      <c r="S1048" s="36"/>
      <c r="T1048" s="36"/>
      <c r="U1048" s="36"/>
      <c r="V1048" s="36"/>
      <c r="W1048" s="36"/>
      <c r="X1048" s="36"/>
      <c r="Y1048" s="36"/>
      <c r="Z1048" s="36"/>
      <c r="AA1048" s="36"/>
      <c r="AB1048" s="36"/>
      <c r="AC1048" s="36"/>
    </row>
    <row r="1049" spans="1:29" ht="12" customHeight="1">
      <c r="A1049" s="81"/>
      <c r="B1049" s="81"/>
      <c r="C1049" s="81"/>
      <c r="D1049" s="81"/>
      <c r="E1049" s="80"/>
      <c r="F1049" s="80"/>
      <c r="G1049" s="80"/>
      <c r="H1049" s="94"/>
      <c r="I1049" s="81"/>
      <c r="J1049" s="35"/>
      <c r="K1049" s="36"/>
      <c r="L1049" s="36"/>
      <c r="M1049" s="36"/>
      <c r="N1049" s="36"/>
      <c r="O1049" s="36"/>
      <c r="P1049" s="36"/>
      <c r="Q1049" s="36"/>
      <c r="R1049" s="36"/>
      <c r="S1049" s="36"/>
      <c r="T1049" s="36"/>
      <c r="U1049" s="36"/>
      <c r="V1049" s="36"/>
      <c r="W1049" s="36"/>
      <c r="X1049" s="36"/>
      <c r="Y1049" s="36"/>
      <c r="Z1049" s="36"/>
      <c r="AA1049" s="36"/>
      <c r="AB1049" s="36"/>
      <c r="AC1049" s="36"/>
    </row>
    <row r="1050" spans="1:29" ht="12" customHeight="1">
      <c r="A1050" s="81"/>
      <c r="B1050" s="81"/>
      <c r="C1050" s="81"/>
      <c r="D1050" s="81"/>
      <c r="E1050" s="80"/>
      <c r="F1050" s="80"/>
      <c r="G1050" s="80"/>
      <c r="H1050" s="94"/>
      <c r="I1050" s="81"/>
      <c r="J1050" s="35"/>
      <c r="K1050" s="36"/>
      <c r="L1050" s="36"/>
      <c r="M1050" s="36"/>
      <c r="N1050" s="36"/>
      <c r="O1050" s="36"/>
      <c r="P1050" s="36"/>
      <c r="Q1050" s="36"/>
      <c r="R1050" s="36"/>
      <c r="S1050" s="36"/>
      <c r="T1050" s="36"/>
      <c r="U1050" s="36"/>
      <c r="V1050" s="36"/>
      <c r="W1050" s="36"/>
      <c r="X1050" s="36"/>
      <c r="Y1050" s="36"/>
      <c r="Z1050" s="36"/>
      <c r="AA1050" s="36"/>
      <c r="AB1050" s="36"/>
      <c r="AC1050" s="36"/>
    </row>
    <row r="1051" spans="1:29" ht="36" customHeight="1">
      <c r="A1051" s="81"/>
      <c r="B1051" s="81"/>
      <c r="C1051" s="81"/>
      <c r="D1051" s="81"/>
      <c r="E1051" s="80"/>
      <c r="F1051" s="80"/>
      <c r="G1051" s="80"/>
      <c r="H1051" s="94"/>
      <c r="I1051" s="81"/>
      <c r="J1051" s="35"/>
      <c r="K1051" s="36"/>
      <c r="L1051" s="36"/>
      <c r="M1051" s="36"/>
      <c r="N1051" s="36"/>
      <c r="O1051" s="36"/>
      <c r="P1051" s="36"/>
      <c r="Q1051" s="36"/>
      <c r="R1051" s="36"/>
      <c r="S1051" s="36"/>
      <c r="T1051" s="36"/>
      <c r="U1051" s="36"/>
      <c r="V1051" s="36"/>
      <c r="W1051" s="36"/>
      <c r="X1051" s="36"/>
      <c r="Y1051" s="36"/>
      <c r="Z1051" s="36"/>
      <c r="AA1051" s="36"/>
      <c r="AB1051" s="36"/>
      <c r="AC1051" s="36"/>
    </row>
    <row r="1052" spans="1:29" ht="60" customHeight="1">
      <c r="A1052" s="81"/>
      <c r="B1052" s="81"/>
      <c r="C1052" s="81"/>
      <c r="D1052" s="81"/>
      <c r="E1052" s="80"/>
      <c r="F1052" s="80"/>
      <c r="G1052" s="80"/>
      <c r="H1052" s="94"/>
      <c r="I1052" s="81"/>
      <c r="J1052" s="35"/>
      <c r="K1052" s="36"/>
      <c r="L1052" s="36"/>
      <c r="M1052" s="36"/>
      <c r="N1052" s="36"/>
      <c r="O1052" s="36"/>
      <c r="P1052" s="36"/>
      <c r="Q1052" s="36"/>
      <c r="R1052" s="36"/>
      <c r="S1052" s="36"/>
      <c r="T1052" s="36"/>
      <c r="U1052" s="36"/>
      <c r="V1052" s="36"/>
      <c r="W1052" s="36"/>
      <c r="X1052" s="36"/>
      <c r="Y1052" s="36"/>
      <c r="Z1052" s="36"/>
      <c r="AA1052" s="36"/>
      <c r="AB1052" s="36"/>
      <c r="AC1052" s="36"/>
    </row>
    <row r="1053" spans="1:29" ht="84" customHeight="1">
      <c r="A1053" s="81"/>
      <c r="B1053" s="81"/>
      <c r="C1053" s="81"/>
      <c r="D1053" s="81"/>
      <c r="E1053" s="80"/>
      <c r="F1053" s="80"/>
      <c r="G1053" s="80"/>
      <c r="H1053" s="94"/>
      <c r="I1053" s="81"/>
      <c r="J1053" s="35"/>
      <c r="K1053" s="36"/>
      <c r="L1053" s="36"/>
      <c r="M1053" s="36"/>
      <c r="N1053" s="36"/>
      <c r="O1053" s="36"/>
      <c r="P1053" s="36"/>
      <c r="Q1053" s="36"/>
      <c r="R1053" s="36"/>
      <c r="S1053" s="36"/>
      <c r="T1053" s="36"/>
      <c r="U1053" s="36"/>
      <c r="V1053" s="36"/>
      <c r="W1053" s="36"/>
      <c r="X1053" s="36"/>
      <c r="Y1053" s="36"/>
      <c r="Z1053" s="36"/>
      <c r="AA1053" s="36"/>
      <c r="AB1053" s="36"/>
      <c r="AC1053" s="36"/>
    </row>
    <row r="1054" spans="1:29" ht="84" customHeight="1">
      <c r="A1054" s="81"/>
      <c r="B1054" s="81"/>
      <c r="C1054" s="81"/>
      <c r="D1054" s="81"/>
      <c r="E1054" s="80"/>
      <c r="F1054" s="80"/>
      <c r="G1054" s="80"/>
      <c r="H1054" s="94"/>
      <c r="I1054" s="81"/>
      <c r="J1054" s="35"/>
      <c r="K1054" s="36"/>
      <c r="L1054" s="36"/>
      <c r="M1054" s="36"/>
      <c r="N1054" s="36"/>
      <c r="O1054" s="36"/>
      <c r="P1054" s="36"/>
      <c r="Q1054" s="36"/>
      <c r="R1054" s="36"/>
      <c r="S1054" s="36"/>
      <c r="T1054" s="36"/>
      <c r="U1054" s="36"/>
      <c r="V1054" s="36"/>
      <c r="W1054" s="36"/>
      <c r="X1054" s="36"/>
      <c r="Y1054" s="36"/>
      <c r="Z1054" s="36"/>
      <c r="AA1054" s="36"/>
      <c r="AB1054" s="36"/>
      <c r="AC1054" s="36"/>
    </row>
    <row r="1055" spans="1:29" ht="24" customHeight="1">
      <c r="A1055" s="81"/>
      <c r="B1055" s="81"/>
      <c r="C1055" s="81"/>
      <c r="D1055" s="81"/>
      <c r="E1055" s="80"/>
      <c r="F1055" s="80"/>
      <c r="G1055" s="80"/>
      <c r="H1055" s="94"/>
      <c r="I1055" s="81"/>
      <c r="J1055" s="35"/>
      <c r="K1055" s="36"/>
      <c r="L1055" s="36"/>
      <c r="M1055" s="36"/>
      <c r="N1055" s="36"/>
      <c r="O1055" s="36"/>
      <c r="P1055" s="36"/>
      <c r="Q1055" s="36"/>
      <c r="R1055" s="36"/>
      <c r="S1055" s="36"/>
      <c r="T1055" s="36"/>
      <c r="U1055" s="36"/>
      <c r="V1055" s="36"/>
      <c r="W1055" s="36"/>
      <c r="X1055" s="36"/>
      <c r="Y1055" s="36"/>
      <c r="Z1055" s="36"/>
      <c r="AA1055" s="36"/>
      <c r="AB1055" s="36"/>
      <c r="AC1055" s="36"/>
    </row>
    <row r="1056" spans="1:29" ht="48" customHeight="1">
      <c r="A1056" s="81"/>
      <c r="B1056" s="94"/>
      <c r="C1056" s="81"/>
      <c r="D1056" s="81"/>
      <c r="E1056" s="80"/>
      <c r="F1056" s="80"/>
      <c r="G1056" s="80"/>
      <c r="H1056" s="94"/>
      <c r="I1056" s="81"/>
      <c r="J1056" s="35"/>
      <c r="K1056" s="36"/>
      <c r="L1056" s="36"/>
      <c r="M1056" s="36"/>
      <c r="N1056" s="36"/>
      <c r="O1056" s="36"/>
      <c r="P1056" s="36"/>
      <c r="Q1056" s="36"/>
      <c r="R1056" s="36"/>
      <c r="S1056" s="36"/>
      <c r="T1056" s="36"/>
      <c r="U1056" s="36"/>
      <c r="V1056" s="36"/>
      <c r="W1056" s="36"/>
      <c r="X1056" s="36"/>
      <c r="Y1056" s="36"/>
      <c r="Z1056" s="36"/>
      <c r="AA1056" s="36"/>
      <c r="AB1056" s="36"/>
      <c r="AC1056" s="36"/>
    </row>
    <row r="1057" spans="1:29" ht="24" customHeight="1">
      <c r="A1057" s="81"/>
      <c r="B1057" s="81"/>
      <c r="C1057" s="81"/>
      <c r="D1057" s="81"/>
      <c r="E1057" s="80"/>
      <c r="F1057" s="80"/>
      <c r="G1057" s="80"/>
      <c r="H1057" s="94"/>
      <c r="I1057" s="81"/>
      <c r="J1057" s="35"/>
      <c r="K1057" s="36"/>
      <c r="L1057" s="36"/>
      <c r="M1057" s="36"/>
      <c r="N1057" s="36"/>
      <c r="O1057" s="36"/>
      <c r="P1057" s="36"/>
      <c r="Q1057" s="36"/>
      <c r="R1057" s="36"/>
      <c r="S1057" s="36"/>
      <c r="T1057" s="36"/>
      <c r="U1057" s="36"/>
      <c r="V1057" s="36"/>
      <c r="W1057" s="36"/>
      <c r="X1057" s="36"/>
      <c r="Y1057" s="36"/>
      <c r="Z1057" s="36"/>
      <c r="AA1057" s="36"/>
      <c r="AB1057" s="36"/>
      <c r="AC1057" s="36"/>
    </row>
    <row r="1058" spans="1:29" ht="24" customHeight="1">
      <c r="A1058" s="81"/>
      <c r="B1058" s="81"/>
      <c r="C1058" s="81"/>
      <c r="D1058" s="81"/>
      <c r="E1058" s="80"/>
      <c r="F1058" s="80"/>
      <c r="G1058" s="80"/>
      <c r="H1058" s="94"/>
      <c r="I1058" s="81"/>
      <c r="J1058" s="35"/>
      <c r="K1058" s="36"/>
      <c r="L1058" s="36"/>
      <c r="M1058" s="36"/>
      <c r="N1058" s="36"/>
      <c r="O1058" s="36"/>
      <c r="P1058" s="36"/>
      <c r="Q1058" s="36"/>
      <c r="R1058" s="36"/>
      <c r="S1058" s="36"/>
      <c r="T1058" s="36"/>
      <c r="U1058" s="36"/>
      <c r="V1058" s="36"/>
      <c r="W1058" s="36"/>
      <c r="X1058" s="36"/>
      <c r="Y1058" s="36"/>
      <c r="Z1058" s="36"/>
      <c r="AA1058" s="36"/>
      <c r="AB1058" s="36"/>
      <c r="AC1058" s="36"/>
    </row>
    <row r="1059" spans="1:29" ht="60" customHeight="1">
      <c r="A1059" s="81"/>
      <c r="B1059" s="81"/>
      <c r="C1059" s="81"/>
      <c r="D1059" s="81"/>
      <c r="E1059" s="80"/>
      <c r="F1059" s="80"/>
      <c r="G1059" s="80"/>
      <c r="H1059" s="94"/>
      <c r="I1059" s="81"/>
      <c r="J1059" s="35"/>
      <c r="K1059" s="36"/>
      <c r="L1059" s="36"/>
      <c r="M1059" s="36"/>
      <c r="N1059" s="36"/>
      <c r="O1059" s="36"/>
      <c r="P1059" s="36"/>
      <c r="Q1059" s="36"/>
      <c r="R1059" s="36"/>
      <c r="S1059" s="36"/>
      <c r="T1059" s="36"/>
      <c r="U1059" s="36"/>
      <c r="V1059" s="36"/>
      <c r="W1059" s="36"/>
      <c r="X1059" s="36"/>
      <c r="Y1059" s="36"/>
      <c r="Z1059" s="36"/>
      <c r="AA1059" s="36"/>
      <c r="AB1059" s="36"/>
      <c r="AC1059" s="36"/>
    </row>
    <row r="1060" spans="1:29" ht="60" customHeight="1">
      <c r="A1060" s="81"/>
      <c r="B1060" s="81"/>
      <c r="C1060" s="81"/>
      <c r="D1060" s="81"/>
      <c r="E1060" s="80"/>
      <c r="F1060" s="80"/>
      <c r="G1060" s="80"/>
      <c r="H1060" s="94"/>
      <c r="I1060" s="81"/>
      <c r="J1060" s="35"/>
      <c r="K1060" s="36"/>
      <c r="L1060" s="36"/>
      <c r="M1060" s="36"/>
      <c r="N1060" s="36"/>
      <c r="O1060" s="36"/>
      <c r="P1060" s="36"/>
      <c r="Q1060" s="36"/>
      <c r="R1060" s="36"/>
      <c r="S1060" s="36"/>
      <c r="T1060" s="36"/>
      <c r="U1060" s="36"/>
      <c r="V1060" s="36"/>
      <c r="W1060" s="36"/>
      <c r="X1060" s="36"/>
      <c r="Y1060" s="36"/>
      <c r="Z1060" s="36"/>
      <c r="AA1060" s="36"/>
      <c r="AB1060" s="36"/>
      <c r="AC1060" s="36"/>
    </row>
    <row r="1061" spans="1:29" ht="24" customHeight="1">
      <c r="A1061" s="81"/>
      <c r="B1061" s="81"/>
      <c r="C1061" s="81"/>
      <c r="D1061" s="81"/>
      <c r="E1061" s="80"/>
      <c r="F1061" s="80"/>
      <c r="G1061" s="80"/>
      <c r="H1061" s="94"/>
      <c r="I1061" s="81"/>
      <c r="J1061" s="35"/>
      <c r="K1061" s="36"/>
      <c r="L1061" s="36"/>
      <c r="M1061" s="36"/>
      <c r="N1061" s="36"/>
      <c r="O1061" s="36"/>
      <c r="P1061" s="36"/>
      <c r="Q1061" s="36"/>
      <c r="R1061" s="36"/>
      <c r="S1061" s="36"/>
      <c r="T1061" s="36"/>
      <c r="U1061" s="36"/>
      <c r="V1061" s="36"/>
      <c r="W1061" s="36"/>
      <c r="X1061" s="36"/>
      <c r="Y1061" s="36"/>
      <c r="Z1061" s="36"/>
      <c r="AA1061" s="36"/>
      <c r="AB1061" s="36"/>
      <c r="AC1061" s="36"/>
    </row>
    <row r="1062" spans="1:29" ht="19.5" customHeight="1">
      <c r="A1062" s="81"/>
      <c r="B1062" s="81"/>
      <c r="C1062" s="81"/>
      <c r="D1062" s="81"/>
      <c r="E1062" s="80"/>
      <c r="F1062" s="80"/>
      <c r="G1062" s="80"/>
      <c r="H1062" s="94"/>
      <c r="I1062" s="81"/>
      <c r="J1062" s="36"/>
      <c r="K1062" s="36"/>
      <c r="L1062" s="36"/>
      <c r="M1062" s="36"/>
      <c r="N1062" s="36"/>
      <c r="O1062" s="36"/>
      <c r="P1062" s="36"/>
      <c r="Q1062" s="36"/>
      <c r="R1062" s="36"/>
      <c r="S1062" s="36"/>
      <c r="T1062" s="36"/>
      <c r="U1062" s="36"/>
      <c r="V1062" s="36"/>
      <c r="W1062" s="36"/>
      <c r="X1062" s="36"/>
      <c r="Y1062" s="36"/>
      <c r="Z1062" s="36"/>
      <c r="AA1062" s="36"/>
      <c r="AB1062" s="36"/>
      <c r="AC1062" s="36"/>
    </row>
    <row r="1063" spans="1:29" ht="30" customHeight="1">
      <c r="A1063" s="81"/>
      <c r="B1063" s="81"/>
      <c r="C1063" s="81"/>
      <c r="D1063" s="81"/>
      <c r="E1063" s="80"/>
      <c r="F1063" s="80"/>
      <c r="G1063" s="80"/>
      <c r="H1063" s="94"/>
      <c r="I1063" s="81"/>
      <c r="J1063" s="36"/>
      <c r="K1063" s="36"/>
      <c r="L1063" s="36"/>
      <c r="M1063" s="36"/>
      <c r="N1063" s="36"/>
      <c r="O1063" s="36"/>
      <c r="P1063" s="36"/>
      <c r="Q1063" s="36"/>
      <c r="R1063" s="36"/>
      <c r="S1063" s="36"/>
      <c r="T1063" s="36"/>
      <c r="U1063" s="36"/>
      <c r="V1063" s="36"/>
      <c r="W1063" s="36"/>
      <c r="X1063" s="36"/>
      <c r="Y1063" s="36"/>
      <c r="Z1063" s="36"/>
      <c r="AA1063" s="36"/>
      <c r="AB1063" s="36"/>
      <c r="AC1063" s="36"/>
    </row>
    <row r="1064" spans="1:29" ht="24" customHeight="1">
      <c r="A1064" s="81"/>
      <c r="B1064" s="81"/>
      <c r="C1064" s="81"/>
      <c r="D1064" s="81"/>
      <c r="E1064" s="80"/>
      <c r="F1064" s="80"/>
      <c r="G1064" s="80"/>
      <c r="H1064" s="94"/>
      <c r="I1064" s="81"/>
      <c r="J1064" s="35"/>
      <c r="K1064" s="36"/>
      <c r="L1064" s="36"/>
      <c r="M1064" s="36"/>
      <c r="N1064" s="36"/>
      <c r="O1064" s="36"/>
      <c r="P1064" s="36"/>
      <c r="Q1064" s="36"/>
      <c r="R1064" s="36"/>
      <c r="S1064" s="36"/>
      <c r="T1064" s="36"/>
      <c r="U1064" s="36"/>
      <c r="V1064" s="36"/>
      <c r="W1064" s="36"/>
      <c r="X1064" s="36"/>
      <c r="Y1064" s="36"/>
      <c r="Z1064" s="36"/>
      <c r="AA1064" s="36"/>
      <c r="AB1064" s="36"/>
      <c r="AC1064" s="36"/>
    </row>
    <row r="1065" spans="1:29" ht="36" customHeight="1">
      <c r="A1065" s="81"/>
      <c r="B1065" s="81"/>
      <c r="C1065" s="81"/>
      <c r="D1065" s="81"/>
      <c r="E1065" s="80"/>
      <c r="F1065" s="80"/>
      <c r="G1065" s="80"/>
      <c r="H1065" s="94"/>
      <c r="I1065" s="81"/>
      <c r="J1065" s="35"/>
      <c r="K1065" s="36"/>
      <c r="L1065" s="36"/>
      <c r="M1065" s="36"/>
      <c r="N1065" s="36"/>
      <c r="O1065" s="36"/>
      <c r="P1065" s="36"/>
      <c r="Q1065" s="36"/>
      <c r="R1065" s="36"/>
      <c r="S1065" s="36"/>
      <c r="T1065" s="36"/>
      <c r="U1065" s="36"/>
      <c r="V1065" s="36"/>
      <c r="W1065" s="36"/>
      <c r="X1065" s="36"/>
      <c r="Y1065" s="36"/>
      <c r="Z1065" s="36"/>
      <c r="AA1065" s="36"/>
      <c r="AB1065" s="36"/>
      <c r="AC1065" s="36"/>
    </row>
    <row r="1066" spans="1:29" ht="12" customHeight="1">
      <c r="A1066" s="81"/>
      <c r="B1066" s="81"/>
      <c r="C1066" s="81"/>
      <c r="D1066" s="81"/>
      <c r="E1066" s="80"/>
      <c r="F1066" s="80"/>
      <c r="G1066" s="80"/>
      <c r="H1066" s="94"/>
      <c r="I1066" s="81"/>
      <c r="J1066" s="35"/>
      <c r="K1066" s="36"/>
      <c r="L1066" s="36"/>
      <c r="M1066" s="36"/>
      <c r="N1066" s="36"/>
      <c r="O1066" s="36"/>
      <c r="P1066" s="36"/>
      <c r="Q1066" s="36"/>
      <c r="R1066" s="36"/>
      <c r="S1066" s="36"/>
      <c r="T1066" s="36"/>
      <c r="U1066" s="36"/>
      <c r="V1066" s="36"/>
      <c r="W1066" s="36"/>
      <c r="X1066" s="36"/>
      <c r="Y1066" s="36"/>
      <c r="Z1066" s="36"/>
      <c r="AA1066" s="36"/>
      <c r="AB1066" s="36"/>
      <c r="AC1066" s="36"/>
    </row>
    <row r="1067" spans="1:29" ht="24" customHeight="1">
      <c r="A1067" s="81"/>
      <c r="B1067" s="81"/>
      <c r="C1067" s="81"/>
      <c r="D1067" s="81"/>
      <c r="E1067" s="80"/>
      <c r="F1067" s="80"/>
      <c r="G1067" s="80"/>
      <c r="H1067" s="94"/>
      <c r="I1067" s="81"/>
      <c r="J1067" s="35"/>
      <c r="K1067" s="36"/>
      <c r="L1067" s="36"/>
      <c r="M1067" s="36"/>
      <c r="N1067" s="36"/>
      <c r="O1067" s="36"/>
      <c r="P1067" s="36"/>
      <c r="Q1067" s="36"/>
      <c r="R1067" s="36"/>
      <c r="S1067" s="36"/>
      <c r="T1067" s="36"/>
      <c r="U1067" s="36"/>
      <c r="V1067" s="36"/>
      <c r="W1067" s="36"/>
      <c r="X1067" s="36"/>
      <c r="Y1067" s="36"/>
      <c r="Z1067" s="36"/>
      <c r="AA1067" s="36"/>
      <c r="AB1067" s="36"/>
      <c r="AC1067" s="36"/>
    </row>
    <row r="1068" spans="1:29" ht="24" customHeight="1">
      <c r="A1068" s="81"/>
      <c r="B1068" s="81"/>
      <c r="C1068" s="81"/>
      <c r="D1068" s="81"/>
      <c r="E1068" s="80"/>
      <c r="F1068" s="80"/>
      <c r="G1068" s="80"/>
      <c r="H1068" s="94"/>
      <c r="I1068" s="81"/>
      <c r="J1068" s="35"/>
      <c r="K1068" s="36"/>
      <c r="L1068" s="36"/>
      <c r="M1068" s="36"/>
      <c r="N1068" s="36"/>
      <c r="O1068" s="36"/>
      <c r="P1068" s="36"/>
      <c r="Q1068" s="36"/>
      <c r="R1068" s="36"/>
      <c r="S1068" s="36"/>
      <c r="T1068" s="36"/>
      <c r="U1068" s="36"/>
      <c r="V1068" s="36"/>
      <c r="W1068" s="36"/>
      <c r="X1068" s="36"/>
      <c r="Y1068" s="36"/>
      <c r="Z1068" s="36"/>
      <c r="AA1068" s="36"/>
      <c r="AB1068" s="36"/>
      <c r="AC1068" s="36"/>
    </row>
    <row r="1069" spans="1:29" ht="24" customHeight="1">
      <c r="A1069" s="81"/>
      <c r="B1069" s="81"/>
      <c r="C1069" s="81"/>
      <c r="D1069" s="81"/>
      <c r="E1069" s="80"/>
      <c r="F1069" s="80"/>
      <c r="G1069" s="80"/>
      <c r="H1069" s="94"/>
      <c r="I1069" s="81"/>
      <c r="J1069" s="35"/>
      <c r="K1069" s="36"/>
      <c r="L1069" s="36"/>
      <c r="M1069" s="36"/>
      <c r="N1069" s="36"/>
      <c r="O1069" s="36"/>
      <c r="P1069" s="36"/>
      <c r="Q1069" s="36"/>
      <c r="R1069" s="36"/>
      <c r="S1069" s="36"/>
      <c r="T1069" s="36"/>
      <c r="U1069" s="36"/>
      <c r="V1069" s="36"/>
      <c r="W1069" s="36"/>
      <c r="X1069" s="36"/>
      <c r="Y1069" s="36"/>
      <c r="Z1069" s="36"/>
      <c r="AA1069" s="36"/>
      <c r="AB1069" s="36"/>
      <c r="AC1069" s="36"/>
    </row>
    <row r="1070" spans="1:29" ht="48" customHeight="1">
      <c r="A1070" s="81"/>
      <c r="B1070" s="81"/>
      <c r="C1070" s="81"/>
      <c r="D1070" s="81"/>
      <c r="E1070" s="80"/>
      <c r="F1070" s="80"/>
      <c r="G1070" s="80"/>
      <c r="H1070" s="94"/>
      <c r="I1070" s="81"/>
      <c r="J1070" s="35"/>
      <c r="K1070" s="36"/>
      <c r="L1070" s="36"/>
      <c r="M1070" s="36"/>
      <c r="N1070" s="36"/>
      <c r="O1070" s="36"/>
      <c r="P1070" s="36"/>
      <c r="Q1070" s="36"/>
      <c r="R1070" s="36"/>
      <c r="S1070" s="36"/>
      <c r="T1070" s="36"/>
      <c r="U1070" s="36"/>
      <c r="V1070" s="36"/>
      <c r="W1070" s="36"/>
      <c r="X1070" s="36"/>
      <c r="Y1070" s="36"/>
      <c r="Z1070" s="36"/>
      <c r="AA1070" s="36"/>
      <c r="AB1070" s="36"/>
      <c r="AC1070" s="36"/>
    </row>
    <row r="1071" spans="1:29" ht="24" customHeight="1">
      <c r="A1071" s="81"/>
      <c r="B1071" s="81"/>
      <c r="C1071" s="81"/>
      <c r="D1071" s="81"/>
      <c r="E1071" s="80"/>
      <c r="F1071" s="80"/>
      <c r="G1071" s="80"/>
      <c r="H1071" s="94"/>
      <c r="I1071" s="81"/>
      <c r="J1071" s="35"/>
      <c r="K1071" s="36"/>
      <c r="L1071" s="36"/>
      <c r="M1071" s="36"/>
      <c r="N1071" s="36"/>
      <c r="O1071" s="36"/>
      <c r="P1071" s="36"/>
      <c r="Q1071" s="36"/>
      <c r="R1071" s="36"/>
      <c r="S1071" s="36"/>
      <c r="T1071" s="36"/>
      <c r="U1071" s="36"/>
      <c r="V1071" s="36"/>
      <c r="W1071" s="36"/>
      <c r="X1071" s="36"/>
      <c r="Y1071" s="36"/>
      <c r="Z1071" s="36"/>
      <c r="AA1071" s="36"/>
      <c r="AB1071" s="36"/>
      <c r="AC1071" s="36"/>
    </row>
    <row r="1072" spans="1:29" ht="36" customHeight="1">
      <c r="A1072" s="81"/>
      <c r="B1072" s="81"/>
      <c r="C1072" s="81"/>
      <c r="D1072" s="81"/>
      <c r="E1072" s="80"/>
      <c r="F1072" s="80"/>
      <c r="G1072" s="80"/>
      <c r="H1072" s="94"/>
      <c r="I1072" s="81"/>
      <c r="J1072" s="35"/>
      <c r="K1072" s="36"/>
      <c r="L1072" s="36"/>
      <c r="M1072" s="36"/>
      <c r="N1072" s="36"/>
      <c r="O1072" s="36"/>
      <c r="P1072" s="36"/>
      <c r="Q1072" s="36"/>
      <c r="R1072" s="36"/>
      <c r="S1072" s="36"/>
      <c r="T1072" s="36"/>
      <c r="U1072" s="36"/>
      <c r="V1072" s="36"/>
      <c r="W1072" s="36"/>
      <c r="X1072" s="36"/>
      <c r="Y1072" s="36"/>
      <c r="Z1072" s="36"/>
      <c r="AA1072" s="36"/>
      <c r="AB1072" s="36"/>
      <c r="AC1072" s="36"/>
    </row>
    <row r="1073" spans="1:29" ht="120" customHeight="1">
      <c r="A1073" s="81"/>
      <c r="B1073" s="81"/>
      <c r="C1073" s="81"/>
      <c r="D1073" s="81"/>
      <c r="E1073" s="80"/>
      <c r="F1073" s="80"/>
      <c r="G1073" s="80"/>
      <c r="H1073" s="94"/>
      <c r="I1073" s="81"/>
      <c r="J1073" s="35"/>
      <c r="K1073" s="36"/>
      <c r="L1073" s="36"/>
      <c r="M1073" s="36"/>
      <c r="N1073" s="36"/>
      <c r="O1073" s="36"/>
      <c r="P1073" s="36"/>
      <c r="Q1073" s="36"/>
      <c r="R1073" s="36"/>
      <c r="S1073" s="36"/>
      <c r="T1073" s="36"/>
      <c r="U1073" s="36"/>
      <c r="V1073" s="36"/>
      <c r="W1073" s="36"/>
      <c r="X1073" s="36"/>
      <c r="Y1073" s="36"/>
      <c r="Z1073" s="36"/>
      <c r="AA1073" s="36"/>
      <c r="AB1073" s="36"/>
      <c r="AC1073" s="36"/>
    </row>
    <row r="1074" spans="1:29" ht="48" customHeight="1">
      <c r="A1074" s="81"/>
      <c r="B1074" s="81"/>
      <c r="C1074" s="81"/>
      <c r="D1074" s="81"/>
      <c r="E1074" s="80"/>
      <c r="F1074" s="80"/>
      <c r="G1074" s="80"/>
      <c r="H1074" s="94"/>
      <c r="I1074" s="81"/>
      <c r="J1074" s="35"/>
      <c r="K1074" s="36"/>
      <c r="L1074" s="36"/>
      <c r="M1074" s="36"/>
      <c r="N1074" s="36"/>
      <c r="O1074" s="36"/>
      <c r="P1074" s="36"/>
      <c r="Q1074" s="36"/>
      <c r="R1074" s="36"/>
      <c r="S1074" s="36"/>
      <c r="T1074" s="36"/>
      <c r="U1074" s="36"/>
      <c r="V1074" s="36"/>
      <c r="W1074" s="36"/>
      <c r="X1074" s="36"/>
      <c r="Y1074" s="36"/>
      <c r="Z1074" s="36"/>
      <c r="AA1074" s="36"/>
      <c r="AB1074" s="36"/>
      <c r="AC1074" s="36"/>
    </row>
    <row r="1075" spans="1:29" ht="24" customHeight="1">
      <c r="A1075" s="81"/>
      <c r="B1075" s="94"/>
      <c r="C1075" s="81"/>
      <c r="D1075" s="81"/>
      <c r="E1075" s="80"/>
      <c r="F1075" s="80"/>
      <c r="G1075" s="80"/>
      <c r="H1075" s="94"/>
      <c r="I1075" s="81"/>
      <c r="J1075" s="248"/>
      <c r="K1075" s="36"/>
      <c r="L1075" s="36"/>
      <c r="M1075" s="36"/>
      <c r="N1075" s="36"/>
      <c r="O1075" s="36"/>
      <c r="P1075" s="36"/>
      <c r="Q1075" s="36"/>
      <c r="R1075" s="36"/>
      <c r="S1075" s="36"/>
      <c r="T1075" s="36"/>
      <c r="U1075" s="36"/>
      <c r="V1075" s="36"/>
      <c r="W1075" s="36"/>
      <c r="X1075" s="36"/>
      <c r="Y1075" s="36"/>
      <c r="Z1075" s="36"/>
      <c r="AA1075" s="36"/>
      <c r="AB1075" s="36"/>
      <c r="AC1075" s="36"/>
    </row>
    <row r="1076" spans="1:29" ht="24" customHeight="1">
      <c r="A1076" s="81"/>
      <c r="B1076" s="81"/>
      <c r="C1076" s="81"/>
      <c r="D1076" s="81"/>
      <c r="E1076" s="80"/>
      <c r="F1076" s="80"/>
      <c r="G1076" s="80"/>
      <c r="H1076" s="94"/>
      <c r="I1076" s="81"/>
      <c r="J1076" s="35"/>
      <c r="K1076" s="36"/>
      <c r="L1076" s="36"/>
      <c r="M1076" s="36"/>
      <c r="N1076" s="36"/>
      <c r="O1076" s="36"/>
      <c r="P1076" s="36"/>
      <c r="Q1076" s="36"/>
      <c r="R1076" s="36"/>
      <c r="S1076" s="36"/>
      <c r="T1076" s="36"/>
      <c r="U1076" s="36"/>
      <c r="V1076" s="36"/>
      <c r="W1076" s="36"/>
      <c r="X1076" s="36"/>
      <c r="Y1076" s="36"/>
      <c r="Z1076" s="36"/>
      <c r="AA1076" s="36"/>
      <c r="AB1076" s="36"/>
      <c r="AC1076" s="36"/>
    </row>
    <row r="1077" spans="1:29" ht="24" customHeight="1">
      <c r="A1077" s="81"/>
      <c r="B1077" s="81"/>
      <c r="C1077" s="81"/>
      <c r="D1077" s="81"/>
      <c r="E1077" s="80"/>
      <c r="F1077" s="80"/>
      <c r="G1077" s="80"/>
      <c r="H1077" s="94"/>
      <c r="I1077" s="81"/>
      <c r="J1077" s="35"/>
      <c r="K1077" s="36"/>
      <c r="L1077" s="36"/>
      <c r="M1077" s="36"/>
      <c r="N1077" s="36"/>
      <c r="O1077" s="36"/>
      <c r="P1077" s="36"/>
      <c r="Q1077" s="36"/>
      <c r="R1077" s="36"/>
      <c r="S1077" s="36"/>
      <c r="T1077" s="36"/>
      <c r="U1077" s="36"/>
      <c r="V1077" s="36"/>
      <c r="W1077" s="36"/>
      <c r="X1077" s="36"/>
      <c r="Y1077" s="36"/>
      <c r="Z1077" s="36"/>
      <c r="AA1077" s="36"/>
      <c r="AB1077" s="36"/>
      <c r="AC1077" s="36"/>
    </row>
    <row r="1078" spans="1:29" ht="36" customHeight="1">
      <c r="A1078" s="81"/>
      <c r="B1078" s="81"/>
      <c r="C1078" s="81"/>
      <c r="D1078" s="81"/>
      <c r="E1078" s="80"/>
      <c r="F1078" s="80"/>
      <c r="G1078" s="80"/>
      <c r="H1078" s="94"/>
      <c r="I1078" s="81"/>
      <c r="J1078" s="35"/>
      <c r="K1078" s="36"/>
      <c r="L1078" s="36"/>
      <c r="M1078" s="36"/>
      <c r="N1078" s="36"/>
      <c r="O1078" s="36"/>
      <c r="P1078" s="36"/>
      <c r="Q1078" s="36"/>
      <c r="R1078" s="36"/>
      <c r="S1078" s="36"/>
      <c r="T1078" s="36"/>
      <c r="U1078" s="36"/>
      <c r="V1078" s="36"/>
      <c r="W1078" s="36"/>
      <c r="X1078" s="36"/>
      <c r="Y1078" s="36"/>
      <c r="Z1078" s="36"/>
      <c r="AA1078" s="36"/>
      <c r="AB1078" s="36"/>
      <c r="AC1078" s="36"/>
    </row>
    <row r="1079" spans="1:29" ht="24" customHeight="1">
      <c r="A1079" s="81"/>
      <c r="B1079" s="94"/>
      <c r="C1079" s="81"/>
      <c r="D1079" s="81"/>
      <c r="E1079" s="80"/>
      <c r="F1079" s="80"/>
      <c r="G1079" s="80"/>
      <c r="H1079" s="94"/>
      <c r="I1079" s="81"/>
      <c r="J1079" s="35"/>
      <c r="K1079" s="36"/>
      <c r="L1079" s="36"/>
      <c r="M1079" s="36"/>
      <c r="N1079" s="36"/>
      <c r="O1079" s="36"/>
      <c r="P1079" s="36"/>
      <c r="Q1079" s="36"/>
      <c r="R1079" s="36"/>
      <c r="S1079" s="36"/>
      <c r="T1079" s="36"/>
      <c r="U1079" s="36"/>
      <c r="V1079" s="36"/>
      <c r="W1079" s="36"/>
      <c r="X1079" s="36"/>
      <c r="Y1079" s="36"/>
      <c r="Z1079" s="36"/>
      <c r="AA1079" s="36"/>
      <c r="AB1079" s="36"/>
      <c r="AC1079" s="36"/>
    </row>
    <row r="1080" spans="1:29" ht="36" customHeight="1">
      <c r="A1080" s="81"/>
      <c r="B1080" s="81"/>
      <c r="C1080" s="81"/>
      <c r="D1080" s="81"/>
      <c r="E1080" s="80"/>
      <c r="F1080" s="80"/>
      <c r="G1080" s="80"/>
      <c r="H1080" s="94"/>
      <c r="I1080" s="81"/>
      <c r="J1080" s="35"/>
      <c r="K1080" s="36"/>
      <c r="L1080" s="36"/>
      <c r="M1080" s="36"/>
      <c r="N1080" s="36"/>
      <c r="O1080" s="36"/>
      <c r="P1080" s="36"/>
      <c r="Q1080" s="36"/>
      <c r="R1080" s="36"/>
      <c r="S1080" s="36"/>
      <c r="T1080" s="36"/>
      <c r="U1080" s="36"/>
      <c r="V1080" s="36"/>
      <c r="W1080" s="36"/>
      <c r="X1080" s="36"/>
      <c r="Y1080" s="36"/>
      <c r="Z1080" s="36"/>
      <c r="AA1080" s="36"/>
      <c r="AB1080" s="36"/>
      <c r="AC1080" s="36"/>
    </row>
    <row r="1081" spans="1:29" ht="36" customHeight="1">
      <c r="A1081" s="81"/>
      <c r="B1081" s="81"/>
      <c r="C1081" s="81"/>
      <c r="D1081" s="81"/>
      <c r="E1081" s="80"/>
      <c r="F1081" s="80"/>
      <c r="G1081" s="80"/>
      <c r="H1081" s="94"/>
      <c r="I1081" s="81"/>
      <c r="J1081" s="35"/>
      <c r="K1081" s="36"/>
      <c r="L1081" s="36"/>
      <c r="M1081" s="36"/>
      <c r="N1081" s="36"/>
      <c r="O1081" s="36"/>
      <c r="P1081" s="36"/>
      <c r="Q1081" s="36"/>
      <c r="R1081" s="36"/>
      <c r="S1081" s="36"/>
      <c r="T1081" s="36"/>
      <c r="U1081" s="36"/>
      <c r="V1081" s="36"/>
      <c r="W1081" s="36"/>
      <c r="X1081" s="36"/>
      <c r="Y1081" s="36"/>
      <c r="Z1081" s="36"/>
      <c r="AA1081" s="36"/>
      <c r="AB1081" s="36"/>
      <c r="AC1081" s="36"/>
    </row>
    <row r="1082" spans="1:29" ht="36" customHeight="1">
      <c r="A1082" s="81"/>
      <c r="B1082" s="81"/>
      <c r="C1082" s="81"/>
      <c r="D1082" s="81"/>
      <c r="E1082" s="80"/>
      <c r="F1082" s="80"/>
      <c r="G1082" s="80"/>
      <c r="H1082" s="94"/>
      <c r="I1082" s="81"/>
      <c r="J1082" s="35"/>
      <c r="K1082" s="36"/>
      <c r="L1082" s="36"/>
      <c r="M1082" s="36"/>
      <c r="N1082" s="36"/>
      <c r="O1082" s="36"/>
      <c r="P1082" s="36"/>
      <c r="Q1082" s="36"/>
      <c r="R1082" s="36"/>
      <c r="S1082" s="36"/>
      <c r="T1082" s="36"/>
      <c r="U1082" s="36"/>
      <c r="V1082" s="36"/>
      <c r="W1082" s="36"/>
      <c r="X1082" s="36"/>
      <c r="Y1082" s="36"/>
      <c r="Z1082" s="36"/>
      <c r="AA1082" s="36"/>
      <c r="AB1082" s="36"/>
      <c r="AC1082" s="36"/>
    </row>
    <row r="1083" spans="1:29" ht="24" customHeight="1">
      <c r="A1083" s="81"/>
      <c r="B1083" s="94"/>
      <c r="C1083" s="81"/>
      <c r="D1083" s="81"/>
      <c r="E1083" s="80"/>
      <c r="F1083" s="80"/>
      <c r="G1083" s="80"/>
      <c r="H1083" s="94"/>
      <c r="I1083" s="81"/>
      <c r="J1083" s="35"/>
      <c r="K1083" s="36"/>
      <c r="L1083" s="36"/>
      <c r="M1083" s="36"/>
      <c r="N1083" s="36"/>
      <c r="O1083" s="36"/>
      <c r="P1083" s="36"/>
      <c r="Q1083" s="36"/>
      <c r="R1083" s="36"/>
      <c r="S1083" s="36"/>
      <c r="T1083" s="36"/>
      <c r="U1083" s="36"/>
      <c r="V1083" s="36"/>
      <c r="W1083" s="36"/>
      <c r="X1083" s="36"/>
      <c r="Y1083" s="36"/>
      <c r="Z1083" s="36"/>
      <c r="AA1083" s="36"/>
      <c r="AB1083" s="36"/>
      <c r="AC1083" s="36"/>
    </row>
    <row r="1084" spans="1:29" ht="24" customHeight="1">
      <c r="A1084" s="81"/>
      <c r="B1084" s="94"/>
      <c r="C1084" s="81"/>
      <c r="D1084" s="81"/>
      <c r="E1084" s="80"/>
      <c r="F1084" s="80"/>
      <c r="G1084" s="80"/>
      <c r="H1084" s="94"/>
      <c r="I1084" s="81"/>
      <c r="J1084" s="35"/>
      <c r="K1084" s="36"/>
      <c r="L1084" s="36"/>
      <c r="M1084" s="36"/>
      <c r="N1084" s="36"/>
      <c r="O1084" s="36"/>
      <c r="P1084" s="36"/>
      <c r="Q1084" s="36"/>
      <c r="R1084" s="36"/>
      <c r="S1084" s="36"/>
      <c r="T1084" s="36"/>
      <c r="U1084" s="36"/>
      <c r="V1084" s="36"/>
      <c r="W1084" s="36"/>
      <c r="X1084" s="36"/>
      <c r="Y1084" s="36"/>
      <c r="Z1084" s="36"/>
      <c r="AA1084" s="36"/>
      <c r="AB1084" s="36"/>
      <c r="AC1084" s="36"/>
    </row>
    <row r="1085" spans="1:29" ht="24" customHeight="1">
      <c r="A1085" s="81"/>
      <c r="B1085" s="94"/>
      <c r="C1085" s="81"/>
      <c r="D1085" s="81"/>
      <c r="E1085" s="80"/>
      <c r="F1085" s="80"/>
      <c r="G1085" s="80"/>
      <c r="H1085" s="94"/>
      <c r="I1085" s="81"/>
      <c r="J1085" s="35"/>
      <c r="K1085" s="36"/>
      <c r="L1085" s="36"/>
      <c r="M1085" s="36"/>
      <c r="N1085" s="36"/>
      <c r="O1085" s="36"/>
      <c r="P1085" s="36"/>
      <c r="Q1085" s="36"/>
      <c r="R1085" s="36"/>
      <c r="S1085" s="36"/>
      <c r="T1085" s="36"/>
      <c r="U1085" s="36"/>
      <c r="V1085" s="36"/>
      <c r="W1085" s="36"/>
      <c r="X1085" s="36"/>
      <c r="Y1085" s="36"/>
      <c r="Z1085" s="36"/>
      <c r="AA1085" s="36"/>
      <c r="AB1085" s="36"/>
      <c r="AC1085" s="36"/>
    </row>
    <row r="1086" spans="1:29" ht="24" customHeight="1">
      <c r="A1086" s="81"/>
      <c r="B1086" s="94"/>
      <c r="C1086" s="81"/>
      <c r="D1086" s="81"/>
      <c r="E1086" s="80"/>
      <c r="F1086" s="80"/>
      <c r="G1086" s="80"/>
      <c r="H1086" s="94"/>
      <c r="I1086" s="81"/>
      <c r="J1086" s="35"/>
      <c r="K1086" s="36"/>
      <c r="L1086" s="36"/>
      <c r="M1086" s="36"/>
      <c r="N1086" s="36"/>
      <c r="O1086" s="36"/>
      <c r="P1086" s="36"/>
      <c r="Q1086" s="36"/>
      <c r="R1086" s="36"/>
      <c r="S1086" s="36"/>
      <c r="T1086" s="36"/>
      <c r="U1086" s="36"/>
      <c r="V1086" s="36"/>
      <c r="W1086" s="36"/>
      <c r="X1086" s="36"/>
      <c r="Y1086" s="36"/>
      <c r="Z1086" s="36"/>
      <c r="AA1086" s="36"/>
      <c r="AB1086" s="36"/>
      <c r="AC1086" s="36"/>
    </row>
    <row r="1087" spans="1:29" ht="24" customHeight="1">
      <c r="A1087" s="81"/>
      <c r="B1087" s="81"/>
      <c r="C1087" s="81"/>
      <c r="D1087" s="81"/>
      <c r="E1087" s="80"/>
      <c r="F1087" s="80"/>
      <c r="G1087" s="80"/>
      <c r="H1087" s="94"/>
      <c r="I1087" s="81"/>
      <c r="J1087" s="35"/>
      <c r="K1087" s="36"/>
      <c r="L1087" s="36"/>
      <c r="M1087" s="36"/>
      <c r="N1087" s="36"/>
      <c r="O1087" s="36"/>
      <c r="P1087" s="36"/>
      <c r="Q1087" s="36"/>
      <c r="R1087" s="36"/>
      <c r="S1087" s="36"/>
      <c r="T1087" s="36"/>
      <c r="U1087" s="36"/>
      <c r="V1087" s="36"/>
      <c r="W1087" s="36"/>
      <c r="X1087" s="36"/>
      <c r="Y1087" s="36"/>
      <c r="Z1087" s="36"/>
      <c r="AA1087" s="36"/>
      <c r="AB1087" s="36"/>
      <c r="AC1087" s="36"/>
    </row>
    <row r="1088" spans="1:29" ht="36" customHeight="1">
      <c r="A1088" s="81"/>
      <c r="B1088" s="81"/>
      <c r="C1088" s="81"/>
      <c r="D1088" s="81"/>
      <c r="E1088" s="80"/>
      <c r="F1088" s="80"/>
      <c r="G1088" s="80"/>
      <c r="H1088" s="94"/>
      <c r="I1088" s="81"/>
      <c r="J1088" s="35"/>
      <c r="K1088" s="36"/>
      <c r="L1088" s="36"/>
      <c r="M1088" s="36"/>
      <c r="N1088" s="36"/>
      <c r="O1088" s="36"/>
      <c r="P1088" s="36"/>
      <c r="Q1088" s="36"/>
      <c r="R1088" s="36"/>
      <c r="S1088" s="36"/>
      <c r="T1088" s="36"/>
      <c r="U1088" s="36"/>
      <c r="V1088" s="36"/>
      <c r="W1088" s="36"/>
      <c r="X1088" s="36"/>
      <c r="Y1088" s="36"/>
      <c r="Z1088" s="36"/>
      <c r="AA1088" s="36"/>
      <c r="AB1088" s="36"/>
      <c r="AC1088" s="36"/>
    </row>
    <row r="1089" spans="1:29" ht="48" customHeight="1">
      <c r="A1089" s="81"/>
      <c r="B1089" s="81"/>
      <c r="C1089" s="81"/>
      <c r="D1089" s="81"/>
      <c r="E1089" s="80"/>
      <c r="F1089" s="80"/>
      <c r="G1089" s="80"/>
      <c r="H1089" s="94"/>
      <c r="I1089" s="81"/>
      <c r="J1089" s="35"/>
      <c r="K1089" s="36"/>
      <c r="L1089" s="36"/>
      <c r="M1089" s="36"/>
      <c r="N1089" s="36"/>
      <c r="O1089" s="36"/>
      <c r="P1089" s="36"/>
      <c r="Q1089" s="36"/>
      <c r="R1089" s="36"/>
      <c r="S1089" s="36"/>
      <c r="T1089" s="36"/>
      <c r="U1089" s="36"/>
      <c r="V1089" s="36"/>
      <c r="W1089" s="36"/>
      <c r="X1089" s="36"/>
      <c r="Y1089" s="36"/>
      <c r="Z1089" s="36"/>
      <c r="AA1089" s="36"/>
      <c r="AB1089" s="36"/>
      <c r="AC1089" s="36"/>
    </row>
    <row r="1090" spans="1:29" ht="24" customHeight="1">
      <c r="A1090" s="81"/>
      <c r="B1090" s="81"/>
      <c r="C1090" s="81"/>
      <c r="D1090" s="81"/>
      <c r="E1090" s="80"/>
      <c r="F1090" s="80"/>
      <c r="G1090" s="80"/>
      <c r="H1090" s="94"/>
      <c r="I1090" s="81"/>
      <c r="J1090" s="35"/>
      <c r="K1090" s="36"/>
      <c r="L1090" s="36"/>
      <c r="M1090" s="36"/>
      <c r="N1090" s="36"/>
      <c r="O1090" s="36"/>
      <c r="P1090" s="36"/>
      <c r="Q1090" s="36"/>
      <c r="R1090" s="36"/>
      <c r="S1090" s="36"/>
      <c r="T1090" s="36"/>
      <c r="U1090" s="36"/>
      <c r="V1090" s="36"/>
      <c r="W1090" s="36"/>
      <c r="X1090" s="36"/>
      <c r="Y1090" s="36"/>
      <c r="Z1090" s="36"/>
      <c r="AA1090" s="36"/>
      <c r="AB1090" s="36"/>
      <c r="AC1090" s="36"/>
    </row>
    <row r="1091" spans="1:29" ht="24" customHeight="1">
      <c r="A1091" s="81"/>
      <c r="B1091" s="81"/>
      <c r="C1091" s="81"/>
      <c r="D1091" s="81"/>
      <c r="E1091" s="80"/>
      <c r="F1091" s="80"/>
      <c r="G1091" s="80"/>
      <c r="H1091" s="94"/>
      <c r="I1091" s="81"/>
      <c r="J1091" s="35"/>
      <c r="K1091" s="36"/>
      <c r="L1091" s="36"/>
      <c r="M1091" s="36"/>
      <c r="N1091" s="36"/>
      <c r="O1091" s="36"/>
      <c r="P1091" s="36"/>
      <c r="Q1091" s="36"/>
      <c r="R1091" s="36"/>
      <c r="S1091" s="36"/>
      <c r="T1091" s="36"/>
      <c r="U1091" s="36"/>
      <c r="V1091" s="36"/>
      <c r="W1091" s="36"/>
      <c r="X1091" s="36"/>
      <c r="Y1091" s="36"/>
      <c r="Z1091" s="36"/>
      <c r="AA1091" s="36"/>
      <c r="AB1091" s="36"/>
      <c r="AC1091" s="36"/>
    </row>
    <row r="1092" spans="1:29" ht="60" customHeight="1">
      <c r="A1092" s="81"/>
      <c r="B1092" s="81"/>
      <c r="C1092" s="81"/>
      <c r="D1092" s="81"/>
      <c r="E1092" s="80"/>
      <c r="F1092" s="80"/>
      <c r="G1092" s="80"/>
      <c r="H1092" s="94"/>
      <c r="I1092" s="81"/>
      <c r="J1092" s="35"/>
      <c r="K1092" s="36"/>
      <c r="L1092" s="36"/>
      <c r="M1092" s="36"/>
      <c r="N1092" s="36"/>
      <c r="O1092" s="36"/>
      <c r="P1092" s="36"/>
      <c r="Q1092" s="36"/>
      <c r="R1092" s="36"/>
      <c r="S1092" s="36"/>
      <c r="T1092" s="36"/>
      <c r="U1092" s="36"/>
      <c r="V1092" s="36"/>
      <c r="W1092" s="36"/>
      <c r="X1092" s="36"/>
      <c r="Y1092" s="36"/>
      <c r="Z1092" s="36"/>
      <c r="AA1092" s="36"/>
      <c r="AB1092" s="36"/>
      <c r="AC1092" s="36"/>
    </row>
    <row r="1093" spans="1:29" ht="36" customHeight="1">
      <c r="A1093" s="81"/>
      <c r="B1093" s="81"/>
      <c r="C1093" s="81"/>
      <c r="D1093" s="81"/>
      <c r="E1093" s="80"/>
      <c r="F1093" s="80"/>
      <c r="G1093" s="80"/>
      <c r="H1093" s="94"/>
      <c r="I1093" s="81"/>
      <c r="J1093" s="35"/>
      <c r="K1093" s="36"/>
      <c r="L1093" s="36"/>
      <c r="M1093" s="36"/>
      <c r="N1093" s="36"/>
      <c r="O1093" s="36"/>
      <c r="P1093" s="36"/>
      <c r="Q1093" s="36"/>
      <c r="R1093" s="36"/>
      <c r="S1093" s="36"/>
      <c r="T1093" s="36"/>
      <c r="U1093" s="36"/>
      <c r="V1093" s="36"/>
      <c r="W1093" s="36"/>
      <c r="X1093" s="36"/>
      <c r="Y1093" s="36"/>
      <c r="Z1093" s="36"/>
      <c r="AA1093" s="36"/>
      <c r="AB1093" s="36"/>
      <c r="AC1093" s="36"/>
    </row>
    <row r="1094" spans="1:29" ht="24" customHeight="1">
      <c r="A1094" s="81"/>
      <c r="B1094" s="81"/>
      <c r="C1094" s="81"/>
      <c r="D1094" s="81"/>
      <c r="E1094" s="80"/>
      <c r="F1094" s="80"/>
      <c r="G1094" s="80"/>
      <c r="H1094" s="94"/>
      <c r="I1094" s="81"/>
      <c r="J1094" s="36"/>
      <c r="K1094" s="36"/>
      <c r="L1094" s="36"/>
      <c r="M1094" s="36"/>
      <c r="N1094" s="36"/>
      <c r="O1094" s="36"/>
      <c r="P1094" s="36"/>
      <c r="Q1094" s="36"/>
      <c r="R1094" s="36"/>
      <c r="S1094" s="36"/>
      <c r="T1094" s="36"/>
      <c r="U1094" s="36"/>
      <c r="V1094" s="36"/>
      <c r="W1094" s="36"/>
      <c r="X1094" s="36"/>
      <c r="Y1094" s="36"/>
      <c r="Z1094" s="36"/>
      <c r="AA1094" s="36"/>
      <c r="AB1094" s="36"/>
      <c r="AC1094" s="36"/>
    </row>
    <row r="1095" spans="1:29" ht="24" customHeight="1">
      <c r="A1095" s="81"/>
      <c r="B1095" s="81"/>
      <c r="C1095" s="81"/>
      <c r="D1095" s="81"/>
      <c r="E1095" s="80"/>
      <c r="F1095" s="80"/>
      <c r="G1095" s="80"/>
      <c r="H1095" s="94"/>
      <c r="I1095" s="81"/>
      <c r="J1095" s="36"/>
      <c r="K1095" s="36"/>
      <c r="L1095" s="36"/>
      <c r="M1095" s="36"/>
      <c r="N1095" s="36"/>
      <c r="O1095" s="36"/>
      <c r="P1095" s="36"/>
      <c r="Q1095" s="36"/>
      <c r="R1095" s="36"/>
      <c r="S1095" s="36"/>
      <c r="T1095" s="36"/>
      <c r="U1095" s="36"/>
      <c r="V1095" s="36"/>
      <c r="W1095" s="36"/>
      <c r="X1095" s="36"/>
      <c r="Y1095" s="36"/>
      <c r="Z1095" s="36"/>
      <c r="AA1095" s="36"/>
      <c r="AB1095" s="36"/>
      <c r="AC1095" s="36"/>
    </row>
    <row r="1096" spans="1:29" ht="48" customHeight="1">
      <c r="A1096" s="81"/>
      <c r="B1096" s="81"/>
      <c r="C1096" s="81"/>
      <c r="D1096" s="81"/>
      <c r="E1096" s="80"/>
      <c r="F1096" s="80"/>
      <c r="G1096" s="80"/>
      <c r="H1096" s="94"/>
      <c r="I1096" s="81"/>
      <c r="J1096" s="36"/>
      <c r="K1096" s="36"/>
      <c r="L1096" s="36"/>
      <c r="M1096" s="36"/>
      <c r="N1096" s="36"/>
      <c r="O1096" s="36"/>
      <c r="P1096" s="36"/>
      <c r="Q1096" s="36"/>
      <c r="R1096" s="36"/>
      <c r="S1096" s="36"/>
      <c r="T1096" s="36"/>
      <c r="U1096" s="36"/>
      <c r="V1096" s="36"/>
      <c r="W1096" s="36"/>
      <c r="X1096" s="36"/>
      <c r="Y1096" s="36"/>
      <c r="Z1096" s="36"/>
      <c r="AA1096" s="36"/>
      <c r="AB1096" s="36"/>
      <c r="AC1096" s="36"/>
    </row>
    <row r="1097" spans="1:29" ht="24" customHeight="1">
      <c r="A1097" s="81"/>
      <c r="B1097" s="81"/>
      <c r="C1097" s="81"/>
      <c r="D1097" s="81"/>
      <c r="E1097" s="80"/>
      <c r="F1097" s="80"/>
      <c r="G1097" s="80"/>
      <c r="H1097" s="94"/>
      <c r="I1097" s="81"/>
      <c r="J1097" s="36"/>
      <c r="K1097" s="36"/>
      <c r="L1097" s="36"/>
      <c r="M1097" s="36"/>
      <c r="N1097" s="36"/>
      <c r="O1097" s="36"/>
      <c r="P1097" s="36"/>
      <c r="Q1097" s="36"/>
      <c r="R1097" s="36"/>
      <c r="S1097" s="36"/>
      <c r="T1097" s="36"/>
      <c r="U1097" s="36"/>
      <c r="V1097" s="36"/>
      <c r="W1097" s="36"/>
      <c r="X1097" s="36"/>
      <c r="Y1097" s="36"/>
      <c r="Z1097" s="36"/>
      <c r="AA1097" s="36"/>
      <c r="AB1097" s="36"/>
      <c r="AC1097" s="36"/>
    </row>
    <row r="1098" spans="1:29" ht="42.75" customHeight="1">
      <c r="A1098" s="81"/>
      <c r="B1098" s="81"/>
      <c r="C1098" s="81"/>
      <c r="D1098" s="81"/>
      <c r="E1098" s="80"/>
      <c r="F1098" s="80"/>
      <c r="G1098" s="80"/>
      <c r="H1098" s="94"/>
      <c r="I1098" s="81"/>
      <c r="J1098" s="36"/>
      <c r="K1098" s="36"/>
      <c r="L1098" s="36"/>
      <c r="M1098" s="36"/>
      <c r="N1098" s="36"/>
      <c r="O1098" s="36"/>
      <c r="P1098" s="36"/>
      <c r="Q1098" s="36"/>
      <c r="R1098" s="36"/>
      <c r="S1098" s="36"/>
      <c r="T1098" s="36"/>
      <c r="U1098" s="36"/>
      <c r="V1098" s="36"/>
      <c r="W1098" s="36"/>
      <c r="X1098" s="36"/>
      <c r="Y1098" s="36"/>
      <c r="Z1098" s="36"/>
      <c r="AA1098" s="36"/>
      <c r="AB1098" s="36"/>
      <c r="AC1098" s="36"/>
    </row>
    <row r="1099" spans="1:29" ht="24" customHeight="1">
      <c r="A1099" s="81"/>
      <c r="B1099" s="94"/>
      <c r="C1099" s="81"/>
      <c r="D1099" s="81"/>
      <c r="E1099" s="80"/>
      <c r="F1099" s="80"/>
      <c r="G1099" s="80"/>
      <c r="H1099" s="94"/>
      <c r="I1099" s="81"/>
      <c r="J1099" s="36"/>
      <c r="K1099" s="36"/>
      <c r="L1099" s="36"/>
      <c r="M1099" s="36"/>
      <c r="N1099" s="36"/>
      <c r="O1099" s="36"/>
      <c r="P1099" s="36"/>
      <c r="Q1099" s="36"/>
      <c r="R1099" s="36"/>
      <c r="S1099" s="36"/>
      <c r="T1099" s="36"/>
      <c r="U1099" s="36"/>
      <c r="V1099" s="36"/>
      <c r="W1099" s="36"/>
      <c r="X1099" s="36"/>
      <c r="Y1099" s="36"/>
      <c r="Z1099" s="36"/>
      <c r="AA1099" s="36"/>
      <c r="AB1099" s="36"/>
      <c r="AC1099" s="36"/>
    </row>
    <row r="1100" spans="1:29" ht="24" customHeight="1">
      <c r="A1100" s="81"/>
      <c r="B1100" s="81"/>
      <c r="C1100" s="81"/>
      <c r="D1100" s="81"/>
      <c r="E1100" s="80"/>
      <c r="F1100" s="80"/>
      <c r="G1100" s="80"/>
      <c r="H1100" s="94"/>
      <c r="I1100" s="81"/>
      <c r="J1100" s="36"/>
      <c r="K1100" s="36"/>
      <c r="L1100" s="36"/>
      <c r="M1100" s="36"/>
      <c r="N1100" s="36"/>
      <c r="O1100" s="36"/>
      <c r="P1100" s="36"/>
      <c r="Q1100" s="36"/>
      <c r="R1100" s="36"/>
      <c r="S1100" s="36"/>
      <c r="T1100" s="36"/>
      <c r="U1100" s="36"/>
      <c r="V1100" s="36"/>
      <c r="W1100" s="36"/>
      <c r="X1100" s="36"/>
      <c r="Y1100" s="36"/>
      <c r="Z1100" s="36"/>
      <c r="AA1100" s="36"/>
      <c r="AB1100" s="36"/>
      <c r="AC1100" s="36"/>
    </row>
    <row r="1101" spans="1:29" ht="36" customHeight="1">
      <c r="A1101" s="81"/>
      <c r="B1101" s="81"/>
      <c r="C1101" s="81"/>
      <c r="D1101" s="81"/>
      <c r="E1101" s="80"/>
      <c r="F1101" s="80"/>
      <c r="G1101" s="80"/>
      <c r="H1101" s="94"/>
      <c r="I1101" s="81"/>
      <c r="J1101" s="36"/>
      <c r="K1101" s="36"/>
      <c r="L1101" s="36"/>
      <c r="M1101" s="36"/>
      <c r="N1101" s="36"/>
      <c r="O1101" s="36"/>
      <c r="P1101" s="36"/>
      <c r="Q1101" s="36"/>
      <c r="R1101" s="36"/>
      <c r="S1101" s="36"/>
      <c r="T1101" s="36"/>
      <c r="U1101" s="36"/>
      <c r="V1101" s="36"/>
      <c r="W1101" s="36"/>
      <c r="X1101" s="36"/>
      <c r="Y1101" s="36"/>
      <c r="Z1101" s="36"/>
      <c r="AA1101" s="36"/>
      <c r="AB1101" s="36"/>
      <c r="AC1101" s="36"/>
    </row>
    <row r="1102" spans="1:29" ht="24" customHeight="1">
      <c r="A1102" s="81"/>
      <c r="B1102" s="81"/>
      <c r="C1102" s="81"/>
      <c r="D1102" s="81"/>
      <c r="E1102" s="80"/>
      <c r="F1102" s="80"/>
      <c r="G1102" s="80"/>
      <c r="H1102" s="94"/>
      <c r="I1102" s="81"/>
      <c r="J1102" s="36"/>
      <c r="K1102" s="36"/>
      <c r="L1102" s="36"/>
      <c r="M1102" s="36"/>
      <c r="N1102" s="36"/>
      <c r="O1102" s="36"/>
      <c r="P1102" s="36"/>
      <c r="Q1102" s="36"/>
      <c r="R1102" s="36"/>
      <c r="S1102" s="36"/>
      <c r="T1102" s="36"/>
      <c r="U1102" s="36"/>
      <c r="V1102" s="36"/>
      <c r="W1102" s="36"/>
      <c r="X1102" s="36"/>
      <c r="Y1102" s="36"/>
      <c r="Z1102" s="36"/>
      <c r="AA1102" s="36"/>
      <c r="AB1102" s="36"/>
      <c r="AC1102" s="36"/>
    </row>
    <row r="1103" spans="1:29" ht="24" customHeight="1">
      <c r="A1103" s="81"/>
      <c r="B1103" s="94"/>
      <c r="C1103" s="81"/>
      <c r="D1103" s="81"/>
      <c r="E1103" s="80"/>
      <c r="F1103" s="80"/>
      <c r="G1103" s="80"/>
      <c r="H1103" s="94"/>
      <c r="I1103" s="81"/>
      <c r="J1103" s="36"/>
      <c r="K1103" s="36"/>
      <c r="L1103" s="36"/>
      <c r="M1103" s="36"/>
      <c r="N1103" s="36"/>
      <c r="O1103" s="36"/>
      <c r="P1103" s="36"/>
      <c r="Q1103" s="36"/>
      <c r="R1103" s="36"/>
      <c r="S1103" s="36"/>
      <c r="T1103" s="36"/>
      <c r="U1103" s="36"/>
      <c r="V1103" s="36"/>
      <c r="W1103" s="36"/>
      <c r="X1103" s="36"/>
      <c r="Y1103" s="36"/>
      <c r="Z1103" s="36"/>
      <c r="AA1103" s="36"/>
      <c r="AB1103" s="36"/>
      <c r="AC1103" s="36"/>
    </row>
    <row r="1104" spans="1:29" ht="15" customHeight="1">
      <c r="A1104" s="81"/>
      <c r="B1104" s="81"/>
      <c r="C1104" s="81"/>
      <c r="D1104" s="81"/>
      <c r="E1104" s="80"/>
      <c r="F1104" s="80"/>
      <c r="G1104" s="80"/>
      <c r="H1104" s="94"/>
      <c r="I1104" s="81"/>
      <c r="J1104" s="35"/>
      <c r="K1104" s="36"/>
      <c r="L1104" s="36"/>
      <c r="M1104" s="36"/>
      <c r="N1104" s="36"/>
      <c r="O1104" s="36"/>
      <c r="P1104" s="36"/>
      <c r="Q1104" s="36"/>
      <c r="R1104" s="36"/>
      <c r="S1104" s="36"/>
      <c r="T1104" s="36"/>
      <c r="U1104" s="36"/>
      <c r="V1104" s="36"/>
      <c r="W1104" s="36"/>
      <c r="X1104" s="36"/>
      <c r="Y1104" s="36"/>
      <c r="Z1104" s="36"/>
      <c r="AA1104" s="36"/>
      <c r="AB1104" s="36"/>
      <c r="AC1104" s="36"/>
    </row>
    <row r="1105" spans="1:29" ht="15" customHeight="1">
      <c r="A1105" s="81"/>
      <c r="B1105" s="81"/>
      <c r="C1105" s="81"/>
      <c r="D1105" s="81"/>
      <c r="E1105" s="80"/>
      <c r="F1105" s="80"/>
      <c r="G1105" s="80"/>
      <c r="H1105" s="94"/>
      <c r="I1105" s="81"/>
      <c r="J1105" s="35"/>
      <c r="K1105" s="36"/>
      <c r="L1105" s="36"/>
      <c r="M1105" s="36"/>
      <c r="N1105" s="36"/>
      <c r="O1105" s="36"/>
      <c r="P1105" s="36"/>
      <c r="Q1105" s="36"/>
      <c r="R1105" s="36"/>
      <c r="S1105" s="36"/>
      <c r="T1105" s="36"/>
      <c r="U1105" s="36"/>
      <c r="V1105" s="36"/>
      <c r="W1105" s="36"/>
      <c r="X1105" s="36"/>
      <c r="Y1105" s="36"/>
      <c r="Z1105" s="36"/>
      <c r="AA1105" s="36"/>
      <c r="AB1105" s="36"/>
      <c r="AC1105" s="36"/>
    </row>
    <row r="1106" spans="1:29" ht="46.5" customHeight="1">
      <c r="A1106" s="81"/>
      <c r="B1106" s="81"/>
      <c r="C1106" s="81"/>
      <c r="D1106" s="81"/>
      <c r="E1106" s="80"/>
      <c r="F1106" s="80"/>
      <c r="G1106" s="80"/>
      <c r="H1106" s="94"/>
      <c r="I1106" s="81"/>
      <c r="J1106" s="35"/>
      <c r="K1106" s="36"/>
      <c r="L1106" s="36"/>
      <c r="M1106" s="36"/>
      <c r="N1106" s="36"/>
      <c r="O1106" s="36"/>
      <c r="P1106" s="36"/>
      <c r="Q1106" s="36"/>
      <c r="R1106" s="36"/>
      <c r="S1106" s="36"/>
      <c r="T1106" s="36"/>
      <c r="U1106" s="36"/>
      <c r="V1106" s="36"/>
      <c r="W1106" s="36"/>
      <c r="X1106" s="36"/>
      <c r="Y1106" s="36"/>
      <c r="Z1106" s="36"/>
      <c r="AA1106" s="36"/>
      <c r="AB1106" s="36"/>
      <c r="AC1106" s="36"/>
    </row>
    <row r="1107" spans="1:29" ht="34.5" customHeight="1">
      <c r="A1107" s="81"/>
      <c r="B1107" s="81"/>
      <c r="C1107" s="81"/>
      <c r="D1107" s="81"/>
      <c r="E1107" s="80"/>
      <c r="F1107" s="80"/>
      <c r="G1107" s="80"/>
      <c r="H1107" s="94"/>
      <c r="I1107" s="81"/>
      <c r="J1107" s="35"/>
      <c r="K1107" s="36"/>
      <c r="L1107" s="36"/>
      <c r="M1107" s="36"/>
      <c r="N1107" s="36"/>
      <c r="O1107" s="36"/>
      <c r="P1107" s="36"/>
      <c r="Q1107" s="36"/>
      <c r="R1107" s="36"/>
      <c r="S1107" s="36"/>
      <c r="T1107" s="36"/>
      <c r="U1107" s="36"/>
      <c r="V1107" s="36"/>
      <c r="W1107" s="36"/>
      <c r="X1107" s="36"/>
      <c r="Y1107" s="36"/>
      <c r="Z1107" s="36"/>
      <c r="AA1107" s="36"/>
      <c r="AB1107" s="36"/>
      <c r="AC1107" s="36"/>
    </row>
    <row r="1108" spans="1:29" ht="60" customHeight="1">
      <c r="A1108" s="81"/>
      <c r="B1108" s="81"/>
      <c r="C1108" s="81"/>
      <c r="D1108" s="81"/>
      <c r="E1108" s="80"/>
      <c r="F1108" s="80"/>
      <c r="G1108" s="80"/>
      <c r="H1108" s="94"/>
      <c r="I1108" s="81"/>
      <c r="J1108" s="35"/>
      <c r="K1108" s="36"/>
      <c r="L1108" s="36"/>
      <c r="M1108" s="36"/>
      <c r="N1108" s="36"/>
      <c r="O1108" s="36"/>
      <c r="P1108" s="36"/>
      <c r="Q1108" s="36"/>
      <c r="R1108" s="36"/>
      <c r="S1108" s="36"/>
      <c r="T1108" s="36"/>
      <c r="U1108" s="36"/>
      <c r="V1108" s="36"/>
      <c r="W1108" s="36"/>
      <c r="X1108" s="36"/>
      <c r="Y1108" s="36"/>
      <c r="Z1108" s="36"/>
      <c r="AA1108" s="36"/>
      <c r="AB1108" s="36"/>
      <c r="AC1108" s="36"/>
    </row>
    <row r="1109" spans="1:29" ht="24" customHeight="1">
      <c r="A1109" s="81"/>
      <c r="B1109" s="81"/>
      <c r="C1109" s="81"/>
      <c r="D1109" s="81"/>
      <c r="E1109" s="80"/>
      <c r="F1109" s="80"/>
      <c r="G1109" s="80"/>
      <c r="H1109" s="94"/>
      <c r="I1109" s="81"/>
      <c r="J1109" s="35"/>
      <c r="K1109" s="36"/>
      <c r="L1109" s="36"/>
      <c r="M1109" s="36"/>
      <c r="N1109" s="36"/>
      <c r="O1109" s="36"/>
      <c r="P1109" s="36"/>
      <c r="Q1109" s="36"/>
      <c r="R1109" s="36"/>
      <c r="S1109" s="36"/>
      <c r="T1109" s="36"/>
      <c r="U1109" s="36"/>
      <c r="V1109" s="36"/>
      <c r="W1109" s="36"/>
      <c r="X1109" s="36"/>
      <c r="Y1109" s="36"/>
      <c r="Z1109" s="36"/>
      <c r="AA1109" s="36"/>
      <c r="AB1109" s="36"/>
      <c r="AC1109" s="36"/>
    </row>
    <row r="1110" spans="1:29" ht="48" customHeight="1">
      <c r="A1110" s="81"/>
      <c r="B1110" s="81"/>
      <c r="C1110" s="81"/>
      <c r="D1110" s="81"/>
      <c r="E1110" s="80"/>
      <c r="F1110" s="80"/>
      <c r="G1110" s="80"/>
      <c r="H1110" s="94"/>
      <c r="I1110" s="81"/>
      <c r="J1110" s="35"/>
      <c r="K1110" s="36"/>
      <c r="L1110" s="36"/>
      <c r="M1110" s="36"/>
      <c r="N1110" s="36"/>
      <c r="O1110" s="36"/>
      <c r="P1110" s="36"/>
      <c r="Q1110" s="36"/>
      <c r="R1110" s="36"/>
      <c r="S1110" s="36"/>
      <c r="T1110" s="36"/>
      <c r="U1110" s="36"/>
      <c r="V1110" s="36"/>
      <c r="W1110" s="36"/>
      <c r="X1110" s="36"/>
      <c r="Y1110" s="36"/>
      <c r="Z1110" s="36"/>
      <c r="AA1110" s="36"/>
      <c r="AB1110" s="36"/>
      <c r="AC1110" s="36"/>
    </row>
    <row r="1111" spans="1:29" ht="36" customHeight="1">
      <c r="A1111" s="81"/>
      <c r="B1111" s="81"/>
      <c r="C1111" s="81"/>
      <c r="D1111" s="81"/>
      <c r="E1111" s="80"/>
      <c r="F1111" s="80"/>
      <c r="G1111" s="80"/>
      <c r="H1111" s="94"/>
      <c r="I1111" s="81"/>
      <c r="J1111" s="35"/>
      <c r="K1111" s="36"/>
      <c r="L1111" s="36"/>
      <c r="M1111" s="36"/>
      <c r="N1111" s="36"/>
      <c r="O1111" s="36"/>
      <c r="P1111" s="36"/>
      <c r="Q1111" s="36"/>
      <c r="R1111" s="36"/>
      <c r="S1111" s="36"/>
      <c r="T1111" s="36"/>
      <c r="U1111" s="36"/>
      <c r="V1111" s="36"/>
      <c r="W1111" s="36"/>
      <c r="X1111" s="36"/>
      <c r="Y1111" s="36"/>
      <c r="Z1111" s="36"/>
      <c r="AA1111" s="36"/>
      <c r="AB1111" s="36"/>
      <c r="AC1111" s="36"/>
    </row>
    <row r="1112" spans="1:29" ht="24" customHeight="1">
      <c r="A1112" s="81"/>
      <c r="B1112" s="81"/>
      <c r="C1112" s="81"/>
      <c r="D1112" s="81"/>
      <c r="E1112" s="80"/>
      <c r="F1112" s="80"/>
      <c r="G1112" s="80"/>
      <c r="H1112" s="94"/>
      <c r="I1112" s="81"/>
      <c r="J1112" s="35"/>
      <c r="K1112" s="36"/>
      <c r="L1112" s="36"/>
      <c r="M1112" s="36"/>
      <c r="N1112" s="36"/>
      <c r="O1112" s="36"/>
      <c r="P1112" s="36"/>
      <c r="Q1112" s="36"/>
      <c r="R1112" s="36"/>
      <c r="S1112" s="36"/>
      <c r="T1112" s="36"/>
      <c r="U1112" s="36"/>
      <c r="V1112" s="36"/>
      <c r="W1112" s="36"/>
      <c r="X1112" s="36"/>
      <c r="Y1112" s="36"/>
      <c r="Z1112" s="36"/>
      <c r="AA1112" s="36"/>
      <c r="AB1112" s="36"/>
      <c r="AC1112" s="36"/>
    </row>
    <row r="1113" spans="1:29" ht="24" customHeight="1">
      <c r="A1113" s="81"/>
      <c r="B1113" s="81"/>
      <c r="C1113" s="81"/>
      <c r="D1113" s="81"/>
      <c r="E1113" s="80"/>
      <c r="F1113" s="80"/>
      <c r="G1113" s="80"/>
      <c r="H1113" s="94"/>
      <c r="I1113" s="81"/>
      <c r="J1113" s="35"/>
      <c r="K1113" s="36"/>
      <c r="L1113" s="36"/>
      <c r="M1113" s="36"/>
      <c r="N1113" s="36"/>
      <c r="O1113" s="36"/>
      <c r="P1113" s="36"/>
      <c r="Q1113" s="36"/>
      <c r="R1113" s="36"/>
      <c r="S1113" s="36"/>
      <c r="T1113" s="36"/>
      <c r="U1113" s="36"/>
      <c r="V1113" s="36"/>
      <c r="W1113" s="36"/>
      <c r="X1113" s="36"/>
      <c r="Y1113" s="36"/>
      <c r="Z1113" s="36"/>
      <c r="AA1113" s="36"/>
      <c r="AB1113" s="36"/>
      <c r="AC1113" s="36"/>
    </row>
    <row r="1114" spans="1:29" ht="24" customHeight="1">
      <c r="A1114" s="81"/>
      <c r="B1114" s="81"/>
      <c r="C1114" s="81"/>
      <c r="D1114" s="81"/>
      <c r="E1114" s="80"/>
      <c r="F1114" s="80"/>
      <c r="G1114" s="80"/>
      <c r="H1114" s="94"/>
      <c r="I1114" s="81"/>
      <c r="J1114" s="35"/>
      <c r="K1114" s="36"/>
      <c r="L1114" s="36"/>
      <c r="M1114" s="36"/>
      <c r="N1114" s="36"/>
      <c r="O1114" s="36"/>
      <c r="P1114" s="36"/>
      <c r="Q1114" s="36"/>
      <c r="R1114" s="36"/>
      <c r="S1114" s="36"/>
      <c r="T1114" s="36"/>
      <c r="U1114" s="36"/>
      <c r="V1114" s="36"/>
      <c r="W1114" s="36"/>
      <c r="X1114" s="36"/>
      <c r="Y1114" s="36"/>
      <c r="Z1114" s="36"/>
      <c r="AA1114" s="36"/>
      <c r="AB1114" s="36"/>
      <c r="AC1114" s="36"/>
    </row>
    <row r="1115" spans="1:29" ht="24" customHeight="1">
      <c r="A1115" s="81"/>
      <c r="B1115" s="81"/>
      <c r="C1115" s="81"/>
      <c r="D1115" s="81"/>
      <c r="E1115" s="80"/>
      <c r="F1115" s="80"/>
      <c r="G1115" s="80"/>
      <c r="H1115" s="94"/>
      <c r="I1115" s="81"/>
      <c r="J1115" s="35"/>
      <c r="K1115" s="36"/>
      <c r="L1115" s="36"/>
      <c r="M1115" s="36"/>
      <c r="N1115" s="36"/>
      <c r="O1115" s="36"/>
      <c r="P1115" s="36"/>
      <c r="Q1115" s="36"/>
      <c r="R1115" s="36"/>
      <c r="S1115" s="36"/>
      <c r="T1115" s="36"/>
      <c r="U1115" s="36"/>
      <c r="V1115" s="36"/>
      <c r="W1115" s="36"/>
      <c r="X1115" s="36"/>
      <c r="Y1115" s="36"/>
      <c r="Z1115" s="36"/>
      <c r="AA1115" s="36"/>
      <c r="AB1115" s="36"/>
      <c r="AC1115" s="36"/>
    </row>
    <row r="1116" spans="1:29" ht="24" customHeight="1">
      <c r="A1116" s="81"/>
      <c r="B1116" s="81"/>
      <c r="C1116" s="81"/>
      <c r="D1116" s="81"/>
      <c r="E1116" s="80"/>
      <c r="F1116" s="80"/>
      <c r="G1116" s="80"/>
      <c r="H1116" s="94"/>
      <c r="I1116" s="81"/>
      <c r="J1116" s="35"/>
      <c r="K1116" s="36"/>
      <c r="L1116" s="36"/>
      <c r="M1116" s="36"/>
      <c r="N1116" s="36"/>
      <c r="O1116" s="36"/>
      <c r="P1116" s="36"/>
      <c r="Q1116" s="36"/>
      <c r="R1116" s="36"/>
      <c r="S1116" s="36"/>
      <c r="T1116" s="36"/>
      <c r="U1116" s="36"/>
      <c r="V1116" s="36"/>
      <c r="W1116" s="36"/>
      <c r="X1116" s="36"/>
      <c r="Y1116" s="36"/>
      <c r="Z1116" s="36"/>
      <c r="AA1116" s="36"/>
      <c r="AB1116" s="36"/>
      <c r="AC1116" s="36"/>
    </row>
    <row r="1117" spans="1:29" ht="24" customHeight="1">
      <c r="A1117" s="81"/>
      <c r="B1117" s="81"/>
      <c r="C1117" s="81"/>
      <c r="D1117" s="81"/>
      <c r="E1117" s="80"/>
      <c r="F1117" s="80"/>
      <c r="G1117" s="80"/>
      <c r="H1117" s="94"/>
      <c r="I1117" s="81"/>
      <c r="J1117" s="35"/>
      <c r="K1117" s="36"/>
      <c r="L1117" s="36"/>
      <c r="M1117" s="36"/>
      <c r="N1117" s="36"/>
      <c r="O1117" s="36"/>
      <c r="P1117" s="36"/>
      <c r="Q1117" s="36"/>
      <c r="R1117" s="36"/>
      <c r="S1117" s="36"/>
      <c r="T1117" s="36"/>
      <c r="U1117" s="36"/>
      <c r="V1117" s="36"/>
      <c r="W1117" s="36"/>
      <c r="X1117" s="36"/>
      <c r="Y1117" s="36"/>
      <c r="Z1117" s="36"/>
      <c r="AA1117" s="36"/>
      <c r="AB1117" s="36"/>
      <c r="AC1117" s="36"/>
    </row>
    <row r="1118" spans="1:29" ht="24" customHeight="1">
      <c r="A1118" s="81"/>
      <c r="B1118" s="81"/>
      <c r="C1118" s="81"/>
      <c r="D1118" s="81"/>
      <c r="E1118" s="80"/>
      <c r="F1118" s="80"/>
      <c r="G1118" s="80"/>
      <c r="H1118" s="94"/>
      <c r="I1118" s="81"/>
      <c r="J1118" s="35"/>
      <c r="K1118" s="36"/>
      <c r="L1118" s="36"/>
      <c r="M1118" s="36"/>
      <c r="N1118" s="36"/>
      <c r="O1118" s="36"/>
      <c r="P1118" s="36"/>
      <c r="Q1118" s="36"/>
      <c r="R1118" s="36"/>
      <c r="S1118" s="36"/>
      <c r="T1118" s="36"/>
      <c r="U1118" s="36"/>
      <c r="V1118" s="36"/>
      <c r="W1118" s="36"/>
      <c r="X1118" s="36"/>
      <c r="Y1118" s="36"/>
      <c r="Z1118" s="36"/>
      <c r="AA1118" s="36"/>
      <c r="AB1118" s="36"/>
      <c r="AC1118" s="36"/>
    </row>
    <row r="1119" spans="1:29" ht="24" customHeight="1">
      <c r="A1119" s="81"/>
      <c r="B1119" s="81"/>
      <c r="C1119" s="81"/>
      <c r="D1119" s="81"/>
      <c r="E1119" s="80"/>
      <c r="F1119" s="80"/>
      <c r="G1119" s="80"/>
      <c r="H1119" s="94"/>
      <c r="I1119" s="81"/>
      <c r="J1119" s="35"/>
      <c r="K1119" s="36"/>
      <c r="L1119" s="36"/>
      <c r="M1119" s="36"/>
      <c r="N1119" s="36"/>
      <c r="O1119" s="36"/>
      <c r="P1119" s="36"/>
      <c r="Q1119" s="36"/>
      <c r="R1119" s="36"/>
      <c r="S1119" s="36"/>
      <c r="T1119" s="36"/>
      <c r="U1119" s="36"/>
      <c r="V1119" s="36"/>
      <c r="W1119" s="36"/>
      <c r="X1119" s="36"/>
      <c r="Y1119" s="36"/>
      <c r="Z1119" s="36"/>
      <c r="AA1119" s="36"/>
      <c r="AB1119" s="36"/>
      <c r="AC1119" s="36"/>
    </row>
    <row r="1120" spans="1:29" ht="24" customHeight="1">
      <c r="A1120" s="81"/>
      <c r="B1120" s="81"/>
      <c r="C1120" s="81"/>
      <c r="D1120" s="81"/>
      <c r="E1120" s="80"/>
      <c r="F1120" s="80"/>
      <c r="G1120" s="80"/>
      <c r="H1120" s="94"/>
      <c r="I1120" s="81"/>
      <c r="J1120" s="35"/>
      <c r="K1120" s="36"/>
      <c r="L1120" s="36"/>
      <c r="M1120" s="36"/>
      <c r="N1120" s="36"/>
      <c r="O1120" s="36"/>
      <c r="P1120" s="36"/>
      <c r="Q1120" s="36"/>
      <c r="R1120" s="36"/>
      <c r="S1120" s="36"/>
      <c r="T1120" s="36"/>
      <c r="U1120" s="36"/>
      <c r="V1120" s="36"/>
      <c r="W1120" s="36"/>
      <c r="X1120" s="36"/>
      <c r="Y1120" s="36"/>
      <c r="Z1120" s="36"/>
      <c r="AA1120" s="36"/>
      <c r="AB1120" s="36"/>
      <c r="AC1120" s="36"/>
    </row>
    <row r="1121" spans="1:29" ht="36" customHeight="1">
      <c r="A1121" s="81"/>
      <c r="B1121" s="81"/>
      <c r="C1121" s="81"/>
      <c r="D1121" s="81"/>
      <c r="E1121" s="80"/>
      <c r="F1121" s="80"/>
      <c r="G1121" s="80"/>
      <c r="H1121" s="94"/>
      <c r="I1121" s="81"/>
      <c r="J1121" s="35"/>
      <c r="K1121" s="36"/>
      <c r="L1121" s="36"/>
      <c r="M1121" s="36"/>
      <c r="N1121" s="36"/>
      <c r="O1121" s="36"/>
      <c r="P1121" s="36"/>
      <c r="Q1121" s="36"/>
      <c r="R1121" s="36"/>
      <c r="S1121" s="36"/>
      <c r="T1121" s="36"/>
      <c r="U1121" s="36"/>
      <c r="V1121" s="36"/>
      <c r="W1121" s="36"/>
      <c r="X1121" s="36"/>
      <c r="Y1121" s="36"/>
      <c r="Z1121" s="36"/>
      <c r="AA1121" s="36"/>
      <c r="AB1121" s="36"/>
      <c r="AC1121" s="36"/>
    </row>
    <row r="1122" spans="1:29" ht="48" customHeight="1">
      <c r="A1122" s="81"/>
      <c r="B1122" s="81"/>
      <c r="C1122" s="81"/>
      <c r="D1122" s="81"/>
      <c r="E1122" s="80"/>
      <c r="F1122" s="80"/>
      <c r="G1122" s="80"/>
      <c r="H1122" s="94"/>
      <c r="I1122" s="81"/>
      <c r="J1122" s="35"/>
      <c r="K1122" s="36"/>
      <c r="L1122" s="36"/>
      <c r="M1122" s="36"/>
      <c r="N1122" s="36"/>
      <c r="O1122" s="36"/>
      <c r="P1122" s="36"/>
      <c r="Q1122" s="36"/>
      <c r="R1122" s="36"/>
      <c r="S1122" s="36"/>
      <c r="T1122" s="36"/>
      <c r="U1122" s="36"/>
      <c r="V1122" s="36"/>
      <c r="W1122" s="36"/>
      <c r="X1122" s="36"/>
      <c r="Y1122" s="36"/>
      <c r="Z1122" s="36"/>
      <c r="AA1122" s="36"/>
      <c r="AB1122" s="36"/>
      <c r="AC1122" s="36"/>
    </row>
    <row r="1123" spans="1:29" ht="12" customHeight="1">
      <c r="A1123" s="81"/>
      <c r="B1123" s="81"/>
      <c r="C1123" s="81"/>
      <c r="D1123" s="81"/>
      <c r="E1123" s="80"/>
      <c r="F1123" s="80"/>
      <c r="G1123" s="80"/>
      <c r="H1123" s="94"/>
      <c r="I1123" s="81"/>
      <c r="J1123" s="35"/>
      <c r="K1123" s="36"/>
      <c r="L1123" s="36"/>
      <c r="M1123" s="36"/>
      <c r="N1123" s="36"/>
      <c r="O1123" s="36"/>
      <c r="P1123" s="36"/>
      <c r="Q1123" s="36"/>
      <c r="R1123" s="36"/>
      <c r="S1123" s="36"/>
      <c r="T1123" s="36"/>
      <c r="U1123" s="36"/>
      <c r="V1123" s="36"/>
      <c r="W1123" s="36"/>
      <c r="X1123" s="36"/>
      <c r="Y1123" s="36"/>
      <c r="Z1123" s="36"/>
      <c r="AA1123" s="36"/>
      <c r="AB1123" s="36"/>
      <c r="AC1123" s="36"/>
    </row>
    <row r="1124" spans="1:29" ht="12" customHeight="1">
      <c r="A1124" s="81"/>
      <c r="B1124" s="81"/>
      <c r="C1124" s="81"/>
      <c r="D1124" s="81"/>
      <c r="E1124" s="80"/>
      <c r="F1124" s="80"/>
      <c r="G1124" s="80"/>
      <c r="H1124" s="94"/>
      <c r="I1124" s="81"/>
      <c r="J1124" s="35"/>
      <c r="K1124" s="36"/>
      <c r="L1124" s="36"/>
      <c r="M1124" s="36"/>
      <c r="N1124" s="36"/>
      <c r="O1124" s="36"/>
      <c r="P1124" s="36"/>
      <c r="Q1124" s="36"/>
      <c r="R1124" s="36"/>
      <c r="S1124" s="36"/>
      <c r="T1124" s="36"/>
      <c r="U1124" s="36"/>
      <c r="V1124" s="36"/>
      <c r="W1124" s="36"/>
      <c r="X1124" s="36"/>
      <c r="Y1124" s="36"/>
      <c r="Z1124" s="36"/>
      <c r="AA1124" s="36"/>
      <c r="AB1124" s="36"/>
      <c r="AC1124" s="36"/>
    </row>
    <row r="1125" spans="1:29" ht="36" customHeight="1">
      <c r="A1125" s="81"/>
      <c r="B1125" s="81"/>
      <c r="C1125" s="81"/>
      <c r="D1125" s="81"/>
      <c r="E1125" s="80"/>
      <c r="F1125" s="80"/>
      <c r="G1125" s="80"/>
      <c r="H1125" s="94"/>
      <c r="I1125" s="81"/>
      <c r="J1125" s="35"/>
      <c r="K1125" s="36"/>
      <c r="L1125" s="36"/>
      <c r="M1125" s="36"/>
      <c r="N1125" s="36"/>
      <c r="O1125" s="36"/>
      <c r="P1125" s="36"/>
      <c r="Q1125" s="36"/>
      <c r="R1125" s="36"/>
      <c r="S1125" s="36"/>
      <c r="T1125" s="36"/>
      <c r="U1125" s="36"/>
      <c r="V1125" s="36"/>
      <c r="W1125" s="36"/>
      <c r="X1125" s="36"/>
      <c r="Y1125" s="36"/>
      <c r="Z1125" s="36"/>
      <c r="AA1125" s="36"/>
      <c r="AB1125" s="36"/>
      <c r="AC1125" s="36"/>
    </row>
    <row r="1126" spans="1:29" ht="36" customHeight="1">
      <c r="A1126" s="81"/>
      <c r="B1126" s="81"/>
      <c r="C1126" s="81"/>
      <c r="D1126" s="81"/>
      <c r="E1126" s="80"/>
      <c r="F1126" s="80"/>
      <c r="G1126" s="80"/>
      <c r="H1126" s="94"/>
      <c r="I1126" s="81"/>
      <c r="J1126" s="35"/>
      <c r="K1126" s="36"/>
      <c r="L1126" s="36"/>
      <c r="M1126" s="36"/>
      <c r="N1126" s="36"/>
      <c r="O1126" s="36"/>
      <c r="P1126" s="36"/>
      <c r="Q1126" s="36"/>
      <c r="R1126" s="36"/>
      <c r="S1126" s="36"/>
      <c r="T1126" s="36"/>
      <c r="U1126" s="36"/>
      <c r="V1126" s="36"/>
      <c r="W1126" s="36"/>
      <c r="X1126" s="36"/>
      <c r="Y1126" s="36"/>
      <c r="Z1126" s="36"/>
      <c r="AA1126" s="36"/>
      <c r="AB1126" s="36"/>
      <c r="AC1126" s="36"/>
    </row>
    <row r="1127" spans="1:29" ht="36" customHeight="1">
      <c r="A1127" s="81"/>
      <c r="B1127" s="81"/>
      <c r="C1127" s="81"/>
      <c r="D1127" s="81"/>
      <c r="E1127" s="80"/>
      <c r="F1127" s="80"/>
      <c r="G1127" s="80"/>
      <c r="H1127" s="94"/>
      <c r="I1127" s="81"/>
      <c r="J1127" s="35"/>
      <c r="K1127" s="36"/>
      <c r="L1127" s="36"/>
      <c r="M1127" s="36"/>
      <c r="N1127" s="36"/>
      <c r="O1127" s="36"/>
      <c r="P1127" s="36"/>
      <c r="Q1127" s="36"/>
      <c r="R1127" s="36"/>
      <c r="S1127" s="36"/>
      <c r="T1127" s="36"/>
      <c r="U1127" s="36"/>
      <c r="V1127" s="36"/>
      <c r="W1127" s="36"/>
      <c r="X1127" s="36"/>
      <c r="Y1127" s="36"/>
      <c r="Z1127" s="36"/>
      <c r="AA1127" s="36"/>
      <c r="AB1127" s="36"/>
      <c r="AC1127" s="36"/>
    </row>
    <row r="1128" spans="1:29" ht="36" customHeight="1">
      <c r="A1128" s="81"/>
      <c r="B1128" s="81"/>
      <c r="C1128" s="81"/>
      <c r="D1128" s="81"/>
      <c r="E1128" s="80"/>
      <c r="F1128" s="80"/>
      <c r="G1128" s="80"/>
      <c r="H1128" s="94"/>
      <c r="I1128" s="81"/>
      <c r="J1128" s="35"/>
      <c r="K1128" s="36"/>
      <c r="L1128" s="36"/>
      <c r="M1128" s="36"/>
      <c r="N1128" s="36"/>
      <c r="O1128" s="36"/>
      <c r="P1128" s="36"/>
      <c r="Q1128" s="36"/>
      <c r="R1128" s="36"/>
      <c r="S1128" s="36"/>
      <c r="T1128" s="36"/>
      <c r="U1128" s="36"/>
      <c r="V1128" s="36"/>
      <c r="W1128" s="36"/>
      <c r="X1128" s="36"/>
      <c r="Y1128" s="36"/>
      <c r="Z1128" s="36"/>
      <c r="AA1128" s="36"/>
      <c r="AB1128" s="36"/>
      <c r="AC1128" s="36"/>
    </row>
    <row r="1129" spans="1:29" ht="24" customHeight="1">
      <c r="A1129" s="81"/>
      <c r="B1129" s="81"/>
      <c r="C1129" s="81"/>
      <c r="D1129" s="81"/>
      <c r="E1129" s="80"/>
      <c r="F1129" s="80"/>
      <c r="G1129" s="80"/>
      <c r="H1129" s="94"/>
      <c r="I1129" s="81"/>
      <c r="J1129" s="35"/>
      <c r="K1129" s="36"/>
      <c r="L1129" s="36"/>
      <c r="M1129" s="36"/>
      <c r="N1129" s="36"/>
      <c r="O1129" s="36"/>
      <c r="P1129" s="36"/>
      <c r="Q1129" s="36"/>
      <c r="R1129" s="36"/>
      <c r="S1129" s="36"/>
      <c r="T1129" s="36"/>
      <c r="U1129" s="36"/>
      <c r="V1129" s="36"/>
      <c r="W1129" s="36"/>
      <c r="X1129" s="36"/>
      <c r="Y1129" s="36"/>
      <c r="Z1129" s="36"/>
      <c r="AA1129" s="36"/>
      <c r="AB1129" s="36"/>
      <c r="AC1129" s="36"/>
    </row>
    <row r="1130" spans="1:29" ht="24" customHeight="1">
      <c r="A1130" s="81"/>
      <c r="B1130" s="81"/>
      <c r="C1130" s="81"/>
      <c r="D1130" s="81"/>
      <c r="E1130" s="80"/>
      <c r="F1130" s="80"/>
      <c r="G1130" s="80"/>
      <c r="H1130" s="94"/>
      <c r="I1130" s="81"/>
      <c r="J1130" s="35"/>
      <c r="K1130" s="36"/>
      <c r="L1130" s="36"/>
      <c r="M1130" s="36"/>
      <c r="N1130" s="36"/>
      <c r="O1130" s="36"/>
      <c r="P1130" s="36"/>
      <c r="Q1130" s="36"/>
      <c r="R1130" s="36"/>
      <c r="S1130" s="36"/>
      <c r="T1130" s="36"/>
      <c r="U1130" s="36"/>
      <c r="V1130" s="36"/>
      <c r="W1130" s="36"/>
      <c r="X1130" s="36"/>
      <c r="Y1130" s="36"/>
      <c r="Z1130" s="36"/>
      <c r="AA1130" s="36"/>
      <c r="AB1130" s="36"/>
      <c r="AC1130" s="36"/>
    </row>
    <row r="1131" spans="1:29" ht="24" customHeight="1">
      <c r="A1131" s="81"/>
      <c r="B1131" s="81"/>
      <c r="C1131" s="81"/>
      <c r="D1131" s="81"/>
      <c r="E1131" s="80"/>
      <c r="F1131" s="80"/>
      <c r="G1131" s="80"/>
      <c r="H1131" s="94"/>
      <c r="I1131" s="81"/>
      <c r="J1131" s="35"/>
      <c r="K1131" s="36"/>
      <c r="L1131" s="36"/>
      <c r="M1131" s="36"/>
      <c r="N1131" s="36"/>
      <c r="O1131" s="36"/>
      <c r="P1131" s="36"/>
      <c r="Q1131" s="36"/>
      <c r="R1131" s="36"/>
      <c r="S1131" s="36"/>
      <c r="T1131" s="36"/>
      <c r="U1131" s="36"/>
      <c r="V1131" s="36"/>
      <c r="W1131" s="36"/>
      <c r="X1131" s="36"/>
      <c r="Y1131" s="36"/>
      <c r="Z1131" s="36"/>
      <c r="AA1131" s="36"/>
      <c r="AB1131" s="36"/>
      <c r="AC1131" s="36"/>
    </row>
    <row r="1132" spans="1:29" ht="24" customHeight="1">
      <c r="A1132" s="81"/>
      <c r="B1132" s="81"/>
      <c r="C1132" s="81"/>
      <c r="D1132" s="81"/>
      <c r="E1132" s="80"/>
      <c r="F1132" s="80"/>
      <c r="G1132" s="80"/>
      <c r="H1132" s="94"/>
      <c r="I1132" s="81"/>
      <c r="J1132" s="35"/>
      <c r="K1132" s="36"/>
      <c r="L1132" s="36"/>
      <c r="M1132" s="36"/>
      <c r="N1132" s="36"/>
      <c r="O1132" s="36"/>
      <c r="P1132" s="36"/>
      <c r="Q1132" s="36"/>
      <c r="R1132" s="36"/>
      <c r="S1132" s="36"/>
      <c r="T1132" s="36"/>
      <c r="U1132" s="36"/>
      <c r="V1132" s="36"/>
      <c r="W1132" s="36"/>
      <c r="X1132" s="36"/>
      <c r="Y1132" s="36"/>
      <c r="Z1132" s="36"/>
      <c r="AA1132" s="36"/>
      <c r="AB1132" s="36"/>
      <c r="AC1132" s="36"/>
    </row>
    <row r="1133" spans="1:29" ht="36" customHeight="1">
      <c r="A1133" s="81"/>
      <c r="B1133" s="81"/>
      <c r="C1133" s="81"/>
      <c r="D1133" s="81"/>
      <c r="E1133" s="80"/>
      <c r="F1133" s="80"/>
      <c r="G1133" s="80"/>
      <c r="H1133" s="94"/>
      <c r="I1133" s="81"/>
      <c r="J1133" s="35"/>
      <c r="K1133" s="36"/>
      <c r="L1133" s="36"/>
      <c r="M1133" s="36"/>
      <c r="N1133" s="36"/>
      <c r="O1133" s="36"/>
      <c r="P1133" s="36"/>
      <c r="Q1133" s="36"/>
      <c r="R1133" s="36"/>
      <c r="S1133" s="36"/>
      <c r="T1133" s="36"/>
      <c r="U1133" s="36"/>
      <c r="V1133" s="36"/>
      <c r="W1133" s="36"/>
      <c r="X1133" s="36"/>
      <c r="Y1133" s="36"/>
      <c r="Z1133" s="36"/>
      <c r="AA1133" s="36"/>
      <c r="AB1133" s="36"/>
      <c r="AC1133" s="36"/>
    </row>
    <row r="1134" spans="1:29" ht="24" customHeight="1">
      <c r="A1134" s="81"/>
      <c r="B1134" s="81"/>
      <c r="C1134" s="81"/>
      <c r="D1134" s="81"/>
      <c r="E1134" s="80"/>
      <c r="F1134" s="80"/>
      <c r="G1134" s="80"/>
      <c r="H1134" s="94"/>
      <c r="I1134" s="81"/>
      <c r="J1134" s="35"/>
      <c r="K1134" s="36"/>
      <c r="L1134" s="36"/>
      <c r="M1134" s="36"/>
      <c r="N1134" s="36"/>
      <c r="O1134" s="36"/>
      <c r="P1134" s="36"/>
      <c r="Q1134" s="36"/>
      <c r="R1134" s="36"/>
      <c r="S1134" s="36"/>
      <c r="T1134" s="36"/>
      <c r="U1134" s="36"/>
      <c r="V1134" s="36"/>
      <c r="W1134" s="36"/>
      <c r="X1134" s="36"/>
      <c r="Y1134" s="36"/>
      <c r="Z1134" s="36"/>
      <c r="AA1134" s="36"/>
      <c r="AB1134" s="36"/>
      <c r="AC1134" s="36"/>
    </row>
    <row r="1135" spans="1:29" ht="48" customHeight="1">
      <c r="A1135" s="81"/>
      <c r="B1135" s="94"/>
      <c r="C1135" s="81"/>
      <c r="D1135" s="81"/>
      <c r="E1135" s="80"/>
      <c r="F1135" s="80"/>
      <c r="G1135" s="80"/>
      <c r="H1135" s="94"/>
      <c r="I1135" s="81"/>
      <c r="J1135" s="35"/>
      <c r="K1135" s="36"/>
      <c r="L1135" s="36"/>
      <c r="M1135" s="36"/>
      <c r="N1135" s="36"/>
      <c r="O1135" s="36"/>
      <c r="P1135" s="36"/>
      <c r="Q1135" s="36"/>
      <c r="R1135" s="36"/>
      <c r="S1135" s="36"/>
      <c r="T1135" s="36"/>
      <c r="U1135" s="36"/>
      <c r="V1135" s="36"/>
      <c r="W1135" s="36"/>
      <c r="X1135" s="36"/>
      <c r="Y1135" s="36"/>
      <c r="Z1135" s="36"/>
      <c r="AA1135" s="36"/>
      <c r="AB1135" s="36"/>
      <c r="AC1135" s="36"/>
    </row>
    <row r="1136" spans="1:29" ht="24" customHeight="1">
      <c r="A1136" s="81"/>
      <c r="B1136" s="81"/>
      <c r="C1136" s="81"/>
      <c r="D1136" s="81"/>
      <c r="E1136" s="80"/>
      <c r="F1136" s="80"/>
      <c r="G1136" s="80"/>
      <c r="H1136" s="94"/>
      <c r="I1136" s="81"/>
      <c r="J1136" s="35"/>
      <c r="K1136" s="36"/>
      <c r="L1136" s="36"/>
      <c r="M1136" s="36"/>
      <c r="N1136" s="36"/>
      <c r="O1136" s="36"/>
      <c r="P1136" s="36"/>
      <c r="Q1136" s="36"/>
      <c r="R1136" s="36"/>
      <c r="S1136" s="36"/>
      <c r="T1136" s="36"/>
      <c r="U1136" s="36"/>
      <c r="V1136" s="36"/>
      <c r="W1136" s="36"/>
      <c r="X1136" s="36"/>
      <c r="Y1136" s="36"/>
      <c r="Z1136" s="36"/>
      <c r="AA1136" s="36"/>
      <c r="AB1136" s="36"/>
      <c r="AC1136" s="36"/>
    </row>
    <row r="1137" spans="1:29" ht="12" customHeight="1">
      <c r="A1137" s="81"/>
      <c r="B1137" s="81"/>
      <c r="C1137" s="81"/>
      <c r="D1137" s="81"/>
      <c r="E1137" s="80"/>
      <c r="F1137" s="80"/>
      <c r="G1137" s="80"/>
      <c r="H1137" s="94"/>
      <c r="I1137" s="81"/>
      <c r="J1137" s="35"/>
      <c r="K1137" s="36"/>
      <c r="L1137" s="36"/>
      <c r="M1137" s="36"/>
      <c r="N1137" s="36"/>
      <c r="O1137" s="36"/>
      <c r="P1137" s="36"/>
      <c r="Q1137" s="36"/>
      <c r="R1137" s="36"/>
      <c r="S1137" s="36"/>
      <c r="T1137" s="36"/>
      <c r="U1137" s="36"/>
      <c r="V1137" s="36"/>
      <c r="W1137" s="36"/>
      <c r="X1137" s="36"/>
      <c r="Y1137" s="36"/>
      <c r="Z1137" s="36"/>
      <c r="AA1137" s="36"/>
      <c r="AB1137" s="36"/>
      <c r="AC1137" s="36"/>
    </row>
    <row r="1138" spans="1:29" ht="24" customHeight="1">
      <c r="A1138" s="81"/>
      <c r="B1138" s="81"/>
      <c r="C1138" s="81"/>
      <c r="D1138" s="81"/>
      <c r="E1138" s="80"/>
      <c r="F1138" s="80"/>
      <c r="G1138" s="80"/>
      <c r="H1138" s="94"/>
      <c r="I1138" s="81"/>
      <c r="J1138" s="35"/>
      <c r="K1138" s="36"/>
      <c r="L1138" s="36"/>
      <c r="M1138" s="36"/>
      <c r="N1138" s="36"/>
      <c r="O1138" s="36"/>
      <c r="P1138" s="36"/>
      <c r="Q1138" s="36"/>
      <c r="R1138" s="36"/>
      <c r="S1138" s="36"/>
      <c r="T1138" s="36"/>
      <c r="U1138" s="36"/>
      <c r="V1138" s="36"/>
      <c r="W1138" s="36"/>
      <c r="X1138" s="36"/>
      <c r="Y1138" s="36"/>
      <c r="Z1138" s="36"/>
      <c r="AA1138" s="36"/>
      <c r="AB1138" s="36"/>
      <c r="AC1138" s="36"/>
    </row>
    <row r="1139" spans="1:29" ht="36" customHeight="1">
      <c r="A1139" s="81"/>
      <c r="B1139" s="81"/>
      <c r="C1139" s="81"/>
      <c r="D1139" s="81"/>
      <c r="E1139" s="80"/>
      <c r="F1139" s="80"/>
      <c r="G1139" s="80"/>
      <c r="H1139" s="94"/>
      <c r="I1139" s="81"/>
      <c r="J1139" s="35"/>
      <c r="K1139" s="36"/>
      <c r="L1139" s="36"/>
      <c r="M1139" s="36"/>
      <c r="N1139" s="36"/>
      <c r="O1139" s="36"/>
      <c r="P1139" s="36"/>
      <c r="Q1139" s="36"/>
      <c r="R1139" s="36"/>
      <c r="S1139" s="36"/>
      <c r="T1139" s="36"/>
      <c r="U1139" s="36"/>
      <c r="V1139" s="36"/>
      <c r="W1139" s="36"/>
      <c r="X1139" s="36"/>
      <c r="Y1139" s="36"/>
      <c r="Z1139" s="36"/>
      <c r="AA1139" s="36"/>
      <c r="AB1139" s="36"/>
      <c r="AC1139" s="36"/>
    </row>
    <row r="1140" spans="1:29" ht="36" customHeight="1">
      <c r="A1140" s="81"/>
      <c r="B1140" s="81"/>
      <c r="C1140" s="81"/>
      <c r="D1140" s="81"/>
      <c r="E1140" s="80"/>
      <c r="F1140" s="80"/>
      <c r="G1140" s="80"/>
      <c r="H1140" s="94"/>
      <c r="I1140" s="81"/>
      <c r="J1140" s="35"/>
      <c r="K1140" s="36"/>
      <c r="L1140" s="36"/>
      <c r="M1140" s="36"/>
      <c r="N1140" s="36"/>
      <c r="O1140" s="36"/>
      <c r="P1140" s="36"/>
      <c r="Q1140" s="36"/>
      <c r="R1140" s="36"/>
      <c r="S1140" s="36"/>
      <c r="T1140" s="36"/>
      <c r="U1140" s="36"/>
      <c r="V1140" s="36"/>
      <c r="W1140" s="36"/>
      <c r="X1140" s="36"/>
      <c r="Y1140" s="36"/>
      <c r="Z1140" s="36"/>
      <c r="AA1140" s="36"/>
      <c r="AB1140" s="36"/>
      <c r="AC1140" s="36"/>
    </row>
    <row r="1141" spans="1:29" ht="36" customHeight="1">
      <c r="A1141" s="81"/>
      <c r="B1141" s="81"/>
      <c r="C1141" s="81"/>
      <c r="D1141" s="81"/>
      <c r="E1141" s="80"/>
      <c r="F1141" s="80"/>
      <c r="G1141" s="80"/>
      <c r="H1141" s="94"/>
      <c r="I1141" s="81"/>
      <c r="J1141" s="35"/>
      <c r="K1141" s="36"/>
      <c r="L1141" s="36"/>
      <c r="M1141" s="36"/>
      <c r="N1141" s="36"/>
      <c r="O1141" s="36"/>
      <c r="P1141" s="36"/>
      <c r="Q1141" s="36"/>
      <c r="R1141" s="36"/>
      <c r="S1141" s="36"/>
      <c r="T1141" s="36"/>
      <c r="U1141" s="36"/>
      <c r="V1141" s="36"/>
      <c r="W1141" s="36"/>
      <c r="X1141" s="36"/>
      <c r="Y1141" s="36"/>
      <c r="Z1141" s="36"/>
      <c r="AA1141" s="36"/>
      <c r="AB1141" s="36"/>
      <c r="AC1141" s="36"/>
    </row>
    <row r="1142" spans="1:29" ht="36" customHeight="1">
      <c r="A1142" s="81"/>
      <c r="B1142" s="81"/>
      <c r="C1142" s="81"/>
      <c r="D1142" s="81"/>
      <c r="E1142" s="80"/>
      <c r="F1142" s="80"/>
      <c r="G1142" s="80"/>
      <c r="H1142" s="94"/>
      <c r="I1142" s="81"/>
      <c r="J1142" s="35"/>
      <c r="K1142" s="36"/>
      <c r="L1142" s="36"/>
      <c r="M1142" s="36"/>
      <c r="N1142" s="36"/>
      <c r="O1142" s="36"/>
      <c r="P1142" s="36"/>
      <c r="Q1142" s="36"/>
      <c r="R1142" s="36"/>
      <c r="S1142" s="36"/>
      <c r="T1142" s="36"/>
      <c r="U1142" s="36"/>
      <c r="V1142" s="36"/>
      <c r="W1142" s="36"/>
      <c r="X1142" s="36"/>
      <c r="Y1142" s="36"/>
      <c r="Z1142" s="36"/>
      <c r="AA1142" s="36"/>
      <c r="AB1142" s="36"/>
      <c r="AC1142" s="36"/>
    </row>
    <row r="1143" spans="1:29" ht="36" customHeight="1">
      <c r="A1143" s="81"/>
      <c r="B1143" s="81"/>
      <c r="C1143" s="81"/>
      <c r="D1143" s="81"/>
      <c r="E1143" s="80"/>
      <c r="F1143" s="80"/>
      <c r="G1143" s="80"/>
      <c r="H1143" s="94"/>
      <c r="I1143" s="81"/>
      <c r="J1143" s="36"/>
      <c r="K1143" s="36"/>
      <c r="L1143" s="36"/>
      <c r="M1143" s="36"/>
      <c r="N1143" s="36"/>
      <c r="O1143" s="36"/>
      <c r="P1143" s="36"/>
      <c r="Q1143" s="36"/>
      <c r="R1143" s="36"/>
      <c r="S1143" s="36"/>
      <c r="T1143" s="36"/>
      <c r="U1143" s="36"/>
      <c r="V1143" s="36"/>
      <c r="W1143" s="36"/>
      <c r="X1143" s="36"/>
      <c r="Y1143" s="36"/>
      <c r="Z1143" s="36"/>
      <c r="AA1143" s="36"/>
      <c r="AB1143" s="36"/>
      <c r="AC1143" s="36"/>
    </row>
    <row r="1144" spans="1:29" ht="36" customHeight="1">
      <c r="A1144" s="81"/>
      <c r="B1144" s="81"/>
      <c r="C1144" s="81"/>
      <c r="D1144" s="81"/>
      <c r="E1144" s="80"/>
      <c r="F1144" s="80"/>
      <c r="G1144" s="80"/>
      <c r="H1144" s="94"/>
      <c r="I1144" s="81"/>
      <c r="J1144" s="35"/>
      <c r="K1144" s="36"/>
      <c r="L1144" s="36"/>
      <c r="M1144" s="36"/>
      <c r="N1144" s="36"/>
      <c r="O1144" s="36"/>
      <c r="P1144" s="36"/>
      <c r="Q1144" s="36"/>
      <c r="R1144" s="36"/>
      <c r="S1144" s="36"/>
      <c r="T1144" s="36"/>
      <c r="U1144" s="36"/>
      <c r="V1144" s="36"/>
      <c r="W1144" s="36"/>
      <c r="X1144" s="36"/>
      <c r="Y1144" s="36"/>
      <c r="Z1144" s="36"/>
      <c r="AA1144" s="36"/>
      <c r="AB1144" s="36"/>
      <c r="AC1144" s="36"/>
    </row>
    <row r="1145" spans="1:29" ht="180" customHeight="1">
      <c r="A1145" s="81"/>
      <c r="B1145" s="81"/>
      <c r="C1145" s="81"/>
      <c r="D1145" s="81"/>
      <c r="E1145" s="80"/>
      <c r="F1145" s="80"/>
      <c r="G1145" s="80"/>
      <c r="H1145" s="94"/>
      <c r="I1145" s="81"/>
      <c r="J1145" s="35"/>
      <c r="K1145" s="36"/>
      <c r="L1145" s="36"/>
      <c r="M1145" s="36"/>
      <c r="N1145" s="36"/>
      <c r="O1145" s="36"/>
      <c r="P1145" s="36"/>
      <c r="Q1145" s="36"/>
      <c r="R1145" s="36"/>
      <c r="S1145" s="36"/>
      <c r="T1145" s="36"/>
      <c r="U1145" s="36"/>
      <c r="V1145" s="36"/>
      <c r="W1145" s="36"/>
      <c r="X1145" s="36"/>
      <c r="Y1145" s="36"/>
      <c r="Z1145" s="36"/>
      <c r="AA1145" s="36"/>
      <c r="AB1145" s="36"/>
      <c r="AC1145" s="36"/>
    </row>
    <row r="1146" spans="1:29" ht="24" customHeight="1">
      <c r="A1146" s="81"/>
      <c r="B1146" s="81"/>
      <c r="C1146" s="81"/>
      <c r="D1146" s="81"/>
      <c r="E1146" s="80"/>
      <c r="F1146" s="80"/>
      <c r="G1146" s="80"/>
      <c r="H1146" s="94"/>
      <c r="I1146" s="81"/>
      <c r="J1146" s="35"/>
      <c r="K1146" s="36"/>
      <c r="L1146" s="36"/>
      <c r="M1146" s="36"/>
      <c r="N1146" s="36"/>
      <c r="O1146" s="36"/>
      <c r="P1146" s="36"/>
      <c r="Q1146" s="36"/>
      <c r="R1146" s="36"/>
      <c r="S1146" s="36"/>
      <c r="T1146" s="36"/>
      <c r="U1146" s="36"/>
      <c r="V1146" s="36"/>
      <c r="W1146" s="36"/>
      <c r="X1146" s="36"/>
      <c r="Y1146" s="36"/>
      <c r="Z1146" s="36"/>
      <c r="AA1146" s="36"/>
      <c r="AB1146" s="36"/>
      <c r="AC1146" s="36"/>
    </row>
    <row r="1147" spans="1:29" ht="48" customHeight="1">
      <c r="A1147" s="81"/>
      <c r="B1147" s="81"/>
      <c r="C1147" s="81"/>
      <c r="D1147" s="81"/>
      <c r="E1147" s="80"/>
      <c r="F1147" s="80"/>
      <c r="G1147" s="80"/>
      <c r="H1147" s="94"/>
      <c r="I1147" s="81"/>
      <c r="J1147" s="35"/>
      <c r="K1147" s="36"/>
      <c r="L1147" s="36"/>
      <c r="M1147" s="36"/>
      <c r="N1147" s="36"/>
      <c r="O1147" s="36"/>
      <c r="P1147" s="36"/>
      <c r="Q1147" s="36"/>
      <c r="R1147" s="36"/>
      <c r="S1147" s="36"/>
      <c r="T1147" s="36"/>
      <c r="U1147" s="36"/>
      <c r="V1147" s="36"/>
      <c r="W1147" s="36"/>
      <c r="X1147" s="36"/>
      <c r="Y1147" s="36"/>
      <c r="Z1147" s="36"/>
      <c r="AA1147" s="36"/>
      <c r="AB1147" s="36"/>
      <c r="AC1147" s="36"/>
    </row>
    <row r="1148" spans="1:29" ht="24" customHeight="1">
      <c r="A1148" s="81"/>
      <c r="B1148" s="81"/>
      <c r="C1148" s="81"/>
      <c r="D1148" s="81"/>
      <c r="E1148" s="80"/>
      <c r="F1148" s="80"/>
      <c r="G1148" s="80"/>
      <c r="H1148" s="94"/>
      <c r="I1148" s="81"/>
      <c r="J1148" s="35"/>
      <c r="K1148" s="36"/>
      <c r="L1148" s="36"/>
      <c r="M1148" s="36"/>
      <c r="N1148" s="36"/>
      <c r="O1148" s="36"/>
      <c r="P1148" s="36"/>
      <c r="Q1148" s="36"/>
      <c r="R1148" s="36"/>
      <c r="S1148" s="36"/>
      <c r="T1148" s="36"/>
      <c r="U1148" s="36"/>
      <c r="V1148" s="36"/>
      <c r="W1148" s="36"/>
      <c r="X1148" s="36"/>
      <c r="Y1148" s="36"/>
      <c r="Z1148" s="36"/>
      <c r="AA1148" s="36"/>
      <c r="AB1148" s="36"/>
      <c r="AC1148" s="36"/>
    </row>
    <row r="1149" spans="1:29" ht="24" customHeight="1">
      <c r="A1149" s="81"/>
      <c r="B1149" s="463"/>
      <c r="C1149" s="100"/>
      <c r="D1149" s="81"/>
      <c r="E1149" s="80"/>
      <c r="F1149" s="80"/>
      <c r="G1149" s="80"/>
      <c r="H1149" s="94"/>
      <c r="I1149" s="81"/>
      <c r="J1149" s="35"/>
      <c r="K1149" s="36"/>
      <c r="L1149" s="36"/>
      <c r="M1149" s="36"/>
      <c r="N1149" s="36"/>
      <c r="O1149" s="36"/>
      <c r="P1149" s="36"/>
      <c r="Q1149" s="36"/>
      <c r="R1149" s="36"/>
      <c r="S1149" s="36"/>
      <c r="T1149" s="36"/>
      <c r="U1149" s="36"/>
      <c r="V1149" s="36"/>
      <c r="W1149" s="36"/>
      <c r="X1149" s="36"/>
      <c r="Y1149" s="36"/>
      <c r="Z1149" s="36"/>
      <c r="AA1149" s="36"/>
      <c r="AB1149" s="36"/>
      <c r="AC1149" s="36"/>
    </row>
    <row r="1150" spans="1:29" ht="36" customHeight="1">
      <c r="A1150" s="100"/>
      <c r="B1150" s="100"/>
      <c r="C1150" s="100"/>
      <c r="D1150" s="81"/>
      <c r="E1150" s="80"/>
      <c r="F1150" s="80"/>
      <c r="G1150" s="80"/>
      <c r="H1150" s="94"/>
      <c r="I1150" s="81"/>
      <c r="J1150" s="35"/>
      <c r="K1150" s="36"/>
      <c r="L1150" s="36"/>
      <c r="M1150" s="36"/>
      <c r="N1150" s="36"/>
      <c r="O1150" s="36"/>
      <c r="P1150" s="36"/>
      <c r="Q1150" s="36"/>
      <c r="R1150" s="36"/>
      <c r="S1150" s="36"/>
      <c r="T1150" s="36"/>
      <c r="U1150" s="36"/>
      <c r="V1150" s="36"/>
      <c r="W1150" s="36"/>
      <c r="X1150" s="36"/>
      <c r="Y1150" s="36"/>
      <c r="Z1150" s="36"/>
      <c r="AA1150" s="36"/>
      <c r="AB1150" s="36"/>
      <c r="AC1150" s="36"/>
    </row>
    <row r="1151" spans="1:29" ht="24" customHeight="1">
      <c r="A1151" s="100"/>
      <c r="B1151" s="100"/>
      <c r="C1151" s="100"/>
      <c r="D1151" s="81"/>
      <c r="E1151" s="80"/>
      <c r="F1151" s="80"/>
      <c r="G1151" s="80"/>
      <c r="H1151" s="94"/>
      <c r="I1151" s="81"/>
      <c r="J1151" s="35"/>
      <c r="K1151" s="36"/>
      <c r="L1151" s="36"/>
      <c r="M1151" s="36"/>
      <c r="N1151" s="36"/>
      <c r="O1151" s="36"/>
      <c r="P1151" s="36"/>
      <c r="Q1151" s="36"/>
      <c r="R1151" s="36"/>
      <c r="S1151" s="36"/>
      <c r="T1151" s="36"/>
      <c r="U1151" s="36"/>
      <c r="V1151" s="36"/>
      <c r="W1151" s="36"/>
      <c r="X1151" s="36"/>
      <c r="Y1151" s="36"/>
      <c r="Z1151" s="36"/>
      <c r="AA1151" s="36"/>
      <c r="AB1151" s="36"/>
      <c r="AC1151" s="36"/>
    </row>
    <row r="1152" spans="1:29" ht="48" customHeight="1">
      <c r="A1152" s="100"/>
      <c r="B1152" s="100"/>
      <c r="C1152" s="100"/>
      <c r="D1152" s="81"/>
      <c r="E1152" s="80"/>
      <c r="F1152" s="80"/>
      <c r="G1152" s="80"/>
      <c r="H1152" s="94"/>
      <c r="I1152" s="81"/>
      <c r="J1152" s="35"/>
      <c r="K1152" s="36"/>
      <c r="L1152" s="36"/>
      <c r="M1152" s="36"/>
      <c r="N1152" s="36"/>
      <c r="O1152" s="36"/>
      <c r="P1152" s="36"/>
      <c r="Q1152" s="36"/>
      <c r="R1152" s="36"/>
      <c r="S1152" s="36"/>
      <c r="T1152" s="36"/>
      <c r="U1152" s="36"/>
      <c r="V1152" s="36"/>
      <c r="W1152" s="36"/>
      <c r="X1152" s="36"/>
      <c r="Y1152" s="36"/>
      <c r="Z1152" s="36"/>
      <c r="AA1152" s="36"/>
      <c r="AB1152" s="36"/>
      <c r="AC1152" s="36"/>
    </row>
    <row r="1153" spans="1:29" ht="24" customHeight="1">
      <c r="A1153" s="100"/>
      <c r="B1153" s="463"/>
      <c r="C1153" s="100"/>
      <c r="D1153" s="81"/>
      <c r="E1153" s="80"/>
      <c r="F1153" s="80"/>
      <c r="G1153" s="80"/>
      <c r="H1153" s="94"/>
      <c r="I1153" s="81"/>
      <c r="J1153" s="35"/>
      <c r="K1153" s="36"/>
      <c r="L1153" s="36"/>
      <c r="M1153" s="36"/>
      <c r="N1153" s="36"/>
      <c r="O1153" s="36"/>
      <c r="P1153" s="36"/>
      <c r="Q1153" s="36"/>
      <c r="R1153" s="36"/>
      <c r="S1153" s="36"/>
      <c r="T1153" s="36"/>
      <c r="U1153" s="36"/>
      <c r="V1153" s="36"/>
      <c r="W1153" s="36"/>
      <c r="X1153" s="36"/>
      <c r="Y1153" s="36"/>
      <c r="Z1153" s="36"/>
      <c r="AA1153" s="36"/>
      <c r="AB1153" s="36"/>
      <c r="AC1153" s="36"/>
    </row>
    <row r="1154" spans="1:29" ht="48" customHeight="1">
      <c r="A1154" s="100"/>
      <c r="B1154" s="100"/>
      <c r="C1154" s="100"/>
      <c r="D1154" s="81"/>
      <c r="E1154" s="80"/>
      <c r="F1154" s="80"/>
      <c r="G1154" s="80"/>
      <c r="H1154" s="94"/>
      <c r="I1154" s="81"/>
      <c r="J1154" s="35"/>
      <c r="K1154" s="36"/>
      <c r="L1154" s="36"/>
      <c r="M1154" s="36"/>
      <c r="N1154" s="36"/>
      <c r="O1154" s="36"/>
      <c r="P1154" s="36"/>
      <c r="Q1154" s="36"/>
      <c r="R1154" s="36"/>
      <c r="S1154" s="36"/>
      <c r="T1154" s="36"/>
      <c r="U1154" s="36"/>
      <c r="V1154" s="36"/>
      <c r="W1154" s="36"/>
      <c r="X1154" s="36"/>
      <c r="Y1154" s="36"/>
      <c r="Z1154" s="36"/>
      <c r="AA1154" s="36"/>
      <c r="AB1154" s="36"/>
      <c r="AC1154" s="36"/>
    </row>
    <row r="1155" spans="1:29" ht="60" customHeight="1">
      <c r="A1155" s="100"/>
      <c r="B1155" s="100"/>
      <c r="C1155" s="100"/>
      <c r="D1155" s="81"/>
      <c r="E1155" s="80"/>
      <c r="F1155" s="80"/>
      <c r="G1155" s="80"/>
      <c r="H1155" s="94"/>
      <c r="I1155" s="81"/>
      <c r="J1155" s="35"/>
      <c r="K1155" s="36"/>
      <c r="L1155" s="36"/>
      <c r="M1155" s="36"/>
      <c r="N1155" s="36"/>
      <c r="O1155" s="36"/>
      <c r="P1155" s="36"/>
      <c r="Q1155" s="36"/>
      <c r="R1155" s="36"/>
      <c r="S1155" s="36"/>
      <c r="T1155" s="36"/>
      <c r="U1155" s="36"/>
      <c r="V1155" s="36"/>
      <c r="W1155" s="36"/>
      <c r="X1155" s="36"/>
      <c r="Y1155" s="36"/>
      <c r="Z1155" s="36"/>
      <c r="AA1155" s="36"/>
      <c r="AB1155" s="36"/>
      <c r="AC1155" s="36"/>
    </row>
    <row r="1156" spans="1:29" ht="48" customHeight="1">
      <c r="A1156" s="100"/>
      <c r="B1156" s="100"/>
      <c r="C1156" s="100"/>
      <c r="D1156" s="81"/>
      <c r="E1156" s="80"/>
      <c r="F1156" s="80"/>
      <c r="G1156" s="80"/>
      <c r="H1156" s="94"/>
      <c r="I1156" s="81"/>
      <c r="J1156" s="35"/>
      <c r="K1156" s="36"/>
      <c r="L1156" s="36"/>
      <c r="M1156" s="36"/>
      <c r="N1156" s="36"/>
      <c r="O1156" s="36"/>
      <c r="P1156" s="36"/>
      <c r="Q1156" s="36"/>
      <c r="R1156" s="36"/>
      <c r="S1156" s="36"/>
      <c r="T1156" s="36"/>
      <c r="U1156" s="36"/>
      <c r="V1156" s="36"/>
      <c r="W1156" s="36"/>
      <c r="X1156" s="36"/>
      <c r="Y1156" s="36"/>
      <c r="Z1156" s="36"/>
      <c r="AA1156" s="36"/>
      <c r="AB1156" s="36"/>
      <c r="AC1156" s="36"/>
    </row>
    <row r="1157" spans="1:29" ht="24" customHeight="1">
      <c r="A1157" s="100"/>
      <c r="B1157" s="100"/>
      <c r="C1157" s="100"/>
      <c r="D1157" s="81"/>
      <c r="E1157" s="80"/>
      <c r="F1157" s="80"/>
      <c r="G1157" s="80"/>
      <c r="H1157" s="94"/>
      <c r="I1157" s="81"/>
      <c r="J1157" s="35"/>
      <c r="K1157" s="36"/>
      <c r="L1157" s="36"/>
      <c r="M1157" s="36"/>
      <c r="N1157" s="36"/>
      <c r="O1157" s="36"/>
      <c r="P1157" s="36"/>
      <c r="Q1157" s="36"/>
      <c r="R1157" s="36"/>
      <c r="S1157" s="36"/>
      <c r="T1157" s="36"/>
      <c r="U1157" s="36"/>
      <c r="V1157" s="36"/>
      <c r="W1157" s="36"/>
      <c r="X1157" s="36"/>
      <c r="Y1157" s="36"/>
      <c r="Z1157" s="36"/>
      <c r="AA1157" s="36"/>
      <c r="AB1157" s="36"/>
      <c r="AC1157" s="36"/>
    </row>
    <row r="1158" spans="1:29" ht="24" customHeight="1">
      <c r="A1158" s="100"/>
      <c r="B1158" s="100"/>
      <c r="C1158" s="100"/>
      <c r="D1158" s="81"/>
      <c r="E1158" s="80"/>
      <c r="F1158" s="80"/>
      <c r="G1158" s="80"/>
      <c r="H1158" s="94"/>
      <c r="I1158" s="81"/>
      <c r="J1158" s="35"/>
      <c r="K1158" s="36"/>
      <c r="L1158" s="36"/>
      <c r="M1158" s="36"/>
      <c r="N1158" s="36"/>
      <c r="O1158" s="36"/>
      <c r="P1158" s="36"/>
      <c r="Q1158" s="36"/>
      <c r="R1158" s="36"/>
      <c r="S1158" s="36"/>
      <c r="T1158" s="36"/>
      <c r="U1158" s="36"/>
      <c r="V1158" s="36"/>
      <c r="W1158" s="36"/>
      <c r="X1158" s="36"/>
      <c r="Y1158" s="36"/>
      <c r="Z1158" s="36"/>
      <c r="AA1158" s="36"/>
      <c r="AB1158" s="36"/>
      <c r="AC1158" s="36"/>
    </row>
    <row r="1159" spans="1:29" ht="36" customHeight="1">
      <c r="A1159" s="100"/>
      <c r="B1159" s="100"/>
      <c r="C1159" s="100"/>
      <c r="D1159" s="81"/>
      <c r="E1159" s="80"/>
      <c r="F1159" s="80"/>
      <c r="G1159" s="80"/>
      <c r="H1159" s="94"/>
      <c r="I1159" s="81"/>
      <c r="J1159" s="35"/>
      <c r="K1159" s="36"/>
      <c r="L1159" s="36"/>
      <c r="M1159" s="36"/>
      <c r="N1159" s="36"/>
      <c r="O1159" s="36"/>
      <c r="P1159" s="36"/>
      <c r="Q1159" s="36"/>
      <c r="R1159" s="36"/>
      <c r="S1159" s="36"/>
      <c r="T1159" s="36"/>
      <c r="U1159" s="36"/>
      <c r="V1159" s="36"/>
      <c r="W1159" s="36"/>
      <c r="X1159" s="36"/>
      <c r="Y1159" s="36"/>
      <c r="Z1159" s="36"/>
      <c r="AA1159" s="36"/>
      <c r="AB1159" s="36"/>
      <c r="AC1159" s="36"/>
    </row>
    <row r="1160" spans="1:29" ht="24" customHeight="1">
      <c r="A1160" s="100"/>
      <c r="B1160" s="100"/>
      <c r="C1160" s="100"/>
      <c r="D1160" s="81"/>
      <c r="E1160" s="80"/>
      <c r="F1160" s="80"/>
      <c r="G1160" s="80"/>
      <c r="H1160" s="94"/>
      <c r="I1160" s="81"/>
      <c r="J1160" s="35"/>
      <c r="K1160" s="36"/>
      <c r="L1160" s="36"/>
      <c r="M1160" s="36"/>
      <c r="N1160" s="36"/>
      <c r="O1160" s="36"/>
      <c r="P1160" s="36"/>
      <c r="Q1160" s="36"/>
      <c r="R1160" s="36"/>
      <c r="S1160" s="36"/>
      <c r="T1160" s="36"/>
      <c r="U1160" s="36"/>
      <c r="V1160" s="36"/>
      <c r="W1160" s="36"/>
      <c r="X1160" s="36"/>
      <c r="Y1160" s="36"/>
      <c r="Z1160" s="36"/>
      <c r="AA1160" s="36"/>
      <c r="AB1160" s="36"/>
      <c r="AC1160" s="36"/>
    </row>
    <row r="1161" spans="1:29" ht="24" customHeight="1">
      <c r="A1161" s="100"/>
      <c r="B1161" s="100"/>
      <c r="C1161" s="100"/>
      <c r="D1161" s="81"/>
      <c r="E1161" s="80"/>
      <c r="F1161" s="80"/>
      <c r="G1161" s="80"/>
      <c r="H1161" s="94"/>
      <c r="I1161" s="81"/>
      <c r="J1161" s="35"/>
      <c r="K1161" s="36"/>
      <c r="L1161" s="36"/>
      <c r="M1161" s="36"/>
      <c r="N1161" s="36"/>
      <c r="O1161" s="36"/>
      <c r="P1161" s="36"/>
      <c r="Q1161" s="36"/>
      <c r="R1161" s="36"/>
      <c r="S1161" s="36"/>
      <c r="T1161" s="36"/>
      <c r="U1161" s="36"/>
      <c r="V1161" s="36"/>
      <c r="W1161" s="36"/>
      <c r="X1161" s="36"/>
      <c r="Y1161" s="36"/>
      <c r="Z1161" s="36"/>
      <c r="AA1161" s="36"/>
      <c r="AB1161" s="36"/>
      <c r="AC1161" s="36"/>
    </row>
    <row r="1162" spans="1:29" ht="36" customHeight="1">
      <c r="A1162" s="100"/>
      <c r="B1162" s="100"/>
      <c r="C1162" s="100"/>
      <c r="D1162" s="81"/>
      <c r="E1162" s="80"/>
      <c r="F1162" s="80"/>
      <c r="G1162" s="80"/>
      <c r="H1162" s="94"/>
      <c r="I1162" s="81"/>
      <c r="J1162" s="35"/>
      <c r="K1162" s="36"/>
      <c r="L1162" s="36"/>
      <c r="M1162" s="36"/>
      <c r="N1162" s="36"/>
      <c r="O1162" s="36"/>
      <c r="P1162" s="36"/>
      <c r="Q1162" s="36"/>
      <c r="R1162" s="36"/>
      <c r="S1162" s="36"/>
      <c r="T1162" s="36"/>
      <c r="U1162" s="36"/>
      <c r="V1162" s="36"/>
      <c r="W1162" s="36"/>
      <c r="X1162" s="36"/>
      <c r="Y1162" s="36"/>
      <c r="Z1162" s="36"/>
      <c r="AA1162" s="36"/>
      <c r="AB1162" s="36"/>
      <c r="AC1162" s="36"/>
    </row>
    <row r="1163" spans="1:29" ht="24" customHeight="1">
      <c r="A1163" s="100"/>
      <c r="B1163" s="100"/>
      <c r="C1163" s="100"/>
      <c r="D1163" s="81"/>
      <c r="E1163" s="80"/>
      <c r="F1163" s="80"/>
      <c r="G1163" s="80"/>
      <c r="H1163" s="94"/>
      <c r="I1163" s="81"/>
      <c r="J1163" s="35"/>
      <c r="K1163" s="36"/>
      <c r="L1163" s="36"/>
      <c r="M1163" s="36"/>
      <c r="N1163" s="36"/>
      <c r="O1163" s="36"/>
      <c r="P1163" s="36"/>
      <c r="Q1163" s="36"/>
      <c r="R1163" s="36"/>
      <c r="S1163" s="36"/>
      <c r="T1163" s="36"/>
      <c r="U1163" s="36"/>
      <c r="V1163" s="36"/>
      <c r="W1163" s="36"/>
      <c r="X1163" s="36"/>
      <c r="Y1163" s="36"/>
      <c r="Z1163" s="36"/>
      <c r="AA1163" s="36"/>
      <c r="AB1163" s="36"/>
      <c r="AC1163" s="36"/>
    </row>
    <row r="1164" spans="1:29" ht="24" customHeight="1">
      <c r="A1164" s="100"/>
      <c r="B1164" s="100"/>
      <c r="C1164" s="100"/>
      <c r="D1164" s="81"/>
      <c r="E1164" s="80"/>
      <c r="F1164" s="80"/>
      <c r="G1164" s="80"/>
      <c r="H1164" s="94"/>
      <c r="I1164" s="81"/>
      <c r="J1164" s="35"/>
      <c r="K1164" s="36"/>
      <c r="L1164" s="36"/>
      <c r="M1164" s="36"/>
      <c r="N1164" s="36"/>
      <c r="O1164" s="36"/>
      <c r="P1164" s="36"/>
      <c r="Q1164" s="36"/>
      <c r="R1164" s="36"/>
      <c r="S1164" s="36"/>
      <c r="T1164" s="36"/>
      <c r="U1164" s="36"/>
      <c r="V1164" s="36"/>
      <c r="W1164" s="36"/>
      <c r="X1164" s="36"/>
      <c r="Y1164" s="36"/>
      <c r="Z1164" s="36"/>
      <c r="AA1164" s="36"/>
      <c r="AB1164" s="36"/>
      <c r="AC1164" s="36"/>
    </row>
    <row r="1165" spans="1:29" ht="36" customHeight="1">
      <c r="A1165" s="100"/>
      <c r="B1165" s="463"/>
      <c r="C1165" s="100"/>
      <c r="D1165" s="81"/>
      <c r="E1165" s="80"/>
      <c r="F1165" s="80"/>
      <c r="G1165" s="80"/>
      <c r="H1165" s="94"/>
      <c r="I1165" s="81"/>
      <c r="J1165" s="35"/>
      <c r="K1165" s="36"/>
      <c r="L1165" s="36"/>
      <c r="M1165" s="36"/>
      <c r="N1165" s="36"/>
      <c r="O1165" s="36"/>
      <c r="P1165" s="36"/>
      <c r="Q1165" s="36"/>
      <c r="R1165" s="36"/>
      <c r="S1165" s="36"/>
      <c r="T1165" s="36"/>
      <c r="U1165" s="36"/>
      <c r="V1165" s="36"/>
      <c r="W1165" s="36"/>
      <c r="X1165" s="36"/>
      <c r="Y1165" s="36"/>
      <c r="Z1165" s="36"/>
      <c r="AA1165" s="36"/>
      <c r="AB1165" s="36"/>
      <c r="AC1165" s="36"/>
    </row>
    <row r="1166" spans="1:29" ht="36" customHeight="1">
      <c r="A1166" s="100"/>
      <c r="B1166" s="100"/>
      <c r="C1166" s="100"/>
      <c r="D1166" s="81"/>
      <c r="E1166" s="80"/>
      <c r="F1166" s="80"/>
      <c r="G1166" s="80"/>
      <c r="H1166" s="94"/>
      <c r="I1166" s="81"/>
      <c r="J1166" s="35"/>
      <c r="K1166" s="36"/>
      <c r="L1166" s="36"/>
      <c r="M1166" s="36"/>
      <c r="N1166" s="36"/>
      <c r="O1166" s="36"/>
      <c r="P1166" s="36"/>
      <c r="Q1166" s="36"/>
      <c r="R1166" s="36"/>
      <c r="S1166" s="36"/>
      <c r="T1166" s="36"/>
      <c r="U1166" s="36"/>
      <c r="V1166" s="36"/>
      <c r="W1166" s="36"/>
      <c r="X1166" s="36"/>
      <c r="Y1166" s="36"/>
      <c r="Z1166" s="36"/>
      <c r="AA1166" s="36"/>
      <c r="AB1166" s="36"/>
      <c r="AC1166" s="36"/>
    </row>
    <row r="1167" spans="1:29" ht="36" customHeight="1">
      <c r="A1167" s="100"/>
      <c r="B1167" s="100"/>
      <c r="C1167" s="100"/>
      <c r="D1167" s="81"/>
      <c r="E1167" s="80"/>
      <c r="F1167" s="80"/>
      <c r="G1167" s="80"/>
      <c r="H1167" s="94"/>
      <c r="I1167" s="81"/>
      <c r="J1167" s="35"/>
      <c r="K1167" s="36"/>
      <c r="L1167" s="36"/>
      <c r="M1167" s="36"/>
      <c r="N1167" s="36"/>
      <c r="O1167" s="36"/>
      <c r="P1167" s="36"/>
      <c r="Q1167" s="36"/>
      <c r="R1167" s="36"/>
      <c r="S1167" s="36"/>
      <c r="T1167" s="36"/>
      <c r="U1167" s="36"/>
      <c r="V1167" s="36"/>
      <c r="W1167" s="36"/>
      <c r="X1167" s="36"/>
      <c r="Y1167" s="36"/>
      <c r="Z1167" s="36"/>
      <c r="AA1167" s="36"/>
      <c r="AB1167" s="36"/>
      <c r="AC1167" s="36"/>
    </row>
    <row r="1168" spans="1:29" ht="36" customHeight="1">
      <c r="A1168" s="100"/>
      <c r="B1168" s="100"/>
      <c r="C1168" s="100"/>
      <c r="D1168" s="81"/>
      <c r="E1168" s="80"/>
      <c r="F1168" s="80"/>
      <c r="G1168" s="80"/>
      <c r="H1168" s="94"/>
      <c r="I1168" s="81"/>
      <c r="J1168" s="35"/>
      <c r="K1168" s="36"/>
      <c r="L1168" s="36"/>
      <c r="M1168" s="36"/>
      <c r="N1168" s="36"/>
      <c r="O1168" s="36"/>
      <c r="P1168" s="36"/>
      <c r="Q1168" s="36"/>
      <c r="R1168" s="36"/>
      <c r="S1168" s="36"/>
      <c r="T1168" s="36"/>
      <c r="U1168" s="36"/>
      <c r="V1168" s="36"/>
      <c r="W1168" s="36"/>
      <c r="X1168" s="36"/>
      <c r="Y1168" s="36"/>
      <c r="Z1168" s="36"/>
      <c r="AA1168" s="36"/>
      <c r="AB1168" s="36"/>
      <c r="AC1168" s="36"/>
    </row>
    <row r="1169" spans="1:29" ht="36" customHeight="1">
      <c r="A1169" s="100"/>
      <c r="B1169" s="463"/>
      <c r="C1169" s="100"/>
      <c r="D1169" s="81"/>
      <c r="E1169" s="80"/>
      <c r="F1169" s="80"/>
      <c r="G1169" s="80"/>
      <c r="H1169" s="94"/>
      <c r="I1169" s="81"/>
      <c r="J1169" s="35"/>
      <c r="K1169" s="36"/>
      <c r="L1169" s="36"/>
      <c r="M1169" s="36"/>
      <c r="N1169" s="36"/>
      <c r="O1169" s="36"/>
      <c r="P1169" s="36"/>
      <c r="Q1169" s="36"/>
      <c r="R1169" s="36"/>
      <c r="S1169" s="36"/>
      <c r="T1169" s="36"/>
      <c r="U1169" s="36"/>
      <c r="V1169" s="36"/>
      <c r="W1169" s="36"/>
      <c r="X1169" s="36"/>
      <c r="Y1169" s="36"/>
      <c r="Z1169" s="36"/>
      <c r="AA1169" s="36"/>
      <c r="AB1169" s="36"/>
      <c r="AC1169" s="36"/>
    </row>
    <row r="1170" spans="1:29" ht="24" customHeight="1">
      <c r="A1170" s="100"/>
      <c r="B1170" s="100"/>
      <c r="C1170" s="100"/>
      <c r="D1170" s="81"/>
      <c r="E1170" s="80"/>
      <c r="F1170" s="80"/>
      <c r="G1170" s="80"/>
      <c r="H1170" s="94"/>
      <c r="I1170" s="81"/>
      <c r="J1170" s="35"/>
      <c r="K1170" s="36"/>
      <c r="L1170" s="36"/>
      <c r="M1170" s="36"/>
      <c r="N1170" s="36"/>
      <c r="O1170" s="36"/>
      <c r="P1170" s="36"/>
      <c r="Q1170" s="36"/>
      <c r="R1170" s="36"/>
      <c r="S1170" s="36"/>
      <c r="T1170" s="36"/>
      <c r="U1170" s="36"/>
      <c r="V1170" s="36"/>
      <c r="W1170" s="36"/>
      <c r="X1170" s="36"/>
      <c r="Y1170" s="36"/>
      <c r="Z1170" s="36"/>
      <c r="AA1170" s="36"/>
      <c r="AB1170" s="36"/>
      <c r="AC1170" s="36"/>
    </row>
    <row r="1171" spans="1:29" ht="36" customHeight="1">
      <c r="A1171" s="100"/>
      <c r="B1171" s="100"/>
      <c r="C1171" s="100"/>
      <c r="D1171" s="81"/>
      <c r="E1171" s="80"/>
      <c r="F1171" s="80"/>
      <c r="G1171" s="80"/>
      <c r="H1171" s="94"/>
      <c r="I1171" s="81"/>
      <c r="J1171" s="35"/>
      <c r="K1171" s="36"/>
      <c r="L1171" s="36"/>
      <c r="M1171" s="36"/>
      <c r="N1171" s="36"/>
      <c r="O1171" s="36"/>
      <c r="P1171" s="36"/>
      <c r="Q1171" s="36"/>
      <c r="R1171" s="36"/>
      <c r="S1171" s="36"/>
      <c r="T1171" s="36"/>
      <c r="U1171" s="36"/>
      <c r="V1171" s="36"/>
      <c r="W1171" s="36"/>
      <c r="X1171" s="36"/>
      <c r="Y1171" s="36"/>
      <c r="Z1171" s="36"/>
      <c r="AA1171" s="36"/>
      <c r="AB1171" s="36"/>
      <c r="AC1171" s="36"/>
    </row>
    <row r="1172" spans="1:29" ht="24" customHeight="1">
      <c r="A1172" s="100"/>
      <c r="B1172" s="100"/>
      <c r="C1172" s="100"/>
      <c r="D1172" s="81"/>
      <c r="E1172" s="80"/>
      <c r="F1172" s="80"/>
      <c r="G1172" s="80"/>
      <c r="H1172" s="94"/>
      <c r="I1172" s="81"/>
      <c r="J1172" s="35"/>
      <c r="K1172" s="36"/>
      <c r="L1172" s="36"/>
      <c r="M1172" s="36"/>
      <c r="N1172" s="36"/>
      <c r="O1172" s="36"/>
      <c r="P1172" s="36"/>
      <c r="Q1172" s="36"/>
      <c r="R1172" s="36"/>
      <c r="S1172" s="36"/>
      <c r="T1172" s="36"/>
      <c r="U1172" s="36"/>
      <c r="V1172" s="36"/>
      <c r="W1172" s="36"/>
      <c r="X1172" s="36"/>
      <c r="Y1172" s="36"/>
      <c r="Z1172" s="36"/>
      <c r="AA1172" s="36"/>
      <c r="AB1172" s="36"/>
      <c r="AC1172" s="36"/>
    </row>
    <row r="1173" spans="1:29" ht="24" customHeight="1">
      <c r="A1173" s="100"/>
      <c r="B1173" s="100"/>
      <c r="C1173" s="100"/>
      <c r="D1173" s="81"/>
      <c r="E1173" s="80"/>
      <c r="F1173" s="80"/>
      <c r="G1173" s="80"/>
      <c r="H1173" s="94"/>
      <c r="I1173" s="81"/>
      <c r="J1173" s="35"/>
      <c r="K1173" s="36"/>
      <c r="L1173" s="36"/>
      <c r="M1173" s="36"/>
      <c r="N1173" s="36"/>
      <c r="O1173" s="36"/>
      <c r="P1173" s="36"/>
      <c r="Q1173" s="36"/>
      <c r="R1173" s="36"/>
      <c r="S1173" s="36"/>
      <c r="T1173" s="36"/>
      <c r="U1173" s="36"/>
      <c r="V1173" s="36"/>
      <c r="W1173" s="36"/>
      <c r="X1173" s="36"/>
      <c r="Y1173" s="36"/>
      <c r="Z1173" s="36"/>
      <c r="AA1173" s="36"/>
      <c r="AB1173" s="36"/>
      <c r="AC1173" s="36"/>
    </row>
    <row r="1174" spans="1:29" ht="24" customHeight="1">
      <c r="A1174" s="100"/>
      <c r="B1174" s="463"/>
      <c r="C1174" s="100"/>
      <c r="D1174" s="81"/>
      <c r="E1174" s="80"/>
      <c r="F1174" s="80"/>
      <c r="G1174" s="80"/>
      <c r="H1174" s="94"/>
      <c r="I1174" s="81"/>
      <c r="J1174" s="35"/>
      <c r="K1174" s="36"/>
      <c r="L1174" s="36"/>
      <c r="M1174" s="36"/>
      <c r="N1174" s="36"/>
      <c r="O1174" s="36"/>
      <c r="P1174" s="36"/>
      <c r="Q1174" s="36"/>
      <c r="R1174" s="36"/>
      <c r="S1174" s="36"/>
      <c r="T1174" s="36"/>
      <c r="U1174" s="36"/>
      <c r="V1174" s="36"/>
      <c r="W1174" s="36"/>
      <c r="X1174" s="36"/>
      <c r="Y1174" s="36"/>
      <c r="Z1174" s="36"/>
      <c r="AA1174" s="36"/>
      <c r="AB1174" s="36"/>
      <c r="AC1174" s="36"/>
    </row>
    <row r="1175" spans="1:29" ht="24" customHeight="1">
      <c r="A1175" s="100"/>
      <c r="B1175" s="100"/>
      <c r="C1175" s="100"/>
      <c r="D1175" s="81"/>
      <c r="E1175" s="80"/>
      <c r="F1175" s="80"/>
      <c r="G1175" s="80"/>
      <c r="H1175" s="94"/>
      <c r="I1175" s="81"/>
      <c r="J1175" s="35"/>
      <c r="K1175" s="36"/>
      <c r="L1175" s="36"/>
      <c r="M1175" s="36"/>
      <c r="N1175" s="36"/>
      <c r="O1175" s="36"/>
      <c r="P1175" s="36"/>
      <c r="Q1175" s="36"/>
      <c r="R1175" s="36"/>
      <c r="S1175" s="36"/>
      <c r="T1175" s="36"/>
      <c r="U1175" s="36"/>
      <c r="V1175" s="36"/>
      <c r="W1175" s="36"/>
      <c r="X1175" s="36"/>
      <c r="Y1175" s="36"/>
      <c r="Z1175" s="36"/>
      <c r="AA1175" s="36"/>
      <c r="AB1175" s="36"/>
      <c r="AC1175" s="36"/>
    </row>
    <row r="1176" spans="1:29" ht="24" customHeight="1">
      <c r="A1176" s="100"/>
      <c r="B1176" s="100"/>
      <c r="C1176" s="100"/>
      <c r="D1176" s="81"/>
      <c r="E1176" s="80"/>
      <c r="F1176" s="80"/>
      <c r="G1176" s="80"/>
      <c r="H1176" s="94"/>
      <c r="I1176" s="81"/>
      <c r="J1176" s="35"/>
      <c r="K1176" s="36"/>
      <c r="L1176" s="36"/>
      <c r="M1176" s="36"/>
      <c r="N1176" s="36"/>
      <c r="O1176" s="36"/>
      <c r="P1176" s="36"/>
      <c r="Q1176" s="36"/>
      <c r="R1176" s="36"/>
      <c r="S1176" s="36"/>
      <c r="T1176" s="36"/>
      <c r="U1176" s="36"/>
      <c r="V1176" s="36"/>
      <c r="W1176" s="36"/>
      <c r="X1176" s="36"/>
      <c r="Y1176" s="36"/>
      <c r="Z1176" s="36"/>
      <c r="AA1176" s="36"/>
      <c r="AB1176" s="36"/>
      <c r="AC1176" s="36"/>
    </row>
    <row r="1177" spans="1:29" ht="24" customHeight="1">
      <c r="A1177" s="100"/>
      <c r="B1177" s="100"/>
      <c r="C1177" s="100"/>
      <c r="D1177" s="81"/>
      <c r="E1177" s="80"/>
      <c r="F1177" s="80"/>
      <c r="G1177" s="80"/>
      <c r="H1177" s="94"/>
      <c r="I1177" s="81"/>
      <c r="J1177" s="35"/>
      <c r="K1177" s="36"/>
      <c r="L1177" s="36"/>
      <c r="M1177" s="36"/>
      <c r="N1177" s="36"/>
      <c r="O1177" s="36"/>
      <c r="P1177" s="36"/>
      <c r="Q1177" s="36"/>
      <c r="R1177" s="36"/>
      <c r="S1177" s="36"/>
      <c r="T1177" s="36"/>
      <c r="U1177" s="36"/>
      <c r="V1177" s="36"/>
      <c r="W1177" s="36"/>
      <c r="X1177" s="36"/>
      <c r="Y1177" s="36"/>
      <c r="Z1177" s="36"/>
      <c r="AA1177" s="36"/>
      <c r="AB1177" s="36"/>
      <c r="AC1177" s="36"/>
    </row>
    <row r="1178" spans="1:29" ht="36" customHeight="1">
      <c r="A1178" s="100"/>
      <c r="B1178" s="100"/>
      <c r="C1178" s="100"/>
      <c r="D1178" s="81"/>
      <c r="E1178" s="80"/>
      <c r="F1178" s="80"/>
      <c r="G1178" s="80"/>
      <c r="H1178" s="94"/>
      <c r="I1178" s="81"/>
      <c r="J1178" s="35"/>
      <c r="K1178" s="36"/>
      <c r="L1178" s="36"/>
      <c r="M1178" s="36"/>
      <c r="N1178" s="36"/>
      <c r="O1178" s="36"/>
      <c r="P1178" s="36"/>
      <c r="Q1178" s="36"/>
      <c r="R1178" s="36"/>
      <c r="S1178" s="36"/>
      <c r="T1178" s="36"/>
      <c r="U1178" s="36"/>
      <c r="V1178" s="36"/>
      <c r="W1178" s="36"/>
      <c r="X1178" s="36"/>
      <c r="Y1178" s="36"/>
      <c r="Z1178" s="36"/>
      <c r="AA1178" s="36"/>
      <c r="AB1178" s="36"/>
      <c r="AC1178" s="36"/>
    </row>
    <row r="1179" spans="1:29" ht="24" customHeight="1">
      <c r="A1179" s="100"/>
      <c r="B1179" s="463"/>
      <c r="C1179" s="100"/>
      <c r="D1179" s="81"/>
      <c r="E1179" s="80"/>
      <c r="F1179" s="80"/>
      <c r="G1179" s="80"/>
      <c r="H1179" s="94"/>
      <c r="I1179" s="81"/>
      <c r="J1179" s="35"/>
      <c r="K1179" s="36"/>
      <c r="L1179" s="36"/>
      <c r="M1179" s="36"/>
      <c r="N1179" s="36"/>
      <c r="O1179" s="36"/>
      <c r="P1179" s="36"/>
      <c r="Q1179" s="36"/>
      <c r="R1179" s="36"/>
      <c r="S1179" s="36"/>
      <c r="T1179" s="36"/>
      <c r="U1179" s="36"/>
      <c r="V1179" s="36"/>
      <c r="W1179" s="36"/>
      <c r="X1179" s="36"/>
      <c r="Y1179" s="36"/>
      <c r="Z1179" s="36"/>
      <c r="AA1179" s="36"/>
      <c r="AB1179" s="36"/>
      <c r="AC1179" s="36"/>
    </row>
    <row r="1180" spans="1:29" ht="24" customHeight="1">
      <c r="A1180" s="100"/>
      <c r="B1180" s="100"/>
      <c r="C1180" s="100"/>
      <c r="D1180" s="81"/>
      <c r="E1180" s="80"/>
      <c r="F1180" s="80"/>
      <c r="G1180" s="80"/>
      <c r="H1180" s="94"/>
      <c r="I1180" s="81"/>
      <c r="J1180" s="35"/>
      <c r="K1180" s="36"/>
      <c r="L1180" s="36"/>
      <c r="M1180" s="36"/>
      <c r="N1180" s="36"/>
      <c r="O1180" s="36"/>
      <c r="P1180" s="36"/>
      <c r="Q1180" s="36"/>
      <c r="R1180" s="36"/>
      <c r="S1180" s="36"/>
      <c r="T1180" s="36"/>
      <c r="U1180" s="36"/>
      <c r="V1180" s="36"/>
      <c r="W1180" s="36"/>
      <c r="X1180" s="36"/>
      <c r="Y1180" s="36"/>
      <c r="Z1180" s="36"/>
      <c r="AA1180" s="36"/>
      <c r="AB1180" s="36"/>
      <c r="AC1180" s="36"/>
    </row>
    <row r="1181" spans="1:29" ht="24" customHeight="1">
      <c r="A1181" s="100"/>
      <c r="B1181" s="100"/>
      <c r="C1181" s="100"/>
      <c r="D1181" s="81"/>
      <c r="E1181" s="80"/>
      <c r="F1181" s="80"/>
      <c r="G1181" s="80"/>
      <c r="H1181" s="94"/>
      <c r="I1181" s="81"/>
      <c r="J1181" s="35"/>
      <c r="K1181" s="36"/>
      <c r="L1181" s="36"/>
      <c r="M1181" s="36"/>
      <c r="N1181" s="36"/>
      <c r="O1181" s="36"/>
      <c r="P1181" s="36"/>
      <c r="Q1181" s="36"/>
      <c r="R1181" s="36"/>
      <c r="S1181" s="36"/>
      <c r="T1181" s="36"/>
      <c r="U1181" s="36"/>
      <c r="V1181" s="36"/>
      <c r="W1181" s="36"/>
      <c r="X1181" s="36"/>
      <c r="Y1181" s="36"/>
      <c r="Z1181" s="36"/>
      <c r="AA1181" s="36"/>
      <c r="AB1181" s="36"/>
      <c r="AC1181" s="36"/>
    </row>
    <row r="1182" spans="1:29" ht="48" customHeight="1">
      <c r="A1182" s="100"/>
      <c r="B1182" s="463"/>
      <c r="C1182" s="100"/>
      <c r="D1182" s="81"/>
      <c r="E1182" s="80"/>
      <c r="F1182" s="80"/>
      <c r="G1182" s="80"/>
      <c r="H1182" s="94"/>
      <c r="I1182" s="81"/>
      <c r="J1182" s="35"/>
      <c r="K1182" s="36"/>
      <c r="L1182" s="36"/>
      <c r="M1182" s="36"/>
      <c r="N1182" s="36"/>
      <c r="O1182" s="36"/>
      <c r="P1182" s="36"/>
      <c r="Q1182" s="36"/>
      <c r="R1182" s="36"/>
      <c r="S1182" s="36"/>
      <c r="T1182" s="36"/>
      <c r="U1182" s="36"/>
      <c r="V1182" s="36"/>
      <c r="W1182" s="36"/>
      <c r="X1182" s="36"/>
      <c r="Y1182" s="36"/>
      <c r="Z1182" s="36"/>
      <c r="AA1182" s="36"/>
      <c r="AB1182" s="36"/>
      <c r="AC1182" s="36"/>
    </row>
    <row r="1183" spans="1:29" ht="36" customHeight="1">
      <c r="A1183" s="100"/>
      <c r="B1183" s="100"/>
      <c r="C1183" s="100"/>
      <c r="D1183" s="81"/>
      <c r="E1183" s="80"/>
      <c r="F1183" s="80"/>
      <c r="G1183" s="80"/>
      <c r="H1183" s="94"/>
      <c r="I1183" s="81"/>
      <c r="J1183" s="35"/>
      <c r="K1183" s="36"/>
      <c r="L1183" s="36"/>
      <c r="M1183" s="36"/>
      <c r="N1183" s="36"/>
      <c r="O1183" s="36"/>
      <c r="P1183" s="36"/>
      <c r="Q1183" s="36"/>
      <c r="R1183" s="36"/>
      <c r="S1183" s="36"/>
      <c r="T1183" s="36"/>
      <c r="U1183" s="36"/>
      <c r="V1183" s="36"/>
      <c r="W1183" s="36"/>
      <c r="X1183" s="36"/>
      <c r="Y1183" s="36"/>
      <c r="Z1183" s="36"/>
      <c r="AA1183" s="36"/>
      <c r="AB1183" s="36"/>
      <c r="AC1183" s="36"/>
    </row>
    <row r="1184" spans="1:29" ht="36" customHeight="1">
      <c r="A1184" s="100"/>
      <c r="B1184" s="463"/>
      <c r="C1184" s="100"/>
      <c r="D1184" s="81"/>
      <c r="E1184" s="80"/>
      <c r="F1184" s="80"/>
      <c r="G1184" s="80"/>
      <c r="H1184" s="94"/>
      <c r="I1184" s="81"/>
      <c r="J1184" s="35"/>
      <c r="K1184" s="36"/>
      <c r="L1184" s="36"/>
      <c r="M1184" s="36"/>
      <c r="N1184" s="36"/>
      <c r="O1184" s="36"/>
      <c r="P1184" s="36"/>
      <c r="Q1184" s="36"/>
      <c r="R1184" s="36"/>
      <c r="S1184" s="36"/>
      <c r="T1184" s="36"/>
      <c r="U1184" s="36"/>
      <c r="V1184" s="36"/>
      <c r="W1184" s="36"/>
      <c r="X1184" s="36"/>
      <c r="Y1184" s="36"/>
      <c r="Z1184" s="36"/>
      <c r="AA1184" s="36"/>
      <c r="AB1184" s="36"/>
      <c r="AC1184" s="36"/>
    </row>
    <row r="1185" spans="1:29" ht="24" customHeight="1">
      <c r="A1185" s="100"/>
      <c r="B1185" s="100"/>
      <c r="C1185" s="100"/>
      <c r="D1185" s="81"/>
      <c r="E1185" s="80"/>
      <c r="F1185" s="80"/>
      <c r="G1185" s="80"/>
      <c r="H1185" s="94"/>
      <c r="I1185" s="81"/>
      <c r="J1185" s="35"/>
      <c r="K1185" s="36"/>
      <c r="L1185" s="36"/>
      <c r="M1185" s="36"/>
      <c r="N1185" s="36"/>
      <c r="O1185" s="36"/>
      <c r="P1185" s="36"/>
      <c r="Q1185" s="36"/>
      <c r="R1185" s="36"/>
      <c r="S1185" s="36"/>
      <c r="T1185" s="36"/>
      <c r="U1185" s="36"/>
      <c r="V1185" s="36"/>
      <c r="W1185" s="36"/>
      <c r="X1185" s="36"/>
      <c r="Y1185" s="36"/>
      <c r="Z1185" s="36"/>
      <c r="AA1185" s="36"/>
      <c r="AB1185" s="36"/>
      <c r="AC1185" s="36"/>
    </row>
    <row r="1186" spans="1:29" ht="72" customHeight="1">
      <c r="A1186" s="100"/>
      <c r="B1186" s="463"/>
      <c r="C1186" s="100"/>
      <c r="D1186" s="81"/>
      <c r="E1186" s="80"/>
      <c r="F1186" s="80"/>
      <c r="G1186" s="80"/>
      <c r="H1186" s="94"/>
      <c r="I1186" s="81"/>
      <c r="J1186" s="35"/>
      <c r="K1186" s="36"/>
      <c r="L1186" s="36"/>
      <c r="M1186" s="36"/>
      <c r="N1186" s="36"/>
      <c r="O1186" s="36"/>
      <c r="P1186" s="36"/>
      <c r="Q1186" s="36"/>
      <c r="R1186" s="36"/>
      <c r="S1186" s="36"/>
      <c r="T1186" s="36"/>
      <c r="U1186" s="36"/>
      <c r="V1186" s="36"/>
      <c r="W1186" s="36"/>
      <c r="X1186" s="36"/>
      <c r="Y1186" s="36"/>
      <c r="Z1186" s="36"/>
      <c r="AA1186" s="36"/>
      <c r="AB1186" s="36"/>
      <c r="AC1186" s="36"/>
    </row>
    <row r="1187" spans="1:29" ht="72" customHeight="1">
      <c r="A1187" s="619"/>
      <c r="B1187" s="100"/>
      <c r="C1187" s="100"/>
      <c r="D1187" s="81"/>
      <c r="E1187" s="80"/>
      <c r="F1187" s="80"/>
      <c r="G1187" s="80"/>
      <c r="H1187" s="94"/>
      <c r="I1187" s="81"/>
      <c r="J1187" s="35"/>
      <c r="K1187" s="36"/>
      <c r="L1187" s="36"/>
      <c r="M1187" s="36"/>
      <c r="N1187" s="36"/>
      <c r="O1187" s="36"/>
      <c r="P1187" s="36"/>
      <c r="Q1187" s="36"/>
      <c r="R1187" s="36"/>
      <c r="S1187" s="36"/>
      <c r="T1187" s="36"/>
      <c r="U1187" s="36"/>
      <c r="V1187" s="36"/>
      <c r="W1187" s="36"/>
      <c r="X1187" s="36"/>
      <c r="Y1187" s="36"/>
      <c r="Z1187" s="36"/>
      <c r="AA1187" s="36"/>
      <c r="AB1187" s="36"/>
      <c r="AC1187" s="36"/>
    </row>
    <row r="1188" spans="1:29" ht="36" customHeight="1">
      <c r="A1188" s="619"/>
      <c r="B1188" s="100"/>
      <c r="C1188" s="100"/>
      <c r="D1188" s="81"/>
      <c r="E1188" s="80"/>
      <c r="F1188" s="80"/>
      <c r="G1188" s="80"/>
      <c r="H1188" s="94"/>
      <c r="I1188" s="81"/>
      <c r="J1188" s="35"/>
      <c r="K1188" s="36"/>
      <c r="L1188" s="36"/>
      <c r="M1188" s="36"/>
      <c r="N1188" s="36"/>
      <c r="O1188" s="36"/>
      <c r="P1188" s="36"/>
      <c r="Q1188" s="36"/>
      <c r="R1188" s="36"/>
      <c r="S1188" s="36"/>
      <c r="T1188" s="36"/>
      <c r="U1188" s="36"/>
      <c r="V1188" s="36"/>
      <c r="W1188" s="36"/>
      <c r="X1188" s="36"/>
      <c r="Y1188" s="36"/>
      <c r="Z1188" s="36"/>
      <c r="AA1188" s="36"/>
      <c r="AB1188" s="36"/>
      <c r="AC1188" s="36"/>
    </row>
    <row r="1189" spans="1:29" ht="24" customHeight="1">
      <c r="A1189" s="619"/>
      <c r="B1189" s="100"/>
      <c r="C1189" s="100"/>
      <c r="D1189" s="81"/>
      <c r="E1189" s="80"/>
      <c r="F1189" s="80"/>
      <c r="G1189" s="80"/>
      <c r="H1189" s="94"/>
      <c r="I1189" s="81"/>
      <c r="J1189" s="35"/>
      <c r="K1189" s="36"/>
      <c r="L1189" s="36"/>
      <c r="M1189" s="36"/>
      <c r="N1189" s="36"/>
      <c r="O1189" s="36"/>
      <c r="P1189" s="36"/>
      <c r="Q1189" s="36"/>
      <c r="R1189" s="36"/>
      <c r="S1189" s="36"/>
      <c r="T1189" s="36"/>
      <c r="U1189" s="36"/>
      <c r="V1189" s="36"/>
      <c r="W1189" s="36"/>
      <c r="X1189" s="36"/>
      <c r="Y1189" s="36"/>
      <c r="Z1189" s="36"/>
      <c r="AA1189" s="36"/>
      <c r="AB1189" s="36"/>
      <c r="AC1189" s="36"/>
    </row>
    <row r="1190" spans="1:29" ht="36" customHeight="1">
      <c r="A1190" s="619"/>
      <c r="B1190" s="100"/>
      <c r="C1190" s="100"/>
      <c r="D1190" s="81"/>
      <c r="E1190" s="80"/>
      <c r="F1190" s="80"/>
      <c r="G1190" s="80"/>
      <c r="H1190" s="94"/>
      <c r="I1190" s="81"/>
      <c r="J1190" s="35"/>
      <c r="K1190" s="36"/>
      <c r="L1190" s="36"/>
      <c r="M1190" s="36"/>
      <c r="N1190" s="36"/>
      <c r="O1190" s="36"/>
      <c r="P1190" s="36"/>
      <c r="Q1190" s="36"/>
      <c r="R1190" s="36"/>
      <c r="S1190" s="36"/>
      <c r="T1190" s="36"/>
      <c r="U1190" s="36"/>
      <c r="V1190" s="36"/>
      <c r="W1190" s="36"/>
      <c r="X1190" s="36"/>
      <c r="Y1190" s="36"/>
      <c r="Z1190" s="36"/>
      <c r="AA1190" s="36"/>
      <c r="AB1190" s="36"/>
      <c r="AC1190" s="36"/>
    </row>
    <row r="1191" spans="1:29" ht="24" customHeight="1">
      <c r="A1191" s="100"/>
      <c r="B1191" s="100"/>
      <c r="C1191" s="100"/>
      <c r="D1191" s="81"/>
      <c r="E1191" s="80"/>
      <c r="F1191" s="80"/>
      <c r="G1191" s="80"/>
      <c r="H1191" s="94"/>
      <c r="I1191" s="81"/>
      <c r="J1191" s="35"/>
      <c r="K1191" s="36"/>
      <c r="L1191" s="36"/>
      <c r="M1191" s="36"/>
      <c r="N1191" s="36"/>
      <c r="O1191" s="36"/>
      <c r="P1191" s="36"/>
      <c r="Q1191" s="36"/>
      <c r="R1191" s="36"/>
      <c r="S1191" s="36"/>
      <c r="T1191" s="36"/>
      <c r="U1191" s="36"/>
      <c r="V1191" s="36"/>
      <c r="W1191" s="36"/>
      <c r="X1191" s="36"/>
      <c r="Y1191" s="36"/>
      <c r="Z1191" s="36"/>
      <c r="AA1191" s="36"/>
      <c r="AB1191" s="36"/>
      <c r="AC1191" s="36"/>
    </row>
    <row r="1192" spans="1:29" ht="60" customHeight="1">
      <c r="A1192" s="100"/>
      <c r="B1192" s="100"/>
      <c r="C1192" s="100"/>
      <c r="D1192" s="81"/>
      <c r="E1192" s="80"/>
      <c r="F1192" s="80"/>
      <c r="G1192" s="80"/>
      <c r="H1192" s="94"/>
      <c r="I1192" s="81"/>
      <c r="J1192" s="35"/>
      <c r="K1192" s="36"/>
      <c r="L1192" s="36"/>
      <c r="M1192" s="36"/>
      <c r="N1192" s="36"/>
      <c r="O1192" s="36"/>
      <c r="P1192" s="36"/>
      <c r="Q1192" s="36"/>
      <c r="R1192" s="36"/>
      <c r="S1192" s="36"/>
      <c r="T1192" s="36"/>
      <c r="U1192" s="36"/>
      <c r="V1192" s="36"/>
      <c r="W1192" s="36"/>
      <c r="X1192" s="36"/>
      <c r="Y1192" s="36"/>
      <c r="Z1192" s="36"/>
      <c r="AA1192" s="36"/>
      <c r="AB1192" s="36"/>
      <c r="AC1192" s="36"/>
    </row>
    <row r="1193" spans="1:29" ht="36" customHeight="1">
      <c r="A1193" s="100"/>
      <c r="B1193" s="100"/>
      <c r="C1193" s="100"/>
      <c r="D1193" s="81"/>
      <c r="E1193" s="80"/>
      <c r="F1193" s="80"/>
      <c r="G1193" s="80"/>
      <c r="H1193" s="94"/>
      <c r="I1193" s="81"/>
      <c r="J1193" s="35"/>
      <c r="K1193" s="36"/>
      <c r="L1193" s="36"/>
      <c r="M1193" s="36"/>
      <c r="N1193" s="36"/>
      <c r="O1193" s="36"/>
      <c r="P1193" s="36"/>
      <c r="Q1193" s="36"/>
      <c r="R1193" s="36"/>
      <c r="S1193" s="36"/>
      <c r="T1193" s="36"/>
      <c r="U1193" s="36"/>
      <c r="V1193" s="36"/>
      <c r="W1193" s="36"/>
      <c r="X1193" s="36"/>
      <c r="Y1193" s="36"/>
      <c r="Z1193" s="36"/>
      <c r="AA1193" s="36"/>
      <c r="AB1193" s="36"/>
      <c r="AC1193" s="36"/>
    </row>
    <row r="1194" spans="1:29" ht="24" customHeight="1">
      <c r="A1194" s="100"/>
      <c r="B1194" s="100"/>
      <c r="C1194" s="100"/>
      <c r="D1194" s="81"/>
      <c r="E1194" s="80"/>
      <c r="F1194" s="80"/>
      <c r="G1194" s="80"/>
      <c r="H1194" s="94"/>
      <c r="I1194" s="81"/>
      <c r="J1194" s="35"/>
      <c r="K1194" s="36"/>
      <c r="L1194" s="36"/>
      <c r="M1194" s="36"/>
      <c r="N1194" s="36"/>
      <c r="O1194" s="36"/>
      <c r="P1194" s="36"/>
      <c r="Q1194" s="36"/>
      <c r="R1194" s="36"/>
      <c r="S1194" s="36"/>
      <c r="T1194" s="36"/>
      <c r="U1194" s="36"/>
      <c r="V1194" s="36"/>
      <c r="W1194" s="36"/>
      <c r="X1194" s="36"/>
      <c r="Y1194" s="36"/>
      <c r="Z1194" s="36"/>
      <c r="AA1194" s="36"/>
      <c r="AB1194" s="36"/>
      <c r="AC1194" s="36"/>
    </row>
    <row r="1195" spans="1:29" ht="36" customHeight="1">
      <c r="A1195" s="100"/>
      <c r="B1195" s="463"/>
      <c r="C1195" s="100"/>
      <c r="D1195" s="81"/>
      <c r="E1195" s="80"/>
      <c r="F1195" s="80"/>
      <c r="G1195" s="80"/>
      <c r="H1195" s="94"/>
      <c r="I1195" s="81"/>
      <c r="J1195" s="35"/>
      <c r="K1195" s="36"/>
      <c r="L1195" s="36"/>
      <c r="M1195" s="36"/>
      <c r="N1195" s="36"/>
      <c r="O1195" s="36"/>
      <c r="P1195" s="36"/>
      <c r="Q1195" s="36"/>
      <c r="R1195" s="36"/>
      <c r="S1195" s="36"/>
      <c r="T1195" s="36"/>
      <c r="U1195" s="36"/>
      <c r="V1195" s="36"/>
      <c r="W1195" s="36"/>
      <c r="X1195" s="36"/>
      <c r="Y1195" s="36"/>
      <c r="Z1195" s="36"/>
      <c r="AA1195" s="36"/>
      <c r="AB1195" s="36"/>
      <c r="AC1195" s="36"/>
    </row>
    <row r="1196" spans="1:29" ht="36" customHeight="1">
      <c r="A1196" s="100"/>
      <c r="B1196" s="100"/>
      <c r="C1196" s="100"/>
      <c r="D1196" s="81"/>
      <c r="E1196" s="80"/>
      <c r="F1196" s="80"/>
      <c r="G1196" s="80"/>
      <c r="H1196" s="94"/>
      <c r="I1196" s="81"/>
      <c r="J1196" s="35"/>
      <c r="K1196" s="36"/>
      <c r="L1196" s="36"/>
      <c r="M1196" s="36"/>
      <c r="N1196" s="36"/>
      <c r="O1196" s="36"/>
      <c r="P1196" s="36"/>
      <c r="Q1196" s="36"/>
      <c r="R1196" s="36"/>
      <c r="S1196" s="36"/>
      <c r="T1196" s="36"/>
      <c r="U1196" s="36"/>
      <c r="V1196" s="36"/>
      <c r="W1196" s="36"/>
      <c r="X1196" s="36"/>
      <c r="Y1196" s="36"/>
      <c r="Z1196" s="36"/>
      <c r="AA1196" s="36"/>
      <c r="AB1196" s="36"/>
      <c r="AC1196" s="36"/>
    </row>
    <row r="1197" spans="1:29" ht="60" customHeight="1">
      <c r="A1197" s="100"/>
      <c r="B1197" s="100"/>
      <c r="C1197" s="100"/>
      <c r="D1197" s="81"/>
      <c r="E1197" s="80"/>
      <c r="F1197" s="80"/>
      <c r="G1197" s="80"/>
      <c r="H1197" s="94"/>
      <c r="I1197" s="81"/>
      <c r="J1197" s="35"/>
      <c r="K1197" s="36"/>
      <c r="L1197" s="36"/>
      <c r="M1197" s="36"/>
      <c r="N1197" s="36"/>
      <c r="O1197" s="36"/>
      <c r="P1197" s="36"/>
      <c r="Q1197" s="36"/>
      <c r="R1197" s="36"/>
      <c r="S1197" s="36"/>
      <c r="T1197" s="36"/>
      <c r="U1197" s="36"/>
      <c r="V1197" s="36"/>
      <c r="W1197" s="36"/>
      <c r="X1197" s="36"/>
      <c r="Y1197" s="36"/>
      <c r="Z1197" s="36"/>
      <c r="AA1197" s="36"/>
      <c r="AB1197" s="36"/>
      <c r="AC1197" s="36"/>
    </row>
    <row r="1198" spans="1:29" ht="24" customHeight="1">
      <c r="A1198" s="100"/>
      <c r="B1198" s="100"/>
      <c r="C1198" s="100"/>
      <c r="D1198" s="81"/>
      <c r="E1198" s="80"/>
      <c r="F1198" s="80"/>
      <c r="G1198" s="80"/>
      <c r="H1198" s="94"/>
      <c r="I1198" s="81"/>
      <c r="J1198" s="35"/>
      <c r="K1198" s="36"/>
      <c r="L1198" s="36"/>
      <c r="M1198" s="36"/>
      <c r="N1198" s="36"/>
      <c r="O1198" s="36"/>
      <c r="P1198" s="36"/>
      <c r="Q1198" s="36"/>
      <c r="R1198" s="36"/>
      <c r="S1198" s="36"/>
      <c r="T1198" s="36"/>
      <c r="U1198" s="36"/>
      <c r="V1198" s="36"/>
      <c r="W1198" s="36"/>
      <c r="X1198" s="36"/>
      <c r="Y1198" s="36"/>
      <c r="Z1198" s="36"/>
      <c r="AA1198" s="36"/>
      <c r="AB1198" s="36"/>
      <c r="AC1198" s="36"/>
    </row>
    <row r="1199" spans="1:29" ht="24" customHeight="1">
      <c r="A1199" s="100"/>
      <c r="B1199" s="100"/>
      <c r="C1199" s="100"/>
      <c r="D1199" s="81"/>
      <c r="E1199" s="80"/>
      <c r="F1199" s="80"/>
      <c r="G1199" s="80"/>
      <c r="H1199" s="94"/>
      <c r="I1199" s="81"/>
      <c r="J1199" s="35"/>
      <c r="K1199" s="36"/>
      <c r="L1199" s="36"/>
      <c r="M1199" s="36"/>
      <c r="N1199" s="36"/>
      <c r="O1199" s="36"/>
      <c r="P1199" s="36"/>
      <c r="Q1199" s="36"/>
      <c r="R1199" s="36"/>
      <c r="S1199" s="36"/>
      <c r="T1199" s="36"/>
      <c r="U1199" s="36"/>
      <c r="V1199" s="36"/>
      <c r="W1199" s="36"/>
      <c r="X1199" s="36"/>
      <c r="Y1199" s="36"/>
      <c r="Z1199" s="36"/>
      <c r="AA1199" s="36"/>
      <c r="AB1199" s="36"/>
      <c r="AC1199" s="36"/>
    </row>
    <row r="1200" spans="1:29" ht="24" customHeight="1">
      <c r="A1200" s="100"/>
      <c r="B1200" s="100"/>
      <c r="C1200" s="100"/>
      <c r="D1200" s="81"/>
      <c r="E1200" s="80"/>
      <c r="F1200" s="80"/>
      <c r="G1200" s="80"/>
      <c r="H1200" s="94"/>
      <c r="I1200" s="81"/>
      <c r="J1200" s="35"/>
      <c r="K1200" s="36"/>
      <c r="L1200" s="36"/>
      <c r="M1200" s="36"/>
      <c r="N1200" s="36"/>
      <c r="O1200" s="36"/>
      <c r="P1200" s="36"/>
      <c r="Q1200" s="36"/>
      <c r="R1200" s="36"/>
      <c r="S1200" s="36"/>
      <c r="T1200" s="36"/>
      <c r="U1200" s="36"/>
      <c r="V1200" s="36"/>
      <c r="W1200" s="36"/>
      <c r="X1200" s="36"/>
      <c r="Y1200" s="36"/>
      <c r="Z1200" s="36"/>
      <c r="AA1200" s="36"/>
      <c r="AB1200" s="36"/>
      <c r="AC1200" s="36"/>
    </row>
    <row r="1201" spans="1:29" ht="24" customHeight="1">
      <c r="A1201" s="100"/>
      <c r="B1201" s="463"/>
      <c r="C1201" s="100"/>
      <c r="D1201" s="81"/>
      <c r="E1201" s="80"/>
      <c r="F1201" s="80"/>
      <c r="G1201" s="80"/>
      <c r="H1201" s="94"/>
      <c r="I1201" s="81"/>
      <c r="J1201" s="35"/>
      <c r="K1201" s="36"/>
      <c r="L1201" s="36"/>
      <c r="M1201" s="36"/>
      <c r="N1201" s="36"/>
      <c r="O1201" s="36"/>
      <c r="P1201" s="36"/>
      <c r="Q1201" s="36"/>
      <c r="R1201" s="36"/>
      <c r="S1201" s="36"/>
      <c r="T1201" s="36"/>
      <c r="U1201" s="36"/>
      <c r="V1201" s="36"/>
      <c r="W1201" s="36"/>
      <c r="X1201" s="36"/>
      <c r="Y1201" s="36"/>
      <c r="Z1201" s="36"/>
      <c r="AA1201" s="36"/>
      <c r="AB1201" s="36"/>
      <c r="AC1201" s="36"/>
    </row>
    <row r="1202" spans="1:29" ht="24" customHeight="1">
      <c r="A1202" s="100"/>
      <c r="B1202" s="100"/>
      <c r="C1202" s="100"/>
      <c r="D1202" s="81"/>
      <c r="E1202" s="80"/>
      <c r="F1202" s="80"/>
      <c r="G1202" s="80"/>
      <c r="H1202" s="94"/>
      <c r="I1202" s="81"/>
      <c r="J1202" s="35"/>
      <c r="K1202" s="36"/>
      <c r="L1202" s="36"/>
      <c r="M1202" s="36"/>
      <c r="N1202" s="36"/>
      <c r="O1202" s="36"/>
      <c r="P1202" s="36"/>
      <c r="Q1202" s="36"/>
      <c r="R1202" s="36"/>
      <c r="S1202" s="36"/>
      <c r="T1202" s="36"/>
      <c r="U1202" s="36"/>
      <c r="V1202" s="36"/>
      <c r="W1202" s="36"/>
      <c r="X1202" s="36"/>
      <c r="Y1202" s="36"/>
      <c r="Z1202" s="36"/>
      <c r="AA1202" s="36"/>
      <c r="AB1202" s="36"/>
      <c r="AC1202" s="36"/>
    </row>
    <row r="1203" spans="1:29" ht="36" customHeight="1">
      <c r="A1203" s="100"/>
      <c r="B1203" s="100"/>
      <c r="C1203" s="100"/>
      <c r="D1203" s="81"/>
      <c r="E1203" s="80"/>
      <c r="F1203" s="80"/>
      <c r="G1203" s="80"/>
      <c r="H1203" s="94"/>
      <c r="I1203" s="81"/>
      <c r="J1203" s="35"/>
      <c r="K1203" s="36"/>
      <c r="L1203" s="36"/>
      <c r="M1203" s="36"/>
      <c r="N1203" s="36"/>
      <c r="O1203" s="36"/>
      <c r="P1203" s="36"/>
      <c r="Q1203" s="36"/>
      <c r="R1203" s="36"/>
      <c r="S1203" s="36"/>
      <c r="T1203" s="36"/>
      <c r="U1203" s="36"/>
      <c r="V1203" s="36"/>
      <c r="W1203" s="36"/>
      <c r="X1203" s="36"/>
      <c r="Y1203" s="36"/>
      <c r="Z1203" s="36"/>
      <c r="AA1203" s="36"/>
      <c r="AB1203" s="36"/>
      <c r="AC1203" s="36"/>
    </row>
    <row r="1204" spans="1:29" ht="24" customHeight="1">
      <c r="A1204" s="100"/>
      <c r="B1204" s="100"/>
      <c r="C1204" s="100"/>
      <c r="D1204" s="81"/>
      <c r="E1204" s="80"/>
      <c r="F1204" s="80"/>
      <c r="G1204" s="80"/>
      <c r="H1204" s="94"/>
      <c r="I1204" s="81"/>
      <c r="J1204" s="35"/>
      <c r="K1204" s="36"/>
      <c r="L1204" s="36"/>
      <c r="M1204" s="36"/>
      <c r="N1204" s="36"/>
      <c r="O1204" s="36"/>
      <c r="P1204" s="36"/>
      <c r="Q1204" s="36"/>
      <c r="R1204" s="36"/>
      <c r="S1204" s="36"/>
      <c r="T1204" s="36"/>
      <c r="U1204" s="36"/>
      <c r="V1204" s="36"/>
      <c r="W1204" s="36"/>
      <c r="X1204" s="36"/>
      <c r="Y1204" s="36"/>
      <c r="Z1204" s="36"/>
      <c r="AA1204" s="36"/>
      <c r="AB1204" s="36"/>
      <c r="AC1204" s="36"/>
    </row>
    <row r="1205" spans="1:29" ht="24" customHeight="1">
      <c r="A1205" s="100"/>
      <c r="B1205" s="100"/>
      <c r="C1205" s="100"/>
      <c r="D1205" s="81"/>
      <c r="E1205" s="80"/>
      <c r="F1205" s="80"/>
      <c r="G1205" s="80"/>
      <c r="H1205" s="94"/>
      <c r="I1205" s="81"/>
      <c r="J1205" s="35"/>
      <c r="K1205" s="36"/>
      <c r="L1205" s="36"/>
      <c r="M1205" s="36"/>
      <c r="N1205" s="36"/>
      <c r="O1205" s="36"/>
      <c r="P1205" s="36"/>
      <c r="Q1205" s="36"/>
      <c r="R1205" s="36"/>
      <c r="S1205" s="36"/>
      <c r="T1205" s="36"/>
      <c r="U1205" s="36"/>
      <c r="V1205" s="36"/>
      <c r="W1205" s="36"/>
      <c r="X1205" s="36"/>
      <c r="Y1205" s="36"/>
      <c r="Z1205" s="36"/>
      <c r="AA1205" s="36"/>
      <c r="AB1205" s="36"/>
      <c r="AC1205" s="36"/>
    </row>
    <row r="1206" spans="1:29" ht="24" customHeight="1">
      <c r="A1206" s="100"/>
      <c r="B1206" s="463"/>
      <c r="C1206" s="100"/>
      <c r="D1206" s="81"/>
      <c r="E1206" s="80"/>
      <c r="F1206" s="80"/>
      <c r="G1206" s="80"/>
      <c r="H1206" s="94"/>
      <c r="I1206" s="81"/>
      <c r="J1206" s="35"/>
      <c r="K1206" s="36"/>
      <c r="L1206" s="36"/>
      <c r="M1206" s="36"/>
      <c r="N1206" s="36"/>
      <c r="O1206" s="36"/>
      <c r="P1206" s="36"/>
      <c r="Q1206" s="36"/>
      <c r="R1206" s="36"/>
      <c r="S1206" s="36"/>
      <c r="T1206" s="36"/>
      <c r="U1206" s="36"/>
      <c r="V1206" s="36"/>
      <c r="W1206" s="36"/>
      <c r="X1206" s="36"/>
      <c r="Y1206" s="36"/>
      <c r="Z1206" s="36"/>
      <c r="AA1206" s="36"/>
      <c r="AB1206" s="36"/>
      <c r="AC1206" s="36"/>
    </row>
    <row r="1207" spans="1:29" ht="36" customHeight="1">
      <c r="A1207" s="100"/>
      <c r="B1207" s="463"/>
      <c r="C1207" s="100"/>
      <c r="D1207" s="81"/>
      <c r="E1207" s="80"/>
      <c r="F1207" s="80"/>
      <c r="G1207" s="80"/>
      <c r="H1207" s="94"/>
      <c r="I1207" s="81"/>
      <c r="J1207" s="35"/>
      <c r="K1207" s="36"/>
      <c r="L1207" s="36"/>
      <c r="M1207" s="36"/>
      <c r="N1207" s="36"/>
      <c r="O1207" s="36"/>
      <c r="P1207" s="36"/>
      <c r="Q1207" s="36"/>
      <c r="R1207" s="36"/>
      <c r="S1207" s="36"/>
      <c r="T1207" s="36"/>
      <c r="U1207" s="36"/>
      <c r="V1207" s="36"/>
      <c r="W1207" s="36"/>
      <c r="X1207" s="36"/>
      <c r="Y1207" s="36"/>
      <c r="Z1207" s="36"/>
      <c r="AA1207" s="36"/>
      <c r="AB1207" s="36"/>
      <c r="AC1207" s="36"/>
    </row>
    <row r="1208" spans="1:29" ht="24" customHeight="1">
      <c r="A1208" s="100"/>
      <c r="B1208" s="100"/>
      <c r="C1208" s="100"/>
      <c r="D1208" s="81"/>
      <c r="E1208" s="80"/>
      <c r="F1208" s="80"/>
      <c r="G1208" s="80"/>
      <c r="H1208" s="94"/>
      <c r="I1208" s="81"/>
      <c r="J1208" s="35"/>
      <c r="K1208" s="36"/>
      <c r="L1208" s="36"/>
      <c r="M1208" s="36"/>
      <c r="N1208" s="36"/>
      <c r="O1208" s="36"/>
      <c r="P1208" s="36"/>
      <c r="Q1208" s="36"/>
      <c r="R1208" s="36"/>
      <c r="S1208" s="36"/>
      <c r="T1208" s="36"/>
      <c r="U1208" s="36"/>
      <c r="V1208" s="36"/>
      <c r="W1208" s="36"/>
      <c r="X1208" s="36"/>
      <c r="Y1208" s="36"/>
      <c r="Z1208" s="36"/>
      <c r="AA1208" s="36"/>
      <c r="AB1208" s="36"/>
      <c r="AC1208" s="36"/>
    </row>
    <row r="1209" spans="1:29" ht="24" customHeight="1">
      <c r="A1209" s="100"/>
      <c r="B1209" s="100"/>
      <c r="C1209" s="100"/>
      <c r="D1209" s="81"/>
      <c r="E1209" s="80"/>
      <c r="F1209" s="80"/>
      <c r="G1209" s="80"/>
      <c r="H1209" s="94"/>
      <c r="I1209" s="81"/>
      <c r="J1209" s="35"/>
      <c r="K1209" s="36"/>
      <c r="L1209" s="36"/>
      <c r="M1209" s="36"/>
      <c r="N1209" s="36"/>
      <c r="O1209" s="36"/>
      <c r="P1209" s="36"/>
      <c r="Q1209" s="36"/>
      <c r="R1209" s="36"/>
      <c r="S1209" s="36"/>
      <c r="T1209" s="36"/>
      <c r="U1209" s="36"/>
      <c r="V1209" s="36"/>
      <c r="W1209" s="36"/>
      <c r="X1209" s="36"/>
      <c r="Y1209" s="36"/>
      <c r="Z1209" s="36"/>
      <c r="AA1209" s="36"/>
      <c r="AB1209" s="36"/>
      <c r="AC1209" s="36"/>
    </row>
    <row r="1210" spans="1:29" ht="36" customHeight="1">
      <c r="A1210" s="100"/>
      <c r="B1210" s="100"/>
      <c r="C1210" s="100"/>
      <c r="D1210" s="81"/>
      <c r="E1210" s="80"/>
      <c r="F1210" s="80"/>
      <c r="G1210" s="80"/>
      <c r="H1210" s="94"/>
      <c r="I1210" s="81"/>
      <c r="J1210" s="35"/>
      <c r="K1210" s="36"/>
      <c r="L1210" s="36"/>
      <c r="M1210" s="36"/>
      <c r="N1210" s="36"/>
      <c r="O1210" s="36"/>
      <c r="P1210" s="36"/>
      <c r="Q1210" s="36"/>
      <c r="R1210" s="36"/>
      <c r="S1210" s="36"/>
      <c r="T1210" s="36"/>
      <c r="U1210" s="36"/>
      <c r="V1210" s="36"/>
      <c r="W1210" s="36"/>
      <c r="X1210" s="36"/>
      <c r="Y1210" s="36"/>
      <c r="Z1210" s="36"/>
      <c r="AA1210" s="36"/>
      <c r="AB1210" s="36"/>
      <c r="AC1210" s="36"/>
    </row>
    <row r="1211" spans="1:29" ht="24" customHeight="1">
      <c r="A1211" s="100"/>
      <c r="B1211" s="100"/>
      <c r="C1211" s="100"/>
      <c r="D1211" s="81"/>
      <c r="E1211" s="80"/>
      <c r="F1211" s="80"/>
      <c r="G1211" s="80"/>
      <c r="H1211" s="94"/>
      <c r="I1211" s="81"/>
      <c r="J1211" s="35"/>
      <c r="K1211" s="36"/>
      <c r="L1211" s="36"/>
      <c r="M1211" s="36"/>
      <c r="N1211" s="36"/>
      <c r="O1211" s="36"/>
      <c r="P1211" s="36"/>
      <c r="Q1211" s="36"/>
      <c r="R1211" s="36"/>
      <c r="S1211" s="36"/>
      <c r="T1211" s="36"/>
      <c r="U1211" s="36"/>
      <c r="V1211" s="36"/>
      <c r="W1211" s="36"/>
      <c r="X1211" s="36"/>
      <c r="Y1211" s="36"/>
      <c r="Z1211" s="36"/>
      <c r="AA1211" s="36"/>
      <c r="AB1211" s="36"/>
      <c r="AC1211" s="36"/>
    </row>
    <row r="1212" spans="1:29" ht="24" customHeight="1">
      <c r="A1212" s="100"/>
      <c r="B1212" s="100"/>
      <c r="C1212" s="100"/>
      <c r="D1212" s="81"/>
      <c r="E1212" s="80"/>
      <c r="F1212" s="80"/>
      <c r="G1212" s="80"/>
      <c r="H1212" s="94"/>
      <c r="I1212" s="81"/>
      <c r="J1212" s="35"/>
      <c r="K1212" s="36"/>
      <c r="L1212" s="36"/>
      <c r="M1212" s="36"/>
      <c r="N1212" s="36"/>
      <c r="O1212" s="36"/>
      <c r="P1212" s="36"/>
      <c r="Q1212" s="36"/>
      <c r="R1212" s="36"/>
      <c r="S1212" s="36"/>
      <c r="T1212" s="36"/>
      <c r="U1212" s="36"/>
      <c r="V1212" s="36"/>
      <c r="W1212" s="36"/>
      <c r="X1212" s="36"/>
      <c r="Y1212" s="36"/>
      <c r="Z1212" s="36"/>
      <c r="AA1212" s="36"/>
      <c r="AB1212" s="36"/>
      <c r="AC1212" s="36"/>
    </row>
    <row r="1213" spans="1:29" ht="24" customHeight="1">
      <c r="A1213" s="100"/>
      <c r="B1213" s="100"/>
      <c r="C1213" s="100"/>
      <c r="D1213" s="81"/>
      <c r="E1213" s="80"/>
      <c r="F1213" s="80"/>
      <c r="G1213" s="80"/>
      <c r="H1213" s="94"/>
      <c r="I1213" s="81"/>
      <c r="J1213" s="35"/>
      <c r="K1213" s="36"/>
      <c r="L1213" s="36"/>
      <c r="M1213" s="36"/>
      <c r="N1213" s="36"/>
      <c r="O1213" s="36"/>
      <c r="P1213" s="36"/>
      <c r="Q1213" s="36"/>
      <c r="R1213" s="36"/>
      <c r="S1213" s="36"/>
      <c r="T1213" s="36"/>
      <c r="U1213" s="36"/>
      <c r="V1213" s="36"/>
      <c r="W1213" s="36"/>
      <c r="X1213" s="36"/>
      <c r="Y1213" s="36"/>
      <c r="Z1213" s="36"/>
      <c r="AA1213" s="36"/>
      <c r="AB1213" s="36"/>
      <c r="AC1213" s="36"/>
    </row>
    <row r="1214" spans="1:29" ht="24" customHeight="1">
      <c r="A1214" s="100"/>
      <c r="B1214" s="91"/>
      <c r="C1214" s="100"/>
      <c r="D1214" s="81"/>
      <c r="E1214" s="80"/>
      <c r="F1214" s="80"/>
      <c r="G1214" s="80"/>
      <c r="H1214" s="94"/>
      <c r="I1214" s="81"/>
      <c r="J1214" s="35"/>
      <c r="K1214" s="36"/>
      <c r="L1214" s="36"/>
      <c r="M1214" s="36"/>
      <c r="N1214" s="36"/>
      <c r="O1214" s="36"/>
      <c r="P1214" s="36"/>
      <c r="Q1214" s="36"/>
      <c r="R1214" s="36"/>
      <c r="S1214" s="36"/>
      <c r="T1214" s="36"/>
      <c r="U1214" s="36"/>
      <c r="V1214" s="36"/>
      <c r="W1214" s="36"/>
      <c r="X1214" s="36"/>
      <c r="Y1214" s="36"/>
      <c r="Z1214" s="36"/>
      <c r="AA1214" s="36"/>
      <c r="AB1214" s="36"/>
      <c r="AC1214" s="36"/>
    </row>
    <row r="1215" spans="1:29" ht="24" customHeight="1">
      <c r="A1215" s="100"/>
      <c r="B1215" s="100"/>
      <c r="C1215" s="100"/>
      <c r="D1215" s="81"/>
      <c r="E1215" s="80"/>
      <c r="F1215" s="80"/>
      <c r="G1215" s="80"/>
      <c r="H1215" s="94"/>
      <c r="I1215" s="81"/>
      <c r="J1215" s="35"/>
      <c r="K1215" s="36"/>
      <c r="L1215" s="36"/>
      <c r="M1215" s="36"/>
      <c r="N1215" s="36"/>
      <c r="O1215" s="36"/>
      <c r="P1215" s="36"/>
      <c r="Q1215" s="36"/>
      <c r="R1215" s="36"/>
      <c r="S1215" s="36"/>
      <c r="T1215" s="36"/>
      <c r="U1215" s="36"/>
      <c r="V1215" s="36"/>
      <c r="W1215" s="36"/>
      <c r="X1215" s="36"/>
      <c r="Y1215" s="36"/>
      <c r="Z1215" s="36"/>
      <c r="AA1215" s="36"/>
      <c r="AB1215" s="36"/>
      <c r="AC1215" s="36"/>
    </row>
    <row r="1216" spans="1:29" ht="24" customHeight="1">
      <c r="A1216" s="100"/>
      <c r="B1216" s="100"/>
      <c r="C1216" s="100"/>
      <c r="D1216" s="81"/>
      <c r="E1216" s="80"/>
      <c r="F1216" s="80"/>
      <c r="G1216" s="80"/>
      <c r="H1216" s="94"/>
      <c r="I1216" s="81"/>
      <c r="J1216" s="35"/>
      <c r="K1216" s="36"/>
      <c r="L1216" s="36"/>
      <c r="M1216" s="36"/>
      <c r="N1216" s="36"/>
      <c r="O1216" s="36"/>
      <c r="P1216" s="36"/>
      <c r="Q1216" s="36"/>
      <c r="R1216" s="36"/>
      <c r="S1216" s="36"/>
      <c r="T1216" s="36"/>
      <c r="U1216" s="36"/>
      <c r="V1216" s="36"/>
      <c r="W1216" s="36"/>
      <c r="X1216" s="36"/>
      <c r="Y1216" s="36"/>
      <c r="Z1216" s="36"/>
      <c r="AA1216" s="36"/>
      <c r="AB1216" s="36"/>
      <c r="AC1216" s="36"/>
    </row>
    <row r="1217" spans="1:29" ht="24" customHeight="1">
      <c r="A1217" s="100"/>
      <c r="B1217" s="100"/>
      <c r="C1217" s="100"/>
      <c r="D1217" s="81"/>
      <c r="E1217" s="80"/>
      <c r="F1217" s="80"/>
      <c r="G1217" s="80"/>
      <c r="H1217" s="94"/>
      <c r="I1217" s="81"/>
      <c r="J1217" s="35"/>
      <c r="K1217" s="36"/>
      <c r="L1217" s="36"/>
      <c r="M1217" s="36"/>
      <c r="N1217" s="36"/>
      <c r="O1217" s="36"/>
      <c r="P1217" s="36"/>
      <c r="Q1217" s="36"/>
      <c r="R1217" s="36"/>
      <c r="S1217" s="36"/>
      <c r="T1217" s="36"/>
      <c r="U1217" s="36"/>
      <c r="V1217" s="36"/>
      <c r="W1217" s="36"/>
      <c r="X1217" s="36"/>
      <c r="Y1217" s="36"/>
      <c r="Z1217" s="36"/>
      <c r="AA1217" s="36"/>
      <c r="AB1217" s="36"/>
      <c r="AC1217" s="36"/>
    </row>
    <row r="1218" spans="1:29" ht="24" customHeight="1">
      <c r="A1218" s="100"/>
      <c r="B1218" s="100"/>
      <c r="C1218" s="100"/>
      <c r="D1218" s="81"/>
      <c r="E1218" s="80"/>
      <c r="F1218" s="80"/>
      <c r="G1218" s="80"/>
      <c r="H1218" s="94"/>
      <c r="I1218" s="81"/>
      <c r="J1218" s="35"/>
      <c r="K1218" s="36"/>
      <c r="L1218" s="36"/>
      <c r="M1218" s="36"/>
      <c r="N1218" s="36"/>
      <c r="O1218" s="36"/>
      <c r="P1218" s="36"/>
      <c r="Q1218" s="36"/>
      <c r="R1218" s="36"/>
      <c r="S1218" s="36"/>
      <c r="T1218" s="36"/>
      <c r="U1218" s="36"/>
      <c r="V1218" s="36"/>
      <c r="W1218" s="36"/>
      <c r="X1218" s="36"/>
      <c r="Y1218" s="36"/>
      <c r="Z1218" s="36"/>
      <c r="AA1218" s="36"/>
      <c r="AB1218" s="36"/>
      <c r="AC1218" s="36"/>
    </row>
    <row r="1219" spans="1:29" ht="72" customHeight="1">
      <c r="A1219" s="100"/>
      <c r="B1219" s="100"/>
      <c r="C1219" s="100"/>
      <c r="D1219" s="81"/>
      <c r="E1219" s="80"/>
      <c r="F1219" s="80"/>
      <c r="G1219" s="80"/>
      <c r="H1219" s="94"/>
      <c r="I1219" s="81"/>
      <c r="J1219" s="35"/>
      <c r="K1219" s="36"/>
      <c r="L1219" s="36"/>
      <c r="M1219" s="36"/>
      <c r="N1219" s="36"/>
      <c r="O1219" s="36"/>
      <c r="P1219" s="36"/>
      <c r="Q1219" s="36"/>
      <c r="R1219" s="36"/>
      <c r="S1219" s="36"/>
      <c r="T1219" s="36"/>
      <c r="U1219" s="36"/>
      <c r="V1219" s="36"/>
      <c r="W1219" s="36"/>
      <c r="X1219" s="36"/>
      <c r="Y1219" s="36"/>
      <c r="Z1219" s="36"/>
      <c r="AA1219" s="36"/>
      <c r="AB1219" s="36"/>
      <c r="AC1219" s="36"/>
    </row>
    <row r="1220" spans="1:29" ht="48" customHeight="1">
      <c r="A1220" s="100"/>
      <c r="B1220" s="100"/>
      <c r="C1220" s="100"/>
      <c r="D1220" s="81"/>
      <c r="E1220" s="80"/>
      <c r="F1220" s="80"/>
      <c r="G1220" s="80"/>
      <c r="H1220" s="94"/>
      <c r="I1220" s="81"/>
      <c r="J1220" s="35"/>
      <c r="K1220" s="36"/>
      <c r="L1220" s="36"/>
      <c r="M1220" s="36"/>
      <c r="N1220" s="36"/>
      <c r="O1220" s="36"/>
      <c r="P1220" s="36"/>
      <c r="Q1220" s="36"/>
      <c r="R1220" s="36"/>
      <c r="S1220" s="36"/>
      <c r="T1220" s="36"/>
      <c r="U1220" s="36"/>
      <c r="V1220" s="36"/>
      <c r="W1220" s="36"/>
      <c r="X1220" s="36"/>
      <c r="Y1220" s="36"/>
      <c r="Z1220" s="36"/>
      <c r="AA1220" s="36"/>
      <c r="AB1220" s="36"/>
      <c r="AC1220" s="36"/>
    </row>
    <row r="1221" spans="1:29" ht="24" customHeight="1">
      <c r="A1221" s="100"/>
      <c r="B1221" s="100"/>
      <c r="C1221" s="100"/>
      <c r="D1221" s="100"/>
      <c r="E1221" s="80"/>
      <c r="F1221" s="80"/>
      <c r="G1221" s="80"/>
      <c r="H1221" s="94"/>
      <c r="I1221" s="81"/>
      <c r="J1221" s="35"/>
      <c r="K1221" s="36"/>
      <c r="L1221" s="36"/>
      <c r="M1221" s="36"/>
      <c r="N1221" s="36"/>
      <c r="O1221" s="36"/>
      <c r="P1221" s="36"/>
      <c r="Q1221" s="36"/>
      <c r="R1221" s="36"/>
      <c r="S1221" s="36"/>
      <c r="T1221" s="36"/>
      <c r="U1221" s="36"/>
      <c r="V1221" s="36"/>
      <c r="W1221" s="36"/>
      <c r="X1221" s="36"/>
      <c r="Y1221" s="36"/>
      <c r="Z1221" s="36"/>
      <c r="AA1221" s="36"/>
      <c r="AB1221" s="36"/>
      <c r="AC1221" s="36"/>
    </row>
    <row r="1222" spans="1:29" ht="24" customHeight="1">
      <c r="A1222" s="100"/>
      <c r="B1222" s="100"/>
      <c r="C1222" s="100"/>
      <c r="D1222" s="100"/>
      <c r="E1222" s="80"/>
      <c r="F1222" s="80"/>
      <c r="G1222" s="80"/>
      <c r="H1222" s="94"/>
      <c r="I1222" s="81"/>
      <c r="J1222" s="35"/>
      <c r="K1222" s="36"/>
      <c r="L1222" s="36"/>
      <c r="M1222" s="36"/>
      <c r="N1222" s="36"/>
      <c r="O1222" s="36"/>
      <c r="P1222" s="36"/>
      <c r="Q1222" s="36"/>
      <c r="R1222" s="36"/>
      <c r="S1222" s="36"/>
      <c r="T1222" s="36"/>
      <c r="U1222" s="36"/>
      <c r="V1222" s="36"/>
      <c r="W1222" s="36"/>
      <c r="X1222" s="36"/>
      <c r="Y1222" s="36"/>
      <c r="Z1222" s="36"/>
      <c r="AA1222" s="36"/>
      <c r="AB1222" s="36"/>
      <c r="AC1222" s="36"/>
    </row>
    <row r="1223" spans="1:29" ht="36" customHeight="1">
      <c r="A1223" s="619"/>
      <c r="B1223" s="100"/>
      <c r="C1223" s="100"/>
      <c r="D1223" s="100"/>
      <c r="E1223" s="99"/>
      <c r="F1223" s="80"/>
      <c r="G1223" s="80"/>
      <c r="H1223" s="94"/>
      <c r="I1223" s="81"/>
      <c r="J1223" s="35"/>
      <c r="K1223" s="36"/>
      <c r="L1223" s="36"/>
      <c r="M1223" s="36"/>
      <c r="N1223" s="36"/>
      <c r="O1223" s="36"/>
      <c r="P1223" s="36"/>
      <c r="Q1223" s="36"/>
      <c r="R1223" s="36"/>
      <c r="S1223" s="36"/>
      <c r="T1223" s="36"/>
      <c r="U1223" s="36"/>
      <c r="V1223" s="36"/>
      <c r="W1223" s="36"/>
      <c r="X1223" s="36"/>
      <c r="Y1223" s="36"/>
      <c r="Z1223" s="36"/>
      <c r="AA1223" s="36"/>
      <c r="AB1223" s="36"/>
      <c r="AC1223" s="36"/>
    </row>
    <row r="1224" spans="1:29" ht="24" customHeight="1">
      <c r="A1224" s="100"/>
      <c r="B1224" s="100"/>
      <c r="C1224" s="100"/>
      <c r="D1224" s="100"/>
      <c r="E1224" s="99"/>
      <c r="F1224" s="80"/>
      <c r="G1224" s="80"/>
      <c r="H1224" s="94"/>
      <c r="I1224" s="81"/>
      <c r="J1224" s="35"/>
      <c r="K1224" s="36"/>
      <c r="L1224" s="36"/>
      <c r="M1224" s="36"/>
      <c r="N1224" s="36"/>
      <c r="O1224" s="36"/>
      <c r="P1224" s="36"/>
      <c r="Q1224" s="36"/>
      <c r="R1224" s="36"/>
      <c r="S1224" s="36"/>
      <c r="T1224" s="36"/>
      <c r="U1224" s="36"/>
      <c r="V1224" s="36"/>
      <c r="W1224" s="36"/>
      <c r="X1224" s="36"/>
      <c r="Y1224" s="36"/>
      <c r="Z1224" s="36"/>
      <c r="AA1224" s="36"/>
      <c r="AB1224" s="36"/>
      <c r="AC1224" s="36"/>
    </row>
    <row r="1225" spans="1:29" ht="24" customHeight="1">
      <c r="A1225" s="635"/>
      <c r="B1225" s="100"/>
      <c r="C1225" s="100"/>
      <c r="D1225" s="100"/>
      <c r="E1225" s="99"/>
      <c r="F1225" s="80"/>
      <c r="G1225" s="80"/>
      <c r="H1225" s="94"/>
      <c r="I1225" s="81"/>
      <c r="J1225" s="35"/>
      <c r="K1225" s="36"/>
      <c r="L1225" s="36"/>
      <c r="M1225" s="36"/>
      <c r="N1225" s="36"/>
      <c r="O1225" s="36"/>
      <c r="P1225" s="36"/>
      <c r="Q1225" s="36"/>
      <c r="R1225" s="36"/>
      <c r="S1225" s="36"/>
      <c r="T1225" s="36"/>
      <c r="U1225" s="36"/>
      <c r="V1225" s="36"/>
      <c r="W1225" s="36"/>
      <c r="X1225" s="36"/>
      <c r="Y1225" s="36"/>
      <c r="Z1225" s="36"/>
      <c r="AA1225" s="36"/>
      <c r="AB1225" s="36"/>
      <c r="AC1225" s="36"/>
    </row>
    <row r="1226" spans="1:29" ht="24" customHeight="1">
      <c r="A1226" s="100"/>
      <c r="B1226" s="100"/>
      <c r="C1226" s="100"/>
      <c r="D1226" s="100"/>
      <c r="E1226" s="99"/>
      <c r="F1226" s="80"/>
      <c r="G1226" s="80"/>
      <c r="H1226" s="94"/>
      <c r="I1226" s="81"/>
      <c r="J1226" s="35"/>
      <c r="K1226" s="36"/>
      <c r="L1226" s="36"/>
      <c r="M1226" s="36"/>
      <c r="N1226" s="36"/>
      <c r="O1226" s="36"/>
      <c r="P1226" s="36"/>
      <c r="Q1226" s="36"/>
      <c r="R1226" s="36"/>
      <c r="S1226" s="36"/>
      <c r="T1226" s="36"/>
      <c r="U1226" s="36"/>
      <c r="V1226" s="36"/>
      <c r="W1226" s="36"/>
      <c r="X1226" s="36"/>
      <c r="Y1226" s="36"/>
      <c r="Z1226" s="36"/>
      <c r="AA1226" s="36"/>
      <c r="AB1226" s="36"/>
      <c r="AC1226" s="36"/>
    </row>
    <row r="1227" spans="1:29" ht="15" customHeight="1">
      <c r="A1227" s="100"/>
      <c r="B1227" s="100"/>
      <c r="C1227" s="100"/>
      <c r="D1227" s="100"/>
      <c r="E1227" s="99"/>
      <c r="F1227" s="80"/>
      <c r="G1227" s="80"/>
      <c r="H1227" s="94"/>
      <c r="I1227" s="81"/>
      <c r="J1227" s="35"/>
      <c r="K1227" s="36"/>
      <c r="L1227" s="36"/>
      <c r="M1227" s="36"/>
      <c r="N1227" s="36"/>
      <c r="O1227" s="36"/>
      <c r="P1227" s="36"/>
      <c r="Q1227" s="36"/>
      <c r="R1227" s="36"/>
      <c r="S1227" s="36"/>
      <c r="T1227" s="36"/>
      <c r="U1227" s="36"/>
      <c r="V1227" s="36"/>
      <c r="W1227" s="36"/>
      <c r="X1227" s="36"/>
      <c r="Y1227" s="36"/>
      <c r="Z1227" s="36"/>
      <c r="AA1227" s="36"/>
      <c r="AB1227" s="36"/>
      <c r="AC1227" s="36"/>
    </row>
    <row r="1228" spans="1:29" ht="372" customHeight="1">
      <c r="A1228" s="100"/>
      <c r="B1228" s="463"/>
      <c r="C1228" s="100"/>
      <c r="D1228" s="463"/>
      <c r="E1228" s="99"/>
      <c r="F1228" s="80"/>
      <c r="G1228" s="80"/>
      <c r="H1228" s="94"/>
      <c r="I1228" s="81"/>
      <c r="J1228" s="35"/>
      <c r="K1228" s="36"/>
      <c r="L1228" s="36"/>
      <c r="M1228" s="36"/>
      <c r="N1228" s="36"/>
      <c r="O1228" s="36"/>
      <c r="P1228" s="36"/>
      <c r="Q1228" s="36"/>
      <c r="R1228" s="36"/>
      <c r="S1228" s="36"/>
      <c r="T1228" s="36"/>
      <c r="U1228" s="36"/>
      <c r="V1228" s="36"/>
      <c r="W1228" s="36"/>
      <c r="X1228" s="36"/>
      <c r="Y1228" s="36"/>
      <c r="Z1228" s="36"/>
      <c r="AA1228" s="36"/>
      <c r="AB1228" s="36"/>
      <c r="AC1228" s="36"/>
    </row>
    <row r="1229" spans="1:29" ht="24" customHeight="1">
      <c r="A1229" s="100"/>
      <c r="B1229" s="463"/>
      <c r="C1229" s="100"/>
      <c r="D1229" s="463"/>
      <c r="E1229" s="99"/>
      <c r="F1229" s="80"/>
      <c r="G1229" s="80"/>
      <c r="H1229" s="94"/>
      <c r="I1229" s="81"/>
      <c r="J1229" s="35"/>
      <c r="K1229" s="36"/>
      <c r="L1229" s="36"/>
      <c r="M1229" s="36"/>
      <c r="N1229" s="36"/>
      <c r="O1229" s="36"/>
      <c r="P1229" s="36"/>
      <c r="Q1229" s="36"/>
      <c r="R1229" s="36"/>
      <c r="S1229" s="36"/>
      <c r="T1229" s="36"/>
      <c r="U1229" s="36"/>
      <c r="V1229" s="36"/>
      <c r="W1229" s="36"/>
      <c r="X1229" s="36"/>
      <c r="Y1229" s="36"/>
      <c r="Z1229" s="36"/>
      <c r="AA1229" s="36"/>
      <c r="AB1229" s="36"/>
      <c r="AC1229" s="36"/>
    </row>
    <row r="1230" spans="1:29" ht="12" customHeight="1">
      <c r="A1230" s="100"/>
      <c r="B1230" s="463"/>
      <c r="C1230" s="632"/>
      <c r="D1230" s="100"/>
      <c r="E1230" s="99"/>
      <c r="F1230" s="80"/>
      <c r="G1230" s="80"/>
      <c r="H1230" s="94"/>
      <c r="I1230" s="81"/>
      <c r="J1230" s="35"/>
      <c r="K1230" s="36"/>
      <c r="L1230" s="36"/>
      <c r="M1230" s="36"/>
      <c r="N1230" s="36"/>
      <c r="O1230" s="36"/>
      <c r="P1230" s="36"/>
      <c r="Q1230" s="36"/>
      <c r="R1230" s="36"/>
      <c r="S1230" s="36"/>
      <c r="T1230" s="36"/>
      <c r="U1230" s="36"/>
      <c r="V1230" s="36"/>
      <c r="W1230" s="36"/>
      <c r="X1230" s="36"/>
      <c r="Y1230" s="36"/>
      <c r="Z1230" s="36"/>
      <c r="AA1230" s="36"/>
      <c r="AB1230" s="36"/>
      <c r="AC1230" s="36"/>
    </row>
    <row r="1231" spans="1:29" ht="12" customHeight="1">
      <c r="A1231" s="619"/>
      <c r="B1231" s="94"/>
      <c r="C1231" s="81"/>
      <c r="D1231" s="81"/>
      <c r="E1231" s="80"/>
      <c r="F1231" s="80"/>
      <c r="G1231" s="80"/>
      <c r="H1231" s="94"/>
      <c r="I1231" s="81"/>
      <c r="J1231" s="35"/>
      <c r="K1231" s="36"/>
      <c r="L1231" s="36"/>
      <c r="M1231" s="36"/>
      <c r="N1231" s="36"/>
      <c r="O1231" s="36"/>
      <c r="P1231" s="36"/>
      <c r="Q1231" s="36"/>
      <c r="R1231" s="36"/>
      <c r="S1231" s="36"/>
      <c r="T1231" s="36"/>
      <c r="U1231" s="36"/>
      <c r="V1231" s="36"/>
      <c r="W1231" s="36"/>
      <c r="X1231" s="36"/>
      <c r="Y1231" s="36"/>
      <c r="Z1231" s="36"/>
      <c r="AA1231" s="36"/>
      <c r="AB1231" s="36"/>
      <c r="AC1231" s="36"/>
    </row>
    <row r="1232" spans="1:29" ht="12" customHeight="1">
      <c r="A1232" s="81"/>
      <c r="B1232" s="81"/>
      <c r="C1232" s="81"/>
      <c r="D1232" s="81"/>
      <c r="E1232" s="80"/>
      <c r="F1232" s="80"/>
      <c r="G1232" s="80"/>
      <c r="H1232" s="94"/>
      <c r="I1232" s="81"/>
      <c r="J1232" s="35"/>
      <c r="K1232" s="36"/>
      <c r="L1232" s="36"/>
      <c r="M1232" s="36"/>
      <c r="N1232" s="36"/>
      <c r="O1232" s="36"/>
      <c r="P1232" s="36"/>
      <c r="Q1232" s="36"/>
      <c r="R1232" s="36"/>
      <c r="S1232" s="36"/>
      <c r="T1232" s="36"/>
      <c r="U1232" s="36"/>
      <c r="V1232" s="36"/>
      <c r="W1232" s="36"/>
      <c r="X1232" s="36"/>
      <c r="Y1232" s="36"/>
      <c r="Z1232" s="36"/>
      <c r="AA1232" s="36"/>
      <c r="AB1232" s="36"/>
      <c r="AC1232" s="36"/>
    </row>
    <row r="1233" spans="1:29" ht="24" customHeight="1">
      <c r="A1233" s="81"/>
      <c r="B1233" s="81"/>
      <c r="C1233" s="81"/>
      <c r="D1233" s="81"/>
      <c r="E1233" s="80"/>
      <c r="F1233" s="80"/>
      <c r="G1233" s="80"/>
      <c r="H1233" s="94"/>
      <c r="I1233" s="81"/>
      <c r="J1233" s="35"/>
      <c r="K1233" s="36"/>
      <c r="L1233" s="36"/>
      <c r="M1233" s="36"/>
      <c r="N1233" s="36"/>
      <c r="O1233" s="36"/>
      <c r="P1233" s="36"/>
      <c r="Q1233" s="36"/>
      <c r="R1233" s="36"/>
      <c r="S1233" s="36"/>
      <c r="T1233" s="36"/>
      <c r="U1233" s="36"/>
      <c r="V1233" s="36"/>
      <c r="W1233" s="36"/>
      <c r="X1233" s="36"/>
      <c r="Y1233" s="36"/>
      <c r="Z1233" s="36"/>
      <c r="AA1233" s="36"/>
      <c r="AB1233" s="36"/>
      <c r="AC1233" s="36"/>
    </row>
    <row r="1234" spans="1:29" ht="36" customHeight="1">
      <c r="A1234" s="81"/>
      <c r="B1234" s="81"/>
      <c r="C1234" s="81"/>
      <c r="D1234" s="81"/>
      <c r="E1234" s="80"/>
      <c r="F1234" s="80"/>
      <c r="G1234" s="80"/>
      <c r="H1234" s="94"/>
      <c r="I1234" s="81"/>
      <c r="J1234" s="35"/>
      <c r="K1234" s="36"/>
      <c r="L1234" s="36"/>
      <c r="M1234" s="36"/>
      <c r="N1234" s="36"/>
      <c r="O1234" s="36"/>
      <c r="P1234" s="36"/>
      <c r="Q1234" s="36"/>
      <c r="R1234" s="36"/>
      <c r="S1234" s="36"/>
      <c r="T1234" s="36"/>
      <c r="U1234" s="36"/>
      <c r="V1234" s="36"/>
      <c r="W1234" s="36"/>
      <c r="X1234" s="36"/>
      <c r="Y1234" s="36"/>
      <c r="Z1234" s="36"/>
      <c r="AA1234" s="36"/>
      <c r="AB1234" s="36"/>
      <c r="AC1234" s="36"/>
    </row>
    <row r="1235" spans="1:29" ht="48" customHeight="1">
      <c r="A1235" s="81"/>
      <c r="B1235" s="81"/>
      <c r="C1235" s="81"/>
      <c r="D1235" s="81"/>
      <c r="E1235" s="80"/>
      <c r="F1235" s="80"/>
      <c r="G1235" s="80"/>
      <c r="H1235" s="94"/>
      <c r="I1235" s="81"/>
      <c r="J1235" s="35"/>
      <c r="K1235" s="36"/>
      <c r="L1235" s="36"/>
      <c r="M1235" s="36"/>
      <c r="N1235" s="36"/>
      <c r="O1235" s="36"/>
      <c r="P1235" s="36"/>
      <c r="Q1235" s="36"/>
      <c r="R1235" s="36"/>
      <c r="S1235" s="36"/>
      <c r="T1235" s="36"/>
      <c r="U1235" s="36"/>
      <c r="V1235" s="36"/>
      <c r="W1235" s="36"/>
      <c r="X1235" s="36"/>
      <c r="Y1235" s="36"/>
      <c r="Z1235" s="36"/>
      <c r="AA1235" s="36"/>
      <c r="AB1235" s="36"/>
      <c r="AC1235" s="36"/>
    </row>
    <row r="1236" spans="1:29" ht="24" customHeight="1">
      <c r="A1236" s="81"/>
      <c r="B1236" s="81"/>
      <c r="C1236" s="81"/>
      <c r="D1236" s="81"/>
      <c r="E1236" s="80"/>
      <c r="F1236" s="80"/>
      <c r="G1236" s="80"/>
      <c r="H1236" s="94"/>
      <c r="I1236" s="81"/>
      <c r="J1236" s="35"/>
      <c r="K1236" s="36"/>
      <c r="L1236" s="36"/>
      <c r="M1236" s="36"/>
      <c r="N1236" s="36"/>
      <c r="O1236" s="36"/>
      <c r="P1236" s="36"/>
      <c r="Q1236" s="36"/>
      <c r="R1236" s="36"/>
      <c r="S1236" s="36"/>
      <c r="T1236" s="36"/>
      <c r="U1236" s="36"/>
      <c r="V1236" s="36"/>
      <c r="W1236" s="36"/>
      <c r="X1236" s="36"/>
      <c r="Y1236" s="36"/>
      <c r="Z1236" s="36"/>
      <c r="AA1236" s="36"/>
      <c r="AB1236" s="36"/>
      <c r="AC1236" s="36"/>
    </row>
    <row r="1237" spans="1:29" ht="12" customHeight="1">
      <c r="A1237" s="81"/>
      <c r="B1237" s="81"/>
      <c r="C1237" s="81"/>
      <c r="D1237" s="81"/>
      <c r="E1237" s="80"/>
      <c r="F1237" s="80"/>
      <c r="G1237" s="80"/>
      <c r="H1237" s="94"/>
      <c r="I1237" s="81"/>
      <c r="J1237" s="35"/>
      <c r="K1237" s="36"/>
      <c r="L1237" s="36"/>
      <c r="M1237" s="36"/>
      <c r="N1237" s="36"/>
      <c r="O1237" s="36"/>
      <c r="P1237" s="36"/>
      <c r="Q1237" s="36"/>
      <c r="R1237" s="36"/>
      <c r="S1237" s="36"/>
      <c r="T1237" s="36"/>
      <c r="U1237" s="36"/>
      <c r="V1237" s="36"/>
      <c r="W1237" s="36"/>
      <c r="X1237" s="36"/>
      <c r="Y1237" s="36"/>
      <c r="Z1237" s="36"/>
      <c r="AA1237" s="36"/>
      <c r="AB1237" s="36"/>
      <c r="AC1237" s="36"/>
    </row>
    <row r="1238" spans="1:29" ht="24" customHeight="1">
      <c r="A1238" s="81"/>
      <c r="B1238" s="81"/>
      <c r="C1238" s="81"/>
      <c r="D1238" s="81"/>
      <c r="E1238" s="80"/>
      <c r="F1238" s="80"/>
      <c r="G1238" s="80"/>
      <c r="H1238" s="94"/>
      <c r="I1238" s="81"/>
      <c r="J1238" s="35"/>
      <c r="K1238" s="36"/>
      <c r="L1238" s="36"/>
      <c r="M1238" s="36"/>
      <c r="N1238" s="36"/>
      <c r="O1238" s="36"/>
      <c r="P1238" s="36"/>
      <c r="Q1238" s="36"/>
      <c r="R1238" s="36"/>
      <c r="S1238" s="36"/>
      <c r="T1238" s="36"/>
      <c r="U1238" s="36"/>
      <c r="V1238" s="36"/>
      <c r="W1238" s="36"/>
      <c r="X1238" s="36"/>
      <c r="Y1238" s="36"/>
      <c r="Z1238" s="36"/>
      <c r="AA1238" s="36"/>
      <c r="AB1238" s="36"/>
      <c r="AC1238" s="36"/>
    </row>
    <row r="1239" spans="1:29" ht="24" customHeight="1">
      <c r="A1239" s="81"/>
      <c r="B1239" s="81"/>
      <c r="C1239" s="81"/>
      <c r="D1239" s="81"/>
      <c r="E1239" s="80"/>
      <c r="F1239" s="80"/>
      <c r="G1239" s="80"/>
      <c r="H1239" s="94"/>
      <c r="I1239" s="81"/>
      <c r="J1239" s="35"/>
      <c r="K1239" s="36"/>
      <c r="L1239" s="36"/>
      <c r="M1239" s="36"/>
      <c r="N1239" s="36"/>
      <c r="O1239" s="36"/>
      <c r="P1239" s="36"/>
      <c r="Q1239" s="36"/>
      <c r="R1239" s="36"/>
      <c r="S1239" s="36"/>
      <c r="T1239" s="36"/>
      <c r="U1239" s="36"/>
      <c r="V1239" s="36"/>
      <c r="W1239" s="36"/>
      <c r="X1239" s="36"/>
      <c r="Y1239" s="36"/>
      <c r="Z1239" s="36"/>
      <c r="AA1239" s="36"/>
      <c r="AB1239" s="36"/>
      <c r="AC1239" s="36"/>
    </row>
    <row r="1240" spans="1:29" ht="12" customHeight="1">
      <c r="A1240" s="81"/>
      <c r="B1240" s="81"/>
      <c r="C1240" s="81"/>
      <c r="D1240" s="81"/>
      <c r="E1240" s="80"/>
      <c r="F1240" s="80"/>
      <c r="G1240" s="80"/>
      <c r="H1240" s="94"/>
      <c r="I1240" s="81"/>
      <c r="J1240" s="35"/>
      <c r="K1240" s="36"/>
      <c r="L1240" s="36"/>
      <c r="M1240" s="36"/>
      <c r="N1240" s="36"/>
      <c r="O1240" s="36"/>
      <c r="P1240" s="36"/>
      <c r="Q1240" s="36"/>
      <c r="R1240" s="36"/>
      <c r="S1240" s="36"/>
      <c r="T1240" s="36"/>
      <c r="U1240" s="36"/>
      <c r="V1240" s="36"/>
      <c r="W1240" s="36"/>
      <c r="X1240" s="36"/>
      <c r="Y1240" s="36"/>
      <c r="Z1240" s="36"/>
      <c r="AA1240" s="36"/>
      <c r="AB1240" s="36"/>
      <c r="AC1240" s="36"/>
    </row>
    <row r="1241" spans="1:29" ht="48" customHeight="1">
      <c r="A1241" s="81"/>
      <c r="B1241" s="81"/>
      <c r="C1241" s="81"/>
      <c r="D1241" s="81"/>
      <c r="E1241" s="80"/>
      <c r="F1241" s="80"/>
      <c r="G1241" s="80"/>
      <c r="H1241" s="94"/>
      <c r="I1241" s="81"/>
      <c r="J1241" s="35"/>
      <c r="K1241" s="36"/>
      <c r="L1241" s="36"/>
      <c r="M1241" s="36"/>
      <c r="N1241" s="36"/>
      <c r="O1241" s="36"/>
      <c r="P1241" s="36"/>
      <c r="Q1241" s="36"/>
      <c r="R1241" s="36"/>
      <c r="S1241" s="36"/>
      <c r="T1241" s="36"/>
      <c r="U1241" s="36"/>
      <c r="V1241" s="36"/>
      <c r="W1241" s="36"/>
      <c r="X1241" s="36"/>
      <c r="Y1241" s="36"/>
      <c r="Z1241" s="36"/>
      <c r="AA1241" s="36"/>
      <c r="AB1241" s="36"/>
      <c r="AC1241" s="36"/>
    </row>
    <row r="1242" spans="1:29" ht="36" customHeight="1">
      <c r="A1242" s="81"/>
      <c r="B1242" s="81"/>
      <c r="C1242" s="81"/>
      <c r="D1242" s="81"/>
      <c r="E1242" s="80"/>
      <c r="F1242" s="80"/>
      <c r="G1242" s="80"/>
      <c r="H1242" s="94"/>
      <c r="I1242" s="81"/>
      <c r="J1242" s="35"/>
      <c r="K1242" s="36"/>
      <c r="L1242" s="36"/>
      <c r="M1242" s="36"/>
      <c r="N1242" s="36"/>
      <c r="O1242" s="36"/>
      <c r="P1242" s="36"/>
      <c r="Q1242" s="36"/>
      <c r="R1242" s="36"/>
      <c r="S1242" s="36"/>
      <c r="T1242" s="36"/>
      <c r="U1242" s="36"/>
      <c r="V1242" s="36"/>
      <c r="W1242" s="36"/>
      <c r="X1242" s="36"/>
      <c r="Y1242" s="36"/>
      <c r="Z1242" s="36"/>
      <c r="AA1242" s="36"/>
      <c r="AB1242" s="36"/>
      <c r="AC1242" s="36"/>
    </row>
    <row r="1243" spans="1:29" ht="24" customHeight="1">
      <c r="A1243" s="81"/>
      <c r="B1243" s="94"/>
      <c r="C1243" s="81"/>
      <c r="D1243" s="81"/>
      <c r="E1243" s="80"/>
      <c r="F1243" s="80"/>
      <c r="G1243" s="80"/>
      <c r="H1243" s="94"/>
      <c r="I1243" s="81"/>
      <c r="J1243" s="35"/>
      <c r="K1243" s="36"/>
      <c r="L1243" s="36"/>
      <c r="M1243" s="36"/>
      <c r="N1243" s="36"/>
      <c r="O1243" s="36"/>
      <c r="P1243" s="36"/>
      <c r="Q1243" s="36"/>
      <c r="R1243" s="36"/>
      <c r="S1243" s="36"/>
      <c r="T1243" s="36"/>
      <c r="U1243" s="36"/>
      <c r="V1243" s="36"/>
      <c r="W1243" s="36"/>
      <c r="X1243" s="36"/>
      <c r="Y1243" s="36"/>
      <c r="Z1243" s="36"/>
      <c r="AA1243" s="36"/>
      <c r="AB1243" s="36"/>
      <c r="AC1243" s="36"/>
    </row>
    <row r="1244" spans="1:29" ht="60" customHeight="1">
      <c r="A1244" s="81"/>
      <c r="B1244" s="81"/>
      <c r="C1244" s="81"/>
      <c r="D1244" s="81"/>
      <c r="E1244" s="80"/>
      <c r="F1244" s="80"/>
      <c r="G1244" s="80"/>
      <c r="H1244" s="94"/>
      <c r="I1244" s="81"/>
      <c r="J1244" s="35"/>
      <c r="K1244" s="36"/>
      <c r="L1244" s="36"/>
      <c r="M1244" s="36"/>
      <c r="N1244" s="36"/>
      <c r="O1244" s="36"/>
      <c r="P1244" s="36"/>
      <c r="Q1244" s="36"/>
      <c r="R1244" s="36"/>
      <c r="S1244" s="36"/>
      <c r="T1244" s="36"/>
      <c r="U1244" s="36"/>
      <c r="V1244" s="36"/>
      <c r="W1244" s="36"/>
      <c r="X1244" s="36"/>
      <c r="Y1244" s="36"/>
      <c r="Z1244" s="36"/>
      <c r="AA1244" s="36"/>
      <c r="AB1244" s="36"/>
      <c r="AC1244" s="36"/>
    </row>
    <row r="1245" spans="1:29" ht="24" customHeight="1">
      <c r="A1245" s="81"/>
      <c r="B1245" s="81"/>
      <c r="C1245" s="81"/>
      <c r="D1245" s="81"/>
      <c r="E1245" s="80"/>
      <c r="F1245" s="80"/>
      <c r="G1245" s="80"/>
      <c r="H1245" s="94"/>
      <c r="I1245" s="81"/>
      <c r="J1245" s="35"/>
      <c r="K1245" s="36"/>
      <c r="L1245" s="36"/>
      <c r="M1245" s="36"/>
      <c r="N1245" s="36"/>
      <c r="O1245" s="36"/>
      <c r="P1245" s="36"/>
      <c r="Q1245" s="36"/>
      <c r="R1245" s="36"/>
      <c r="S1245" s="36"/>
      <c r="T1245" s="36"/>
      <c r="U1245" s="36"/>
      <c r="V1245" s="36"/>
      <c r="W1245" s="36"/>
      <c r="X1245" s="36"/>
      <c r="Y1245" s="36"/>
      <c r="Z1245" s="36"/>
      <c r="AA1245" s="36"/>
      <c r="AB1245" s="36"/>
      <c r="AC1245" s="36"/>
    </row>
    <row r="1246" spans="1:29" ht="36" customHeight="1">
      <c r="A1246" s="81"/>
      <c r="B1246" s="81"/>
      <c r="C1246" s="81"/>
      <c r="D1246" s="81"/>
      <c r="E1246" s="80"/>
      <c r="F1246" s="80"/>
      <c r="G1246" s="80"/>
      <c r="H1246" s="94"/>
      <c r="I1246" s="81"/>
      <c r="J1246" s="35"/>
      <c r="K1246" s="36"/>
      <c r="L1246" s="36"/>
      <c r="M1246" s="36"/>
      <c r="N1246" s="36"/>
      <c r="O1246" s="36"/>
      <c r="P1246" s="36"/>
      <c r="Q1246" s="36"/>
      <c r="R1246" s="36"/>
      <c r="S1246" s="36"/>
      <c r="T1246" s="36"/>
      <c r="U1246" s="36"/>
      <c r="V1246" s="36"/>
      <c r="W1246" s="36"/>
      <c r="X1246" s="36"/>
      <c r="Y1246" s="36"/>
      <c r="Z1246" s="36"/>
      <c r="AA1246" s="36"/>
      <c r="AB1246" s="36"/>
      <c r="AC1246" s="36"/>
    </row>
    <row r="1247" spans="1:29" ht="24" customHeight="1">
      <c r="A1247" s="81"/>
      <c r="B1247" s="81"/>
      <c r="C1247" s="81"/>
      <c r="D1247" s="81"/>
      <c r="E1247" s="80"/>
      <c r="F1247" s="80"/>
      <c r="G1247" s="80"/>
      <c r="H1247" s="94"/>
      <c r="I1247" s="81"/>
      <c r="J1247" s="35"/>
      <c r="K1247" s="36"/>
      <c r="L1247" s="36"/>
      <c r="M1247" s="36"/>
      <c r="N1247" s="36"/>
      <c r="O1247" s="36"/>
      <c r="P1247" s="36"/>
      <c r="Q1247" s="36"/>
      <c r="R1247" s="36"/>
      <c r="S1247" s="36"/>
      <c r="T1247" s="36"/>
      <c r="U1247" s="36"/>
      <c r="V1247" s="36"/>
      <c r="W1247" s="36"/>
      <c r="X1247" s="36"/>
      <c r="Y1247" s="36"/>
      <c r="Z1247" s="36"/>
      <c r="AA1247" s="36"/>
      <c r="AB1247" s="36"/>
      <c r="AC1247" s="36"/>
    </row>
    <row r="1248" spans="1:29" ht="36" customHeight="1">
      <c r="A1248" s="81"/>
      <c r="B1248" s="81"/>
      <c r="C1248" s="81"/>
      <c r="D1248" s="81"/>
      <c r="E1248" s="80"/>
      <c r="F1248" s="80"/>
      <c r="G1248" s="80"/>
      <c r="H1248" s="94"/>
      <c r="I1248" s="81"/>
      <c r="J1248" s="35"/>
      <c r="K1248" s="36"/>
      <c r="L1248" s="36"/>
      <c r="M1248" s="36"/>
      <c r="N1248" s="36"/>
      <c r="O1248" s="36"/>
      <c r="P1248" s="36"/>
      <c r="Q1248" s="36"/>
      <c r="R1248" s="36"/>
      <c r="S1248" s="36"/>
      <c r="T1248" s="36"/>
      <c r="U1248" s="36"/>
      <c r="V1248" s="36"/>
      <c r="W1248" s="36"/>
      <c r="X1248" s="36"/>
      <c r="Y1248" s="36"/>
      <c r="Z1248" s="36"/>
      <c r="AA1248" s="36"/>
      <c r="AB1248" s="36"/>
      <c r="AC1248" s="36"/>
    </row>
    <row r="1249" spans="1:29" ht="36" customHeight="1">
      <c r="A1249" s="81"/>
      <c r="B1249" s="81"/>
      <c r="C1249" s="81"/>
      <c r="D1249" s="81"/>
      <c r="E1249" s="80"/>
      <c r="F1249" s="80"/>
      <c r="G1249" s="80"/>
      <c r="H1249" s="94"/>
      <c r="I1249" s="81"/>
      <c r="J1249" s="35"/>
      <c r="K1249" s="36"/>
      <c r="L1249" s="36"/>
      <c r="M1249" s="36"/>
      <c r="N1249" s="36"/>
      <c r="O1249" s="36"/>
      <c r="P1249" s="36"/>
      <c r="Q1249" s="36"/>
      <c r="R1249" s="36"/>
      <c r="S1249" s="36"/>
      <c r="T1249" s="36"/>
      <c r="U1249" s="36"/>
      <c r="V1249" s="36"/>
      <c r="W1249" s="36"/>
      <c r="X1249" s="36"/>
      <c r="Y1249" s="36"/>
      <c r="Z1249" s="36"/>
      <c r="AA1249" s="36"/>
      <c r="AB1249" s="36"/>
      <c r="AC1249" s="36"/>
    </row>
    <row r="1250" spans="1:29" ht="24" customHeight="1">
      <c r="A1250" s="81"/>
      <c r="B1250" s="81"/>
      <c r="C1250" s="81"/>
      <c r="D1250" s="81"/>
      <c r="E1250" s="80"/>
      <c r="F1250" s="80"/>
      <c r="G1250" s="80"/>
      <c r="H1250" s="94"/>
      <c r="I1250" s="81"/>
      <c r="J1250" s="36"/>
      <c r="K1250" s="36"/>
      <c r="L1250" s="36"/>
      <c r="M1250" s="36"/>
      <c r="N1250" s="36"/>
      <c r="O1250" s="36"/>
      <c r="P1250" s="36"/>
      <c r="Q1250" s="36"/>
      <c r="R1250" s="36"/>
      <c r="S1250" s="36"/>
      <c r="T1250" s="36"/>
      <c r="U1250" s="36"/>
      <c r="V1250" s="36"/>
      <c r="W1250" s="36"/>
      <c r="X1250" s="36"/>
      <c r="Y1250" s="36"/>
      <c r="Z1250" s="36"/>
      <c r="AA1250" s="36"/>
      <c r="AB1250" s="36"/>
      <c r="AC1250" s="36"/>
    </row>
    <row r="1251" spans="1:29" ht="48" customHeight="1">
      <c r="A1251" s="81"/>
      <c r="B1251" s="81"/>
      <c r="C1251" s="81"/>
      <c r="D1251" s="81"/>
      <c r="E1251" s="80"/>
      <c r="F1251" s="80"/>
      <c r="G1251" s="80"/>
      <c r="H1251" s="94"/>
      <c r="I1251" s="81"/>
      <c r="J1251" s="35"/>
      <c r="K1251" s="36"/>
      <c r="L1251" s="36"/>
      <c r="M1251" s="36"/>
      <c r="N1251" s="36"/>
      <c r="O1251" s="36"/>
      <c r="P1251" s="36"/>
      <c r="Q1251" s="36"/>
      <c r="R1251" s="36"/>
      <c r="S1251" s="36"/>
      <c r="T1251" s="36"/>
      <c r="U1251" s="36"/>
      <c r="V1251" s="36"/>
      <c r="W1251" s="36"/>
      <c r="X1251" s="36"/>
      <c r="Y1251" s="36"/>
      <c r="Z1251" s="36"/>
      <c r="AA1251" s="36"/>
      <c r="AB1251" s="36"/>
      <c r="AC1251" s="36"/>
    </row>
    <row r="1252" spans="1:29" ht="36" customHeight="1">
      <c r="A1252" s="81"/>
      <c r="B1252" s="81"/>
      <c r="C1252" s="81"/>
      <c r="D1252" s="81"/>
      <c r="E1252" s="80"/>
      <c r="F1252" s="80"/>
      <c r="G1252" s="80"/>
      <c r="H1252" s="94"/>
      <c r="I1252" s="81"/>
      <c r="J1252" s="35"/>
      <c r="K1252" s="36"/>
      <c r="L1252" s="36"/>
      <c r="M1252" s="36"/>
      <c r="N1252" s="36"/>
      <c r="O1252" s="36"/>
      <c r="P1252" s="36"/>
      <c r="Q1252" s="36"/>
      <c r="R1252" s="36"/>
      <c r="S1252" s="36"/>
      <c r="T1252" s="36"/>
      <c r="U1252" s="36"/>
      <c r="V1252" s="36"/>
      <c r="W1252" s="36"/>
      <c r="X1252" s="36"/>
      <c r="Y1252" s="36"/>
      <c r="Z1252" s="36"/>
      <c r="AA1252" s="36"/>
      <c r="AB1252" s="36"/>
      <c r="AC1252" s="36"/>
    </row>
    <row r="1253" spans="1:29" ht="36" customHeight="1">
      <c r="A1253" s="81"/>
      <c r="B1253" s="81"/>
      <c r="C1253" s="81"/>
      <c r="D1253" s="81"/>
      <c r="E1253" s="80"/>
      <c r="F1253" s="80"/>
      <c r="G1253" s="80"/>
      <c r="H1253" s="94"/>
      <c r="I1253" s="81"/>
      <c r="J1253" s="35"/>
      <c r="K1253" s="36"/>
      <c r="L1253" s="36"/>
      <c r="M1253" s="36"/>
      <c r="N1253" s="36"/>
      <c r="O1253" s="36"/>
      <c r="P1253" s="36"/>
      <c r="Q1253" s="36"/>
      <c r="R1253" s="36"/>
      <c r="S1253" s="36"/>
      <c r="T1253" s="36"/>
      <c r="U1253" s="36"/>
      <c r="V1253" s="36"/>
      <c r="W1253" s="36"/>
      <c r="X1253" s="36"/>
      <c r="Y1253" s="36"/>
      <c r="Z1253" s="36"/>
      <c r="AA1253" s="36"/>
      <c r="AB1253" s="36"/>
      <c r="AC1253" s="36"/>
    </row>
    <row r="1254" spans="1:29" ht="36" customHeight="1">
      <c r="A1254" s="81"/>
      <c r="B1254" s="81"/>
      <c r="C1254" s="81"/>
      <c r="D1254" s="81"/>
      <c r="E1254" s="629"/>
      <c r="F1254" s="80"/>
      <c r="G1254" s="80"/>
      <c r="H1254" s="94"/>
      <c r="I1254" s="81"/>
      <c r="J1254" s="35"/>
      <c r="K1254" s="36"/>
      <c r="L1254" s="36"/>
      <c r="M1254" s="36"/>
      <c r="N1254" s="36"/>
      <c r="O1254" s="36"/>
      <c r="P1254" s="36"/>
      <c r="Q1254" s="36"/>
      <c r="R1254" s="36"/>
      <c r="S1254" s="36"/>
      <c r="T1254" s="36"/>
      <c r="U1254" s="36"/>
      <c r="V1254" s="36"/>
      <c r="W1254" s="36"/>
      <c r="X1254" s="36"/>
      <c r="Y1254" s="36"/>
      <c r="Z1254" s="36"/>
      <c r="AA1254" s="36"/>
      <c r="AB1254" s="36"/>
      <c r="AC1254" s="36"/>
    </row>
    <row r="1255" spans="1:29" ht="48" customHeight="1">
      <c r="A1255" s="81"/>
      <c r="B1255" s="81"/>
      <c r="C1255" s="81"/>
      <c r="D1255" s="81"/>
      <c r="E1255" s="80"/>
      <c r="F1255" s="80"/>
      <c r="G1255" s="80"/>
      <c r="H1255" s="94"/>
      <c r="I1255" s="81"/>
      <c r="J1255" s="35"/>
      <c r="K1255" s="36"/>
      <c r="L1255" s="36"/>
      <c r="M1255" s="36"/>
      <c r="N1255" s="36"/>
      <c r="O1255" s="36"/>
      <c r="P1255" s="36"/>
      <c r="Q1255" s="36"/>
      <c r="R1255" s="36"/>
      <c r="S1255" s="36"/>
      <c r="T1255" s="36"/>
      <c r="U1255" s="36"/>
      <c r="V1255" s="36"/>
      <c r="W1255" s="36"/>
      <c r="X1255" s="36"/>
      <c r="Y1255" s="36"/>
      <c r="Z1255" s="36"/>
      <c r="AA1255" s="36"/>
      <c r="AB1255" s="36"/>
      <c r="AC1255" s="36"/>
    </row>
    <row r="1256" spans="1:29" ht="24" customHeight="1">
      <c r="A1256" s="81"/>
      <c r="B1256" s="81"/>
      <c r="C1256" s="81"/>
      <c r="D1256" s="81"/>
      <c r="E1256" s="80"/>
      <c r="F1256" s="80"/>
      <c r="G1256" s="80"/>
      <c r="H1256" s="94"/>
      <c r="I1256" s="81"/>
      <c r="J1256" s="35"/>
      <c r="K1256" s="36"/>
      <c r="L1256" s="36"/>
      <c r="M1256" s="36"/>
      <c r="N1256" s="36"/>
      <c r="O1256" s="36"/>
      <c r="P1256" s="36"/>
      <c r="Q1256" s="36"/>
      <c r="R1256" s="36"/>
      <c r="S1256" s="36"/>
      <c r="T1256" s="36"/>
      <c r="U1256" s="36"/>
      <c r="V1256" s="36"/>
      <c r="W1256" s="36"/>
      <c r="X1256" s="36"/>
      <c r="Y1256" s="36"/>
      <c r="Z1256" s="36"/>
      <c r="AA1256" s="36"/>
      <c r="AB1256" s="36"/>
      <c r="AC1256" s="36"/>
    </row>
    <row r="1257" spans="1:29" ht="36" customHeight="1">
      <c r="A1257" s="81"/>
      <c r="B1257" s="81"/>
      <c r="C1257" s="81"/>
      <c r="D1257" s="81"/>
      <c r="E1257" s="80"/>
      <c r="F1257" s="80"/>
      <c r="G1257" s="80"/>
      <c r="H1257" s="94"/>
      <c r="I1257" s="81"/>
      <c r="J1257" s="35"/>
      <c r="K1257" s="36"/>
      <c r="L1257" s="36"/>
      <c r="M1257" s="36"/>
      <c r="N1257" s="36"/>
      <c r="O1257" s="36"/>
      <c r="P1257" s="36"/>
      <c r="Q1257" s="36"/>
      <c r="R1257" s="36"/>
      <c r="S1257" s="36"/>
      <c r="T1257" s="36"/>
      <c r="U1257" s="36"/>
      <c r="V1257" s="36"/>
      <c r="W1257" s="36"/>
      <c r="X1257" s="36"/>
      <c r="Y1257" s="36"/>
      <c r="Z1257" s="36"/>
      <c r="AA1257" s="36"/>
      <c r="AB1257" s="36"/>
      <c r="AC1257" s="36"/>
    </row>
    <row r="1258" spans="1:29" ht="48" customHeight="1">
      <c r="A1258" s="81"/>
      <c r="B1258" s="81"/>
      <c r="C1258" s="81"/>
      <c r="D1258" s="476"/>
      <c r="E1258" s="80"/>
      <c r="F1258" s="80"/>
      <c r="G1258" s="80"/>
      <c r="H1258" s="94"/>
      <c r="I1258" s="81"/>
      <c r="J1258" s="35"/>
      <c r="K1258" s="36"/>
      <c r="L1258" s="36"/>
      <c r="M1258" s="36"/>
      <c r="N1258" s="36"/>
      <c r="O1258" s="36"/>
      <c r="P1258" s="36"/>
      <c r="Q1258" s="36"/>
      <c r="R1258" s="36"/>
      <c r="S1258" s="36"/>
      <c r="T1258" s="36"/>
      <c r="U1258" s="36"/>
      <c r="V1258" s="36"/>
      <c r="W1258" s="36"/>
      <c r="X1258" s="36"/>
      <c r="Y1258" s="36"/>
      <c r="Z1258" s="36"/>
      <c r="AA1258" s="36"/>
      <c r="AB1258" s="36"/>
      <c r="AC1258" s="36"/>
    </row>
    <row r="1259" spans="1:29" ht="48" customHeight="1">
      <c r="A1259" s="81"/>
      <c r="B1259" s="81"/>
      <c r="C1259" s="81"/>
      <c r="D1259" s="81"/>
      <c r="E1259" s="80"/>
      <c r="F1259" s="80"/>
      <c r="G1259" s="80"/>
      <c r="H1259" s="94"/>
      <c r="I1259" s="81"/>
      <c r="J1259" s="35"/>
      <c r="K1259" s="36"/>
      <c r="L1259" s="36"/>
      <c r="M1259" s="36"/>
      <c r="N1259" s="36"/>
      <c r="O1259" s="36"/>
      <c r="P1259" s="36"/>
      <c r="Q1259" s="36"/>
      <c r="R1259" s="36"/>
      <c r="S1259" s="36"/>
      <c r="T1259" s="36"/>
      <c r="U1259" s="36"/>
      <c r="V1259" s="36"/>
      <c r="W1259" s="36"/>
      <c r="X1259" s="36"/>
      <c r="Y1259" s="36"/>
      <c r="Z1259" s="36"/>
      <c r="AA1259" s="36"/>
      <c r="AB1259" s="36"/>
      <c r="AC1259" s="36"/>
    </row>
    <row r="1260" spans="1:29" ht="36" customHeight="1">
      <c r="A1260" s="81"/>
      <c r="B1260" s="81"/>
      <c r="C1260" s="81"/>
      <c r="D1260" s="81"/>
      <c r="E1260" s="80"/>
      <c r="F1260" s="80"/>
      <c r="G1260" s="80"/>
      <c r="H1260" s="94"/>
      <c r="I1260" s="81"/>
      <c r="J1260" s="35"/>
      <c r="K1260" s="36"/>
      <c r="L1260" s="36"/>
      <c r="M1260" s="36"/>
      <c r="N1260" s="36"/>
      <c r="O1260" s="36"/>
      <c r="P1260" s="36"/>
      <c r="Q1260" s="36"/>
      <c r="R1260" s="36"/>
      <c r="S1260" s="36"/>
      <c r="T1260" s="36"/>
      <c r="U1260" s="36"/>
      <c r="V1260" s="36"/>
      <c r="W1260" s="36"/>
      <c r="X1260" s="36"/>
      <c r="Y1260" s="36"/>
      <c r="Z1260" s="36"/>
      <c r="AA1260" s="36"/>
      <c r="AB1260" s="36"/>
      <c r="AC1260" s="36"/>
    </row>
    <row r="1261" spans="1:29" ht="36" customHeight="1">
      <c r="A1261" s="81"/>
      <c r="B1261" s="81"/>
      <c r="C1261" s="81"/>
      <c r="D1261" s="81"/>
      <c r="E1261" s="80"/>
      <c r="F1261" s="80"/>
      <c r="G1261" s="80"/>
      <c r="H1261" s="94"/>
      <c r="I1261" s="81"/>
      <c r="J1261" s="35"/>
      <c r="K1261" s="36"/>
      <c r="L1261" s="36"/>
      <c r="M1261" s="36"/>
      <c r="N1261" s="36"/>
      <c r="O1261" s="36"/>
      <c r="P1261" s="36"/>
      <c r="Q1261" s="36"/>
      <c r="R1261" s="36"/>
      <c r="S1261" s="36"/>
      <c r="T1261" s="36"/>
      <c r="U1261" s="36"/>
      <c r="V1261" s="36"/>
      <c r="W1261" s="36"/>
      <c r="X1261" s="36"/>
      <c r="Y1261" s="36"/>
      <c r="Z1261" s="36"/>
      <c r="AA1261" s="36"/>
      <c r="AB1261" s="36"/>
      <c r="AC1261" s="36"/>
    </row>
    <row r="1262" spans="1:29" ht="60" customHeight="1">
      <c r="A1262" s="81"/>
      <c r="B1262" s="81"/>
      <c r="C1262" s="81"/>
      <c r="D1262" s="81"/>
      <c r="E1262" s="80"/>
      <c r="F1262" s="80"/>
      <c r="G1262" s="80"/>
      <c r="H1262" s="94"/>
      <c r="I1262" s="81"/>
      <c r="J1262" s="36"/>
      <c r="K1262" s="36"/>
      <c r="L1262" s="36"/>
      <c r="M1262" s="36"/>
      <c r="N1262" s="36"/>
      <c r="O1262" s="36"/>
      <c r="P1262" s="36"/>
      <c r="Q1262" s="36"/>
      <c r="R1262" s="36"/>
      <c r="S1262" s="36"/>
      <c r="T1262" s="36"/>
      <c r="U1262" s="36"/>
      <c r="V1262" s="36"/>
      <c r="W1262" s="36"/>
      <c r="X1262" s="36"/>
      <c r="Y1262" s="36"/>
      <c r="Z1262" s="36"/>
      <c r="AA1262" s="36"/>
      <c r="AB1262" s="36"/>
      <c r="AC1262" s="36"/>
    </row>
    <row r="1263" spans="1:29" ht="24" customHeight="1">
      <c r="A1263" s="81"/>
      <c r="B1263" s="81"/>
      <c r="C1263" s="81"/>
      <c r="D1263" s="81"/>
      <c r="E1263" s="80"/>
      <c r="F1263" s="80"/>
      <c r="G1263" s="80"/>
      <c r="H1263" s="94"/>
      <c r="I1263" s="81"/>
      <c r="J1263" s="35"/>
      <c r="K1263" s="36"/>
      <c r="L1263" s="36"/>
      <c r="M1263" s="36"/>
      <c r="N1263" s="36"/>
      <c r="O1263" s="36"/>
      <c r="P1263" s="36"/>
      <c r="Q1263" s="36"/>
      <c r="R1263" s="36"/>
      <c r="S1263" s="36"/>
      <c r="T1263" s="36"/>
      <c r="U1263" s="36"/>
      <c r="V1263" s="36"/>
      <c r="W1263" s="36"/>
      <c r="X1263" s="36"/>
      <c r="Y1263" s="36"/>
      <c r="Z1263" s="36"/>
      <c r="AA1263" s="36"/>
      <c r="AB1263" s="36"/>
      <c r="AC1263" s="36"/>
    </row>
    <row r="1264" spans="1:29" ht="60" customHeight="1">
      <c r="A1264" s="81"/>
      <c r="B1264" s="81"/>
      <c r="C1264" s="81"/>
      <c r="D1264" s="81"/>
      <c r="E1264" s="80"/>
      <c r="F1264" s="80"/>
      <c r="G1264" s="80"/>
      <c r="H1264" s="94"/>
      <c r="I1264" s="81"/>
      <c r="J1264" s="35"/>
      <c r="K1264" s="36"/>
      <c r="L1264" s="36"/>
      <c r="M1264" s="36"/>
      <c r="N1264" s="36"/>
      <c r="O1264" s="36"/>
      <c r="P1264" s="36"/>
      <c r="Q1264" s="36"/>
      <c r="R1264" s="36"/>
      <c r="S1264" s="36"/>
      <c r="T1264" s="36"/>
      <c r="U1264" s="36"/>
      <c r="V1264" s="36"/>
      <c r="W1264" s="36"/>
      <c r="X1264" s="36"/>
      <c r="Y1264" s="36"/>
      <c r="Z1264" s="36"/>
      <c r="AA1264" s="36"/>
      <c r="AB1264" s="36"/>
      <c r="AC1264" s="36"/>
    </row>
    <row r="1265" spans="1:29" ht="48" customHeight="1">
      <c r="A1265" s="81"/>
      <c r="B1265" s="81"/>
      <c r="C1265" s="81"/>
      <c r="D1265" s="81"/>
      <c r="E1265" s="80"/>
      <c r="F1265" s="80"/>
      <c r="G1265" s="80"/>
      <c r="H1265" s="94"/>
      <c r="I1265" s="81"/>
      <c r="J1265" s="35"/>
      <c r="K1265" s="36"/>
      <c r="L1265" s="36"/>
      <c r="M1265" s="36"/>
      <c r="N1265" s="36"/>
      <c r="O1265" s="36"/>
      <c r="P1265" s="36"/>
      <c r="Q1265" s="36"/>
      <c r="R1265" s="36"/>
      <c r="S1265" s="36"/>
      <c r="T1265" s="36"/>
      <c r="U1265" s="36"/>
      <c r="V1265" s="36"/>
      <c r="W1265" s="36"/>
      <c r="X1265" s="36"/>
      <c r="Y1265" s="36"/>
      <c r="Z1265" s="36"/>
      <c r="AA1265" s="36"/>
      <c r="AB1265" s="36"/>
      <c r="AC1265" s="36"/>
    </row>
    <row r="1266" spans="1:29" ht="48" customHeight="1">
      <c r="A1266" s="81"/>
      <c r="B1266" s="81"/>
      <c r="C1266" s="81"/>
      <c r="D1266" s="81"/>
      <c r="E1266" s="80"/>
      <c r="F1266" s="80"/>
      <c r="G1266" s="80"/>
      <c r="H1266" s="94"/>
      <c r="I1266" s="81"/>
      <c r="J1266" s="35"/>
      <c r="K1266" s="36"/>
      <c r="L1266" s="36"/>
      <c r="M1266" s="36"/>
      <c r="N1266" s="36"/>
      <c r="O1266" s="36"/>
      <c r="P1266" s="36"/>
      <c r="Q1266" s="36"/>
      <c r="R1266" s="36"/>
      <c r="S1266" s="36"/>
      <c r="T1266" s="36"/>
      <c r="U1266" s="36"/>
      <c r="V1266" s="36"/>
      <c r="W1266" s="36"/>
      <c r="X1266" s="36"/>
      <c r="Y1266" s="36"/>
      <c r="Z1266" s="36"/>
      <c r="AA1266" s="36"/>
      <c r="AB1266" s="36"/>
      <c r="AC1266" s="36"/>
    </row>
    <row r="1267" spans="1:29" ht="60" customHeight="1">
      <c r="A1267" s="81"/>
      <c r="B1267" s="94"/>
      <c r="C1267" s="81"/>
      <c r="D1267" s="81"/>
      <c r="E1267" s="80"/>
      <c r="F1267" s="80"/>
      <c r="G1267" s="80"/>
      <c r="H1267" s="94"/>
      <c r="I1267" s="81"/>
      <c r="J1267" s="35"/>
      <c r="K1267" s="36"/>
      <c r="L1267" s="36"/>
      <c r="M1267" s="36"/>
      <c r="N1267" s="36"/>
      <c r="O1267" s="36"/>
      <c r="P1267" s="36"/>
      <c r="Q1267" s="36"/>
      <c r="R1267" s="36"/>
      <c r="S1267" s="36"/>
      <c r="T1267" s="36"/>
      <c r="U1267" s="36"/>
      <c r="V1267" s="36"/>
      <c r="W1267" s="36"/>
      <c r="X1267" s="36"/>
      <c r="Y1267" s="36"/>
      <c r="Z1267" s="36"/>
      <c r="AA1267" s="36"/>
      <c r="AB1267" s="36"/>
      <c r="AC1267" s="36"/>
    </row>
    <row r="1268" spans="1:29" ht="48" customHeight="1">
      <c r="A1268" s="81"/>
      <c r="B1268" s="81"/>
      <c r="C1268" s="81"/>
      <c r="D1268" s="81"/>
      <c r="E1268" s="80"/>
      <c r="F1268" s="80"/>
      <c r="G1268" s="80"/>
      <c r="H1268" s="94"/>
      <c r="I1268" s="81"/>
      <c r="J1268" s="35"/>
      <c r="K1268" s="36"/>
      <c r="L1268" s="36"/>
      <c r="M1268" s="36"/>
      <c r="N1268" s="36"/>
      <c r="O1268" s="36"/>
      <c r="P1268" s="36"/>
      <c r="Q1268" s="36"/>
      <c r="R1268" s="36"/>
      <c r="S1268" s="36"/>
      <c r="T1268" s="36"/>
      <c r="U1268" s="36"/>
      <c r="V1268" s="36"/>
      <c r="W1268" s="36"/>
      <c r="X1268" s="36"/>
      <c r="Y1268" s="36"/>
      <c r="Z1268" s="36"/>
      <c r="AA1268" s="36"/>
      <c r="AB1268" s="36"/>
      <c r="AC1268" s="36"/>
    </row>
    <row r="1269" spans="1:29" ht="36" customHeight="1">
      <c r="A1269" s="81"/>
      <c r="B1269" s="81"/>
      <c r="C1269" s="81"/>
      <c r="D1269" s="81"/>
      <c r="E1269" s="80"/>
      <c r="F1269" s="80"/>
      <c r="G1269" s="80"/>
      <c r="H1269" s="94"/>
      <c r="I1269" s="81"/>
      <c r="J1269" s="36"/>
      <c r="K1269" s="36"/>
      <c r="L1269" s="36"/>
      <c r="M1269" s="36"/>
      <c r="N1269" s="36"/>
      <c r="O1269" s="36"/>
      <c r="P1269" s="36"/>
      <c r="Q1269" s="36"/>
      <c r="R1269" s="36"/>
      <c r="S1269" s="36"/>
      <c r="T1269" s="36"/>
      <c r="U1269" s="36"/>
      <c r="V1269" s="36"/>
      <c r="W1269" s="36"/>
      <c r="X1269" s="36"/>
      <c r="Y1269" s="36"/>
      <c r="Z1269" s="36"/>
      <c r="AA1269" s="36"/>
      <c r="AB1269" s="36"/>
      <c r="AC1269" s="36"/>
    </row>
    <row r="1270" spans="1:29" ht="21" customHeight="1">
      <c r="A1270" s="81"/>
      <c r="B1270" s="81"/>
      <c r="C1270" s="81"/>
      <c r="D1270" s="81"/>
      <c r="E1270" s="80"/>
      <c r="F1270" s="80"/>
      <c r="G1270" s="80"/>
      <c r="H1270" s="94"/>
      <c r="I1270" s="81"/>
      <c r="J1270" s="36"/>
      <c r="K1270" s="36"/>
      <c r="L1270" s="36"/>
      <c r="M1270" s="36"/>
      <c r="N1270" s="36"/>
      <c r="O1270" s="36"/>
      <c r="P1270" s="36"/>
      <c r="Q1270" s="36"/>
      <c r="R1270" s="36"/>
      <c r="S1270" s="36"/>
      <c r="T1270" s="36"/>
      <c r="U1270" s="36"/>
      <c r="V1270" s="36"/>
      <c r="W1270" s="36"/>
      <c r="X1270" s="36"/>
      <c r="Y1270" s="36"/>
      <c r="Z1270" s="36"/>
      <c r="AA1270" s="36"/>
      <c r="AB1270" s="36"/>
      <c r="AC1270" s="36"/>
    </row>
    <row r="1271" spans="1:29" ht="24" customHeight="1">
      <c r="A1271" s="81"/>
      <c r="B1271" s="81"/>
      <c r="C1271" s="81"/>
      <c r="D1271" s="81"/>
      <c r="E1271" s="80"/>
      <c r="F1271" s="80"/>
      <c r="G1271" s="80"/>
      <c r="H1271" s="94"/>
      <c r="I1271" s="81"/>
      <c r="J1271" s="35"/>
      <c r="K1271" s="36"/>
      <c r="L1271" s="36"/>
      <c r="M1271" s="36"/>
      <c r="N1271" s="36"/>
      <c r="O1271" s="36"/>
      <c r="P1271" s="36"/>
      <c r="Q1271" s="36"/>
      <c r="R1271" s="36"/>
      <c r="S1271" s="36"/>
      <c r="T1271" s="36"/>
      <c r="U1271" s="36"/>
      <c r="V1271" s="36"/>
      <c r="W1271" s="36"/>
      <c r="X1271" s="36"/>
      <c r="Y1271" s="36"/>
      <c r="Z1271" s="36"/>
      <c r="AA1271" s="36"/>
      <c r="AB1271" s="36"/>
      <c r="AC1271" s="36"/>
    </row>
    <row r="1272" spans="1:29" ht="36" customHeight="1">
      <c r="A1272" s="81"/>
      <c r="B1272" s="81"/>
      <c r="C1272" s="81"/>
      <c r="D1272" s="81"/>
      <c r="E1272" s="80"/>
      <c r="F1272" s="80"/>
      <c r="G1272" s="80"/>
      <c r="H1272" s="94"/>
      <c r="I1272" s="81"/>
      <c r="J1272" s="35"/>
      <c r="K1272" s="36"/>
      <c r="L1272" s="36"/>
      <c r="M1272" s="36"/>
      <c r="N1272" s="36"/>
      <c r="O1272" s="36"/>
      <c r="P1272" s="36"/>
      <c r="Q1272" s="36"/>
      <c r="R1272" s="36"/>
      <c r="S1272" s="36"/>
      <c r="T1272" s="36"/>
      <c r="U1272" s="36"/>
      <c r="V1272" s="36"/>
      <c r="W1272" s="36"/>
      <c r="X1272" s="36"/>
      <c r="Y1272" s="36"/>
      <c r="Z1272" s="36"/>
      <c r="AA1272" s="36"/>
      <c r="AB1272" s="36"/>
      <c r="AC1272" s="36"/>
    </row>
    <row r="1273" spans="1:29" ht="24" customHeight="1">
      <c r="A1273" s="81"/>
      <c r="B1273" s="81"/>
      <c r="C1273" s="81"/>
      <c r="D1273" s="81"/>
      <c r="E1273" s="80"/>
      <c r="F1273" s="80"/>
      <c r="G1273" s="80"/>
      <c r="H1273" s="94"/>
      <c r="I1273" s="81"/>
      <c r="J1273" s="35"/>
      <c r="K1273" s="36"/>
      <c r="L1273" s="36"/>
      <c r="M1273" s="36"/>
      <c r="N1273" s="36"/>
      <c r="O1273" s="36"/>
      <c r="P1273" s="36"/>
      <c r="Q1273" s="36"/>
      <c r="R1273" s="36"/>
      <c r="S1273" s="36"/>
      <c r="T1273" s="36"/>
      <c r="U1273" s="36"/>
      <c r="V1273" s="36"/>
      <c r="W1273" s="36"/>
      <c r="X1273" s="36"/>
      <c r="Y1273" s="36"/>
      <c r="Z1273" s="36"/>
      <c r="AA1273" s="36"/>
      <c r="AB1273" s="36"/>
      <c r="AC1273" s="36"/>
    </row>
    <row r="1274" spans="1:29" ht="36" customHeight="1">
      <c r="A1274" s="81"/>
      <c r="B1274" s="81"/>
      <c r="C1274" s="81"/>
      <c r="D1274" s="81"/>
      <c r="E1274" s="80"/>
      <c r="F1274" s="80"/>
      <c r="G1274" s="80"/>
      <c r="H1274" s="94"/>
      <c r="I1274" s="81"/>
      <c r="J1274" s="35"/>
      <c r="K1274" s="36"/>
      <c r="L1274" s="36"/>
      <c r="M1274" s="36"/>
      <c r="N1274" s="36"/>
      <c r="O1274" s="36"/>
      <c r="P1274" s="36"/>
      <c r="Q1274" s="36"/>
      <c r="R1274" s="36"/>
      <c r="S1274" s="36"/>
      <c r="T1274" s="36"/>
      <c r="U1274" s="36"/>
      <c r="V1274" s="36"/>
      <c r="W1274" s="36"/>
      <c r="X1274" s="36"/>
      <c r="Y1274" s="36"/>
      <c r="Z1274" s="36"/>
      <c r="AA1274" s="36"/>
      <c r="AB1274" s="36"/>
      <c r="AC1274" s="36"/>
    </row>
    <row r="1275" spans="1:29" ht="36" customHeight="1">
      <c r="A1275" s="619"/>
      <c r="B1275" s="81"/>
      <c r="C1275" s="81"/>
      <c r="D1275" s="81"/>
      <c r="E1275" s="80"/>
      <c r="F1275" s="80"/>
      <c r="G1275" s="80"/>
      <c r="H1275" s="94"/>
      <c r="I1275" s="81"/>
      <c r="J1275" s="35"/>
      <c r="K1275" s="36"/>
      <c r="L1275" s="36"/>
      <c r="M1275" s="36"/>
      <c r="N1275" s="36"/>
      <c r="O1275" s="36"/>
      <c r="P1275" s="36"/>
      <c r="Q1275" s="36"/>
      <c r="R1275" s="36"/>
      <c r="S1275" s="36"/>
      <c r="T1275" s="36"/>
      <c r="U1275" s="36"/>
      <c r="V1275" s="36"/>
      <c r="W1275" s="36"/>
      <c r="X1275" s="36"/>
      <c r="Y1275" s="36"/>
      <c r="Z1275" s="36"/>
      <c r="AA1275" s="36"/>
      <c r="AB1275" s="36"/>
      <c r="AC1275" s="36"/>
    </row>
    <row r="1276" spans="1:29" ht="36" customHeight="1">
      <c r="A1276" s="619"/>
      <c r="B1276" s="81"/>
      <c r="C1276" s="81"/>
      <c r="D1276" s="81"/>
      <c r="E1276" s="80"/>
      <c r="F1276" s="80"/>
      <c r="G1276" s="80"/>
      <c r="H1276" s="94"/>
      <c r="I1276" s="81"/>
      <c r="J1276" s="35"/>
      <c r="K1276" s="36"/>
      <c r="L1276" s="36"/>
      <c r="M1276" s="36"/>
      <c r="N1276" s="36"/>
      <c r="O1276" s="36"/>
      <c r="P1276" s="36"/>
      <c r="Q1276" s="36"/>
      <c r="R1276" s="36"/>
      <c r="S1276" s="36"/>
      <c r="T1276" s="36"/>
      <c r="U1276" s="36"/>
      <c r="V1276" s="36"/>
      <c r="W1276" s="36"/>
      <c r="X1276" s="36"/>
      <c r="Y1276" s="36"/>
      <c r="Z1276" s="36"/>
      <c r="AA1276" s="36"/>
      <c r="AB1276" s="36"/>
      <c r="AC1276" s="36"/>
    </row>
    <row r="1277" spans="1:29" ht="36" customHeight="1">
      <c r="A1277" s="619"/>
      <c r="B1277" s="81"/>
      <c r="C1277" s="81"/>
      <c r="D1277" s="81"/>
      <c r="E1277" s="80"/>
      <c r="F1277" s="80"/>
      <c r="G1277" s="80"/>
      <c r="H1277" s="94"/>
      <c r="I1277" s="81"/>
      <c r="J1277" s="35"/>
      <c r="K1277" s="36"/>
      <c r="L1277" s="36"/>
      <c r="M1277" s="36"/>
      <c r="N1277" s="36"/>
      <c r="O1277" s="36"/>
      <c r="P1277" s="36"/>
      <c r="Q1277" s="36"/>
      <c r="R1277" s="36"/>
      <c r="S1277" s="36"/>
      <c r="T1277" s="36"/>
      <c r="U1277" s="36"/>
      <c r="V1277" s="36"/>
      <c r="W1277" s="36"/>
      <c r="X1277" s="36"/>
      <c r="Y1277" s="36"/>
      <c r="Z1277" s="36"/>
      <c r="AA1277" s="36"/>
      <c r="AB1277" s="36"/>
      <c r="AC1277" s="36"/>
    </row>
    <row r="1278" spans="1:29" ht="36" customHeight="1">
      <c r="A1278" s="619"/>
      <c r="B1278" s="81"/>
      <c r="C1278" s="81"/>
      <c r="D1278" s="81"/>
      <c r="E1278" s="80"/>
      <c r="F1278" s="80"/>
      <c r="G1278" s="80"/>
      <c r="H1278" s="94"/>
      <c r="I1278" s="81"/>
      <c r="J1278" s="35"/>
      <c r="K1278" s="36"/>
      <c r="L1278" s="36"/>
      <c r="M1278" s="36"/>
      <c r="N1278" s="36"/>
      <c r="O1278" s="36"/>
      <c r="P1278" s="36"/>
      <c r="Q1278" s="36"/>
      <c r="R1278" s="36"/>
      <c r="S1278" s="36"/>
      <c r="T1278" s="36"/>
      <c r="U1278" s="36"/>
      <c r="V1278" s="36"/>
      <c r="W1278" s="36"/>
      <c r="X1278" s="36"/>
      <c r="Y1278" s="36"/>
      <c r="Z1278" s="36"/>
      <c r="AA1278" s="36"/>
      <c r="AB1278" s="36"/>
      <c r="AC1278" s="36"/>
    </row>
    <row r="1279" spans="1:29" ht="36" customHeight="1">
      <c r="A1279" s="619"/>
      <c r="B1279" s="81"/>
      <c r="C1279" s="81"/>
      <c r="D1279" s="81"/>
      <c r="E1279" s="80"/>
      <c r="F1279" s="80"/>
      <c r="G1279" s="80"/>
      <c r="H1279" s="94"/>
      <c r="I1279" s="81"/>
      <c r="J1279" s="35"/>
      <c r="K1279" s="36"/>
      <c r="L1279" s="36"/>
      <c r="M1279" s="36"/>
      <c r="N1279" s="36"/>
      <c r="O1279" s="36"/>
      <c r="P1279" s="36"/>
      <c r="Q1279" s="36"/>
      <c r="R1279" s="36"/>
      <c r="S1279" s="36"/>
      <c r="T1279" s="36"/>
      <c r="U1279" s="36"/>
      <c r="V1279" s="36"/>
      <c r="W1279" s="36"/>
      <c r="X1279" s="36"/>
      <c r="Y1279" s="36"/>
      <c r="Z1279" s="36"/>
      <c r="AA1279" s="36"/>
      <c r="AB1279" s="36"/>
      <c r="AC1279" s="36"/>
    </row>
    <row r="1280" spans="1:29" ht="24" customHeight="1">
      <c r="A1280" s="619"/>
      <c r="B1280" s="81"/>
      <c r="C1280" s="81"/>
      <c r="D1280" s="81"/>
      <c r="E1280" s="80"/>
      <c r="F1280" s="80"/>
      <c r="G1280" s="80"/>
      <c r="H1280" s="94"/>
      <c r="I1280" s="81"/>
      <c r="J1280" s="35"/>
      <c r="K1280" s="36"/>
      <c r="L1280" s="36"/>
      <c r="M1280" s="36"/>
      <c r="N1280" s="36"/>
      <c r="O1280" s="36"/>
      <c r="P1280" s="36"/>
      <c r="Q1280" s="36"/>
      <c r="R1280" s="36"/>
      <c r="S1280" s="36"/>
      <c r="T1280" s="36"/>
      <c r="U1280" s="36"/>
      <c r="V1280" s="36"/>
      <c r="W1280" s="36"/>
      <c r="X1280" s="36"/>
      <c r="Y1280" s="36"/>
      <c r="Z1280" s="36"/>
      <c r="AA1280" s="36"/>
      <c r="AB1280" s="36"/>
      <c r="AC1280" s="36"/>
    </row>
    <row r="1281" spans="1:29" ht="48" customHeight="1">
      <c r="A1281" s="619"/>
      <c r="B1281" s="81"/>
      <c r="C1281" s="81"/>
      <c r="D1281" s="81"/>
      <c r="E1281" s="80"/>
      <c r="F1281" s="80"/>
      <c r="G1281" s="80"/>
      <c r="H1281" s="94"/>
      <c r="I1281" s="81"/>
      <c r="J1281" s="35"/>
      <c r="K1281" s="36"/>
      <c r="L1281" s="36"/>
      <c r="M1281" s="36"/>
      <c r="N1281" s="36"/>
      <c r="O1281" s="36"/>
      <c r="P1281" s="36"/>
      <c r="Q1281" s="36"/>
      <c r="R1281" s="36"/>
      <c r="S1281" s="36"/>
      <c r="T1281" s="36"/>
      <c r="U1281" s="36"/>
      <c r="V1281" s="36"/>
      <c r="W1281" s="36"/>
      <c r="X1281" s="36"/>
      <c r="Y1281" s="36"/>
      <c r="Z1281" s="36"/>
      <c r="AA1281" s="36"/>
      <c r="AB1281" s="36"/>
      <c r="AC1281" s="36"/>
    </row>
    <row r="1282" spans="1:29" ht="24" customHeight="1">
      <c r="A1282" s="619"/>
      <c r="B1282" s="81"/>
      <c r="C1282" s="81"/>
      <c r="D1282" s="81"/>
      <c r="E1282" s="80"/>
      <c r="F1282" s="80"/>
      <c r="G1282" s="80"/>
      <c r="H1282" s="94"/>
      <c r="I1282" s="81"/>
      <c r="J1282" s="35"/>
      <c r="K1282" s="36"/>
      <c r="L1282" s="36"/>
      <c r="M1282" s="36"/>
      <c r="N1282" s="36"/>
      <c r="O1282" s="36"/>
      <c r="P1282" s="36"/>
      <c r="Q1282" s="36"/>
      <c r="R1282" s="36"/>
      <c r="S1282" s="36"/>
      <c r="T1282" s="36"/>
      <c r="U1282" s="36"/>
      <c r="V1282" s="36"/>
      <c r="W1282" s="36"/>
      <c r="X1282" s="36"/>
      <c r="Y1282" s="36"/>
      <c r="Z1282" s="36"/>
      <c r="AA1282" s="36"/>
      <c r="AB1282" s="36"/>
      <c r="AC1282" s="36"/>
    </row>
    <row r="1283" spans="1:29" ht="48" customHeight="1">
      <c r="A1283" s="619"/>
      <c r="B1283" s="81"/>
      <c r="C1283" s="81"/>
      <c r="D1283" s="81"/>
      <c r="E1283" s="80"/>
      <c r="F1283" s="80"/>
      <c r="G1283" s="80"/>
      <c r="H1283" s="94"/>
      <c r="I1283" s="81"/>
      <c r="J1283" s="35"/>
      <c r="K1283" s="36"/>
      <c r="L1283" s="36"/>
      <c r="M1283" s="36"/>
      <c r="N1283" s="36"/>
      <c r="O1283" s="36"/>
      <c r="P1283" s="36"/>
      <c r="Q1283" s="36"/>
      <c r="R1283" s="36"/>
      <c r="S1283" s="36"/>
      <c r="T1283" s="36"/>
      <c r="U1283" s="36"/>
      <c r="V1283" s="36"/>
      <c r="W1283" s="36"/>
      <c r="X1283" s="36"/>
      <c r="Y1283" s="36"/>
      <c r="Z1283" s="36"/>
      <c r="AA1283" s="36"/>
      <c r="AB1283" s="36"/>
      <c r="AC1283" s="36"/>
    </row>
    <row r="1284" spans="1:29" ht="48" customHeight="1">
      <c r="A1284" s="619"/>
      <c r="B1284" s="81"/>
      <c r="C1284" s="81"/>
      <c r="D1284" s="81"/>
      <c r="E1284" s="80"/>
      <c r="F1284" s="80"/>
      <c r="G1284" s="80"/>
      <c r="H1284" s="94"/>
      <c r="I1284" s="81"/>
      <c r="J1284" s="35"/>
      <c r="K1284" s="36"/>
      <c r="L1284" s="36"/>
      <c r="M1284" s="36"/>
      <c r="N1284" s="36"/>
      <c r="O1284" s="36"/>
      <c r="P1284" s="36"/>
      <c r="Q1284" s="36"/>
      <c r="R1284" s="36"/>
      <c r="S1284" s="36"/>
      <c r="T1284" s="36"/>
      <c r="U1284" s="36"/>
      <c r="V1284" s="36"/>
      <c r="W1284" s="36"/>
      <c r="X1284" s="36"/>
      <c r="Y1284" s="36"/>
      <c r="Z1284" s="36"/>
      <c r="AA1284" s="36"/>
      <c r="AB1284" s="36"/>
      <c r="AC1284" s="36"/>
    </row>
    <row r="1285" spans="1:29" ht="36" customHeight="1">
      <c r="A1285" s="619"/>
      <c r="B1285" s="81"/>
      <c r="C1285" s="81"/>
      <c r="D1285" s="81"/>
      <c r="E1285" s="80"/>
      <c r="F1285" s="80"/>
      <c r="G1285" s="80"/>
      <c r="H1285" s="94"/>
      <c r="I1285" s="81"/>
      <c r="J1285" s="35"/>
      <c r="K1285" s="36"/>
      <c r="L1285" s="36"/>
      <c r="M1285" s="36"/>
      <c r="N1285" s="36"/>
      <c r="O1285" s="36"/>
      <c r="P1285" s="36"/>
      <c r="Q1285" s="36"/>
      <c r="R1285" s="36"/>
      <c r="S1285" s="36"/>
      <c r="T1285" s="36"/>
      <c r="U1285" s="36"/>
      <c r="V1285" s="36"/>
      <c r="W1285" s="36"/>
      <c r="X1285" s="36"/>
      <c r="Y1285" s="36"/>
      <c r="Z1285" s="36"/>
      <c r="AA1285" s="36"/>
      <c r="AB1285" s="36"/>
      <c r="AC1285" s="36"/>
    </row>
    <row r="1286" spans="1:29" ht="24" customHeight="1">
      <c r="A1286" s="619"/>
      <c r="B1286" s="81"/>
      <c r="C1286" s="81"/>
      <c r="D1286" s="81"/>
      <c r="E1286" s="80"/>
      <c r="F1286" s="80"/>
      <c r="G1286" s="80"/>
      <c r="H1286" s="94"/>
      <c r="I1286" s="81"/>
      <c r="J1286" s="35"/>
      <c r="K1286" s="36"/>
      <c r="L1286" s="36"/>
      <c r="M1286" s="36"/>
      <c r="N1286" s="36"/>
      <c r="O1286" s="36"/>
      <c r="P1286" s="36"/>
      <c r="Q1286" s="36"/>
      <c r="R1286" s="36"/>
      <c r="S1286" s="36"/>
      <c r="T1286" s="36"/>
      <c r="U1286" s="36"/>
      <c r="V1286" s="36"/>
      <c r="W1286" s="36"/>
      <c r="X1286" s="36"/>
      <c r="Y1286" s="36"/>
      <c r="Z1286" s="36"/>
      <c r="AA1286" s="36"/>
      <c r="AB1286" s="36"/>
      <c r="AC1286" s="36"/>
    </row>
    <row r="1287" spans="1:29" ht="24" customHeight="1">
      <c r="A1287" s="619"/>
      <c r="B1287" s="81"/>
      <c r="C1287" s="81"/>
      <c r="D1287" s="81"/>
      <c r="E1287" s="80"/>
      <c r="F1287" s="80"/>
      <c r="G1287" s="80"/>
      <c r="H1287" s="94"/>
      <c r="I1287" s="81"/>
      <c r="J1287" s="35"/>
      <c r="K1287" s="36"/>
      <c r="L1287" s="36"/>
      <c r="M1287" s="36"/>
      <c r="N1287" s="36"/>
      <c r="O1287" s="36"/>
      <c r="P1287" s="36"/>
      <c r="Q1287" s="36"/>
      <c r="R1287" s="36"/>
      <c r="S1287" s="36"/>
      <c r="T1287" s="36"/>
      <c r="U1287" s="36"/>
      <c r="V1287" s="36"/>
      <c r="W1287" s="36"/>
      <c r="X1287" s="36"/>
      <c r="Y1287" s="36"/>
      <c r="Z1287" s="36"/>
      <c r="AA1287" s="36"/>
      <c r="AB1287" s="36"/>
      <c r="AC1287" s="36"/>
    </row>
    <row r="1288" spans="1:29" ht="60" customHeight="1">
      <c r="A1288" s="619"/>
      <c r="B1288" s="81"/>
      <c r="C1288" s="81"/>
      <c r="D1288" s="81"/>
      <c r="E1288" s="80"/>
      <c r="F1288" s="80"/>
      <c r="G1288" s="80"/>
      <c r="H1288" s="94"/>
      <c r="I1288" s="81"/>
      <c r="J1288" s="35"/>
      <c r="K1288" s="36"/>
      <c r="L1288" s="36"/>
      <c r="M1288" s="36"/>
      <c r="N1288" s="36"/>
      <c r="O1288" s="36"/>
      <c r="P1288" s="36"/>
      <c r="Q1288" s="36"/>
      <c r="R1288" s="36"/>
      <c r="S1288" s="36"/>
      <c r="T1288" s="36"/>
      <c r="U1288" s="36"/>
      <c r="V1288" s="36"/>
      <c r="W1288" s="36"/>
      <c r="X1288" s="36"/>
      <c r="Y1288" s="36"/>
      <c r="Z1288" s="36"/>
      <c r="AA1288" s="36"/>
      <c r="AB1288" s="36"/>
      <c r="AC1288" s="36"/>
    </row>
    <row r="1289" spans="1:29" ht="72" customHeight="1">
      <c r="A1289" s="619"/>
      <c r="B1289" s="81"/>
      <c r="C1289" s="81"/>
      <c r="D1289" s="81"/>
      <c r="E1289" s="80"/>
      <c r="F1289" s="80"/>
      <c r="G1289" s="80"/>
      <c r="H1289" s="94"/>
      <c r="I1289" s="81"/>
      <c r="J1289" s="35"/>
      <c r="K1289" s="36"/>
      <c r="L1289" s="36"/>
      <c r="M1289" s="36"/>
      <c r="N1289" s="36"/>
      <c r="O1289" s="36"/>
      <c r="P1289" s="36"/>
      <c r="Q1289" s="36"/>
      <c r="R1289" s="36"/>
      <c r="S1289" s="36"/>
      <c r="T1289" s="36"/>
      <c r="U1289" s="36"/>
      <c r="V1289" s="36"/>
      <c r="W1289" s="36"/>
      <c r="X1289" s="36"/>
      <c r="Y1289" s="36"/>
      <c r="Z1289" s="36"/>
      <c r="AA1289" s="36"/>
      <c r="AB1289" s="36"/>
      <c r="AC1289" s="36"/>
    </row>
    <row r="1290" spans="1:29" ht="48" customHeight="1">
      <c r="A1290" s="619"/>
      <c r="B1290" s="81"/>
      <c r="C1290" s="81"/>
      <c r="D1290" s="81"/>
      <c r="E1290" s="80"/>
      <c r="F1290" s="80"/>
      <c r="G1290" s="80"/>
      <c r="H1290" s="94"/>
      <c r="I1290" s="81"/>
      <c r="J1290" s="36"/>
      <c r="K1290" s="36"/>
      <c r="L1290" s="36"/>
      <c r="M1290" s="36"/>
      <c r="N1290" s="36"/>
      <c r="O1290" s="36"/>
      <c r="P1290" s="36"/>
      <c r="Q1290" s="36"/>
      <c r="R1290" s="36"/>
      <c r="S1290" s="36"/>
      <c r="T1290" s="36"/>
      <c r="U1290" s="36"/>
      <c r="V1290" s="36"/>
      <c r="W1290" s="36"/>
      <c r="X1290" s="36"/>
      <c r="Y1290" s="36"/>
      <c r="Z1290" s="36"/>
      <c r="AA1290" s="36"/>
      <c r="AB1290" s="36"/>
      <c r="AC1290" s="36"/>
    </row>
    <row r="1291" spans="1:29" ht="72" customHeight="1">
      <c r="A1291" s="619"/>
      <c r="B1291" s="81"/>
      <c r="C1291" s="81"/>
      <c r="D1291" s="81"/>
      <c r="E1291" s="80"/>
      <c r="F1291" s="80"/>
      <c r="G1291" s="80"/>
      <c r="H1291" s="94"/>
      <c r="I1291" s="81"/>
      <c r="J1291" s="36"/>
      <c r="K1291" s="36"/>
      <c r="L1291" s="36"/>
      <c r="M1291" s="36"/>
      <c r="N1291" s="36"/>
      <c r="O1291" s="36"/>
      <c r="P1291" s="36"/>
      <c r="Q1291" s="36"/>
      <c r="R1291" s="36"/>
      <c r="S1291" s="36"/>
      <c r="T1291" s="36"/>
      <c r="U1291" s="36"/>
      <c r="V1291" s="36"/>
      <c r="W1291" s="36"/>
      <c r="X1291" s="36"/>
      <c r="Y1291" s="36"/>
      <c r="Z1291" s="36"/>
      <c r="AA1291" s="36"/>
      <c r="AB1291" s="36"/>
      <c r="AC1291" s="36"/>
    </row>
    <row r="1292" spans="1:29" ht="36" customHeight="1">
      <c r="A1292" s="619"/>
      <c r="B1292" s="81"/>
      <c r="C1292" s="81"/>
      <c r="D1292" s="81"/>
      <c r="E1292" s="80"/>
      <c r="F1292" s="80"/>
      <c r="G1292" s="80"/>
      <c r="H1292" s="94"/>
      <c r="I1292" s="81"/>
      <c r="J1292" s="36"/>
      <c r="K1292" s="36"/>
      <c r="L1292" s="36"/>
      <c r="M1292" s="36"/>
      <c r="N1292" s="36"/>
      <c r="O1292" s="36"/>
      <c r="P1292" s="36"/>
      <c r="Q1292" s="36"/>
      <c r="R1292" s="36"/>
      <c r="S1292" s="36"/>
      <c r="T1292" s="36"/>
      <c r="U1292" s="36"/>
      <c r="V1292" s="36"/>
      <c r="W1292" s="36"/>
      <c r="X1292" s="36"/>
      <c r="Y1292" s="36"/>
      <c r="Z1292" s="36"/>
      <c r="AA1292" s="36"/>
      <c r="AB1292" s="36"/>
      <c r="AC1292" s="36"/>
    </row>
    <row r="1293" spans="1:29" ht="36" customHeight="1">
      <c r="A1293" s="619"/>
      <c r="B1293" s="81"/>
      <c r="C1293" s="81"/>
      <c r="D1293" s="81"/>
      <c r="E1293" s="80"/>
      <c r="F1293" s="80"/>
      <c r="G1293" s="80"/>
      <c r="H1293" s="94"/>
      <c r="I1293" s="81"/>
      <c r="J1293" s="36"/>
      <c r="K1293" s="36"/>
      <c r="L1293" s="36"/>
      <c r="M1293" s="36"/>
      <c r="N1293" s="36"/>
      <c r="O1293" s="36"/>
      <c r="P1293" s="36"/>
      <c r="Q1293" s="36"/>
      <c r="R1293" s="36"/>
      <c r="S1293" s="36"/>
      <c r="T1293" s="36"/>
      <c r="U1293" s="36"/>
      <c r="V1293" s="36"/>
      <c r="W1293" s="36"/>
      <c r="X1293" s="36"/>
      <c r="Y1293" s="36"/>
      <c r="Z1293" s="36"/>
      <c r="AA1293" s="36"/>
      <c r="AB1293" s="36"/>
      <c r="AC1293" s="36"/>
    </row>
    <row r="1294" spans="1:29" ht="24" customHeight="1">
      <c r="A1294" s="619"/>
      <c r="B1294" s="81"/>
      <c r="C1294" s="81"/>
      <c r="D1294" s="81"/>
      <c r="E1294" s="80"/>
      <c r="F1294" s="80"/>
      <c r="G1294" s="80"/>
      <c r="H1294" s="94"/>
      <c r="I1294" s="81"/>
      <c r="J1294" s="35"/>
      <c r="K1294" s="36"/>
      <c r="L1294" s="36"/>
      <c r="M1294" s="36"/>
      <c r="N1294" s="36"/>
      <c r="O1294" s="36"/>
      <c r="P1294" s="36"/>
      <c r="Q1294" s="36"/>
      <c r="R1294" s="36"/>
      <c r="S1294" s="36"/>
      <c r="T1294" s="36"/>
      <c r="U1294" s="36"/>
      <c r="V1294" s="36"/>
      <c r="W1294" s="36"/>
      <c r="X1294" s="36"/>
      <c r="Y1294" s="36"/>
      <c r="Z1294" s="36"/>
      <c r="AA1294" s="36"/>
      <c r="AB1294" s="36"/>
      <c r="AC1294" s="36"/>
    </row>
    <row r="1295" spans="1:29" ht="36" customHeight="1">
      <c r="A1295" s="619"/>
      <c r="B1295" s="81"/>
      <c r="C1295" s="81"/>
      <c r="D1295" s="81"/>
      <c r="E1295" s="629"/>
      <c r="F1295" s="80"/>
      <c r="G1295" s="80"/>
      <c r="H1295" s="94"/>
      <c r="I1295" s="81"/>
      <c r="J1295" s="35"/>
      <c r="K1295" s="36"/>
      <c r="L1295" s="36"/>
      <c r="M1295" s="36"/>
      <c r="N1295" s="36"/>
      <c r="O1295" s="36"/>
      <c r="P1295" s="36"/>
      <c r="Q1295" s="36"/>
      <c r="R1295" s="36"/>
      <c r="S1295" s="36"/>
      <c r="T1295" s="36"/>
      <c r="U1295" s="36"/>
      <c r="V1295" s="36"/>
      <c r="W1295" s="36"/>
      <c r="X1295" s="36"/>
      <c r="Y1295" s="36"/>
      <c r="Z1295" s="36"/>
      <c r="AA1295" s="36"/>
      <c r="AB1295" s="36"/>
      <c r="AC1295" s="36"/>
    </row>
    <row r="1296" spans="1:29" ht="36" customHeight="1">
      <c r="A1296" s="619"/>
      <c r="B1296" s="81"/>
      <c r="C1296" s="81"/>
      <c r="D1296" s="81"/>
      <c r="E1296" s="80"/>
      <c r="F1296" s="80"/>
      <c r="G1296" s="80"/>
      <c r="H1296" s="94"/>
      <c r="I1296" s="81"/>
      <c r="J1296" s="35"/>
      <c r="K1296" s="36"/>
      <c r="L1296" s="36"/>
      <c r="M1296" s="36"/>
      <c r="N1296" s="36"/>
      <c r="O1296" s="36"/>
      <c r="P1296" s="36"/>
      <c r="Q1296" s="36"/>
      <c r="R1296" s="36"/>
      <c r="S1296" s="36"/>
      <c r="T1296" s="36"/>
      <c r="U1296" s="36"/>
      <c r="V1296" s="36"/>
      <c r="W1296" s="36"/>
      <c r="X1296" s="36"/>
      <c r="Y1296" s="36"/>
      <c r="Z1296" s="36"/>
      <c r="AA1296" s="36"/>
      <c r="AB1296" s="36"/>
      <c r="AC1296" s="36"/>
    </row>
    <row r="1297" spans="1:29" ht="19.5" customHeight="1">
      <c r="A1297" s="619"/>
      <c r="B1297" s="81"/>
      <c r="C1297" s="81"/>
      <c r="D1297" s="81"/>
      <c r="E1297" s="80"/>
      <c r="F1297" s="80"/>
      <c r="G1297" s="80"/>
      <c r="H1297" s="94"/>
      <c r="I1297" s="81"/>
      <c r="J1297" s="35"/>
      <c r="K1297" s="36"/>
      <c r="L1297" s="36"/>
      <c r="M1297" s="36"/>
      <c r="N1297" s="36"/>
      <c r="O1297" s="36"/>
      <c r="P1297" s="36"/>
      <c r="Q1297" s="36"/>
      <c r="R1297" s="36"/>
      <c r="S1297" s="36"/>
      <c r="T1297" s="36"/>
      <c r="U1297" s="36"/>
      <c r="V1297" s="36"/>
      <c r="W1297" s="36"/>
      <c r="X1297" s="36"/>
      <c r="Y1297" s="36"/>
      <c r="Z1297" s="36"/>
      <c r="AA1297" s="36"/>
      <c r="AB1297" s="36"/>
      <c r="AC1297" s="36"/>
    </row>
    <row r="1298" spans="1:29" ht="24" customHeight="1">
      <c r="A1298" s="619"/>
      <c r="B1298" s="81"/>
      <c r="C1298" s="81"/>
      <c r="D1298" s="81"/>
      <c r="E1298" s="80"/>
      <c r="F1298" s="80"/>
      <c r="G1298" s="80"/>
      <c r="H1298" s="94"/>
      <c r="I1298" s="81"/>
      <c r="J1298" s="35"/>
      <c r="K1298" s="36"/>
      <c r="L1298" s="36"/>
      <c r="M1298" s="36"/>
      <c r="N1298" s="36"/>
      <c r="O1298" s="36"/>
      <c r="P1298" s="36"/>
      <c r="Q1298" s="36"/>
      <c r="R1298" s="36"/>
      <c r="S1298" s="36"/>
      <c r="T1298" s="36"/>
      <c r="U1298" s="36"/>
      <c r="V1298" s="36"/>
      <c r="W1298" s="36"/>
      <c r="X1298" s="36"/>
      <c r="Y1298" s="36"/>
      <c r="Z1298" s="36"/>
      <c r="AA1298" s="36"/>
      <c r="AB1298" s="36"/>
      <c r="AC1298" s="36"/>
    </row>
    <row r="1299" spans="1:29" ht="36" customHeight="1">
      <c r="A1299" s="81"/>
      <c r="B1299" s="81"/>
      <c r="C1299" s="81"/>
      <c r="D1299" s="81"/>
      <c r="E1299" s="80"/>
      <c r="F1299" s="80"/>
      <c r="G1299" s="80"/>
      <c r="H1299" s="94"/>
      <c r="I1299" s="81"/>
      <c r="J1299" s="35"/>
      <c r="K1299" s="36"/>
      <c r="L1299" s="36"/>
      <c r="M1299" s="36"/>
      <c r="N1299" s="36"/>
      <c r="O1299" s="36"/>
      <c r="P1299" s="36"/>
      <c r="Q1299" s="36"/>
      <c r="R1299" s="36"/>
      <c r="S1299" s="36"/>
      <c r="T1299" s="36"/>
      <c r="U1299" s="36"/>
      <c r="V1299" s="36"/>
      <c r="W1299" s="36"/>
      <c r="X1299" s="36"/>
      <c r="Y1299" s="36"/>
      <c r="Z1299" s="36"/>
      <c r="AA1299" s="36"/>
      <c r="AB1299" s="36"/>
      <c r="AC1299" s="36"/>
    </row>
    <row r="1300" spans="1:29" ht="24" customHeight="1">
      <c r="A1300" s="81"/>
      <c r="B1300" s="81"/>
      <c r="C1300" s="81"/>
      <c r="D1300" s="81"/>
      <c r="E1300" s="80"/>
      <c r="F1300" s="80"/>
      <c r="G1300" s="80"/>
      <c r="H1300" s="94"/>
      <c r="I1300" s="81"/>
      <c r="J1300" s="35"/>
      <c r="K1300" s="36"/>
      <c r="L1300" s="36"/>
      <c r="M1300" s="36"/>
      <c r="N1300" s="36"/>
      <c r="O1300" s="36"/>
      <c r="P1300" s="36"/>
      <c r="Q1300" s="36"/>
      <c r="R1300" s="36"/>
      <c r="S1300" s="36"/>
      <c r="T1300" s="36"/>
      <c r="U1300" s="36"/>
      <c r="V1300" s="36"/>
      <c r="W1300" s="36"/>
      <c r="X1300" s="36"/>
      <c r="Y1300" s="36"/>
      <c r="Z1300" s="36"/>
      <c r="AA1300" s="36"/>
      <c r="AB1300" s="36"/>
      <c r="AC1300" s="36"/>
    </row>
    <row r="1301" spans="1:29" ht="24" customHeight="1">
      <c r="A1301" s="81"/>
      <c r="B1301" s="81"/>
      <c r="C1301" s="81"/>
      <c r="D1301" s="81"/>
      <c r="E1301" s="80"/>
      <c r="F1301" s="80"/>
      <c r="G1301" s="80"/>
      <c r="H1301" s="94"/>
      <c r="I1301" s="81"/>
      <c r="J1301" s="35"/>
      <c r="K1301" s="36"/>
      <c r="L1301" s="36"/>
      <c r="M1301" s="36"/>
      <c r="N1301" s="36"/>
      <c r="O1301" s="36"/>
      <c r="P1301" s="36"/>
      <c r="Q1301" s="36"/>
      <c r="R1301" s="36"/>
      <c r="S1301" s="36"/>
      <c r="T1301" s="36"/>
      <c r="U1301" s="36"/>
      <c r="V1301" s="36"/>
      <c r="W1301" s="36"/>
      <c r="X1301" s="36"/>
      <c r="Y1301" s="36"/>
      <c r="Z1301" s="36"/>
      <c r="AA1301" s="36"/>
      <c r="AB1301" s="36"/>
      <c r="AC1301" s="36"/>
    </row>
    <row r="1302" spans="1:29" ht="24" customHeight="1">
      <c r="A1302" s="81"/>
      <c r="B1302" s="81"/>
      <c r="C1302" s="81"/>
      <c r="D1302" s="81"/>
      <c r="E1302" s="80"/>
      <c r="F1302" s="80"/>
      <c r="G1302" s="80"/>
      <c r="H1302" s="94"/>
      <c r="I1302" s="81"/>
      <c r="J1302" s="35"/>
      <c r="K1302" s="36"/>
      <c r="L1302" s="36"/>
      <c r="M1302" s="36"/>
      <c r="N1302" s="36"/>
      <c r="O1302" s="36"/>
      <c r="P1302" s="36"/>
      <c r="Q1302" s="36"/>
      <c r="R1302" s="36"/>
      <c r="S1302" s="36"/>
      <c r="T1302" s="36"/>
      <c r="U1302" s="36"/>
      <c r="V1302" s="36"/>
      <c r="W1302" s="36"/>
      <c r="X1302" s="36"/>
      <c r="Y1302" s="36"/>
      <c r="Z1302" s="36"/>
      <c r="AA1302" s="36"/>
      <c r="AB1302" s="36"/>
      <c r="AC1302" s="36"/>
    </row>
    <row r="1303" spans="1:29" ht="36" customHeight="1">
      <c r="A1303" s="81"/>
      <c r="B1303" s="81"/>
      <c r="C1303" s="81"/>
      <c r="D1303" s="81"/>
      <c r="E1303" s="80"/>
      <c r="F1303" s="80"/>
      <c r="G1303" s="80"/>
      <c r="H1303" s="94"/>
      <c r="I1303" s="81"/>
      <c r="J1303" s="35"/>
      <c r="K1303" s="36"/>
      <c r="L1303" s="36"/>
      <c r="M1303" s="36"/>
      <c r="N1303" s="36"/>
      <c r="O1303" s="36"/>
      <c r="P1303" s="36"/>
      <c r="Q1303" s="36"/>
      <c r="R1303" s="36"/>
      <c r="S1303" s="36"/>
      <c r="T1303" s="36"/>
      <c r="U1303" s="36"/>
      <c r="V1303" s="36"/>
      <c r="W1303" s="36"/>
      <c r="X1303" s="36"/>
      <c r="Y1303" s="36"/>
      <c r="Z1303" s="36"/>
      <c r="AA1303" s="36"/>
      <c r="AB1303" s="36"/>
      <c r="AC1303" s="36"/>
    </row>
    <row r="1304" spans="1:29" ht="24" customHeight="1">
      <c r="A1304" s="81"/>
      <c r="B1304" s="81"/>
      <c r="C1304" s="81"/>
      <c r="D1304" s="81"/>
      <c r="E1304" s="80"/>
      <c r="F1304" s="80"/>
      <c r="G1304" s="80"/>
      <c r="H1304" s="94"/>
      <c r="I1304" s="81"/>
      <c r="J1304" s="35"/>
      <c r="K1304" s="36"/>
      <c r="L1304" s="36"/>
      <c r="M1304" s="36"/>
      <c r="N1304" s="36"/>
      <c r="O1304" s="36"/>
      <c r="P1304" s="36"/>
      <c r="Q1304" s="36"/>
      <c r="R1304" s="36"/>
      <c r="S1304" s="36"/>
      <c r="T1304" s="36"/>
      <c r="U1304" s="36"/>
      <c r="V1304" s="36"/>
      <c r="W1304" s="36"/>
      <c r="X1304" s="36"/>
      <c r="Y1304" s="36"/>
      <c r="Z1304" s="36"/>
      <c r="AA1304" s="36"/>
      <c r="AB1304" s="36"/>
      <c r="AC1304" s="36"/>
    </row>
    <row r="1305" spans="1:29" ht="20.25" customHeight="1">
      <c r="A1305" s="81"/>
      <c r="B1305" s="81"/>
      <c r="C1305" s="81"/>
      <c r="D1305" s="81"/>
      <c r="E1305" s="80"/>
      <c r="F1305" s="80"/>
      <c r="G1305" s="80"/>
      <c r="H1305" s="94"/>
      <c r="I1305" s="81"/>
      <c r="J1305" s="35"/>
      <c r="K1305" s="36"/>
      <c r="L1305" s="36"/>
      <c r="M1305" s="36"/>
      <c r="N1305" s="36"/>
      <c r="O1305" s="36"/>
      <c r="P1305" s="36"/>
      <c r="Q1305" s="36"/>
      <c r="R1305" s="36"/>
      <c r="S1305" s="36"/>
      <c r="T1305" s="36"/>
      <c r="U1305" s="36"/>
      <c r="V1305" s="36"/>
      <c r="W1305" s="36"/>
      <c r="X1305" s="36"/>
      <c r="Y1305" s="36"/>
      <c r="Z1305" s="36"/>
      <c r="AA1305" s="36"/>
      <c r="AB1305" s="36"/>
      <c r="AC1305" s="36"/>
    </row>
    <row r="1306" spans="1:29" ht="108" customHeight="1">
      <c r="A1306" s="81"/>
      <c r="B1306" s="81"/>
      <c r="C1306" s="81"/>
      <c r="D1306" s="81"/>
      <c r="E1306" s="80"/>
      <c r="F1306" s="80"/>
      <c r="G1306" s="80"/>
      <c r="H1306" s="94"/>
      <c r="I1306" s="81"/>
      <c r="J1306" s="35"/>
      <c r="K1306" s="36"/>
      <c r="L1306" s="36"/>
      <c r="M1306" s="36"/>
      <c r="N1306" s="36"/>
      <c r="O1306" s="36"/>
      <c r="P1306" s="36"/>
      <c r="Q1306" s="36"/>
      <c r="R1306" s="36"/>
      <c r="S1306" s="36"/>
      <c r="T1306" s="36"/>
      <c r="U1306" s="36"/>
      <c r="V1306" s="36"/>
      <c r="W1306" s="36"/>
      <c r="X1306" s="36"/>
      <c r="Y1306" s="36"/>
      <c r="Z1306" s="36"/>
      <c r="AA1306" s="36"/>
      <c r="AB1306" s="36"/>
      <c r="AC1306" s="36"/>
    </row>
    <row r="1307" spans="1:29" ht="24" customHeight="1">
      <c r="A1307" s="81"/>
      <c r="B1307" s="81"/>
      <c r="C1307" s="81"/>
      <c r="D1307" s="81"/>
      <c r="E1307" s="80"/>
      <c r="F1307" s="80"/>
      <c r="G1307" s="80"/>
      <c r="H1307" s="94"/>
      <c r="I1307" s="81"/>
      <c r="J1307" s="35"/>
      <c r="K1307" s="36"/>
      <c r="L1307" s="36"/>
      <c r="M1307" s="36"/>
      <c r="N1307" s="36"/>
      <c r="O1307" s="36"/>
      <c r="P1307" s="36"/>
      <c r="Q1307" s="36"/>
      <c r="R1307" s="36"/>
      <c r="S1307" s="36"/>
      <c r="T1307" s="36"/>
      <c r="U1307" s="36"/>
      <c r="V1307" s="36"/>
      <c r="W1307" s="36"/>
      <c r="X1307" s="36"/>
      <c r="Y1307" s="36"/>
      <c r="Z1307" s="36"/>
      <c r="AA1307" s="36"/>
      <c r="AB1307" s="36"/>
      <c r="AC1307" s="36"/>
    </row>
    <row r="1308" spans="1:29" ht="24" customHeight="1">
      <c r="A1308" s="81"/>
      <c r="B1308" s="81"/>
      <c r="C1308" s="81"/>
      <c r="D1308" s="81"/>
      <c r="E1308" s="80"/>
      <c r="F1308" s="80"/>
      <c r="G1308" s="80"/>
      <c r="H1308" s="94"/>
      <c r="I1308" s="81"/>
      <c r="J1308" s="35"/>
      <c r="K1308" s="36"/>
      <c r="L1308" s="36"/>
      <c r="M1308" s="36"/>
      <c r="N1308" s="36"/>
      <c r="O1308" s="36"/>
      <c r="P1308" s="36"/>
      <c r="Q1308" s="36"/>
      <c r="R1308" s="36"/>
      <c r="S1308" s="36"/>
      <c r="T1308" s="36"/>
      <c r="U1308" s="36"/>
      <c r="V1308" s="36"/>
      <c r="W1308" s="36"/>
      <c r="X1308" s="36"/>
      <c r="Y1308" s="36"/>
      <c r="Z1308" s="36"/>
      <c r="AA1308" s="36"/>
      <c r="AB1308" s="36"/>
      <c r="AC1308" s="36"/>
    </row>
    <row r="1309" spans="1:29" ht="24" customHeight="1">
      <c r="A1309" s="81"/>
      <c r="B1309" s="81"/>
      <c r="C1309" s="81"/>
      <c r="D1309" s="81"/>
      <c r="E1309" s="80"/>
      <c r="F1309" s="80"/>
      <c r="G1309" s="80"/>
      <c r="H1309" s="94"/>
      <c r="I1309" s="81"/>
      <c r="J1309" s="35"/>
      <c r="K1309" s="36"/>
      <c r="L1309" s="36"/>
      <c r="M1309" s="36"/>
      <c r="N1309" s="36"/>
      <c r="O1309" s="36"/>
      <c r="P1309" s="36"/>
      <c r="Q1309" s="36"/>
      <c r="R1309" s="36"/>
      <c r="S1309" s="36"/>
      <c r="T1309" s="36"/>
      <c r="U1309" s="36"/>
      <c r="V1309" s="36"/>
      <c r="W1309" s="36"/>
      <c r="X1309" s="36"/>
      <c r="Y1309" s="36"/>
      <c r="Z1309" s="36"/>
      <c r="AA1309" s="36"/>
      <c r="AB1309" s="36"/>
      <c r="AC1309" s="36"/>
    </row>
    <row r="1310" spans="1:29" ht="24" customHeight="1">
      <c r="A1310" s="81"/>
      <c r="B1310" s="81"/>
      <c r="C1310" s="81"/>
      <c r="D1310" s="81"/>
      <c r="E1310" s="80"/>
      <c r="F1310" s="80"/>
      <c r="G1310" s="80"/>
      <c r="H1310" s="94"/>
      <c r="I1310" s="81"/>
      <c r="J1310" s="35"/>
      <c r="K1310" s="36"/>
      <c r="L1310" s="36"/>
      <c r="M1310" s="36"/>
      <c r="N1310" s="36"/>
      <c r="O1310" s="36"/>
      <c r="P1310" s="36"/>
      <c r="Q1310" s="36"/>
      <c r="R1310" s="36"/>
      <c r="S1310" s="36"/>
      <c r="T1310" s="36"/>
      <c r="U1310" s="36"/>
      <c r="V1310" s="36"/>
      <c r="W1310" s="36"/>
      <c r="X1310" s="36"/>
      <c r="Y1310" s="36"/>
      <c r="Z1310" s="36"/>
      <c r="AA1310" s="36"/>
      <c r="AB1310" s="36"/>
      <c r="AC1310" s="36"/>
    </row>
    <row r="1311" spans="1:29" ht="24" customHeight="1">
      <c r="A1311" s="81"/>
      <c r="B1311" s="81"/>
      <c r="C1311" s="81"/>
      <c r="D1311" s="81"/>
      <c r="E1311" s="80"/>
      <c r="F1311" s="80"/>
      <c r="G1311" s="80"/>
      <c r="H1311" s="94"/>
      <c r="I1311" s="81"/>
      <c r="J1311" s="35"/>
      <c r="K1311" s="36"/>
      <c r="L1311" s="36"/>
      <c r="M1311" s="36"/>
      <c r="N1311" s="36"/>
      <c r="O1311" s="36"/>
      <c r="P1311" s="36"/>
      <c r="Q1311" s="36"/>
      <c r="R1311" s="36"/>
      <c r="S1311" s="36"/>
      <c r="T1311" s="36"/>
      <c r="U1311" s="36"/>
      <c r="V1311" s="36"/>
      <c r="W1311" s="36"/>
      <c r="X1311" s="36"/>
      <c r="Y1311" s="36"/>
      <c r="Z1311" s="36"/>
      <c r="AA1311" s="36"/>
      <c r="AB1311" s="36"/>
      <c r="AC1311" s="36"/>
    </row>
    <row r="1312" spans="1:29" ht="24" customHeight="1">
      <c r="A1312" s="81"/>
      <c r="B1312" s="81"/>
      <c r="C1312" s="81"/>
      <c r="D1312" s="81"/>
      <c r="E1312" s="80"/>
      <c r="F1312" s="80"/>
      <c r="G1312" s="80"/>
      <c r="H1312" s="94"/>
      <c r="I1312" s="81"/>
      <c r="J1312" s="35"/>
      <c r="K1312" s="36"/>
      <c r="L1312" s="36"/>
      <c r="M1312" s="36"/>
      <c r="N1312" s="36"/>
      <c r="O1312" s="36"/>
      <c r="P1312" s="36"/>
      <c r="Q1312" s="36"/>
      <c r="R1312" s="36"/>
      <c r="S1312" s="36"/>
      <c r="T1312" s="36"/>
      <c r="U1312" s="36"/>
      <c r="V1312" s="36"/>
      <c r="W1312" s="36"/>
      <c r="X1312" s="36"/>
      <c r="Y1312" s="36"/>
      <c r="Z1312" s="36"/>
      <c r="AA1312" s="36"/>
      <c r="AB1312" s="36"/>
      <c r="AC1312" s="36"/>
    </row>
    <row r="1313" spans="1:29" ht="36" customHeight="1">
      <c r="A1313" s="81"/>
      <c r="B1313" s="81"/>
      <c r="C1313" s="81"/>
      <c r="D1313" s="81"/>
      <c r="E1313" s="80"/>
      <c r="F1313" s="80"/>
      <c r="G1313" s="80"/>
      <c r="H1313" s="94"/>
      <c r="I1313" s="81"/>
      <c r="J1313" s="35"/>
      <c r="K1313" s="36"/>
      <c r="L1313" s="36"/>
      <c r="M1313" s="36"/>
      <c r="N1313" s="36"/>
      <c r="O1313" s="36"/>
      <c r="P1313" s="36"/>
      <c r="Q1313" s="36"/>
      <c r="R1313" s="36"/>
      <c r="S1313" s="36"/>
      <c r="T1313" s="36"/>
      <c r="U1313" s="36"/>
      <c r="V1313" s="36"/>
      <c r="W1313" s="36"/>
      <c r="X1313" s="36"/>
      <c r="Y1313" s="36"/>
      <c r="Z1313" s="36"/>
      <c r="AA1313" s="36"/>
      <c r="AB1313" s="36"/>
      <c r="AC1313" s="36"/>
    </row>
    <row r="1314" spans="1:29" ht="24" customHeight="1">
      <c r="A1314" s="81"/>
      <c r="B1314" s="81"/>
      <c r="C1314" s="81"/>
      <c r="D1314" s="81"/>
      <c r="E1314" s="80"/>
      <c r="F1314" s="80"/>
      <c r="G1314" s="80"/>
      <c r="H1314" s="94"/>
      <c r="I1314" s="81"/>
      <c r="J1314" s="35"/>
      <c r="K1314" s="36"/>
      <c r="L1314" s="36"/>
      <c r="M1314" s="36"/>
      <c r="N1314" s="36"/>
      <c r="O1314" s="36"/>
      <c r="P1314" s="36"/>
      <c r="Q1314" s="36"/>
      <c r="R1314" s="36"/>
      <c r="S1314" s="36"/>
      <c r="T1314" s="36"/>
      <c r="U1314" s="36"/>
      <c r="V1314" s="36"/>
      <c r="W1314" s="36"/>
      <c r="X1314" s="36"/>
      <c r="Y1314" s="36"/>
      <c r="Z1314" s="36"/>
      <c r="AA1314" s="36"/>
      <c r="AB1314" s="36"/>
      <c r="AC1314" s="36"/>
    </row>
    <row r="1315" spans="1:29" ht="24" customHeight="1">
      <c r="A1315" s="81"/>
      <c r="B1315" s="81"/>
      <c r="C1315" s="81"/>
      <c r="D1315" s="81"/>
      <c r="E1315" s="80"/>
      <c r="F1315" s="80"/>
      <c r="G1315" s="80"/>
      <c r="H1315" s="94"/>
      <c r="I1315" s="81"/>
      <c r="J1315" s="35"/>
      <c r="K1315" s="36"/>
      <c r="L1315" s="36"/>
      <c r="M1315" s="36"/>
      <c r="N1315" s="36"/>
      <c r="O1315" s="36"/>
      <c r="P1315" s="36"/>
      <c r="Q1315" s="36"/>
      <c r="R1315" s="36"/>
      <c r="S1315" s="36"/>
      <c r="T1315" s="36"/>
      <c r="U1315" s="36"/>
      <c r="V1315" s="36"/>
      <c r="W1315" s="36"/>
      <c r="X1315" s="36"/>
      <c r="Y1315" s="36"/>
      <c r="Z1315" s="36"/>
      <c r="AA1315" s="36"/>
      <c r="AB1315" s="36"/>
      <c r="AC1315" s="36"/>
    </row>
    <row r="1316" spans="1:29" ht="36" customHeight="1">
      <c r="A1316" s="81"/>
      <c r="B1316" s="81"/>
      <c r="C1316" s="81"/>
      <c r="D1316" s="81"/>
      <c r="E1316" s="80"/>
      <c r="F1316" s="80"/>
      <c r="G1316" s="80"/>
      <c r="H1316" s="94"/>
      <c r="I1316" s="81"/>
      <c r="J1316" s="35"/>
      <c r="K1316" s="36"/>
      <c r="L1316" s="36"/>
      <c r="M1316" s="36"/>
      <c r="N1316" s="36"/>
      <c r="O1316" s="36"/>
      <c r="P1316" s="36"/>
      <c r="Q1316" s="36"/>
      <c r="R1316" s="36"/>
      <c r="S1316" s="36"/>
      <c r="T1316" s="36"/>
      <c r="U1316" s="36"/>
      <c r="V1316" s="36"/>
      <c r="W1316" s="36"/>
      <c r="X1316" s="36"/>
      <c r="Y1316" s="36"/>
      <c r="Z1316" s="36"/>
      <c r="AA1316" s="36"/>
      <c r="AB1316" s="36"/>
      <c r="AC1316" s="36"/>
    </row>
    <row r="1317" spans="1:29" ht="24" customHeight="1">
      <c r="A1317" s="81"/>
      <c r="B1317" s="81"/>
      <c r="C1317" s="81"/>
      <c r="D1317" s="81"/>
      <c r="E1317" s="80"/>
      <c r="F1317" s="80"/>
      <c r="G1317" s="80"/>
      <c r="H1317" s="94"/>
      <c r="I1317" s="81"/>
      <c r="J1317" s="35"/>
      <c r="K1317" s="36"/>
      <c r="L1317" s="36"/>
      <c r="M1317" s="36"/>
      <c r="N1317" s="36"/>
      <c r="O1317" s="36"/>
      <c r="P1317" s="36"/>
      <c r="Q1317" s="36"/>
      <c r="R1317" s="36"/>
      <c r="S1317" s="36"/>
      <c r="T1317" s="36"/>
      <c r="U1317" s="36"/>
      <c r="V1317" s="36"/>
      <c r="W1317" s="36"/>
      <c r="X1317" s="36"/>
      <c r="Y1317" s="36"/>
      <c r="Z1317" s="36"/>
      <c r="AA1317" s="36"/>
      <c r="AB1317" s="36"/>
      <c r="AC1317" s="36"/>
    </row>
    <row r="1318" spans="1:29" ht="24" customHeight="1">
      <c r="A1318" s="81"/>
      <c r="B1318" s="81"/>
      <c r="C1318" s="81"/>
      <c r="D1318" s="81"/>
      <c r="E1318" s="80"/>
      <c r="F1318" s="80"/>
      <c r="G1318" s="80"/>
      <c r="H1318" s="94"/>
      <c r="I1318" s="81"/>
      <c r="J1318" s="35"/>
      <c r="K1318" s="36"/>
      <c r="L1318" s="36"/>
      <c r="M1318" s="36"/>
      <c r="N1318" s="36"/>
      <c r="O1318" s="36"/>
      <c r="P1318" s="36"/>
      <c r="Q1318" s="36"/>
      <c r="R1318" s="36"/>
      <c r="S1318" s="36"/>
      <c r="T1318" s="36"/>
      <c r="U1318" s="36"/>
      <c r="V1318" s="36"/>
      <c r="W1318" s="36"/>
      <c r="X1318" s="36"/>
      <c r="Y1318" s="36"/>
      <c r="Z1318" s="36"/>
      <c r="AA1318" s="36"/>
      <c r="AB1318" s="36"/>
      <c r="AC1318" s="36"/>
    </row>
    <row r="1319" spans="1:29" ht="96" customHeight="1">
      <c r="A1319" s="81"/>
      <c r="B1319" s="81"/>
      <c r="C1319" s="81"/>
      <c r="D1319" s="81"/>
      <c r="E1319" s="80"/>
      <c r="F1319" s="80"/>
      <c r="G1319" s="80"/>
      <c r="H1319" s="94"/>
      <c r="I1319" s="81"/>
      <c r="J1319" s="35"/>
      <c r="K1319" s="36"/>
      <c r="L1319" s="36"/>
      <c r="M1319" s="36"/>
      <c r="N1319" s="36"/>
      <c r="O1319" s="36"/>
      <c r="P1319" s="36"/>
      <c r="Q1319" s="36"/>
      <c r="R1319" s="36"/>
      <c r="S1319" s="36"/>
      <c r="T1319" s="36"/>
      <c r="U1319" s="36"/>
      <c r="V1319" s="36"/>
      <c r="W1319" s="36"/>
      <c r="X1319" s="36"/>
      <c r="Y1319" s="36"/>
      <c r="Z1319" s="36"/>
      <c r="AA1319" s="36"/>
      <c r="AB1319" s="36"/>
      <c r="AC1319" s="36"/>
    </row>
    <row r="1320" spans="1:29" ht="15" customHeight="1">
      <c r="A1320" s="81"/>
      <c r="B1320" s="81"/>
      <c r="C1320" s="81"/>
      <c r="D1320" s="81"/>
      <c r="E1320" s="80"/>
      <c r="F1320" s="80"/>
      <c r="G1320" s="80"/>
      <c r="H1320" s="94"/>
      <c r="I1320" s="81"/>
      <c r="J1320" s="35"/>
      <c r="K1320" s="36"/>
      <c r="L1320" s="36"/>
      <c r="M1320" s="36"/>
      <c r="N1320" s="36"/>
      <c r="O1320" s="36"/>
      <c r="P1320" s="36"/>
      <c r="Q1320" s="36"/>
      <c r="R1320" s="36"/>
      <c r="S1320" s="36"/>
      <c r="T1320" s="36"/>
      <c r="U1320" s="36"/>
      <c r="V1320" s="36"/>
      <c r="W1320" s="36"/>
      <c r="X1320" s="36"/>
      <c r="Y1320" s="36"/>
      <c r="Z1320" s="36"/>
      <c r="AA1320" s="36"/>
      <c r="AB1320" s="36"/>
      <c r="AC1320" s="36"/>
    </row>
    <row r="1321" spans="1:29" ht="24" customHeight="1">
      <c r="A1321" s="81"/>
      <c r="B1321" s="81"/>
      <c r="C1321" s="81"/>
      <c r="D1321" s="81"/>
      <c r="E1321" s="80"/>
      <c r="F1321" s="80"/>
      <c r="G1321" s="80"/>
      <c r="H1321" s="94"/>
      <c r="I1321" s="81"/>
      <c r="J1321" s="35"/>
      <c r="K1321" s="36"/>
      <c r="L1321" s="36"/>
      <c r="M1321" s="36"/>
      <c r="N1321" s="36"/>
      <c r="O1321" s="36"/>
      <c r="P1321" s="36"/>
      <c r="Q1321" s="36"/>
      <c r="R1321" s="36"/>
      <c r="S1321" s="36"/>
      <c r="T1321" s="36"/>
      <c r="U1321" s="36"/>
      <c r="V1321" s="36"/>
      <c r="W1321" s="36"/>
      <c r="X1321" s="36"/>
      <c r="Y1321" s="36"/>
      <c r="Z1321" s="36"/>
      <c r="AA1321" s="36"/>
      <c r="AB1321" s="36"/>
      <c r="AC1321" s="36"/>
    </row>
    <row r="1322" spans="1:29" ht="36" customHeight="1">
      <c r="A1322" s="476"/>
      <c r="B1322" s="476"/>
      <c r="C1322" s="476"/>
      <c r="D1322" s="476"/>
      <c r="E1322" s="636"/>
      <c r="F1322" s="636"/>
      <c r="G1322" s="636"/>
      <c r="H1322" s="477"/>
      <c r="I1322" s="476"/>
      <c r="J1322" s="35"/>
      <c r="K1322" s="36"/>
      <c r="L1322" s="36"/>
      <c r="M1322" s="36"/>
      <c r="N1322" s="36"/>
      <c r="O1322" s="36"/>
      <c r="P1322" s="36"/>
      <c r="Q1322" s="36"/>
      <c r="R1322" s="36"/>
      <c r="S1322" s="36"/>
      <c r="T1322" s="36"/>
      <c r="U1322" s="36"/>
      <c r="V1322" s="36"/>
      <c r="W1322" s="36"/>
      <c r="X1322" s="36"/>
      <c r="Y1322" s="36"/>
      <c r="Z1322" s="36"/>
      <c r="AA1322" s="36"/>
      <c r="AB1322" s="36"/>
      <c r="AC1322" s="36"/>
    </row>
    <row r="1323" spans="1:29" ht="12" customHeight="1">
      <c r="A1323" s="81"/>
      <c r="B1323" s="81"/>
      <c r="C1323" s="81"/>
      <c r="D1323" s="81"/>
      <c r="E1323" s="80"/>
      <c r="F1323" s="80"/>
      <c r="G1323" s="80"/>
      <c r="H1323" s="94"/>
      <c r="I1323" s="81"/>
      <c r="J1323" s="35"/>
      <c r="K1323" s="36"/>
      <c r="L1323" s="36"/>
      <c r="M1323" s="36"/>
      <c r="N1323" s="36"/>
      <c r="O1323" s="36"/>
      <c r="P1323" s="36"/>
      <c r="Q1323" s="36"/>
      <c r="R1323" s="36"/>
      <c r="S1323" s="36"/>
      <c r="T1323" s="36"/>
      <c r="U1323" s="36"/>
      <c r="V1323" s="36"/>
      <c r="W1323" s="36"/>
      <c r="X1323" s="36"/>
      <c r="Y1323" s="36"/>
      <c r="Z1323" s="36"/>
      <c r="AA1323" s="36"/>
      <c r="AB1323" s="36"/>
      <c r="AC1323" s="36"/>
    </row>
    <row r="1324" spans="1:29" ht="48" customHeight="1">
      <c r="A1324" s="476"/>
      <c r="B1324" s="476"/>
      <c r="C1324" s="476"/>
      <c r="D1324" s="476"/>
      <c r="E1324" s="636"/>
      <c r="F1324" s="636"/>
      <c r="G1324" s="636"/>
      <c r="H1324" s="477"/>
      <c r="I1324" s="476"/>
      <c r="J1324" s="35"/>
      <c r="K1324" s="36"/>
      <c r="L1324" s="36"/>
      <c r="M1324" s="36"/>
      <c r="N1324" s="36"/>
      <c r="O1324" s="36"/>
      <c r="P1324" s="36"/>
      <c r="Q1324" s="36"/>
      <c r="R1324" s="36"/>
      <c r="S1324" s="36"/>
      <c r="T1324" s="36"/>
      <c r="U1324" s="36"/>
      <c r="V1324" s="36"/>
      <c r="W1324" s="36"/>
      <c r="X1324" s="36"/>
      <c r="Y1324" s="36"/>
      <c r="Z1324" s="36"/>
      <c r="AA1324" s="36"/>
      <c r="AB1324" s="36"/>
      <c r="AC1324" s="36"/>
    </row>
    <row r="1325" spans="1:29" ht="24" customHeight="1">
      <c r="A1325" s="619"/>
      <c r="B1325" s="94"/>
      <c r="C1325" s="81"/>
      <c r="D1325" s="81"/>
      <c r="E1325" s="80"/>
      <c r="F1325" s="80"/>
      <c r="G1325" s="80"/>
      <c r="H1325" s="94"/>
      <c r="I1325" s="81"/>
      <c r="J1325" s="35"/>
      <c r="K1325" s="36"/>
      <c r="L1325" s="36"/>
      <c r="M1325" s="36"/>
      <c r="N1325" s="36"/>
      <c r="O1325" s="36"/>
      <c r="P1325" s="36"/>
      <c r="Q1325" s="36"/>
      <c r="R1325" s="36"/>
      <c r="S1325" s="36"/>
      <c r="T1325" s="36"/>
      <c r="U1325" s="36"/>
      <c r="V1325" s="36"/>
      <c r="W1325" s="36"/>
      <c r="X1325" s="36"/>
      <c r="Y1325" s="36"/>
      <c r="Z1325" s="36"/>
      <c r="AA1325" s="36"/>
      <c r="AB1325" s="36"/>
      <c r="AC1325" s="36"/>
    </row>
    <row r="1326" spans="1:29" ht="36" customHeight="1">
      <c r="A1326" s="81"/>
      <c r="B1326" s="94"/>
      <c r="C1326" s="81"/>
      <c r="D1326" s="81"/>
      <c r="E1326" s="80"/>
      <c r="F1326" s="80"/>
      <c r="G1326" s="80"/>
      <c r="H1326" s="94"/>
      <c r="I1326" s="81"/>
      <c r="J1326" s="35"/>
      <c r="K1326" s="36"/>
      <c r="L1326" s="36"/>
      <c r="M1326" s="36"/>
      <c r="N1326" s="36"/>
      <c r="O1326" s="36"/>
      <c r="P1326" s="36"/>
      <c r="Q1326" s="36"/>
      <c r="R1326" s="36"/>
      <c r="S1326" s="36"/>
      <c r="T1326" s="36"/>
      <c r="U1326" s="36"/>
      <c r="V1326" s="36"/>
      <c r="W1326" s="36"/>
      <c r="X1326" s="36"/>
      <c r="Y1326" s="36"/>
      <c r="Z1326" s="36"/>
      <c r="AA1326" s="36"/>
      <c r="AB1326" s="36"/>
      <c r="AC1326" s="36"/>
    </row>
    <row r="1327" spans="1:29" ht="36" customHeight="1">
      <c r="A1327" s="81"/>
      <c r="B1327" s="81"/>
      <c r="C1327" s="81"/>
      <c r="D1327" s="81"/>
      <c r="E1327" s="80"/>
      <c r="F1327" s="80"/>
      <c r="G1327" s="80"/>
      <c r="H1327" s="94"/>
      <c r="I1327" s="81"/>
      <c r="J1327" s="35"/>
      <c r="K1327" s="36"/>
      <c r="L1327" s="36"/>
      <c r="M1327" s="36"/>
      <c r="N1327" s="36"/>
      <c r="O1327" s="36"/>
      <c r="P1327" s="36"/>
      <c r="Q1327" s="36"/>
      <c r="R1327" s="36"/>
      <c r="S1327" s="36"/>
      <c r="T1327" s="36"/>
      <c r="U1327" s="36"/>
      <c r="V1327" s="36"/>
      <c r="W1327" s="36"/>
      <c r="X1327" s="36"/>
      <c r="Y1327" s="36"/>
      <c r="Z1327" s="36"/>
      <c r="AA1327" s="36"/>
      <c r="AB1327" s="36"/>
      <c r="AC1327" s="36"/>
    </row>
    <row r="1328" spans="1:29" ht="36" customHeight="1">
      <c r="A1328" s="81"/>
      <c r="B1328" s="94"/>
      <c r="C1328" s="81"/>
      <c r="D1328" s="81"/>
      <c r="E1328" s="80"/>
      <c r="F1328" s="80"/>
      <c r="G1328" s="80"/>
      <c r="H1328" s="94"/>
      <c r="I1328" s="81"/>
      <c r="J1328" s="35"/>
      <c r="K1328" s="36"/>
      <c r="L1328" s="36"/>
      <c r="M1328" s="36"/>
      <c r="N1328" s="36"/>
      <c r="O1328" s="36"/>
      <c r="P1328" s="36"/>
      <c r="Q1328" s="36"/>
      <c r="R1328" s="36"/>
      <c r="S1328" s="36"/>
      <c r="T1328" s="36"/>
      <c r="U1328" s="36"/>
      <c r="V1328" s="36"/>
      <c r="W1328" s="36"/>
      <c r="X1328" s="36"/>
      <c r="Y1328" s="36"/>
      <c r="Z1328" s="36"/>
      <c r="AA1328" s="36"/>
      <c r="AB1328" s="36"/>
      <c r="AC1328" s="36"/>
    </row>
    <row r="1329" spans="1:29" ht="36" customHeight="1">
      <c r="A1329" s="81"/>
      <c r="B1329" s="81"/>
      <c r="C1329" s="81"/>
      <c r="D1329" s="81"/>
      <c r="E1329" s="80"/>
      <c r="F1329" s="80"/>
      <c r="G1329" s="80"/>
      <c r="H1329" s="94"/>
      <c r="I1329" s="81"/>
      <c r="J1329" s="35"/>
      <c r="K1329" s="36"/>
      <c r="L1329" s="36"/>
      <c r="M1329" s="36"/>
      <c r="N1329" s="36"/>
      <c r="O1329" s="36"/>
      <c r="P1329" s="36"/>
      <c r="Q1329" s="36"/>
      <c r="R1329" s="36"/>
      <c r="S1329" s="36"/>
      <c r="T1329" s="36"/>
      <c r="U1329" s="36"/>
      <c r="V1329" s="36"/>
      <c r="W1329" s="36"/>
      <c r="X1329" s="36"/>
      <c r="Y1329" s="36"/>
      <c r="Z1329" s="36"/>
      <c r="AA1329" s="36"/>
      <c r="AB1329" s="36"/>
      <c r="AC1329" s="36"/>
    </row>
    <row r="1330" spans="1:29" ht="36" customHeight="1">
      <c r="A1330" s="81"/>
      <c r="B1330" s="81"/>
      <c r="C1330" s="81"/>
      <c r="D1330" s="81"/>
      <c r="E1330" s="80"/>
      <c r="F1330" s="80"/>
      <c r="G1330" s="80"/>
      <c r="H1330" s="94"/>
      <c r="I1330" s="81"/>
      <c r="J1330" s="35"/>
      <c r="K1330" s="36"/>
      <c r="L1330" s="36"/>
      <c r="M1330" s="36"/>
      <c r="N1330" s="36"/>
      <c r="O1330" s="36"/>
      <c r="P1330" s="36"/>
      <c r="Q1330" s="36"/>
      <c r="R1330" s="36"/>
      <c r="S1330" s="36"/>
      <c r="T1330" s="36"/>
      <c r="U1330" s="36"/>
      <c r="V1330" s="36"/>
      <c r="W1330" s="36"/>
      <c r="X1330" s="36"/>
      <c r="Y1330" s="36"/>
      <c r="Z1330" s="36"/>
      <c r="AA1330" s="36"/>
      <c r="AB1330" s="36"/>
      <c r="AC1330" s="36"/>
    </row>
    <row r="1331" spans="1:29" ht="24" customHeight="1">
      <c r="A1331" s="81"/>
      <c r="B1331" s="81"/>
      <c r="C1331" s="81"/>
      <c r="D1331" s="81"/>
      <c r="E1331" s="80"/>
      <c r="F1331" s="80"/>
      <c r="G1331" s="80"/>
      <c r="H1331" s="94"/>
      <c r="I1331" s="81"/>
      <c r="J1331" s="35"/>
      <c r="K1331" s="36"/>
      <c r="L1331" s="36"/>
      <c r="M1331" s="36"/>
      <c r="N1331" s="36"/>
      <c r="O1331" s="36"/>
      <c r="P1331" s="36"/>
      <c r="Q1331" s="36"/>
      <c r="R1331" s="36"/>
      <c r="S1331" s="36"/>
      <c r="T1331" s="36"/>
      <c r="U1331" s="36"/>
      <c r="V1331" s="36"/>
      <c r="W1331" s="36"/>
      <c r="X1331" s="36"/>
      <c r="Y1331" s="36"/>
      <c r="Z1331" s="36"/>
      <c r="AA1331" s="36"/>
      <c r="AB1331" s="36"/>
      <c r="AC1331" s="36"/>
    </row>
    <row r="1332" spans="1:29" ht="36" customHeight="1">
      <c r="A1332" s="81"/>
      <c r="B1332" s="81"/>
      <c r="C1332" s="81"/>
      <c r="D1332" s="81"/>
      <c r="E1332" s="80"/>
      <c r="F1332" s="80"/>
      <c r="G1332" s="80"/>
      <c r="H1332" s="94"/>
      <c r="I1332" s="81"/>
      <c r="J1332" s="35"/>
      <c r="K1332" s="36"/>
      <c r="L1332" s="36"/>
      <c r="M1332" s="36"/>
      <c r="N1332" s="36"/>
      <c r="O1332" s="36"/>
      <c r="P1332" s="36"/>
      <c r="Q1332" s="36"/>
      <c r="R1332" s="36"/>
      <c r="S1332" s="36"/>
      <c r="T1332" s="36"/>
      <c r="U1332" s="36"/>
      <c r="V1332" s="36"/>
      <c r="W1332" s="36"/>
      <c r="X1332" s="36"/>
      <c r="Y1332" s="36"/>
      <c r="Z1332" s="36"/>
      <c r="AA1332" s="36"/>
      <c r="AB1332" s="36"/>
      <c r="AC1332" s="36"/>
    </row>
    <row r="1333" spans="1:29" ht="24" customHeight="1">
      <c r="A1333" s="81"/>
      <c r="B1333" s="81"/>
      <c r="C1333" s="81"/>
      <c r="D1333" s="81"/>
      <c r="E1333" s="80"/>
      <c r="F1333" s="80"/>
      <c r="G1333" s="80"/>
      <c r="H1333" s="94"/>
      <c r="I1333" s="81"/>
      <c r="J1333" s="35"/>
      <c r="K1333" s="36"/>
      <c r="L1333" s="36"/>
      <c r="M1333" s="36"/>
      <c r="N1333" s="36"/>
      <c r="O1333" s="36"/>
      <c r="P1333" s="36"/>
      <c r="Q1333" s="36"/>
      <c r="R1333" s="36"/>
      <c r="S1333" s="36"/>
      <c r="T1333" s="36"/>
      <c r="U1333" s="36"/>
      <c r="V1333" s="36"/>
      <c r="W1333" s="36"/>
      <c r="X1333" s="36"/>
      <c r="Y1333" s="36"/>
      <c r="Z1333" s="36"/>
      <c r="AA1333" s="36"/>
      <c r="AB1333" s="36"/>
      <c r="AC1333" s="36"/>
    </row>
    <row r="1334" spans="1:29" ht="24" customHeight="1">
      <c r="A1334" s="81"/>
      <c r="B1334" s="81"/>
      <c r="C1334" s="81"/>
      <c r="D1334" s="81"/>
      <c r="E1334" s="80"/>
      <c r="F1334" s="80"/>
      <c r="G1334" s="80"/>
      <c r="H1334" s="94"/>
      <c r="I1334" s="81"/>
      <c r="J1334" s="35"/>
      <c r="K1334" s="36"/>
      <c r="L1334" s="36"/>
      <c r="M1334" s="36"/>
      <c r="N1334" s="36"/>
      <c r="O1334" s="36"/>
      <c r="P1334" s="36"/>
      <c r="Q1334" s="36"/>
      <c r="R1334" s="36"/>
      <c r="S1334" s="36"/>
      <c r="T1334" s="36"/>
      <c r="U1334" s="36"/>
      <c r="V1334" s="36"/>
      <c r="W1334" s="36"/>
      <c r="X1334" s="36"/>
      <c r="Y1334" s="36"/>
      <c r="Z1334" s="36"/>
      <c r="AA1334" s="36"/>
      <c r="AB1334" s="36"/>
      <c r="AC1334" s="36"/>
    </row>
    <row r="1335" spans="1:29" ht="36" customHeight="1">
      <c r="A1335" s="81"/>
      <c r="B1335" s="94"/>
      <c r="C1335" s="81"/>
      <c r="D1335" s="81"/>
      <c r="E1335" s="80"/>
      <c r="F1335" s="80"/>
      <c r="G1335" s="80"/>
      <c r="H1335" s="94"/>
      <c r="I1335" s="81"/>
      <c r="J1335" s="35"/>
      <c r="K1335" s="36"/>
      <c r="L1335" s="36"/>
      <c r="M1335" s="36"/>
      <c r="N1335" s="36"/>
      <c r="O1335" s="36"/>
      <c r="P1335" s="36"/>
      <c r="Q1335" s="36"/>
      <c r="R1335" s="36"/>
      <c r="S1335" s="36"/>
      <c r="T1335" s="36"/>
      <c r="U1335" s="36"/>
      <c r="V1335" s="36"/>
      <c r="W1335" s="36"/>
      <c r="X1335" s="36"/>
      <c r="Y1335" s="36"/>
      <c r="Z1335" s="36"/>
      <c r="AA1335" s="36"/>
      <c r="AB1335" s="36"/>
      <c r="AC1335" s="36"/>
    </row>
    <row r="1336" spans="1:29" ht="48" customHeight="1">
      <c r="A1336" s="81"/>
      <c r="B1336" s="81"/>
      <c r="C1336" s="81"/>
      <c r="D1336" s="81"/>
      <c r="E1336" s="80"/>
      <c r="F1336" s="80"/>
      <c r="G1336" s="80"/>
      <c r="H1336" s="94"/>
      <c r="I1336" s="81"/>
      <c r="J1336" s="35"/>
      <c r="K1336" s="36"/>
      <c r="L1336" s="36"/>
      <c r="M1336" s="36"/>
      <c r="N1336" s="36"/>
      <c r="O1336" s="36"/>
      <c r="P1336" s="36"/>
      <c r="Q1336" s="36"/>
      <c r="R1336" s="36"/>
      <c r="S1336" s="36"/>
      <c r="T1336" s="36"/>
      <c r="U1336" s="36"/>
      <c r="V1336" s="36"/>
      <c r="W1336" s="36"/>
      <c r="X1336" s="36"/>
      <c r="Y1336" s="36"/>
      <c r="Z1336" s="36"/>
      <c r="AA1336" s="36"/>
      <c r="AB1336" s="36"/>
      <c r="AC1336" s="36"/>
    </row>
    <row r="1337" spans="1:29" ht="48" customHeight="1">
      <c r="A1337" s="81"/>
      <c r="B1337" s="94"/>
      <c r="C1337" s="81"/>
      <c r="D1337" s="81"/>
      <c r="E1337" s="80"/>
      <c r="F1337" s="80"/>
      <c r="G1337" s="80"/>
      <c r="H1337" s="94"/>
      <c r="I1337" s="81"/>
      <c r="J1337" s="35"/>
      <c r="K1337" s="36"/>
      <c r="L1337" s="36"/>
      <c r="M1337" s="36"/>
      <c r="N1337" s="36"/>
      <c r="O1337" s="36"/>
      <c r="P1337" s="36"/>
      <c r="Q1337" s="36"/>
      <c r="R1337" s="36"/>
      <c r="S1337" s="36"/>
      <c r="T1337" s="36"/>
      <c r="U1337" s="36"/>
      <c r="V1337" s="36"/>
      <c r="W1337" s="36"/>
      <c r="X1337" s="36"/>
      <c r="Y1337" s="36"/>
      <c r="Z1337" s="36"/>
      <c r="AA1337" s="36"/>
      <c r="AB1337" s="36"/>
      <c r="AC1337" s="36"/>
    </row>
    <row r="1338" spans="1:29" ht="36" customHeight="1">
      <c r="A1338" s="81"/>
      <c r="B1338" s="81"/>
      <c r="C1338" s="81"/>
      <c r="D1338" s="81"/>
      <c r="E1338" s="80"/>
      <c r="F1338" s="80"/>
      <c r="G1338" s="80"/>
      <c r="H1338" s="94"/>
      <c r="I1338" s="81"/>
      <c r="J1338" s="35"/>
      <c r="K1338" s="36"/>
      <c r="L1338" s="36"/>
      <c r="M1338" s="36"/>
      <c r="N1338" s="36"/>
      <c r="O1338" s="36"/>
      <c r="P1338" s="36"/>
      <c r="Q1338" s="36"/>
      <c r="R1338" s="36"/>
      <c r="S1338" s="36"/>
      <c r="T1338" s="36"/>
      <c r="U1338" s="36"/>
      <c r="V1338" s="36"/>
      <c r="W1338" s="36"/>
      <c r="X1338" s="36"/>
      <c r="Y1338" s="36"/>
      <c r="Z1338" s="36"/>
      <c r="AA1338" s="36"/>
      <c r="AB1338" s="36"/>
      <c r="AC1338" s="36"/>
    </row>
    <row r="1339" spans="1:29" ht="12" customHeight="1">
      <c r="A1339" s="81"/>
      <c r="B1339" s="94"/>
      <c r="C1339" s="81"/>
      <c r="D1339" s="81"/>
      <c r="E1339" s="80"/>
      <c r="F1339" s="80"/>
      <c r="G1339" s="80"/>
      <c r="H1339" s="94"/>
      <c r="I1339" s="81"/>
      <c r="J1339" s="35"/>
      <c r="K1339" s="36"/>
      <c r="L1339" s="36"/>
      <c r="M1339" s="36"/>
      <c r="N1339" s="36"/>
      <c r="O1339" s="36"/>
      <c r="P1339" s="36"/>
      <c r="Q1339" s="36"/>
      <c r="R1339" s="36"/>
      <c r="S1339" s="36"/>
      <c r="T1339" s="36"/>
      <c r="U1339" s="36"/>
      <c r="V1339" s="36"/>
      <c r="W1339" s="36"/>
      <c r="X1339" s="36"/>
      <c r="Y1339" s="36"/>
      <c r="Z1339" s="36"/>
      <c r="AA1339" s="36"/>
      <c r="AB1339" s="36"/>
      <c r="AC1339" s="36"/>
    </row>
    <row r="1340" spans="1:29" ht="24" customHeight="1">
      <c r="A1340" s="81"/>
      <c r="B1340" s="94"/>
      <c r="C1340" s="81"/>
      <c r="D1340" s="81"/>
      <c r="E1340" s="80"/>
      <c r="F1340" s="80"/>
      <c r="G1340" s="80"/>
      <c r="H1340" s="94"/>
      <c r="I1340" s="81"/>
      <c r="J1340" s="35"/>
      <c r="K1340" s="36"/>
      <c r="L1340" s="36"/>
      <c r="M1340" s="36"/>
      <c r="N1340" s="36"/>
      <c r="O1340" s="36"/>
      <c r="P1340" s="36"/>
      <c r="Q1340" s="36"/>
      <c r="R1340" s="36"/>
      <c r="S1340" s="36"/>
      <c r="T1340" s="36"/>
      <c r="U1340" s="36"/>
      <c r="V1340" s="36"/>
      <c r="W1340" s="36"/>
      <c r="X1340" s="36"/>
      <c r="Y1340" s="36"/>
      <c r="Z1340" s="36"/>
      <c r="AA1340" s="36"/>
      <c r="AB1340" s="36"/>
      <c r="AC1340" s="36"/>
    </row>
    <row r="1341" spans="1:29" ht="12" customHeight="1">
      <c r="A1341" s="619"/>
      <c r="B1341" s="81"/>
      <c r="C1341" s="81"/>
      <c r="D1341" s="81"/>
      <c r="E1341" s="80"/>
      <c r="F1341" s="80"/>
      <c r="G1341" s="80"/>
      <c r="H1341" s="94"/>
      <c r="I1341" s="81"/>
      <c r="J1341" s="35"/>
      <c r="K1341" s="36"/>
      <c r="L1341" s="36"/>
      <c r="M1341" s="36"/>
      <c r="N1341" s="36"/>
      <c r="O1341" s="36"/>
      <c r="P1341" s="36"/>
      <c r="Q1341" s="36"/>
      <c r="R1341" s="36"/>
      <c r="S1341" s="36"/>
      <c r="T1341" s="36"/>
      <c r="U1341" s="36"/>
      <c r="V1341" s="36"/>
      <c r="W1341" s="36"/>
      <c r="X1341" s="36"/>
      <c r="Y1341" s="36"/>
      <c r="Z1341" s="36"/>
      <c r="AA1341" s="36"/>
      <c r="AB1341" s="36"/>
      <c r="AC1341" s="36"/>
    </row>
    <row r="1342" spans="1:29" ht="12" customHeight="1">
      <c r="A1342" s="619"/>
      <c r="B1342" s="81"/>
      <c r="C1342" s="81"/>
      <c r="D1342" s="81"/>
      <c r="E1342" s="80"/>
      <c r="F1342" s="80"/>
      <c r="G1342" s="80"/>
      <c r="H1342" s="94"/>
      <c r="I1342" s="81"/>
      <c r="J1342" s="35"/>
      <c r="K1342" s="36"/>
      <c r="L1342" s="36"/>
      <c r="M1342" s="36"/>
      <c r="N1342" s="36"/>
      <c r="O1342" s="36"/>
      <c r="P1342" s="36"/>
      <c r="Q1342" s="36"/>
      <c r="R1342" s="36"/>
      <c r="S1342" s="36"/>
      <c r="T1342" s="36"/>
      <c r="U1342" s="36"/>
      <c r="V1342" s="36"/>
      <c r="W1342" s="36"/>
      <c r="X1342" s="36"/>
      <c r="Y1342" s="36"/>
      <c r="Z1342" s="36"/>
      <c r="AA1342" s="36"/>
      <c r="AB1342" s="36"/>
      <c r="AC1342" s="36"/>
    </row>
    <row r="1343" spans="1:29" ht="24" customHeight="1">
      <c r="A1343" s="619"/>
      <c r="B1343" s="81"/>
      <c r="C1343" s="81"/>
      <c r="D1343" s="81"/>
      <c r="E1343" s="80"/>
      <c r="F1343" s="80"/>
      <c r="G1343" s="80"/>
      <c r="H1343" s="94"/>
      <c r="I1343" s="81"/>
      <c r="J1343" s="35"/>
      <c r="K1343" s="36"/>
      <c r="L1343" s="36"/>
      <c r="M1343" s="36"/>
      <c r="N1343" s="36"/>
      <c r="O1343" s="36"/>
      <c r="P1343" s="36"/>
      <c r="Q1343" s="36"/>
      <c r="R1343" s="36"/>
      <c r="S1343" s="36"/>
      <c r="T1343" s="36"/>
      <c r="U1343" s="36"/>
      <c r="V1343" s="36"/>
      <c r="W1343" s="36"/>
      <c r="X1343" s="36"/>
      <c r="Y1343" s="36"/>
      <c r="Z1343" s="36"/>
      <c r="AA1343" s="36"/>
      <c r="AB1343" s="36"/>
      <c r="AC1343" s="36"/>
    </row>
    <row r="1344" spans="1:29" ht="24" customHeight="1">
      <c r="A1344" s="81"/>
      <c r="B1344" s="81"/>
      <c r="C1344" s="81"/>
      <c r="D1344" s="81"/>
      <c r="E1344" s="80"/>
      <c r="F1344" s="80"/>
      <c r="G1344" s="80"/>
      <c r="H1344" s="94"/>
      <c r="I1344" s="81"/>
      <c r="J1344" s="35"/>
      <c r="K1344" s="36"/>
      <c r="L1344" s="36"/>
      <c r="M1344" s="36"/>
      <c r="N1344" s="36"/>
      <c r="O1344" s="36"/>
      <c r="P1344" s="36"/>
      <c r="Q1344" s="36"/>
      <c r="R1344" s="36"/>
      <c r="S1344" s="36"/>
      <c r="T1344" s="36"/>
      <c r="U1344" s="36"/>
      <c r="V1344" s="36"/>
      <c r="W1344" s="36"/>
      <c r="X1344" s="36"/>
      <c r="Y1344" s="36"/>
      <c r="Z1344" s="36"/>
      <c r="AA1344" s="36"/>
      <c r="AB1344" s="36"/>
      <c r="AC1344" s="36"/>
    </row>
    <row r="1345" spans="1:29" ht="12" customHeight="1">
      <c r="A1345" s="81"/>
      <c r="B1345" s="81"/>
      <c r="C1345" s="81"/>
      <c r="D1345" s="81"/>
      <c r="E1345" s="80"/>
      <c r="F1345" s="80"/>
      <c r="G1345" s="80"/>
      <c r="H1345" s="94"/>
      <c r="I1345" s="81"/>
      <c r="J1345" s="35"/>
      <c r="K1345" s="36"/>
      <c r="L1345" s="36"/>
      <c r="M1345" s="36"/>
      <c r="N1345" s="36"/>
      <c r="O1345" s="36"/>
      <c r="P1345" s="36"/>
      <c r="Q1345" s="36"/>
      <c r="R1345" s="36"/>
      <c r="S1345" s="36"/>
      <c r="T1345" s="36"/>
      <c r="U1345" s="36"/>
      <c r="V1345" s="36"/>
      <c r="W1345" s="36"/>
      <c r="X1345" s="36"/>
      <c r="Y1345" s="36"/>
      <c r="Z1345" s="36"/>
      <c r="AA1345" s="36"/>
      <c r="AB1345" s="36"/>
      <c r="AC1345" s="36"/>
    </row>
    <row r="1346" spans="1:29" ht="12" customHeight="1">
      <c r="A1346" s="81"/>
      <c r="B1346" s="81"/>
      <c r="C1346" s="81"/>
      <c r="D1346" s="81"/>
      <c r="E1346" s="80"/>
      <c r="F1346" s="80"/>
      <c r="G1346" s="80"/>
      <c r="H1346" s="94"/>
      <c r="I1346" s="81"/>
      <c r="J1346" s="35"/>
      <c r="K1346" s="36"/>
      <c r="L1346" s="36"/>
      <c r="M1346" s="36"/>
      <c r="N1346" s="36"/>
      <c r="O1346" s="36"/>
      <c r="P1346" s="36"/>
      <c r="Q1346" s="36"/>
      <c r="R1346" s="36"/>
      <c r="S1346" s="36"/>
      <c r="T1346" s="36"/>
      <c r="U1346" s="36"/>
      <c r="V1346" s="36"/>
      <c r="W1346" s="36"/>
      <c r="X1346" s="36"/>
      <c r="Y1346" s="36"/>
      <c r="Z1346" s="36"/>
      <c r="AA1346" s="36"/>
      <c r="AB1346" s="36"/>
      <c r="AC1346" s="36"/>
    </row>
    <row r="1347" spans="1:29" ht="24" customHeight="1">
      <c r="A1347" s="81"/>
      <c r="B1347" s="81"/>
      <c r="C1347" s="81"/>
      <c r="D1347" s="81"/>
      <c r="E1347" s="80"/>
      <c r="F1347" s="80"/>
      <c r="G1347" s="80"/>
      <c r="H1347" s="94"/>
      <c r="I1347" s="81"/>
      <c r="J1347" s="35"/>
      <c r="K1347" s="36"/>
      <c r="L1347" s="36"/>
      <c r="M1347" s="36"/>
      <c r="N1347" s="36"/>
      <c r="O1347" s="36"/>
      <c r="P1347" s="36"/>
      <c r="Q1347" s="36"/>
      <c r="R1347" s="36"/>
      <c r="S1347" s="36"/>
      <c r="T1347" s="36"/>
      <c r="U1347" s="36"/>
      <c r="V1347" s="36"/>
      <c r="W1347" s="36"/>
      <c r="X1347" s="36"/>
      <c r="Y1347" s="36"/>
      <c r="Z1347" s="36"/>
      <c r="AA1347" s="36"/>
      <c r="AB1347" s="36"/>
      <c r="AC1347" s="36"/>
    </row>
    <row r="1348" spans="1:29" ht="24" customHeight="1">
      <c r="A1348" s="81"/>
      <c r="B1348" s="81"/>
      <c r="C1348" s="81"/>
      <c r="D1348" s="81"/>
      <c r="E1348" s="80"/>
      <c r="F1348" s="80"/>
      <c r="G1348" s="80"/>
      <c r="H1348" s="94"/>
      <c r="I1348" s="81"/>
      <c r="J1348" s="35"/>
      <c r="K1348" s="36"/>
      <c r="L1348" s="36"/>
      <c r="M1348" s="36"/>
      <c r="N1348" s="36"/>
      <c r="O1348" s="36"/>
      <c r="P1348" s="36"/>
      <c r="Q1348" s="36"/>
      <c r="R1348" s="36"/>
      <c r="S1348" s="36"/>
      <c r="T1348" s="36"/>
      <c r="U1348" s="36"/>
      <c r="V1348" s="36"/>
      <c r="W1348" s="36"/>
      <c r="X1348" s="36"/>
      <c r="Y1348" s="36"/>
      <c r="Z1348" s="36"/>
      <c r="AA1348" s="36"/>
      <c r="AB1348" s="36"/>
      <c r="AC1348" s="36"/>
    </row>
    <row r="1349" spans="1:29" ht="24" customHeight="1">
      <c r="A1349" s="81"/>
      <c r="B1349" s="81"/>
      <c r="C1349" s="81"/>
      <c r="D1349" s="81"/>
      <c r="E1349" s="80"/>
      <c r="F1349" s="80"/>
      <c r="G1349" s="80"/>
      <c r="H1349" s="94"/>
      <c r="I1349" s="81"/>
      <c r="J1349" s="35"/>
      <c r="K1349" s="36"/>
      <c r="L1349" s="36"/>
      <c r="M1349" s="36"/>
      <c r="N1349" s="36"/>
      <c r="O1349" s="36"/>
      <c r="P1349" s="36"/>
      <c r="Q1349" s="36"/>
      <c r="R1349" s="36"/>
      <c r="S1349" s="36"/>
      <c r="T1349" s="36"/>
      <c r="U1349" s="36"/>
      <c r="V1349" s="36"/>
      <c r="W1349" s="36"/>
      <c r="X1349" s="36"/>
      <c r="Y1349" s="36"/>
      <c r="Z1349" s="36"/>
      <c r="AA1349" s="36"/>
      <c r="AB1349" s="36"/>
      <c r="AC1349" s="36"/>
    </row>
    <row r="1350" spans="1:29" ht="24" customHeight="1">
      <c r="A1350" s="81"/>
      <c r="B1350" s="81"/>
      <c r="C1350" s="81"/>
      <c r="D1350" s="81"/>
      <c r="E1350" s="80"/>
      <c r="F1350" s="80"/>
      <c r="G1350" s="80"/>
      <c r="H1350" s="94"/>
      <c r="I1350" s="81"/>
      <c r="J1350" s="35"/>
      <c r="K1350" s="36"/>
      <c r="L1350" s="36"/>
      <c r="M1350" s="36"/>
      <c r="N1350" s="36"/>
      <c r="O1350" s="36"/>
      <c r="P1350" s="36"/>
      <c r="Q1350" s="36"/>
      <c r="R1350" s="36"/>
      <c r="S1350" s="36"/>
      <c r="T1350" s="36"/>
      <c r="U1350" s="36"/>
      <c r="V1350" s="36"/>
      <c r="W1350" s="36"/>
      <c r="X1350" s="36"/>
      <c r="Y1350" s="36"/>
      <c r="Z1350" s="36"/>
      <c r="AA1350" s="36"/>
      <c r="AB1350" s="36"/>
      <c r="AC1350" s="36"/>
    </row>
    <row r="1351" spans="1:29" ht="36" customHeight="1">
      <c r="A1351" s="81"/>
      <c r="B1351" s="81"/>
      <c r="C1351" s="81"/>
      <c r="D1351" s="81"/>
      <c r="E1351" s="80"/>
      <c r="F1351" s="80"/>
      <c r="G1351" s="80"/>
      <c r="H1351" s="94"/>
      <c r="I1351" s="81"/>
      <c r="J1351" s="35"/>
      <c r="K1351" s="36"/>
      <c r="L1351" s="36"/>
      <c r="M1351" s="36"/>
      <c r="N1351" s="36"/>
      <c r="O1351" s="36"/>
      <c r="P1351" s="36"/>
      <c r="Q1351" s="36"/>
      <c r="R1351" s="36"/>
      <c r="S1351" s="36"/>
      <c r="T1351" s="36"/>
      <c r="U1351" s="36"/>
      <c r="V1351" s="36"/>
      <c r="W1351" s="36"/>
      <c r="X1351" s="36"/>
      <c r="Y1351" s="36"/>
      <c r="Z1351" s="36"/>
      <c r="AA1351" s="36"/>
      <c r="AB1351" s="36"/>
      <c r="AC1351" s="36"/>
    </row>
    <row r="1352" spans="1:29" ht="12" customHeight="1">
      <c r="A1352" s="81"/>
      <c r="B1352" s="94"/>
      <c r="C1352" s="81"/>
      <c r="D1352" s="81"/>
      <c r="E1352" s="80"/>
      <c r="F1352" s="80"/>
      <c r="G1352" s="80"/>
      <c r="H1352" s="94"/>
      <c r="I1352" s="81"/>
      <c r="J1352" s="35"/>
      <c r="K1352" s="36"/>
      <c r="L1352" s="36"/>
      <c r="M1352" s="36"/>
      <c r="N1352" s="36"/>
      <c r="O1352" s="36"/>
      <c r="P1352" s="36"/>
      <c r="Q1352" s="36"/>
      <c r="R1352" s="36"/>
      <c r="S1352" s="36"/>
      <c r="T1352" s="36"/>
      <c r="U1352" s="36"/>
      <c r="V1352" s="36"/>
      <c r="W1352" s="36"/>
      <c r="X1352" s="36"/>
      <c r="Y1352" s="36"/>
      <c r="Z1352" s="36"/>
      <c r="AA1352" s="36"/>
      <c r="AB1352" s="36"/>
      <c r="AC1352" s="36"/>
    </row>
    <row r="1353" spans="1:29" ht="36" customHeight="1">
      <c r="A1353" s="81"/>
      <c r="B1353" s="81"/>
      <c r="C1353" s="81"/>
      <c r="D1353" s="81"/>
      <c r="E1353" s="80"/>
      <c r="F1353" s="80"/>
      <c r="G1353" s="80"/>
      <c r="H1353" s="94"/>
      <c r="I1353" s="81"/>
      <c r="J1353" s="35"/>
      <c r="K1353" s="36"/>
      <c r="L1353" s="36"/>
      <c r="M1353" s="36"/>
      <c r="N1353" s="36"/>
      <c r="O1353" s="36"/>
      <c r="P1353" s="36"/>
      <c r="Q1353" s="36"/>
      <c r="R1353" s="36"/>
      <c r="S1353" s="36"/>
      <c r="T1353" s="36"/>
      <c r="U1353" s="36"/>
      <c r="V1353" s="36"/>
      <c r="W1353" s="36"/>
      <c r="X1353" s="36"/>
      <c r="Y1353" s="36"/>
      <c r="Z1353" s="36"/>
      <c r="AA1353" s="36"/>
      <c r="AB1353" s="36"/>
      <c r="AC1353" s="36"/>
    </row>
    <row r="1354" spans="1:29" ht="24" customHeight="1">
      <c r="A1354" s="81"/>
      <c r="B1354" s="81"/>
      <c r="C1354" s="81"/>
      <c r="D1354" s="81"/>
      <c r="E1354" s="80"/>
      <c r="F1354" s="80"/>
      <c r="G1354" s="80"/>
      <c r="H1354" s="94"/>
      <c r="I1354" s="81"/>
      <c r="J1354" s="35"/>
      <c r="K1354" s="36"/>
      <c r="L1354" s="36"/>
      <c r="M1354" s="36"/>
      <c r="N1354" s="36"/>
      <c r="O1354" s="36"/>
      <c r="P1354" s="36"/>
      <c r="Q1354" s="36"/>
      <c r="R1354" s="36"/>
      <c r="S1354" s="36"/>
      <c r="T1354" s="36"/>
      <c r="U1354" s="36"/>
      <c r="V1354" s="36"/>
      <c r="W1354" s="36"/>
      <c r="X1354" s="36"/>
      <c r="Y1354" s="36"/>
      <c r="Z1354" s="36"/>
      <c r="AA1354" s="36"/>
      <c r="AB1354" s="36"/>
      <c r="AC1354" s="36"/>
    </row>
    <row r="1355" spans="1:29" ht="36" customHeight="1">
      <c r="A1355" s="81"/>
      <c r="B1355" s="81"/>
      <c r="C1355" s="81"/>
      <c r="D1355" s="81"/>
      <c r="E1355" s="80"/>
      <c r="F1355" s="80"/>
      <c r="G1355" s="80"/>
      <c r="H1355" s="94"/>
      <c r="I1355" s="81"/>
      <c r="J1355" s="35"/>
      <c r="K1355" s="36"/>
      <c r="L1355" s="36"/>
      <c r="M1355" s="36"/>
      <c r="N1355" s="36"/>
      <c r="O1355" s="36"/>
      <c r="P1355" s="36"/>
      <c r="Q1355" s="36"/>
      <c r="R1355" s="36"/>
      <c r="S1355" s="36"/>
      <c r="T1355" s="36"/>
      <c r="U1355" s="36"/>
      <c r="V1355" s="36"/>
      <c r="W1355" s="36"/>
      <c r="X1355" s="36"/>
      <c r="Y1355" s="36"/>
      <c r="Z1355" s="36"/>
      <c r="AA1355" s="36"/>
      <c r="AB1355" s="36"/>
      <c r="AC1355" s="36"/>
    </row>
    <row r="1356" spans="1:29" ht="36" customHeight="1">
      <c r="A1356" s="81"/>
      <c r="B1356" s="81"/>
      <c r="C1356" s="81"/>
      <c r="D1356" s="81"/>
      <c r="E1356" s="80"/>
      <c r="F1356" s="80"/>
      <c r="G1356" s="80"/>
      <c r="H1356" s="94"/>
      <c r="I1356" s="81"/>
      <c r="J1356" s="35"/>
      <c r="K1356" s="36"/>
      <c r="L1356" s="36"/>
      <c r="M1356" s="36"/>
      <c r="N1356" s="36"/>
      <c r="O1356" s="36"/>
      <c r="P1356" s="36"/>
      <c r="Q1356" s="36"/>
      <c r="R1356" s="36"/>
      <c r="S1356" s="36"/>
      <c r="T1356" s="36"/>
      <c r="U1356" s="36"/>
      <c r="V1356" s="36"/>
      <c r="W1356" s="36"/>
      <c r="X1356" s="36"/>
      <c r="Y1356" s="36"/>
      <c r="Z1356" s="36"/>
      <c r="AA1356" s="36"/>
      <c r="AB1356" s="36"/>
      <c r="AC1356" s="36"/>
    </row>
    <row r="1357" spans="1:29" ht="12" customHeight="1">
      <c r="A1357" s="81"/>
      <c r="B1357" s="81"/>
      <c r="C1357" s="81"/>
      <c r="D1357" s="81"/>
      <c r="E1357" s="80"/>
      <c r="F1357" s="80"/>
      <c r="G1357" s="80"/>
      <c r="H1357" s="94"/>
      <c r="I1357" s="81"/>
      <c r="J1357" s="35"/>
      <c r="K1357" s="36"/>
      <c r="L1357" s="36"/>
      <c r="M1357" s="36"/>
      <c r="N1357" s="36"/>
      <c r="O1357" s="36"/>
      <c r="P1357" s="36"/>
      <c r="Q1357" s="36"/>
      <c r="R1357" s="36"/>
      <c r="S1357" s="36"/>
      <c r="T1357" s="36"/>
      <c r="U1357" s="36"/>
      <c r="V1357" s="36"/>
      <c r="W1357" s="36"/>
      <c r="X1357" s="36"/>
      <c r="Y1357" s="36"/>
      <c r="Z1357" s="36"/>
      <c r="AA1357" s="36"/>
      <c r="AB1357" s="36"/>
      <c r="AC1357" s="36"/>
    </row>
    <row r="1358" spans="1:29" ht="12" customHeight="1">
      <c r="A1358" s="81"/>
      <c r="B1358" s="81"/>
      <c r="C1358" s="81"/>
      <c r="D1358" s="81"/>
      <c r="E1358" s="80"/>
      <c r="F1358" s="80"/>
      <c r="G1358" s="80"/>
      <c r="H1358" s="94"/>
      <c r="I1358" s="81"/>
      <c r="J1358" s="35"/>
      <c r="K1358" s="36"/>
      <c r="L1358" s="36"/>
      <c r="M1358" s="36"/>
      <c r="N1358" s="36"/>
      <c r="O1358" s="36"/>
      <c r="P1358" s="36"/>
      <c r="Q1358" s="36"/>
      <c r="R1358" s="36"/>
      <c r="S1358" s="36"/>
      <c r="T1358" s="36"/>
      <c r="U1358" s="36"/>
      <c r="V1358" s="36"/>
      <c r="W1358" s="36"/>
      <c r="X1358" s="36"/>
      <c r="Y1358" s="36"/>
      <c r="Z1358" s="36"/>
      <c r="AA1358" s="36"/>
      <c r="AB1358" s="36"/>
      <c r="AC1358" s="36"/>
    </row>
    <row r="1359" spans="1:29" ht="36" customHeight="1">
      <c r="A1359" s="81"/>
      <c r="B1359" s="94"/>
      <c r="C1359" s="81"/>
      <c r="D1359" s="81"/>
      <c r="E1359" s="80"/>
      <c r="F1359" s="80"/>
      <c r="G1359" s="80"/>
      <c r="H1359" s="94"/>
      <c r="I1359" s="81"/>
      <c r="J1359" s="35"/>
      <c r="K1359" s="36"/>
      <c r="L1359" s="36"/>
      <c r="M1359" s="36"/>
      <c r="N1359" s="36"/>
      <c r="O1359" s="36"/>
      <c r="P1359" s="36"/>
      <c r="Q1359" s="36"/>
      <c r="R1359" s="36"/>
      <c r="S1359" s="36"/>
      <c r="T1359" s="36"/>
      <c r="U1359" s="36"/>
      <c r="V1359" s="36"/>
      <c r="W1359" s="36"/>
      <c r="X1359" s="36"/>
      <c r="Y1359" s="36"/>
      <c r="Z1359" s="36"/>
      <c r="AA1359" s="36"/>
      <c r="AB1359" s="36"/>
      <c r="AC1359" s="36"/>
    </row>
    <row r="1360" spans="1:29" ht="24" customHeight="1">
      <c r="A1360" s="476"/>
      <c r="B1360" s="81"/>
      <c r="C1360" s="81"/>
      <c r="D1360" s="81"/>
      <c r="E1360" s="80"/>
      <c r="F1360" s="80"/>
      <c r="G1360" s="80"/>
      <c r="H1360" s="94"/>
      <c r="I1360" s="81"/>
      <c r="J1360" s="35"/>
      <c r="K1360" s="36"/>
      <c r="L1360" s="36"/>
      <c r="M1360" s="36"/>
      <c r="N1360" s="36"/>
      <c r="O1360" s="36"/>
      <c r="P1360" s="36"/>
      <c r="Q1360" s="36"/>
      <c r="R1360" s="36"/>
      <c r="S1360" s="36"/>
      <c r="T1360" s="36"/>
      <c r="U1360" s="36"/>
      <c r="V1360" s="36"/>
      <c r="W1360" s="36"/>
      <c r="X1360" s="36"/>
      <c r="Y1360" s="36"/>
      <c r="Z1360" s="36"/>
      <c r="AA1360" s="36"/>
      <c r="AB1360" s="36"/>
      <c r="AC1360" s="36"/>
    </row>
    <row r="1361" spans="1:29" ht="24" customHeight="1">
      <c r="A1361" s="81"/>
      <c r="B1361" s="94"/>
      <c r="C1361" s="81"/>
      <c r="D1361" s="81"/>
      <c r="E1361" s="80"/>
      <c r="F1361" s="80"/>
      <c r="G1361" s="80"/>
      <c r="H1361" s="94"/>
      <c r="I1361" s="81"/>
      <c r="J1361" s="35"/>
      <c r="K1361" s="36"/>
      <c r="L1361" s="36"/>
      <c r="M1361" s="36"/>
      <c r="N1361" s="36"/>
      <c r="O1361" s="36"/>
      <c r="P1361" s="36"/>
      <c r="Q1361" s="36"/>
      <c r="R1361" s="36"/>
      <c r="S1361" s="36"/>
      <c r="T1361" s="36"/>
      <c r="U1361" s="36"/>
      <c r="V1361" s="36"/>
      <c r="W1361" s="36"/>
      <c r="X1361" s="36"/>
      <c r="Y1361" s="36"/>
      <c r="Z1361" s="36"/>
      <c r="AA1361" s="36"/>
      <c r="AB1361" s="36"/>
      <c r="AC1361" s="36"/>
    </row>
    <row r="1362" spans="1:29" ht="24" customHeight="1">
      <c r="A1362" s="81"/>
      <c r="B1362" s="94"/>
      <c r="C1362" s="81"/>
      <c r="D1362" s="81"/>
      <c r="E1362" s="80"/>
      <c r="F1362" s="80"/>
      <c r="G1362" s="80"/>
      <c r="H1362" s="94"/>
      <c r="I1362" s="81"/>
      <c r="J1362" s="35"/>
      <c r="K1362" s="36"/>
      <c r="L1362" s="36"/>
      <c r="M1362" s="36"/>
      <c r="N1362" s="36"/>
      <c r="O1362" s="36"/>
      <c r="P1362" s="36"/>
      <c r="Q1362" s="36"/>
      <c r="R1362" s="36"/>
      <c r="S1362" s="36"/>
      <c r="T1362" s="36"/>
      <c r="U1362" s="36"/>
      <c r="V1362" s="36"/>
      <c r="W1362" s="36"/>
      <c r="X1362" s="36"/>
      <c r="Y1362" s="36"/>
      <c r="Z1362" s="36"/>
      <c r="AA1362" s="36"/>
      <c r="AB1362" s="36"/>
      <c r="AC1362" s="36"/>
    </row>
    <row r="1363" spans="1:29" ht="24" customHeight="1">
      <c r="A1363" s="81"/>
      <c r="B1363" s="94"/>
      <c r="C1363" s="81"/>
      <c r="D1363" s="81"/>
      <c r="E1363" s="80"/>
      <c r="F1363" s="80"/>
      <c r="G1363" s="80"/>
      <c r="H1363" s="94"/>
      <c r="I1363" s="81"/>
      <c r="J1363" s="35"/>
      <c r="K1363" s="36"/>
      <c r="L1363" s="36"/>
      <c r="M1363" s="36"/>
      <c r="N1363" s="36"/>
      <c r="O1363" s="36"/>
      <c r="P1363" s="36"/>
      <c r="Q1363" s="36"/>
      <c r="R1363" s="36"/>
      <c r="S1363" s="36"/>
      <c r="T1363" s="36"/>
      <c r="U1363" s="36"/>
      <c r="V1363" s="36"/>
      <c r="W1363" s="36"/>
      <c r="X1363" s="36"/>
      <c r="Y1363" s="36"/>
      <c r="Z1363" s="36"/>
      <c r="AA1363" s="36"/>
      <c r="AB1363" s="36"/>
      <c r="AC1363" s="36"/>
    </row>
    <row r="1364" spans="1:29" ht="24" customHeight="1">
      <c r="A1364" s="81"/>
      <c r="B1364" s="94"/>
      <c r="C1364" s="81"/>
      <c r="D1364" s="81"/>
      <c r="E1364" s="80"/>
      <c r="F1364" s="80"/>
      <c r="G1364" s="80"/>
      <c r="H1364" s="94"/>
      <c r="I1364" s="81"/>
      <c r="J1364" s="35"/>
      <c r="K1364" s="36"/>
      <c r="L1364" s="36"/>
      <c r="M1364" s="36"/>
      <c r="N1364" s="36"/>
      <c r="O1364" s="36"/>
      <c r="P1364" s="36"/>
      <c r="Q1364" s="36"/>
      <c r="R1364" s="36"/>
      <c r="S1364" s="36"/>
      <c r="T1364" s="36"/>
      <c r="U1364" s="36"/>
      <c r="V1364" s="36"/>
      <c r="W1364" s="36"/>
      <c r="X1364" s="36"/>
      <c r="Y1364" s="36"/>
      <c r="Z1364" s="36"/>
      <c r="AA1364" s="36"/>
      <c r="AB1364" s="36"/>
      <c r="AC1364" s="36"/>
    </row>
    <row r="1365" spans="1:29" ht="24" customHeight="1">
      <c r="A1365" s="81"/>
      <c r="B1365" s="94"/>
      <c r="C1365" s="81"/>
      <c r="D1365" s="81"/>
      <c r="E1365" s="80"/>
      <c r="F1365" s="80"/>
      <c r="G1365" s="80"/>
      <c r="H1365" s="94"/>
      <c r="I1365" s="81"/>
      <c r="J1365" s="35"/>
      <c r="K1365" s="36"/>
      <c r="L1365" s="36"/>
      <c r="M1365" s="36"/>
      <c r="N1365" s="36"/>
      <c r="O1365" s="36"/>
      <c r="P1365" s="36"/>
      <c r="Q1365" s="36"/>
      <c r="R1365" s="36"/>
      <c r="S1365" s="36"/>
      <c r="T1365" s="36"/>
      <c r="U1365" s="36"/>
      <c r="V1365" s="36"/>
      <c r="W1365" s="36"/>
      <c r="X1365" s="36"/>
      <c r="Y1365" s="36"/>
      <c r="Z1365" s="36"/>
      <c r="AA1365" s="36"/>
      <c r="AB1365" s="36"/>
      <c r="AC1365" s="36"/>
    </row>
    <row r="1366" spans="1:29" ht="24" customHeight="1">
      <c r="A1366" s="81"/>
      <c r="B1366" s="94"/>
      <c r="C1366" s="81"/>
      <c r="D1366" s="81"/>
      <c r="E1366" s="80"/>
      <c r="F1366" s="80"/>
      <c r="G1366" s="80"/>
      <c r="H1366" s="94"/>
      <c r="I1366" s="81"/>
      <c r="J1366" s="35"/>
      <c r="K1366" s="36"/>
      <c r="L1366" s="36"/>
      <c r="M1366" s="36"/>
      <c r="N1366" s="36"/>
      <c r="O1366" s="36"/>
      <c r="P1366" s="36"/>
      <c r="Q1366" s="36"/>
      <c r="R1366" s="36"/>
      <c r="S1366" s="36"/>
      <c r="T1366" s="36"/>
      <c r="U1366" s="36"/>
      <c r="V1366" s="36"/>
      <c r="W1366" s="36"/>
      <c r="X1366" s="36"/>
      <c r="Y1366" s="36"/>
      <c r="Z1366" s="36"/>
      <c r="AA1366" s="36"/>
      <c r="AB1366" s="36"/>
      <c r="AC1366" s="36"/>
    </row>
    <row r="1367" spans="1:29" ht="36" customHeight="1">
      <c r="A1367" s="81"/>
      <c r="B1367" s="94"/>
      <c r="C1367" s="81"/>
      <c r="D1367" s="81"/>
      <c r="E1367" s="80"/>
      <c r="F1367" s="80"/>
      <c r="G1367" s="80"/>
      <c r="H1367" s="94"/>
      <c r="I1367" s="81"/>
      <c r="J1367" s="35"/>
      <c r="K1367" s="36"/>
      <c r="L1367" s="36"/>
      <c r="M1367" s="36"/>
      <c r="N1367" s="36"/>
      <c r="O1367" s="36"/>
      <c r="P1367" s="36"/>
      <c r="Q1367" s="36"/>
      <c r="R1367" s="36"/>
      <c r="S1367" s="36"/>
      <c r="T1367" s="36"/>
      <c r="U1367" s="36"/>
      <c r="V1367" s="36"/>
      <c r="W1367" s="36"/>
      <c r="X1367" s="36"/>
      <c r="Y1367" s="36"/>
      <c r="Z1367" s="36"/>
      <c r="AA1367" s="36"/>
      <c r="AB1367" s="36"/>
      <c r="AC1367" s="36"/>
    </row>
    <row r="1368" spans="1:29" ht="48" customHeight="1">
      <c r="A1368" s="81"/>
      <c r="B1368" s="94"/>
      <c r="C1368" s="81"/>
      <c r="D1368" s="81"/>
      <c r="E1368" s="80"/>
      <c r="F1368" s="80"/>
      <c r="G1368" s="80"/>
      <c r="H1368" s="94"/>
      <c r="I1368" s="81"/>
      <c r="J1368" s="35"/>
      <c r="K1368" s="36"/>
      <c r="L1368" s="36"/>
      <c r="M1368" s="36"/>
      <c r="N1368" s="36"/>
      <c r="O1368" s="36"/>
      <c r="P1368" s="36"/>
      <c r="Q1368" s="36"/>
      <c r="R1368" s="36"/>
      <c r="S1368" s="36"/>
      <c r="T1368" s="36"/>
      <c r="U1368" s="36"/>
      <c r="V1368" s="36"/>
      <c r="W1368" s="36"/>
      <c r="X1368" s="36"/>
      <c r="Y1368" s="36"/>
      <c r="Z1368" s="36"/>
      <c r="AA1368" s="36"/>
      <c r="AB1368" s="36"/>
      <c r="AC1368" s="36"/>
    </row>
    <row r="1369" spans="1:29" ht="48" customHeight="1">
      <c r="A1369" s="81"/>
      <c r="B1369" s="94"/>
      <c r="C1369" s="81"/>
      <c r="D1369" s="81"/>
      <c r="E1369" s="80"/>
      <c r="F1369" s="80"/>
      <c r="G1369" s="80"/>
      <c r="H1369" s="94"/>
      <c r="I1369" s="81"/>
      <c r="J1369" s="35"/>
      <c r="K1369" s="36"/>
      <c r="L1369" s="36"/>
      <c r="M1369" s="36"/>
      <c r="N1369" s="36"/>
      <c r="O1369" s="36"/>
      <c r="P1369" s="36"/>
      <c r="Q1369" s="36"/>
      <c r="R1369" s="36"/>
      <c r="S1369" s="36"/>
      <c r="T1369" s="36"/>
      <c r="U1369" s="36"/>
      <c r="V1369" s="36"/>
      <c r="W1369" s="36"/>
      <c r="X1369" s="36"/>
      <c r="Y1369" s="36"/>
      <c r="Z1369" s="36"/>
      <c r="AA1369" s="36"/>
      <c r="AB1369" s="36"/>
      <c r="AC1369" s="36"/>
    </row>
    <row r="1370" spans="1:29" ht="24" customHeight="1">
      <c r="A1370" s="81"/>
      <c r="B1370" s="94"/>
      <c r="C1370" s="81"/>
      <c r="D1370" s="81"/>
      <c r="E1370" s="80"/>
      <c r="F1370" s="80"/>
      <c r="G1370" s="80"/>
      <c r="H1370" s="94"/>
      <c r="I1370" s="81"/>
      <c r="J1370" s="35"/>
      <c r="K1370" s="36"/>
      <c r="L1370" s="36"/>
      <c r="M1370" s="36"/>
      <c r="N1370" s="36"/>
      <c r="O1370" s="36"/>
      <c r="P1370" s="36"/>
      <c r="Q1370" s="36"/>
      <c r="R1370" s="36"/>
      <c r="S1370" s="36"/>
      <c r="T1370" s="36"/>
      <c r="U1370" s="36"/>
      <c r="V1370" s="36"/>
      <c r="W1370" s="36"/>
      <c r="X1370" s="36"/>
      <c r="Y1370" s="36"/>
      <c r="Z1370" s="36"/>
      <c r="AA1370" s="36"/>
      <c r="AB1370" s="36"/>
      <c r="AC1370" s="36"/>
    </row>
    <row r="1371" spans="1:29" ht="15" customHeight="1">
      <c r="A1371" s="81"/>
      <c r="B1371" s="94"/>
      <c r="C1371" s="81"/>
      <c r="D1371" s="81"/>
      <c r="E1371" s="80"/>
      <c r="F1371" s="80"/>
      <c r="G1371" s="80"/>
      <c r="H1371" s="94"/>
      <c r="I1371" s="81"/>
      <c r="J1371" s="35"/>
      <c r="K1371" s="36"/>
      <c r="L1371" s="36"/>
      <c r="M1371" s="36"/>
      <c r="N1371" s="36"/>
      <c r="O1371" s="36"/>
      <c r="P1371" s="36"/>
      <c r="Q1371" s="36"/>
      <c r="R1371" s="36"/>
      <c r="S1371" s="36"/>
      <c r="T1371" s="36"/>
      <c r="U1371" s="36"/>
      <c r="V1371" s="36"/>
      <c r="W1371" s="36"/>
      <c r="X1371" s="36"/>
      <c r="Y1371" s="36"/>
      <c r="Z1371" s="36"/>
      <c r="AA1371" s="36"/>
      <c r="AB1371" s="36"/>
      <c r="AC1371" s="36"/>
    </row>
    <row r="1372" spans="1:29" ht="24" customHeight="1">
      <c r="A1372" s="81"/>
      <c r="B1372" s="94"/>
      <c r="C1372" s="81"/>
      <c r="D1372" s="81"/>
      <c r="E1372" s="80"/>
      <c r="F1372" s="80"/>
      <c r="G1372" s="80"/>
      <c r="H1372" s="94"/>
      <c r="I1372" s="81"/>
      <c r="J1372" s="35"/>
      <c r="K1372" s="36"/>
      <c r="L1372" s="36"/>
      <c r="M1372" s="36"/>
      <c r="N1372" s="36"/>
      <c r="O1372" s="36"/>
      <c r="P1372" s="36"/>
      <c r="Q1372" s="36"/>
      <c r="R1372" s="36"/>
      <c r="S1372" s="36"/>
      <c r="T1372" s="36"/>
      <c r="U1372" s="36"/>
      <c r="V1372" s="36"/>
      <c r="W1372" s="36"/>
      <c r="X1372" s="36"/>
      <c r="Y1372" s="36"/>
      <c r="Z1372" s="36"/>
      <c r="AA1372" s="36"/>
      <c r="AB1372" s="36"/>
      <c r="AC1372" s="36"/>
    </row>
    <row r="1373" spans="1:29" ht="24" customHeight="1">
      <c r="A1373" s="81"/>
      <c r="B1373" s="94"/>
      <c r="C1373" s="81"/>
      <c r="D1373" s="81"/>
      <c r="E1373" s="80"/>
      <c r="F1373" s="80"/>
      <c r="G1373" s="80"/>
      <c r="H1373" s="94"/>
      <c r="I1373" s="81"/>
      <c r="J1373" s="35"/>
      <c r="K1373" s="36"/>
      <c r="L1373" s="36"/>
      <c r="M1373" s="36"/>
      <c r="N1373" s="36"/>
      <c r="O1373" s="36"/>
      <c r="P1373" s="36"/>
      <c r="Q1373" s="36"/>
      <c r="R1373" s="36"/>
      <c r="S1373" s="36"/>
      <c r="T1373" s="36"/>
      <c r="U1373" s="36"/>
      <c r="V1373" s="36"/>
      <c r="W1373" s="36"/>
      <c r="X1373" s="36"/>
      <c r="Y1373" s="36"/>
      <c r="Z1373" s="36"/>
      <c r="AA1373" s="36"/>
      <c r="AB1373" s="36"/>
      <c r="AC1373" s="36"/>
    </row>
    <row r="1374" spans="1:29" ht="24" customHeight="1">
      <c r="A1374" s="81"/>
      <c r="B1374" s="94"/>
      <c r="C1374" s="81"/>
      <c r="D1374" s="81"/>
      <c r="E1374" s="80"/>
      <c r="F1374" s="80"/>
      <c r="G1374" s="80"/>
      <c r="H1374" s="94"/>
      <c r="I1374" s="81"/>
      <c r="J1374" s="35"/>
      <c r="K1374" s="36"/>
      <c r="L1374" s="36"/>
      <c r="M1374" s="36"/>
      <c r="N1374" s="36"/>
      <c r="O1374" s="36"/>
      <c r="P1374" s="36"/>
      <c r="Q1374" s="36"/>
      <c r="R1374" s="36"/>
      <c r="S1374" s="36"/>
      <c r="T1374" s="36"/>
      <c r="U1374" s="36"/>
      <c r="V1374" s="36"/>
      <c r="W1374" s="36"/>
      <c r="X1374" s="36"/>
      <c r="Y1374" s="36"/>
      <c r="Z1374" s="36"/>
      <c r="AA1374" s="36"/>
      <c r="AB1374" s="36"/>
      <c r="AC1374" s="36"/>
    </row>
    <row r="1375" spans="1:29" ht="84" customHeight="1">
      <c r="A1375" s="624"/>
      <c r="B1375" s="94"/>
      <c r="C1375" s="81"/>
      <c r="D1375" s="81"/>
      <c r="E1375" s="80"/>
      <c r="F1375" s="80"/>
      <c r="G1375" s="80"/>
      <c r="H1375" s="94"/>
      <c r="I1375" s="81"/>
      <c r="J1375" s="35"/>
      <c r="K1375" s="36"/>
      <c r="L1375" s="36"/>
      <c r="M1375" s="36"/>
      <c r="N1375" s="36"/>
      <c r="O1375" s="36"/>
      <c r="P1375" s="36"/>
      <c r="Q1375" s="36"/>
      <c r="R1375" s="36"/>
      <c r="S1375" s="36"/>
      <c r="T1375" s="36"/>
      <c r="U1375" s="36"/>
      <c r="V1375" s="36"/>
      <c r="W1375" s="36"/>
      <c r="X1375" s="36"/>
      <c r="Y1375" s="36"/>
      <c r="Z1375" s="36"/>
      <c r="AA1375" s="36"/>
      <c r="AB1375" s="36"/>
      <c r="AC1375" s="36"/>
    </row>
    <row r="1376" spans="1:29" ht="24" customHeight="1">
      <c r="A1376" s="624"/>
      <c r="B1376" s="94"/>
      <c r="C1376" s="81"/>
      <c r="D1376" s="81"/>
      <c r="E1376" s="80"/>
      <c r="F1376" s="80"/>
      <c r="G1376" s="80"/>
      <c r="H1376" s="94"/>
      <c r="I1376" s="81"/>
      <c r="J1376" s="35"/>
      <c r="K1376" s="36"/>
      <c r="L1376" s="36"/>
      <c r="M1376" s="36"/>
      <c r="N1376" s="36"/>
      <c r="O1376" s="36"/>
      <c r="P1376" s="36"/>
      <c r="Q1376" s="36"/>
      <c r="R1376" s="36"/>
      <c r="S1376" s="36"/>
      <c r="T1376" s="36"/>
      <c r="U1376" s="36"/>
      <c r="V1376" s="36"/>
      <c r="W1376" s="36"/>
      <c r="X1376" s="36"/>
      <c r="Y1376" s="36"/>
      <c r="Z1376" s="36"/>
      <c r="AA1376" s="36"/>
      <c r="AB1376" s="36"/>
      <c r="AC1376" s="36"/>
    </row>
    <row r="1377" spans="1:29" ht="36" customHeight="1">
      <c r="A1377" s="81"/>
      <c r="B1377" s="94"/>
      <c r="C1377" s="81"/>
      <c r="D1377" s="81"/>
      <c r="E1377" s="80"/>
      <c r="F1377" s="80"/>
      <c r="G1377" s="80"/>
      <c r="H1377" s="94"/>
      <c r="I1377" s="81"/>
      <c r="J1377" s="35"/>
      <c r="K1377" s="36"/>
      <c r="L1377" s="36"/>
      <c r="M1377" s="36"/>
      <c r="N1377" s="36"/>
      <c r="O1377" s="36"/>
      <c r="P1377" s="36"/>
      <c r="Q1377" s="36"/>
      <c r="R1377" s="36"/>
      <c r="S1377" s="36"/>
      <c r="T1377" s="36"/>
      <c r="U1377" s="36"/>
      <c r="V1377" s="36"/>
      <c r="W1377" s="36"/>
      <c r="X1377" s="36"/>
      <c r="Y1377" s="36"/>
      <c r="Z1377" s="36"/>
      <c r="AA1377" s="36"/>
      <c r="AB1377" s="36"/>
      <c r="AC1377" s="36"/>
    </row>
    <row r="1378" spans="1:29" ht="60" customHeight="1">
      <c r="A1378" s="81"/>
      <c r="B1378" s="94"/>
      <c r="C1378" s="81"/>
      <c r="D1378" s="81"/>
      <c r="E1378" s="80"/>
      <c r="F1378" s="80"/>
      <c r="G1378" s="80"/>
      <c r="H1378" s="94"/>
      <c r="I1378" s="81"/>
      <c r="J1378" s="35"/>
      <c r="K1378" s="36"/>
      <c r="L1378" s="36"/>
      <c r="M1378" s="36"/>
      <c r="N1378" s="36"/>
      <c r="O1378" s="36"/>
      <c r="P1378" s="36"/>
      <c r="Q1378" s="36"/>
      <c r="R1378" s="36"/>
      <c r="S1378" s="36"/>
      <c r="T1378" s="36"/>
      <c r="U1378" s="36"/>
      <c r="V1378" s="36"/>
      <c r="W1378" s="36"/>
      <c r="X1378" s="36"/>
      <c r="Y1378" s="36"/>
      <c r="Z1378" s="36"/>
      <c r="AA1378" s="36"/>
      <c r="AB1378" s="36"/>
      <c r="AC1378" s="36"/>
    </row>
    <row r="1379" spans="1:29" ht="24" customHeight="1">
      <c r="A1379" s="81"/>
      <c r="B1379" s="94"/>
      <c r="C1379" s="81"/>
      <c r="D1379" s="81"/>
      <c r="E1379" s="80"/>
      <c r="F1379" s="80"/>
      <c r="G1379" s="80"/>
      <c r="H1379" s="94"/>
      <c r="I1379" s="81"/>
      <c r="J1379" s="35"/>
      <c r="K1379" s="36"/>
      <c r="L1379" s="36"/>
      <c r="M1379" s="36"/>
      <c r="N1379" s="36"/>
      <c r="O1379" s="36"/>
      <c r="P1379" s="36"/>
      <c r="Q1379" s="36"/>
      <c r="R1379" s="36"/>
      <c r="S1379" s="36"/>
      <c r="T1379" s="36"/>
      <c r="U1379" s="36"/>
      <c r="V1379" s="36"/>
      <c r="W1379" s="36"/>
      <c r="X1379" s="36"/>
      <c r="Y1379" s="36"/>
      <c r="Z1379" s="36"/>
      <c r="AA1379" s="36"/>
      <c r="AB1379" s="36"/>
      <c r="AC1379" s="36"/>
    </row>
    <row r="1380" spans="1:29" ht="24" customHeight="1">
      <c r="A1380" s="81"/>
      <c r="B1380" s="81"/>
      <c r="C1380" s="81"/>
      <c r="D1380" s="81"/>
      <c r="E1380" s="80"/>
      <c r="F1380" s="80"/>
      <c r="G1380" s="80"/>
      <c r="H1380" s="81"/>
      <c r="I1380" s="81"/>
      <c r="J1380" s="35"/>
      <c r="K1380" s="36"/>
      <c r="L1380" s="36"/>
      <c r="M1380" s="36"/>
      <c r="N1380" s="36"/>
      <c r="O1380" s="36"/>
      <c r="P1380" s="36"/>
      <c r="Q1380" s="36"/>
      <c r="R1380" s="36"/>
      <c r="S1380" s="36"/>
      <c r="T1380" s="36"/>
      <c r="U1380" s="36"/>
      <c r="V1380" s="36"/>
      <c r="W1380" s="36"/>
      <c r="X1380" s="36"/>
      <c r="Y1380" s="36"/>
      <c r="Z1380" s="36"/>
      <c r="AA1380" s="36"/>
      <c r="AB1380" s="36"/>
      <c r="AC1380" s="36"/>
    </row>
    <row r="1381" spans="1:29" ht="36" customHeight="1">
      <c r="A1381" s="81"/>
      <c r="B1381" s="81"/>
      <c r="C1381" s="81"/>
      <c r="D1381" s="81"/>
      <c r="E1381" s="80"/>
      <c r="F1381" s="80"/>
      <c r="G1381" s="80"/>
      <c r="H1381" s="81"/>
      <c r="I1381" s="81"/>
      <c r="J1381" s="35"/>
      <c r="K1381" s="36"/>
      <c r="L1381" s="36"/>
      <c r="M1381" s="36"/>
      <c r="N1381" s="36"/>
      <c r="O1381" s="36"/>
      <c r="P1381" s="36"/>
      <c r="Q1381" s="36"/>
      <c r="R1381" s="36"/>
      <c r="S1381" s="36"/>
      <c r="T1381" s="36"/>
      <c r="U1381" s="36"/>
      <c r="V1381" s="36"/>
      <c r="W1381" s="36"/>
      <c r="X1381" s="36"/>
      <c r="Y1381" s="36"/>
      <c r="Z1381" s="36"/>
      <c r="AA1381" s="36"/>
      <c r="AB1381" s="36"/>
      <c r="AC1381" s="36"/>
    </row>
    <row r="1382" spans="1:29" ht="24" customHeight="1">
      <c r="A1382" s="81"/>
      <c r="B1382" s="81"/>
      <c r="C1382" s="81"/>
      <c r="D1382" s="81"/>
      <c r="E1382" s="80"/>
      <c r="F1382" s="80"/>
      <c r="G1382" s="80"/>
      <c r="H1382" s="81"/>
      <c r="I1382" s="81"/>
      <c r="J1382" s="35"/>
      <c r="K1382" s="36"/>
      <c r="L1382" s="36"/>
      <c r="M1382" s="36"/>
      <c r="N1382" s="36"/>
      <c r="O1382" s="36"/>
      <c r="P1382" s="36"/>
      <c r="Q1382" s="36"/>
      <c r="R1382" s="36"/>
      <c r="S1382" s="36"/>
      <c r="T1382" s="36"/>
      <c r="U1382" s="36"/>
      <c r="V1382" s="36"/>
      <c r="W1382" s="36"/>
      <c r="X1382" s="36"/>
      <c r="Y1382" s="36"/>
      <c r="Z1382" s="36"/>
      <c r="AA1382" s="36"/>
      <c r="AB1382" s="36"/>
      <c r="AC1382" s="36"/>
    </row>
    <row r="1383" spans="1:29" ht="24" customHeight="1">
      <c r="A1383" s="81"/>
      <c r="B1383" s="94"/>
      <c r="C1383" s="81"/>
      <c r="D1383" s="81"/>
      <c r="E1383" s="80"/>
      <c r="F1383" s="80"/>
      <c r="G1383" s="80"/>
      <c r="H1383" s="81"/>
      <c r="I1383" s="81"/>
      <c r="J1383" s="35"/>
      <c r="K1383" s="36"/>
      <c r="L1383" s="36"/>
      <c r="M1383" s="36"/>
      <c r="N1383" s="36"/>
      <c r="O1383" s="36"/>
      <c r="P1383" s="36"/>
      <c r="Q1383" s="36"/>
      <c r="R1383" s="36"/>
      <c r="S1383" s="36"/>
      <c r="T1383" s="36"/>
      <c r="U1383" s="36"/>
      <c r="V1383" s="36"/>
      <c r="W1383" s="36"/>
      <c r="X1383" s="36"/>
      <c r="Y1383" s="36"/>
      <c r="Z1383" s="36"/>
      <c r="AA1383" s="36"/>
      <c r="AB1383" s="36"/>
      <c r="AC1383" s="36"/>
    </row>
    <row r="1384" spans="1:29" ht="24" customHeight="1">
      <c r="A1384" s="81"/>
      <c r="B1384" s="81"/>
      <c r="C1384" s="81"/>
      <c r="D1384" s="81"/>
      <c r="E1384" s="80"/>
      <c r="F1384" s="80"/>
      <c r="G1384" s="80"/>
      <c r="H1384" s="81"/>
      <c r="I1384" s="81"/>
      <c r="J1384" s="35"/>
      <c r="K1384" s="36"/>
      <c r="L1384" s="36"/>
      <c r="M1384" s="36"/>
      <c r="N1384" s="36"/>
      <c r="O1384" s="36"/>
      <c r="P1384" s="36"/>
      <c r="Q1384" s="36"/>
      <c r="R1384" s="36"/>
      <c r="S1384" s="36"/>
      <c r="T1384" s="36"/>
      <c r="U1384" s="36"/>
      <c r="V1384" s="36"/>
      <c r="W1384" s="36"/>
      <c r="X1384" s="36"/>
      <c r="Y1384" s="36"/>
      <c r="Z1384" s="36"/>
      <c r="AA1384" s="36"/>
      <c r="AB1384" s="36"/>
      <c r="AC1384" s="36"/>
    </row>
    <row r="1385" spans="1:29" ht="24" customHeight="1">
      <c r="A1385" s="81"/>
      <c r="B1385" s="81"/>
      <c r="C1385" s="81"/>
      <c r="D1385" s="81"/>
      <c r="E1385" s="80"/>
      <c r="F1385" s="80"/>
      <c r="G1385" s="80"/>
      <c r="H1385" s="81"/>
      <c r="I1385" s="81"/>
      <c r="J1385" s="35"/>
      <c r="K1385" s="36"/>
      <c r="L1385" s="36"/>
      <c r="M1385" s="36"/>
      <c r="N1385" s="36"/>
      <c r="O1385" s="36"/>
      <c r="P1385" s="36"/>
      <c r="Q1385" s="36"/>
      <c r="R1385" s="36"/>
      <c r="S1385" s="36"/>
      <c r="T1385" s="36"/>
      <c r="U1385" s="36"/>
      <c r="V1385" s="36"/>
      <c r="W1385" s="36"/>
      <c r="X1385" s="36"/>
      <c r="Y1385" s="36"/>
      <c r="Z1385" s="36"/>
      <c r="AA1385" s="36"/>
      <c r="AB1385" s="36"/>
      <c r="AC1385" s="36"/>
    </row>
    <row r="1386" spans="1:29" ht="36" customHeight="1">
      <c r="A1386" s="619"/>
      <c r="B1386" s="81"/>
      <c r="C1386" s="81"/>
      <c r="D1386" s="81"/>
      <c r="E1386" s="80"/>
      <c r="F1386" s="80"/>
      <c r="G1386" s="80"/>
      <c r="H1386" s="81"/>
      <c r="I1386" s="81"/>
      <c r="J1386" s="35"/>
      <c r="K1386" s="36"/>
      <c r="L1386" s="36"/>
      <c r="M1386" s="36"/>
      <c r="N1386" s="36"/>
      <c r="O1386" s="36"/>
      <c r="P1386" s="36"/>
      <c r="Q1386" s="36"/>
      <c r="R1386" s="36"/>
      <c r="S1386" s="36"/>
      <c r="T1386" s="36"/>
      <c r="U1386" s="36"/>
      <c r="V1386" s="36"/>
      <c r="W1386" s="36"/>
      <c r="X1386" s="36"/>
      <c r="Y1386" s="36"/>
      <c r="Z1386" s="36"/>
      <c r="AA1386" s="36"/>
      <c r="AB1386" s="36"/>
      <c r="AC1386" s="36"/>
    </row>
    <row r="1387" spans="1:29" ht="24" customHeight="1">
      <c r="A1387" s="619"/>
      <c r="B1387" s="81"/>
      <c r="C1387" s="81"/>
      <c r="D1387" s="81"/>
      <c r="E1387" s="80"/>
      <c r="F1387" s="80"/>
      <c r="G1387" s="80"/>
      <c r="H1387" s="81"/>
      <c r="I1387" s="81"/>
      <c r="J1387" s="35"/>
      <c r="K1387" s="36"/>
      <c r="L1387" s="36"/>
      <c r="M1387" s="36"/>
      <c r="N1387" s="36"/>
      <c r="O1387" s="36"/>
      <c r="P1387" s="36"/>
      <c r="Q1387" s="36"/>
      <c r="R1387" s="36"/>
      <c r="S1387" s="36"/>
      <c r="T1387" s="36"/>
      <c r="U1387" s="36"/>
      <c r="V1387" s="36"/>
      <c r="W1387" s="36"/>
      <c r="X1387" s="36"/>
      <c r="Y1387" s="36"/>
      <c r="Z1387" s="36"/>
      <c r="AA1387" s="36"/>
      <c r="AB1387" s="36"/>
      <c r="AC1387" s="36"/>
    </row>
    <row r="1388" spans="1:29" ht="36" customHeight="1">
      <c r="A1388" s="619"/>
      <c r="B1388" s="81"/>
      <c r="C1388" s="81"/>
      <c r="D1388" s="81"/>
      <c r="E1388" s="80"/>
      <c r="F1388" s="80"/>
      <c r="G1388" s="80"/>
      <c r="H1388" s="81"/>
      <c r="I1388" s="81"/>
      <c r="J1388" s="35"/>
      <c r="K1388" s="36"/>
      <c r="L1388" s="36"/>
      <c r="M1388" s="36"/>
      <c r="N1388" s="36"/>
      <c r="O1388" s="36"/>
      <c r="P1388" s="36"/>
      <c r="Q1388" s="36"/>
      <c r="R1388" s="36"/>
      <c r="S1388" s="36"/>
      <c r="T1388" s="36"/>
      <c r="U1388" s="36"/>
      <c r="V1388" s="36"/>
      <c r="W1388" s="36"/>
      <c r="X1388" s="36"/>
      <c r="Y1388" s="36"/>
      <c r="Z1388" s="36"/>
      <c r="AA1388" s="36"/>
      <c r="AB1388" s="36"/>
      <c r="AC1388" s="36"/>
    </row>
    <row r="1389" spans="1:29" ht="24" customHeight="1">
      <c r="A1389" s="619"/>
      <c r="B1389" s="81"/>
      <c r="C1389" s="81"/>
      <c r="D1389" s="81"/>
      <c r="E1389" s="80"/>
      <c r="F1389" s="80"/>
      <c r="G1389" s="80"/>
      <c r="H1389" s="81"/>
      <c r="I1389" s="81"/>
      <c r="J1389" s="35"/>
      <c r="K1389" s="36"/>
      <c r="L1389" s="36"/>
      <c r="M1389" s="36"/>
      <c r="N1389" s="36"/>
      <c r="O1389" s="36"/>
      <c r="P1389" s="36"/>
      <c r="Q1389" s="36"/>
      <c r="R1389" s="36"/>
      <c r="S1389" s="36"/>
      <c r="T1389" s="36"/>
      <c r="U1389" s="36"/>
      <c r="V1389" s="36"/>
      <c r="W1389" s="36"/>
      <c r="X1389" s="36"/>
      <c r="Y1389" s="36"/>
      <c r="Z1389" s="36"/>
      <c r="AA1389" s="36"/>
      <c r="AB1389" s="36"/>
      <c r="AC1389" s="36"/>
    </row>
    <row r="1390" spans="1:29" ht="24" customHeight="1">
      <c r="A1390" s="81"/>
      <c r="B1390" s="94"/>
      <c r="C1390" s="81"/>
      <c r="D1390" s="81"/>
      <c r="E1390" s="80"/>
      <c r="F1390" s="80"/>
      <c r="G1390" s="80"/>
      <c r="H1390" s="81"/>
      <c r="I1390" s="81"/>
      <c r="J1390" s="35"/>
      <c r="K1390" s="36"/>
      <c r="L1390" s="36"/>
      <c r="M1390" s="36"/>
      <c r="N1390" s="36"/>
      <c r="O1390" s="36"/>
      <c r="P1390" s="36"/>
      <c r="Q1390" s="36"/>
      <c r="R1390" s="36"/>
      <c r="S1390" s="36"/>
      <c r="T1390" s="36"/>
      <c r="U1390" s="36"/>
      <c r="V1390" s="36"/>
      <c r="W1390" s="36"/>
      <c r="X1390" s="36"/>
      <c r="Y1390" s="36"/>
      <c r="Z1390" s="36"/>
      <c r="AA1390" s="36"/>
      <c r="AB1390" s="36"/>
      <c r="AC1390" s="36"/>
    </row>
    <row r="1391" spans="1:29" ht="72" customHeight="1">
      <c r="A1391" s="81"/>
      <c r="B1391" s="81"/>
      <c r="C1391" s="81"/>
      <c r="D1391" s="81"/>
      <c r="E1391" s="80"/>
      <c r="F1391" s="80"/>
      <c r="G1391" s="80"/>
      <c r="H1391" s="81"/>
      <c r="I1391" s="81"/>
      <c r="J1391" s="35"/>
      <c r="K1391" s="36"/>
      <c r="L1391" s="36"/>
      <c r="M1391" s="36"/>
      <c r="N1391" s="36"/>
      <c r="O1391" s="36"/>
      <c r="P1391" s="36"/>
      <c r="Q1391" s="36"/>
      <c r="R1391" s="36"/>
      <c r="S1391" s="36"/>
      <c r="T1391" s="36"/>
      <c r="U1391" s="36"/>
      <c r="V1391" s="36"/>
      <c r="W1391" s="36"/>
      <c r="X1391" s="36"/>
      <c r="Y1391" s="36"/>
      <c r="Z1391" s="36"/>
      <c r="AA1391" s="36"/>
      <c r="AB1391" s="36"/>
      <c r="AC1391" s="36"/>
    </row>
    <row r="1392" spans="1:29" ht="36" customHeight="1">
      <c r="A1392" s="81"/>
      <c r="B1392" s="81"/>
      <c r="C1392" s="81"/>
      <c r="D1392" s="81"/>
      <c r="E1392" s="80"/>
      <c r="F1392" s="80"/>
      <c r="G1392" s="80"/>
      <c r="H1392" s="81"/>
      <c r="I1392" s="81"/>
      <c r="J1392" s="35"/>
      <c r="K1392" s="36"/>
      <c r="L1392" s="36"/>
      <c r="M1392" s="36"/>
      <c r="N1392" s="36"/>
      <c r="O1392" s="36"/>
      <c r="P1392" s="36"/>
      <c r="Q1392" s="36"/>
      <c r="R1392" s="36"/>
      <c r="S1392" s="36"/>
      <c r="T1392" s="36"/>
      <c r="U1392" s="36"/>
      <c r="V1392" s="36"/>
      <c r="W1392" s="36"/>
      <c r="X1392" s="36"/>
      <c r="Y1392" s="36"/>
      <c r="Z1392" s="36"/>
      <c r="AA1392" s="36"/>
      <c r="AB1392" s="36"/>
      <c r="AC1392" s="36"/>
    </row>
    <row r="1393" spans="1:29" ht="24" customHeight="1">
      <c r="A1393" s="81"/>
      <c r="B1393" s="81"/>
      <c r="C1393" s="81"/>
      <c r="D1393" s="81"/>
      <c r="E1393" s="80"/>
      <c r="F1393" s="80"/>
      <c r="G1393" s="80"/>
      <c r="H1393" s="81"/>
      <c r="I1393" s="81"/>
      <c r="J1393" s="35"/>
      <c r="K1393" s="36"/>
      <c r="L1393" s="36"/>
      <c r="M1393" s="36"/>
      <c r="N1393" s="36"/>
      <c r="O1393" s="36"/>
      <c r="P1393" s="36"/>
      <c r="Q1393" s="36"/>
      <c r="R1393" s="36"/>
      <c r="S1393" s="36"/>
      <c r="T1393" s="36"/>
      <c r="U1393" s="36"/>
      <c r="V1393" s="36"/>
      <c r="W1393" s="36"/>
      <c r="X1393" s="36"/>
      <c r="Y1393" s="36"/>
      <c r="Z1393" s="36"/>
      <c r="AA1393" s="36"/>
      <c r="AB1393" s="36"/>
      <c r="AC1393" s="36"/>
    </row>
    <row r="1394" spans="1:29" ht="24" customHeight="1">
      <c r="A1394" s="81"/>
      <c r="B1394" s="81"/>
      <c r="C1394" s="81"/>
      <c r="D1394" s="81"/>
      <c r="E1394" s="80"/>
      <c r="F1394" s="80"/>
      <c r="G1394" s="80"/>
      <c r="H1394" s="81"/>
      <c r="I1394" s="81"/>
      <c r="J1394" s="35"/>
      <c r="K1394" s="36"/>
      <c r="L1394" s="36"/>
      <c r="M1394" s="36"/>
      <c r="N1394" s="36"/>
      <c r="O1394" s="36"/>
      <c r="P1394" s="36"/>
      <c r="Q1394" s="36"/>
      <c r="R1394" s="36"/>
      <c r="S1394" s="36"/>
      <c r="T1394" s="36"/>
      <c r="U1394" s="36"/>
      <c r="V1394" s="36"/>
      <c r="W1394" s="36"/>
      <c r="X1394" s="36"/>
      <c r="Y1394" s="36"/>
      <c r="Z1394" s="36"/>
      <c r="AA1394" s="36"/>
      <c r="AB1394" s="36"/>
      <c r="AC1394" s="36"/>
    </row>
    <row r="1395" spans="1:29" ht="24" customHeight="1">
      <c r="A1395" s="81"/>
      <c r="B1395" s="81"/>
      <c r="C1395" s="81"/>
      <c r="D1395" s="81"/>
      <c r="E1395" s="80"/>
      <c r="F1395" s="80"/>
      <c r="G1395" s="80"/>
      <c r="H1395" s="81"/>
      <c r="I1395" s="81"/>
      <c r="J1395" s="35"/>
      <c r="K1395" s="36"/>
      <c r="L1395" s="36"/>
      <c r="M1395" s="36"/>
      <c r="N1395" s="36"/>
      <c r="O1395" s="36"/>
      <c r="P1395" s="36"/>
      <c r="Q1395" s="36"/>
      <c r="R1395" s="36"/>
      <c r="S1395" s="36"/>
      <c r="T1395" s="36"/>
      <c r="U1395" s="36"/>
      <c r="V1395" s="36"/>
      <c r="W1395" s="36"/>
      <c r="X1395" s="36"/>
      <c r="Y1395" s="36"/>
      <c r="Z1395" s="36"/>
      <c r="AA1395" s="36"/>
      <c r="AB1395" s="36"/>
      <c r="AC1395" s="36"/>
    </row>
    <row r="1396" spans="1:29" ht="24" customHeight="1">
      <c r="A1396" s="81"/>
      <c r="B1396" s="81"/>
      <c r="C1396" s="81"/>
      <c r="D1396" s="81"/>
      <c r="E1396" s="80"/>
      <c r="F1396" s="80"/>
      <c r="G1396" s="80"/>
      <c r="H1396" s="81"/>
      <c r="I1396" s="81"/>
      <c r="J1396" s="35"/>
      <c r="K1396" s="36"/>
      <c r="L1396" s="36"/>
      <c r="M1396" s="36"/>
      <c r="N1396" s="36"/>
      <c r="O1396" s="36"/>
      <c r="P1396" s="36"/>
      <c r="Q1396" s="36"/>
      <c r="R1396" s="36"/>
      <c r="S1396" s="36"/>
      <c r="T1396" s="36"/>
      <c r="U1396" s="36"/>
      <c r="V1396" s="36"/>
      <c r="W1396" s="36"/>
      <c r="X1396" s="36"/>
      <c r="Y1396" s="36"/>
      <c r="Z1396" s="36"/>
      <c r="AA1396" s="36"/>
      <c r="AB1396" s="36"/>
      <c r="AC1396" s="36"/>
    </row>
    <row r="1397" spans="1:29" ht="24" customHeight="1">
      <c r="A1397" s="81"/>
      <c r="B1397" s="81"/>
      <c r="C1397" s="81"/>
      <c r="D1397" s="81"/>
      <c r="E1397" s="80"/>
      <c r="F1397" s="80"/>
      <c r="G1397" s="80"/>
      <c r="H1397" s="81"/>
      <c r="I1397" s="81"/>
      <c r="J1397" s="35"/>
      <c r="K1397" s="36"/>
      <c r="L1397" s="36"/>
      <c r="M1397" s="36"/>
      <c r="N1397" s="36"/>
      <c r="O1397" s="36"/>
      <c r="P1397" s="36"/>
      <c r="Q1397" s="36"/>
      <c r="R1397" s="36"/>
      <c r="S1397" s="36"/>
      <c r="T1397" s="36"/>
      <c r="U1397" s="36"/>
      <c r="V1397" s="36"/>
      <c r="W1397" s="36"/>
      <c r="X1397" s="36"/>
      <c r="Y1397" s="36"/>
      <c r="Z1397" s="36"/>
      <c r="AA1397" s="36"/>
      <c r="AB1397" s="36"/>
      <c r="AC1397" s="36"/>
    </row>
    <row r="1398" spans="1:29" ht="24" customHeight="1">
      <c r="A1398" s="81"/>
      <c r="B1398" s="100"/>
      <c r="C1398" s="100"/>
      <c r="D1398" s="100"/>
      <c r="E1398" s="99"/>
      <c r="F1398" s="99"/>
      <c r="G1398" s="99"/>
      <c r="H1398" s="100"/>
      <c r="I1398" s="100"/>
      <c r="J1398" s="35"/>
      <c r="K1398" s="36"/>
      <c r="L1398" s="36"/>
      <c r="M1398" s="36"/>
      <c r="N1398" s="36"/>
      <c r="O1398" s="36"/>
      <c r="P1398" s="36"/>
      <c r="Q1398" s="36"/>
      <c r="R1398" s="36"/>
      <c r="S1398" s="36"/>
      <c r="T1398" s="36"/>
      <c r="U1398" s="36"/>
      <c r="V1398" s="36"/>
      <c r="W1398" s="36"/>
      <c r="X1398" s="36"/>
      <c r="Y1398" s="36"/>
      <c r="Z1398" s="36"/>
      <c r="AA1398" s="36"/>
      <c r="AB1398" s="36"/>
      <c r="AC1398" s="36"/>
    </row>
    <row r="1399" spans="1:29" ht="36" customHeight="1">
      <c r="A1399" s="81"/>
      <c r="B1399" s="100"/>
      <c r="C1399" s="100"/>
      <c r="D1399" s="100"/>
      <c r="E1399" s="99"/>
      <c r="F1399" s="99"/>
      <c r="G1399" s="99"/>
      <c r="H1399" s="100"/>
      <c r="I1399" s="100"/>
      <c r="J1399" s="35"/>
      <c r="K1399" s="36"/>
      <c r="L1399" s="36"/>
      <c r="M1399" s="36"/>
      <c r="N1399" s="36"/>
      <c r="O1399" s="36"/>
      <c r="P1399" s="36"/>
      <c r="Q1399" s="36"/>
      <c r="R1399" s="36"/>
      <c r="S1399" s="36"/>
      <c r="T1399" s="36"/>
      <c r="U1399" s="36"/>
      <c r="V1399" s="36"/>
      <c r="W1399" s="36"/>
      <c r="X1399" s="36"/>
      <c r="Y1399" s="36"/>
      <c r="Z1399" s="36"/>
      <c r="AA1399" s="36"/>
      <c r="AB1399" s="36"/>
      <c r="AC1399" s="36"/>
    </row>
    <row r="1400" spans="1:29" ht="12" customHeight="1">
      <c r="A1400" s="81"/>
      <c r="B1400" s="100"/>
      <c r="C1400" s="100"/>
      <c r="D1400" s="100"/>
      <c r="E1400" s="99"/>
      <c r="F1400" s="99"/>
      <c r="G1400" s="99"/>
      <c r="H1400" s="100"/>
      <c r="I1400" s="100"/>
      <c r="J1400" s="35"/>
      <c r="K1400" s="36"/>
      <c r="L1400" s="36"/>
      <c r="M1400" s="36"/>
      <c r="N1400" s="36"/>
      <c r="O1400" s="36"/>
      <c r="P1400" s="36"/>
      <c r="Q1400" s="36"/>
      <c r="R1400" s="36"/>
      <c r="S1400" s="36"/>
      <c r="T1400" s="36"/>
      <c r="U1400" s="36"/>
      <c r="V1400" s="36"/>
      <c r="W1400" s="36"/>
      <c r="X1400" s="36"/>
      <c r="Y1400" s="36"/>
      <c r="Z1400" s="36"/>
      <c r="AA1400" s="36"/>
      <c r="AB1400" s="36"/>
      <c r="AC1400" s="36"/>
    </row>
    <row r="1401" spans="1:29" ht="36" customHeight="1">
      <c r="A1401" s="81"/>
      <c r="B1401" s="100"/>
      <c r="C1401" s="100"/>
      <c r="D1401" s="100"/>
      <c r="E1401" s="99"/>
      <c r="F1401" s="99"/>
      <c r="G1401" s="99"/>
      <c r="H1401" s="100"/>
      <c r="I1401" s="100"/>
      <c r="J1401" s="35"/>
      <c r="K1401" s="36"/>
      <c r="L1401" s="36"/>
      <c r="M1401" s="36"/>
      <c r="N1401" s="36"/>
      <c r="O1401" s="36"/>
      <c r="P1401" s="36"/>
      <c r="Q1401" s="36"/>
      <c r="R1401" s="36"/>
      <c r="S1401" s="36"/>
      <c r="T1401" s="36"/>
      <c r="U1401" s="36"/>
      <c r="V1401" s="36"/>
      <c r="W1401" s="36"/>
      <c r="X1401" s="36"/>
      <c r="Y1401" s="36"/>
      <c r="Z1401" s="36"/>
      <c r="AA1401" s="36"/>
      <c r="AB1401" s="36"/>
      <c r="AC1401" s="36"/>
    </row>
    <row r="1402" spans="1:29" ht="72" customHeight="1">
      <c r="A1402" s="81"/>
      <c r="B1402" s="100"/>
      <c r="C1402" s="100"/>
      <c r="D1402" s="100"/>
      <c r="E1402" s="99"/>
      <c r="F1402" s="99"/>
      <c r="G1402" s="99"/>
      <c r="H1402" s="100"/>
      <c r="I1402" s="100"/>
      <c r="J1402" s="35"/>
      <c r="K1402" s="36"/>
      <c r="L1402" s="36"/>
      <c r="M1402" s="36"/>
      <c r="N1402" s="36"/>
      <c r="O1402" s="36"/>
      <c r="P1402" s="36"/>
      <c r="Q1402" s="36"/>
      <c r="R1402" s="36"/>
      <c r="S1402" s="36"/>
      <c r="T1402" s="36"/>
      <c r="U1402" s="36"/>
      <c r="V1402" s="36"/>
      <c r="W1402" s="36"/>
      <c r="X1402" s="36"/>
      <c r="Y1402" s="36"/>
      <c r="Z1402" s="36"/>
      <c r="AA1402" s="36"/>
      <c r="AB1402" s="36"/>
      <c r="AC1402" s="36"/>
    </row>
    <row r="1403" spans="1:29" ht="48" customHeight="1">
      <c r="A1403" s="81"/>
      <c r="B1403" s="100"/>
      <c r="C1403" s="100"/>
      <c r="D1403" s="100"/>
      <c r="E1403" s="99"/>
      <c r="F1403" s="99"/>
      <c r="G1403" s="99"/>
      <c r="H1403" s="100"/>
      <c r="I1403" s="100"/>
      <c r="J1403" s="35"/>
      <c r="K1403" s="36"/>
      <c r="L1403" s="36"/>
      <c r="M1403" s="36"/>
      <c r="N1403" s="36"/>
      <c r="O1403" s="36"/>
      <c r="P1403" s="36"/>
      <c r="Q1403" s="36"/>
      <c r="R1403" s="36"/>
      <c r="S1403" s="36"/>
      <c r="T1403" s="36"/>
      <c r="U1403" s="36"/>
      <c r="V1403" s="36"/>
      <c r="W1403" s="36"/>
      <c r="X1403" s="36"/>
      <c r="Y1403" s="36"/>
      <c r="Z1403" s="36"/>
      <c r="AA1403" s="36"/>
      <c r="AB1403" s="36"/>
      <c r="AC1403" s="36"/>
    </row>
    <row r="1404" spans="1:29" ht="36" customHeight="1">
      <c r="A1404" s="81"/>
      <c r="B1404" s="100"/>
      <c r="C1404" s="100"/>
      <c r="D1404" s="100"/>
      <c r="E1404" s="99"/>
      <c r="F1404" s="99"/>
      <c r="G1404" s="99"/>
      <c r="H1404" s="100"/>
      <c r="I1404" s="100"/>
      <c r="J1404" s="35"/>
      <c r="K1404" s="36"/>
      <c r="L1404" s="36"/>
      <c r="M1404" s="36"/>
      <c r="N1404" s="36"/>
      <c r="O1404" s="36"/>
      <c r="P1404" s="36"/>
      <c r="Q1404" s="36"/>
      <c r="R1404" s="36"/>
      <c r="S1404" s="36"/>
      <c r="T1404" s="36"/>
      <c r="U1404" s="36"/>
      <c r="V1404" s="36"/>
      <c r="W1404" s="36"/>
      <c r="X1404" s="36"/>
      <c r="Y1404" s="36"/>
      <c r="Z1404" s="36"/>
      <c r="AA1404" s="36"/>
      <c r="AB1404" s="36"/>
      <c r="AC1404" s="36"/>
    </row>
    <row r="1405" spans="1:29" ht="48" customHeight="1">
      <c r="A1405" s="81"/>
      <c r="B1405" s="100"/>
      <c r="C1405" s="100"/>
      <c r="D1405" s="100"/>
      <c r="E1405" s="99"/>
      <c r="F1405" s="99"/>
      <c r="G1405" s="99"/>
      <c r="H1405" s="100"/>
      <c r="I1405" s="100"/>
      <c r="J1405" s="35"/>
      <c r="K1405" s="36"/>
      <c r="L1405" s="36"/>
      <c r="M1405" s="36"/>
      <c r="N1405" s="36"/>
      <c r="O1405" s="36"/>
      <c r="P1405" s="36"/>
      <c r="Q1405" s="36"/>
      <c r="R1405" s="36"/>
      <c r="S1405" s="36"/>
      <c r="T1405" s="36"/>
      <c r="U1405" s="36"/>
      <c r="V1405" s="36"/>
      <c r="W1405" s="36"/>
      <c r="X1405" s="36"/>
      <c r="Y1405" s="36"/>
      <c r="Z1405" s="36"/>
      <c r="AA1405" s="36"/>
      <c r="AB1405" s="36"/>
      <c r="AC1405" s="36"/>
    </row>
    <row r="1406" spans="1:29" ht="36" customHeight="1">
      <c r="A1406" s="81"/>
      <c r="B1406" s="100"/>
      <c r="C1406" s="100"/>
      <c r="D1406" s="100"/>
      <c r="E1406" s="99"/>
      <c r="F1406" s="99"/>
      <c r="G1406" s="99"/>
      <c r="H1406" s="100"/>
      <c r="I1406" s="100"/>
      <c r="J1406" s="35"/>
      <c r="K1406" s="36"/>
      <c r="L1406" s="36"/>
      <c r="M1406" s="36"/>
      <c r="N1406" s="36"/>
      <c r="O1406" s="36"/>
      <c r="P1406" s="36"/>
      <c r="Q1406" s="36"/>
      <c r="R1406" s="36"/>
      <c r="S1406" s="36"/>
      <c r="T1406" s="36"/>
      <c r="U1406" s="36"/>
      <c r="V1406" s="36"/>
      <c r="W1406" s="36"/>
      <c r="X1406" s="36"/>
      <c r="Y1406" s="36"/>
      <c r="Z1406" s="36"/>
      <c r="AA1406" s="36"/>
      <c r="AB1406" s="36"/>
      <c r="AC1406" s="36"/>
    </row>
    <row r="1407" spans="1:29" ht="36" customHeight="1">
      <c r="A1407" s="81"/>
      <c r="B1407" s="100"/>
      <c r="C1407" s="100"/>
      <c r="D1407" s="100"/>
      <c r="E1407" s="99"/>
      <c r="F1407" s="99"/>
      <c r="G1407" s="99"/>
      <c r="H1407" s="100"/>
      <c r="I1407" s="100"/>
      <c r="J1407" s="35"/>
      <c r="K1407" s="36"/>
      <c r="L1407" s="36"/>
      <c r="M1407" s="36"/>
      <c r="N1407" s="36"/>
      <c r="O1407" s="36"/>
      <c r="P1407" s="36"/>
      <c r="Q1407" s="36"/>
      <c r="R1407" s="36"/>
      <c r="S1407" s="36"/>
      <c r="T1407" s="36"/>
      <c r="U1407" s="36"/>
      <c r="V1407" s="36"/>
      <c r="W1407" s="36"/>
      <c r="X1407" s="36"/>
      <c r="Y1407" s="36"/>
      <c r="Z1407" s="36"/>
      <c r="AA1407" s="36"/>
      <c r="AB1407" s="36"/>
      <c r="AC1407" s="36"/>
    </row>
    <row r="1408" spans="1:29" ht="36" customHeight="1">
      <c r="A1408" s="81"/>
      <c r="B1408" s="100"/>
      <c r="C1408" s="100"/>
      <c r="D1408" s="100"/>
      <c r="E1408" s="99"/>
      <c r="F1408" s="99"/>
      <c r="G1408" s="99"/>
      <c r="H1408" s="100"/>
      <c r="I1408" s="100"/>
      <c r="J1408" s="35"/>
      <c r="K1408" s="36"/>
      <c r="L1408" s="36"/>
      <c r="M1408" s="36"/>
      <c r="N1408" s="36"/>
      <c r="O1408" s="36"/>
      <c r="P1408" s="36"/>
      <c r="Q1408" s="36"/>
      <c r="R1408" s="36"/>
      <c r="S1408" s="36"/>
      <c r="T1408" s="36"/>
      <c r="U1408" s="36"/>
      <c r="V1408" s="36"/>
      <c r="W1408" s="36"/>
      <c r="X1408" s="36"/>
      <c r="Y1408" s="36"/>
      <c r="Z1408" s="36"/>
      <c r="AA1408" s="36"/>
      <c r="AB1408" s="36"/>
      <c r="AC1408" s="36"/>
    </row>
    <row r="1409" spans="1:29" ht="24" customHeight="1">
      <c r="A1409" s="81"/>
      <c r="B1409" s="100"/>
      <c r="C1409" s="100"/>
      <c r="D1409" s="100"/>
      <c r="E1409" s="99"/>
      <c r="F1409" s="99"/>
      <c r="G1409" s="99"/>
      <c r="H1409" s="100"/>
      <c r="I1409" s="100"/>
      <c r="J1409" s="35"/>
      <c r="K1409" s="36"/>
      <c r="L1409" s="36"/>
      <c r="M1409" s="36"/>
      <c r="N1409" s="36"/>
      <c r="O1409" s="36"/>
      <c r="P1409" s="36"/>
      <c r="Q1409" s="36"/>
      <c r="R1409" s="36"/>
      <c r="S1409" s="36"/>
      <c r="T1409" s="36"/>
      <c r="U1409" s="36"/>
      <c r="V1409" s="36"/>
      <c r="W1409" s="36"/>
      <c r="X1409" s="36"/>
      <c r="Y1409" s="36"/>
      <c r="Z1409" s="36"/>
      <c r="AA1409" s="36"/>
      <c r="AB1409" s="36"/>
      <c r="AC1409" s="36"/>
    </row>
    <row r="1410" spans="1:29" ht="24" customHeight="1">
      <c r="A1410" s="100"/>
      <c r="B1410" s="100"/>
      <c r="C1410" s="100"/>
      <c r="D1410" s="100"/>
      <c r="E1410" s="99"/>
      <c r="F1410" s="99"/>
      <c r="G1410" s="99"/>
      <c r="H1410" s="100"/>
      <c r="I1410" s="100"/>
      <c r="J1410" s="35"/>
      <c r="K1410" s="36"/>
      <c r="L1410" s="36"/>
      <c r="M1410" s="36"/>
      <c r="N1410" s="36"/>
      <c r="O1410" s="36"/>
      <c r="P1410" s="36"/>
      <c r="Q1410" s="36"/>
      <c r="R1410" s="36"/>
      <c r="S1410" s="36"/>
      <c r="T1410" s="36"/>
      <c r="U1410" s="36"/>
      <c r="V1410" s="36"/>
      <c r="W1410" s="36"/>
      <c r="X1410" s="36"/>
      <c r="Y1410" s="36"/>
      <c r="Z1410" s="36"/>
      <c r="AA1410" s="36"/>
      <c r="AB1410" s="36"/>
      <c r="AC1410" s="36"/>
    </row>
    <row r="1411" spans="1:29" ht="36" customHeight="1">
      <c r="A1411" s="100"/>
      <c r="B1411" s="100"/>
      <c r="C1411" s="100"/>
      <c r="D1411" s="100"/>
      <c r="E1411" s="99"/>
      <c r="F1411" s="99"/>
      <c r="G1411" s="99"/>
      <c r="H1411" s="100"/>
      <c r="I1411" s="100"/>
      <c r="J1411" s="35"/>
      <c r="K1411" s="36"/>
      <c r="L1411" s="36"/>
      <c r="M1411" s="36"/>
      <c r="N1411" s="36"/>
      <c r="O1411" s="36"/>
      <c r="P1411" s="36"/>
      <c r="Q1411" s="36"/>
      <c r="R1411" s="36"/>
      <c r="S1411" s="36"/>
      <c r="T1411" s="36"/>
      <c r="U1411" s="36"/>
      <c r="V1411" s="36"/>
      <c r="W1411" s="36"/>
      <c r="X1411" s="36"/>
      <c r="Y1411" s="36"/>
      <c r="Z1411" s="36"/>
      <c r="AA1411" s="36"/>
      <c r="AB1411" s="36"/>
      <c r="AC1411" s="36"/>
    </row>
    <row r="1412" spans="1:29" ht="36" customHeight="1">
      <c r="A1412" s="100"/>
      <c r="B1412" s="100"/>
      <c r="C1412" s="100"/>
      <c r="D1412" s="100"/>
      <c r="E1412" s="99"/>
      <c r="F1412" s="99"/>
      <c r="G1412" s="99"/>
      <c r="H1412" s="100"/>
      <c r="I1412" s="100"/>
      <c r="J1412" s="35"/>
      <c r="K1412" s="36"/>
      <c r="L1412" s="36"/>
      <c r="M1412" s="36"/>
      <c r="N1412" s="36"/>
      <c r="O1412" s="36"/>
      <c r="P1412" s="36"/>
      <c r="Q1412" s="36"/>
      <c r="R1412" s="36"/>
      <c r="S1412" s="36"/>
      <c r="T1412" s="36"/>
      <c r="U1412" s="36"/>
      <c r="V1412" s="36"/>
      <c r="W1412" s="36"/>
      <c r="X1412" s="36"/>
      <c r="Y1412" s="36"/>
      <c r="Z1412" s="36"/>
      <c r="AA1412" s="36"/>
      <c r="AB1412" s="36"/>
      <c r="AC1412" s="36"/>
    </row>
    <row r="1413" spans="1:29" ht="24" customHeight="1">
      <c r="A1413" s="100"/>
      <c r="B1413" s="100"/>
      <c r="C1413" s="100"/>
      <c r="D1413" s="100"/>
      <c r="E1413" s="99"/>
      <c r="F1413" s="99"/>
      <c r="G1413" s="99"/>
      <c r="H1413" s="100"/>
      <c r="I1413" s="100"/>
      <c r="J1413" s="35"/>
      <c r="K1413" s="36"/>
      <c r="L1413" s="36"/>
      <c r="M1413" s="36"/>
      <c r="N1413" s="36"/>
      <c r="O1413" s="36"/>
      <c r="P1413" s="36"/>
      <c r="Q1413" s="36"/>
      <c r="R1413" s="36"/>
      <c r="S1413" s="36"/>
      <c r="T1413" s="36"/>
      <c r="U1413" s="36"/>
      <c r="V1413" s="36"/>
      <c r="W1413" s="36"/>
      <c r="X1413" s="36"/>
      <c r="Y1413" s="36"/>
      <c r="Z1413" s="36"/>
      <c r="AA1413" s="36"/>
      <c r="AB1413" s="36"/>
      <c r="AC1413" s="36"/>
    </row>
    <row r="1414" spans="1:29" ht="12" customHeight="1">
      <c r="A1414" s="100"/>
      <c r="B1414" s="100"/>
      <c r="C1414" s="100"/>
      <c r="D1414" s="100"/>
      <c r="E1414" s="99"/>
      <c r="F1414" s="99"/>
      <c r="G1414" s="99"/>
      <c r="H1414" s="100"/>
      <c r="I1414" s="100"/>
      <c r="J1414" s="35"/>
      <c r="K1414" s="36"/>
      <c r="L1414" s="36"/>
      <c r="M1414" s="36"/>
      <c r="N1414" s="36"/>
      <c r="O1414" s="36"/>
      <c r="P1414" s="36"/>
      <c r="Q1414" s="36"/>
      <c r="R1414" s="36"/>
      <c r="S1414" s="36"/>
      <c r="T1414" s="36"/>
      <c r="U1414" s="36"/>
      <c r="V1414" s="36"/>
      <c r="W1414" s="36"/>
      <c r="X1414" s="36"/>
      <c r="Y1414" s="36"/>
      <c r="Z1414" s="36"/>
      <c r="AA1414" s="36"/>
      <c r="AB1414" s="36"/>
      <c r="AC1414" s="36"/>
    </row>
    <row r="1415" spans="1:29" ht="36" customHeight="1">
      <c r="A1415" s="100"/>
      <c r="B1415" s="100"/>
      <c r="C1415" s="100"/>
      <c r="D1415" s="100"/>
      <c r="E1415" s="99"/>
      <c r="F1415" s="99"/>
      <c r="G1415" s="99"/>
      <c r="H1415" s="100"/>
      <c r="I1415" s="100"/>
      <c r="J1415" s="35"/>
      <c r="K1415" s="36"/>
      <c r="L1415" s="36"/>
      <c r="M1415" s="36"/>
      <c r="N1415" s="36"/>
      <c r="O1415" s="36"/>
      <c r="P1415" s="36"/>
      <c r="Q1415" s="36"/>
      <c r="R1415" s="36"/>
      <c r="S1415" s="36"/>
      <c r="T1415" s="36"/>
      <c r="U1415" s="36"/>
      <c r="V1415" s="36"/>
      <c r="W1415" s="36"/>
      <c r="X1415" s="36"/>
      <c r="Y1415" s="36"/>
      <c r="Z1415" s="36"/>
      <c r="AA1415" s="36"/>
      <c r="AB1415" s="36"/>
      <c r="AC1415" s="36"/>
    </row>
    <row r="1416" spans="1:29" ht="36" customHeight="1">
      <c r="A1416" s="100"/>
      <c r="B1416" s="100"/>
      <c r="C1416" s="100"/>
      <c r="D1416" s="100"/>
      <c r="E1416" s="99"/>
      <c r="F1416" s="99"/>
      <c r="G1416" s="99"/>
      <c r="H1416" s="100"/>
      <c r="I1416" s="100"/>
      <c r="J1416" s="35"/>
      <c r="K1416" s="36"/>
      <c r="L1416" s="36"/>
      <c r="M1416" s="36"/>
      <c r="N1416" s="36"/>
      <c r="O1416" s="36"/>
      <c r="P1416" s="36"/>
      <c r="Q1416" s="36"/>
      <c r="R1416" s="36"/>
      <c r="S1416" s="36"/>
      <c r="T1416" s="36"/>
      <c r="U1416" s="36"/>
      <c r="V1416" s="36"/>
      <c r="W1416" s="36"/>
      <c r="X1416" s="36"/>
      <c r="Y1416" s="36"/>
      <c r="Z1416" s="36"/>
      <c r="AA1416" s="36"/>
      <c r="AB1416" s="36"/>
      <c r="AC1416" s="36"/>
    </row>
    <row r="1417" spans="1:29" ht="36" customHeight="1">
      <c r="A1417" s="100"/>
      <c r="B1417" s="100"/>
      <c r="C1417" s="100"/>
      <c r="D1417" s="100"/>
      <c r="E1417" s="99"/>
      <c r="F1417" s="99"/>
      <c r="G1417" s="99"/>
      <c r="H1417" s="100"/>
      <c r="I1417" s="100"/>
      <c r="J1417" s="35"/>
      <c r="K1417" s="36"/>
      <c r="L1417" s="36"/>
      <c r="M1417" s="36"/>
      <c r="N1417" s="36"/>
      <c r="O1417" s="36"/>
      <c r="P1417" s="36"/>
      <c r="Q1417" s="36"/>
      <c r="R1417" s="36"/>
      <c r="S1417" s="36"/>
      <c r="T1417" s="36"/>
      <c r="U1417" s="36"/>
      <c r="V1417" s="36"/>
      <c r="W1417" s="36"/>
      <c r="X1417" s="36"/>
      <c r="Y1417" s="36"/>
      <c r="Z1417" s="36"/>
      <c r="AA1417" s="36"/>
      <c r="AB1417" s="36"/>
      <c r="AC1417" s="36"/>
    </row>
    <row r="1418" spans="1:29" ht="60" customHeight="1">
      <c r="A1418" s="100"/>
      <c r="B1418" s="100"/>
      <c r="C1418" s="100"/>
      <c r="D1418" s="100"/>
      <c r="E1418" s="99"/>
      <c r="F1418" s="99"/>
      <c r="G1418" s="99"/>
      <c r="H1418" s="100"/>
      <c r="I1418" s="100"/>
      <c r="J1418" s="35"/>
      <c r="K1418" s="36"/>
      <c r="L1418" s="36"/>
      <c r="M1418" s="36"/>
      <c r="N1418" s="36"/>
      <c r="O1418" s="36"/>
      <c r="P1418" s="36"/>
      <c r="Q1418" s="36"/>
      <c r="R1418" s="36"/>
      <c r="S1418" s="36"/>
      <c r="T1418" s="36"/>
      <c r="U1418" s="36"/>
      <c r="V1418" s="36"/>
      <c r="W1418" s="36"/>
      <c r="X1418" s="36"/>
      <c r="Y1418" s="36"/>
      <c r="Z1418" s="36"/>
      <c r="AA1418" s="36"/>
      <c r="AB1418" s="36"/>
      <c r="AC1418" s="36"/>
    </row>
    <row r="1419" spans="1:29" ht="24" customHeight="1">
      <c r="A1419" s="100"/>
      <c r="B1419" s="100"/>
      <c r="C1419" s="100"/>
      <c r="D1419" s="100"/>
      <c r="E1419" s="99"/>
      <c r="F1419" s="99"/>
      <c r="G1419" s="99"/>
      <c r="H1419" s="100"/>
      <c r="I1419" s="100"/>
      <c r="J1419" s="35"/>
      <c r="K1419" s="36"/>
      <c r="L1419" s="36"/>
      <c r="M1419" s="36"/>
      <c r="N1419" s="36"/>
      <c r="O1419" s="36"/>
      <c r="P1419" s="36"/>
      <c r="Q1419" s="36"/>
      <c r="R1419" s="36"/>
      <c r="S1419" s="36"/>
      <c r="T1419" s="36"/>
      <c r="U1419" s="36"/>
      <c r="V1419" s="36"/>
      <c r="W1419" s="36"/>
      <c r="X1419" s="36"/>
      <c r="Y1419" s="36"/>
      <c r="Z1419" s="36"/>
      <c r="AA1419" s="36"/>
      <c r="AB1419" s="36"/>
      <c r="AC1419" s="36"/>
    </row>
    <row r="1420" spans="1:29" ht="36" customHeight="1">
      <c r="A1420" s="100"/>
      <c r="B1420" s="100"/>
      <c r="C1420" s="100"/>
      <c r="D1420" s="100"/>
      <c r="E1420" s="99"/>
      <c r="F1420" s="99"/>
      <c r="G1420" s="99"/>
      <c r="H1420" s="100"/>
      <c r="I1420" s="100"/>
      <c r="J1420" s="35"/>
      <c r="K1420" s="36"/>
      <c r="L1420" s="36"/>
      <c r="M1420" s="36"/>
      <c r="N1420" s="36"/>
      <c r="O1420" s="36"/>
      <c r="P1420" s="36"/>
      <c r="Q1420" s="36"/>
      <c r="R1420" s="36"/>
      <c r="S1420" s="36"/>
      <c r="T1420" s="36"/>
      <c r="U1420" s="36"/>
      <c r="V1420" s="36"/>
      <c r="W1420" s="36"/>
      <c r="X1420" s="36"/>
      <c r="Y1420" s="36"/>
      <c r="Z1420" s="36"/>
      <c r="AA1420" s="36"/>
      <c r="AB1420" s="36"/>
      <c r="AC1420" s="36"/>
    </row>
    <row r="1421" spans="1:29" ht="24" customHeight="1">
      <c r="A1421" s="619"/>
      <c r="B1421" s="100"/>
      <c r="C1421" s="100"/>
      <c r="D1421" s="100"/>
      <c r="E1421" s="99"/>
      <c r="F1421" s="99"/>
      <c r="G1421" s="99"/>
      <c r="H1421" s="100"/>
      <c r="I1421" s="100"/>
      <c r="J1421" s="35"/>
      <c r="K1421" s="36"/>
      <c r="L1421" s="36"/>
      <c r="M1421" s="36"/>
      <c r="N1421" s="36"/>
      <c r="O1421" s="36"/>
      <c r="P1421" s="36"/>
      <c r="Q1421" s="36"/>
      <c r="R1421" s="36"/>
      <c r="S1421" s="36"/>
      <c r="T1421" s="36"/>
      <c r="U1421" s="36"/>
      <c r="V1421" s="36"/>
      <c r="W1421" s="36"/>
      <c r="X1421" s="36"/>
      <c r="Y1421" s="36"/>
      <c r="Z1421" s="36"/>
      <c r="AA1421" s="36"/>
      <c r="AB1421" s="36"/>
      <c r="AC1421" s="36"/>
    </row>
    <row r="1422" spans="1:29" ht="36" customHeight="1">
      <c r="A1422" s="100"/>
      <c r="B1422" s="100"/>
      <c r="C1422" s="100"/>
      <c r="D1422" s="100"/>
      <c r="E1422" s="99"/>
      <c r="F1422" s="99"/>
      <c r="G1422" s="99"/>
      <c r="H1422" s="100"/>
      <c r="I1422" s="100"/>
      <c r="J1422" s="35"/>
      <c r="K1422" s="36"/>
      <c r="L1422" s="36"/>
      <c r="M1422" s="36"/>
      <c r="N1422" s="36"/>
      <c r="O1422" s="36"/>
      <c r="P1422" s="36"/>
      <c r="Q1422" s="36"/>
      <c r="R1422" s="36"/>
      <c r="S1422" s="36"/>
      <c r="T1422" s="36"/>
      <c r="U1422" s="36"/>
      <c r="V1422" s="36"/>
      <c r="W1422" s="36"/>
      <c r="X1422" s="36"/>
      <c r="Y1422" s="36"/>
      <c r="Z1422" s="36"/>
      <c r="AA1422" s="36"/>
      <c r="AB1422" s="36"/>
      <c r="AC1422" s="36"/>
    </row>
    <row r="1423" spans="1:29" ht="24" customHeight="1">
      <c r="A1423" s="100"/>
      <c r="B1423" s="100"/>
      <c r="C1423" s="100"/>
      <c r="D1423" s="100"/>
      <c r="E1423" s="99"/>
      <c r="F1423" s="99"/>
      <c r="G1423" s="99"/>
      <c r="H1423" s="100"/>
      <c r="I1423" s="100"/>
      <c r="J1423" s="35"/>
      <c r="K1423" s="36"/>
      <c r="L1423" s="36"/>
      <c r="M1423" s="36"/>
      <c r="N1423" s="36"/>
      <c r="O1423" s="36"/>
      <c r="P1423" s="36"/>
      <c r="Q1423" s="36"/>
      <c r="R1423" s="36"/>
      <c r="S1423" s="36"/>
      <c r="T1423" s="36"/>
      <c r="U1423" s="36"/>
      <c r="V1423" s="36"/>
      <c r="W1423" s="36"/>
      <c r="X1423" s="36"/>
      <c r="Y1423" s="36"/>
      <c r="Z1423" s="36"/>
      <c r="AA1423" s="36"/>
      <c r="AB1423" s="36"/>
      <c r="AC1423" s="36"/>
    </row>
    <row r="1424" spans="1:29" ht="24" customHeight="1">
      <c r="A1424" s="100"/>
      <c r="B1424" s="100"/>
      <c r="C1424" s="100"/>
      <c r="D1424" s="100"/>
      <c r="E1424" s="99"/>
      <c r="F1424" s="99"/>
      <c r="G1424" s="99"/>
      <c r="H1424" s="100"/>
      <c r="I1424" s="100"/>
      <c r="J1424" s="35"/>
      <c r="K1424" s="36"/>
      <c r="L1424" s="36"/>
      <c r="M1424" s="36"/>
      <c r="N1424" s="36"/>
      <c r="O1424" s="36"/>
      <c r="P1424" s="36"/>
      <c r="Q1424" s="36"/>
      <c r="R1424" s="36"/>
      <c r="S1424" s="36"/>
      <c r="T1424" s="36"/>
      <c r="U1424" s="36"/>
      <c r="V1424" s="36"/>
      <c r="W1424" s="36"/>
      <c r="X1424" s="36"/>
      <c r="Y1424" s="36"/>
      <c r="Z1424" s="36"/>
      <c r="AA1424" s="36"/>
      <c r="AB1424" s="36"/>
      <c r="AC1424" s="36"/>
    </row>
    <row r="1425" spans="1:29" ht="24" customHeight="1">
      <c r="A1425" s="100"/>
      <c r="B1425" s="100"/>
      <c r="C1425" s="100"/>
      <c r="D1425" s="100"/>
      <c r="E1425" s="99"/>
      <c r="F1425" s="99"/>
      <c r="G1425" s="99"/>
      <c r="H1425" s="100"/>
      <c r="I1425" s="100"/>
      <c r="J1425" s="35"/>
      <c r="K1425" s="36"/>
      <c r="L1425" s="36"/>
      <c r="M1425" s="36"/>
      <c r="N1425" s="36"/>
      <c r="O1425" s="36"/>
      <c r="P1425" s="36"/>
      <c r="Q1425" s="36"/>
      <c r="R1425" s="36"/>
      <c r="S1425" s="36"/>
      <c r="T1425" s="36"/>
      <c r="U1425" s="36"/>
      <c r="V1425" s="36"/>
      <c r="W1425" s="36"/>
      <c r="X1425" s="36"/>
      <c r="Y1425" s="36"/>
      <c r="Z1425" s="36"/>
      <c r="AA1425" s="36"/>
      <c r="AB1425" s="36"/>
      <c r="AC1425" s="36"/>
    </row>
    <row r="1426" spans="1:29" ht="24" customHeight="1">
      <c r="A1426" s="100"/>
      <c r="B1426" s="100"/>
      <c r="C1426" s="100"/>
      <c r="D1426" s="100"/>
      <c r="E1426" s="99"/>
      <c r="F1426" s="99"/>
      <c r="G1426" s="99"/>
      <c r="H1426" s="100"/>
      <c r="I1426" s="100"/>
      <c r="J1426" s="35"/>
      <c r="K1426" s="36"/>
      <c r="L1426" s="36"/>
      <c r="M1426" s="36"/>
      <c r="N1426" s="36"/>
      <c r="O1426" s="36"/>
      <c r="P1426" s="36"/>
      <c r="Q1426" s="36"/>
      <c r="R1426" s="36"/>
      <c r="S1426" s="36"/>
      <c r="T1426" s="36"/>
      <c r="U1426" s="36"/>
      <c r="V1426" s="36"/>
      <c r="W1426" s="36"/>
      <c r="X1426" s="36"/>
      <c r="Y1426" s="36"/>
      <c r="Z1426" s="36"/>
      <c r="AA1426" s="36"/>
      <c r="AB1426" s="36"/>
      <c r="AC1426" s="36"/>
    </row>
    <row r="1427" spans="1:29" ht="24" customHeight="1">
      <c r="A1427" s="100"/>
      <c r="B1427" s="100"/>
      <c r="C1427" s="100"/>
      <c r="D1427" s="100"/>
      <c r="E1427" s="99"/>
      <c r="F1427" s="99"/>
      <c r="G1427" s="99"/>
      <c r="H1427" s="100"/>
      <c r="I1427" s="100"/>
      <c r="J1427" s="35"/>
      <c r="K1427" s="36"/>
      <c r="L1427" s="36"/>
      <c r="M1427" s="36"/>
      <c r="N1427" s="36"/>
      <c r="O1427" s="36"/>
      <c r="P1427" s="36"/>
      <c r="Q1427" s="36"/>
      <c r="R1427" s="36"/>
      <c r="S1427" s="36"/>
      <c r="T1427" s="36"/>
      <c r="U1427" s="36"/>
      <c r="V1427" s="36"/>
      <c r="W1427" s="36"/>
      <c r="X1427" s="36"/>
      <c r="Y1427" s="36"/>
      <c r="Z1427" s="36"/>
      <c r="AA1427" s="36"/>
      <c r="AB1427" s="36"/>
      <c r="AC1427" s="36"/>
    </row>
    <row r="1428" spans="1:29" ht="36" customHeight="1">
      <c r="A1428" s="100"/>
      <c r="B1428" s="100"/>
      <c r="C1428" s="100"/>
      <c r="D1428" s="100"/>
      <c r="E1428" s="99"/>
      <c r="F1428" s="99"/>
      <c r="G1428" s="99"/>
      <c r="H1428" s="100"/>
      <c r="I1428" s="100"/>
      <c r="J1428" s="35"/>
      <c r="K1428" s="36"/>
      <c r="L1428" s="36"/>
      <c r="M1428" s="36"/>
      <c r="N1428" s="36"/>
      <c r="O1428" s="36"/>
      <c r="P1428" s="36"/>
      <c r="Q1428" s="36"/>
      <c r="R1428" s="36"/>
      <c r="S1428" s="36"/>
      <c r="T1428" s="36"/>
      <c r="U1428" s="36"/>
      <c r="V1428" s="36"/>
      <c r="W1428" s="36"/>
      <c r="X1428" s="36"/>
      <c r="Y1428" s="36"/>
      <c r="Z1428" s="36"/>
      <c r="AA1428" s="36"/>
      <c r="AB1428" s="36"/>
      <c r="AC1428" s="36"/>
    </row>
    <row r="1429" spans="1:29" ht="36" customHeight="1">
      <c r="A1429" s="100"/>
      <c r="B1429" s="100"/>
      <c r="C1429" s="100"/>
      <c r="D1429" s="100"/>
      <c r="E1429" s="99"/>
      <c r="F1429" s="99"/>
      <c r="G1429" s="99"/>
      <c r="H1429" s="100"/>
      <c r="I1429" s="100"/>
      <c r="J1429" s="35"/>
      <c r="K1429" s="36"/>
      <c r="L1429" s="36"/>
      <c r="M1429" s="36"/>
      <c r="N1429" s="36"/>
      <c r="O1429" s="36"/>
      <c r="P1429" s="36"/>
      <c r="Q1429" s="36"/>
      <c r="R1429" s="36"/>
      <c r="S1429" s="36"/>
      <c r="T1429" s="36"/>
      <c r="U1429" s="36"/>
      <c r="V1429" s="36"/>
      <c r="W1429" s="36"/>
      <c r="X1429" s="36"/>
      <c r="Y1429" s="36"/>
      <c r="Z1429" s="36"/>
      <c r="AA1429" s="36"/>
      <c r="AB1429" s="36"/>
      <c r="AC1429" s="36"/>
    </row>
    <row r="1430" spans="1:29" ht="24" customHeight="1">
      <c r="A1430" s="100"/>
      <c r="B1430" s="100"/>
      <c r="C1430" s="100"/>
      <c r="D1430" s="100"/>
      <c r="E1430" s="99"/>
      <c r="F1430" s="99"/>
      <c r="G1430" s="99"/>
      <c r="H1430" s="100"/>
      <c r="I1430" s="100"/>
      <c r="J1430" s="35"/>
      <c r="K1430" s="36"/>
      <c r="L1430" s="36"/>
      <c r="M1430" s="36"/>
      <c r="N1430" s="36"/>
      <c r="O1430" s="36"/>
      <c r="P1430" s="36"/>
      <c r="Q1430" s="36"/>
      <c r="R1430" s="36"/>
      <c r="S1430" s="36"/>
      <c r="T1430" s="36"/>
      <c r="U1430" s="36"/>
      <c r="V1430" s="36"/>
      <c r="W1430" s="36"/>
      <c r="X1430" s="36"/>
      <c r="Y1430" s="36"/>
      <c r="Z1430" s="36"/>
      <c r="AA1430" s="36"/>
      <c r="AB1430" s="36"/>
      <c r="AC1430" s="36"/>
    </row>
    <row r="1431" spans="1:29" ht="24" customHeight="1">
      <c r="A1431" s="100"/>
      <c r="B1431" s="100"/>
      <c r="C1431" s="100"/>
      <c r="D1431" s="100"/>
      <c r="E1431" s="99"/>
      <c r="F1431" s="99"/>
      <c r="G1431" s="99"/>
      <c r="H1431" s="100"/>
      <c r="I1431" s="100"/>
      <c r="J1431" s="35"/>
      <c r="K1431" s="36"/>
      <c r="L1431" s="36"/>
      <c r="M1431" s="36"/>
      <c r="N1431" s="36"/>
      <c r="O1431" s="36"/>
      <c r="P1431" s="36"/>
      <c r="Q1431" s="36"/>
      <c r="R1431" s="36"/>
      <c r="S1431" s="36"/>
      <c r="T1431" s="36"/>
      <c r="U1431" s="36"/>
      <c r="V1431" s="36"/>
      <c r="W1431" s="36"/>
      <c r="X1431" s="36"/>
      <c r="Y1431" s="36"/>
      <c r="Z1431" s="36"/>
      <c r="AA1431" s="36"/>
      <c r="AB1431" s="36"/>
      <c r="AC1431" s="36"/>
    </row>
    <row r="1432" spans="1:29" ht="36" customHeight="1">
      <c r="A1432" s="100"/>
      <c r="B1432" s="100"/>
      <c r="C1432" s="100"/>
      <c r="D1432" s="100"/>
      <c r="E1432" s="99"/>
      <c r="F1432" s="99"/>
      <c r="G1432" s="99"/>
      <c r="H1432" s="100"/>
      <c r="I1432" s="100"/>
      <c r="J1432" s="35"/>
      <c r="K1432" s="36"/>
      <c r="L1432" s="36"/>
      <c r="M1432" s="36"/>
      <c r="N1432" s="36"/>
      <c r="O1432" s="36"/>
      <c r="P1432" s="36"/>
      <c r="Q1432" s="36"/>
      <c r="R1432" s="36"/>
      <c r="S1432" s="36"/>
      <c r="T1432" s="36"/>
      <c r="U1432" s="36"/>
      <c r="V1432" s="36"/>
      <c r="W1432" s="36"/>
      <c r="X1432" s="36"/>
      <c r="Y1432" s="36"/>
      <c r="Z1432" s="36"/>
      <c r="AA1432" s="36"/>
      <c r="AB1432" s="36"/>
      <c r="AC1432" s="36"/>
    </row>
    <row r="1433" spans="1:29" ht="24" customHeight="1">
      <c r="A1433" s="100"/>
      <c r="B1433" s="100"/>
      <c r="C1433" s="100"/>
      <c r="D1433" s="100"/>
      <c r="E1433" s="99"/>
      <c r="F1433" s="99"/>
      <c r="G1433" s="99"/>
      <c r="H1433" s="100"/>
      <c r="I1433" s="100"/>
      <c r="J1433" s="35"/>
      <c r="K1433" s="36"/>
      <c r="L1433" s="36"/>
      <c r="M1433" s="36"/>
      <c r="N1433" s="36"/>
      <c r="O1433" s="36"/>
      <c r="P1433" s="36"/>
      <c r="Q1433" s="36"/>
      <c r="R1433" s="36"/>
      <c r="S1433" s="36"/>
      <c r="T1433" s="36"/>
      <c r="U1433" s="36"/>
      <c r="V1433" s="36"/>
      <c r="W1433" s="36"/>
      <c r="X1433" s="36"/>
      <c r="Y1433" s="36"/>
      <c r="Z1433" s="36"/>
      <c r="AA1433" s="36"/>
      <c r="AB1433" s="36"/>
      <c r="AC1433" s="36"/>
    </row>
    <row r="1434" spans="1:29" ht="24" customHeight="1">
      <c r="A1434" s="100"/>
      <c r="B1434" s="100"/>
      <c r="C1434" s="100"/>
      <c r="D1434" s="100"/>
      <c r="E1434" s="99"/>
      <c r="F1434" s="99"/>
      <c r="G1434" s="99"/>
      <c r="H1434" s="100"/>
      <c r="I1434" s="100"/>
      <c r="J1434" s="35"/>
      <c r="K1434" s="36"/>
      <c r="L1434" s="36"/>
      <c r="M1434" s="36"/>
      <c r="N1434" s="36"/>
      <c r="O1434" s="36"/>
      <c r="P1434" s="36"/>
      <c r="Q1434" s="36"/>
      <c r="R1434" s="36"/>
      <c r="S1434" s="36"/>
      <c r="T1434" s="36"/>
      <c r="U1434" s="36"/>
      <c r="V1434" s="36"/>
      <c r="W1434" s="36"/>
      <c r="X1434" s="36"/>
      <c r="Y1434" s="36"/>
      <c r="Z1434" s="36"/>
      <c r="AA1434" s="36"/>
      <c r="AB1434" s="36"/>
      <c r="AC1434" s="36"/>
    </row>
    <row r="1435" spans="1:29" ht="24" customHeight="1">
      <c r="A1435" s="100"/>
      <c r="B1435" s="100"/>
      <c r="C1435" s="100"/>
      <c r="D1435" s="100"/>
      <c r="E1435" s="99"/>
      <c r="F1435" s="99"/>
      <c r="G1435" s="99"/>
      <c r="H1435" s="100"/>
      <c r="I1435" s="100"/>
      <c r="J1435" s="35"/>
      <c r="K1435" s="36"/>
      <c r="L1435" s="36"/>
      <c r="M1435" s="36"/>
      <c r="N1435" s="36"/>
      <c r="O1435" s="36"/>
      <c r="P1435" s="36"/>
      <c r="Q1435" s="36"/>
      <c r="R1435" s="36"/>
      <c r="S1435" s="36"/>
      <c r="T1435" s="36"/>
      <c r="U1435" s="36"/>
      <c r="V1435" s="36"/>
      <c r="W1435" s="36"/>
      <c r="X1435" s="36"/>
      <c r="Y1435" s="36"/>
      <c r="Z1435" s="36"/>
      <c r="AA1435" s="36"/>
      <c r="AB1435" s="36"/>
      <c r="AC1435" s="36"/>
    </row>
    <row r="1436" spans="1:29" ht="24" customHeight="1">
      <c r="A1436" s="100"/>
      <c r="B1436" s="100"/>
      <c r="C1436" s="100"/>
      <c r="D1436" s="100"/>
      <c r="E1436" s="99"/>
      <c r="F1436" s="99"/>
      <c r="G1436" s="99"/>
      <c r="H1436" s="100"/>
      <c r="I1436" s="100"/>
      <c r="J1436" s="35"/>
      <c r="K1436" s="36"/>
      <c r="L1436" s="36"/>
      <c r="M1436" s="36"/>
      <c r="N1436" s="36"/>
      <c r="O1436" s="36"/>
      <c r="P1436" s="36"/>
      <c r="Q1436" s="36"/>
      <c r="R1436" s="36"/>
      <c r="S1436" s="36"/>
      <c r="T1436" s="36"/>
      <c r="U1436" s="36"/>
      <c r="V1436" s="36"/>
      <c r="W1436" s="36"/>
      <c r="X1436" s="36"/>
      <c r="Y1436" s="36"/>
      <c r="Z1436" s="36"/>
      <c r="AA1436" s="36"/>
      <c r="AB1436" s="36"/>
      <c r="AC1436" s="36"/>
    </row>
    <row r="1437" spans="1:29" ht="36" customHeight="1">
      <c r="A1437" s="100"/>
      <c r="B1437" s="100"/>
      <c r="C1437" s="100"/>
      <c r="D1437" s="100"/>
      <c r="E1437" s="99"/>
      <c r="F1437" s="99"/>
      <c r="G1437" s="99"/>
      <c r="H1437" s="100"/>
      <c r="I1437" s="100"/>
      <c r="J1437" s="35"/>
      <c r="K1437" s="36"/>
      <c r="L1437" s="36"/>
      <c r="M1437" s="36"/>
      <c r="N1437" s="36"/>
      <c r="O1437" s="36"/>
      <c r="P1437" s="36"/>
      <c r="Q1437" s="36"/>
      <c r="R1437" s="36"/>
      <c r="S1437" s="36"/>
      <c r="T1437" s="36"/>
      <c r="U1437" s="36"/>
      <c r="V1437" s="36"/>
      <c r="W1437" s="36"/>
      <c r="X1437" s="36"/>
      <c r="Y1437" s="36"/>
      <c r="Z1437" s="36"/>
      <c r="AA1437" s="36"/>
      <c r="AB1437" s="36"/>
      <c r="AC1437" s="36"/>
    </row>
    <row r="1438" spans="1:29" ht="36" customHeight="1">
      <c r="A1438" s="100"/>
      <c r="B1438" s="100"/>
      <c r="C1438" s="100"/>
      <c r="D1438" s="100"/>
      <c r="E1438" s="99"/>
      <c r="F1438" s="99"/>
      <c r="G1438" s="99"/>
      <c r="H1438" s="100"/>
      <c r="I1438" s="100"/>
      <c r="J1438" s="35"/>
      <c r="K1438" s="36"/>
      <c r="L1438" s="36"/>
      <c r="M1438" s="36"/>
      <c r="N1438" s="36"/>
      <c r="O1438" s="36"/>
      <c r="P1438" s="36"/>
      <c r="Q1438" s="36"/>
      <c r="R1438" s="36"/>
      <c r="S1438" s="36"/>
      <c r="T1438" s="36"/>
      <c r="U1438" s="36"/>
      <c r="V1438" s="36"/>
      <c r="W1438" s="36"/>
      <c r="X1438" s="36"/>
      <c r="Y1438" s="36"/>
      <c r="Z1438" s="36"/>
      <c r="AA1438" s="36"/>
      <c r="AB1438" s="36"/>
      <c r="AC1438" s="36"/>
    </row>
    <row r="1439" spans="1:29" ht="36" customHeight="1">
      <c r="A1439" s="100"/>
      <c r="B1439" s="100"/>
      <c r="C1439" s="100"/>
      <c r="D1439" s="100"/>
      <c r="E1439" s="99"/>
      <c r="F1439" s="99"/>
      <c r="G1439" s="99"/>
      <c r="H1439" s="100"/>
      <c r="I1439" s="100"/>
      <c r="J1439" s="35"/>
      <c r="K1439" s="36"/>
      <c r="L1439" s="36"/>
      <c r="M1439" s="36"/>
      <c r="N1439" s="36"/>
      <c r="O1439" s="36"/>
      <c r="P1439" s="36"/>
      <c r="Q1439" s="36"/>
      <c r="R1439" s="36"/>
      <c r="S1439" s="36"/>
      <c r="T1439" s="36"/>
      <c r="U1439" s="36"/>
      <c r="V1439" s="36"/>
      <c r="W1439" s="36"/>
      <c r="X1439" s="36"/>
      <c r="Y1439" s="36"/>
      <c r="Z1439" s="36"/>
      <c r="AA1439" s="36"/>
      <c r="AB1439" s="36"/>
      <c r="AC1439" s="36"/>
    </row>
    <row r="1440" spans="1:29" ht="36" customHeight="1">
      <c r="A1440" s="100"/>
      <c r="B1440" s="100"/>
      <c r="C1440" s="100"/>
      <c r="D1440" s="100"/>
      <c r="E1440" s="99"/>
      <c r="F1440" s="99"/>
      <c r="G1440" s="99"/>
      <c r="H1440" s="100"/>
      <c r="I1440" s="100"/>
      <c r="J1440" s="35"/>
      <c r="K1440" s="36"/>
      <c r="L1440" s="36"/>
      <c r="M1440" s="36"/>
      <c r="N1440" s="36"/>
      <c r="O1440" s="36"/>
      <c r="P1440" s="36"/>
      <c r="Q1440" s="36"/>
      <c r="R1440" s="36"/>
      <c r="S1440" s="36"/>
      <c r="T1440" s="36"/>
      <c r="U1440" s="36"/>
      <c r="V1440" s="36"/>
      <c r="W1440" s="36"/>
      <c r="X1440" s="36"/>
      <c r="Y1440" s="36"/>
      <c r="Z1440" s="36"/>
      <c r="AA1440" s="36"/>
      <c r="AB1440" s="36"/>
      <c r="AC1440" s="36"/>
    </row>
    <row r="1441" spans="1:29" ht="24" customHeight="1">
      <c r="A1441" s="100"/>
      <c r="B1441" s="463"/>
      <c r="C1441" s="100"/>
      <c r="D1441" s="501"/>
      <c r="E1441" s="99"/>
      <c r="F1441" s="99"/>
      <c r="G1441" s="99"/>
      <c r="H1441" s="100"/>
      <c r="I1441" s="100"/>
      <c r="J1441" s="35"/>
      <c r="K1441" s="36"/>
      <c r="L1441" s="36"/>
      <c r="M1441" s="36"/>
      <c r="N1441" s="36"/>
      <c r="O1441" s="36"/>
      <c r="P1441" s="36"/>
      <c r="Q1441" s="36"/>
      <c r="R1441" s="36"/>
      <c r="S1441" s="36"/>
      <c r="T1441" s="36"/>
      <c r="U1441" s="36"/>
      <c r="V1441" s="36"/>
      <c r="W1441" s="36"/>
      <c r="X1441" s="36"/>
      <c r="Y1441" s="36"/>
      <c r="Z1441" s="36"/>
      <c r="AA1441" s="36"/>
      <c r="AB1441" s="36"/>
      <c r="AC1441" s="36"/>
    </row>
    <row r="1442" spans="1:29" ht="24" customHeight="1">
      <c r="A1442" s="100"/>
      <c r="B1442" s="463"/>
      <c r="C1442" s="100"/>
      <c r="D1442" s="100"/>
      <c r="E1442" s="99"/>
      <c r="F1442" s="99"/>
      <c r="G1442" s="99"/>
      <c r="H1442" s="100"/>
      <c r="I1442" s="100"/>
      <c r="J1442" s="35"/>
      <c r="K1442" s="36"/>
      <c r="L1442" s="36"/>
      <c r="M1442" s="36"/>
      <c r="N1442" s="36"/>
      <c r="O1442" s="36"/>
      <c r="P1442" s="36"/>
      <c r="Q1442" s="36"/>
      <c r="R1442" s="36"/>
      <c r="S1442" s="36"/>
      <c r="T1442" s="36"/>
      <c r="U1442" s="36"/>
      <c r="V1442" s="36"/>
      <c r="W1442" s="36"/>
      <c r="X1442" s="36"/>
      <c r="Y1442" s="36"/>
      <c r="Z1442" s="36"/>
      <c r="AA1442" s="36"/>
      <c r="AB1442" s="36"/>
      <c r="AC1442" s="36"/>
    </row>
    <row r="1443" spans="1:29" ht="24" customHeight="1">
      <c r="A1443" s="100"/>
      <c r="B1443" s="100"/>
      <c r="C1443" s="100"/>
      <c r="D1443" s="100"/>
      <c r="E1443" s="99"/>
      <c r="F1443" s="99"/>
      <c r="G1443" s="99"/>
      <c r="H1443" s="100"/>
      <c r="I1443" s="100"/>
      <c r="J1443" s="35"/>
      <c r="K1443" s="36"/>
      <c r="L1443" s="36"/>
      <c r="M1443" s="36"/>
      <c r="N1443" s="36"/>
      <c r="O1443" s="36"/>
      <c r="P1443" s="36"/>
      <c r="Q1443" s="36"/>
      <c r="R1443" s="36"/>
      <c r="S1443" s="36"/>
      <c r="T1443" s="36"/>
      <c r="U1443" s="36"/>
      <c r="V1443" s="36"/>
      <c r="W1443" s="36"/>
      <c r="X1443" s="36"/>
      <c r="Y1443" s="36"/>
      <c r="Z1443" s="36"/>
      <c r="AA1443" s="36"/>
      <c r="AB1443" s="36"/>
      <c r="AC1443" s="36"/>
    </row>
    <row r="1444" spans="1:29" ht="12" customHeight="1">
      <c r="A1444" s="100"/>
      <c r="B1444" s="100"/>
      <c r="C1444" s="100"/>
      <c r="D1444" s="100"/>
      <c r="E1444" s="99"/>
      <c r="F1444" s="99"/>
      <c r="G1444" s="99"/>
      <c r="H1444" s="100"/>
      <c r="I1444" s="100"/>
      <c r="J1444" s="35"/>
      <c r="K1444" s="36"/>
      <c r="L1444" s="36"/>
      <c r="M1444" s="36"/>
      <c r="N1444" s="36"/>
      <c r="O1444" s="36"/>
      <c r="P1444" s="36"/>
      <c r="Q1444" s="36"/>
      <c r="R1444" s="36"/>
      <c r="S1444" s="36"/>
      <c r="T1444" s="36"/>
      <c r="U1444" s="36"/>
      <c r="V1444" s="36"/>
      <c r="W1444" s="36"/>
      <c r="X1444" s="36"/>
      <c r="Y1444" s="36"/>
      <c r="Z1444" s="36"/>
      <c r="AA1444" s="36"/>
      <c r="AB1444" s="36"/>
      <c r="AC1444" s="36"/>
    </row>
    <row r="1445" spans="1:29" ht="12" customHeight="1">
      <c r="A1445" s="100"/>
      <c r="B1445" s="100"/>
      <c r="C1445" s="100"/>
      <c r="D1445" s="100"/>
      <c r="E1445" s="99"/>
      <c r="F1445" s="99"/>
      <c r="G1445" s="99"/>
      <c r="H1445" s="100"/>
      <c r="I1445" s="100"/>
      <c r="J1445" s="35"/>
      <c r="K1445" s="36"/>
      <c r="L1445" s="36"/>
      <c r="M1445" s="36"/>
      <c r="N1445" s="36"/>
      <c r="O1445" s="36"/>
      <c r="P1445" s="36"/>
      <c r="Q1445" s="36"/>
      <c r="R1445" s="36"/>
      <c r="S1445" s="36"/>
      <c r="T1445" s="36"/>
      <c r="U1445" s="36"/>
      <c r="V1445" s="36"/>
      <c r="W1445" s="36"/>
      <c r="X1445" s="36"/>
      <c r="Y1445" s="36"/>
      <c r="Z1445" s="36"/>
      <c r="AA1445" s="36"/>
      <c r="AB1445" s="36"/>
      <c r="AC1445" s="36"/>
    </row>
    <row r="1446" spans="1:29" ht="12" customHeight="1">
      <c r="A1446" s="100"/>
      <c r="B1446" s="100"/>
      <c r="C1446" s="100"/>
      <c r="D1446" s="100"/>
      <c r="E1446" s="99"/>
      <c r="F1446" s="99"/>
      <c r="G1446" s="99"/>
      <c r="H1446" s="100"/>
      <c r="I1446" s="100"/>
      <c r="J1446" s="35"/>
      <c r="K1446" s="74"/>
      <c r="L1446" s="74"/>
      <c r="M1446" s="74"/>
      <c r="N1446" s="74"/>
      <c r="O1446" s="74"/>
      <c r="P1446" s="74"/>
      <c r="Q1446" s="74"/>
      <c r="R1446" s="74"/>
      <c r="S1446" s="74"/>
      <c r="T1446" s="74"/>
      <c r="U1446" s="74"/>
      <c r="V1446" s="74"/>
      <c r="W1446" s="74"/>
      <c r="X1446" s="74"/>
      <c r="Y1446" s="74"/>
      <c r="Z1446" s="74"/>
      <c r="AA1446" s="74"/>
      <c r="AB1446" s="74"/>
      <c r="AC1446" s="74"/>
    </row>
    <row r="1447" spans="1:29" ht="12" customHeight="1">
      <c r="A1447" s="100"/>
      <c r="B1447" s="100"/>
      <c r="C1447" s="100"/>
      <c r="D1447" s="100"/>
      <c r="E1447" s="99"/>
      <c r="F1447" s="99"/>
      <c r="G1447" s="99"/>
      <c r="H1447" s="100"/>
      <c r="I1447" s="100"/>
      <c r="J1447" s="35"/>
      <c r="K1447" s="74"/>
      <c r="L1447" s="74"/>
      <c r="M1447" s="74"/>
      <c r="N1447" s="74"/>
      <c r="O1447" s="74"/>
      <c r="P1447" s="74"/>
      <c r="Q1447" s="74"/>
      <c r="R1447" s="74"/>
      <c r="S1447" s="74"/>
      <c r="T1447" s="74"/>
      <c r="U1447" s="74"/>
      <c r="V1447" s="74"/>
      <c r="W1447" s="74"/>
      <c r="X1447" s="74"/>
      <c r="Y1447" s="74"/>
      <c r="Z1447" s="74"/>
      <c r="AA1447" s="74"/>
      <c r="AB1447" s="74"/>
      <c r="AC1447" s="74"/>
    </row>
    <row r="1448" spans="1:29" ht="12" customHeight="1">
      <c r="A1448" s="100"/>
      <c r="B1448" s="100"/>
      <c r="C1448" s="100"/>
      <c r="D1448" s="100"/>
      <c r="E1448" s="99"/>
      <c r="F1448" s="99"/>
      <c r="G1448" s="99"/>
      <c r="H1448" s="100"/>
      <c r="I1448" s="100"/>
      <c r="J1448" s="35"/>
      <c r="K1448" s="74"/>
      <c r="L1448" s="74"/>
      <c r="M1448" s="74"/>
      <c r="N1448" s="74"/>
      <c r="O1448" s="74"/>
      <c r="P1448" s="74"/>
      <c r="Q1448" s="74"/>
      <c r="R1448" s="74"/>
      <c r="S1448" s="74"/>
      <c r="T1448" s="74"/>
      <c r="U1448" s="74"/>
      <c r="V1448" s="74"/>
      <c r="W1448" s="74"/>
      <c r="X1448" s="74"/>
      <c r="Y1448" s="74"/>
      <c r="Z1448" s="74"/>
      <c r="AA1448" s="74"/>
      <c r="AB1448" s="74"/>
      <c r="AC1448" s="74"/>
    </row>
  </sheetData>
  <mergeCells count="3">
    <mergeCell ref="A1:I1"/>
    <mergeCell ref="A2:G2"/>
    <mergeCell ref="A4:G4"/>
  </mergeCells>
  <hyperlinks>
    <hyperlink ref="G6" r:id="rId1" xr:uid="{00000000-0004-0000-1900-000000000000}"/>
    <hyperlink ref="G7" r:id="rId2" xr:uid="{00000000-0004-0000-1900-000001000000}"/>
    <hyperlink ref="G8" r:id="rId3" xr:uid="{00000000-0004-0000-1900-000002000000}"/>
    <hyperlink ref="G9" r:id="rId4" xr:uid="{00000000-0004-0000-1900-000003000000}"/>
    <hyperlink ref="G10" r:id="rId5" xr:uid="{00000000-0004-0000-1900-000004000000}"/>
    <hyperlink ref="G11" r:id="rId6" xr:uid="{00000000-0004-0000-1900-000005000000}"/>
    <hyperlink ref="G12" r:id="rId7" xr:uid="{00000000-0004-0000-1900-000006000000}"/>
    <hyperlink ref="G14" r:id="rId8" xr:uid="{00000000-0004-0000-1900-000007000000}"/>
    <hyperlink ref="G15" r:id="rId9" xr:uid="{00000000-0004-0000-1900-000008000000}"/>
    <hyperlink ref="G16" r:id="rId10" xr:uid="{00000000-0004-0000-1900-000009000000}"/>
    <hyperlink ref="G17" r:id="rId11" xr:uid="{00000000-0004-0000-1900-00000A000000}"/>
    <hyperlink ref="G18" r:id="rId12" xr:uid="{00000000-0004-0000-1900-00000B000000}"/>
    <hyperlink ref="G19" r:id="rId13" xr:uid="{00000000-0004-0000-1900-00000C000000}"/>
    <hyperlink ref="G20" r:id="rId14" xr:uid="{00000000-0004-0000-1900-00000D000000}"/>
    <hyperlink ref="G21" r:id="rId15" xr:uid="{00000000-0004-0000-1900-00000E000000}"/>
    <hyperlink ref="G22" r:id="rId16" xr:uid="{00000000-0004-0000-1900-00000F000000}"/>
    <hyperlink ref="G23" r:id="rId17" xr:uid="{00000000-0004-0000-1900-000010000000}"/>
    <hyperlink ref="G24" r:id="rId18" xr:uid="{00000000-0004-0000-1900-000011000000}"/>
    <hyperlink ref="G25" r:id="rId19" xr:uid="{00000000-0004-0000-1900-000012000000}"/>
    <hyperlink ref="G26" r:id="rId20" xr:uid="{00000000-0004-0000-1900-000013000000}"/>
    <hyperlink ref="G27" r:id="rId21" xr:uid="{00000000-0004-0000-1900-000014000000}"/>
    <hyperlink ref="G28" r:id="rId22" xr:uid="{00000000-0004-0000-1900-000015000000}"/>
    <hyperlink ref="G29" r:id="rId23" xr:uid="{00000000-0004-0000-1900-000016000000}"/>
    <hyperlink ref="G30" r:id="rId24" xr:uid="{00000000-0004-0000-1900-000017000000}"/>
    <hyperlink ref="G31" r:id="rId25" xr:uid="{00000000-0004-0000-1900-000018000000}"/>
    <hyperlink ref="G32" r:id="rId26" xr:uid="{00000000-0004-0000-1900-000019000000}"/>
    <hyperlink ref="G33" r:id="rId27" xr:uid="{00000000-0004-0000-1900-00001A000000}"/>
    <hyperlink ref="G34" r:id="rId28" xr:uid="{00000000-0004-0000-1900-00001B000000}"/>
    <hyperlink ref="G35" r:id="rId29" xr:uid="{00000000-0004-0000-1900-00001C000000}"/>
    <hyperlink ref="G36" r:id="rId30" xr:uid="{00000000-0004-0000-1900-00001D000000}"/>
    <hyperlink ref="G37" r:id="rId31" xr:uid="{00000000-0004-0000-1900-00001E000000}"/>
    <hyperlink ref="G38" r:id="rId32" xr:uid="{00000000-0004-0000-1900-00001F000000}"/>
    <hyperlink ref="G39" r:id="rId33" location="38;" xr:uid="{00000000-0004-0000-1900-000020000000}"/>
    <hyperlink ref="G40" r:id="rId34" location="38;" xr:uid="{00000000-0004-0000-1900-000021000000}"/>
    <hyperlink ref="G41" r:id="rId35" xr:uid="{00000000-0004-0000-1900-000022000000}"/>
    <hyperlink ref="G42" r:id="rId36" xr:uid="{00000000-0004-0000-1900-000023000000}"/>
    <hyperlink ref="G43" r:id="rId37" xr:uid="{00000000-0004-0000-1900-000024000000}"/>
    <hyperlink ref="G44" r:id="rId38" xr:uid="{00000000-0004-0000-1900-000025000000}"/>
    <hyperlink ref="G45" r:id="rId39" xr:uid="{00000000-0004-0000-1900-000026000000}"/>
    <hyperlink ref="G46" r:id="rId40" xr:uid="{00000000-0004-0000-1900-000027000000}"/>
    <hyperlink ref="G47" r:id="rId41" xr:uid="{00000000-0004-0000-1900-000028000000}"/>
    <hyperlink ref="G48" r:id="rId42" xr:uid="{00000000-0004-0000-1900-000029000000}"/>
    <hyperlink ref="G49" r:id="rId43" xr:uid="{00000000-0004-0000-1900-00002A000000}"/>
    <hyperlink ref="G50" r:id="rId44" xr:uid="{00000000-0004-0000-1900-00002B000000}"/>
    <hyperlink ref="G51" r:id="rId45" xr:uid="{00000000-0004-0000-1900-00002C000000}"/>
    <hyperlink ref="G52" r:id="rId46" xr:uid="{00000000-0004-0000-1900-00002D000000}"/>
    <hyperlink ref="G53" r:id="rId47" xr:uid="{00000000-0004-0000-1900-00002E000000}"/>
    <hyperlink ref="G54" r:id="rId48" xr:uid="{00000000-0004-0000-1900-00002F000000}"/>
    <hyperlink ref="G55" r:id="rId49" xr:uid="{00000000-0004-0000-1900-000030000000}"/>
    <hyperlink ref="G56" r:id="rId50" xr:uid="{00000000-0004-0000-1900-000031000000}"/>
    <hyperlink ref="G57" r:id="rId51" xr:uid="{00000000-0004-0000-1900-000032000000}"/>
    <hyperlink ref="G58" r:id="rId52" xr:uid="{00000000-0004-0000-1900-000033000000}"/>
    <hyperlink ref="G59" r:id="rId53" xr:uid="{00000000-0004-0000-1900-000034000000}"/>
    <hyperlink ref="G60" r:id="rId54" xr:uid="{00000000-0004-0000-1900-000035000000}"/>
    <hyperlink ref="G61" r:id="rId55" xr:uid="{00000000-0004-0000-1900-000036000000}"/>
    <hyperlink ref="G62" r:id="rId56" xr:uid="{00000000-0004-0000-1900-000037000000}"/>
    <hyperlink ref="G63" r:id="rId57" xr:uid="{00000000-0004-0000-1900-000038000000}"/>
    <hyperlink ref="G64" r:id="rId58" xr:uid="{00000000-0004-0000-1900-000039000000}"/>
    <hyperlink ref="G65" r:id="rId59" xr:uid="{00000000-0004-0000-1900-00003A000000}"/>
    <hyperlink ref="G66" r:id="rId60" xr:uid="{00000000-0004-0000-1900-00003B000000}"/>
    <hyperlink ref="G67" r:id="rId61" xr:uid="{00000000-0004-0000-1900-00003C000000}"/>
    <hyperlink ref="G68" r:id="rId62" xr:uid="{00000000-0004-0000-1900-00003D000000}"/>
    <hyperlink ref="G69" r:id="rId63" xr:uid="{00000000-0004-0000-1900-00003E000000}"/>
    <hyperlink ref="G70" r:id="rId64" xr:uid="{00000000-0004-0000-1900-00003F000000}"/>
    <hyperlink ref="G71" r:id="rId65" xr:uid="{00000000-0004-0000-1900-000040000000}"/>
    <hyperlink ref="G72" r:id="rId66" xr:uid="{00000000-0004-0000-1900-000041000000}"/>
    <hyperlink ref="G73" r:id="rId67" xr:uid="{00000000-0004-0000-1900-000042000000}"/>
    <hyperlink ref="G74" r:id="rId68" xr:uid="{00000000-0004-0000-1900-000043000000}"/>
    <hyperlink ref="G75" r:id="rId69" xr:uid="{00000000-0004-0000-1900-000044000000}"/>
    <hyperlink ref="G76" r:id="rId70" xr:uid="{00000000-0004-0000-1900-000045000000}"/>
    <hyperlink ref="G77" r:id="rId71" xr:uid="{00000000-0004-0000-1900-000046000000}"/>
    <hyperlink ref="G78" r:id="rId72" xr:uid="{00000000-0004-0000-1900-000047000000}"/>
    <hyperlink ref="G79" r:id="rId73" xr:uid="{00000000-0004-0000-1900-000048000000}"/>
    <hyperlink ref="G80" r:id="rId74" xr:uid="{00000000-0004-0000-1900-000049000000}"/>
    <hyperlink ref="G81" r:id="rId75" xr:uid="{00000000-0004-0000-1900-00004A000000}"/>
    <hyperlink ref="G82" r:id="rId76" xr:uid="{00000000-0004-0000-1900-00004B000000}"/>
    <hyperlink ref="G83" r:id="rId77" xr:uid="{00000000-0004-0000-1900-00004C000000}"/>
    <hyperlink ref="G84" r:id="rId78" xr:uid="{00000000-0004-0000-1900-00004D000000}"/>
    <hyperlink ref="G85" r:id="rId79" xr:uid="{00000000-0004-0000-1900-00004E000000}"/>
    <hyperlink ref="G86" r:id="rId80" xr:uid="{00000000-0004-0000-1900-00004F000000}"/>
    <hyperlink ref="G87" r:id="rId81" xr:uid="{00000000-0004-0000-1900-000050000000}"/>
    <hyperlink ref="G88" r:id="rId82" xr:uid="{00000000-0004-0000-1900-000051000000}"/>
    <hyperlink ref="G89" r:id="rId83" xr:uid="{00000000-0004-0000-1900-000052000000}"/>
    <hyperlink ref="G90" r:id="rId84" xr:uid="{00000000-0004-0000-1900-000053000000}"/>
    <hyperlink ref="G91" r:id="rId85" xr:uid="{00000000-0004-0000-1900-000054000000}"/>
    <hyperlink ref="G92" r:id="rId86" xr:uid="{00000000-0004-0000-1900-000055000000}"/>
    <hyperlink ref="G93" r:id="rId87" xr:uid="{00000000-0004-0000-1900-000056000000}"/>
    <hyperlink ref="G94" r:id="rId88" xr:uid="{00000000-0004-0000-1900-000057000000}"/>
    <hyperlink ref="G95" r:id="rId89" xr:uid="{00000000-0004-0000-1900-000058000000}"/>
    <hyperlink ref="G96" r:id="rId90" xr:uid="{00000000-0004-0000-1900-000059000000}"/>
    <hyperlink ref="G97" r:id="rId91" xr:uid="{00000000-0004-0000-1900-00005A000000}"/>
    <hyperlink ref="G98" r:id="rId92" xr:uid="{00000000-0004-0000-1900-00005B000000}"/>
    <hyperlink ref="G99" r:id="rId93" xr:uid="{00000000-0004-0000-1900-00005C000000}"/>
    <hyperlink ref="G100" r:id="rId94" xr:uid="{00000000-0004-0000-1900-00005D000000}"/>
    <hyperlink ref="G101" r:id="rId95" xr:uid="{00000000-0004-0000-1900-00005E000000}"/>
    <hyperlink ref="G102" r:id="rId96" xr:uid="{00000000-0004-0000-1900-00005F000000}"/>
    <hyperlink ref="G103" r:id="rId97" xr:uid="{00000000-0004-0000-1900-000060000000}"/>
    <hyperlink ref="G104" r:id="rId98" xr:uid="{00000000-0004-0000-1900-000061000000}"/>
    <hyperlink ref="G105" r:id="rId99" xr:uid="{00000000-0004-0000-1900-000062000000}"/>
    <hyperlink ref="G106" r:id="rId100" xr:uid="{00000000-0004-0000-1900-000063000000}"/>
    <hyperlink ref="G107" r:id="rId101" xr:uid="{00000000-0004-0000-1900-000064000000}"/>
    <hyperlink ref="G108" r:id="rId102" xr:uid="{00000000-0004-0000-1900-000065000000}"/>
    <hyperlink ref="G109" r:id="rId103" xr:uid="{00000000-0004-0000-1900-000066000000}"/>
    <hyperlink ref="G110" r:id="rId104" xr:uid="{00000000-0004-0000-1900-000067000000}"/>
    <hyperlink ref="G111" r:id="rId105" xr:uid="{00000000-0004-0000-1900-000068000000}"/>
    <hyperlink ref="G112" r:id="rId106" xr:uid="{00000000-0004-0000-1900-000069000000}"/>
    <hyperlink ref="G113" r:id="rId107" xr:uid="{00000000-0004-0000-1900-00006A000000}"/>
    <hyperlink ref="G114" r:id="rId108" xr:uid="{00000000-0004-0000-1900-00006B000000}"/>
    <hyperlink ref="G115" r:id="rId109" xr:uid="{00000000-0004-0000-1900-00006C000000}"/>
    <hyperlink ref="H115" r:id="rId110" xr:uid="{00000000-0004-0000-1900-00006D000000}"/>
    <hyperlink ref="G116" r:id="rId111" xr:uid="{00000000-0004-0000-1900-00006E000000}"/>
    <hyperlink ref="H116" r:id="rId112" xr:uid="{00000000-0004-0000-1900-00006F000000}"/>
    <hyperlink ref="G117" r:id="rId113" xr:uid="{00000000-0004-0000-1900-000070000000}"/>
    <hyperlink ref="H117" r:id="rId114" xr:uid="{00000000-0004-0000-1900-000071000000}"/>
    <hyperlink ref="G118" r:id="rId115" xr:uid="{00000000-0004-0000-1900-000072000000}"/>
    <hyperlink ref="H118" r:id="rId116" xr:uid="{00000000-0004-0000-1900-000073000000}"/>
    <hyperlink ref="G119" r:id="rId117" xr:uid="{00000000-0004-0000-1900-000074000000}"/>
    <hyperlink ref="H119" r:id="rId118" xr:uid="{00000000-0004-0000-1900-000075000000}"/>
    <hyperlink ref="G120" r:id="rId119" xr:uid="{00000000-0004-0000-1900-000076000000}"/>
    <hyperlink ref="H120" r:id="rId120" xr:uid="{00000000-0004-0000-1900-000077000000}"/>
    <hyperlink ref="G121" r:id="rId121" location=":~:text=Notas%20a%20la%20Circular%20070%20de%202020&amp;text=Esta%20Circular%20modifica%20la%20Circular,la%20misma%20del%20simulacro%20nacional." xr:uid="{00000000-0004-0000-1900-000078000000}"/>
    <hyperlink ref="H121" r:id="rId122" xr:uid="{00000000-0004-0000-1900-000079000000}"/>
    <hyperlink ref="G122" r:id="rId123" xr:uid="{00000000-0004-0000-1900-00007A000000}"/>
    <hyperlink ref="H122" r:id="rId124" xr:uid="{00000000-0004-0000-1900-00007B000000}"/>
    <hyperlink ref="G123" r:id="rId125" xr:uid="{00000000-0004-0000-1900-00007C000000}"/>
    <hyperlink ref="H123" r:id="rId126" xr:uid="{00000000-0004-0000-1900-00007D000000}"/>
    <hyperlink ref="G124" r:id="rId127" xr:uid="{00000000-0004-0000-1900-00007E000000}"/>
    <hyperlink ref="G125" r:id="rId128" xr:uid="{00000000-0004-0000-1900-00007F000000}"/>
    <hyperlink ref="G126" r:id="rId129" xr:uid="{00000000-0004-0000-1900-000080000000}"/>
    <hyperlink ref="G127" r:id="rId130" xr:uid="{00000000-0004-0000-1900-000081000000}"/>
    <hyperlink ref="G128" r:id="rId131" xr:uid="{00000000-0004-0000-1900-000082000000}"/>
    <hyperlink ref="G129" r:id="rId132" xr:uid="{00000000-0004-0000-1900-000083000000}"/>
    <hyperlink ref="G130" r:id="rId133" xr:uid="{00000000-0004-0000-1900-000084000000}"/>
    <hyperlink ref="G131" r:id="rId134" xr:uid="{00000000-0004-0000-1900-000085000000}"/>
    <hyperlink ref="G132" r:id="rId135" xr:uid="{00000000-0004-0000-1900-000086000000}"/>
  </hyperlinks>
  <pageMargins left="0.7" right="0.7" top="0.75" bottom="0.75" header="0" footer="0"/>
  <pageSetup orientation="landscape"/>
  <drawing r:id="rId136"/>
  <legacyDrawing r:id="rId137"/>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A9D18E"/>
  </sheetPr>
  <dimension ref="A1:AC1289"/>
  <sheetViews>
    <sheetView workbookViewId="0">
      <pane ySplit="5" topLeftCell="A6" activePane="bottomLeft" state="frozen"/>
      <selection pane="bottomLeft" activeCell="B7" sqref="B7"/>
    </sheetView>
  </sheetViews>
  <sheetFormatPr baseColWidth="10" defaultColWidth="14.42578125" defaultRowHeight="15" customHeight="1"/>
  <cols>
    <col min="1" max="1" width="7.5703125" customWidth="1"/>
    <col min="2" max="2" width="12.85546875" customWidth="1"/>
    <col min="3" max="3" width="21.140625" customWidth="1"/>
    <col min="4" max="4" width="24.42578125" customWidth="1"/>
    <col min="5" max="5" width="35.140625" customWidth="1"/>
    <col min="6" max="6" width="22.85546875" customWidth="1"/>
    <col min="7" max="7" width="41.7109375" customWidth="1"/>
    <col min="8" max="9" width="20.85546875" hidden="1" customWidth="1"/>
    <col min="10" max="10" width="20.85546875" customWidth="1"/>
    <col min="11" max="11" width="18" customWidth="1"/>
    <col min="12" max="16" width="11.42578125" customWidth="1"/>
    <col min="17" max="17" width="16.28515625" customWidth="1"/>
    <col min="18" max="18" width="11.42578125" customWidth="1"/>
    <col min="19" max="19" width="15.140625" customWidth="1"/>
    <col min="20" max="29" width="11.42578125" customWidth="1"/>
  </cols>
  <sheetData>
    <row r="1" spans="1:29" ht="61.5" customHeight="1">
      <c r="A1" s="109"/>
      <c r="B1" s="109"/>
      <c r="C1" s="109"/>
      <c r="D1" s="109"/>
      <c r="E1" s="677"/>
      <c r="F1" s="109"/>
      <c r="G1" s="677"/>
      <c r="H1" s="109"/>
      <c r="I1" s="109"/>
      <c r="J1" s="17"/>
      <c r="K1" s="18"/>
      <c r="L1" s="18"/>
      <c r="M1" s="18"/>
      <c r="N1" s="18"/>
      <c r="O1" s="18"/>
      <c r="P1" s="18"/>
      <c r="Q1" s="18"/>
      <c r="R1" s="18"/>
      <c r="S1" s="18"/>
      <c r="T1" s="18"/>
      <c r="U1" s="18"/>
      <c r="V1" s="18"/>
      <c r="W1" s="18"/>
      <c r="X1" s="18"/>
      <c r="Y1" s="18"/>
      <c r="Z1" s="18"/>
      <c r="AA1" s="18"/>
      <c r="AB1" s="18"/>
      <c r="AC1" s="18"/>
    </row>
    <row r="2" spans="1:29" ht="36.75" customHeight="1">
      <c r="A2" s="582" t="s">
        <v>26</v>
      </c>
      <c r="B2" s="678"/>
      <c r="C2" s="678"/>
      <c r="D2" s="678"/>
      <c r="E2" s="679"/>
      <c r="F2" s="678"/>
      <c r="G2" s="680"/>
      <c r="H2" s="15"/>
      <c r="I2" s="16"/>
      <c r="J2" s="17"/>
      <c r="K2" s="18"/>
      <c r="L2" s="18"/>
      <c r="M2" s="18"/>
      <c r="N2" s="18"/>
      <c r="O2" s="18"/>
      <c r="P2" s="18"/>
      <c r="Q2" s="18"/>
      <c r="R2" s="18"/>
      <c r="S2" s="18"/>
      <c r="T2" s="18"/>
      <c r="U2" s="18"/>
      <c r="V2" s="18"/>
      <c r="W2" s="18"/>
      <c r="X2" s="18"/>
      <c r="Y2" s="18"/>
      <c r="Z2" s="18"/>
      <c r="AA2" s="18"/>
      <c r="AB2" s="18"/>
      <c r="AC2" s="18"/>
    </row>
    <row r="3" spans="1:29" ht="21" customHeight="1">
      <c r="A3" s="583"/>
      <c r="B3" s="585"/>
      <c r="C3" s="585"/>
      <c r="D3" s="585"/>
      <c r="E3" s="681"/>
      <c r="F3" s="586"/>
      <c r="G3" s="587" t="s">
        <v>30</v>
      </c>
      <c r="H3" s="19"/>
      <c r="I3" s="21"/>
      <c r="J3" s="17"/>
      <c r="K3" s="18"/>
      <c r="L3" s="18"/>
      <c r="M3" s="18"/>
      <c r="N3" s="18"/>
      <c r="O3" s="18"/>
      <c r="P3" s="18"/>
      <c r="Q3" s="18"/>
      <c r="R3" s="18"/>
      <c r="S3" s="18"/>
      <c r="T3" s="18"/>
      <c r="U3" s="18"/>
      <c r="V3" s="18"/>
      <c r="W3" s="18"/>
      <c r="X3" s="18"/>
      <c r="Y3" s="18"/>
      <c r="Z3" s="18"/>
      <c r="AA3" s="18"/>
      <c r="AB3" s="18"/>
      <c r="AC3" s="18"/>
    </row>
    <row r="4" spans="1:29" ht="21.75" customHeight="1">
      <c r="A4" s="767" t="s">
        <v>3134</v>
      </c>
      <c r="B4" s="765"/>
      <c r="C4" s="765"/>
      <c r="D4" s="765"/>
      <c r="E4" s="765"/>
      <c r="F4" s="765"/>
      <c r="G4" s="766"/>
      <c r="H4" s="16"/>
      <c r="I4" s="22"/>
      <c r="J4" s="17"/>
      <c r="K4" s="18"/>
      <c r="L4" s="18"/>
      <c r="M4" s="18"/>
      <c r="N4" s="18"/>
      <c r="O4" s="18"/>
      <c r="P4" s="18"/>
      <c r="Q4" s="18"/>
      <c r="R4" s="18"/>
      <c r="S4" s="18"/>
      <c r="T4" s="18"/>
      <c r="U4" s="18"/>
      <c r="V4" s="18"/>
      <c r="W4" s="18"/>
      <c r="X4" s="18"/>
      <c r="Y4" s="18"/>
      <c r="Z4" s="18"/>
      <c r="AA4" s="18"/>
      <c r="AB4" s="18"/>
      <c r="AC4" s="18"/>
    </row>
    <row r="5" spans="1:29" ht="34.5" customHeight="1">
      <c r="A5" s="24" t="s">
        <v>1</v>
      </c>
      <c r="B5" s="24" t="s">
        <v>3832</v>
      </c>
      <c r="C5" s="24" t="s">
        <v>3833</v>
      </c>
      <c r="D5" s="24" t="s">
        <v>3834</v>
      </c>
      <c r="E5" s="588" t="s">
        <v>3835</v>
      </c>
      <c r="F5" s="588" t="s">
        <v>3836</v>
      </c>
      <c r="G5" s="588" t="s">
        <v>3837</v>
      </c>
      <c r="H5" s="26" t="s">
        <v>37</v>
      </c>
      <c r="I5" s="27" t="s">
        <v>38</v>
      </c>
      <c r="J5" s="28"/>
      <c r="K5" s="29"/>
      <c r="L5" s="29"/>
      <c r="M5" s="29"/>
      <c r="N5" s="29"/>
      <c r="O5" s="29"/>
      <c r="P5" s="29"/>
      <c r="Q5" s="29"/>
      <c r="R5" s="29"/>
      <c r="S5" s="29"/>
      <c r="T5" s="29"/>
      <c r="U5" s="29"/>
      <c r="V5" s="29"/>
      <c r="W5" s="29"/>
      <c r="X5" s="29"/>
      <c r="Y5" s="29"/>
      <c r="Z5" s="29"/>
      <c r="AA5" s="29"/>
      <c r="AB5" s="29"/>
      <c r="AC5" s="29"/>
    </row>
    <row r="6" spans="1:29" ht="19.5" customHeight="1">
      <c r="A6" s="601">
        <v>1</v>
      </c>
      <c r="B6" s="601">
        <v>17</v>
      </c>
      <c r="C6" s="601" t="s">
        <v>4389</v>
      </c>
      <c r="D6" s="682">
        <v>43885</v>
      </c>
      <c r="E6" s="591" t="s">
        <v>4390</v>
      </c>
      <c r="F6" s="592" t="s">
        <v>41</v>
      </c>
      <c r="G6" s="683" t="s">
        <v>4391</v>
      </c>
      <c r="H6" s="81"/>
      <c r="I6" s="81"/>
      <c r="J6" s="35"/>
      <c r="K6" s="36"/>
      <c r="L6" s="36"/>
      <c r="M6" s="36"/>
      <c r="N6" s="36"/>
      <c r="O6" s="36"/>
      <c r="P6" s="36"/>
      <c r="Q6" s="36"/>
      <c r="R6" s="36"/>
      <c r="S6" s="36"/>
      <c r="T6" s="36"/>
      <c r="U6" s="36"/>
      <c r="V6" s="36"/>
      <c r="W6" s="36"/>
      <c r="X6" s="36"/>
      <c r="Y6" s="36"/>
      <c r="Z6" s="36"/>
      <c r="AA6" s="36"/>
      <c r="AB6" s="36"/>
      <c r="AC6" s="36"/>
    </row>
    <row r="7" spans="1:29" ht="24" customHeight="1">
      <c r="A7" s="601">
        <v>2</v>
      </c>
      <c r="B7" s="601">
        <v>380</v>
      </c>
      <c r="C7" s="601" t="s">
        <v>4392</v>
      </c>
      <c r="D7" s="682">
        <v>43900</v>
      </c>
      <c r="E7" s="591" t="s">
        <v>4393</v>
      </c>
      <c r="F7" s="592" t="s">
        <v>3844</v>
      </c>
      <c r="G7" s="684" t="s">
        <v>4394</v>
      </c>
      <c r="H7" s="81"/>
      <c r="I7" s="81"/>
      <c r="J7" s="35"/>
      <c r="K7" s="36"/>
      <c r="L7" s="36"/>
      <c r="M7" s="36"/>
      <c r="N7" s="36"/>
      <c r="O7" s="36"/>
      <c r="P7" s="36"/>
      <c r="Q7" s="36"/>
      <c r="R7" s="36"/>
      <c r="S7" s="36"/>
      <c r="T7" s="36"/>
      <c r="U7" s="36"/>
      <c r="V7" s="36"/>
      <c r="W7" s="36"/>
      <c r="X7" s="36"/>
      <c r="Y7" s="36"/>
      <c r="Z7" s="36"/>
      <c r="AA7" s="36"/>
      <c r="AB7" s="36"/>
      <c r="AC7" s="36"/>
    </row>
    <row r="8" spans="1:29" ht="24" customHeight="1">
      <c r="A8" s="601">
        <v>3</v>
      </c>
      <c r="B8" s="601">
        <v>18</v>
      </c>
      <c r="C8" s="601" t="s">
        <v>4395</v>
      </c>
      <c r="D8" s="682">
        <v>43900</v>
      </c>
      <c r="E8" s="591" t="s">
        <v>4396</v>
      </c>
      <c r="F8" s="592" t="s">
        <v>41</v>
      </c>
      <c r="G8" s="683" t="s">
        <v>4397</v>
      </c>
      <c r="H8" s="81"/>
      <c r="I8" s="81"/>
      <c r="J8" s="35"/>
      <c r="K8" s="36"/>
      <c r="L8" s="36"/>
      <c r="M8" s="36"/>
      <c r="N8" s="36"/>
      <c r="O8" s="36"/>
      <c r="P8" s="36"/>
      <c r="Q8" s="36"/>
      <c r="R8" s="36"/>
      <c r="S8" s="36"/>
      <c r="T8" s="36"/>
      <c r="U8" s="36"/>
      <c r="V8" s="36"/>
      <c r="W8" s="36"/>
      <c r="X8" s="36"/>
      <c r="Y8" s="36"/>
      <c r="Z8" s="36"/>
      <c r="AA8" s="36"/>
      <c r="AB8" s="36"/>
      <c r="AC8" s="36"/>
    </row>
    <row r="9" spans="1:29" ht="48" customHeight="1">
      <c r="A9" s="601">
        <v>4</v>
      </c>
      <c r="B9" s="601">
        <v>11</v>
      </c>
      <c r="C9" s="601" t="s">
        <v>4395</v>
      </c>
      <c r="D9" s="682">
        <v>43900</v>
      </c>
      <c r="E9" s="591" t="s">
        <v>4398</v>
      </c>
      <c r="F9" s="592" t="s">
        <v>41</v>
      </c>
      <c r="G9" s="683" t="s">
        <v>4399</v>
      </c>
      <c r="H9" s="81"/>
      <c r="I9" s="81"/>
      <c r="J9" s="35"/>
      <c r="K9" s="36"/>
      <c r="L9" s="36"/>
      <c r="M9" s="36"/>
      <c r="N9" s="36"/>
      <c r="O9" s="36"/>
      <c r="P9" s="36"/>
      <c r="Q9" s="36"/>
      <c r="R9" s="36"/>
      <c r="S9" s="36"/>
      <c r="T9" s="36"/>
      <c r="U9" s="36"/>
      <c r="V9" s="36"/>
      <c r="W9" s="36"/>
      <c r="X9" s="36"/>
      <c r="Y9" s="36"/>
      <c r="Z9" s="36"/>
      <c r="AA9" s="36"/>
      <c r="AB9" s="36"/>
      <c r="AC9" s="36"/>
    </row>
    <row r="10" spans="1:29" ht="24" customHeight="1">
      <c r="A10" s="601">
        <v>5</v>
      </c>
      <c r="B10" s="601">
        <v>1</v>
      </c>
      <c r="C10" s="601" t="s">
        <v>4395</v>
      </c>
      <c r="D10" s="682">
        <v>43901</v>
      </c>
      <c r="E10" s="591" t="s">
        <v>4400</v>
      </c>
      <c r="F10" s="592" t="s">
        <v>41</v>
      </c>
      <c r="G10" s="683" t="s">
        <v>4401</v>
      </c>
      <c r="H10" s="81"/>
      <c r="I10" s="81"/>
      <c r="J10" s="35"/>
      <c r="K10" s="36"/>
      <c r="L10" s="36"/>
      <c r="M10" s="36"/>
      <c r="N10" s="36"/>
      <c r="O10" s="36"/>
      <c r="P10" s="36"/>
      <c r="Q10" s="36"/>
      <c r="R10" s="36"/>
      <c r="S10" s="36"/>
      <c r="T10" s="36"/>
      <c r="U10" s="36"/>
      <c r="V10" s="36"/>
      <c r="W10" s="36"/>
      <c r="X10" s="36"/>
      <c r="Y10" s="36"/>
      <c r="Z10" s="36"/>
      <c r="AA10" s="36"/>
      <c r="AB10" s="36"/>
      <c r="AC10" s="36"/>
    </row>
    <row r="11" spans="1:29" ht="24" customHeight="1">
      <c r="A11" s="601">
        <v>6</v>
      </c>
      <c r="B11" s="601">
        <v>4</v>
      </c>
      <c r="C11" s="601" t="s">
        <v>4389</v>
      </c>
      <c r="D11" s="682">
        <v>43901</v>
      </c>
      <c r="E11" s="591" t="s">
        <v>4402</v>
      </c>
      <c r="F11" s="592" t="s">
        <v>41</v>
      </c>
      <c r="G11" s="683" t="s">
        <v>4403</v>
      </c>
      <c r="H11" s="81"/>
      <c r="I11" s="81"/>
      <c r="J11" s="35"/>
      <c r="K11" s="36"/>
      <c r="L11" s="36"/>
      <c r="M11" s="36"/>
      <c r="N11" s="36"/>
      <c r="O11" s="36"/>
      <c r="P11" s="36"/>
      <c r="Q11" s="36"/>
      <c r="R11" s="36"/>
      <c r="S11" s="36"/>
      <c r="T11" s="36"/>
      <c r="U11" s="36"/>
      <c r="V11" s="36"/>
      <c r="W11" s="36"/>
      <c r="X11" s="36"/>
      <c r="Y11" s="36"/>
      <c r="Z11" s="36"/>
      <c r="AA11" s="36"/>
      <c r="AB11" s="36"/>
      <c r="AC11" s="36"/>
    </row>
    <row r="12" spans="1:29" ht="24" customHeight="1">
      <c r="A12" s="601">
        <v>7</v>
      </c>
      <c r="B12" s="601">
        <v>385</v>
      </c>
      <c r="C12" s="592" t="s">
        <v>4404</v>
      </c>
      <c r="D12" s="685">
        <v>43902</v>
      </c>
      <c r="E12" s="591" t="s">
        <v>4405</v>
      </c>
      <c r="F12" s="592" t="s">
        <v>4406</v>
      </c>
      <c r="G12" s="683" t="s">
        <v>4407</v>
      </c>
      <c r="H12" s="81"/>
      <c r="I12" s="81"/>
      <c r="J12" s="35"/>
      <c r="K12" s="36"/>
      <c r="L12" s="36"/>
      <c r="M12" s="36"/>
      <c r="N12" s="36"/>
      <c r="O12" s="36"/>
      <c r="P12" s="36"/>
      <c r="Q12" s="36"/>
      <c r="R12" s="36"/>
      <c r="S12" s="36"/>
      <c r="T12" s="36"/>
      <c r="U12" s="36"/>
      <c r="V12" s="36"/>
      <c r="W12" s="36"/>
      <c r="X12" s="36"/>
      <c r="Y12" s="36"/>
      <c r="Z12" s="36"/>
      <c r="AA12" s="36"/>
      <c r="AB12" s="36"/>
      <c r="AC12" s="36"/>
    </row>
    <row r="13" spans="1:29" ht="48" customHeight="1">
      <c r="A13" s="601">
        <v>8</v>
      </c>
      <c r="B13" s="601">
        <v>2</v>
      </c>
      <c r="C13" s="601" t="s">
        <v>4408</v>
      </c>
      <c r="D13" s="682">
        <v>43902</v>
      </c>
      <c r="E13" s="591" t="s">
        <v>4409</v>
      </c>
      <c r="F13" s="592" t="s">
        <v>4017</v>
      </c>
      <c r="G13" s="683" t="s">
        <v>4394</v>
      </c>
      <c r="H13" s="81"/>
      <c r="I13" s="81"/>
      <c r="J13" s="35"/>
      <c r="K13" s="36"/>
      <c r="L13" s="36"/>
      <c r="M13" s="36"/>
      <c r="N13" s="36"/>
      <c r="O13" s="36"/>
      <c r="P13" s="36"/>
      <c r="Q13" s="36"/>
      <c r="R13" s="36"/>
      <c r="S13" s="36"/>
      <c r="T13" s="36"/>
      <c r="U13" s="36"/>
      <c r="V13" s="36"/>
      <c r="W13" s="36"/>
      <c r="X13" s="36"/>
      <c r="Y13" s="36"/>
      <c r="Z13" s="36"/>
      <c r="AA13" s="36"/>
      <c r="AB13" s="36"/>
      <c r="AC13" s="36"/>
    </row>
    <row r="14" spans="1:29" ht="36" customHeight="1">
      <c r="A14" s="601">
        <v>9</v>
      </c>
      <c r="B14" s="601">
        <v>12</v>
      </c>
      <c r="C14" s="601" t="s">
        <v>4410</v>
      </c>
      <c r="D14" s="682">
        <v>43902</v>
      </c>
      <c r="E14" s="591" t="s">
        <v>4411</v>
      </c>
      <c r="F14" s="592" t="s">
        <v>3844</v>
      </c>
      <c r="G14" s="683" t="s">
        <v>4412</v>
      </c>
      <c r="H14" s="81"/>
      <c r="I14" s="81"/>
      <c r="J14" s="35"/>
      <c r="K14" s="36"/>
      <c r="L14" s="36"/>
      <c r="M14" s="36"/>
      <c r="N14" s="36"/>
      <c r="O14" s="36"/>
      <c r="P14" s="36"/>
      <c r="Q14" s="36"/>
      <c r="R14" s="36"/>
      <c r="S14" s="36"/>
      <c r="T14" s="36"/>
      <c r="U14" s="36"/>
      <c r="V14" s="36"/>
      <c r="W14" s="36"/>
      <c r="X14" s="36"/>
      <c r="Y14" s="36"/>
      <c r="Z14" s="36"/>
      <c r="AA14" s="36"/>
      <c r="AB14" s="36"/>
      <c r="AC14" s="36"/>
    </row>
    <row r="15" spans="1:29" ht="27" customHeight="1">
      <c r="A15" s="601">
        <v>10</v>
      </c>
      <c r="B15" s="601">
        <v>2</v>
      </c>
      <c r="C15" s="601" t="s">
        <v>4413</v>
      </c>
      <c r="D15" s="682">
        <v>43902</v>
      </c>
      <c r="E15" s="591" t="s">
        <v>4414</v>
      </c>
      <c r="F15" s="592" t="s">
        <v>41</v>
      </c>
      <c r="G15" s="683" t="s">
        <v>4415</v>
      </c>
      <c r="H15" s="81"/>
      <c r="I15" s="81"/>
      <c r="J15" s="35"/>
      <c r="K15" s="36"/>
      <c r="L15" s="36"/>
      <c r="M15" s="36"/>
      <c r="N15" s="36"/>
      <c r="O15" s="36"/>
      <c r="P15" s="36"/>
      <c r="Q15" s="36"/>
      <c r="R15" s="36"/>
      <c r="S15" s="36"/>
      <c r="T15" s="36"/>
      <c r="U15" s="36"/>
      <c r="V15" s="36"/>
      <c r="W15" s="36"/>
      <c r="X15" s="36"/>
      <c r="Y15" s="36"/>
      <c r="Z15" s="36"/>
      <c r="AA15" s="36"/>
      <c r="AB15" s="36"/>
      <c r="AC15" s="36"/>
    </row>
    <row r="16" spans="1:29" ht="24" customHeight="1">
      <c r="A16" s="601">
        <v>11</v>
      </c>
      <c r="B16" s="601">
        <v>1</v>
      </c>
      <c r="C16" s="601" t="s">
        <v>4416</v>
      </c>
      <c r="D16" s="682">
        <v>43902</v>
      </c>
      <c r="E16" s="591" t="s">
        <v>4417</v>
      </c>
      <c r="F16" s="592" t="s">
        <v>41</v>
      </c>
      <c r="G16" s="683" t="s">
        <v>4418</v>
      </c>
      <c r="H16" s="81"/>
      <c r="I16" s="81"/>
      <c r="J16" s="35"/>
      <c r="K16" s="36"/>
      <c r="L16" s="36"/>
      <c r="M16" s="36"/>
      <c r="N16" s="36"/>
      <c r="O16" s="36"/>
      <c r="P16" s="36"/>
      <c r="Q16" s="36"/>
      <c r="R16" s="36"/>
      <c r="S16" s="36"/>
      <c r="T16" s="36"/>
      <c r="U16" s="36"/>
      <c r="V16" s="36"/>
      <c r="W16" s="36"/>
      <c r="X16" s="36"/>
      <c r="Y16" s="36"/>
      <c r="Z16" s="36"/>
      <c r="AA16" s="36"/>
      <c r="AB16" s="36"/>
      <c r="AC16" s="36"/>
    </row>
    <row r="17" spans="1:29" ht="36" customHeight="1">
      <c r="A17" s="601">
        <v>12</v>
      </c>
      <c r="B17" s="601">
        <v>385</v>
      </c>
      <c r="C17" s="601" t="s">
        <v>4419</v>
      </c>
      <c r="D17" s="682">
        <v>43902</v>
      </c>
      <c r="E17" s="591" t="s">
        <v>4420</v>
      </c>
      <c r="F17" s="592" t="s">
        <v>41</v>
      </c>
      <c r="G17" s="683" t="s">
        <v>4421</v>
      </c>
      <c r="H17" s="81"/>
      <c r="I17" s="81"/>
      <c r="J17" s="35"/>
      <c r="K17" s="36"/>
      <c r="L17" s="36"/>
      <c r="M17" s="36"/>
      <c r="N17" s="36"/>
      <c r="O17" s="36"/>
      <c r="P17" s="36"/>
      <c r="Q17" s="36"/>
      <c r="R17" s="36"/>
      <c r="S17" s="36"/>
      <c r="T17" s="36"/>
      <c r="U17" s="36"/>
      <c r="V17" s="36"/>
      <c r="W17" s="36"/>
      <c r="X17" s="36"/>
      <c r="Y17" s="36"/>
      <c r="Z17" s="36"/>
      <c r="AA17" s="36"/>
      <c r="AB17" s="36"/>
      <c r="AC17" s="36"/>
    </row>
    <row r="18" spans="1:29" ht="60" customHeight="1">
      <c r="A18" s="601">
        <v>13</v>
      </c>
      <c r="B18" s="601">
        <v>402</v>
      </c>
      <c r="C18" s="601" t="s">
        <v>4422</v>
      </c>
      <c r="D18" s="682">
        <v>43903</v>
      </c>
      <c r="E18" s="591" t="s">
        <v>4423</v>
      </c>
      <c r="F18" s="592" t="s">
        <v>3844</v>
      </c>
      <c r="G18" s="683" t="s">
        <v>4424</v>
      </c>
      <c r="H18" s="81"/>
      <c r="I18" s="81"/>
      <c r="J18" s="35"/>
      <c r="K18" s="36"/>
      <c r="L18" s="36"/>
      <c r="M18" s="36"/>
      <c r="N18" s="36"/>
      <c r="O18" s="36"/>
      <c r="P18" s="36"/>
      <c r="Q18" s="36"/>
      <c r="R18" s="36"/>
      <c r="S18" s="36"/>
      <c r="T18" s="36"/>
      <c r="U18" s="36"/>
      <c r="V18" s="36"/>
      <c r="W18" s="36"/>
      <c r="X18" s="36"/>
      <c r="Y18" s="36"/>
      <c r="Z18" s="36"/>
      <c r="AA18" s="36"/>
      <c r="AB18" s="36"/>
      <c r="AC18" s="36"/>
    </row>
    <row r="19" spans="1:29" ht="25.5" customHeight="1">
      <c r="A19" s="601">
        <v>14</v>
      </c>
      <c r="B19" s="601">
        <v>407</v>
      </c>
      <c r="C19" s="601" t="s">
        <v>4392</v>
      </c>
      <c r="D19" s="682">
        <v>43903</v>
      </c>
      <c r="E19" s="591" t="s">
        <v>4030</v>
      </c>
      <c r="F19" s="592" t="s">
        <v>4031</v>
      </c>
      <c r="G19" s="683" t="s">
        <v>4425</v>
      </c>
      <c r="H19" s="81"/>
      <c r="I19" s="81"/>
      <c r="J19" s="35"/>
      <c r="K19" s="36"/>
      <c r="L19" s="36"/>
      <c r="M19" s="36"/>
      <c r="N19" s="36"/>
      <c r="O19" s="36"/>
      <c r="P19" s="36"/>
      <c r="Q19" s="36"/>
      <c r="R19" s="36"/>
      <c r="S19" s="36"/>
      <c r="T19" s="36"/>
      <c r="U19" s="36"/>
      <c r="V19" s="36"/>
      <c r="W19" s="36"/>
      <c r="X19" s="36"/>
      <c r="Y19" s="36"/>
      <c r="Z19" s="36"/>
      <c r="AA19" s="36"/>
      <c r="AB19" s="36"/>
      <c r="AC19" s="36"/>
    </row>
    <row r="20" spans="1:29" ht="36" customHeight="1">
      <c r="A20" s="601">
        <v>15</v>
      </c>
      <c r="B20" s="601">
        <v>15</v>
      </c>
      <c r="C20" s="601" t="s">
        <v>4426</v>
      </c>
      <c r="D20" s="682">
        <v>43903</v>
      </c>
      <c r="E20" s="591" t="s">
        <v>4427</v>
      </c>
      <c r="F20" s="592" t="s">
        <v>3844</v>
      </c>
      <c r="G20" s="683" t="s">
        <v>4428</v>
      </c>
      <c r="H20" s="81"/>
      <c r="I20" s="81"/>
      <c r="J20" s="35"/>
      <c r="K20" s="36"/>
      <c r="L20" s="36"/>
      <c r="M20" s="36"/>
      <c r="N20" s="36"/>
      <c r="O20" s="36"/>
      <c r="P20" s="36"/>
      <c r="Q20" s="36"/>
      <c r="R20" s="36"/>
      <c r="S20" s="36"/>
      <c r="T20" s="36"/>
      <c r="U20" s="36"/>
      <c r="V20" s="36"/>
      <c r="W20" s="36"/>
      <c r="X20" s="36"/>
      <c r="Y20" s="36"/>
      <c r="Z20" s="36"/>
      <c r="AA20" s="36"/>
      <c r="AB20" s="36"/>
      <c r="AC20" s="36"/>
    </row>
    <row r="21" spans="1:29" ht="60" customHeight="1">
      <c r="A21" s="601">
        <v>16</v>
      </c>
      <c r="B21" s="601">
        <v>402</v>
      </c>
      <c r="C21" s="601" t="s">
        <v>4422</v>
      </c>
      <c r="D21" s="682">
        <v>43903</v>
      </c>
      <c r="E21" s="591" t="s">
        <v>4429</v>
      </c>
      <c r="F21" s="592" t="s">
        <v>3844</v>
      </c>
      <c r="G21" s="683" t="s">
        <v>4424</v>
      </c>
      <c r="H21" s="81"/>
      <c r="I21" s="81"/>
      <c r="J21" s="35"/>
      <c r="K21" s="36"/>
      <c r="L21" s="36"/>
      <c r="M21" s="36"/>
      <c r="N21" s="36"/>
      <c r="O21" s="36"/>
      <c r="P21" s="36"/>
      <c r="Q21" s="36"/>
      <c r="R21" s="36"/>
      <c r="S21" s="36"/>
      <c r="T21" s="36"/>
      <c r="U21" s="36"/>
      <c r="V21" s="36"/>
      <c r="W21" s="36"/>
      <c r="X21" s="36"/>
      <c r="Y21" s="36"/>
      <c r="Z21" s="36"/>
      <c r="AA21" s="36"/>
      <c r="AB21" s="36"/>
      <c r="AC21" s="36"/>
    </row>
    <row r="22" spans="1:29" ht="36.75" customHeight="1">
      <c r="A22" s="601">
        <v>17</v>
      </c>
      <c r="B22" s="601">
        <v>401</v>
      </c>
      <c r="C22" s="601" t="s">
        <v>4422</v>
      </c>
      <c r="D22" s="682">
        <v>43903</v>
      </c>
      <c r="E22" s="591" t="s">
        <v>4020</v>
      </c>
      <c r="F22" s="592" t="s">
        <v>4430</v>
      </c>
      <c r="G22" s="683" t="s">
        <v>4022</v>
      </c>
      <c r="H22" s="81"/>
      <c r="I22" s="81"/>
      <c r="J22" s="35"/>
      <c r="K22" s="36"/>
      <c r="L22" s="36"/>
      <c r="M22" s="36"/>
      <c r="N22" s="36"/>
      <c r="O22" s="36"/>
      <c r="P22" s="36"/>
      <c r="Q22" s="36"/>
      <c r="R22" s="36"/>
      <c r="S22" s="36"/>
      <c r="T22" s="36"/>
      <c r="U22" s="36"/>
      <c r="V22" s="36"/>
      <c r="W22" s="36"/>
      <c r="X22" s="36"/>
      <c r="Y22" s="36"/>
      <c r="Z22" s="36"/>
      <c r="AA22" s="36"/>
      <c r="AB22" s="36"/>
      <c r="AC22" s="36"/>
    </row>
    <row r="23" spans="1:29" ht="36" customHeight="1">
      <c r="A23" s="601">
        <v>18</v>
      </c>
      <c r="B23" s="601">
        <v>400</v>
      </c>
      <c r="C23" s="601" t="s">
        <v>4422</v>
      </c>
      <c r="D23" s="682">
        <v>43903</v>
      </c>
      <c r="E23" s="591" t="s">
        <v>4024</v>
      </c>
      <c r="F23" s="592" t="s">
        <v>4025</v>
      </c>
      <c r="G23" s="683" t="s">
        <v>4026</v>
      </c>
      <c r="H23" s="81"/>
      <c r="I23" s="81"/>
      <c r="J23" s="35"/>
      <c r="K23" s="36"/>
      <c r="L23" s="36"/>
      <c r="M23" s="36"/>
      <c r="N23" s="36"/>
      <c r="O23" s="36"/>
      <c r="P23" s="36"/>
      <c r="Q23" s="36"/>
      <c r="R23" s="36"/>
      <c r="S23" s="36"/>
      <c r="T23" s="36"/>
      <c r="U23" s="36"/>
      <c r="V23" s="36"/>
      <c r="W23" s="36"/>
      <c r="X23" s="36"/>
      <c r="Y23" s="36"/>
      <c r="Z23" s="36"/>
      <c r="AA23" s="36"/>
      <c r="AB23" s="36"/>
      <c r="AC23" s="36"/>
    </row>
    <row r="24" spans="1:29" ht="36" customHeight="1">
      <c r="A24" s="601">
        <v>19</v>
      </c>
      <c r="B24" s="601">
        <v>399</v>
      </c>
      <c r="C24" s="601" t="s">
        <v>4422</v>
      </c>
      <c r="D24" s="682">
        <v>43903</v>
      </c>
      <c r="E24" s="591" t="s">
        <v>4431</v>
      </c>
      <c r="F24" s="592" t="s">
        <v>3844</v>
      </c>
      <c r="G24" s="683" t="s">
        <v>4432</v>
      </c>
      <c r="H24" s="81"/>
      <c r="I24" s="81"/>
      <c r="J24" s="35"/>
      <c r="K24" s="36"/>
      <c r="L24" s="36"/>
      <c r="M24" s="36"/>
      <c r="N24" s="36"/>
      <c r="O24" s="36"/>
      <c r="P24" s="36"/>
      <c r="Q24" s="36"/>
      <c r="R24" s="36"/>
      <c r="S24" s="36"/>
      <c r="T24" s="36"/>
      <c r="U24" s="36"/>
      <c r="V24" s="36"/>
      <c r="W24" s="36"/>
      <c r="X24" s="36"/>
      <c r="Y24" s="36"/>
      <c r="Z24" s="36"/>
      <c r="AA24" s="36"/>
      <c r="AB24" s="36"/>
      <c r="AC24" s="36"/>
    </row>
    <row r="25" spans="1:29" ht="36" customHeight="1">
      <c r="A25" s="601">
        <v>20</v>
      </c>
      <c r="B25" s="601">
        <v>398</v>
      </c>
      <c r="C25" s="601" t="s">
        <v>4422</v>
      </c>
      <c r="D25" s="682">
        <v>43903</v>
      </c>
      <c r="E25" s="591" t="s">
        <v>4433</v>
      </c>
      <c r="F25" s="592" t="s">
        <v>3844</v>
      </c>
      <c r="G25" s="683" t="s">
        <v>4434</v>
      </c>
      <c r="H25" s="81"/>
      <c r="I25" s="81"/>
      <c r="J25" s="35"/>
      <c r="K25" s="36"/>
      <c r="L25" s="36"/>
      <c r="M25" s="36"/>
      <c r="N25" s="36"/>
      <c r="O25" s="36"/>
      <c r="P25" s="36"/>
      <c r="Q25" s="36"/>
      <c r="R25" s="36"/>
      <c r="S25" s="36"/>
      <c r="T25" s="36"/>
      <c r="U25" s="36"/>
      <c r="V25" s="36"/>
      <c r="W25" s="36"/>
      <c r="X25" s="36"/>
      <c r="Y25" s="36"/>
      <c r="Z25" s="36"/>
      <c r="AA25" s="36"/>
      <c r="AB25" s="36"/>
      <c r="AC25" s="36"/>
    </row>
    <row r="26" spans="1:29" ht="24" customHeight="1">
      <c r="A26" s="601">
        <v>21</v>
      </c>
      <c r="B26" s="601">
        <v>397</v>
      </c>
      <c r="C26" s="601" t="s">
        <v>4422</v>
      </c>
      <c r="D26" s="682">
        <v>43903</v>
      </c>
      <c r="E26" s="591" t="s">
        <v>4435</v>
      </c>
      <c r="F26" s="592" t="s">
        <v>3844</v>
      </c>
      <c r="G26" s="683" t="s">
        <v>4436</v>
      </c>
      <c r="H26" s="81"/>
      <c r="I26" s="81"/>
      <c r="J26" s="35"/>
      <c r="K26" s="36"/>
      <c r="L26" s="36"/>
      <c r="M26" s="36"/>
      <c r="N26" s="36"/>
      <c r="O26" s="36"/>
      <c r="P26" s="36"/>
      <c r="Q26" s="36"/>
      <c r="R26" s="36"/>
      <c r="S26" s="36"/>
      <c r="T26" s="36"/>
      <c r="U26" s="36"/>
      <c r="V26" s="36"/>
      <c r="W26" s="36"/>
      <c r="X26" s="36"/>
      <c r="Y26" s="36"/>
      <c r="Z26" s="36"/>
      <c r="AA26" s="36"/>
      <c r="AB26" s="36"/>
      <c r="AC26" s="36"/>
    </row>
    <row r="27" spans="1:29" ht="60" customHeight="1">
      <c r="A27" s="601">
        <v>22</v>
      </c>
      <c r="B27" s="601">
        <v>402</v>
      </c>
      <c r="C27" s="601" t="s">
        <v>4437</v>
      </c>
      <c r="D27" s="682">
        <v>43903</v>
      </c>
      <c r="E27" s="591" t="s">
        <v>4438</v>
      </c>
      <c r="F27" s="592" t="s">
        <v>41</v>
      </c>
      <c r="G27" s="683" t="s">
        <v>4439</v>
      </c>
      <c r="H27" s="81"/>
      <c r="I27" s="81"/>
      <c r="J27" s="35"/>
      <c r="K27" s="36"/>
      <c r="L27" s="36"/>
      <c r="M27" s="36"/>
      <c r="N27" s="36"/>
      <c r="O27" s="36"/>
      <c r="P27" s="36"/>
      <c r="Q27" s="36"/>
      <c r="R27" s="36"/>
      <c r="S27" s="36"/>
      <c r="T27" s="36"/>
      <c r="U27" s="36"/>
      <c r="V27" s="36"/>
      <c r="W27" s="36"/>
      <c r="X27" s="36"/>
      <c r="Y27" s="36"/>
      <c r="Z27" s="36"/>
      <c r="AA27" s="36"/>
      <c r="AB27" s="36"/>
      <c r="AC27" s="36"/>
    </row>
    <row r="28" spans="1:29" ht="24" customHeight="1">
      <c r="A28" s="601">
        <v>23</v>
      </c>
      <c r="B28" s="601">
        <v>1</v>
      </c>
      <c r="C28" s="601" t="s">
        <v>4426</v>
      </c>
      <c r="D28" s="682">
        <v>43904</v>
      </c>
      <c r="E28" s="591" t="s">
        <v>4440</v>
      </c>
      <c r="F28" s="592" t="s">
        <v>3844</v>
      </c>
      <c r="G28" s="683" t="s">
        <v>4441</v>
      </c>
      <c r="H28" s="81"/>
      <c r="I28" s="81"/>
      <c r="J28" s="35"/>
      <c r="K28" s="36"/>
      <c r="L28" s="36"/>
      <c r="M28" s="36"/>
      <c r="N28" s="36"/>
      <c r="O28" s="36"/>
      <c r="P28" s="36"/>
      <c r="Q28" s="36"/>
      <c r="R28" s="36"/>
      <c r="S28" s="36"/>
      <c r="T28" s="36"/>
      <c r="U28" s="36"/>
      <c r="V28" s="36"/>
      <c r="W28" s="36"/>
      <c r="X28" s="36"/>
      <c r="Y28" s="36"/>
      <c r="Z28" s="36"/>
      <c r="AA28" s="36"/>
      <c r="AB28" s="36"/>
      <c r="AC28" s="36"/>
    </row>
    <row r="29" spans="1:29" ht="36" customHeight="1">
      <c r="A29" s="601">
        <v>24</v>
      </c>
      <c r="B29" s="601">
        <v>408</v>
      </c>
      <c r="C29" s="601" t="s">
        <v>4392</v>
      </c>
      <c r="D29" s="682">
        <v>43905</v>
      </c>
      <c r="E29" s="591" t="s">
        <v>4442</v>
      </c>
      <c r="F29" s="592" t="s">
        <v>3844</v>
      </c>
      <c r="G29" s="683" t="s">
        <v>4394</v>
      </c>
      <c r="H29" s="81"/>
      <c r="I29" s="81"/>
      <c r="J29" s="35"/>
      <c r="K29" s="36"/>
      <c r="L29" s="36"/>
      <c r="M29" s="36"/>
      <c r="N29" s="36"/>
      <c r="O29" s="36"/>
      <c r="P29" s="36"/>
      <c r="Q29" s="36"/>
      <c r="R29" s="36"/>
      <c r="S29" s="36"/>
      <c r="T29" s="36"/>
      <c r="U29" s="36"/>
      <c r="V29" s="36"/>
      <c r="W29" s="36"/>
      <c r="X29" s="36"/>
      <c r="Y29" s="36"/>
      <c r="Z29" s="36"/>
      <c r="AA29" s="36"/>
      <c r="AB29" s="36"/>
      <c r="AC29" s="36"/>
    </row>
    <row r="30" spans="1:29" ht="24" customHeight="1">
      <c r="A30" s="601">
        <v>25</v>
      </c>
      <c r="B30" s="601">
        <v>3</v>
      </c>
      <c r="C30" s="601" t="s">
        <v>4426</v>
      </c>
      <c r="D30" s="682">
        <v>43906</v>
      </c>
      <c r="E30" s="591" t="s">
        <v>4035</v>
      </c>
      <c r="F30" s="592" t="s">
        <v>4036</v>
      </c>
      <c r="G30" s="683" t="s">
        <v>4441</v>
      </c>
      <c r="H30" s="81"/>
      <c r="I30" s="81"/>
      <c r="J30" s="35"/>
      <c r="K30" s="36"/>
      <c r="L30" s="36"/>
      <c r="M30" s="36"/>
      <c r="N30" s="36"/>
      <c r="O30" s="36"/>
      <c r="P30" s="36"/>
      <c r="Q30" s="36"/>
      <c r="R30" s="36"/>
      <c r="S30" s="36"/>
      <c r="T30" s="36"/>
      <c r="U30" s="36"/>
      <c r="V30" s="36"/>
      <c r="W30" s="36"/>
      <c r="X30" s="36"/>
      <c r="Y30" s="36"/>
      <c r="Z30" s="36"/>
      <c r="AA30" s="36"/>
      <c r="AB30" s="36"/>
      <c r="AC30" s="36"/>
    </row>
    <row r="31" spans="1:29" ht="48" customHeight="1">
      <c r="A31" s="601">
        <v>26</v>
      </c>
      <c r="B31" s="601">
        <v>412</v>
      </c>
      <c r="C31" s="601" t="s">
        <v>4443</v>
      </c>
      <c r="D31" s="682">
        <v>43906</v>
      </c>
      <c r="E31" s="591" t="s">
        <v>4444</v>
      </c>
      <c r="F31" s="592" t="s">
        <v>41</v>
      </c>
      <c r="G31" s="683" t="s">
        <v>4445</v>
      </c>
      <c r="H31" s="81"/>
      <c r="I31" s="81"/>
      <c r="J31" s="35"/>
      <c r="K31" s="36"/>
      <c r="L31" s="36"/>
      <c r="M31" s="36"/>
      <c r="N31" s="36"/>
      <c r="O31" s="36"/>
      <c r="P31" s="36"/>
      <c r="Q31" s="36"/>
      <c r="R31" s="36"/>
      <c r="S31" s="36"/>
      <c r="T31" s="36"/>
      <c r="U31" s="36"/>
      <c r="V31" s="36"/>
      <c r="W31" s="36"/>
      <c r="X31" s="36"/>
      <c r="Y31" s="36"/>
      <c r="Z31" s="36"/>
      <c r="AA31" s="36"/>
      <c r="AB31" s="36"/>
      <c r="AC31" s="36"/>
    </row>
    <row r="32" spans="1:29" ht="24" customHeight="1">
      <c r="A32" s="601">
        <v>27</v>
      </c>
      <c r="B32" s="601">
        <v>444</v>
      </c>
      <c r="C32" s="601" t="s">
        <v>4446</v>
      </c>
      <c r="D32" s="682">
        <v>43906</v>
      </c>
      <c r="E32" s="591" t="s">
        <v>4447</v>
      </c>
      <c r="F32" s="592" t="s">
        <v>41</v>
      </c>
      <c r="G32" s="683" t="s">
        <v>4448</v>
      </c>
      <c r="H32" s="81"/>
      <c r="I32" s="81"/>
      <c r="J32" s="35"/>
      <c r="K32" s="36"/>
      <c r="L32" s="36"/>
      <c r="M32" s="36"/>
      <c r="N32" s="36"/>
      <c r="O32" s="36"/>
      <c r="P32" s="36"/>
      <c r="Q32" s="36"/>
      <c r="R32" s="36"/>
      <c r="S32" s="36"/>
      <c r="T32" s="36"/>
      <c r="U32" s="36"/>
      <c r="V32" s="36"/>
      <c r="W32" s="36"/>
      <c r="X32" s="36"/>
      <c r="Y32" s="36"/>
      <c r="Z32" s="36"/>
      <c r="AA32" s="36"/>
      <c r="AB32" s="36"/>
      <c r="AC32" s="36"/>
    </row>
    <row r="33" spans="1:29" ht="36" customHeight="1">
      <c r="A33" s="601">
        <v>28</v>
      </c>
      <c r="B33" s="601">
        <v>1</v>
      </c>
      <c r="C33" s="601" t="s">
        <v>4449</v>
      </c>
      <c r="D33" s="682">
        <v>43906</v>
      </c>
      <c r="E33" s="591" t="s">
        <v>4450</v>
      </c>
      <c r="F33" s="592" t="s">
        <v>41</v>
      </c>
      <c r="G33" s="683" t="s">
        <v>4451</v>
      </c>
      <c r="H33" s="81"/>
      <c r="I33" s="81"/>
      <c r="J33" s="35"/>
      <c r="K33" s="36"/>
      <c r="L33" s="36"/>
      <c r="M33" s="36"/>
      <c r="N33" s="36"/>
      <c r="O33" s="36"/>
      <c r="P33" s="36"/>
      <c r="Q33" s="36"/>
      <c r="R33" s="36"/>
      <c r="S33" s="36"/>
      <c r="T33" s="36"/>
      <c r="U33" s="36"/>
      <c r="V33" s="36"/>
      <c r="W33" s="36"/>
      <c r="X33" s="36"/>
      <c r="Y33" s="36"/>
      <c r="Z33" s="36"/>
      <c r="AA33" s="36"/>
      <c r="AB33" s="36"/>
      <c r="AC33" s="36"/>
    </row>
    <row r="34" spans="1:29" ht="24" customHeight="1">
      <c r="A34" s="601">
        <v>29</v>
      </c>
      <c r="B34" s="601">
        <v>417</v>
      </c>
      <c r="C34" s="601" t="s">
        <v>4422</v>
      </c>
      <c r="D34" s="682">
        <v>43907</v>
      </c>
      <c r="E34" s="591" t="s">
        <v>4452</v>
      </c>
      <c r="F34" s="592" t="s">
        <v>3844</v>
      </c>
      <c r="G34" s="683" t="s">
        <v>4453</v>
      </c>
      <c r="H34" s="81"/>
      <c r="I34" s="81"/>
      <c r="J34" s="35"/>
      <c r="K34" s="36"/>
      <c r="L34" s="36"/>
      <c r="M34" s="36"/>
      <c r="N34" s="36"/>
      <c r="O34" s="36"/>
      <c r="P34" s="36"/>
      <c r="Q34" s="36"/>
      <c r="R34" s="36"/>
      <c r="S34" s="36"/>
      <c r="T34" s="36"/>
      <c r="U34" s="36"/>
      <c r="V34" s="36"/>
      <c r="W34" s="36"/>
      <c r="X34" s="36"/>
      <c r="Y34" s="36"/>
      <c r="Z34" s="36"/>
      <c r="AA34" s="36"/>
      <c r="AB34" s="36"/>
      <c r="AC34" s="36"/>
    </row>
    <row r="35" spans="1:29" ht="48" customHeight="1">
      <c r="A35" s="601">
        <v>30</v>
      </c>
      <c r="B35" s="601">
        <v>784</v>
      </c>
      <c r="C35" s="601" t="s">
        <v>4392</v>
      </c>
      <c r="D35" s="682">
        <v>43907</v>
      </c>
      <c r="E35" s="591" t="s">
        <v>4454</v>
      </c>
      <c r="F35" s="592" t="s">
        <v>3844</v>
      </c>
      <c r="G35" s="683" t="s">
        <v>4455</v>
      </c>
      <c r="H35" s="81"/>
      <c r="I35" s="81"/>
      <c r="J35" s="35"/>
      <c r="K35" s="36"/>
      <c r="L35" s="36"/>
      <c r="M35" s="36"/>
      <c r="N35" s="36"/>
      <c r="O35" s="36"/>
      <c r="P35" s="36"/>
      <c r="Q35" s="36"/>
      <c r="R35" s="36"/>
      <c r="S35" s="36"/>
      <c r="T35" s="36"/>
      <c r="U35" s="36"/>
      <c r="V35" s="36"/>
      <c r="W35" s="36"/>
      <c r="X35" s="36"/>
      <c r="Y35" s="36"/>
      <c r="Z35" s="36"/>
      <c r="AA35" s="36"/>
      <c r="AB35" s="36"/>
      <c r="AC35" s="36"/>
    </row>
    <row r="36" spans="1:29" ht="24" customHeight="1">
      <c r="A36" s="601">
        <v>31</v>
      </c>
      <c r="B36" s="601">
        <v>911</v>
      </c>
      <c r="C36" s="601" t="s">
        <v>4392</v>
      </c>
      <c r="D36" s="682">
        <v>43907</v>
      </c>
      <c r="E36" s="591" t="s">
        <v>4456</v>
      </c>
      <c r="F36" s="592" t="s">
        <v>3844</v>
      </c>
      <c r="G36" s="683" t="s">
        <v>4394</v>
      </c>
      <c r="H36" s="81"/>
      <c r="I36" s="81"/>
      <c r="J36" s="35"/>
      <c r="K36" s="36"/>
      <c r="L36" s="36"/>
      <c r="M36" s="36"/>
      <c r="N36" s="36"/>
      <c r="O36" s="36"/>
      <c r="P36" s="36"/>
      <c r="Q36" s="36"/>
      <c r="R36" s="36"/>
      <c r="S36" s="36"/>
      <c r="T36" s="36"/>
      <c r="U36" s="36"/>
      <c r="V36" s="36"/>
      <c r="W36" s="36"/>
      <c r="X36" s="36"/>
      <c r="Y36" s="36"/>
      <c r="Z36" s="36"/>
      <c r="AA36" s="36"/>
      <c r="AB36" s="36"/>
      <c r="AC36" s="36"/>
    </row>
    <row r="37" spans="1:29" ht="24" customHeight="1">
      <c r="A37" s="601">
        <v>32</v>
      </c>
      <c r="B37" s="601">
        <v>784</v>
      </c>
      <c r="C37" s="601" t="s">
        <v>4392</v>
      </c>
      <c r="D37" s="682">
        <v>43907</v>
      </c>
      <c r="E37" s="591" t="s">
        <v>4454</v>
      </c>
      <c r="F37" s="592" t="s">
        <v>3844</v>
      </c>
      <c r="G37" s="683" t="s">
        <v>4457</v>
      </c>
      <c r="H37" s="81"/>
      <c r="I37" s="81"/>
      <c r="J37" s="35"/>
      <c r="K37" s="36"/>
      <c r="L37" s="36"/>
      <c r="M37" s="36"/>
      <c r="N37" s="36"/>
      <c r="O37" s="36"/>
      <c r="P37" s="36"/>
      <c r="Q37" s="36"/>
      <c r="R37" s="36"/>
      <c r="S37" s="36"/>
      <c r="T37" s="36"/>
      <c r="U37" s="36"/>
      <c r="V37" s="36"/>
      <c r="W37" s="36"/>
      <c r="X37" s="36"/>
      <c r="Y37" s="36"/>
      <c r="Z37" s="36"/>
      <c r="AA37" s="36"/>
      <c r="AB37" s="36"/>
      <c r="AC37" s="36"/>
    </row>
    <row r="38" spans="1:29" ht="24" customHeight="1">
      <c r="A38" s="601">
        <v>33</v>
      </c>
      <c r="B38" s="601">
        <v>418</v>
      </c>
      <c r="C38" s="601" t="s">
        <v>4422</v>
      </c>
      <c r="D38" s="682">
        <v>43908</v>
      </c>
      <c r="E38" s="591" t="s">
        <v>4458</v>
      </c>
      <c r="F38" s="592" t="s">
        <v>3844</v>
      </c>
      <c r="G38" s="683" t="s">
        <v>4459</v>
      </c>
      <c r="H38" s="81"/>
      <c r="I38" s="81"/>
      <c r="J38" s="35"/>
      <c r="K38" s="36"/>
      <c r="L38" s="36"/>
      <c r="M38" s="36"/>
      <c r="N38" s="36"/>
      <c r="O38" s="36"/>
      <c r="P38" s="36"/>
      <c r="Q38" s="36"/>
      <c r="R38" s="36"/>
      <c r="S38" s="36"/>
      <c r="T38" s="36"/>
      <c r="U38" s="36"/>
      <c r="V38" s="36"/>
      <c r="W38" s="36"/>
      <c r="X38" s="36"/>
      <c r="Y38" s="36"/>
      <c r="Z38" s="36"/>
      <c r="AA38" s="36"/>
      <c r="AB38" s="36"/>
      <c r="AC38" s="36"/>
    </row>
    <row r="39" spans="1:29" ht="36" customHeight="1">
      <c r="A39" s="601">
        <v>34</v>
      </c>
      <c r="B39" s="601">
        <v>419</v>
      </c>
      <c r="C39" s="601" t="s">
        <v>4422</v>
      </c>
      <c r="D39" s="682">
        <v>43908</v>
      </c>
      <c r="E39" s="591" t="s">
        <v>4460</v>
      </c>
      <c r="F39" s="592" t="s">
        <v>3844</v>
      </c>
      <c r="G39" s="683" t="s">
        <v>4461</v>
      </c>
      <c r="H39" s="81"/>
      <c r="I39" s="81"/>
      <c r="J39" s="35"/>
      <c r="K39" s="36"/>
      <c r="L39" s="36"/>
      <c r="M39" s="36"/>
      <c r="N39" s="36"/>
      <c r="O39" s="36"/>
      <c r="P39" s="36"/>
      <c r="Q39" s="36"/>
      <c r="R39" s="36"/>
      <c r="S39" s="36"/>
      <c r="T39" s="36"/>
      <c r="U39" s="36"/>
      <c r="V39" s="36"/>
      <c r="W39" s="36"/>
      <c r="X39" s="36"/>
      <c r="Y39" s="36"/>
      <c r="Z39" s="36"/>
      <c r="AA39" s="36"/>
      <c r="AB39" s="36"/>
      <c r="AC39" s="36"/>
    </row>
    <row r="40" spans="1:29" ht="24" customHeight="1">
      <c r="A40" s="601">
        <v>35</v>
      </c>
      <c r="B40" s="601">
        <v>420</v>
      </c>
      <c r="C40" s="601" t="s">
        <v>4422</v>
      </c>
      <c r="D40" s="682">
        <v>43908</v>
      </c>
      <c r="E40" s="591" t="s">
        <v>4462</v>
      </c>
      <c r="F40" s="592" t="s">
        <v>3844</v>
      </c>
      <c r="G40" s="683" t="s">
        <v>4463</v>
      </c>
      <c r="H40" s="81"/>
      <c r="I40" s="81"/>
      <c r="J40" s="35"/>
      <c r="K40" s="36"/>
      <c r="L40" s="36"/>
      <c r="M40" s="36"/>
      <c r="N40" s="36"/>
      <c r="O40" s="36"/>
      <c r="P40" s="36"/>
      <c r="Q40" s="36"/>
      <c r="R40" s="36"/>
      <c r="S40" s="36"/>
      <c r="T40" s="36"/>
      <c r="U40" s="36"/>
      <c r="V40" s="36"/>
      <c r="W40" s="36"/>
      <c r="X40" s="36"/>
      <c r="Y40" s="36"/>
      <c r="Z40" s="36"/>
      <c r="AA40" s="36"/>
      <c r="AB40" s="36"/>
      <c r="AC40" s="36"/>
    </row>
    <row r="41" spans="1:29" ht="48" customHeight="1">
      <c r="A41" s="601">
        <v>36</v>
      </c>
      <c r="B41" s="601">
        <v>421</v>
      </c>
      <c r="C41" s="601" t="s">
        <v>4422</v>
      </c>
      <c r="D41" s="682">
        <v>43908</v>
      </c>
      <c r="E41" s="591" t="s">
        <v>4464</v>
      </c>
      <c r="F41" s="592" t="s">
        <v>3844</v>
      </c>
      <c r="G41" s="683" t="s">
        <v>4465</v>
      </c>
      <c r="H41" s="81"/>
      <c r="I41" s="81"/>
      <c r="J41" s="35"/>
      <c r="K41" s="36"/>
      <c r="L41" s="36"/>
      <c r="M41" s="36"/>
      <c r="N41" s="36"/>
      <c r="O41" s="36"/>
      <c r="P41" s="36"/>
      <c r="Q41" s="36"/>
      <c r="R41" s="36"/>
      <c r="S41" s="36"/>
      <c r="T41" s="36"/>
      <c r="U41" s="36"/>
      <c r="V41" s="36"/>
      <c r="W41" s="36"/>
      <c r="X41" s="36"/>
      <c r="Y41" s="36"/>
      <c r="Z41" s="36"/>
      <c r="AA41" s="36"/>
      <c r="AB41" s="36"/>
      <c r="AC41" s="36"/>
    </row>
    <row r="42" spans="1:29" ht="36" customHeight="1">
      <c r="A42" s="601">
        <v>37</v>
      </c>
      <c r="B42" s="601">
        <v>453</v>
      </c>
      <c r="C42" s="601" t="s">
        <v>4392</v>
      </c>
      <c r="D42" s="682">
        <v>43908</v>
      </c>
      <c r="E42" s="591" t="s">
        <v>4466</v>
      </c>
      <c r="F42" s="592" t="s">
        <v>3844</v>
      </c>
      <c r="G42" s="683" t="s">
        <v>4467</v>
      </c>
      <c r="H42" s="81"/>
      <c r="I42" s="81"/>
      <c r="J42" s="35"/>
      <c r="K42" s="36"/>
      <c r="L42" s="36"/>
      <c r="M42" s="36"/>
      <c r="N42" s="36"/>
      <c r="O42" s="36"/>
      <c r="P42" s="36"/>
      <c r="Q42" s="36"/>
      <c r="R42" s="36"/>
      <c r="S42" s="36"/>
      <c r="T42" s="36"/>
      <c r="U42" s="36"/>
      <c r="V42" s="36"/>
      <c r="W42" s="36"/>
      <c r="X42" s="36"/>
      <c r="Y42" s="36"/>
      <c r="Z42" s="36"/>
      <c r="AA42" s="36"/>
      <c r="AB42" s="36"/>
      <c r="AC42" s="36"/>
    </row>
    <row r="43" spans="1:29" ht="36" customHeight="1">
      <c r="A43" s="601">
        <v>38</v>
      </c>
      <c r="B43" s="601">
        <v>453</v>
      </c>
      <c r="C43" s="601" t="s">
        <v>4468</v>
      </c>
      <c r="D43" s="682">
        <v>43908</v>
      </c>
      <c r="E43" s="591" t="s">
        <v>4469</v>
      </c>
      <c r="F43" s="592" t="s">
        <v>41</v>
      </c>
      <c r="G43" s="683" t="s">
        <v>4470</v>
      </c>
      <c r="H43" s="81"/>
      <c r="I43" s="81"/>
      <c r="J43" s="35"/>
      <c r="K43" s="36"/>
      <c r="L43" s="36"/>
      <c r="M43" s="36"/>
      <c r="N43" s="36"/>
      <c r="O43" s="36"/>
      <c r="P43" s="36"/>
      <c r="Q43" s="36"/>
      <c r="R43" s="36"/>
      <c r="S43" s="36"/>
      <c r="T43" s="36"/>
      <c r="U43" s="36"/>
      <c r="V43" s="36"/>
      <c r="W43" s="36"/>
      <c r="X43" s="36"/>
      <c r="Y43" s="36"/>
      <c r="Z43" s="36"/>
      <c r="AA43" s="36"/>
      <c r="AB43" s="36"/>
      <c r="AC43" s="36"/>
    </row>
    <row r="44" spans="1:29" ht="36" customHeight="1">
      <c r="A44" s="601">
        <v>39</v>
      </c>
      <c r="B44" s="601">
        <v>464</v>
      </c>
      <c r="C44" s="601" t="s">
        <v>4471</v>
      </c>
      <c r="D44" s="682">
        <v>43908</v>
      </c>
      <c r="E44" s="591" t="s">
        <v>4472</v>
      </c>
      <c r="F44" s="592" t="s">
        <v>41</v>
      </c>
      <c r="G44" s="683" t="s">
        <v>4473</v>
      </c>
      <c r="H44" s="81"/>
      <c r="I44" s="81"/>
      <c r="J44" s="35"/>
      <c r="K44" s="36"/>
      <c r="L44" s="36"/>
      <c r="M44" s="36"/>
      <c r="N44" s="36"/>
      <c r="O44" s="36"/>
      <c r="P44" s="36"/>
      <c r="Q44" s="36"/>
      <c r="R44" s="36"/>
      <c r="S44" s="36"/>
      <c r="T44" s="36"/>
      <c r="U44" s="36"/>
      <c r="V44" s="36"/>
      <c r="W44" s="36"/>
      <c r="X44" s="36"/>
      <c r="Y44" s="36"/>
      <c r="Z44" s="36"/>
      <c r="AA44" s="36"/>
      <c r="AB44" s="36"/>
      <c r="AC44" s="36"/>
    </row>
    <row r="45" spans="1:29" ht="36" customHeight="1">
      <c r="A45" s="601">
        <v>40</v>
      </c>
      <c r="B45" s="601">
        <v>438</v>
      </c>
      <c r="C45" s="601" t="s">
        <v>4422</v>
      </c>
      <c r="D45" s="682">
        <v>43909</v>
      </c>
      <c r="E45" s="591" t="s">
        <v>4474</v>
      </c>
      <c r="F45" s="592" t="s">
        <v>3844</v>
      </c>
      <c r="G45" s="683" t="s">
        <v>4475</v>
      </c>
      <c r="H45" s="81"/>
      <c r="I45" s="81"/>
      <c r="J45" s="35"/>
      <c r="K45" s="36"/>
      <c r="L45" s="36"/>
      <c r="M45" s="36"/>
      <c r="N45" s="36"/>
      <c r="O45" s="36"/>
      <c r="P45" s="36"/>
      <c r="Q45" s="36"/>
      <c r="R45" s="36"/>
      <c r="S45" s="36"/>
      <c r="T45" s="36"/>
      <c r="U45" s="36"/>
      <c r="V45" s="36"/>
      <c r="W45" s="36"/>
      <c r="X45" s="36"/>
      <c r="Y45" s="36"/>
      <c r="Z45" s="36"/>
      <c r="AA45" s="36"/>
      <c r="AB45" s="36"/>
      <c r="AC45" s="36"/>
    </row>
    <row r="46" spans="1:29" ht="36" customHeight="1">
      <c r="A46" s="601">
        <v>41</v>
      </c>
      <c r="B46" s="601">
        <v>437</v>
      </c>
      <c r="C46" s="601" t="s">
        <v>4422</v>
      </c>
      <c r="D46" s="682">
        <v>43909</v>
      </c>
      <c r="E46" s="591" t="s">
        <v>4476</v>
      </c>
      <c r="F46" s="592" t="s">
        <v>3844</v>
      </c>
      <c r="G46" s="683" t="s">
        <v>4477</v>
      </c>
      <c r="H46" s="81"/>
      <c r="I46" s="81"/>
      <c r="J46" s="35"/>
      <c r="K46" s="36"/>
      <c r="L46" s="36"/>
      <c r="M46" s="36"/>
      <c r="N46" s="36"/>
      <c r="O46" s="36"/>
      <c r="P46" s="36"/>
      <c r="Q46" s="36"/>
      <c r="R46" s="36"/>
      <c r="S46" s="36"/>
      <c r="T46" s="36"/>
      <c r="U46" s="36"/>
      <c r="V46" s="36"/>
      <c r="W46" s="36"/>
      <c r="X46" s="36"/>
      <c r="Y46" s="36"/>
      <c r="Z46" s="36"/>
      <c r="AA46" s="36"/>
      <c r="AB46" s="36"/>
      <c r="AC46" s="36"/>
    </row>
    <row r="47" spans="1:29" ht="36" customHeight="1">
      <c r="A47" s="601">
        <v>42</v>
      </c>
      <c r="B47" s="601">
        <v>436</v>
      </c>
      <c r="C47" s="601" t="s">
        <v>4422</v>
      </c>
      <c r="D47" s="682">
        <v>43909</v>
      </c>
      <c r="E47" s="591" t="s">
        <v>4478</v>
      </c>
      <c r="F47" s="592" t="s">
        <v>3844</v>
      </c>
      <c r="G47" s="683" t="s">
        <v>4479</v>
      </c>
      <c r="H47" s="81"/>
      <c r="I47" s="81"/>
      <c r="J47" s="35"/>
      <c r="K47" s="36"/>
      <c r="L47" s="36"/>
      <c r="M47" s="36"/>
      <c r="N47" s="36"/>
      <c r="O47" s="36"/>
      <c r="P47" s="36"/>
      <c r="Q47" s="36"/>
      <c r="R47" s="36"/>
      <c r="S47" s="36"/>
      <c r="T47" s="36"/>
      <c r="U47" s="36"/>
      <c r="V47" s="36"/>
      <c r="W47" s="36"/>
      <c r="X47" s="36"/>
      <c r="Y47" s="36"/>
      <c r="Z47" s="36"/>
      <c r="AA47" s="36"/>
      <c r="AB47" s="36"/>
      <c r="AC47" s="36"/>
    </row>
    <row r="48" spans="1:29" ht="63" customHeight="1">
      <c r="A48" s="601">
        <v>43</v>
      </c>
      <c r="B48" s="601">
        <v>435</v>
      </c>
      <c r="C48" s="601" t="s">
        <v>4422</v>
      </c>
      <c r="D48" s="682">
        <v>43909</v>
      </c>
      <c r="E48" s="591" t="s">
        <v>4480</v>
      </c>
      <c r="F48" s="592" t="s">
        <v>2565</v>
      </c>
      <c r="G48" s="683" t="s">
        <v>4042</v>
      </c>
      <c r="H48" s="81"/>
      <c r="I48" s="81"/>
      <c r="J48" s="35"/>
      <c r="K48" s="36"/>
      <c r="L48" s="36"/>
      <c r="M48" s="36"/>
      <c r="N48" s="36"/>
      <c r="O48" s="36"/>
      <c r="P48" s="36"/>
      <c r="Q48" s="36"/>
      <c r="R48" s="36"/>
      <c r="S48" s="36"/>
      <c r="T48" s="36"/>
      <c r="U48" s="36"/>
      <c r="V48" s="36"/>
      <c r="W48" s="36"/>
      <c r="X48" s="36"/>
      <c r="Y48" s="36"/>
      <c r="Z48" s="36"/>
      <c r="AA48" s="36"/>
      <c r="AB48" s="36"/>
      <c r="AC48" s="36"/>
    </row>
    <row r="49" spans="1:29" ht="36" customHeight="1">
      <c r="A49" s="601">
        <v>44</v>
      </c>
      <c r="B49" s="601">
        <v>434</v>
      </c>
      <c r="C49" s="601" t="s">
        <v>4422</v>
      </c>
      <c r="D49" s="682">
        <v>43909</v>
      </c>
      <c r="E49" s="591" t="s">
        <v>4481</v>
      </c>
      <c r="F49" s="592" t="s">
        <v>3844</v>
      </c>
      <c r="G49" s="683" t="s">
        <v>4482</v>
      </c>
      <c r="H49" s="81"/>
      <c r="I49" s="81"/>
      <c r="J49" s="35"/>
      <c r="K49" s="36"/>
      <c r="L49" s="36"/>
      <c r="M49" s="36"/>
      <c r="N49" s="36"/>
      <c r="O49" s="36"/>
      <c r="P49" s="36"/>
      <c r="Q49" s="36"/>
      <c r="R49" s="36"/>
      <c r="S49" s="36"/>
      <c r="T49" s="36"/>
      <c r="U49" s="36"/>
      <c r="V49" s="36"/>
      <c r="W49" s="36"/>
      <c r="X49" s="36"/>
      <c r="Y49" s="36"/>
      <c r="Z49" s="36"/>
      <c r="AA49" s="36"/>
      <c r="AB49" s="36"/>
      <c r="AC49" s="36"/>
    </row>
    <row r="50" spans="1:29" ht="24" customHeight="1">
      <c r="A50" s="601">
        <v>45</v>
      </c>
      <c r="B50" s="601">
        <v>429</v>
      </c>
      <c r="C50" s="601" t="s">
        <v>4422</v>
      </c>
      <c r="D50" s="682">
        <v>43909</v>
      </c>
      <c r="E50" s="591" t="s">
        <v>4483</v>
      </c>
      <c r="F50" s="592" t="s">
        <v>3844</v>
      </c>
      <c r="G50" s="683" t="s">
        <v>4484</v>
      </c>
      <c r="H50" s="81"/>
      <c r="I50" s="81"/>
      <c r="J50" s="35"/>
      <c r="K50" s="36"/>
      <c r="L50" s="36"/>
      <c r="M50" s="36"/>
      <c r="N50" s="36"/>
      <c r="O50" s="36"/>
      <c r="P50" s="36"/>
      <c r="Q50" s="36"/>
      <c r="R50" s="36"/>
      <c r="S50" s="36"/>
      <c r="T50" s="36"/>
      <c r="U50" s="36"/>
      <c r="V50" s="36"/>
      <c r="W50" s="36"/>
      <c r="X50" s="36"/>
      <c r="Y50" s="36"/>
      <c r="Z50" s="36"/>
      <c r="AA50" s="36"/>
      <c r="AB50" s="36"/>
      <c r="AC50" s="36"/>
    </row>
    <row r="51" spans="1:29" ht="36" customHeight="1">
      <c r="A51" s="601">
        <v>46</v>
      </c>
      <c r="B51" s="601">
        <v>432</v>
      </c>
      <c r="C51" s="601" t="s">
        <v>4422</v>
      </c>
      <c r="D51" s="682">
        <v>43909</v>
      </c>
      <c r="E51" s="591" t="s">
        <v>4485</v>
      </c>
      <c r="F51" s="592" t="s">
        <v>3844</v>
      </c>
      <c r="G51" s="683" t="s">
        <v>4486</v>
      </c>
      <c r="H51" s="81"/>
      <c r="I51" s="81"/>
      <c r="J51" s="35"/>
      <c r="K51" s="36"/>
      <c r="L51" s="36"/>
      <c r="M51" s="36"/>
      <c r="N51" s="36"/>
      <c r="O51" s="36"/>
      <c r="P51" s="36"/>
      <c r="Q51" s="36"/>
      <c r="R51" s="36"/>
      <c r="S51" s="36"/>
      <c r="T51" s="36"/>
      <c r="U51" s="36"/>
      <c r="V51" s="36"/>
      <c r="W51" s="36"/>
      <c r="X51" s="36"/>
      <c r="Y51" s="36"/>
      <c r="Z51" s="36"/>
      <c r="AA51" s="36"/>
      <c r="AB51" s="36"/>
      <c r="AC51" s="36"/>
    </row>
    <row r="52" spans="1:29" ht="24" customHeight="1">
      <c r="A52" s="601">
        <v>47</v>
      </c>
      <c r="B52" s="601">
        <v>430</v>
      </c>
      <c r="C52" s="601" t="s">
        <v>4422</v>
      </c>
      <c r="D52" s="682">
        <v>43909</v>
      </c>
      <c r="E52" s="591" t="s">
        <v>4487</v>
      </c>
      <c r="F52" s="592" t="s">
        <v>3844</v>
      </c>
      <c r="G52" s="683" t="s">
        <v>4488</v>
      </c>
      <c r="H52" s="94"/>
      <c r="I52" s="81"/>
      <c r="J52" s="35"/>
      <c r="K52" s="36"/>
      <c r="L52" s="36"/>
      <c r="M52" s="36"/>
      <c r="N52" s="36"/>
      <c r="O52" s="36"/>
      <c r="P52" s="36"/>
      <c r="Q52" s="36"/>
      <c r="R52" s="36"/>
      <c r="S52" s="36"/>
      <c r="T52" s="36"/>
      <c r="U52" s="36"/>
      <c r="V52" s="36"/>
      <c r="W52" s="36"/>
      <c r="X52" s="36"/>
      <c r="Y52" s="36"/>
      <c r="Z52" s="36"/>
      <c r="AA52" s="36"/>
      <c r="AB52" s="36"/>
      <c r="AC52" s="36"/>
    </row>
    <row r="53" spans="1:29" ht="36" customHeight="1">
      <c r="A53" s="601">
        <v>48</v>
      </c>
      <c r="B53" s="601">
        <v>431</v>
      </c>
      <c r="C53" s="601" t="s">
        <v>4422</v>
      </c>
      <c r="D53" s="682">
        <v>43909</v>
      </c>
      <c r="E53" s="591" t="s">
        <v>4489</v>
      </c>
      <c r="F53" s="592" t="s">
        <v>3844</v>
      </c>
      <c r="G53" s="683" t="s">
        <v>4490</v>
      </c>
      <c r="H53" s="81"/>
      <c r="I53" s="81"/>
      <c r="J53" s="35"/>
      <c r="K53" s="36"/>
      <c r="L53" s="36"/>
      <c r="M53" s="36"/>
      <c r="N53" s="36"/>
      <c r="O53" s="36"/>
      <c r="P53" s="36"/>
      <c r="Q53" s="36"/>
      <c r="R53" s="36"/>
      <c r="S53" s="36"/>
      <c r="T53" s="36"/>
      <c r="U53" s="36"/>
      <c r="V53" s="36"/>
      <c r="W53" s="36"/>
      <c r="X53" s="36"/>
      <c r="Y53" s="36"/>
      <c r="Z53" s="36"/>
      <c r="AA53" s="36"/>
      <c r="AB53" s="36"/>
      <c r="AC53" s="36"/>
    </row>
    <row r="54" spans="1:29" ht="72" customHeight="1">
      <c r="A54" s="601">
        <v>49</v>
      </c>
      <c r="B54" s="601">
        <v>433</v>
      </c>
      <c r="C54" s="601" t="s">
        <v>4422</v>
      </c>
      <c r="D54" s="682">
        <v>43909</v>
      </c>
      <c r="E54" s="591" t="s">
        <v>4491</v>
      </c>
      <c r="F54" s="592" t="s">
        <v>3844</v>
      </c>
      <c r="G54" s="683" t="s">
        <v>4492</v>
      </c>
      <c r="H54" s="81"/>
      <c r="I54" s="81"/>
      <c r="J54" s="35"/>
      <c r="K54" s="36"/>
      <c r="L54" s="36"/>
      <c r="M54" s="36"/>
      <c r="N54" s="36"/>
      <c r="O54" s="36"/>
      <c r="P54" s="36"/>
      <c r="Q54" s="36"/>
      <c r="R54" s="36"/>
      <c r="S54" s="36"/>
      <c r="T54" s="36"/>
      <c r="U54" s="36"/>
      <c r="V54" s="36"/>
      <c r="W54" s="36"/>
      <c r="X54" s="36"/>
      <c r="Y54" s="36"/>
      <c r="Z54" s="36"/>
      <c r="AA54" s="36"/>
      <c r="AB54" s="36"/>
      <c r="AC54" s="36"/>
    </row>
    <row r="55" spans="1:29" ht="44.25" customHeight="1">
      <c r="A55" s="601">
        <v>50</v>
      </c>
      <c r="B55" s="601">
        <v>442</v>
      </c>
      <c r="C55" s="601" t="s">
        <v>4422</v>
      </c>
      <c r="D55" s="682">
        <v>43910</v>
      </c>
      <c r="E55" s="591" t="s">
        <v>4493</v>
      </c>
      <c r="F55" s="592" t="s">
        <v>3844</v>
      </c>
      <c r="G55" s="683" t="s">
        <v>4494</v>
      </c>
      <c r="H55" s="81"/>
      <c r="I55" s="81"/>
      <c r="J55" s="35"/>
      <c r="K55" s="36"/>
      <c r="L55" s="36"/>
      <c r="M55" s="36"/>
      <c r="N55" s="36"/>
      <c r="O55" s="36"/>
      <c r="P55" s="36"/>
      <c r="Q55" s="36"/>
      <c r="R55" s="36"/>
      <c r="S55" s="36"/>
      <c r="T55" s="36"/>
      <c r="U55" s="36"/>
      <c r="V55" s="36"/>
      <c r="W55" s="36"/>
      <c r="X55" s="36"/>
      <c r="Y55" s="36"/>
      <c r="Z55" s="36"/>
      <c r="AA55" s="36"/>
      <c r="AB55" s="36"/>
      <c r="AC55" s="36"/>
    </row>
    <row r="56" spans="1:29" ht="44.25" customHeight="1">
      <c r="A56" s="601">
        <v>51</v>
      </c>
      <c r="B56" s="601">
        <v>441</v>
      </c>
      <c r="C56" s="601" t="s">
        <v>4422</v>
      </c>
      <c r="D56" s="682">
        <v>43910</v>
      </c>
      <c r="E56" s="591" t="s">
        <v>4495</v>
      </c>
      <c r="F56" s="592" t="s">
        <v>3844</v>
      </c>
      <c r="G56" s="683" t="s">
        <v>4496</v>
      </c>
      <c r="H56" s="81"/>
      <c r="I56" s="81"/>
      <c r="J56" s="35"/>
      <c r="K56" s="36"/>
      <c r="L56" s="36"/>
      <c r="M56" s="36"/>
      <c r="N56" s="36"/>
      <c r="O56" s="36"/>
      <c r="P56" s="36"/>
      <c r="Q56" s="36"/>
      <c r="R56" s="36"/>
      <c r="S56" s="36"/>
      <c r="T56" s="36"/>
      <c r="U56" s="36"/>
      <c r="V56" s="36"/>
      <c r="W56" s="36"/>
      <c r="X56" s="36"/>
      <c r="Y56" s="36"/>
      <c r="Z56" s="36"/>
      <c r="AA56" s="36"/>
      <c r="AB56" s="36"/>
      <c r="AC56" s="36"/>
    </row>
    <row r="57" spans="1:29" ht="60" customHeight="1">
      <c r="A57" s="601">
        <v>52</v>
      </c>
      <c r="B57" s="601">
        <v>440</v>
      </c>
      <c r="C57" s="601" t="s">
        <v>4422</v>
      </c>
      <c r="D57" s="682">
        <v>43910</v>
      </c>
      <c r="E57" s="591" t="s">
        <v>4497</v>
      </c>
      <c r="F57" s="592" t="s">
        <v>2565</v>
      </c>
      <c r="G57" s="683" t="s">
        <v>4050</v>
      </c>
      <c r="H57" s="81"/>
      <c r="I57" s="81"/>
      <c r="J57" s="35"/>
      <c r="K57" s="36"/>
      <c r="L57" s="36"/>
      <c r="M57" s="36"/>
      <c r="N57" s="36"/>
      <c r="O57" s="36"/>
      <c r="P57" s="36"/>
      <c r="Q57" s="36"/>
      <c r="R57" s="36"/>
      <c r="S57" s="36"/>
      <c r="T57" s="36"/>
      <c r="U57" s="36"/>
      <c r="V57" s="36"/>
      <c r="W57" s="36"/>
      <c r="X57" s="36"/>
      <c r="Y57" s="36"/>
      <c r="Z57" s="36"/>
      <c r="AA57" s="36"/>
      <c r="AB57" s="36"/>
      <c r="AC57" s="36"/>
    </row>
    <row r="58" spans="1:29" ht="48" customHeight="1">
      <c r="A58" s="601">
        <v>53</v>
      </c>
      <c r="B58" s="601">
        <v>439</v>
      </c>
      <c r="C58" s="601" t="s">
        <v>4422</v>
      </c>
      <c r="D58" s="682">
        <v>43910</v>
      </c>
      <c r="E58" s="591" t="s">
        <v>4498</v>
      </c>
      <c r="F58" s="592" t="s">
        <v>3844</v>
      </c>
      <c r="G58" s="683" t="s">
        <v>4499</v>
      </c>
      <c r="H58" s="81"/>
      <c r="I58" s="81"/>
      <c r="J58" s="35"/>
      <c r="K58" s="36"/>
      <c r="L58" s="36"/>
      <c r="M58" s="36"/>
      <c r="N58" s="36"/>
      <c r="O58" s="36"/>
      <c r="P58" s="36"/>
      <c r="Q58" s="36"/>
      <c r="R58" s="36"/>
      <c r="S58" s="36"/>
      <c r="T58" s="36"/>
      <c r="U58" s="36"/>
      <c r="V58" s="36"/>
      <c r="W58" s="36"/>
      <c r="X58" s="36"/>
      <c r="Y58" s="36"/>
      <c r="Z58" s="36"/>
      <c r="AA58" s="36"/>
      <c r="AB58" s="36"/>
      <c r="AC58" s="36"/>
    </row>
    <row r="59" spans="1:29" ht="48" customHeight="1">
      <c r="A59" s="601">
        <v>54</v>
      </c>
      <c r="B59" s="601">
        <v>444</v>
      </c>
      <c r="C59" s="601" t="s">
        <v>4422</v>
      </c>
      <c r="D59" s="682">
        <v>43911</v>
      </c>
      <c r="E59" s="591" t="s">
        <v>4500</v>
      </c>
      <c r="F59" s="592" t="s">
        <v>3844</v>
      </c>
      <c r="G59" s="683" t="s">
        <v>4501</v>
      </c>
      <c r="H59" s="81"/>
      <c r="I59" s="81"/>
      <c r="J59" s="35"/>
      <c r="K59" s="36"/>
      <c r="L59" s="36"/>
      <c r="M59" s="36"/>
      <c r="N59" s="36"/>
      <c r="O59" s="36"/>
      <c r="P59" s="36"/>
      <c r="Q59" s="36"/>
      <c r="R59" s="36"/>
      <c r="S59" s="36"/>
      <c r="T59" s="36"/>
      <c r="U59" s="36"/>
      <c r="V59" s="36"/>
      <c r="W59" s="36"/>
      <c r="X59" s="36"/>
      <c r="Y59" s="36"/>
      <c r="Z59" s="36"/>
      <c r="AA59" s="36"/>
      <c r="AB59" s="36"/>
      <c r="AC59" s="36"/>
    </row>
    <row r="60" spans="1:29" ht="60" customHeight="1">
      <c r="A60" s="601">
        <v>55</v>
      </c>
      <c r="B60" s="686">
        <v>455</v>
      </c>
      <c r="C60" s="601" t="s">
        <v>4422</v>
      </c>
      <c r="D60" s="682">
        <v>43911</v>
      </c>
      <c r="E60" s="591" t="s">
        <v>4502</v>
      </c>
      <c r="F60" s="592" t="s">
        <v>3844</v>
      </c>
      <c r="G60" s="683" t="s">
        <v>4503</v>
      </c>
      <c r="H60" s="81"/>
      <c r="I60" s="81"/>
      <c r="J60" s="35"/>
      <c r="K60" s="36"/>
      <c r="L60" s="36"/>
      <c r="M60" s="36"/>
      <c r="N60" s="36"/>
      <c r="O60" s="36"/>
      <c r="P60" s="36"/>
      <c r="Q60" s="36"/>
      <c r="R60" s="36"/>
      <c r="S60" s="36"/>
      <c r="T60" s="36"/>
      <c r="U60" s="36"/>
      <c r="V60" s="36"/>
      <c r="W60" s="36"/>
      <c r="X60" s="36"/>
      <c r="Y60" s="36"/>
      <c r="Z60" s="36"/>
      <c r="AA60" s="36"/>
      <c r="AB60" s="36"/>
      <c r="AC60" s="36"/>
    </row>
    <row r="61" spans="1:29" ht="24" customHeight="1">
      <c r="A61" s="601">
        <v>56</v>
      </c>
      <c r="B61" s="601">
        <v>454</v>
      </c>
      <c r="C61" s="601" t="s">
        <v>4422</v>
      </c>
      <c r="D61" s="682">
        <v>43911</v>
      </c>
      <c r="E61" s="591" t="s">
        <v>4504</v>
      </c>
      <c r="F61" s="592" t="s">
        <v>3844</v>
      </c>
      <c r="G61" s="683" t="s">
        <v>4505</v>
      </c>
      <c r="H61" s="81"/>
      <c r="I61" s="81"/>
      <c r="J61" s="35"/>
      <c r="K61" s="36"/>
      <c r="L61" s="36"/>
      <c r="M61" s="36"/>
      <c r="N61" s="36"/>
      <c r="O61" s="36"/>
      <c r="P61" s="36"/>
      <c r="Q61" s="36"/>
      <c r="R61" s="36"/>
      <c r="S61" s="36"/>
      <c r="T61" s="36"/>
      <c r="U61" s="36"/>
      <c r="V61" s="36"/>
      <c r="W61" s="36"/>
      <c r="X61" s="36"/>
      <c r="Y61" s="36"/>
      <c r="Z61" s="36"/>
      <c r="AA61" s="36"/>
      <c r="AB61" s="36"/>
      <c r="AC61" s="36"/>
    </row>
    <row r="62" spans="1:29" ht="24" customHeight="1">
      <c r="A62" s="601">
        <v>57</v>
      </c>
      <c r="B62" s="601">
        <v>453</v>
      </c>
      <c r="C62" s="601" t="s">
        <v>4422</v>
      </c>
      <c r="D62" s="682">
        <v>43911</v>
      </c>
      <c r="E62" s="591" t="s">
        <v>4506</v>
      </c>
      <c r="F62" s="592" t="s">
        <v>3844</v>
      </c>
      <c r="G62" s="683" t="s">
        <v>4507</v>
      </c>
      <c r="H62" s="81"/>
      <c r="I62" s="81"/>
      <c r="J62" s="35"/>
      <c r="K62" s="36"/>
      <c r="L62" s="36"/>
      <c r="M62" s="36"/>
      <c r="N62" s="36"/>
      <c r="O62" s="36"/>
      <c r="P62" s="36"/>
      <c r="Q62" s="36"/>
      <c r="R62" s="36"/>
      <c r="S62" s="36"/>
      <c r="T62" s="36"/>
      <c r="U62" s="36"/>
      <c r="V62" s="36"/>
      <c r="W62" s="36"/>
      <c r="X62" s="36"/>
      <c r="Y62" s="36"/>
      <c r="Z62" s="36"/>
      <c r="AA62" s="36"/>
      <c r="AB62" s="36"/>
      <c r="AC62" s="36"/>
    </row>
    <row r="63" spans="1:29" ht="24" customHeight="1">
      <c r="A63" s="601">
        <v>58</v>
      </c>
      <c r="B63" s="601">
        <v>452</v>
      </c>
      <c r="C63" s="601" t="s">
        <v>4422</v>
      </c>
      <c r="D63" s="682">
        <v>43911</v>
      </c>
      <c r="E63" s="591" t="s">
        <v>4508</v>
      </c>
      <c r="F63" s="592" t="s">
        <v>3844</v>
      </c>
      <c r="G63" s="683" t="s">
        <v>4509</v>
      </c>
      <c r="H63" s="81"/>
      <c r="I63" s="81"/>
      <c r="J63" s="35"/>
      <c r="K63" s="36"/>
      <c r="L63" s="36"/>
      <c r="M63" s="36"/>
      <c r="N63" s="36"/>
      <c r="O63" s="36"/>
      <c r="P63" s="36"/>
      <c r="Q63" s="36"/>
      <c r="R63" s="36"/>
      <c r="S63" s="36"/>
      <c r="T63" s="36"/>
      <c r="U63" s="36"/>
      <c r="V63" s="36"/>
      <c r="W63" s="36"/>
      <c r="X63" s="36"/>
      <c r="Y63" s="36"/>
      <c r="Z63" s="36"/>
      <c r="AA63" s="36"/>
      <c r="AB63" s="36"/>
      <c r="AC63" s="36"/>
    </row>
    <row r="64" spans="1:29" ht="24" customHeight="1">
      <c r="A64" s="601">
        <v>59</v>
      </c>
      <c r="B64" s="601">
        <v>451</v>
      </c>
      <c r="C64" s="601" t="s">
        <v>4422</v>
      </c>
      <c r="D64" s="682">
        <v>43911</v>
      </c>
      <c r="E64" s="591" t="s">
        <v>4510</v>
      </c>
      <c r="F64" s="592" t="s">
        <v>3844</v>
      </c>
      <c r="G64" s="683" t="s">
        <v>4511</v>
      </c>
      <c r="H64" s="81"/>
      <c r="I64" s="81"/>
      <c r="J64" s="35"/>
      <c r="K64" s="36"/>
      <c r="L64" s="36"/>
      <c r="M64" s="36"/>
      <c r="N64" s="36"/>
      <c r="O64" s="36"/>
      <c r="P64" s="36"/>
      <c r="Q64" s="36"/>
      <c r="R64" s="36"/>
      <c r="S64" s="36"/>
      <c r="T64" s="36"/>
      <c r="U64" s="36"/>
      <c r="V64" s="36"/>
      <c r="W64" s="36"/>
      <c r="X64" s="36"/>
      <c r="Y64" s="36"/>
      <c r="Z64" s="36"/>
      <c r="AA64" s="36"/>
      <c r="AB64" s="36"/>
      <c r="AC64" s="36"/>
    </row>
    <row r="65" spans="1:29" ht="24" customHeight="1">
      <c r="A65" s="601">
        <v>60</v>
      </c>
      <c r="B65" s="601">
        <v>450</v>
      </c>
      <c r="C65" s="601" t="s">
        <v>4422</v>
      </c>
      <c r="D65" s="682">
        <v>43911</v>
      </c>
      <c r="E65" s="591" t="s">
        <v>4464</v>
      </c>
      <c r="F65" s="592" t="s">
        <v>3844</v>
      </c>
      <c r="G65" s="683" t="s">
        <v>4512</v>
      </c>
      <c r="H65" s="81"/>
      <c r="I65" s="81"/>
      <c r="J65" s="35"/>
      <c r="K65" s="36"/>
      <c r="L65" s="36"/>
      <c r="M65" s="36"/>
      <c r="N65" s="36"/>
      <c r="O65" s="36"/>
      <c r="P65" s="36"/>
      <c r="Q65" s="36"/>
      <c r="R65" s="36"/>
      <c r="S65" s="36"/>
      <c r="T65" s="36"/>
      <c r="U65" s="36"/>
      <c r="V65" s="36"/>
      <c r="W65" s="36"/>
      <c r="X65" s="36"/>
      <c r="Y65" s="36"/>
      <c r="Z65" s="36"/>
      <c r="AA65" s="36"/>
      <c r="AB65" s="36"/>
      <c r="AC65" s="36"/>
    </row>
    <row r="66" spans="1:29" ht="24" customHeight="1">
      <c r="A66" s="601">
        <v>61</v>
      </c>
      <c r="B66" s="601">
        <v>458</v>
      </c>
      <c r="C66" s="601" t="s">
        <v>4422</v>
      </c>
      <c r="D66" s="682">
        <v>43912</v>
      </c>
      <c r="E66" s="591" t="s">
        <v>4513</v>
      </c>
      <c r="F66" s="592" t="s">
        <v>3844</v>
      </c>
      <c r="G66" s="683" t="s">
        <v>4514</v>
      </c>
      <c r="H66" s="81"/>
      <c r="I66" s="81"/>
      <c r="J66" s="35"/>
      <c r="K66" s="36"/>
      <c r="L66" s="36"/>
      <c r="M66" s="36"/>
      <c r="N66" s="36"/>
      <c r="O66" s="36"/>
      <c r="P66" s="36"/>
      <c r="Q66" s="36"/>
      <c r="R66" s="36"/>
      <c r="S66" s="36"/>
      <c r="T66" s="36"/>
      <c r="U66" s="36"/>
      <c r="V66" s="36"/>
      <c r="W66" s="36"/>
      <c r="X66" s="36"/>
      <c r="Y66" s="36"/>
      <c r="Z66" s="36"/>
      <c r="AA66" s="36"/>
      <c r="AB66" s="36"/>
      <c r="AC66" s="36"/>
    </row>
    <row r="67" spans="1:29" ht="24" customHeight="1">
      <c r="A67" s="601">
        <v>62</v>
      </c>
      <c r="B67" s="601">
        <v>457</v>
      </c>
      <c r="C67" s="601" t="s">
        <v>4422</v>
      </c>
      <c r="D67" s="682">
        <v>43912</v>
      </c>
      <c r="E67" s="591" t="s">
        <v>4052</v>
      </c>
      <c r="F67" s="592" t="s">
        <v>4053</v>
      </c>
      <c r="G67" s="683" t="s">
        <v>4054</v>
      </c>
      <c r="H67" s="81"/>
      <c r="I67" s="81"/>
      <c r="J67" s="35"/>
      <c r="K67" s="36"/>
      <c r="L67" s="36"/>
      <c r="M67" s="36"/>
      <c r="N67" s="36"/>
      <c r="O67" s="36"/>
      <c r="P67" s="36"/>
      <c r="Q67" s="36"/>
      <c r="R67" s="36"/>
      <c r="S67" s="36"/>
      <c r="T67" s="36"/>
      <c r="U67" s="36"/>
      <c r="V67" s="36"/>
      <c r="W67" s="36"/>
      <c r="X67" s="36"/>
      <c r="Y67" s="36"/>
      <c r="Z67" s="36"/>
      <c r="AA67" s="36"/>
      <c r="AB67" s="36"/>
      <c r="AC67" s="36"/>
    </row>
    <row r="68" spans="1:29" ht="36" customHeight="1">
      <c r="A68" s="601">
        <v>63</v>
      </c>
      <c r="B68" s="601">
        <v>461</v>
      </c>
      <c r="C68" s="601" t="s">
        <v>4422</v>
      </c>
      <c r="D68" s="682">
        <v>43912</v>
      </c>
      <c r="E68" s="591" t="s">
        <v>4515</v>
      </c>
      <c r="F68" s="592" t="s">
        <v>3844</v>
      </c>
      <c r="G68" s="683" t="s">
        <v>4516</v>
      </c>
      <c r="H68" s="81"/>
      <c r="I68" s="81"/>
      <c r="J68" s="35"/>
      <c r="K68" s="36"/>
      <c r="L68" s="36"/>
      <c r="M68" s="36"/>
      <c r="N68" s="36"/>
      <c r="O68" s="36"/>
      <c r="P68" s="36"/>
      <c r="Q68" s="36"/>
      <c r="R68" s="36"/>
      <c r="S68" s="36"/>
      <c r="T68" s="36"/>
      <c r="U68" s="36"/>
      <c r="V68" s="36"/>
      <c r="W68" s="36"/>
      <c r="X68" s="36"/>
      <c r="Y68" s="36"/>
      <c r="Z68" s="36"/>
      <c r="AA68" s="36"/>
      <c r="AB68" s="36"/>
      <c r="AC68" s="36"/>
    </row>
    <row r="69" spans="1:29" ht="48" customHeight="1">
      <c r="A69" s="601">
        <v>64</v>
      </c>
      <c r="B69" s="601">
        <v>460</v>
      </c>
      <c r="C69" s="601" t="s">
        <v>4422</v>
      </c>
      <c r="D69" s="682">
        <v>43912</v>
      </c>
      <c r="E69" s="591" t="s">
        <v>4517</v>
      </c>
      <c r="F69" s="592" t="s">
        <v>3844</v>
      </c>
      <c r="G69" s="683" t="s">
        <v>4518</v>
      </c>
      <c r="H69" s="81"/>
      <c r="I69" s="81"/>
      <c r="J69" s="35"/>
      <c r="K69" s="36"/>
      <c r="L69" s="36"/>
      <c r="M69" s="36"/>
      <c r="N69" s="36"/>
      <c r="O69" s="36"/>
      <c r="P69" s="36"/>
      <c r="Q69" s="36"/>
      <c r="R69" s="36"/>
      <c r="S69" s="36"/>
      <c r="T69" s="36"/>
      <c r="U69" s="36"/>
      <c r="V69" s="36"/>
      <c r="W69" s="36"/>
      <c r="X69" s="36"/>
      <c r="Y69" s="36"/>
      <c r="Z69" s="36"/>
      <c r="AA69" s="36"/>
      <c r="AB69" s="36"/>
      <c r="AC69" s="36"/>
    </row>
    <row r="70" spans="1:29" ht="24" customHeight="1">
      <c r="A70" s="601">
        <v>65</v>
      </c>
      <c r="B70" s="601">
        <v>459</v>
      </c>
      <c r="C70" s="601" t="s">
        <v>4422</v>
      </c>
      <c r="D70" s="682">
        <v>43912</v>
      </c>
      <c r="E70" s="591" t="s">
        <v>4519</v>
      </c>
      <c r="F70" s="592" t="s">
        <v>3844</v>
      </c>
      <c r="G70" s="683" t="s">
        <v>4520</v>
      </c>
      <c r="H70" s="81"/>
      <c r="I70" s="81"/>
      <c r="J70" s="35"/>
      <c r="K70" s="36"/>
      <c r="L70" s="36"/>
      <c r="M70" s="36"/>
      <c r="N70" s="36"/>
      <c r="O70" s="36"/>
      <c r="P70" s="36"/>
      <c r="Q70" s="36"/>
      <c r="R70" s="36"/>
      <c r="S70" s="36"/>
      <c r="T70" s="36"/>
      <c r="U70" s="36"/>
      <c r="V70" s="36"/>
      <c r="W70" s="36"/>
      <c r="X70" s="36"/>
      <c r="Y70" s="36"/>
      <c r="Z70" s="36"/>
      <c r="AA70" s="36"/>
      <c r="AB70" s="36"/>
      <c r="AC70" s="36"/>
    </row>
    <row r="71" spans="1:29" ht="24" customHeight="1">
      <c r="A71" s="601">
        <v>66</v>
      </c>
      <c r="B71" s="601">
        <v>461</v>
      </c>
      <c r="C71" s="601" t="s">
        <v>4422</v>
      </c>
      <c r="D71" s="682">
        <v>43912</v>
      </c>
      <c r="E71" s="591" t="s">
        <v>4521</v>
      </c>
      <c r="F71" s="592" t="s">
        <v>4522</v>
      </c>
      <c r="G71" s="683" t="s">
        <v>4516</v>
      </c>
      <c r="H71" s="81"/>
      <c r="I71" s="81"/>
      <c r="J71" s="35"/>
      <c r="K71" s="36"/>
      <c r="L71" s="36"/>
      <c r="M71" s="36"/>
      <c r="N71" s="36"/>
      <c r="O71" s="36"/>
      <c r="P71" s="36"/>
      <c r="Q71" s="36"/>
      <c r="R71" s="36"/>
      <c r="S71" s="36"/>
      <c r="T71" s="36"/>
      <c r="U71" s="36"/>
      <c r="V71" s="36"/>
      <c r="W71" s="36"/>
      <c r="X71" s="36"/>
      <c r="Y71" s="36"/>
      <c r="Z71" s="36"/>
      <c r="AA71" s="36"/>
      <c r="AB71" s="36"/>
      <c r="AC71" s="36"/>
    </row>
    <row r="72" spans="1:29" ht="40.5" customHeight="1">
      <c r="A72" s="601">
        <v>67</v>
      </c>
      <c r="B72" s="601">
        <v>469</v>
      </c>
      <c r="C72" s="601" t="s">
        <v>4422</v>
      </c>
      <c r="D72" s="682">
        <v>43913</v>
      </c>
      <c r="E72" s="591" t="s">
        <v>4523</v>
      </c>
      <c r="F72" s="592" t="s">
        <v>3844</v>
      </c>
      <c r="G72" s="683" t="s">
        <v>4524</v>
      </c>
      <c r="H72" s="81"/>
      <c r="I72" s="81"/>
      <c r="J72" s="35"/>
      <c r="K72" s="36"/>
      <c r="L72" s="36"/>
      <c r="M72" s="36"/>
      <c r="N72" s="36"/>
      <c r="O72" s="36"/>
      <c r="P72" s="36"/>
      <c r="Q72" s="36"/>
      <c r="R72" s="36"/>
      <c r="S72" s="36"/>
      <c r="T72" s="36"/>
      <c r="U72" s="36"/>
      <c r="V72" s="36"/>
      <c r="W72" s="36"/>
      <c r="X72" s="36"/>
      <c r="Y72" s="36"/>
      <c r="Z72" s="36"/>
      <c r="AA72" s="36"/>
      <c r="AB72" s="36"/>
      <c r="AC72" s="36"/>
    </row>
    <row r="73" spans="1:29" ht="36" customHeight="1">
      <c r="A73" s="601">
        <v>68</v>
      </c>
      <c r="B73" s="601">
        <v>446</v>
      </c>
      <c r="C73" s="601" t="s">
        <v>4422</v>
      </c>
      <c r="D73" s="682">
        <v>43913</v>
      </c>
      <c r="E73" s="591" t="s">
        <v>4525</v>
      </c>
      <c r="F73" s="592" t="s">
        <v>3844</v>
      </c>
      <c r="G73" s="683" t="s">
        <v>4526</v>
      </c>
      <c r="H73" s="81"/>
      <c r="I73" s="81"/>
      <c r="J73" s="35"/>
      <c r="K73" s="36"/>
      <c r="L73" s="36"/>
      <c r="M73" s="36"/>
      <c r="N73" s="36"/>
      <c r="O73" s="36"/>
      <c r="P73" s="36"/>
      <c r="Q73" s="36"/>
      <c r="R73" s="36"/>
      <c r="S73" s="36"/>
      <c r="T73" s="36"/>
      <c r="U73" s="36"/>
      <c r="V73" s="36"/>
      <c r="W73" s="36"/>
      <c r="X73" s="36"/>
      <c r="Y73" s="36"/>
      <c r="Z73" s="36"/>
      <c r="AA73" s="36"/>
      <c r="AB73" s="36"/>
      <c r="AC73" s="36"/>
    </row>
    <row r="74" spans="1:29" ht="36" customHeight="1">
      <c r="A74" s="601">
        <v>69</v>
      </c>
      <c r="B74" s="601">
        <v>468</v>
      </c>
      <c r="C74" s="601" t="s">
        <v>4422</v>
      </c>
      <c r="D74" s="682">
        <v>43913</v>
      </c>
      <c r="E74" s="591" t="s">
        <v>4527</v>
      </c>
      <c r="F74" s="592" t="s">
        <v>3844</v>
      </c>
      <c r="G74" s="683" t="s">
        <v>4528</v>
      </c>
      <c r="H74" s="81"/>
      <c r="I74" s="81"/>
      <c r="J74" s="35"/>
      <c r="K74" s="36"/>
      <c r="L74" s="36"/>
      <c r="M74" s="36"/>
      <c r="N74" s="36"/>
      <c r="O74" s="36"/>
      <c r="P74" s="36"/>
      <c r="Q74" s="36"/>
      <c r="R74" s="36"/>
      <c r="S74" s="36"/>
      <c r="T74" s="36"/>
      <c r="U74" s="36"/>
      <c r="V74" s="36"/>
      <c r="W74" s="36"/>
      <c r="X74" s="36"/>
      <c r="Y74" s="36"/>
      <c r="Z74" s="36"/>
      <c r="AA74" s="36"/>
      <c r="AB74" s="36"/>
      <c r="AC74" s="36"/>
    </row>
    <row r="75" spans="1:29" ht="48" customHeight="1">
      <c r="A75" s="601">
        <v>70</v>
      </c>
      <c r="B75" s="601">
        <v>467</v>
      </c>
      <c r="C75" s="601" t="s">
        <v>4422</v>
      </c>
      <c r="D75" s="682">
        <v>43913</v>
      </c>
      <c r="E75" s="591" t="s">
        <v>4529</v>
      </c>
      <c r="F75" s="592" t="s">
        <v>3844</v>
      </c>
      <c r="G75" s="683" t="s">
        <v>4530</v>
      </c>
      <c r="H75" s="81"/>
      <c r="I75" s="81"/>
      <c r="J75" s="35"/>
      <c r="K75" s="36"/>
      <c r="L75" s="36"/>
      <c r="M75" s="36"/>
      <c r="N75" s="36"/>
      <c r="O75" s="36"/>
      <c r="P75" s="36"/>
      <c r="Q75" s="36"/>
      <c r="R75" s="36"/>
      <c r="S75" s="36"/>
      <c r="T75" s="36"/>
      <c r="U75" s="36"/>
      <c r="V75" s="36"/>
      <c r="W75" s="36"/>
      <c r="X75" s="36"/>
      <c r="Y75" s="36"/>
      <c r="Z75" s="36"/>
      <c r="AA75" s="36"/>
      <c r="AB75" s="36"/>
      <c r="AC75" s="36"/>
    </row>
    <row r="76" spans="1:29" ht="36" customHeight="1">
      <c r="A76" s="601">
        <v>71</v>
      </c>
      <c r="B76" s="601">
        <v>465</v>
      </c>
      <c r="C76" s="601" t="s">
        <v>4422</v>
      </c>
      <c r="D76" s="682">
        <v>43913</v>
      </c>
      <c r="E76" s="591" t="s">
        <v>4531</v>
      </c>
      <c r="F76" s="592" t="s">
        <v>3844</v>
      </c>
      <c r="G76" s="683" t="s">
        <v>4532</v>
      </c>
      <c r="H76" s="81"/>
      <c r="I76" s="81"/>
      <c r="J76" s="35"/>
      <c r="K76" s="36"/>
      <c r="L76" s="36"/>
      <c r="M76" s="36"/>
      <c r="N76" s="36"/>
      <c r="O76" s="36"/>
      <c r="P76" s="36"/>
      <c r="Q76" s="36"/>
      <c r="R76" s="36"/>
      <c r="S76" s="36"/>
      <c r="T76" s="36"/>
      <c r="U76" s="36"/>
      <c r="V76" s="36"/>
      <c r="W76" s="36"/>
      <c r="X76" s="36"/>
      <c r="Y76" s="36"/>
      <c r="Z76" s="36"/>
      <c r="AA76" s="36"/>
      <c r="AB76" s="36"/>
      <c r="AC76" s="36"/>
    </row>
    <row r="77" spans="1:29" ht="36" customHeight="1">
      <c r="A77" s="601">
        <v>72</v>
      </c>
      <c r="B77" s="601">
        <v>464</v>
      </c>
      <c r="C77" s="601" t="s">
        <v>4422</v>
      </c>
      <c r="D77" s="682">
        <v>43913</v>
      </c>
      <c r="E77" s="591" t="s">
        <v>4533</v>
      </c>
      <c r="F77" s="592" t="s">
        <v>3844</v>
      </c>
      <c r="G77" s="683" t="s">
        <v>4534</v>
      </c>
      <c r="H77" s="81"/>
      <c r="I77" s="81"/>
      <c r="J77" s="35"/>
      <c r="K77" s="36"/>
      <c r="L77" s="36"/>
      <c r="M77" s="36"/>
      <c r="N77" s="36"/>
      <c r="O77" s="36"/>
      <c r="P77" s="36"/>
      <c r="Q77" s="36"/>
      <c r="R77" s="36"/>
      <c r="S77" s="36"/>
      <c r="T77" s="36"/>
      <c r="U77" s="36"/>
      <c r="V77" s="36"/>
      <c r="W77" s="36"/>
      <c r="X77" s="36"/>
      <c r="Y77" s="36"/>
      <c r="Z77" s="36"/>
      <c r="AA77" s="36"/>
      <c r="AB77" s="36"/>
      <c r="AC77" s="36"/>
    </row>
    <row r="78" spans="1:29" ht="24" customHeight="1">
      <c r="A78" s="601">
        <v>73</v>
      </c>
      <c r="B78" s="601">
        <v>463</v>
      </c>
      <c r="C78" s="601" t="s">
        <v>4422</v>
      </c>
      <c r="D78" s="682">
        <v>43913</v>
      </c>
      <c r="E78" s="591" t="s">
        <v>4535</v>
      </c>
      <c r="F78" s="592" t="s">
        <v>3844</v>
      </c>
      <c r="G78" s="683" t="s">
        <v>4536</v>
      </c>
      <c r="H78" s="81"/>
      <c r="I78" s="81"/>
      <c r="J78" s="35"/>
      <c r="K78" s="36"/>
      <c r="L78" s="36"/>
      <c r="M78" s="36"/>
      <c r="N78" s="36"/>
      <c r="O78" s="36"/>
      <c r="P78" s="36"/>
      <c r="Q78" s="36"/>
      <c r="R78" s="36"/>
      <c r="S78" s="36"/>
      <c r="T78" s="36"/>
      <c r="U78" s="36"/>
      <c r="V78" s="36"/>
      <c r="W78" s="36"/>
      <c r="X78" s="36"/>
      <c r="Y78" s="36"/>
      <c r="Z78" s="36"/>
      <c r="AA78" s="36"/>
      <c r="AB78" s="36"/>
      <c r="AC78" s="36"/>
    </row>
    <row r="79" spans="1:29" ht="36" customHeight="1">
      <c r="A79" s="601">
        <v>74</v>
      </c>
      <c r="B79" s="601">
        <v>462</v>
      </c>
      <c r="C79" s="601" t="s">
        <v>4422</v>
      </c>
      <c r="D79" s="682">
        <v>43913</v>
      </c>
      <c r="E79" s="591" t="s">
        <v>4537</v>
      </c>
      <c r="F79" s="592" t="s">
        <v>3844</v>
      </c>
      <c r="G79" s="683" t="s">
        <v>4538</v>
      </c>
      <c r="H79" s="81"/>
      <c r="I79" s="81"/>
      <c r="J79" s="35"/>
      <c r="K79" s="36"/>
      <c r="L79" s="36"/>
      <c r="M79" s="36"/>
      <c r="N79" s="36"/>
      <c r="O79" s="36"/>
      <c r="P79" s="36"/>
      <c r="Q79" s="36"/>
      <c r="R79" s="36"/>
      <c r="S79" s="36"/>
      <c r="T79" s="36"/>
      <c r="U79" s="36"/>
      <c r="V79" s="36"/>
      <c r="W79" s="36"/>
      <c r="X79" s="36"/>
      <c r="Y79" s="36"/>
      <c r="Z79" s="36"/>
      <c r="AA79" s="36"/>
      <c r="AB79" s="36"/>
      <c r="AC79" s="36"/>
    </row>
    <row r="80" spans="1:29" ht="48" customHeight="1">
      <c r="A80" s="601">
        <v>75</v>
      </c>
      <c r="B80" s="601">
        <v>470</v>
      </c>
      <c r="C80" s="601" t="s">
        <v>4422</v>
      </c>
      <c r="D80" s="682">
        <v>43914</v>
      </c>
      <c r="E80" s="591" t="s">
        <v>4539</v>
      </c>
      <c r="F80" s="592" t="s">
        <v>3844</v>
      </c>
      <c r="G80" s="683" t="s">
        <v>4540</v>
      </c>
      <c r="H80" s="81"/>
      <c r="I80" s="81"/>
      <c r="J80" s="35"/>
      <c r="K80" s="36"/>
      <c r="L80" s="36"/>
      <c r="M80" s="36"/>
      <c r="N80" s="36"/>
      <c r="O80" s="36"/>
      <c r="P80" s="36"/>
      <c r="Q80" s="36"/>
      <c r="R80" s="36"/>
      <c r="S80" s="36"/>
      <c r="T80" s="36"/>
      <c r="U80" s="36"/>
      <c r="V80" s="36"/>
      <c r="W80" s="36"/>
      <c r="X80" s="36"/>
      <c r="Y80" s="36"/>
      <c r="Z80" s="36"/>
      <c r="AA80" s="36"/>
      <c r="AB80" s="36"/>
      <c r="AC80" s="36"/>
    </row>
    <row r="81" spans="1:29" ht="24" customHeight="1">
      <c r="A81" s="601">
        <v>76</v>
      </c>
      <c r="B81" s="601">
        <v>502</v>
      </c>
      <c r="C81" s="601" t="s">
        <v>4392</v>
      </c>
      <c r="D81" s="682">
        <v>43914</v>
      </c>
      <c r="E81" s="591" t="s">
        <v>4541</v>
      </c>
      <c r="F81" s="592" t="s">
        <v>3844</v>
      </c>
      <c r="G81" s="683" t="s">
        <v>4394</v>
      </c>
      <c r="H81" s="81"/>
      <c r="I81" s="81"/>
      <c r="J81" s="35"/>
      <c r="K81" s="36"/>
      <c r="L81" s="36"/>
      <c r="M81" s="36"/>
      <c r="N81" s="36"/>
      <c r="O81" s="36"/>
      <c r="P81" s="36"/>
      <c r="Q81" s="36"/>
      <c r="R81" s="36"/>
      <c r="S81" s="36"/>
      <c r="T81" s="36"/>
      <c r="U81" s="36"/>
      <c r="V81" s="36"/>
      <c r="W81" s="36"/>
      <c r="X81" s="36"/>
      <c r="Y81" s="36"/>
      <c r="Z81" s="36"/>
      <c r="AA81" s="36"/>
      <c r="AB81" s="36"/>
      <c r="AC81" s="36"/>
    </row>
    <row r="82" spans="1:29" ht="24" customHeight="1">
      <c r="A82" s="601">
        <v>77</v>
      </c>
      <c r="B82" s="601">
        <v>500</v>
      </c>
      <c r="C82" s="601" t="s">
        <v>4542</v>
      </c>
      <c r="D82" s="682">
        <v>43914</v>
      </c>
      <c r="E82" s="591" t="s">
        <v>4543</v>
      </c>
      <c r="F82" s="592" t="s">
        <v>41</v>
      </c>
      <c r="G82" s="683" t="s">
        <v>4544</v>
      </c>
      <c r="H82" s="81"/>
      <c r="I82" s="81"/>
      <c r="J82" s="35"/>
      <c r="K82" s="36"/>
      <c r="L82" s="36"/>
      <c r="M82" s="36"/>
      <c r="N82" s="36"/>
      <c r="O82" s="36"/>
      <c r="P82" s="36"/>
      <c r="Q82" s="36"/>
      <c r="R82" s="36"/>
      <c r="S82" s="36"/>
      <c r="T82" s="36"/>
      <c r="U82" s="36"/>
      <c r="V82" s="36"/>
      <c r="W82" s="36"/>
      <c r="X82" s="36"/>
      <c r="Y82" s="36"/>
      <c r="Z82" s="36"/>
      <c r="AA82" s="36"/>
      <c r="AB82" s="36"/>
      <c r="AC82" s="36"/>
    </row>
    <row r="83" spans="1:29" ht="36" customHeight="1">
      <c r="A83" s="601">
        <v>78</v>
      </c>
      <c r="B83" s="601">
        <v>479</v>
      </c>
      <c r="C83" s="601" t="s">
        <v>4422</v>
      </c>
      <c r="D83" s="682">
        <v>43915</v>
      </c>
      <c r="E83" s="591" t="s">
        <v>4545</v>
      </c>
      <c r="F83" s="592" t="s">
        <v>3844</v>
      </c>
      <c r="G83" s="683" t="s">
        <v>4546</v>
      </c>
      <c r="H83" s="81"/>
      <c r="I83" s="81"/>
      <c r="J83" s="35"/>
      <c r="K83" s="36"/>
      <c r="L83" s="36"/>
      <c r="M83" s="36"/>
      <c r="N83" s="36"/>
      <c r="O83" s="36"/>
      <c r="P83" s="36"/>
      <c r="Q83" s="36"/>
      <c r="R83" s="36"/>
      <c r="S83" s="36"/>
      <c r="T83" s="36"/>
      <c r="U83" s="36"/>
      <c r="V83" s="36"/>
      <c r="W83" s="36"/>
      <c r="X83" s="36"/>
      <c r="Y83" s="36"/>
      <c r="Z83" s="36"/>
      <c r="AA83" s="36"/>
      <c r="AB83" s="36"/>
      <c r="AC83" s="36"/>
    </row>
    <row r="84" spans="1:29" ht="15" customHeight="1">
      <c r="A84" s="601">
        <v>79</v>
      </c>
      <c r="B84" s="601">
        <v>478</v>
      </c>
      <c r="C84" s="601" t="s">
        <v>4422</v>
      </c>
      <c r="D84" s="682">
        <v>43915</v>
      </c>
      <c r="E84" s="591" t="s">
        <v>4547</v>
      </c>
      <c r="F84" s="592" t="s">
        <v>3844</v>
      </c>
      <c r="G84" s="683" t="s">
        <v>4548</v>
      </c>
      <c r="H84" s="81"/>
      <c r="I84" s="81"/>
      <c r="J84" s="35"/>
      <c r="K84" s="36"/>
      <c r="L84" s="36"/>
      <c r="M84" s="36"/>
      <c r="N84" s="36"/>
      <c r="O84" s="36"/>
      <c r="P84" s="36"/>
      <c r="Q84" s="36"/>
      <c r="R84" s="36"/>
      <c r="S84" s="36"/>
      <c r="T84" s="36"/>
      <c r="U84" s="36"/>
      <c r="V84" s="36"/>
      <c r="W84" s="36"/>
      <c r="X84" s="36"/>
      <c r="Y84" s="36"/>
      <c r="Z84" s="36"/>
      <c r="AA84" s="36"/>
      <c r="AB84" s="36"/>
      <c r="AC84" s="36"/>
    </row>
    <row r="85" spans="1:29" ht="60" customHeight="1">
      <c r="A85" s="601">
        <v>80</v>
      </c>
      <c r="B85" s="601">
        <v>477</v>
      </c>
      <c r="C85" s="601" t="s">
        <v>4422</v>
      </c>
      <c r="D85" s="682">
        <v>43915</v>
      </c>
      <c r="E85" s="591" t="s">
        <v>4549</v>
      </c>
      <c r="F85" s="592" t="s">
        <v>3844</v>
      </c>
      <c r="G85" s="683" t="s">
        <v>4550</v>
      </c>
      <c r="H85" s="81"/>
      <c r="I85" s="81"/>
      <c r="J85" s="35"/>
      <c r="K85" s="36"/>
      <c r="L85" s="36"/>
      <c r="M85" s="36"/>
      <c r="N85" s="36"/>
      <c r="O85" s="36"/>
      <c r="P85" s="36"/>
      <c r="Q85" s="36"/>
      <c r="R85" s="36"/>
      <c r="S85" s="36"/>
      <c r="T85" s="36"/>
      <c r="U85" s="36"/>
      <c r="V85" s="36"/>
      <c r="W85" s="36"/>
      <c r="X85" s="36"/>
      <c r="Y85" s="36"/>
      <c r="Z85" s="36"/>
      <c r="AA85" s="36"/>
      <c r="AB85" s="36"/>
      <c r="AC85" s="36"/>
    </row>
    <row r="86" spans="1:29" ht="24" customHeight="1">
      <c r="A86" s="601">
        <v>81</v>
      </c>
      <c r="B86" s="601">
        <v>476</v>
      </c>
      <c r="C86" s="601" t="s">
        <v>4422</v>
      </c>
      <c r="D86" s="682">
        <v>43915</v>
      </c>
      <c r="E86" s="591" t="s">
        <v>4551</v>
      </c>
      <c r="F86" s="592" t="s">
        <v>3844</v>
      </c>
      <c r="G86" s="683" t="s">
        <v>4552</v>
      </c>
      <c r="H86" s="81"/>
      <c r="I86" s="81"/>
      <c r="J86" s="35"/>
      <c r="K86" s="36"/>
      <c r="L86" s="36"/>
      <c r="M86" s="36"/>
      <c r="N86" s="36"/>
      <c r="O86" s="36"/>
      <c r="P86" s="36"/>
      <c r="Q86" s="36"/>
      <c r="R86" s="36"/>
      <c r="S86" s="36"/>
      <c r="T86" s="36"/>
      <c r="U86" s="36"/>
      <c r="V86" s="36"/>
      <c r="W86" s="36"/>
      <c r="X86" s="36"/>
      <c r="Y86" s="36"/>
      <c r="Z86" s="36"/>
      <c r="AA86" s="36"/>
      <c r="AB86" s="36"/>
      <c r="AC86" s="36"/>
    </row>
    <row r="87" spans="1:29" ht="24" customHeight="1">
      <c r="A87" s="601">
        <v>82</v>
      </c>
      <c r="B87" s="601">
        <v>475</v>
      </c>
      <c r="C87" s="601" t="s">
        <v>4422</v>
      </c>
      <c r="D87" s="682">
        <v>43915</v>
      </c>
      <c r="E87" s="591" t="s">
        <v>4059</v>
      </c>
      <c r="F87" s="592" t="s">
        <v>4060</v>
      </c>
      <c r="G87" s="683" t="s">
        <v>4061</v>
      </c>
      <c r="H87" s="81"/>
      <c r="I87" s="81"/>
      <c r="J87" s="35"/>
      <c r="K87" s="36"/>
      <c r="L87" s="36"/>
      <c r="M87" s="36"/>
      <c r="N87" s="36"/>
      <c r="O87" s="36"/>
      <c r="P87" s="36"/>
      <c r="Q87" s="36"/>
      <c r="R87" s="36"/>
      <c r="S87" s="36"/>
      <c r="T87" s="36"/>
      <c r="U87" s="36"/>
      <c r="V87" s="36"/>
      <c r="W87" s="36"/>
      <c r="X87" s="36"/>
      <c r="Y87" s="36"/>
      <c r="Z87" s="36"/>
      <c r="AA87" s="36"/>
      <c r="AB87" s="36"/>
      <c r="AC87" s="36"/>
    </row>
    <row r="88" spans="1:29" ht="24" customHeight="1">
      <c r="A88" s="601">
        <v>83</v>
      </c>
      <c r="B88" s="601">
        <v>474</v>
      </c>
      <c r="C88" s="601" t="s">
        <v>4422</v>
      </c>
      <c r="D88" s="682">
        <v>43915</v>
      </c>
      <c r="E88" s="591" t="s">
        <v>4553</v>
      </c>
      <c r="F88" s="592" t="s">
        <v>3844</v>
      </c>
      <c r="G88" s="683" t="s">
        <v>4554</v>
      </c>
      <c r="H88" s="81"/>
      <c r="I88" s="81"/>
      <c r="J88" s="35"/>
      <c r="K88" s="36"/>
      <c r="L88" s="36"/>
      <c r="M88" s="36"/>
      <c r="N88" s="36"/>
      <c r="O88" s="36"/>
      <c r="P88" s="36"/>
      <c r="Q88" s="36"/>
      <c r="R88" s="36"/>
      <c r="S88" s="36"/>
      <c r="T88" s="36"/>
      <c r="U88" s="36"/>
      <c r="V88" s="36"/>
      <c r="W88" s="36"/>
      <c r="X88" s="36"/>
      <c r="Y88" s="36"/>
      <c r="Z88" s="36"/>
      <c r="AA88" s="36"/>
      <c r="AB88" s="36"/>
      <c r="AC88" s="36"/>
    </row>
    <row r="89" spans="1:29" ht="36" customHeight="1">
      <c r="A89" s="601">
        <v>84</v>
      </c>
      <c r="B89" s="601">
        <v>473</v>
      </c>
      <c r="C89" s="601" t="s">
        <v>4422</v>
      </c>
      <c r="D89" s="682">
        <v>43915</v>
      </c>
      <c r="E89" s="591" t="s">
        <v>4555</v>
      </c>
      <c r="F89" s="592" t="s">
        <v>3844</v>
      </c>
      <c r="G89" s="683" t="s">
        <v>4556</v>
      </c>
      <c r="H89" s="81"/>
      <c r="I89" s="81"/>
      <c r="J89" s="35"/>
      <c r="K89" s="36"/>
      <c r="L89" s="36"/>
      <c r="M89" s="36"/>
      <c r="N89" s="36"/>
      <c r="O89" s="36"/>
      <c r="P89" s="36"/>
      <c r="Q89" s="36"/>
      <c r="R89" s="36"/>
      <c r="S89" s="36"/>
      <c r="T89" s="36"/>
      <c r="U89" s="36"/>
      <c r="V89" s="36"/>
      <c r="W89" s="36"/>
      <c r="X89" s="36"/>
      <c r="Y89" s="36"/>
      <c r="Z89" s="36"/>
      <c r="AA89" s="36"/>
      <c r="AB89" s="36"/>
      <c r="AC89" s="36"/>
    </row>
    <row r="90" spans="1:29" ht="24" customHeight="1">
      <c r="A90" s="601">
        <v>85</v>
      </c>
      <c r="B90" s="601">
        <v>472</v>
      </c>
      <c r="C90" s="601" t="s">
        <v>4422</v>
      </c>
      <c r="D90" s="682">
        <v>43915</v>
      </c>
      <c r="E90" s="591" t="s">
        <v>4557</v>
      </c>
      <c r="F90" s="592" t="s">
        <v>3844</v>
      </c>
      <c r="G90" s="683" t="s">
        <v>4558</v>
      </c>
      <c r="H90" s="81"/>
      <c r="I90" s="81"/>
      <c r="J90" s="35"/>
      <c r="K90" s="36"/>
      <c r="L90" s="36"/>
      <c r="M90" s="36"/>
      <c r="N90" s="36"/>
      <c r="O90" s="36"/>
      <c r="P90" s="36"/>
      <c r="Q90" s="36"/>
      <c r="R90" s="36"/>
      <c r="S90" s="36"/>
      <c r="T90" s="36"/>
      <c r="U90" s="36"/>
      <c r="V90" s="36"/>
      <c r="W90" s="36"/>
      <c r="X90" s="36"/>
      <c r="Y90" s="36"/>
      <c r="Z90" s="36"/>
      <c r="AA90" s="36"/>
      <c r="AB90" s="36"/>
      <c r="AC90" s="36"/>
    </row>
    <row r="91" spans="1:29" ht="96" customHeight="1">
      <c r="A91" s="601">
        <v>86</v>
      </c>
      <c r="B91" s="601">
        <v>471</v>
      </c>
      <c r="C91" s="601" t="s">
        <v>4422</v>
      </c>
      <c r="D91" s="682">
        <v>43915</v>
      </c>
      <c r="E91" s="591" t="s">
        <v>4559</v>
      </c>
      <c r="F91" s="592" t="s">
        <v>3844</v>
      </c>
      <c r="G91" s="683" t="s">
        <v>4560</v>
      </c>
      <c r="H91" s="81"/>
      <c r="I91" s="81"/>
      <c r="J91" s="35"/>
      <c r="K91" s="36"/>
      <c r="L91" s="36"/>
      <c r="M91" s="36"/>
      <c r="N91" s="36"/>
      <c r="O91" s="36"/>
      <c r="P91" s="36"/>
      <c r="Q91" s="36"/>
      <c r="R91" s="36"/>
      <c r="S91" s="36"/>
      <c r="T91" s="36"/>
      <c r="U91" s="36"/>
      <c r="V91" s="36"/>
      <c r="W91" s="36"/>
      <c r="X91" s="36"/>
      <c r="Y91" s="36"/>
      <c r="Z91" s="36"/>
      <c r="AA91" s="36"/>
      <c r="AB91" s="36"/>
      <c r="AC91" s="36"/>
    </row>
    <row r="92" spans="1:29" ht="36" customHeight="1">
      <c r="A92" s="601">
        <v>87</v>
      </c>
      <c r="B92" s="601">
        <v>19</v>
      </c>
      <c r="C92" s="601" t="s">
        <v>4561</v>
      </c>
      <c r="D92" s="682">
        <v>43915</v>
      </c>
      <c r="E92" s="591" t="s">
        <v>4562</v>
      </c>
      <c r="F92" s="592" t="s">
        <v>41</v>
      </c>
      <c r="G92" s="683" t="s">
        <v>4563</v>
      </c>
      <c r="H92" s="81"/>
      <c r="I92" s="81"/>
      <c r="J92" s="35"/>
      <c r="K92" s="36"/>
      <c r="L92" s="36"/>
      <c r="M92" s="36"/>
      <c r="N92" s="36"/>
      <c r="O92" s="36"/>
      <c r="P92" s="36"/>
      <c r="Q92" s="36"/>
      <c r="R92" s="36"/>
      <c r="S92" s="36"/>
      <c r="T92" s="36"/>
      <c r="U92" s="36"/>
      <c r="V92" s="36"/>
      <c r="W92" s="36"/>
      <c r="X92" s="36"/>
      <c r="Y92" s="36"/>
      <c r="Z92" s="36"/>
      <c r="AA92" s="36"/>
      <c r="AB92" s="36"/>
      <c r="AC92" s="36"/>
    </row>
    <row r="93" spans="1:29" ht="62.25" customHeight="1">
      <c r="A93" s="601">
        <v>88</v>
      </c>
      <c r="B93" s="601">
        <v>476</v>
      </c>
      <c r="C93" s="601" t="s">
        <v>4564</v>
      </c>
      <c r="D93" s="682">
        <v>43915</v>
      </c>
      <c r="E93" s="591" t="s">
        <v>4565</v>
      </c>
      <c r="F93" s="592" t="s">
        <v>41</v>
      </c>
      <c r="G93" s="683" t="s">
        <v>4566</v>
      </c>
      <c r="H93" s="81"/>
      <c r="I93" s="81"/>
      <c r="J93" s="35"/>
      <c r="K93" s="36"/>
      <c r="L93" s="36"/>
      <c r="M93" s="36"/>
      <c r="N93" s="36"/>
      <c r="O93" s="36"/>
      <c r="P93" s="36"/>
      <c r="Q93" s="36"/>
      <c r="R93" s="36"/>
      <c r="S93" s="36"/>
      <c r="T93" s="36"/>
      <c r="U93" s="36"/>
      <c r="V93" s="36"/>
      <c r="W93" s="36"/>
      <c r="X93" s="36"/>
      <c r="Y93" s="36"/>
      <c r="Z93" s="36"/>
      <c r="AA93" s="36"/>
      <c r="AB93" s="36"/>
      <c r="AC93" s="36"/>
    </row>
    <row r="94" spans="1:29" ht="36" customHeight="1">
      <c r="A94" s="601">
        <v>89</v>
      </c>
      <c r="B94" s="601">
        <v>480</v>
      </c>
      <c r="C94" s="601" t="s">
        <v>4422</v>
      </c>
      <c r="D94" s="682">
        <v>43916</v>
      </c>
      <c r="E94" s="591" t="s">
        <v>4567</v>
      </c>
      <c r="F94" s="592" t="s">
        <v>3844</v>
      </c>
      <c r="G94" s="683" t="s">
        <v>4568</v>
      </c>
      <c r="H94" s="81"/>
      <c r="I94" s="81"/>
      <c r="J94" s="35"/>
      <c r="K94" s="36"/>
      <c r="L94" s="36"/>
      <c r="M94" s="36"/>
      <c r="N94" s="36"/>
      <c r="O94" s="36"/>
      <c r="P94" s="36"/>
      <c r="Q94" s="36"/>
      <c r="R94" s="36"/>
      <c r="S94" s="36"/>
      <c r="T94" s="36"/>
      <c r="U94" s="36"/>
      <c r="V94" s="36"/>
      <c r="W94" s="36"/>
      <c r="X94" s="36"/>
      <c r="Y94" s="36"/>
      <c r="Z94" s="36"/>
      <c r="AA94" s="36"/>
      <c r="AB94" s="36"/>
      <c r="AC94" s="36"/>
    </row>
    <row r="95" spans="1:29" ht="36" customHeight="1">
      <c r="A95" s="601">
        <v>90</v>
      </c>
      <c r="B95" s="601">
        <v>481</v>
      </c>
      <c r="C95" s="601" t="s">
        <v>4422</v>
      </c>
      <c r="D95" s="682">
        <v>43916</v>
      </c>
      <c r="E95" s="591" t="s">
        <v>4569</v>
      </c>
      <c r="F95" s="592" t="s">
        <v>3844</v>
      </c>
      <c r="G95" s="683" t="s">
        <v>4570</v>
      </c>
      <c r="H95" s="81"/>
      <c r="I95" s="81"/>
      <c r="J95" s="35"/>
      <c r="K95" s="36"/>
      <c r="L95" s="36"/>
      <c r="M95" s="36"/>
      <c r="N95" s="36"/>
      <c r="O95" s="36"/>
      <c r="P95" s="36"/>
      <c r="Q95" s="36"/>
      <c r="R95" s="36"/>
      <c r="S95" s="36"/>
      <c r="T95" s="36"/>
      <c r="U95" s="36"/>
      <c r="V95" s="36"/>
      <c r="W95" s="36"/>
      <c r="X95" s="36"/>
      <c r="Y95" s="36"/>
      <c r="Z95" s="36"/>
      <c r="AA95" s="36"/>
      <c r="AB95" s="36"/>
      <c r="AC95" s="36"/>
    </row>
    <row r="96" spans="1:29" ht="36" customHeight="1">
      <c r="A96" s="601">
        <v>91</v>
      </c>
      <c r="B96" s="601">
        <v>482</v>
      </c>
      <c r="C96" s="601" t="s">
        <v>4422</v>
      </c>
      <c r="D96" s="682">
        <v>43916</v>
      </c>
      <c r="E96" s="591" t="s">
        <v>4571</v>
      </c>
      <c r="F96" s="592" t="s">
        <v>3844</v>
      </c>
      <c r="G96" s="683" t="s">
        <v>4572</v>
      </c>
      <c r="H96" s="81"/>
      <c r="I96" s="81"/>
      <c r="J96" s="35"/>
      <c r="K96" s="36"/>
      <c r="L96" s="36"/>
      <c r="M96" s="36"/>
      <c r="N96" s="36"/>
      <c r="O96" s="36"/>
      <c r="P96" s="36"/>
      <c r="Q96" s="36"/>
      <c r="R96" s="36"/>
      <c r="S96" s="36"/>
      <c r="T96" s="36"/>
      <c r="U96" s="36"/>
      <c r="V96" s="36"/>
      <c r="W96" s="36"/>
      <c r="X96" s="36"/>
      <c r="Y96" s="36"/>
      <c r="Z96" s="36"/>
      <c r="AA96" s="36"/>
      <c r="AB96" s="36"/>
      <c r="AC96" s="36"/>
    </row>
    <row r="97" spans="1:29" ht="36" customHeight="1">
      <c r="A97" s="601">
        <v>92</v>
      </c>
      <c r="B97" s="601">
        <v>483</v>
      </c>
      <c r="C97" s="601" t="s">
        <v>4422</v>
      </c>
      <c r="D97" s="682">
        <v>43916</v>
      </c>
      <c r="E97" s="591" t="s">
        <v>4573</v>
      </c>
      <c r="F97" s="592" t="s">
        <v>3844</v>
      </c>
      <c r="G97" s="683" t="s">
        <v>4574</v>
      </c>
      <c r="H97" s="81"/>
      <c r="I97" s="81"/>
      <c r="J97" s="35"/>
      <c r="K97" s="36"/>
      <c r="L97" s="36"/>
      <c r="M97" s="36"/>
      <c r="N97" s="36"/>
      <c r="O97" s="36"/>
      <c r="P97" s="36"/>
      <c r="Q97" s="36"/>
      <c r="R97" s="36"/>
      <c r="S97" s="36"/>
      <c r="T97" s="36"/>
      <c r="U97" s="36"/>
      <c r="V97" s="36"/>
      <c r="W97" s="36"/>
      <c r="X97" s="36"/>
      <c r="Y97" s="36"/>
      <c r="Z97" s="36"/>
      <c r="AA97" s="36"/>
      <c r="AB97" s="36"/>
      <c r="AC97" s="36"/>
    </row>
    <row r="98" spans="1:29" ht="36" customHeight="1">
      <c r="A98" s="601">
        <v>93</v>
      </c>
      <c r="B98" s="601">
        <v>482</v>
      </c>
      <c r="C98" s="601" t="s">
        <v>4575</v>
      </c>
      <c r="D98" s="682">
        <v>43916</v>
      </c>
      <c r="E98" s="591" t="s">
        <v>4576</v>
      </c>
      <c r="F98" s="592" t="s">
        <v>41</v>
      </c>
      <c r="G98" s="683" t="s">
        <v>4577</v>
      </c>
      <c r="H98" s="81"/>
      <c r="I98" s="81"/>
      <c r="J98" s="35"/>
      <c r="K98" s="36"/>
      <c r="L98" s="36"/>
      <c r="M98" s="36"/>
      <c r="N98" s="36"/>
      <c r="O98" s="36"/>
      <c r="P98" s="36"/>
      <c r="Q98" s="36"/>
      <c r="R98" s="36"/>
      <c r="S98" s="36"/>
      <c r="T98" s="36"/>
      <c r="U98" s="36"/>
      <c r="V98" s="36"/>
      <c r="W98" s="36"/>
      <c r="X98" s="36"/>
      <c r="Y98" s="36"/>
      <c r="Z98" s="36"/>
      <c r="AA98" s="36"/>
      <c r="AB98" s="36"/>
      <c r="AC98" s="36"/>
    </row>
    <row r="99" spans="1:29" ht="36" customHeight="1">
      <c r="A99" s="601">
        <v>94</v>
      </c>
      <c r="B99" s="601">
        <v>624</v>
      </c>
      <c r="C99" s="601" t="s">
        <v>4578</v>
      </c>
      <c r="D99" s="682">
        <v>43916</v>
      </c>
      <c r="E99" s="591" t="s">
        <v>4579</v>
      </c>
      <c r="F99" s="592" t="s">
        <v>41</v>
      </c>
      <c r="G99" s="683" t="s">
        <v>3897</v>
      </c>
      <c r="H99" s="81"/>
      <c r="I99" s="81"/>
      <c r="J99" s="35"/>
      <c r="K99" s="36"/>
      <c r="L99" s="36"/>
      <c r="M99" s="36"/>
      <c r="N99" s="36"/>
      <c r="O99" s="36"/>
      <c r="P99" s="36"/>
      <c r="Q99" s="36"/>
      <c r="R99" s="36"/>
      <c r="S99" s="36"/>
      <c r="T99" s="36"/>
      <c r="U99" s="36"/>
      <c r="V99" s="36"/>
      <c r="W99" s="36"/>
      <c r="X99" s="36"/>
      <c r="Y99" s="36"/>
      <c r="Z99" s="36"/>
      <c r="AA99" s="36"/>
      <c r="AB99" s="36"/>
      <c r="AC99" s="36"/>
    </row>
    <row r="100" spans="1:29" ht="24" customHeight="1">
      <c r="A100" s="601">
        <v>95</v>
      </c>
      <c r="B100" s="601">
        <v>484</v>
      </c>
      <c r="C100" s="601" t="s">
        <v>4422</v>
      </c>
      <c r="D100" s="682">
        <v>43917</v>
      </c>
      <c r="E100" s="591" t="s">
        <v>4580</v>
      </c>
      <c r="F100" s="592" t="s">
        <v>3844</v>
      </c>
      <c r="G100" s="683" t="s">
        <v>4581</v>
      </c>
      <c r="H100" s="81"/>
      <c r="I100" s="81"/>
      <c r="J100" s="35"/>
      <c r="K100" s="36"/>
      <c r="L100" s="36"/>
      <c r="M100" s="36"/>
      <c r="N100" s="36"/>
      <c r="O100" s="36"/>
      <c r="P100" s="36"/>
      <c r="Q100" s="36"/>
      <c r="R100" s="36"/>
      <c r="S100" s="36"/>
      <c r="T100" s="36"/>
      <c r="U100" s="36"/>
      <c r="V100" s="36"/>
      <c r="W100" s="36"/>
      <c r="X100" s="36"/>
      <c r="Y100" s="36"/>
      <c r="Z100" s="36"/>
      <c r="AA100" s="36"/>
      <c r="AB100" s="36"/>
      <c r="AC100" s="36"/>
    </row>
    <row r="101" spans="1:29" ht="36" customHeight="1">
      <c r="A101" s="601">
        <v>96</v>
      </c>
      <c r="B101" s="601">
        <v>485</v>
      </c>
      <c r="C101" s="601" t="s">
        <v>4422</v>
      </c>
      <c r="D101" s="682">
        <v>43917</v>
      </c>
      <c r="E101" s="591" t="s">
        <v>4582</v>
      </c>
      <c r="F101" s="592" t="s">
        <v>3844</v>
      </c>
      <c r="G101" s="683" t="s">
        <v>4583</v>
      </c>
      <c r="H101" s="81"/>
      <c r="I101" s="81"/>
      <c r="J101" s="35"/>
      <c r="K101" s="36"/>
      <c r="L101" s="36"/>
      <c r="M101" s="36"/>
      <c r="N101" s="36"/>
      <c r="O101" s="36"/>
      <c r="P101" s="36"/>
      <c r="Q101" s="36"/>
      <c r="R101" s="36"/>
      <c r="S101" s="36"/>
      <c r="T101" s="36"/>
      <c r="U101" s="36"/>
      <c r="V101" s="36"/>
      <c r="W101" s="36"/>
      <c r="X101" s="36"/>
      <c r="Y101" s="36"/>
      <c r="Z101" s="36"/>
      <c r="AA101" s="36"/>
      <c r="AB101" s="36"/>
      <c r="AC101" s="36"/>
    </row>
    <row r="102" spans="1:29" ht="24" customHeight="1">
      <c r="A102" s="601">
        <v>97</v>
      </c>
      <c r="B102" s="601">
        <v>486</v>
      </c>
      <c r="C102" s="601" t="s">
        <v>4422</v>
      </c>
      <c r="D102" s="682">
        <v>43917</v>
      </c>
      <c r="E102" s="591" t="s">
        <v>4584</v>
      </c>
      <c r="F102" s="592" t="s">
        <v>3844</v>
      </c>
      <c r="G102" s="683" t="s">
        <v>4585</v>
      </c>
      <c r="H102" s="81"/>
      <c r="I102" s="81"/>
      <c r="J102" s="35"/>
      <c r="K102" s="36"/>
      <c r="L102" s="36"/>
      <c r="M102" s="36"/>
      <c r="N102" s="36"/>
      <c r="O102" s="36"/>
      <c r="P102" s="36"/>
      <c r="Q102" s="36"/>
      <c r="R102" s="36"/>
      <c r="S102" s="36"/>
      <c r="T102" s="36"/>
      <c r="U102" s="36"/>
      <c r="V102" s="36"/>
      <c r="W102" s="36"/>
      <c r="X102" s="36"/>
      <c r="Y102" s="36"/>
      <c r="Z102" s="36"/>
      <c r="AA102" s="36"/>
      <c r="AB102" s="36"/>
      <c r="AC102" s="36"/>
    </row>
    <row r="103" spans="1:29" ht="36" customHeight="1">
      <c r="A103" s="601">
        <v>98</v>
      </c>
      <c r="B103" s="601">
        <v>487</v>
      </c>
      <c r="C103" s="601" t="s">
        <v>4422</v>
      </c>
      <c r="D103" s="682">
        <v>43917</v>
      </c>
      <c r="E103" s="591" t="s">
        <v>4586</v>
      </c>
      <c r="F103" s="592" t="s">
        <v>3844</v>
      </c>
      <c r="G103" s="683" t="s">
        <v>4587</v>
      </c>
      <c r="H103" s="81"/>
      <c r="I103" s="81"/>
      <c r="J103" s="35"/>
      <c r="K103" s="36"/>
      <c r="L103" s="36"/>
      <c r="M103" s="36"/>
      <c r="N103" s="36"/>
      <c r="O103" s="36"/>
      <c r="P103" s="36"/>
      <c r="Q103" s="36"/>
      <c r="R103" s="36"/>
      <c r="S103" s="36"/>
      <c r="T103" s="36"/>
      <c r="U103" s="36"/>
      <c r="V103" s="36"/>
      <c r="W103" s="36"/>
      <c r="X103" s="36"/>
      <c r="Y103" s="36"/>
      <c r="Z103" s="36"/>
      <c r="AA103" s="36"/>
      <c r="AB103" s="36"/>
      <c r="AC103" s="36"/>
    </row>
    <row r="104" spans="1:29" ht="48" customHeight="1">
      <c r="A104" s="601">
        <v>99</v>
      </c>
      <c r="B104" s="601">
        <v>488</v>
      </c>
      <c r="C104" s="601" t="s">
        <v>4422</v>
      </c>
      <c r="D104" s="682">
        <v>43917</v>
      </c>
      <c r="E104" s="591" t="s">
        <v>4588</v>
      </c>
      <c r="F104" s="592" t="s">
        <v>3844</v>
      </c>
      <c r="G104" s="683" t="s">
        <v>4589</v>
      </c>
      <c r="H104" s="81"/>
      <c r="I104" s="81"/>
      <c r="J104" s="35"/>
      <c r="K104" s="36"/>
      <c r="L104" s="36"/>
      <c r="M104" s="36"/>
      <c r="N104" s="36"/>
      <c r="O104" s="36"/>
      <c r="P104" s="36"/>
      <c r="Q104" s="36"/>
      <c r="R104" s="36"/>
      <c r="S104" s="36"/>
      <c r="T104" s="36"/>
      <c r="U104" s="36"/>
      <c r="V104" s="36"/>
      <c r="W104" s="36"/>
      <c r="X104" s="36"/>
      <c r="Y104" s="36"/>
      <c r="Z104" s="36"/>
      <c r="AA104" s="36"/>
      <c r="AB104" s="36"/>
      <c r="AC104" s="36"/>
    </row>
    <row r="105" spans="1:29" ht="24" customHeight="1">
      <c r="A105" s="601">
        <v>100</v>
      </c>
      <c r="B105" s="601">
        <v>488</v>
      </c>
      <c r="C105" s="601" t="s">
        <v>4590</v>
      </c>
      <c r="D105" s="682">
        <v>43917</v>
      </c>
      <c r="E105" s="591" t="s">
        <v>4591</v>
      </c>
      <c r="F105" s="592" t="s">
        <v>41</v>
      </c>
      <c r="G105" s="683" t="s">
        <v>4592</v>
      </c>
      <c r="H105" s="81"/>
      <c r="I105" s="81"/>
      <c r="J105" s="35"/>
      <c r="K105" s="36"/>
      <c r="L105" s="36"/>
      <c r="M105" s="36"/>
      <c r="N105" s="36"/>
      <c r="O105" s="36"/>
      <c r="P105" s="36"/>
      <c r="Q105" s="36"/>
      <c r="R105" s="36"/>
      <c r="S105" s="36"/>
      <c r="T105" s="36"/>
      <c r="U105" s="36"/>
      <c r="V105" s="36"/>
      <c r="W105" s="36"/>
      <c r="X105" s="36"/>
      <c r="Y105" s="36"/>
      <c r="Z105" s="36"/>
      <c r="AA105" s="36"/>
      <c r="AB105" s="36"/>
      <c r="AC105" s="36"/>
    </row>
    <row r="106" spans="1:29" ht="72" customHeight="1">
      <c r="A106" s="601">
        <v>101</v>
      </c>
      <c r="B106" s="601">
        <v>26</v>
      </c>
      <c r="C106" s="601" t="s">
        <v>4593</v>
      </c>
      <c r="D106" s="682">
        <v>43917</v>
      </c>
      <c r="E106" s="591" t="s">
        <v>4594</v>
      </c>
      <c r="F106" s="592" t="s">
        <v>41</v>
      </c>
      <c r="G106" s="683" t="s">
        <v>4595</v>
      </c>
      <c r="H106" s="81"/>
      <c r="I106" s="81"/>
      <c r="J106" s="35"/>
      <c r="K106" s="36"/>
      <c r="L106" s="36"/>
      <c r="M106" s="36"/>
      <c r="N106" s="36"/>
      <c r="O106" s="36"/>
      <c r="P106" s="36"/>
      <c r="Q106" s="36"/>
      <c r="R106" s="36"/>
      <c r="S106" s="36"/>
      <c r="T106" s="36"/>
      <c r="U106" s="36"/>
      <c r="V106" s="36"/>
      <c r="W106" s="36"/>
      <c r="X106" s="36"/>
      <c r="Y106" s="36"/>
      <c r="Z106" s="36"/>
      <c r="AA106" s="36"/>
      <c r="AB106" s="36"/>
      <c r="AC106" s="36"/>
    </row>
    <row r="107" spans="1:29" ht="24" customHeight="1">
      <c r="A107" s="601">
        <v>102</v>
      </c>
      <c r="B107" s="601">
        <v>492</v>
      </c>
      <c r="C107" s="601" t="s">
        <v>4422</v>
      </c>
      <c r="D107" s="682">
        <v>43918</v>
      </c>
      <c r="E107" s="591" t="s">
        <v>4596</v>
      </c>
      <c r="F107" s="592" t="s">
        <v>3844</v>
      </c>
      <c r="G107" s="683" t="s">
        <v>4597</v>
      </c>
      <c r="H107" s="81"/>
      <c r="I107" s="81"/>
      <c r="J107" s="35"/>
      <c r="K107" s="36"/>
      <c r="L107" s="36"/>
      <c r="M107" s="36"/>
      <c r="N107" s="36"/>
      <c r="O107" s="36"/>
      <c r="P107" s="36"/>
      <c r="Q107" s="36"/>
      <c r="R107" s="36"/>
      <c r="S107" s="36"/>
      <c r="T107" s="36"/>
      <c r="U107" s="36"/>
      <c r="V107" s="36"/>
      <c r="W107" s="36"/>
      <c r="X107" s="36"/>
      <c r="Y107" s="36"/>
      <c r="Z107" s="36"/>
      <c r="AA107" s="36"/>
      <c r="AB107" s="36"/>
      <c r="AC107" s="36"/>
    </row>
    <row r="108" spans="1:29" ht="24" customHeight="1">
      <c r="A108" s="601">
        <v>103</v>
      </c>
      <c r="B108" s="601">
        <v>491</v>
      </c>
      <c r="C108" s="601" t="s">
        <v>4422</v>
      </c>
      <c r="D108" s="682">
        <v>43918</v>
      </c>
      <c r="E108" s="591" t="s">
        <v>4063</v>
      </c>
      <c r="F108" s="592" t="s">
        <v>4064</v>
      </c>
      <c r="G108" s="683" t="s">
        <v>4598</v>
      </c>
      <c r="H108" s="81"/>
      <c r="I108" s="81"/>
      <c r="J108" s="35"/>
      <c r="K108" s="36"/>
      <c r="L108" s="36"/>
      <c r="M108" s="36"/>
      <c r="N108" s="36"/>
      <c r="O108" s="36"/>
      <c r="P108" s="36"/>
      <c r="Q108" s="36"/>
      <c r="R108" s="36"/>
      <c r="S108" s="36"/>
      <c r="T108" s="36"/>
      <c r="U108" s="36"/>
      <c r="V108" s="36"/>
      <c r="W108" s="36"/>
      <c r="X108" s="36"/>
      <c r="Y108" s="36"/>
      <c r="Z108" s="36"/>
      <c r="AA108" s="36"/>
      <c r="AB108" s="36"/>
      <c r="AC108" s="36"/>
    </row>
    <row r="109" spans="1:29" ht="60" customHeight="1">
      <c r="A109" s="601">
        <v>104</v>
      </c>
      <c r="B109" s="601">
        <v>522</v>
      </c>
      <c r="C109" s="601" t="s">
        <v>4392</v>
      </c>
      <c r="D109" s="682">
        <v>43918</v>
      </c>
      <c r="E109" s="591" t="s">
        <v>4599</v>
      </c>
      <c r="F109" s="592" t="s">
        <v>3844</v>
      </c>
      <c r="G109" s="683" t="s">
        <v>4394</v>
      </c>
      <c r="H109" s="81"/>
      <c r="I109" s="81"/>
      <c r="J109" s="35"/>
      <c r="K109" s="36"/>
      <c r="L109" s="36"/>
      <c r="M109" s="36"/>
      <c r="N109" s="36"/>
      <c r="O109" s="36"/>
      <c r="P109" s="36"/>
      <c r="Q109" s="36"/>
      <c r="R109" s="36"/>
      <c r="S109" s="36"/>
      <c r="T109" s="36"/>
      <c r="U109" s="36"/>
      <c r="V109" s="36"/>
      <c r="W109" s="36"/>
      <c r="X109" s="36"/>
      <c r="Y109" s="36"/>
      <c r="Z109" s="36"/>
      <c r="AA109" s="36"/>
      <c r="AB109" s="36"/>
      <c r="AC109" s="36"/>
    </row>
    <row r="110" spans="1:29" ht="24" customHeight="1">
      <c r="A110" s="601">
        <v>105</v>
      </c>
      <c r="B110" s="601">
        <v>491</v>
      </c>
      <c r="C110" s="601" t="s">
        <v>3307</v>
      </c>
      <c r="D110" s="682">
        <v>43918</v>
      </c>
      <c r="E110" s="591" t="s">
        <v>4600</v>
      </c>
      <c r="F110" s="592" t="s">
        <v>41</v>
      </c>
      <c r="G110" s="683" t="s">
        <v>4601</v>
      </c>
      <c r="H110" s="81"/>
      <c r="I110" s="81"/>
      <c r="J110" s="35"/>
      <c r="K110" s="36"/>
      <c r="L110" s="36"/>
      <c r="M110" s="36"/>
      <c r="N110" s="36"/>
      <c r="O110" s="36"/>
      <c r="P110" s="36"/>
      <c r="Q110" s="36"/>
      <c r="R110" s="36"/>
      <c r="S110" s="36"/>
      <c r="T110" s="36"/>
      <c r="U110" s="36"/>
      <c r="V110" s="36"/>
      <c r="W110" s="36"/>
      <c r="X110" s="36"/>
      <c r="Y110" s="36"/>
      <c r="Z110" s="36"/>
      <c r="AA110" s="36"/>
      <c r="AB110" s="36"/>
      <c r="AC110" s="36"/>
    </row>
    <row r="111" spans="1:29" ht="36" customHeight="1">
      <c r="A111" s="601">
        <v>106</v>
      </c>
      <c r="B111" s="601">
        <v>522</v>
      </c>
      <c r="C111" s="601" t="s">
        <v>4602</v>
      </c>
      <c r="D111" s="682">
        <v>43918</v>
      </c>
      <c r="E111" s="591" t="s">
        <v>4603</v>
      </c>
      <c r="F111" s="592" t="s">
        <v>41</v>
      </c>
      <c r="G111" s="683" t="s">
        <v>3897</v>
      </c>
      <c r="H111" s="81"/>
      <c r="I111" s="81"/>
      <c r="J111" s="35"/>
      <c r="K111" s="36"/>
      <c r="L111" s="36"/>
      <c r="M111" s="36"/>
      <c r="N111" s="36"/>
      <c r="O111" s="36"/>
      <c r="P111" s="36"/>
      <c r="Q111" s="36"/>
      <c r="R111" s="36"/>
      <c r="S111" s="36"/>
      <c r="T111" s="36"/>
      <c r="U111" s="36"/>
      <c r="V111" s="36"/>
      <c r="W111" s="36"/>
      <c r="X111" s="36"/>
      <c r="Y111" s="36"/>
      <c r="Z111" s="36"/>
      <c r="AA111" s="36"/>
      <c r="AB111" s="36"/>
      <c r="AC111" s="36"/>
    </row>
    <row r="112" spans="1:29" ht="36" customHeight="1">
      <c r="A112" s="601">
        <v>107</v>
      </c>
      <c r="B112" s="601">
        <v>495</v>
      </c>
      <c r="C112" s="601" t="s">
        <v>4422</v>
      </c>
      <c r="D112" s="682">
        <v>43919</v>
      </c>
      <c r="E112" s="591" t="s">
        <v>4604</v>
      </c>
      <c r="F112" s="592" t="s">
        <v>3844</v>
      </c>
      <c r="G112" s="683" t="s">
        <v>4605</v>
      </c>
      <c r="H112" s="81"/>
      <c r="I112" s="81"/>
      <c r="J112" s="35"/>
      <c r="K112" s="36"/>
      <c r="L112" s="36"/>
      <c r="M112" s="36"/>
      <c r="N112" s="36"/>
      <c r="O112" s="36"/>
      <c r="P112" s="36"/>
      <c r="Q112" s="36"/>
      <c r="R112" s="36"/>
      <c r="S112" s="36"/>
      <c r="T112" s="36"/>
      <c r="U112" s="36"/>
      <c r="V112" s="36"/>
      <c r="W112" s="36"/>
      <c r="X112" s="36"/>
      <c r="Y112" s="36"/>
      <c r="Z112" s="36"/>
      <c r="AA112" s="36"/>
      <c r="AB112" s="36"/>
      <c r="AC112" s="36"/>
    </row>
    <row r="113" spans="1:29" ht="60" customHeight="1">
      <c r="A113" s="601">
        <v>108</v>
      </c>
      <c r="B113" s="601">
        <v>494</v>
      </c>
      <c r="C113" s="601" t="s">
        <v>4422</v>
      </c>
      <c r="D113" s="682">
        <v>43919</v>
      </c>
      <c r="E113" s="591" t="s">
        <v>4604</v>
      </c>
      <c r="F113" s="592" t="s">
        <v>3844</v>
      </c>
      <c r="G113" s="683" t="s">
        <v>4606</v>
      </c>
      <c r="H113" s="81"/>
      <c r="I113" s="81"/>
      <c r="J113" s="35"/>
      <c r="K113" s="36"/>
      <c r="L113" s="36"/>
      <c r="M113" s="36"/>
      <c r="N113" s="36"/>
      <c r="O113" s="36"/>
      <c r="P113" s="36"/>
      <c r="Q113" s="36"/>
      <c r="R113" s="36"/>
      <c r="S113" s="36"/>
      <c r="T113" s="36"/>
      <c r="U113" s="36"/>
      <c r="V113" s="36"/>
      <c r="W113" s="36"/>
      <c r="X113" s="36"/>
      <c r="Y113" s="36"/>
      <c r="Z113" s="36"/>
      <c r="AA113" s="36"/>
      <c r="AB113" s="36"/>
      <c r="AC113" s="36"/>
    </row>
    <row r="114" spans="1:29" ht="48" customHeight="1">
      <c r="A114" s="601">
        <v>109</v>
      </c>
      <c r="B114" s="601">
        <v>493</v>
      </c>
      <c r="C114" s="601" t="s">
        <v>4422</v>
      </c>
      <c r="D114" s="682">
        <v>43919</v>
      </c>
      <c r="E114" s="591" t="s">
        <v>4607</v>
      </c>
      <c r="F114" s="592" t="s">
        <v>3844</v>
      </c>
      <c r="G114" s="683" t="s">
        <v>4608</v>
      </c>
      <c r="H114" s="81"/>
      <c r="I114" s="81"/>
      <c r="J114" s="35"/>
      <c r="K114" s="36"/>
      <c r="L114" s="36"/>
      <c r="M114" s="36"/>
      <c r="N114" s="36"/>
      <c r="O114" s="36"/>
      <c r="P114" s="36"/>
      <c r="Q114" s="36"/>
      <c r="R114" s="36"/>
      <c r="S114" s="36"/>
      <c r="T114" s="36"/>
      <c r="U114" s="36"/>
      <c r="V114" s="36"/>
      <c r="W114" s="36"/>
      <c r="X114" s="36"/>
      <c r="Y114" s="36"/>
      <c r="Z114" s="36"/>
      <c r="AA114" s="36"/>
      <c r="AB114" s="36"/>
      <c r="AC114" s="36"/>
    </row>
    <row r="115" spans="1:29" ht="194.25" customHeight="1">
      <c r="A115" s="601">
        <v>110</v>
      </c>
      <c r="B115" s="601">
        <v>498</v>
      </c>
      <c r="C115" s="601" t="s">
        <v>4422</v>
      </c>
      <c r="D115" s="682">
        <v>43920</v>
      </c>
      <c r="E115" s="591" t="s">
        <v>4067</v>
      </c>
      <c r="F115" s="592" t="s">
        <v>4609</v>
      </c>
      <c r="G115" s="683" t="s">
        <v>4069</v>
      </c>
      <c r="H115" s="81"/>
      <c r="I115" s="81"/>
      <c r="J115" s="35"/>
      <c r="K115" s="36"/>
      <c r="L115" s="36"/>
      <c r="M115" s="36"/>
      <c r="N115" s="36"/>
      <c r="O115" s="36"/>
      <c r="P115" s="36"/>
      <c r="Q115" s="36"/>
      <c r="R115" s="36"/>
      <c r="S115" s="36"/>
      <c r="T115" s="36"/>
      <c r="U115" s="36"/>
      <c r="V115" s="36"/>
      <c r="W115" s="36"/>
      <c r="X115" s="36"/>
      <c r="Y115" s="36"/>
      <c r="Z115" s="36"/>
      <c r="AA115" s="36"/>
      <c r="AB115" s="36"/>
      <c r="AC115" s="36"/>
    </row>
    <row r="116" spans="1:29" ht="36" customHeight="1">
      <c r="A116" s="601">
        <v>111</v>
      </c>
      <c r="B116" s="601">
        <v>497</v>
      </c>
      <c r="C116" s="601" t="s">
        <v>4422</v>
      </c>
      <c r="D116" s="682">
        <v>43920</v>
      </c>
      <c r="E116" s="591" t="s">
        <v>4610</v>
      </c>
      <c r="F116" s="592" t="s">
        <v>3844</v>
      </c>
      <c r="G116" s="683" t="s">
        <v>4611</v>
      </c>
      <c r="H116" s="81"/>
      <c r="I116" s="81"/>
      <c r="J116" s="35"/>
      <c r="K116" s="36"/>
      <c r="L116" s="36"/>
      <c r="M116" s="36"/>
      <c r="N116" s="36"/>
      <c r="O116" s="36"/>
      <c r="P116" s="36"/>
      <c r="Q116" s="36"/>
      <c r="R116" s="36"/>
      <c r="S116" s="36"/>
      <c r="T116" s="36"/>
      <c r="U116" s="36"/>
      <c r="V116" s="36"/>
      <c r="W116" s="36"/>
      <c r="X116" s="36"/>
      <c r="Y116" s="36"/>
      <c r="Z116" s="36"/>
      <c r="AA116" s="36"/>
      <c r="AB116" s="36"/>
      <c r="AC116" s="36"/>
    </row>
    <row r="117" spans="1:29" ht="36" customHeight="1">
      <c r="A117" s="601">
        <v>112</v>
      </c>
      <c r="B117" s="601">
        <v>496</v>
      </c>
      <c r="C117" s="601" t="s">
        <v>4422</v>
      </c>
      <c r="D117" s="682">
        <v>43920</v>
      </c>
      <c r="E117" s="591" t="s">
        <v>4612</v>
      </c>
      <c r="F117" s="592" t="s">
        <v>3844</v>
      </c>
      <c r="G117" s="683" t="s">
        <v>4613</v>
      </c>
      <c r="H117" s="81"/>
      <c r="I117" s="81"/>
      <c r="J117" s="35"/>
      <c r="K117" s="36"/>
      <c r="L117" s="36"/>
      <c r="M117" s="36"/>
      <c r="N117" s="36"/>
      <c r="O117" s="36"/>
      <c r="P117" s="36"/>
      <c r="Q117" s="36"/>
      <c r="R117" s="36"/>
      <c r="S117" s="36"/>
      <c r="T117" s="36"/>
      <c r="U117" s="36"/>
      <c r="V117" s="36"/>
      <c r="W117" s="36"/>
      <c r="X117" s="36"/>
      <c r="Y117" s="36"/>
      <c r="Z117" s="36"/>
      <c r="AA117" s="36"/>
      <c r="AB117" s="36"/>
      <c r="AC117" s="36"/>
    </row>
    <row r="118" spans="1:29" ht="37.5" customHeight="1">
      <c r="A118" s="601">
        <v>113</v>
      </c>
      <c r="B118" s="601">
        <v>500</v>
      </c>
      <c r="C118" s="601" t="s">
        <v>4422</v>
      </c>
      <c r="D118" s="682">
        <v>43921</v>
      </c>
      <c r="E118" s="591" t="s">
        <v>4614</v>
      </c>
      <c r="F118" s="592" t="s">
        <v>3844</v>
      </c>
      <c r="G118" s="683" t="s">
        <v>4615</v>
      </c>
      <c r="H118" s="81"/>
      <c r="I118" s="81"/>
      <c r="J118" s="35"/>
      <c r="K118" s="36"/>
      <c r="L118" s="36"/>
      <c r="M118" s="36"/>
      <c r="N118" s="36"/>
      <c r="O118" s="36"/>
      <c r="P118" s="36"/>
      <c r="Q118" s="36"/>
      <c r="R118" s="36"/>
      <c r="S118" s="36"/>
      <c r="T118" s="36"/>
      <c r="U118" s="36"/>
      <c r="V118" s="36"/>
      <c r="W118" s="36"/>
      <c r="X118" s="36"/>
      <c r="Y118" s="36"/>
      <c r="Z118" s="36"/>
      <c r="AA118" s="36"/>
      <c r="AB118" s="36"/>
      <c r="AC118" s="36"/>
    </row>
    <row r="119" spans="1:29" ht="36" customHeight="1">
      <c r="A119" s="601">
        <v>114</v>
      </c>
      <c r="B119" s="601">
        <v>499</v>
      </c>
      <c r="C119" s="601" t="s">
        <v>4422</v>
      </c>
      <c r="D119" s="682">
        <v>43921</v>
      </c>
      <c r="E119" s="591" t="s">
        <v>4616</v>
      </c>
      <c r="F119" s="592" t="s">
        <v>3844</v>
      </c>
      <c r="G119" s="683" t="s">
        <v>4617</v>
      </c>
      <c r="H119" s="81"/>
      <c r="I119" s="81"/>
      <c r="J119" s="35"/>
      <c r="K119" s="36"/>
      <c r="L119" s="36"/>
      <c r="M119" s="36"/>
      <c r="N119" s="36"/>
      <c r="O119" s="36"/>
      <c r="P119" s="36"/>
      <c r="Q119" s="36"/>
      <c r="R119" s="36"/>
      <c r="S119" s="36"/>
      <c r="T119" s="36"/>
      <c r="U119" s="36"/>
      <c r="V119" s="36"/>
      <c r="W119" s="36"/>
      <c r="X119" s="36"/>
      <c r="Y119" s="36"/>
      <c r="Z119" s="36"/>
      <c r="AA119" s="36"/>
      <c r="AB119" s="36"/>
      <c r="AC119" s="36"/>
    </row>
    <row r="120" spans="1:29" ht="24" customHeight="1">
      <c r="A120" s="601">
        <v>115</v>
      </c>
      <c r="B120" s="601">
        <v>3</v>
      </c>
      <c r="C120" s="601" t="s">
        <v>4618</v>
      </c>
      <c r="D120" s="682">
        <v>43921</v>
      </c>
      <c r="E120" s="591" t="s">
        <v>4619</v>
      </c>
      <c r="F120" s="592" t="s">
        <v>41</v>
      </c>
      <c r="G120" s="683" t="s">
        <v>3897</v>
      </c>
      <c r="H120" s="81"/>
      <c r="I120" s="81"/>
      <c r="J120" s="35"/>
      <c r="K120" s="36"/>
      <c r="L120" s="36"/>
      <c r="M120" s="36"/>
      <c r="N120" s="36"/>
      <c r="O120" s="36"/>
      <c r="P120" s="36"/>
      <c r="Q120" s="36"/>
      <c r="R120" s="36"/>
      <c r="S120" s="36"/>
      <c r="T120" s="36"/>
      <c r="U120" s="36"/>
      <c r="V120" s="36"/>
      <c r="W120" s="36"/>
      <c r="X120" s="36"/>
      <c r="Y120" s="36"/>
      <c r="Z120" s="36"/>
      <c r="AA120" s="36"/>
      <c r="AB120" s="36"/>
      <c r="AC120" s="36"/>
    </row>
    <row r="121" spans="1:29" ht="24" customHeight="1">
      <c r="A121" s="601">
        <v>116</v>
      </c>
      <c r="B121" s="601">
        <v>499</v>
      </c>
      <c r="C121" s="601" t="s">
        <v>4620</v>
      </c>
      <c r="D121" s="682">
        <v>43921</v>
      </c>
      <c r="E121" s="591" t="s">
        <v>4621</v>
      </c>
      <c r="F121" s="592" t="s">
        <v>41</v>
      </c>
      <c r="G121" s="683" t="s">
        <v>3897</v>
      </c>
      <c r="H121" s="81"/>
      <c r="I121" s="81"/>
      <c r="J121" s="35"/>
      <c r="K121" s="36"/>
      <c r="L121" s="36"/>
      <c r="M121" s="36"/>
      <c r="N121" s="36"/>
      <c r="O121" s="36"/>
      <c r="P121" s="36"/>
      <c r="Q121" s="36"/>
      <c r="R121" s="36"/>
      <c r="S121" s="36"/>
      <c r="T121" s="36"/>
      <c r="U121" s="36"/>
      <c r="V121" s="36"/>
      <c r="W121" s="36"/>
      <c r="X121" s="36"/>
      <c r="Y121" s="36"/>
      <c r="Z121" s="36"/>
      <c r="AA121" s="36"/>
      <c r="AB121" s="36"/>
      <c r="AC121" s="36"/>
    </row>
    <row r="122" spans="1:29" ht="24" customHeight="1">
      <c r="A122" s="601">
        <v>117</v>
      </c>
      <c r="B122" s="601">
        <v>500</v>
      </c>
      <c r="C122" s="601" t="s">
        <v>4622</v>
      </c>
      <c r="D122" s="682">
        <v>43921</v>
      </c>
      <c r="E122" s="591" t="s">
        <v>4623</v>
      </c>
      <c r="F122" s="592" t="s">
        <v>41</v>
      </c>
      <c r="G122" s="683" t="s">
        <v>4624</v>
      </c>
      <c r="H122" s="81"/>
      <c r="I122" s="81"/>
      <c r="J122" s="35"/>
      <c r="K122" s="36"/>
      <c r="L122" s="36"/>
      <c r="M122" s="36"/>
      <c r="N122" s="36"/>
      <c r="O122" s="36"/>
      <c r="P122" s="36"/>
      <c r="Q122" s="36"/>
      <c r="R122" s="36"/>
      <c r="S122" s="36"/>
      <c r="T122" s="36"/>
      <c r="U122" s="36"/>
      <c r="V122" s="36"/>
      <c r="W122" s="36"/>
      <c r="X122" s="36"/>
      <c r="Y122" s="36"/>
      <c r="Z122" s="36"/>
      <c r="AA122" s="36"/>
      <c r="AB122" s="36"/>
      <c r="AC122" s="36"/>
    </row>
    <row r="123" spans="1:29" ht="24" customHeight="1">
      <c r="A123" s="601">
        <v>118</v>
      </c>
      <c r="B123" s="601">
        <v>511</v>
      </c>
      <c r="C123" s="601" t="s">
        <v>4422</v>
      </c>
      <c r="D123" s="682">
        <v>43922</v>
      </c>
      <c r="E123" s="591" t="s">
        <v>4625</v>
      </c>
      <c r="F123" s="592" t="s">
        <v>3844</v>
      </c>
      <c r="G123" s="683" t="s">
        <v>4626</v>
      </c>
      <c r="H123" s="81"/>
      <c r="I123" s="81"/>
      <c r="J123" s="35"/>
      <c r="K123" s="36"/>
      <c r="L123" s="36"/>
      <c r="M123" s="36"/>
      <c r="N123" s="36"/>
      <c r="O123" s="36"/>
      <c r="P123" s="36"/>
      <c r="Q123" s="36"/>
      <c r="R123" s="36"/>
      <c r="S123" s="36"/>
      <c r="T123" s="36"/>
      <c r="U123" s="36"/>
      <c r="V123" s="36"/>
      <c r="W123" s="36"/>
      <c r="X123" s="36"/>
      <c r="Y123" s="36"/>
      <c r="Z123" s="36"/>
      <c r="AA123" s="36"/>
      <c r="AB123" s="36"/>
      <c r="AC123" s="36"/>
    </row>
    <row r="124" spans="1:29" ht="24" customHeight="1">
      <c r="A124" s="601">
        <v>119</v>
      </c>
      <c r="B124" s="601">
        <v>510</v>
      </c>
      <c r="C124" s="601" t="s">
        <v>4422</v>
      </c>
      <c r="D124" s="682">
        <v>43922</v>
      </c>
      <c r="E124" s="591" t="s">
        <v>4627</v>
      </c>
      <c r="F124" s="592" t="s">
        <v>3844</v>
      </c>
      <c r="G124" s="683" t="s">
        <v>4628</v>
      </c>
      <c r="H124" s="81"/>
      <c r="I124" s="81"/>
      <c r="J124" s="35"/>
      <c r="K124" s="36"/>
      <c r="L124" s="36"/>
      <c r="M124" s="36"/>
      <c r="N124" s="36"/>
      <c r="O124" s="36"/>
      <c r="P124" s="36"/>
      <c r="Q124" s="36"/>
      <c r="R124" s="36"/>
      <c r="S124" s="36"/>
      <c r="T124" s="36"/>
      <c r="U124" s="36"/>
      <c r="V124" s="36"/>
      <c r="W124" s="36"/>
      <c r="X124" s="36"/>
      <c r="Y124" s="36"/>
      <c r="Z124" s="36"/>
      <c r="AA124" s="36"/>
      <c r="AB124" s="36"/>
      <c r="AC124" s="36"/>
    </row>
    <row r="125" spans="1:29" ht="36" customHeight="1">
      <c r="A125" s="601">
        <v>120</v>
      </c>
      <c r="B125" s="601">
        <v>509</v>
      </c>
      <c r="C125" s="601" t="s">
        <v>4422</v>
      </c>
      <c r="D125" s="682">
        <v>43922</v>
      </c>
      <c r="E125" s="591" t="s">
        <v>4629</v>
      </c>
      <c r="F125" s="592" t="s">
        <v>3844</v>
      </c>
      <c r="G125" s="683" t="s">
        <v>4630</v>
      </c>
      <c r="H125" s="81"/>
      <c r="I125" s="81"/>
      <c r="J125" s="35"/>
      <c r="K125" s="36"/>
      <c r="L125" s="36"/>
      <c r="M125" s="36"/>
      <c r="N125" s="36"/>
      <c r="O125" s="36"/>
      <c r="P125" s="36"/>
      <c r="Q125" s="36"/>
      <c r="R125" s="36"/>
      <c r="S125" s="36"/>
      <c r="T125" s="36"/>
      <c r="U125" s="36"/>
      <c r="V125" s="36"/>
      <c r="W125" s="36"/>
      <c r="X125" s="36"/>
      <c r="Y125" s="36"/>
      <c r="Z125" s="36"/>
      <c r="AA125" s="36"/>
      <c r="AB125" s="36"/>
      <c r="AC125" s="36"/>
    </row>
    <row r="126" spans="1:29" ht="36" customHeight="1">
      <c r="A126" s="601">
        <v>121</v>
      </c>
      <c r="B126" s="601">
        <v>508</v>
      </c>
      <c r="C126" s="601" t="s">
        <v>4422</v>
      </c>
      <c r="D126" s="682">
        <v>43922</v>
      </c>
      <c r="E126" s="591" t="s">
        <v>4631</v>
      </c>
      <c r="F126" s="592" t="s">
        <v>3844</v>
      </c>
      <c r="G126" s="683" t="s">
        <v>4632</v>
      </c>
      <c r="H126" s="81"/>
      <c r="I126" s="81"/>
      <c r="J126" s="35"/>
      <c r="K126" s="36"/>
      <c r="L126" s="36"/>
      <c r="M126" s="36"/>
      <c r="N126" s="36"/>
      <c r="O126" s="36"/>
      <c r="P126" s="36"/>
      <c r="Q126" s="36"/>
      <c r="R126" s="36"/>
      <c r="S126" s="36"/>
      <c r="T126" s="36"/>
      <c r="U126" s="36"/>
      <c r="V126" s="36"/>
      <c r="W126" s="36"/>
      <c r="X126" s="36"/>
      <c r="Y126" s="36"/>
      <c r="Z126" s="36"/>
      <c r="AA126" s="36"/>
      <c r="AB126" s="36"/>
      <c r="AC126" s="36"/>
    </row>
    <row r="127" spans="1:29" ht="36" customHeight="1">
      <c r="A127" s="601">
        <v>122</v>
      </c>
      <c r="B127" s="601">
        <v>507</v>
      </c>
      <c r="C127" s="601" t="s">
        <v>4422</v>
      </c>
      <c r="D127" s="682">
        <v>43922</v>
      </c>
      <c r="E127" s="591" t="s">
        <v>4633</v>
      </c>
      <c r="F127" s="592" t="s">
        <v>3844</v>
      </c>
      <c r="G127" s="683" t="s">
        <v>4634</v>
      </c>
      <c r="H127" s="81"/>
      <c r="I127" s="81"/>
      <c r="J127" s="35"/>
      <c r="K127" s="36"/>
      <c r="L127" s="36"/>
      <c r="M127" s="36"/>
      <c r="N127" s="36"/>
      <c r="O127" s="36"/>
      <c r="P127" s="36"/>
      <c r="Q127" s="36"/>
      <c r="R127" s="36"/>
      <c r="S127" s="36"/>
      <c r="T127" s="36"/>
      <c r="U127" s="36"/>
      <c r="V127" s="36"/>
      <c r="W127" s="36"/>
      <c r="X127" s="36"/>
      <c r="Y127" s="36"/>
      <c r="Z127" s="36"/>
      <c r="AA127" s="36"/>
      <c r="AB127" s="36"/>
      <c r="AC127" s="36"/>
    </row>
    <row r="128" spans="1:29" ht="36" customHeight="1">
      <c r="A128" s="601">
        <v>123</v>
      </c>
      <c r="B128" s="601">
        <v>506</v>
      </c>
      <c r="C128" s="601" t="s">
        <v>4422</v>
      </c>
      <c r="D128" s="682">
        <v>43922</v>
      </c>
      <c r="E128" s="591" t="s">
        <v>4582</v>
      </c>
      <c r="F128" s="592" t="s">
        <v>3844</v>
      </c>
      <c r="G128" s="683" t="s">
        <v>4425</v>
      </c>
      <c r="H128" s="81"/>
      <c r="I128" s="81"/>
      <c r="J128" s="35"/>
      <c r="K128" s="36"/>
      <c r="L128" s="36"/>
      <c r="M128" s="36"/>
      <c r="N128" s="36"/>
      <c r="O128" s="36"/>
      <c r="P128" s="36"/>
      <c r="Q128" s="36"/>
      <c r="R128" s="36"/>
      <c r="S128" s="36"/>
      <c r="T128" s="36"/>
      <c r="U128" s="36"/>
      <c r="V128" s="36"/>
      <c r="W128" s="36"/>
      <c r="X128" s="36"/>
      <c r="Y128" s="36"/>
      <c r="Z128" s="36"/>
      <c r="AA128" s="36"/>
      <c r="AB128" s="36"/>
      <c r="AC128" s="36"/>
    </row>
    <row r="129" spans="1:29" ht="36" customHeight="1">
      <c r="A129" s="601">
        <v>124</v>
      </c>
      <c r="B129" s="601">
        <v>507</v>
      </c>
      <c r="C129" s="601" t="s">
        <v>4422</v>
      </c>
      <c r="D129" s="682">
        <v>43922</v>
      </c>
      <c r="E129" s="591" t="s">
        <v>4635</v>
      </c>
      <c r="F129" s="592" t="s">
        <v>3844</v>
      </c>
      <c r="G129" s="683" t="s">
        <v>4636</v>
      </c>
      <c r="H129" s="81"/>
      <c r="I129" s="81"/>
      <c r="J129" s="35"/>
      <c r="K129" s="36"/>
      <c r="L129" s="36"/>
      <c r="M129" s="36"/>
      <c r="N129" s="36"/>
      <c r="O129" s="36"/>
      <c r="P129" s="36"/>
      <c r="Q129" s="36"/>
      <c r="R129" s="36"/>
      <c r="S129" s="36"/>
      <c r="T129" s="36"/>
      <c r="U129" s="36"/>
      <c r="V129" s="36"/>
      <c r="W129" s="36"/>
      <c r="X129" s="36"/>
      <c r="Y129" s="36"/>
      <c r="Z129" s="36"/>
      <c r="AA129" s="36"/>
      <c r="AB129" s="36"/>
      <c r="AC129" s="36"/>
    </row>
    <row r="130" spans="1:29" ht="36" customHeight="1">
      <c r="A130" s="601">
        <v>125</v>
      </c>
      <c r="B130" s="601">
        <v>2020012645</v>
      </c>
      <c r="C130" s="601" t="s">
        <v>4637</v>
      </c>
      <c r="D130" s="682">
        <v>43922</v>
      </c>
      <c r="E130" s="591" t="s">
        <v>4638</v>
      </c>
      <c r="F130" s="592" t="s">
        <v>41</v>
      </c>
      <c r="G130" s="683" t="s">
        <v>3897</v>
      </c>
      <c r="H130" s="81"/>
      <c r="I130" s="81"/>
      <c r="J130" s="35"/>
      <c r="K130" s="36"/>
      <c r="L130" s="36"/>
      <c r="M130" s="36"/>
      <c r="N130" s="36"/>
      <c r="O130" s="36"/>
      <c r="P130" s="36"/>
      <c r="Q130" s="36"/>
      <c r="R130" s="36"/>
      <c r="S130" s="36"/>
      <c r="T130" s="36"/>
      <c r="U130" s="36"/>
      <c r="V130" s="36"/>
      <c r="W130" s="36"/>
      <c r="X130" s="36"/>
      <c r="Y130" s="36"/>
      <c r="Z130" s="36"/>
      <c r="AA130" s="36"/>
      <c r="AB130" s="36"/>
      <c r="AC130" s="36"/>
    </row>
    <row r="131" spans="1:29" ht="36" customHeight="1">
      <c r="A131" s="601">
        <v>126</v>
      </c>
      <c r="B131" s="601">
        <v>5131</v>
      </c>
      <c r="C131" s="601" t="s">
        <v>4639</v>
      </c>
      <c r="D131" s="682">
        <v>43922</v>
      </c>
      <c r="E131" s="591" t="s">
        <v>4640</v>
      </c>
      <c r="F131" s="592" t="s">
        <v>41</v>
      </c>
      <c r="G131" s="683" t="s">
        <v>3897</v>
      </c>
      <c r="H131" s="81"/>
      <c r="I131" s="81"/>
      <c r="J131" s="35"/>
      <c r="K131" s="36"/>
      <c r="L131" s="36"/>
      <c r="M131" s="36"/>
      <c r="N131" s="36"/>
      <c r="O131" s="36"/>
      <c r="P131" s="36"/>
      <c r="Q131" s="36"/>
      <c r="R131" s="36"/>
      <c r="S131" s="36"/>
      <c r="T131" s="36"/>
      <c r="U131" s="36"/>
      <c r="V131" s="36"/>
      <c r="W131" s="36"/>
      <c r="X131" s="36"/>
      <c r="Y131" s="36"/>
      <c r="Z131" s="36"/>
      <c r="AA131" s="36"/>
      <c r="AB131" s="36"/>
      <c r="AC131" s="36"/>
    </row>
    <row r="132" spans="1:29" ht="27" customHeight="1">
      <c r="A132" s="601">
        <v>127</v>
      </c>
      <c r="B132" s="601">
        <v>513</v>
      </c>
      <c r="C132" s="601" t="s">
        <v>4422</v>
      </c>
      <c r="D132" s="682">
        <v>43923</v>
      </c>
      <c r="E132" s="591" t="s">
        <v>4641</v>
      </c>
      <c r="F132" s="592" t="s">
        <v>3844</v>
      </c>
      <c r="G132" s="683" t="s">
        <v>4642</v>
      </c>
      <c r="H132" s="81"/>
      <c r="I132" s="81"/>
      <c r="J132" s="35"/>
      <c r="K132" s="36"/>
      <c r="L132" s="36"/>
      <c r="M132" s="36"/>
      <c r="N132" s="36"/>
      <c r="O132" s="36"/>
      <c r="P132" s="36"/>
      <c r="Q132" s="36"/>
      <c r="R132" s="36"/>
      <c r="S132" s="36"/>
      <c r="T132" s="36"/>
      <c r="U132" s="36"/>
      <c r="V132" s="36"/>
      <c r="W132" s="36"/>
      <c r="X132" s="36"/>
      <c r="Y132" s="36"/>
      <c r="Z132" s="36"/>
      <c r="AA132" s="36"/>
      <c r="AB132" s="36"/>
      <c r="AC132" s="36"/>
    </row>
    <row r="133" spans="1:29" ht="48" customHeight="1">
      <c r="A133" s="601">
        <v>128</v>
      </c>
      <c r="B133" s="601">
        <v>512</v>
      </c>
      <c r="C133" s="601" t="s">
        <v>4422</v>
      </c>
      <c r="D133" s="682">
        <v>43923</v>
      </c>
      <c r="E133" s="591" t="s">
        <v>4643</v>
      </c>
      <c r="F133" s="592" t="s">
        <v>3844</v>
      </c>
      <c r="G133" s="683" t="s">
        <v>4644</v>
      </c>
      <c r="H133" s="81"/>
      <c r="I133" s="81"/>
      <c r="J133" s="35"/>
      <c r="K133" s="36"/>
      <c r="L133" s="36"/>
      <c r="M133" s="36"/>
      <c r="N133" s="36"/>
      <c r="O133" s="36"/>
      <c r="P133" s="36"/>
      <c r="Q133" s="36"/>
      <c r="R133" s="36"/>
      <c r="S133" s="36"/>
      <c r="T133" s="36"/>
      <c r="U133" s="36"/>
      <c r="V133" s="36"/>
      <c r="W133" s="36"/>
      <c r="X133" s="36"/>
      <c r="Y133" s="36"/>
      <c r="Z133" s="36"/>
      <c r="AA133" s="36"/>
      <c r="AB133" s="36"/>
      <c r="AC133" s="36"/>
    </row>
    <row r="134" spans="1:29" ht="110.25" customHeight="1">
      <c r="A134" s="601">
        <v>129</v>
      </c>
      <c r="B134" s="601">
        <v>512</v>
      </c>
      <c r="C134" s="601" t="s">
        <v>4422</v>
      </c>
      <c r="D134" s="682">
        <v>43923</v>
      </c>
      <c r="E134" s="591" t="s">
        <v>4645</v>
      </c>
      <c r="F134" s="592" t="s">
        <v>3844</v>
      </c>
      <c r="G134" s="683" t="s">
        <v>4646</v>
      </c>
      <c r="H134" s="81"/>
      <c r="I134" s="81"/>
      <c r="J134" s="35"/>
      <c r="K134" s="36"/>
      <c r="L134" s="36"/>
      <c r="M134" s="36"/>
      <c r="N134" s="36"/>
      <c r="O134" s="36"/>
      <c r="P134" s="36"/>
      <c r="Q134" s="36"/>
      <c r="R134" s="36"/>
      <c r="S134" s="36"/>
      <c r="T134" s="36"/>
      <c r="U134" s="36"/>
      <c r="V134" s="36"/>
      <c r="W134" s="36"/>
      <c r="X134" s="36"/>
      <c r="Y134" s="36"/>
      <c r="Z134" s="36"/>
      <c r="AA134" s="36"/>
      <c r="AB134" s="36"/>
      <c r="AC134" s="36"/>
    </row>
    <row r="135" spans="1:29" ht="42" customHeight="1">
      <c r="A135" s="601">
        <v>130</v>
      </c>
      <c r="B135" s="601">
        <v>457</v>
      </c>
      <c r="C135" s="601" t="s">
        <v>4647</v>
      </c>
      <c r="D135" s="682">
        <v>43923</v>
      </c>
      <c r="E135" s="591" t="s">
        <v>4648</v>
      </c>
      <c r="F135" s="592" t="s">
        <v>41</v>
      </c>
      <c r="G135" s="683" t="s">
        <v>3897</v>
      </c>
      <c r="H135" s="81"/>
      <c r="I135" s="81"/>
      <c r="J135" s="35"/>
      <c r="K135" s="36"/>
      <c r="L135" s="36"/>
      <c r="M135" s="36"/>
      <c r="N135" s="36"/>
      <c r="O135" s="36"/>
      <c r="P135" s="36"/>
      <c r="Q135" s="36"/>
      <c r="R135" s="36"/>
      <c r="S135" s="36"/>
      <c r="T135" s="36"/>
      <c r="U135" s="36"/>
      <c r="V135" s="36"/>
      <c r="W135" s="36"/>
      <c r="X135" s="36"/>
      <c r="Y135" s="36"/>
      <c r="Z135" s="36"/>
      <c r="AA135" s="36"/>
      <c r="AB135" s="36"/>
      <c r="AC135" s="36"/>
    </row>
    <row r="136" spans="1:29" ht="396" customHeight="1">
      <c r="A136" s="601">
        <v>131</v>
      </c>
      <c r="B136" s="601">
        <v>20201010125131</v>
      </c>
      <c r="C136" s="601" t="s">
        <v>4649</v>
      </c>
      <c r="D136" s="682">
        <v>43923</v>
      </c>
      <c r="E136" s="591" t="s">
        <v>4650</v>
      </c>
      <c r="F136" s="592" t="s">
        <v>41</v>
      </c>
      <c r="G136" s="683" t="s">
        <v>3897</v>
      </c>
      <c r="H136" s="81"/>
      <c r="I136" s="81"/>
      <c r="J136" s="35"/>
      <c r="K136" s="36"/>
      <c r="L136" s="36"/>
      <c r="M136" s="36"/>
      <c r="N136" s="36"/>
      <c r="O136" s="36"/>
      <c r="P136" s="36"/>
      <c r="Q136" s="36"/>
      <c r="R136" s="36"/>
      <c r="S136" s="36"/>
      <c r="T136" s="36"/>
      <c r="U136" s="36"/>
      <c r="V136" s="36"/>
      <c r="W136" s="36"/>
      <c r="X136" s="36"/>
      <c r="Y136" s="36"/>
      <c r="Z136" s="36"/>
      <c r="AA136" s="36"/>
      <c r="AB136" s="36"/>
      <c r="AC136" s="36"/>
    </row>
    <row r="137" spans="1:29" ht="36" customHeight="1">
      <c r="A137" s="601">
        <v>132</v>
      </c>
      <c r="B137" s="601">
        <v>29</v>
      </c>
      <c r="C137" s="601" t="s">
        <v>4651</v>
      </c>
      <c r="D137" s="682">
        <v>43924</v>
      </c>
      <c r="E137" s="591" t="s">
        <v>4652</v>
      </c>
      <c r="F137" s="592" t="s">
        <v>41</v>
      </c>
      <c r="G137" s="683" t="s">
        <v>4653</v>
      </c>
      <c r="H137" s="81"/>
      <c r="I137" s="81"/>
      <c r="J137" s="35"/>
      <c r="K137" s="36"/>
      <c r="L137" s="36"/>
      <c r="M137" s="36"/>
      <c r="N137" s="36"/>
      <c r="O137" s="36"/>
      <c r="P137" s="36"/>
      <c r="Q137" s="36"/>
      <c r="R137" s="36"/>
      <c r="S137" s="36"/>
      <c r="T137" s="36"/>
      <c r="U137" s="36"/>
      <c r="V137" s="36"/>
      <c r="W137" s="36"/>
      <c r="X137" s="36"/>
      <c r="Y137" s="36"/>
      <c r="Z137" s="36"/>
      <c r="AA137" s="36"/>
      <c r="AB137" s="36"/>
      <c r="AC137" s="36"/>
    </row>
    <row r="138" spans="1:29" ht="24" customHeight="1">
      <c r="A138" s="601">
        <v>133</v>
      </c>
      <c r="B138" s="601">
        <v>518</v>
      </c>
      <c r="C138" s="601" t="s">
        <v>4422</v>
      </c>
      <c r="D138" s="682">
        <v>43925</v>
      </c>
      <c r="E138" s="591" t="s">
        <v>4654</v>
      </c>
      <c r="F138" s="592" t="s">
        <v>3844</v>
      </c>
      <c r="G138" s="683" t="s">
        <v>4655</v>
      </c>
      <c r="H138" s="81"/>
      <c r="I138" s="81"/>
      <c r="J138" s="35"/>
      <c r="K138" s="36"/>
      <c r="L138" s="36"/>
      <c r="M138" s="36"/>
      <c r="N138" s="36"/>
      <c r="O138" s="36"/>
      <c r="P138" s="36"/>
      <c r="Q138" s="36"/>
      <c r="R138" s="36"/>
      <c r="S138" s="36"/>
      <c r="T138" s="36"/>
      <c r="U138" s="36"/>
      <c r="V138" s="36"/>
      <c r="W138" s="36"/>
      <c r="X138" s="36"/>
      <c r="Y138" s="36"/>
      <c r="Z138" s="36"/>
      <c r="AA138" s="36"/>
      <c r="AB138" s="36"/>
      <c r="AC138" s="36"/>
    </row>
    <row r="139" spans="1:29" ht="60" customHeight="1">
      <c r="A139" s="601">
        <v>134</v>
      </c>
      <c r="B139" s="601">
        <v>517</v>
      </c>
      <c r="C139" s="601" t="s">
        <v>4422</v>
      </c>
      <c r="D139" s="682">
        <v>43925</v>
      </c>
      <c r="E139" s="591" t="s">
        <v>4656</v>
      </c>
      <c r="F139" s="592" t="s">
        <v>3844</v>
      </c>
      <c r="G139" s="683" t="s">
        <v>4657</v>
      </c>
      <c r="H139" s="81"/>
      <c r="I139" s="81"/>
      <c r="J139" s="35"/>
      <c r="K139" s="36"/>
      <c r="L139" s="36"/>
      <c r="M139" s="36"/>
      <c r="N139" s="36"/>
      <c r="O139" s="36"/>
      <c r="P139" s="36"/>
      <c r="Q139" s="36"/>
      <c r="R139" s="36"/>
      <c r="S139" s="36"/>
      <c r="T139" s="36"/>
      <c r="U139" s="36"/>
      <c r="V139" s="36"/>
      <c r="W139" s="36"/>
      <c r="X139" s="36"/>
      <c r="Y139" s="36"/>
      <c r="Z139" s="36"/>
      <c r="AA139" s="36"/>
      <c r="AB139" s="36"/>
      <c r="AC139" s="36"/>
    </row>
    <row r="140" spans="1:29" ht="48" customHeight="1">
      <c r="A140" s="601">
        <v>135</v>
      </c>
      <c r="B140" s="601">
        <v>516</v>
      </c>
      <c r="C140" s="601" t="s">
        <v>4422</v>
      </c>
      <c r="D140" s="682">
        <v>43925</v>
      </c>
      <c r="E140" s="591" t="s">
        <v>4658</v>
      </c>
      <c r="F140" s="592" t="s">
        <v>3844</v>
      </c>
      <c r="G140" s="683" t="s">
        <v>4659</v>
      </c>
      <c r="H140" s="81"/>
      <c r="I140" s="81"/>
      <c r="J140" s="35"/>
      <c r="K140" s="36"/>
      <c r="L140" s="36"/>
      <c r="M140" s="36"/>
      <c r="N140" s="36"/>
      <c r="O140" s="36"/>
      <c r="P140" s="36"/>
      <c r="Q140" s="36"/>
      <c r="R140" s="36"/>
      <c r="S140" s="36"/>
      <c r="T140" s="36"/>
      <c r="U140" s="36"/>
      <c r="V140" s="36"/>
      <c r="W140" s="36"/>
      <c r="X140" s="36"/>
      <c r="Y140" s="36"/>
      <c r="Z140" s="36"/>
      <c r="AA140" s="36"/>
      <c r="AB140" s="36"/>
      <c r="AC140" s="36"/>
    </row>
    <row r="141" spans="1:29" ht="48" customHeight="1">
      <c r="A141" s="601">
        <v>136</v>
      </c>
      <c r="B141" s="601">
        <v>515</v>
      </c>
      <c r="C141" s="601" t="s">
        <v>4422</v>
      </c>
      <c r="D141" s="682">
        <v>43925</v>
      </c>
      <c r="E141" s="591" t="s">
        <v>4660</v>
      </c>
      <c r="F141" s="592" t="s">
        <v>3844</v>
      </c>
      <c r="G141" s="683" t="s">
        <v>4661</v>
      </c>
      <c r="H141" s="81"/>
      <c r="I141" s="81"/>
      <c r="J141" s="35"/>
      <c r="K141" s="36"/>
      <c r="L141" s="36"/>
      <c r="M141" s="36"/>
      <c r="N141" s="36"/>
      <c r="O141" s="36"/>
      <c r="P141" s="36"/>
      <c r="Q141" s="36"/>
      <c r="R141" s="36"/>
      <c r="S141" s="36"/>
      <c r="T141" s="36"/>
      <c r="U141" s="36"/>
      <c r="V141" s="36"/>
      <c r="W141" s="36"/>
      <c r="X141" s="36"/>
      <c r="Y141" s="36"/>
      <c r="Z141" s="36"/>
      <c r="AA141" s="36"/>
      <c r="AB141" s="36"/>
      <c r="AC141" s="36"/>
    </row>
    <row r="142" spans="1:29" ht="60" customHeight="1">
      <c r="A142" s="601">
        <v>137</v>
      </c>
      <c r="B142" s="601">
        <v>514</v>
      </c>
      <c r="C142" s="601" t="s">
        <v>4422</v>
      </c>
      <c r="D142" s="687">
        <v>43925</v>
      </c>
      <c r="E142" s="591" t="s">
        <v>4662</v>
      </c>
      <c r="F142" s="592" t="s">
        <v>3844</v>
      </c>
      <c r="G142" s="683" t="s">
        <v>4663</v>
      </c>
      <c r="H142" s="81"/>
      <c r="I142" s="81"/>
      <c r="J142" s="35"/>
      <c r="K142" s="36"/>
      <c r="L142" s="36"/>
      <c r="M142" s="36"/>
      <c r="N142" s="36"/>
      <c r="O142" s="36"/>
      <c r="P142" s="36"/>
      <c r="Q142" s="36"/>
      <c r="R142" s="36"/>
      <c r="S142" s="36"/>
      <c r="T142" s="36"/>
      <c r="U142" s="36"/>
      <c r="V142" s="36"/>
      <c r="W142" s="36"/>
      <c r="X142" s="36"/>
      <c r="Y142" s="36"/>
      <c r="Z142" s="36"/>
      <c r="AA142" s="36"/>
      <c r="AB142" s="36"/>
      <c r="AC142" s="36"/>
    </row>
    <row r="143" spans="1:29" ht="88.5" customHeight="1">
      <c r="A143" s="601">
        <v>138</v>
      </c>
      <c r="B143" s="601">
        <v>519</v>
      </c>
      <c r="C143" s="601" t="s">
        <v>4422</v>
      </c>
      <c r="D143" s="687">
        <v>43926</v>
      </c>
      <c r="E143" s="591" t="s">
        <v>4664</v>
      </c>
      <c r="F143" s="592" t="s">
        <v>3844</v>
      </c>
      <c r="G143" s="683" t="s">
        <v>4665</v>
      </c>
      <c r="H143" s="81"/>
      <c r="I143" s="81"/>
      <c r="J143" s="35"/>
      <c r="K143" s="36"/>
      <c r="L143" s="36"/>
      <c r="M143" s="36"/>
      <c r="N143" s="36"/>
      <c r="O143" s="36"/>
      <c r="P143" s="36"/>
      <c r="Q143" s="36"/>
      <c r="R143" s="36"/>
      <c r="S143" s="36"/>
      <c r="T143" s="36"/>
      <c r="U143" s="36"/>
      <c r="V143" s="36"/>
      <c r="W143" s="36"/>
      <c r="X143" s="36"/>
      <c r="Y143" s="36"/>
      <c r="Z143" s="36"/>
      <c r="AA143" s="36"/>
      <c r="AB143" s="36"/>
      <c r="AC143" s="36"/>
    </row>
    <row r="144" spans="1:29" ht="24" customHeight="1">
      <c r="A144" s="601">
        <v>139</v>
      </c>
      <c r="B144" s="601">
        <v>522</v>
      </c>
      <c r="C144" s="601" t="s">
        <v>4422</v>
      </c>
      <c r="D144" s="687">
        <v>43927</v>
      </c>
      <c r="E144" s="591" t="s">
        <v>4666</v>
      </c>
      <c r="F144" s="592" t="s">
        <v>3844</v>
      </c>
      <c r="G144" s="683" t="s">
        <v>4667</v>
      </c>
      <c r="H144" s="81"/>
      <c r="I144" s="81"/>
      <c r="J144" s="35"/>
      <c r="K144" s="36"/>
      <c r="L144" s="36"/>
      <c r="M144" s="36"/>
      <c r="N144" s="36"/>
      <c r="O144" s="36"/>
      <c r="P144" s="36"/>
      <c r="Q144" s="36"/>
      <c r="R144" s="36"/>
      <c r="S144" s="36"/>
      <c r="T144" s="36"/>
      <c r="U144" s="36"/>
      <c r="V144" s="36"/>
      <c r="W144" s="36"/>
      <c r="X144" s="36"/>
      <c r="Y144" s="36"/>
      <c r="Z144" s="36"/>
      <c r="AA144" s="36"/>
      <c r="AB144" s="36"/>
      <c r="AC144" s="36"/>
    </row>
    <row r="145" spans="1:29" ht="24" customHeight="1">
      <c r="A145" s="601">
        <v>140</v>
      </c>
      <c r="B145" s="601">
        <v>521</v>
      </c>
      <c r="C145" s="601" t="s">
        <v>4422</v>
      </c>
      <c r="D145" s="687">
        <v>43927</v>
      </c>
      <c r="E145" s="591" t="s">
        <v>4668</v>
      </c>
      <c r="F145" s="592" t="s">
        <v>3844</v>
      </c>
      <c r="G145" s="683" t="s">
        <v>4669</v>
      </c>
      <c r="H145" s="81"/>
      <c r="I145" s="81"/>
      <c r="J145" s="35"/>
      <c r="K145" s="36"/>
      <c r="L145" s="36"/>
      <c r="M145" s="36"/>
      <c r="N145" s="36"/>
      <c r="O145" s="36"/>
      <c r="P145" s="36"/>
      <c r="Q145" s="36"/>
      <c r="R145" s="36"/>
      <c r="S145" s="36"/>
      <c r="T145" s="36"/>
      <c r="U145" s="36"/>
      <c r="V145" s="36"/>
      <c r="W145" s="36"/>
      <c r="X145" s="36"/>
      <c r="Y145" s="36"/>
      <c r="Z145" s="36"/>
      <c r="AA145" s="36"/>
      <c r="AB145" s="36"/>
      <c r="AC145" s="36"/>
    </row>
    <row r="146" spans="1:29" ht="36" customHeight="1">
      <c r="A146" s="601">
        <v>141</v>
      </c>
      <c r="B146" s="601">
        <v>520</v>
      </c>
      <c r="C146" s="601" t="s">
        <v>4422</v>
      </c>
      <c r="D146" s="687">
        <v>43927</v>
      </c>
      <c r="E146" s="591" t="s">
        <v>4670</v>
      </c>
      <c r="F146" s="592" t="s">
        <v>3844</v>
      </c>
      <c r="G146" s="683" t="s">
        <v>4671</v>
      </c>
      <c r="H146" s="81"/>
      <c r="I146" s="81"/>
      <c r="J146" s="35"/>
      <c r="K146" s="36"/>
      <c r="L146" s="36"/>
      <c r="M146" s="36"/>
      <c r="N146" s="36"/>
      <c r="O146" s="36"/>
      <c r="P146" s="36"/>
      <c r="Q146" s="36"/>
      <c r="R146" s="36"/>
      <c r="S146" s="36"/>
      <c r="T146" s="36"/>
      <c r="U146" s="36"/>
      <c r="V146" s="36"/>
      <c r="W146" s="36"/>
      <c r="X146" s="36"/>
      <c r="Y146" s="36"/>
      <c r="Z146" s="36"/>
      <c r="AA146" s="36"/>
      <c r="AB146" s="36"/>
      <c r="AC146" s="36"/>
    </row>
    <row r="147" spans="1:29" ht="60" customHeight="1">
      <c r="A147" s="601">
        <v>142</v>
      </c>
      <c r="B147" s="601">
        <v>529</v>
      </c>
      <c r="C147" s="601" t="s">
        <v>4422</v>
      </c>
      <c r="D147" s="682">
        <v>43928</v>
      </c>
      <c r="E147" s="591" t="s">
        <v>4672</v>
      </c>
      <c r="F147" s="592" t="s">
        <v>3844</v>
      </c>
      <c r="G147" s="683" t="s">
        <v>4673</v>
      </c>
      <c r="H147" s="81"/>
      <c r="I147" s="81"/>
      <c r="J147" s="35"/>
      <c r="K147" s="36"/>
      <c r="L147" s="36"/>
      <c r="M147" s="36"/>
      <c r="N147" s="36"/>
      <c r="O147" s="36"/>
      <c r="P147" s="36"/>
      <c r="Q147" s="36"/>
      <c r="R147" s="36"/>
      <c r="S147" s="36"/>
      <c r="T147" s="36"/>
      <c r="U147" s="36"/>
      <c r="V147" s="36"/>
      <c r="W147" s="36"/>
      <c r="X147" s="36"/>
      <c r="Y147" s="36"/>
      <c r="Z147" s="36"/>
      <c r="AA147" s="36"/>
      <c r="AB147" s="36"/>
      <c r="AC147" s="36"/>
    </row>
    <row r="148" spans="1:29" ht="24" customHeight="1">
      <c r="A148" s="601">
        <v>143</v>
      </c>
      <c r="B148" s="601">
        <v>528</v>
      </c>
      <c r="C148" s="601" t="s">
        <v>4422</v>
      </c>
      <c r="D148" s="682">
        <v>43928</v>
      </c>
      <c r="E148" s="591" t="s">
        <v>4674</v>
      </c>
      <c r="F148" s="592" t="s">
        <v>3844</v>
      </c>
      <c r="G148" s="683" t="s">
        <v>4675</v>
      </c>
      <c r="H148" s="81"/>
      <c r="I148" s="81"/>
      <c r="J148" s="35"/>
      <c r="K148" s="36"/>
      <c r="L148" s="36"/>
      <c r="M148" s="36"/>
      <c r="N148" s="36"/>
      <c r="O148" s="36"/>
      <c r="P148" s="36"/>
      <c r="Q148" s="36"/>
      <c r="R148" s="36"/>
      <c r="S148" s="36"/>
      <c r="T148" s="36"/>
      <c r="U148" s="36"/>
      <c r="V148" s="36"/>
      <c r="W148" s="36"/>
      <c r="X148" s="36"/>
      <c r="Y148" s="36"/>
      <c r="Z148" s="36"/>
      <c r="AA148" s="36"/>
      <c r="AB148" s="36"/>
      <c r="AC148" s="36"/>
    </row>
    <row r="149" spans="1:29" ht="27.75" customHeight="1">
      <c r="A149" s="601">
        <v>144</v>
      </c>
      <c r="B149" s="601">
        <v>527</v>
      </c>
      <c r="C149" s="601" t="s">
        <v>4422</v>
      </c>
      <c r="D149" s="682">
        <v>43928</v>
      </c>
      <c r="E149" s="591" t="s">
        <v>4676</v>
      </c>
      <c r="F149" s="592" t="s">
        <v>3844</v>
      </c>
      <c r="G149" s="683" t="s">
        <v>4677</v>
      </c>
      <c r="H149" s="81"/>
      <c r="I149" s="81"/>
      <c r="J149" s="35"/>
      <c r="K149" s="36"/>
      <c r="L149" s="36"/>
      <c r="M149" s="36"/>
      <c r="N149" s="36"/>
      <c r="O149" s="36"/>
      <c r="P149" s="36"/>
      <c r="Q149" s="36"/>
      <c r="R149" s="36"/>
      <c r="S149" s="36"/>
      <c r="T149" s="36"/>
      <c r="U149" s="36"/>
      <c r="V149" s="36"/>
      <c r="W149" s="36"/>
      <c r="X149" s="36"/>
      <c r="Y149" s="36"/>
      <c r="Z149" s="36"/>
      <c r="AA149" s="36"/>
      <c r="AB149" s="36"/>
      <c r="AC149" s="36"/>
    </row>
    <row r="150" spans="1:29" ht="24" customHeight="1">
      <c r="A150" s="601">
        <v>145</v>
      </c>
      <c r="B150" s="601">
        <v>526</v>
      </c>
      <c r="C150" s="601" t="s">
        <v>4422</v>
      </c>
      <c r="D150" s="682">
        <v>43928</v>
      </c>
      <c r="E150" s="591" t="s">
        <v>4678</v>
      </c>
      <c r="F150" s="592" t="s">
        <v>3844</v>
      </c>
      <c r="G150" s="683" t="s">
        <v>4679</v>
      </c>
      <c r="H150" s="81"/>
      <c r="I150" s="81"/>
      <c r="J150" s="35"/>
      <c r="K150" s="36"/>
      <c r="L150" s="36"/>
      <c r="M150" s="36"/>
      <c r="N150" s="36"/>
      <c r="O150" s="36"/>
      <c r="P150" s="36"/>
      <c r="Q150" s="36"/>
      <c r="R150" s="36"/>
      <c r="S150" s="36"/>
      <c r="T150" s="36"/>
      <c r="U150" s="36"/>
      <c r="V150" s="36"/>
      <c r="W150" s="36"/>
      <c r="X150" s="36"/>
      <c r="Y150" s="36"/>
      <c r="Z150" s="36"/>
      <c r="AA150" s="36"/>
      <c r="AB150" s="36"/>
      <c r="AC150" s="36"/>
    </row>
    <row r="151" spans="1:29" ht="24" customHeight="1">
      <c r="A151" s="601">
        <v>146</v>
      </c>
      <c r="B151" s="601">
        <v>525</v>
      </c>
      <c r="C151" s="601" t="s">
        <v>4422</v>
      </c>
      <c r="D151" s="682">
        <v>43928</v>
      </c>
      <c r="E151" s="591" t="s">
        <v>4660</v>
      </c>
      <c r="F151" s="592" t="s">
        <v>3844</v>
      </c>
      <c r="G151" s="683" t="s">
        <v>4680</v>
      </c>
      <c r="H151" s="81"/>
      <c r="I151" s="81"/>
      <c r="J151" s="35"/>
      <c r="K151" s="36"/>
      <c r="L151" s="36"/>
      <c r="M151" s="36"/>
      <c r="N151" s="36"/>
      <c r="O151" s="36"/>
      <c r="P151" s="36"/>
      <c r="Q151" s="36"/>
      <c r="R151" s="36"/>
      <c r="S151" s="36"/>
      <c r="T151" s="36"/>
      <c r="U151" s="36"/>
      <c r="V151" s="36"/>
      <c r="W151" s="36"/>
      <c r="X151" s="36"/>
      <c r="Y151" s="36"/>
      <c r="Z151" s="36"/>
      <c r="AA151" s="36"/>
      <c r="AB151" s="36"/>
      <c r="AC151" s="36"/>
    </row>
    <row r="152" spans="1:29" ht="24" customHeight="1">
      <c r="A152" s="601">
        <v>147</v>
      </c>
      <c r="B152" s="601">
        <v>524</v>
      </c>
      <c r="C152" s="601" t="s">
        <v>4422</v>
      </c>
      <c r="D152" s="682">
        <v>43928</v>
      </c>
      <c r="E152" s="591" t="s">
        <v>4681</v>
      </c>
      <c r="F152" s="592" t="s">
        <v>3844</v>
      </c>
      <c r="G152" s="683" t="s">
        <v>4682</v>
      </c>
      <c r="H152" s="81"/>
      <c r="I152" s="81"/>
      <c r="J152" s="35"/>
      <c r="K152" s="36"/>
      <c r="L152" s="36"/>
      <c r="M152" s="36"/>
      <c r="N152" s="36"/>
      <c r="O152" s="36"/>
      <c r="P152" s="36"/>
      <c r="Q152" s="36"/>
      <c r="R152" s="36"/>
      <c r="S152" s="36"/>
      <c r="T152" s="36"/>
      <c r="U152" s="36"/>
      <c r="V152" s="36"/>
      <c r="W152" s="36"/>
      <c r="X152" s="36"/>
      <c r="Y152" s="36"/>
      <c r="Z152" s="36"/>
      <c r="AA152" s="36"/>
      <c r="AB152" s="36"/>
      <c r="AC152" s="36"/>
    </row>
    <row r="153" spans="1:29" ht="24" customHeight="1">
      <c r="A153" s="601">
        <v>148</v>
      </c>
      <c r="B153" s="601">
        <v>523</v>
      </c>
      <c r="C153" s="601" t="s">
        <v>4422</v>
      </c>
      <c r="D153" s="682">
        <v>43928</v>
      </c>
      <c r="E153" s="591" t="s">
        <v>4683</v>
      </c>
      <c r="F153" s="592" t="s">
        <v>3844</v>
      </c>
      <c r="G153" s="683" t="s">
        <v>4684</v>
      </c>
      <c r="H153" s="81"/>
      <c r="I153" s="81"/>
      <c r="J153" s="35"/>
      <c r="K153" s="36"/>
      <c r="L153" s="36"/>
      <c r="M153" s="36"/>
      <c r="N153" s="36"/>
      <c r="O153" s="36"/>
      <c r="P153" s="36"/>
      <c r="Q153" s="36"/>
      <c r="R153" s="36"/>
      <c r="S153" s="36"/>
      <c r="T153" s="36"/>
      <c r="U153" s="36"/>
      <c r="V153" s="36"/>
      <c r="W153" s="36"/>
      <c r="X153" s="36"/>
      <c r="Y153" s="36"/>
      <c r="Z153" s="36"/>
      <c r="AA153" s="36"/>
      <c r="AB153" s="36"/>
      <c r="AC153" s="36"/>
    </row>
    <row r="154" spans="1:29" ht="36" customHeight="1">
      <c r="A154" s="601">
        <v>149</v>
      </c>
      <c r="B154" s="601">
        <v>532</v>
      </c>
      <c r="C154" s="601" t="s">
        <v>4422</v>
      </c>
      <c r="D154" s="682">
        <v>43929</v>
      </c>
      <c r="E154" s="591" t="s">
        <v>4685</v>
      </c>
      <c r="F154" s="592" t="s">
        <v>3844</v>
      </c>
      <c r="G154" s="683" t="s">
        <v>4686</v>
      </c>
      <c r="H154" s="81"/>
      <c r="I154" s="81"/>
      <c r="J154" s="35"/>
      <c r="K154" s="36"/>
      <c r="L154" s="36"/>
      <c r="M154" s="36"/>
      <c r="N154" s="36"/>
      <c r="O154" s="36"/>
      <c r="P154" s="36"/>
      <c r="Q154" s="36"/>
      <c r="R154" s="36"/>
      <c r="S154" s="36"/>
      <c r="T154" s="36"/>
      <c r="U154" s="36"/>
      <c r="V154" s="36"/>
      <c r="W154" s="36"/>
      <c r="X154" s="36"/>
      <c r="Y154" s="36"/>
      <c r="Z154" s="36"/>
      <c r="AA154" s="36"/>
      <c r="AB154" s="36"/>
      <c r="AC154" s="36"/>
    </row>
    <row r="155" spans="1:29" ht="48" customHeight="1">
      <c r="A155" s="601">
        <v>150</v>
      </c>
      <c r="B155" s="601">
        <v>531</v>
      </c>
      <c r="C155" s="601" t="s">
        <v>4422</v>
      </c>
      <c r="D155" s="682">
        <v>43929</v>
      </c>
      <c r="E155" s="591" t="s">
        <v>4074</v>
      </c>
      <c r="F155" s="592" t="s">
        <v>4075</v>
      </c>
      <c r="G155" s="683" t="s">
        <v>4076</v>
      </c>
      <c r="H155" s="81"/>
      <c r="I155" s="81"/>
      <c r="J155" s="35"/>
      <c r="K155" s="36"/>
      <c r="L155" s="36"/>
      <c r="M155" s="36"/>
      <c r="N155" s="36"/>
      <c r="O155" s="36"/>
      <c r="P155" s="36"/>
      <c r="Q155" s="36"/>
      <c r="R155" s="36"/>
      <c r="S155" s="36"/>
      <c r="T155" s="36"/>
      <c r="U155" s="36"/>
      <c r="V155" s="36"/>
      <c r="W155" s="36"/>
      <c r="X155" s="36"/>
      <c r="Y155" s="36"/>
      <c r="Z155" s="36"/>
      <c r="AA155" s="36"/>
      <c r="AB155" s="36"/>
      <c r="AC155" s="36"/>
    </row>
    <row r="156" spans="1:29" ht="36" customHeight="1">
      <c r="A156" s="601">
        <v>151</v>
      </c>
      <c r="B156" s="601">
        <v>530</v>
      </c>
      <c r="C156" s="601" t="s">
        <v>4422</v>
      </c>
      <c r="D156" s="682">
        <v>43929</v>
      </c>
      <c r="E156" s="591" t="s">
        <v>4687</v>
      </c>
      <c r="F156" s="592" t="s">
        <v>3844</v>
      </c>
      <c r="G156" s="683" t="s">
        <v>4688</v>
      </c>
      <c r="H156" s="81"/>
      <c r="I156" s="81"/>
      <c r="J156" s="35"/>
      <c r="K156" s="36"/>
      <c r="L156" s="36"/>
      <c r="M156" s="36"/>
      <c r="N156" s="36"/>
      <c r="O156" s="36"/>
      <c r="P156" s="36"/>
      <c r="Q156" s="36"/>
      <c r="R156" s="36"/>
      <c r="S156" s="36"/>
      <c r="T156" s="36"/>
      <c r="U156" s="36"/>
      <c r="V156" s="36"/>
      <c r="W156" s="36"/>
      <c r="X156" s="36"/>
      <c r="Y156" s="36"/>
      <c r="Z156" s="36"/>
      <c r="AA156" s="36"/>
      <c r="AB156" s="36"/>
      <c r="AC156" s="36"/>
    </row>
    <row r="157" spans="1:29" ht="24" customHeight="1">
      <c r="A157" s="601">
        <v>152</v>
      </c>
      <c r="B157" s="601">
        <v>3</v>
      </c>
      <c r="C157" s="601" t="s">
        <v>4689</v>
      </c>
      <c r="D157" s="682">
        <v>43929</v>
      </c>
      <c r="E157" s="591" t="s">
        <v>4690</v>
      </c>
      <c r="F157" s="592" t="s">
        <v>41</v>
      </c>
      <c r="G157" s="683" t="s">
        <v>4691</v>
      </c>
      <c r="H157" s="81"/>
      <c r="I157" s="81"/>
      <c r="J157" s="35"/>
      <c r="K157" s="36"/>
      <c r="L157" s="36"/>
      <c r="M157" s="36"/>
      <c r="N157" s="36"/>
      <c r="O157" s="36"/>
      <c r="P157" s="36"/>
      <c r="Q157" s="36"/>
      <c r="R157" s="36"/>
      <c r="S157" s="36"/>
      <c r="T157" s="36"/>
      <c r="U157" s="36"/>
      <c r="V157" s="36"/>
      <c r="W157" s="36"/>
      <c r="X157" s="36"/>
      <c r="Y157" s="36"/>
      <c r="Z157" s="36"/>
      <c r="AA157" s="36"/>
      <c r="AB157" s="36"/>
      <c r="AC157" s="36"/>
    </row>
    <row r="158" spans="1:29" ht="24" customHeight="1">
      <c r="A158" s="601">
        <v>153</v>
      </c>
      <c r="B158" s="601">
        <v>533</v>
      </c>
      <c r="C158" s="601" t="s">
        <v>4422</v>
      </c>
      <c r="D158" s="682">
        <v>43930</v>
      </c>
      <c r="E158" s="591" t="s">
        <v>4692</v>
      </c>
      <c r="F158" s="592" t="s">
        <v>3844</v>
      </c>
      <c r="G158" s="683" t="s">
        <v>4693</v>
      </c>
      <c r="H158" s="81"/>
      <c r="I158" s="81"/>
      <c r="J158" s="35"/>
      <c r="K158" s="36"/>
      <c r="L158" s="36"/>
      <c r="M158" s="36"/>
      <c r="N158" s="36"/>
      <c r="O158" s="36"/>
      <c r="P158" s="36"/>
      <c r="Q158" s="36"/>
      <c r="R158" s="36"/>
      <c r="S158" s="36"/>
      <c r="T158" s="36"/>
      <c r="U158" s="36"/>
      <c r="V158" s="36"/>
      <c r="W158" s="36"/>
      <c r="X158" s="36"/>
      <c r="Y158" s="36"/>
      <c r="Z158" s="36"/>
      <c r="AA158" s="36"/>
      <c r="AB158" s="36"/>
      <c r="AC158" s="36"/>
    </row>
    <row r="159" spans="1:29" ht="36" customHeight="1">
      <c r="A159" s="601">
        <v>154</v>
      </c>
      <c r="B159" s="601">
        <v>4</v>
      </c>
      <c r="C159" s="601" t="s">
        <v>4694</v>
      </c>
      <c r="D159" s="682">
        <v>43930</v>
      </c>
      <c r="E159" s="591" t="s">
        <v>4695</v>
      </c>
      <c r="F159" s="592" t="s">
        <v>41</v>
      </c>
      <c r="G159" s="683" t="s">
        <v>4696</v>
      </c>
      <c r="H159" s="81"/>
      <c r="I159" s="81"/>
      <c r="J159" s="35"/>
      <c r="K159" s="36"/>
      <c r="L159" s="36"/>
      <c r="M159" s="36"/>
      <c r="N159" s="36"/>
      <c r="O159" s="36"/>
      <c r="P159" s="36"/>
      <c r="Q159" s="36"/>
      <c r="R159" s="36"/>
      <c r="S159" s="36"/>
      <c r="T159" s="36"/>
      <c r="U159" s="36"/>
      <c r="V159" s="36"/>
      <c r="W159" s="36"/>
      <c r="X159" s="36"/>
      <c r="Y159" s="36"/>
      <c r="Z159" s="36"/>
      <c r="AA159" s="36"/>
      <c r="AB159" s="36"/>
      <c r="AC159" s="36"/>
    </row>
    <row r="160" spans="1:29" ht="24" customHeight="1">
      <c r="A160" s="601">
        <v>155</v>
      </c>
      <c r="B160" s="601">
        <v>535</v>
      </c>
      <c r="C160" s="601" t="s">
        <v>4422</v>
      </c>
      <c r="D160" s="682">
        <v>43931</v>
      </c>
      <c r="E160" s="591" t="s">
        <v>4697</v>
      </c>
      <c r="F160" s="592" t="s">
        <v>3844</v>
      </c>
      <c r="G160" s="683" t="s">
        <v>4698</v>
      </c>
      <c r="H160" s="81"/>
      <c r="I160" s="81"/>
      <c r="J160" s="35"/>
      <c r="K160" s="36"/>
      <c r="L160" s="36"/>
      <c r="M160" s="36"/>
      <c r="N160" s="36"/>
      <c r="O160" s="36"/>
      <c r="P160" s="36"/>
      <c r="Q160" s="36"/>
      <c r="R160" s="36"/>
      <c r="S160" s="36"/>
      <c r="T160" s="36"/>
      <c r="U160" s="36"/>
      <c r="V160" s="36"/>
      <c r="W160" s="36"/>
      <c r="X160" s="36"/>
      <c r="Y160" s="36"/>
      <c r="Z160" s="36"/>
      <c r="AA160" s="36"/>
      <c r="AB160" s="36"/>
      <c r="AC160" s="36"/>
    </row>
    <row r="161" spans="1:29" ht="36.75" customHeight="1">
      <c r="A161" s="601">
        <v>156</v>
      </c>
      <c r="B161" s="601">
        <v>20201010134471</v>
      </c>
      <c r="C161" s="601" t="s">
        <v>4699</v>
      </c>
      <c r="D161" s="682">
        <v>43931</v>
      </c>
      <c r="E161" s="591" t="s">
        <v>4700</v>
      </c>
      <c r="F161" s="592" t="s">
        <v>41</v>
      </c>
      <c r="G161" s="683" t="s">
        <v>3897</v>
      </c>
      <c r="H161" s="81"/>
      <c r="I161" s="81"/>
      <c r="J161" s="35"/>
      <c r="K161" s="36"/>
      <c r="L161" s="36"/>
      <c r="M161" s="36"/>
      <c r="N161" s="36"/>
      <c r="O161" s="36"/>
      <c r="P161" s="36"/>
      <c r="Q161" s="36"/>
      <c r="R161" s="36"/>
      <c r="S161" s="36"/>
      <c r="T161" s="36"/>
      <c r="U161" s="36"/>
      <c r="V161" s="36"/>
      <c r="W161" s="36"/>
      <c r="X161" s="36"/>
      <c r="Y161" s="36"/>
      <c r="Z161" s="36"/>
      <c r="AA161" s="36"/>
      <c r="AB161" s="36"/>
      <c r="AC161" s="36"/>
    </row>
    <row r="162" spans="1:29" ht="24" customHeight="1">
      <c r="A162" s="601">
        <v>157</v>
      </c>
      <c r="B162" s="601">
        <v>536</v>
      </c>
      <c r="C162" s="601" t="s">
        <v>4422</v>
      </c>
      <c r="D162" s="682">
        <v>43932</v>
      </c>
      <c r="E162" s="591" t="s">
        <v>4701</v>
      </c>
      <c r="F162" s="592" t="s">
        <v>3844</v>
      </c>
      <c r="G162" s="683" t="s">
        <v>4702</v>
      </c>
      <c r="H162" s="81"/>
      <c r="I162" s="81"/>
      <c r="J162" s="35"/>
      <c r="K162" s="36"/>
      <c r="L162" s="36"/>
      <c r="M162" s="36"/>
      <c r="N162" s="36"/>
      <c r="O162" s="36"/>
      <c r="P162" s="36"/>
      <c r="Q162" s="36"/>
      <c r="R162" s="36"/>
      <c r="S162" s="36"/>
      <c r="T162" s="36"/>
      <c r="U162" s="36"/>
      <c r="V162" s="36"/>
      <c r="W162" s="36"/>
      <c r="X162" s="36"/>
      <c r="Y162" s="36"/>
      <c r="Z162" s="36"/>
      <c r="AA162" s="36"/>
      <c r="AB162" s="36"/>
      <c r="AC162" s="36"/>
    </row>
    <row r="163" spans="1:29" ht="36" customHeight="1">
      <c r="A163" s="601">
        <v>158</v>
      </c>
      <c r="B163" s="601">
        <v>536</v>
      </c>
      <c r="C163" s="601" t="s">
        <v>4703</v>
      </c>
      <c r="D163" s="682">
        <v>43932</v>
      </c>
      <c r="E163" s="591" t="s">
        <v>4704</v>
      </c>
      <c r="F163" s="592" t="s">
        <v>41</v>
      </c>
      <c r="G163" s="683" t="s">
        <v>4705</v>
      </c>
      <c r="H163" s="463"/>
      <c r="I163" s="100"/>
      <c r="J163" s="35"/>
      <c r="K163" s="36"/>
      <c r="L163" s="36"/>
      <c r="M163" s="36"/>
      <c r="N163" s="36"/>
      <c r="O163" s="36"/>
      <c r="P163" s="36"/>
      <c r="Q163" s="36"/>
      <c r="R163" s="36"/>
      <c r="S163" s="36"/>
      <c r="T163" s="36"/>
      <c r="U163" s="36"/>
      <c r="V163" s="36"/>
      <c r="W163" s="36"/>
      <c r="X163" s="36"/>
      <c r="Y163" s="36"/>
      <c r="Z163" s="36"/>
      <c r="AA163" s="36"/>
      <c r="AB163" s="36"/>
      <c r="AC163" s="36"/>
    </row>
    <row r="164" spans="1:29" ht="15" customHeight="1">
      <c r="A164" s="601">
        <v>159</v>
      </c>
      <c r="B164" s="601">
        <v>538</v>
      </c>
      <c r="C164" s="601" t="s">
        <v>4422</v>
      </c>
      <c r="D164" s="682">
        <v>43933</v>
      </c>
      <c r="E164" s="591" t="s">
        <v>4706</v>
      </c>
      <c r="F164" s="592" t="s">
        <v>3844</v>
      </c>
      <c r="G164" s="683" t="s">
        <v>4088</v>
      </c>
      <c r="H164" s="81"/>
      <c r="I164" s="81"/>
      <c r="J164" s="35"/>
      <c r="K164" s="36"/>
      <c r="L164" s="36"/>
      <c r="M164" s="36"/>
      <c r="N164" s="36"/>
      <c r="O164" s="36"/>
      <c r="P164" s="36"/>
      <c r="Q164" s="36"/>
      <c r="R164" s="36"/>
      <c r="S164" s="36"/>
      <c r="T164" s="36"/>
      <c r="U164" s="36"/>
      <c r="V164" s="36"/>
      <c r="W164" s="36"/>
      <c r="X164" s="36"/>
      <c r="Y164" s="36"/>
      <c r="Z164" s="36"/>
      <c r="AA164" s="36"/>
      <c r="AB164" s="36"/>
      <c r="AC164" s="36"/>
    </row>
    <row r="165" spans="1:29" ht="36" customHeight="1">
      <c r="A165" s="601">
        <v>160</v>
      </c>
      <c r="B165" s="601">
        <v>537</v>
      </c>
      <c r="C165" s="601" t="s">
        <v>4707</v>
      </c>
      <c r="D165" s="682">
        <v>43933</v>
      </c>
      <c r="E165" s="591" t="s">
        <v>4708</v>
      </c>
      <c r="F165" s="592" t="s">
        <v>41</v>
      </c>
      <c r="G165" s="683" t="s">
        <v>4709</v>
      </c>
      <c r="H165" s="81"/>
      <c r="I165" s="81"/>
      <c r="J165" s="35"/>
      <c r="K165" s="36"/>
      <c r="L165" s="36"/>
      <c r="M165" s="36"/>
      <c r="N165" s="36"/>
      <c r="O165" s="36"/>
      <c r="P165" s="36"/>
      <c r="Q165" s="36"/>
      <c r="R165" s="36"/>
      <c r="S165" s="36"/>
      <c r="T165" s="36"/>
      <c r="U165" s="36"/>
      <c r="V165" s="36"/>
      <c r="W165" s="36"/>
      <c r="X165" s="36"/>
      <c r="Y165" s="36"/>
      <c r="Z165" s="36"/>
      <c r="AA165" s="36"/>
      <c r="AB165" s="36"/>
      <c r="AC165" s="36"/>
    </row>
    <row r="166" spans="1:29" ht="24" customHeight="1">
      <c r="A166" s="601">
        <v>161</v>
      </c>
      <c r="B166" s="601">
        <v>538</v>
      </c>
      <c r="C166" s="601" t="s">
        <v>4710</v>
      </c>
      <c r="D166" s="682">
        <v>43933</v>
      </c>
      <c r="E166" s="591" t="s">
        <v>4711</v>
      </c>
      <c r="F166" s="592" t="s">
        <v>41</v>
      </c>
      <c r="G166" s="683" t="s">
        <v>3897</v>
      </c>
      <c r="H166" s="81"/>
      <c r="I166" s="81"/>
      <c r="J166" s="35"/>
      <c r="K166" s="36"/>
      <c r="L166" s="36"/>
      <c r="M166" s="36"/>
      <c r="N166" s="36"/>
      <c r="O166" s="36"/>
      <c r="P166" s="36"/>
      <c r="Q166" s="36"/>
      <c r="R166" s="36"/>
      <c r="S166" s="36"/>
      <c r="T166" s="36"/>
      <c r="U166" s="36"/>
      <c r="V166" s="36"/>
      <c r="W166" s="36"/>
      <c r="X166" s="36"/>
      <c r="Y166" s="36"/>
      <c r="Z166" s="36"/>
      <c r="AA166" s="36"/>
      <c r="AB166" s="36"/>
      <c r="AC166" s="36"/>
    </row>
    <row r="167" spans="1:29" ht="24" customHeight="1">
      <c r="A167" s="601">
        <v>162</v>
      </c>
      <c r="B167" s="601">
        <v>545</v>
      </c>
      <c r="C167" s="601" t="s">
        <v>4422</v>
      </c>
      <c r="D167" s="682">
        <v>43934</v>
      </c>
      <c r="E167" s="591" t="s">
        <v>4712</v>
      </c>
      <c r="F167" s="592" t="s">
        <v>3844</v>
      </c>
      <c r="G167" s="683" t="s">
        <v>4713</v>
      </c>
      <c r="H167" s="81"/>
      <c r="I167" s="81"/>
      <c r="J167" s="35"/>
      <c r="K167" s="36"/>
      <c r="L167" s="36"/>
      <c r="M167" s="36"/>
      <c r="N167" s="36"/>
      <c r="O167" s="36"/>
      <c r="P167" s="36"/>
      <c r="Q167" s="36"/>
      <c r="R167" s="36"/>
      <c r="S167" s="36"/>
      <c r="T167" s="36"/>
      <c r="U167" s="36"/>
      <c r="V167" s="36"/>
      <c r="W167" s="36"/>
      <c r="X167" s="36"/>
      <c r="Y167" s="36"/>
      <c r="Z167" s="36"/>
      <c r="AA167" s="36"/>
      <c r="AB167" s="36"/>
      <c r="AC167" s="36"/>
    </row>
    <row r="168" spans="1:29" ht="204" customHeight="1">
      <c r="A168" s="601">
        <v>163</v>
      </c>
      <c r="B168" s="601">
        <v>544</v>
      </c>
      <c r="C168" s="601" t="s">
        <v>4422</v>
      </c>
      <c r="D168" s="682">
        <v>43934</v>
      </c>
      <c r="E168" s="591" t="s">
        <v>4714</v>
      </c>
      <c r="F168" s="592" t="s">
        <v>3844</v>
      </c>
      <c r="G168" s="683" t="s">
        <v>4715</v>
      </c>
      <c r="H168" s="81"/>
      <c r="I168" s="81"/>
      <c r="J168" s="35"/>
      <c r="K168" s="36"/>
      <c r="L168" s="36"/>
      <c r="M168" s="36"/>
      <c r="N168" s="36"/>
      <c r="O168" s="36"/>
      <c r="P168" s="36"/>
      <c r="Q168" s="36"/>
      <c r="R168" s="36"/>
      <c r="S168" s="36"/>
      <c r="T168" s="36"/>
      <c r="U168" s="36"/>
      <c r="V168" s="36"/>
      <c r="W168" s="36"/>
      <c r="X168" s="36"/>
      <c r="Y168" s="36"/>
      <c r="Z168" s="36"/>
      <c r="AA168" s="36"/>
      <c r="AB168" s="36"/>
      <c r="AC168" s="36"/>
    </row>
    <row r="169" spans="1:29" ht="48" customHeight="1">
      <c r="A169" s="601">
        <v>164</v>
      </c>
      <c r="B169" s="601">
        <v>541</v>
      </c>
      <c r="C169" s="601" t="s">
        <v>4422</v>
      </c>
      <c r="D169" s="682">
        <v>43934</v>
      </c>
      <c r="E169" s="591" t="s">
        <v>4716</v>
      </c>
      <c r="F169" s="592" t="s">
        <v>3844</v>
      </c>
      <c r="G169" s="683" t="s">
        <v>4717</v>
      </c>
      <c r="H169" s="81"/>
      <c r="I169" s="81"/>
      <c r="J169" s="35"/>
      <c r="K169" s="36"/>
      <c r="L169" s="36"/>
      <c r="M169" s="36"/>
      <c r="N169" s="36"/>
      <c r="O169" s="36"/>
      <c r="P169" s="36"/>
      <c r="Q169" s="36"/>
      <c r="R169" s="36"/>
      <c r="S169" s="36"/>
      <c r="T169" s="36"/>
      <c r="U169" s="36"/>
      <c r="V169" s="36"/>
      <c r="W169" s="36"/>
      <c r="X169" s="36"/>
      <c r="Y169" s="36"/>
      <c r="Z169" s="36"/>
      <c r="AA169" s="36"/>
      <c r="AB169" s="36"/>
      <c r="AC169" s="36"/>
    </row>
    <row r="170" spans="1:29" ht="24" customHeight="1">
      <c r="A170" s="601">
        <v>165</v>
      </c>
      <c r="B170" s="601">
        <v>540</v>
      </c>
      <c r="C170" s="601" t="s">
        <v>4422</v>
      </c>
      <c r="D170" s="682">
        <v>43934</v>
      </c>
      <c r="E170" s="591" t="s">
        <v>4718</v>
      </c>
      <c r="F170" s="592" t="s">
        <v>3844</v>
      </c>
      <c r="G170" s="683" t="s">
        <v>4719</v>
      </c>
      <c r="H170" s="81"/>
      <c r="I170" s="81"/>
      <c r="J170" s="35"/>
      <c r="K170" s="36"/>
      <c r="L170" s="36"/>
      <c r="M170" s="36"/>
      <c r="N170" s="36"/>
      <c r="O170" s="36"/>
      <c r="P170" s="36"/>
      <c r="Q170" s="36"/>
      <c r="R170" s="36"/>
      <c r="S170" s="36"/>
      <c r="T170" s="36"/>
      <c r="U170" s="36"/>
      <c r="V170" s="36"/>
      <c r="W170" s="36"/>
      <c r="X170" s="36"/>
      <c r="Y170" s="36"/>
      <c r="Z170" s="36"/>
      <c r="AA170" s="36"/>
      <c r="AB170" s="36"/>
      <c r="AC170" s="36"/>
    </row>
    <row r="171" spans="1:29" ht="24" customHeight="1">
      <c r="A171" s="601">
        <v>166</v>
      </c>
      <c r="B171" s="601">
        <v>539</v>
      </c>
      <c r="C171" s="601" t="s">
        <v>4422</v>
      </c>
      <c r="D171" s="682">
        <v>43934</v>
      </c>
      <c r="E171" s="591" t="s">
        <v>4086</v>
      </c>
      <c r="F171" s="592" t="s">
        <v>4087</v>
      </c>
      <c r="G171" s="683" t="s">
        <v>4720</v>
      </c>
      <c r="H171" s="81"/>
      <c r="I171" s="81"/>
      <c r="J171" s="35"/>
      <c r="K171" s="36"/>
      <c r="L171" s="36"/>
      <c r="M171" s="36"/>
      <c r="N171" s="36"/>
      <c r="O171" s="36"/>
      <c r="P171" s="36"/>
      <c r="Q171" s="36"/>
      <c r="R171" s="36"/>
      <c r="S171" s="36"/>
      <c r="T171" s="36"/>
      <c r="U171" s="36"/>
      <c r="V171" s="36"/>
      <c r="W171" s="36"/>
      <c r="X171" s="36"/>
      <c r="Y171" s="36"/>
      <c r="Z171" s="36"/>
      <c r="AA171" s="36"/>
      <c r="AB171" s="36"/>
      <c r="AC171" s="36"/>
    </row>
    <row r="172" spans="1:29" ht="24" customHeight="1">
      <c r="A172" s="601">
        <v>167</v>
      </c>
      <c r="B172" s="601">
        <v>539</v>
      </c>
      <c r="C172" s="601" t="s">
        <v>4721</v>
      </c>
      <c r="D172" s="682">
        <v>43934</v>
      </c>
      <c r="E172" s="591" t="s">
        <v>4722</v>
      </c>
      <c r="F172" s="592" t="s">
        <v>41</v>
      </c>
      <c r="G172" s="683" t="s">
        <v>3897</v>
      </c>
      <c r="H172" s="81"/>
      <c r="I172" s="81"/>
      <c r="J172" s="35"/>
      <c r="K172" s="36"/>
      <c r="L172" s="36"/>
      <c r="M172" s="36"/>
      <c r="N172" s="36"/>
      <c r="O172" s="36"/>
      <c r="P172" s="36"/>
      <c r="Q172" s="36"/>
      <c r="R172" s="36"/>
      <c r="S172" s="36"/>
      <c r="T172" s="36"/>
      <c r="U172" s="36"/>
      <c r="V172" s="36"/>
      <c r="W172" s="36"/>
      <c r="X172" s="36"/>
      <c r="Y172" s="36"/>
      <c r="Z172" s="36"/>
      <c r="AA172" s="36"/>
      <c r="AB172" s="36"/>
      <c r="AC172" s="36"/>
    </row>
    <row r="173" spans="1:29" ht="48" customHeight="1">
      <c r="A173" s="601">
        <v>168</v>
      </c>
      <c r="B173" s="601">
        <v>544</v>
      </c>
      <c r="C173" s="601" t="s">
        <v>4723</v>
      </c>
      <c r="D173" s="682">
        <v>43934</v>
      </c>
      <c r="E173" s="591" t="s">
        <v>4621</v>
      </c>
      <c r="F173" s="592" t="s">
        <v>41</v>
      </c>
      <c r="G173" s="683" t="s">
        <v>3897</v>
      </c>
      <c r="H173" s="81"/>
      <c r="I173" s="81"/>
      <c r="J173" s="35"/>
      <c r="K173" s="36"/>
      <c r="L173" s="36"/>
      <c r="M173" s="36"/>
      <c r="N173" s="36"/>
      <c r="O173" s="36"/>
      <c r="P173" s="36"/>
      <c r="Q173" s="36"/>
      <c r="R173" s="36"/>
      <c r="S173" s="36"/>
      <c r="T173" s="36"/>
      <c r="U173" s="36"/>
      <c r="V173" s="36"/>
      <c r="W173" s="36"/>
      <c r="X173" s="36"/>
      <c r="Y173" s="36"/>
      <c r="Z173" s="36"/>
      <c r="AA173" s="36"/>
      <c r="AB173" s="36"/>
      <c r="AC173" s="36"/>
    </row>
    <row r="174" spans="1:29" ht="36" customHeight="1">
      <c r="A174" s="601">
        <v>169</v>
      </c>
      <c r="B174" s="601">
        <v>550</v>
      </c>
      <c r="C174" s="601" t="s">
        <v>4422</v>
      </c>
      <c r="D174" s="682">
        <v>43935</v>
      </c>
      <c r="E174" s="591" t="s">
        <v>4662</v>
      </c>
      <c r="F174" s="592" t="s">
        <v>3844</v>
      </c>
      <c r="G174" s="683" t="s">
        <v>4724</v>
      </c>
      <c r="H174" s="81"/>
      <c r="I174" s="81"/>
      <c r="J174" s="35"/>
      <c r="K174" s="36"/>
      <c r="L174" s="36"/>
      <c r="M174" s="36"/>
      <c r="N174" s="36"/>
      <c r="O174" s="36"/>
      <c r="P174" s="36"/>
      <c r="Q174" s="36"/>
      <c r="R174" s="36"/>
      <c r="S174" s="36"/>
      <c r="T174" s="36"/>
      <c r="U174" s="36"/>
      <c r="V174" s="36"/>
      <c r="W174" s="36"/>
      <c r="X174" s="36"/>
      <c r="Y174" s="36"/>
      <c r="Z174" s="36"/>
      <c r="AA174" s="36"/>
      <c r="AB174" s="36"/>
      <c r="AC174" s="36"/>
    </row>
    <row r="175" spans="1:29" ht="36" customHeight="1">
      <c r="A175" s="601">
        <v>170</v>
      </c>
      <c r="B175" s="601">
        <v>549</v>
      </c>
      <c r="C175" s="601" t="s">
        <v>4422</v>
      </c>
      <c r="D175" s="682">
        <v>43935</v>
      </c>
      <c r="E175" s="591" t="s">
        <v>4582</v>
      </c>
      <c r="F175" s="592" t="s">
        <v>3844</v>
      </c>
      <c r="G175" s="683" t="s">
        <v>4725</v>
      </c>
      <c r="H175" s="81"/>
      <c r="I175" s="81"/>
      <c r="J175" s="35"/>
      <c r="K175" s="36"/>
      <c r="L175" s="36"/>
      <c r="M175" s="36"/>
      <c r="N175" s="36"/>
      <c r="O175" s="36"/>
      <c r="P175" s="36"/>
      <c r="Q175" s="36"/>
      <c r="R175" s="36"/>
      <c r="S175" s="36"/>
      <c r="T175" s="36"/>
      <c r="U175" s="36"/>
      <c r="V175" s="36"/>
      <c r="W175" s="36"/>
      <c r="X175" s="36"/>
      <c r="Y175" s="36"/>
      <c r="Z175" s="36"/>
      <c r="AA175" s="36"/>
      <c r="AB175" s="36"/>
      <c r="AC175" s="36"/>
    </row>
    <row r="176" spans="1:29" ht="24" customHeight="1">
      <c r="A176" s="601">
        <v>171</v>
      </c>
      <c r="B176" s="601">
        <v>547</v>
      </c>
      <c r="C176" s="601" t="s">
        <v>4422</v>
      </c>
      <c r="D176" s="682">
        <v>43935</v>
      </c>
      <c r="E176" s="591" t="s">
        <v>4726</v>
      </c>
      <c r="F176" s="592" t="s">
        <v>3844</v>
      </c>
      <c r="G176" s="683" t="s">
        <v>4727</v>
      </c>
      <c r="H176" s="81"/>
      <c r="I176" s="81"/>
      <c r="J176" s="35"/>
      <c r="K176" s="36"/>
      <c r="L176" s="36"/>
      <c r="M176" s="36"/>
      <c r="N176" s="36"/>
      <c r="O176" s="36"/>
      <c r="P176" s="36"/>
      <c r="Q176" s="36"/>
      <c r="R176" s="36"/>
      <c r="S176" s="36"/>
      <c r="T176" s="36"/>
      <c r="U176" s="36"/>
      <c r="V176" s="36"/>
      <c r="W176" s="36"/>
      <c r="X176" s="36"/>
      <c r="Y176" s="36"/>
      <c r="Z176" s="36"/>
      <c r="AA176" s="36"/>
      <c r="AB176" s="36"/>
      <c r="AC176" s="36"/>
    </row>
    <row r="177" spans="1:29" ht="36" customHeight="1">
      <c r="A177" s="601">
        <v>172</v>
      </c>
      <c r="B177" s="601">
        <v>546</v>
      </c>
      <c r="C177" s="601" t="s">
        <v>4422</v>
      </c>
      <c r="D177" s="682">
        <v>43935</v>
      </c>
      <c r="E177" s="591" t="s">
        <v>4728</v>
      </c>
      <c r="F177" s="592" t="s">
        <v>3844</v>
      </c>
      <c r="G177" s="683" t="s">
        <v>4729</v>
      </c>
      <c r="H177" s="81"/>
      <c r="I177" s="81"/>
      <c r="J177" s="35"/>
      <c r="K177" s="36"/>
      <c r="L177" s="36"/>
      <c r="M177" s="36"/>
      <c r="N177" s="36"/>
      <c r="O177" s="36"/>
      <c r="P177" s="36"/>
      <c r="Q177" s="36"/>
      <c r="R177" s="36"/>
      <c r="S177" s="36"/>
      <c r="T177" s="36"/>
      <c r="U177" s="36"/>
      <c r="V177" s="36"/>
      <c r="W177" s="36"/>
      <c r="X177" s="36"/>
      <c r="Y177" s="36"/>
      <c r="Z177" s="36"/>
      <c r="AA177" s="36"/>
      <c r="AB177" s="36"/>
      <c r="AC177" s="36"/>
    </row>
    <row r="178" spans="1:29" ht="24" customHeight="1">
      <c r="A178" s="601">
        <v>173</v>
      </c>
      <c r="B178" s="601">
        <v>558</v>
      </c>
      <c r="C178" s="601" t="s">
        <v>4422</v>
      </c>
      <c r="D178" s="682">
        <v>43936</v>
      </c>
      <c r="E178" s="591" t="s">
        <v>4091</v>
      </c>
      <c r="F178" s="592" t="s">
        <v>4092</v>
      </c>
      <c r="G178" s="683" t="s">
        <v>4093</v>
      </c>
      <c r="H178" s="81"/>
      <c r="I178" s="81"/>
      <c r="J178" s="35"/>
      <c r="K178" s="36"/>
      <c r="L178" s="36"/>
      <c r="M178" s="36"/>
      <c r="N178" s="36"/>
      <c r="O178" s="36"/>
      <c r="P178" s="36"/>
      <c r="Q178" s="36"/>
      <c r="R178" s="36"/>
      <c r="S178" s="36"/>
      <c r="T178" s="36"/>
      <c r="U178" s="36"/>
      <c r="V178" s="36"/>
      <c r="W178" s="36"/>
      <c r="X178" s="36"/>
      <c r="Y178" s="36"/>
      <c r="Z178" s="36"/>
      <c r="AA178" s="36"/>
      <c r="AB178" s="36"/>
      <c r="AC178" s="36"/>
    </row>
    <row r="179" spans="1:29" ht="24" customHeight="1">
      <c r="A179" s="601">
        <v>174</v>
      </c>
      <c r="B179" s="601">
        <v>564</v>
      </c>
      <c r="C179" s="601" t="s">
        <v>4422</v>
      </c>
      <c r="D179" s="682">
        <v>43936</v>
      </c>
      <c r="E179" s="591" t="s">
        <v>4102</v>
      </c>
      <c r="F179" s="592" t="s">
        <v>4103</v>
      </c>
      <c r="G179" s="683" t="s">
        <v>4104</v>
      </c>
      <c r="H179" s="81"/>
      <c r="I179" s="81"/>
      <c r="J179" s="35"/>
      <c r="K179" s="36"/>
      <c r="L179" s="36"/>
      <c r="M179" s="36"/>
      <c r="N179" s="36"/>
      <c r="O179" s="36"/>
      <c r="P179" s="36"/>
      <c r="Q179" s="36"/>
      <c r="R179" s="36"/>
      <c r="S179" s="36"/>
      <c r="T179" s="36"/>
      <c r="U179" s="36"/>
      <c r="V179" s="36"/>
      <c r="W179" s="36"/>
      <c r="X179" s="36"/>
      <c r="Y179" s="36"/>
      <c r="Z179" s="36"/>
      <c r="AA179" s="36"/>
      <c r="AB179" s="36"/>
      <c r="AC179" s="36"/>
    </row>
    <row r="180" spans="1:29" ht="24" customHeight="1">
      <c r="A180" s="601">
        <v>175</v>
      </c>
      <c r="B180" s="601">
        <v>568</v>
      </c>
      <c r="C180" s="601" t="s">
        <v>4422</v>
      </c>
      <c r="D180" s="682">
        <v>43936</v>
      </c>
      <c r="E180" s="591" t="s">
        <v>4095</v>
      </c>
      <c r="F180" s="592" t="s">
        <v>4096</v>
      </c>
      <c r="G180" s="683" t="s">
        <v>4097</v>
      </c>
      <c r="H180" s="81"/>
      <c r="I180" s="81"/>
      <c r="J180" s="35"/>
      <c r="K180" s="36"/>
      <c r="L180" s="36"/>
      <c r="M180" s="36"/>
      <c r="N180" s="36"/>
      <c r="O180" s="36"/>
      <c r="P180" s="36"/>
      <c r="Q180" s="36"/>
      <c r="R180" s="36"/>
      <c r="S180" s="36"/>
      <c r="T180" s="36"/>
      <c r="U180" s="36"/>
      <c r="V180" s="36"/>
      <c r="W180" s="36"/>
      <c r="X180" s="36"/>
      <c r="Y180" s="36"/>
      <c r="Z180" s="36"/>
      <c r="AA180" s="36"/>
      <c r="AB180" s="36"/>
      <c r="AC180" s="36"/>
    </row>
    <row r="181" spans="1:29" ht="24" customHeight="1">
      <c r="A181" s="601">
        <v>176</v>
      </c>
      <c r="B181" s="601">
        <v>581</v>
      </c>
      <c r="C181" s="601" t="s">
        <v>4422</v>
      </c>
      <c r="D181" s="682">
        <v>43936</v>
      </c>
      <c r="E181" s="591" t="s">
        <v>4730</v>
      </c>
      <c r="F181" s="592" t="s">
        <v>3844</v>
      </c>
      <c r="G181" s="683" t="s">
        <v>4731</v>
      </c>
      <c r="H181" s="81"/>
      <c r="I181" s="81"/>
      <c r="J181" s="35"/>
      <c r="K181" s="36"/>
      <c r="L181" s="36"/>
      <c r="M181" s="36"/>
      <c r="N181" s="36"/>
      <c r="O181" s="36"/>
      <c r="P181" s="36"/>
      <c r="Q181" s="36"/>
      <c r="R181" s="36"/>
      <c r="S181" s="36"/>
      <c r="T181" s="36"/>
      <c r="U181" s="36"/>
      <c r="V181" s="36"/>
      <c r="W181" s="36"/>
      <c r="X181" s="36"/>
      <c r="Y181" s="36"/>
      <c r="Z181" s="36"/>
      <c r="AA181" s="36"/>
      <c r="AB181" s="36"/>
      <c r="AC181" s="36"/>
    </row>
    <row r="182" spans="1:29" ht="24" customHeight="1">
      <c r="A182" s="601">
        <v>177</v>
      </c>
      <c r="B182" s="601">
        <v>580</v>
      </c>
      <c r="C182" s="601" t="s">
        <v>4422</v>
      </c>
      <c r="D182" s="682">
        <v>43936</v>
      </c>
      <c r="E182" s="591" t="s">
        <v>4732</v>
      </c>
      <c r="F182" s="592" t="s">
        <v>3844</v>
      </c>
      <c r="G182" s="683" t="s">
        <v>4731</v>
      </c>
      <c r="H182" s="81"/>
      <c r="I182" s="81"/>
      <c r="J182" s="35"/>
      <c r="K182" s="36"/>
      <c r="L182" s="36"/>
      <c r="M182" s="36"/>
      <c r="N182" s="36"/>
      <c r="O182" s="36"/>
      <c r="P182" s="36"/>
      <c r="Q182" s="36"/>
      <c r="R182" s="36"/>
      <c r="S182" s="36"/>
      <c r="T182" s="36"/>
      <c r="U182" s="36"/>
      <c r="V182" s="36"/>
      <c r="W182" s="36"/>
      <c r="X182" s="36"/>
      <c r="Y182" s="36"/>
      <c r="Z182" s="36"/>
      <c r="AA182" s="36"/>
      <c r="AB182" s="36"/>
      <c r="AC182" s="36"/>
    </row>
    <row r="183" spans="1:29" ht="36" customHeight="1">
      <c r="A183" s="601">
        <v>178</v>
      </c>
      <c r="B183" s="601">
        <v>579</v>
      </c>
      <c r="C183" s="601" t="s">
        <v>4422</v>
      </c>
      <c r="D183" s="682">
        <v>43936</v>
      </c>
      <c r="E183" s="591" t="s">
        <v>4733</v>
      </c>
      <c r="F183" s="592" t="s">
        <v>3844</v>
      </c>
      <c r="G183" s="683" t="s">
        <v>4734</v>
      </c>
      <c r="H183" s="81"/>
      <c r="I183" s="81"/>
      <c r="J183" s="35"/>
      <c r="K183" s="36"/>
      <c r="L183" s="36"/>
      <c r="M183" s="36"/>
      <c r="N183" s="36"/>
      <c r="O183" s="36"/>
      <c r="P183" s="36"/>
      <c r="Q183" s="36"/>
      <c r="R183" s="36"/>
      <c r="S183" s="36"/>
      <c r="T183" s="36"/>
      <c r="U183" s="36"/>
      <c r="V183" s="36"/>
      <c r="W183" s="36"/>
      <c r="X183" s="36"/>
      <c r="Y183" s="36"/>
      <c r="Z183" s="36"/>
      <c r="AA183" s="36"/>
      <c r="AB183" s="36"/>
      <c r="AC183" s="36"/>
    </row>
    <row r="184" spans="1:29" ht="24" customHeight="1">
      <c r="A184" s="601">
        <v>179</v>
      </c>
      <c r="B184" s="601">
        <v>578</v>
      </c>
      <c r="C184" s="601" t="s">
        <v>4422</v>
      </c>
      <c r="D184" s="682">
        <v>43936</v>
      </c>
      <c r="E184" s="591" t="s">
        <v>4582</v>
      </c>
      <c r="F184" s="592" t="s">
        <v>3844</v>
      </c>
      <c r="G184" s="683" t="s">
        <v>4735</v>
      </c>
      <c r="H184" s="81"/>
      <c r="I184" s="81"/>
      <c r="J184" s="35"/>
      <c r="K184" s="36"/>
      <c r="L184" s="36"/>
      <c r="M184" s="36"/>
      <c r="N184" s="36"/>
      <c r="O184" s="36"/>
      <c r="P184" s="36"/>
      <c r="Q184" s="36"/>
      <c r="R184" s="36"/>
      <c r="S184" s="36"/>
      <c r="T184" s="36"/>
      <c r="U184" s="36"/>
      <c r="V184" s="36"/>
      <c r="W184" s="36"/>
      <c r="X184" s="36"/>
      <c r="Y184" s="36"/>
      <c r="Z184" s="36"/>
      <c r="AA184" s="36"/>
      <c r="AB184" s="36"/>
      <c r="AC184" s="36"/>
    </row>
    <row r="185" spans="1:29" ht="24" customHeight="1">
      <c r="A185" s="601">
        <v>180</v>
      </c>
      <c r="B185" s="601">
        <v>577</v>
      </c>
      <c r="C185" s="601" t="s">
        <v>4422</v>
      </c>
      <c r="D185" s="682">
        <v>43936</v>
      </c>
      <c r="E185" s="591" t="s">
        <v>4582</v>
      </c>
      <c r="F185" s="592" t="s">
        <v>3844</v>
      </c>
      <c r="G185" s="683" t="s">
        <v>4736</v>
      </c>
      <c r="H185" s="81"/>
      <c r="I185" s="81"/>
      <c r="J185" s="35"/>
      <c r="K185" s="36"/>
      <c r="L185" s="36"/>
      <c r="M185" s="36"/>
      <c r="N185" s="36"/>
      <c r="O185" s="36"/>
      <c r="P185" s="36"/>
      <c r="Q185" s="36"/>
      <c r="R185" s="36"/>
      <c r="S185" s="36"/>
      <c r="T185" s="36"/>
      <c r="U185" s="36"/>
      <c r="V185" s="36"/>
      <c r="W185" s="36"/>
      <c r="X185" s="36"/>
      <c r="Y185" s="36"/>
      <c r="Z185" s="36"/>
      <c r="AA185" s="36"/>
      <c r="AB185" s="36"/>
      <c r="AC185" s="36"/>
    </row>
    <row r="186" spans="1:29" ht="24" customHeight="1">
      <c r="A186" s="601">
        <v>181</v>
      </c>
      <c r="B186" s="601">
        <v>576</v>
      </c>
      <c r="C186" s="601" t="s">
        <v>4422</v>
      </c>
      <c r="D186" s="682">
        <v>43936</v>
      </c>
      <c r="E186" s="591" t="s">
        <v>4737</v>
      </c>
      <c r="F186" s="592" t="s">
        <v>3844</v>
      </c>
      <c r="G186" s="683" t="s">
        <v>4738</v>
      </c>
      <c r="H186" s="81"/>
      <c r="I186" s="81"/>
      <c r="J186" s="35"/>
      <c r="K186" s="36"/>
      <c r="L186" s="36"/>
      <c r="M186" s="36"/>
      <c r="N186" s="36"/>
      <c r="O186" s="36"/>
      <c r="P186" s="36"/>
      <c r="Q186" s="36"/>
      <c r="R186" s="36"/>
      <c r="S186" s="36"/>
      <c r="T186" s="36"/>
      <c r="U186" s="36"/>
      <c r="V186" s="36"/>
      <c r="W186" s="36"/>
      <c r="X186" s="36"/>
      <c r="Y186" s="36"/>
      <c r="Z186" s="36"/>
      <c r="AA186" s="36"/>
      <c r="AB186" s="36"/>
      <c r="AC186" s="36"/>
    </row>
    <row r="187" spans="1:29" ht="24" customHeight="1">
      <c r="A187" s="601">
        <v>182</v>
      </c>
      <c r="B187" s="601">
        <v>575</v>
      </c>
      <c r="C187" s="601" t="s">
        <v>4422</v>
      </c>
      <c r="D187" s="682">
        <v>43936</v>
      </c>
      <c r="E187" s="591" t="s">
        <v>4739</v>
      </c>
      <c r="F187" s="592" t="s">
        <v>3844</v>
      </c>
      <c r="G187" s="683" t="s">
        <v>4740</v>
      </c>
      <c r="H187" s="81"/>
      <c r="I187" s="81"/>
      <c r="J187" s="35"/>
      <c r="K187" s="36"/>
      <c r="L187" s="36"/>
      <c r="M187" s="36"/>
      <c r="N187" s="36"/>
      <c r="O187" s="36"/>
      <c r="P187" s="36"/>
      <c r="Q187" s="36"/>
      <c r="R187" s="36"/>
      <c r="S187" s="36"/>
      <c r="T187" s="36"/>
      <c r="U187" s="36"/>
      <c r="V187" s="36"/>
      <c r="W187" s="36"/>
      <c r="X187" s="36"/>
      <c r="Y187" s="36"/>
      <c r="Z187" s="36"/>
      <c r="AA187" s="36"/>
      <c r="AB187" s="36"/>
      <c r="AC187" s="36"/>
    </row>
    <row r="188" spans="1:29" ht="24" customHeight="1">
      <c r="A188" s="601">
        <v>183</v>
      </c>
      <c r="B188" s="601">
        <v>574</v>
      </c>
      <c r="C188" s="601" t="s">
        <v>4422</v>
      </c>
      <c r="D188" s="682">
        <v>43936</v>
      </c>
      <c r="E188" s="591" t="s">
        <v>4741</v>
      </c>
      <c r="F188" s="592" t="s">
        <v>3844</v>
      </c>
      <c r="G188" s="683" t="s">
        <v>4742</v>
      </c>
      <c r="H188" s="81"/>
      <c r="I188" s="81"/>
      <c r="J188" s="35"/>
      <c r="K188" s="36"/>
      <c r="L188" s="36"/>
      <c r="M188" s="36"/>
      <c r="N188" s="36"/>
      <c r="O188" s="36"/>
      <c r="P188" s="36"/>
      <c r="Q188" s="36"/>
      <c r="R188" s="36"/>
      <c r="S188" s="36"/>
      <c r="T188" s="36"/>
      <c r="U188" s="36"/>
      <c r="V188" s="36"/>
      <c r="W188" s="36"/>
      <c r="X188" s="36"/>
      <c r="Y188" s="36"/>
      <c r="Z188" s="36"/>
      <c r="AA188" s="36"/>
      <c r="AB188" s="36"/>
      <c r="AC188" s="36"/>
    </row>
    <row r="189" spans="1:29" ht="24" customHeight="1">
      <c r="A189" s="601">
        <v>184</v>
      </c>
      <c r="B189" s="601">
        <v>573</v>
      </c>
      <c r="C189" s="601" t="s">
        <v>4422</v>
      </c>
      <c r="D189" s="682">
        <v>43936</v>
      </c>
      <c r="E189" s="591" t="s">
        <v>4743</v>
      </c>
      <c r="F189" s="592" t="s">
        <v>3844</v>
      </c>
      <c r="G189" s="683" t="s">
        <v>4744</v>
      </c>
      <c r="H189" s="81"/>
      <c r="I189" s="81"/>
      <c r="J189" s="35"/>
      <c r="K189" s="36"/>
      <c r="L189" s="36"/>
      <c r="M189" s="36"/>
      <c r="N189" s="36"/>
      <c r="O189" s="36"/>
      <c r="P189" s="36"/>
      <c r="Q189" s="36"/>
      <c r="R189" s="36"/>
      <c r="S189" s="36"/>
      <c r="T189" s="36"/>
      <c r="U189" s="36"/>
      <c r="V189" s="36"/>
      <c r="W189" s="36"/>
      <c r="X189" s="36"/>
      <c r="Y189" s="36"/>
      <c r="Z189" s="36"/>
      <c r="AA189" s="36"/>
      <c r="AB189" s="36"/>
      <c r="AC189" s="36"/>
    </row>
    <row r="190" spans="1:29" ht="36" customHeight="1">
      <c r="A190" s="601">
        <v>185</v>
      </c>
      <c r="B190" s="601">
        <v>572</v>
      </c>
      <c r="C190" s="601" t="s">
        <v>4422</v>
      </c>
      <c r="D190" s="682">
        <v>43936</v>
      </c>
      <c r="E190" s="591" t="s">
        <v>4745</v>
      </c>
      <c r="F190" s="592" t="s">
        <v>3844</v>
      </c>
      <c r="G190" s="683" t="s">
        <v>4746</v>
      </c>
      <c r="H190" s="81"/>
      <c r="I190" s="81"/>
      <c r="J190" s="35"/>
      <c r="K190" s="36"/>
      <c r="L190" s="36"/>
      <c r="M190" s="36"/>
      <c r="N190" s="36"/>
      <c r="O190" s="36"/>
      <c r="P190" s="36"/>
      <c r="Q190" s="36"/>
      <c r="R190" s="36"/>
      <c r="S190" s="36"/>
      <c r="T190" s="36"/>
      <c r="U190" s="36"/>
      <c r="V190" s="36"/>
      <c r="W190" s="36"/>
      <c r="X190" s="36"/>
      <c r="Y190" s="36"/>
      <c r="Z190" s="36"/>
      <c r="AA190" s="36"/>
      <c r="AB190" s="36"/>
      <c r="AC190" s="36"/>
    </row>
    <row r="191" spans="1:29" ht="48" customHeight="1">
      <c r="A191" s="601">
        <v>186</v>
      </c>
      <c r="B191" s="601">
        <v>571</v>
      </c>
      <c r="C191" s="601" t="s">
        <v>4422</v>
      </c>
      <c r="D191" s="682">
        <v>43936</v>
      </c>
      <c r="E191" s="591" t="s">
        <v>4664</v>
      </c>
      <c r="F191" s="592" t="s">
        <v>3844</v>
      </c>
      <c r="G191" s="683" t="s">
        <v>4747</v>
      </c>
      <c r="H191" s="81"/>
      <c r="I191" s="81"/>
      <c r="J191" s="35"/>
      <c r="K191" s="36"/>
      <c r="L191" s="36"/>
      <c r="M191" s="36"/>
      <c r="N191" s="36"/>
      <c r="O191" s="36"/>
      <c r="P191" s="36"/>
      <c r="Q191" s="36"/>
      <c r="R191" s="36"/>
      <c r="S191" s="36"/>
      <c r="T191" s="36"/>
      <c r="U191" s="36"/>
      <c r="V191" s="36"/>
      <c r="W191" s="36"/>
      <c r="X191" s="36"/>
      <c r="Y191" s="36"/>
      <c r="Z191" s="36"/>
      <c r="AA191" s="36"/>
      <c r="AB191" s="36"/>
      <c r="AC191" s="36"/>
    </row>
    <row r="192" spans="1:29" ht="24" customHeight="1">
      <c r="A192" s="601">
        <v>187</v>
      </c>
      <c r="B192" s="601">
        <v>570</v>
      </c>
      <c r="C192" s="601" t="s">
        <v>4422</v>
      </c>
      <c r="D192" s="682">
        <v>43936</v>
      </c>
      <c r="E192" s="591" t="s">
        <v>4748</v>
      </c>
      <c r="F192" s="592" t="s">
        <v>3844</v>
      </c>
      <c r="G192" s="683" t="s">
        <v>4749</v>
      </c>
      <c r="H192" s="81"/>
      <c r="I192" s="81"/>
      <c r="J192" s="35"/>
      <c r="K192" s="36"/>
      <c r="L192" s="36"/>
      <c r="M192" s="36"/>
      <c r="N192" s="36"/>
      <c r="O192" s="36"/>
      <c r="P192" s="36"/>
      <c r="Q192" s="36"/>
      <c r="R192" s="36"/>
      <c r="S192" s="36"/>
      <c r="T192" s="36"/>
      <c r="U192" s="36"/>
      <c r="V192" s="36"/>
      <c r="W192" s="36"/>
      <c r="X192" s="36"/>
      <c r="Y192" s="36"/>
      <c r="Z192" s="36"/>
      <c r="AA192" s="36"/>
      <c r="AB192" s="36"/>
      <c r="AC192" s="36"/>
    </row>
    <row r="193" spans="1:29" ht="36" customHeight="1">
      <c r="A193" s="601">
        <v>188</v>
      </c>
      <c r="B193" s="601">
        <v>569</v>
      </c>
      <c r="C193" s="601" t="s">
        <v>4422</v>
      </c>
      <c r="D193" s="682">
        <v>43936</v>
      </c>
      <c r="E193" s="591" t="s">
        <v>4750</v>
      </c>
      <c r="F193" s="592" t="s">
        <v>3844</v>
      </c>
      <c r="G193" s="683" t="s">
        <v>4751</v>
      </c>
      <c r="H193" s="81"/>
      <c r="I193" s="81"/>
      <c r="J193" s="35"/>
      <c r="K193" s="36"/>
      <c r="L193" s="36"/>
      <c r="M193" s="36"/>
      <c r="N193" s="36"/>
      <c r="O193" s="36"/>
      <c r="P193" s="36"/>
      <c r="Q193" s="36"/>
      <c r="R193" s="36"/>
      <c r="S193" s="36"/>
      <c r="T193" s="36"/>
      <c r="U193" s="36"/>
      <c r="V193" s="36"/>
      <c r="W193" s="36"/>
      <c r="X193" s="36"/>
      <c r="Y193" s="36"/>
      <c r="Z193" s="36"/>
      <c r="AA193" s="36"/>
      <c r="AB193" s="36"/>
      <c r="AC193" s="36"/>
    </row>
    <row r="194" spans="1:29" ht="48" customHeight="1">
      <c r="A194" s="601">
        <v>189</v>
      </c>
      <c r="B194" s="601">
        <v>568</v>
      </c>
      <c r="C194" s="601" t="s">
        <v>4422</v>
      </c>
      <c r="D194" s="682">
        <v>43936</v>
      </c>
      <c r="E194" s="591" t="s">
        <v>4095</v>
      </c>
      <c r="F194" s="592" t="s">
        <v>4096</v>
      </c>
      <c r="G194" s="683" t="s">
        <v>4097</v>
      </c>
      <c r="H194" s="81"/>
      <c r="I194" s="81"/>
      <c r="J194" s="35"/>
      <c r="K194" s="36"/>
      <c r="L194" s="36"/>
      <c r="M194" s="36"/>
      <c r="N194" s="36"/>
      <c r="O194" s="36"/>
      <c r="P194" s="36"/>
      <c r="Q194" s="36"/>
      <c r="R194" s="36"/>
      <c r="S194" s="36"/>
      <c r="T194" s="36"/>
      <c r="U194" s="36"/>
      <c r="V194" s="36"/>
      <c r="W194" s="36"/>
      <c r="X194" s="36"/>
      <c r="Y194" s="36"/>
      <c r="Z194" s="36"/>
      <c r="AA194" s="36"/>
      <c r="AB194" s="36"/>
      <c r="AC194" s="36"/>
    </row>
    <row r="195" spans="1:29" ht="36" customHeight="1">
      <c r="A195" s="601">
        <v>190</v>
      </c>
      <c r="B195" s="601">
        <v>561</v>
      </c>
      <c r="C195" s="601" t="s">
        <v>4422</v>
      </c>
      <c r="D195" s="682">
        <v>43936</v>
      </c>
      <c r="E195" s="591" t="s">
        <v>4099</v>
      </c>
      <c r="F195" s="592" t="s">
        <v>4041</v>
      </c>
      <c r="G195" s="683" t="s">
        <v>4100</v>
      </c>
      <c r="H195" s="81"/>
      <c r="I195" s="81"/>
      <c r="J195" s="35"/>
      <c r="K195" s="36"/>
      <c r="L195" s="36"/>
      <c r="M195" s="36"/>
      <c r="N195" s="36"/>
      <c r="O195" s="36"/>
      <c r="P195" s="36"/>
      <c r="Q195" s="36"/>
      <c r="R195" s="36"/>
      <c r="S195" s="36"/>
      <c r="T195" s="36"/>
      <c r="U195" s="36"/>
      <c r="V195" s="36"/>
      <c r="W195" s="36"/>
      <c r="X195" s="36"/>
      <c r="Y195" s="36"/>
      <c r="Z195" s="36"/>
      <c r="AA195" s="36"/>
      <c r="AB195" s="36"/>
      <c r="AC195" s="36"/>
    </row>
    <row r="196" spans="1:29" ht="60" customHeight="1">
      <c r="A196" s="601">
        <v>191</v>
      </c>
      <c r="B196" s="601">
        <v>558</v>
      </c>
      <c r="C196" s="601" t="s">
        <v>4752</v>
      </c>
      <c r="D196" s="682">
        <v>43936</v>
      </c>
      <c r="E196" s="591" t="s">
        <v>4753</v>
      </c>
      <c r="F196" s="592" t="s">
        <v>41</v>
      </c>
      <c r="G196" s="683" t="s">
        <v>4754</v>
      </c>
      <c r="H196" s="81"/>
      <c r="I196" s="81"/>
      <c r="J196" s="35"/>
      <c r="K196" s="36"/>
      <c r="L196" s="36"/>
      <c r="M196" s="36"/>
      <c r="N196" s="36"/>
      <c r="O196" s="36"/>
      <c r="P196" s="36"/>
      <c r="Q196" s="36"/>
      <c r="R196" s="36"/>
      <c r="S196" s="36"/>
      <c r="T196" s="36"/>
      <c r="U196" s="36"/>
      <c r="V196" s="36"/>
      <c r="W196" s="36"/>
      <c r="X196" s="36"/>
      <c r="Y196" s="36"/>
      <c r="Z196" s="36"/>
      <c r="AA196" s="36"/>
      <c r="AB196" s="36"/>
      <c r="AC196" s="36"/>
    </row>
    <row r="197" spans="1:29" ht="24" customHeight="1">
      <c r="A197" s="601">
        <v>192</v>
      </c>
      <c r="B197" s="601">
        <v>569</v>
      </c>
      <c r="C197" s="601" t="s">
        <v>4755</v>
      </c>
      <c r="D197" s="682">
        <v>43936</v>
      </c>
      <c r="E197" s="591" t="s">
        <v>4756</v>
      </c>
      <c r="F197" s="592" t="s">
        <v>41</v>
      </c>
      <c r="G197" s="683" t="s">
        <v>3897</v>
      </c>
      <c r="H197" s="81"/>
      <c r="I197" s="81"/>
      <c r="J197" s="35"/>
      <c r="K197" s="36"/>
      <c r="L197" s="36"/>
      <c r="M197" s="36"/>
      <c r="N197" s="36"/>
      <c r="O197" s="36"/>
      <c r="P197" s="36"/>
      <c r="Q197" s="36"/>
      <c r="R197" s="36"/>
      <c r="S197" s="36"/>
      <c r="T197" s="36"/>
      <c r="U197" s="36"/>
      <c r="V197" s="36"/>
      <c r="W197" s="36"/>
      <c r="X197" s="36"/>
      <c r="Y197" s="36"/>
      <c r="Z197" s="36"/>
      <c r="AA197" s="36"/>
      <c r="AB197" s="36"/>
      <c r="AC197" s="36"/>
    </row>
    <row r="198" spans="1:29" ht="72" customHeight="1">
      <c r="A198" s="601">
        <v>193</v>
      </c>
      <c r="B198" s="601">
        <v>575</v>
      </c>
      <c r="C198" s="601" t="s">
        <v>4757</v>
      </c>
      <c r="D198" s="682">
        <v>43936</v>
      </c>
      <c r="E198" s="591" t="s">
        <v>4758</v>
      </c>
      <c r="F198" s="592" t="s">
        <v>41</v>
      </c>
      <c r="G198" s="683" t="s">
        <v>3897</v>
      </c>
      <c r="H198" s="81"/>
      <c r="I198" s="81"/>
      <c r="J198" s="35"/>
      <c r="K198" s="36"/>
      <c r="L198" s="36"/>
      <c r="M198" s="36"/>
      <c r="N198" s="36"/>
      <c r="O198" s="36"/>
      <c r="P198" s="36"/>
      <c r="Q198" s="36"/>
      <c r="R198" s="36"/>
      <c r="S198" s="36"/>
      <c r="T198" s="36"/>
      <c r="U198" s="36"/>
      <c r="V198" s="36"/>
      <c r="W198" s="36"/>
      <c r="X198" s="36"/>
      <c r="Y198" s="36"/>
      <c r="Z198" s="36"/>
      <c r="AA198" s="36"/>
      <c r="AB198" s="36"/>
      <c r="AC198" s="36"/>
    </row>
    <row r="199" spans="1:29" ht="24" customHeight="1">
      <c r="A199" s="601">
        <v>194</v>
      </c>
      <c r="B199" s="601">
        <v>582</v>
      </c>
      <c r="C199" s="601" t="s">
        <v>4422</v>
      </c>
      <c r="D199" s="682">
        <v>43937</v>
      </c>
      <c r="E199" s="591" t="s">
        <v>4759</v>
      </c>
      <c r="F199" s="592" t="s">
        <v>3844</v>
      </c>
      <c r="G199" s="683" t="s">
        <v>4760</v>
      </c>
      <c r="H199" s="81"/>
      <c r="I199" s="81"/>
      <c r="J199" s="35"/>
      <c r="K199" s="36"/>
      <c r="L199" s="36"/>
      <c r="M199" s="36"/>
      <c r="N199" s="36"/>
      <c r="O199" s="36"/>
      <c r="P199" s="36"/>
      <c r="Q199" s="36"/>
      <c r="R199" s="36"/>
      <c r="S199" s="36"/>
      <c r="T199" s="36"/>
      <c r="U199" s="36"/>
      <c r="V199" s="36"/>
      <c r="W199" s="36"/>
      <c r="X199" s="36"/>
      <c r="Y199" s="36"/>
      <c r="Z199" s="36"/>
      <c r="AA199" s="36"/>
      <c r="AB199" s="36"/>
      <c r="AC199" s="36"/>
    </row>
    <row r="200" spans="1:29" ht="48" customHeight="1">
      <c r="A200" s="601">
        <v>195</v>
      </c>
      <c r="B200" s="601">
        <v>617</v>
      </c>
      <c r="C200" s="601" t="s">
        <v>4761</v>
      </c>
      <c r="D200" s="682">
        <v>43937</v>
      </c>
      <c r="E200" s="591" t="s">
        <v>4762</v>
      </c>
      <c r="F200" s="592" t="s">
        <v>41</v>
      </c>
      <c r="G200" s="683" t="s">
        <v>3897</v>
      </c>
      <c r="H200" s="81"/>
      <c r="I200" s="81"/>
      <c r="J200" s="35"/>
      <c r="K200" s="36"/>
      <c r="L200" s="36"/>
      <c r="M200" s="36"/>
      <c r="N200" s="36"/>
      <c r="O200" s="36"/>
      <c r="P200" s="36"/>
      <c r="Q200" s="36"/>
      <c r="R200" s="36"/>
      <c r="S200" s="36"/>
      <c r="T200" s="36"/>
      <c r="U200" s="36"/>
      <c r="V200" s="36"/>
      <c r="W200" s="36"/>
      <c r="X200" s="36"/>
      <c r="Y200" s="36"/>
      <c r="Z200" s="36"/>
      <c r="AA200" s="36"/>
      <c r="AB200" s="36"/>
      <c r="AC200" s="36"/>
    </row>
    <row r="201" spans="1:29" ht="24" customHeight="1">
      <c r="A201" s="601">
        <v>196</v>
      </c>
      <c r="B201" s="601">
        <v>25</v>
      </c>
      <c r="C201" s="601" t="s">
        <v>4763</v>
      </c>
      <c r="D201" s="682">
        <v>43937</v>
      </c>
      <c r="E201" s="591" t="s">
        <v>4764</v>
      </c>
      <c r="F201" s="592" t="s">
        <v>41</v>
      </c>
      <c r="G201" s="683" t="s">
        <v>3897</v>
      </c>
      <c r="H201" s="81"/>
      <c r="I201" s="81"/>
      <c r="J201" s="35"/>
      <c r="K201" s="36"/>
      <c r="L201" s="36"/>
      <c r="M201" s="36"/>
      <c r="N201" s="36"/>
      <c r="O201" s="36"/>
      <c r="P201" s="36"/>
      <c r="Q201" s="36"/>
      <c r="R201" s="36"/>
      <c r="S201" s="36"/>
      <c r="T201" s="36"/>
      <c r="U201" s="36"/>
      <c r="V201" s="36"/>
      <c r="W201" s="36"/>
      <c r="X201" s="36"/>
      <c r="Y201" s="36"/>
      <c r="Z201" s="36"/>
      <c r="AA201" s="36"/>
      <c r="AB201" s="36"/>
      <c r="AC201" s="36"/>
    </row>
    <row r="202" spans="1:29" ht="24" customHeight="1">
      <c r="A202" s="601">
        <v>197</v>
      </c>
      <c r="B202" s="601">
        <v>33</v>
      </c>
      <c r="C202" s="601" t="s">
        <v>4765</v>
      </c>
      <c r="D202" s="682">
        <v>43938</v>
      </c>
      <c r="E202" s="591" t="s">
        <v>4766</v>
      </c>
      <c r="F202" s="592" t="s">
        <v>41</v>
      </c>
      <c r="G202" s="683" t="s">
        <v>4767</v>
      </c>
      <c r="H202" s="81"/>
      <c r="I202" s="81"/>
      <c r="J202" s="35"/>
      <c r="K202" s="36"/>
      <c r="L202" s="36"/>
      <c r="M202" s="36"/>
      <c r="N202" s="36"/>
      <c r="O202" s="36"/>
      <c r="P202" s="36"/>
      <c r="Q202" s="36"/>
      <c r="R202" s="36"/>
      <c r="S202" s="36"/>
      <c r="T202" s="36"/>
      <c r="U202" s="36"/>
      <c r="V202" s="36"/>
      <c r="W202" s="36"/>
      <c r="X202" s="36"/>
      <c r="Y202" s="36"/>
      <c r="Z202" s="36"/>
      <c r="AA202" s="36"/>
      <c r="AB202" s="36"/>
      <c r="AC202" s="36"/>
    </row>
    <row r="203" spans="1:29" ht="60" customHeight="1">
      <c r="A203" s="601">
        <v>198</v>
      </c>
      <c r="B203" s="601" t="s">
        <v>4768</v>
      </c>
      <c r="C203" s="601" t="s">
        <v>4769</v>
      </c>
      <c r="D203" s="682">
        <v>43941</v>
      </c>
      <c r="E203" s="591" t="s">
        <v>4770</v>
      </c>
      <c r="F203" s="592" t="s">
        <v>41</v>
      </c>
      <c r="G203" s="683" t="s">
        <v>3897</v>
      </c>
      <c r="H203" s="463"/>
      <c r="I203" s="100"/>
      <c r="J203" s="35"/>
      <c r="K203" s="36"/>
      <c r="L203" s="36"/>
      <c r="M203" s="36"/>
      <c r="N203" s="36"/>
      <c r="O203" s="36"/>
      <c r="P203" s="36"/>
      <c r="Q203" s="36"/>
      <c r="R203" s="36"/>
      <c r="S203" s="36"/>
      <c r="T203" s="36"/>
      <c r="U203" s="36"/>
      <c r="V203" s="36"/>
      <c r="W203" s="36"/>
      <c r="X203" s="36"/>
      <c r="Y203" s="36"/>
      <c r="Z203" s="36"/>
      <c r="AA203" s="36"/>
      <c r="AB203" s="36"/>
      <c r="AC203" s="36"/>
    </row>
    <row r="204" spans="1:29" ht="60" customHeight="1">
      <c r="A204" s="601">
        <v>199</v>
      </c>
      <c r="B204" s="601">
        <v>34</v>
      </c>
      <c r="C204" s="601" t="s">
        <v>4771</v>
      </c>
      <c r="D204" s="682">
        <v>43944</v>
      </c>
      <c r="E204" s="591" t="s">
        <v>4772</v>
      </c>
      <c r="F204" s="592" t="s">
        <v>41</v>
      </c>
      <c r="G204" s="683" t="s">
        <v>4773</v>
      </c>
      <c r="H204" s="81"/>
      <c r="I204" s="81"/>
      <c r="J204" s="35"/>
      <c r="K204" s="36"/>
      <c r="L204" s="36"/>
      <c r="M204" s="36"/>
      <c r="N204" s="36"/>
      <c r="O204" s="36"/>
      <c r="P204" s="36"/>
      <c r="Q204" s="36"/>
      <c r="R204" s="36"/>
      <c r="S204" s="36"/>
      <c r="T204" s="36"/>
      <c r="U204" s="36"/>
      <c r="V204" s="36"/>
      <c r="W204" s="36"/>
      <c r="X204" s="36"/>
      <c r="Y204" s="36"/>
      <c r="Z204" s="36"/>
      <c r="AA204" s="36"/>
      <c r="AB204" s="36"/>
      <c r="AC204" s="36"/>
    </row>
    <row r="205" spans="1:29" ht="120" customHeight="1">
      <c r="A205" s="601">
        <v>200</v>
      </c>
      <c r="B205" s="601">
        <v>35</v>
      </c>
      <c r="C205" s="601" t="s">
        <v>4774</v>
      </c>
      <c r="D205" s="682">
        <v>43944</v>
      </c>
      <c r="E205" s="591" t="s">
        <v>4775</v>
      </c>
      <c r="F205" s="592" t="s">
        <v>41</v>
      </c>
      <c r="G205" s="683" t="s">
        <v>4776</v>
      </c>
      <c r="H205" s="81"/>
      <c r="I205" s="81"/>
      <c r="J205" s="35"/>
      <c r="K205" s="36"/>
      <c r="L205" s="36"/>
      <c r="M205" s="36"/>
      <c r="N205" s="36"/>
      <c r="O205" s="36"/>
      <c r="P205" s="36"/>
      <c r="Q205" s="36"/>
      <c r="R205" s="36"/>
      <c r="S205" s="36"/>
      <c r="T205" s="36"/>
      <c r="U205" s="36"/>
      <c r="V205" s="36"/>
      <c r="W205" s="36"/>
      <c r="X205" s="36"/>
      <c r="Y205" s="36"/>
      <c r="Z205" s="36"/>
      <c r="AA205" s="36"/>
      <c r="AB205" s="36"/>
      <c r="AC205" s="36"/>
    </row>
    <row r="206" spans="1:29" ht="204" customHeight="1">
      <c r="A206" s="601">
        <v>201</v>
      </c>
      <c r="B206" s="601">
        <v>666</v>
      </c>
      <c r="C206" s="601" t="s">
        <v>4777</v>
      </c>
      <c r="D206" s="682">
        <v>43945</v>
      </c>
      <c r="E206" s="591" t="s">
        <v>4106</v>
      </c>
      <c r="F206" s="592" t="s">
        <v>4107</v>
      </c>
      <c r="G206" s="683" t="s">
        <v>4108</v>
      </c>
      <c r="H206" s="81"/>
      <c r="I206" s="81"/>
      <c r="J206" s="35"/>
      <c r="K206" s="36"/>
      <c r="L206" s="36"/>
      <c r="M206" s="36"/>
      <c r="N206" s="36"/>
      <c r="O206" s="36"/>
      <c r="P206" s="36"/>
      <c r="Q206" s="36"/>
      <c r="R206" s="36"/>
      <c r="S206" s="36"/>
      <c r="T206" s="36"/>
      <c r="U206" s="36"/>
      <c r="V206" s="36"/>
      <c r="W206" s="36"/>
      <c r="X206" s="36"/>
      <c r="Y206" s="36"/>
      <c r="Z206" s="36"/>
      <c r="AA206" s="36"/>
      <c r="AB206" s="36"/>
      <c r="AC206" s="36"/>
    </row>
    <row r="207" spans="1:29" ht="24" customHeight="1">
      <c r="A207" s="601">
        <v>202</v>
      </c>
      <c r="B207" s="601">
        <v>593</v>
      </c>
      <c r="C207" s="601" t="s">
        <v>4778</v>
      </c>
      <c r="D207" s="682">
        <v>43945</v>
      </c>
      <c r="E207" s="591" t="s">
        <v>4074</v>
      </c>
      <c r="F207" s="592" t="s">
        <v>4110</v>
      </c>
      <c r="G207" s="688" t="s">
        <v>4111</v>
      </c>
      <c r="H207" s="81"/>
      <c r="I207" s="81"/>
      <c r="J207" s="35"/>
      <c r="K207" s="36"/>
      <c r="L207" s="36"/>
      <c r="M207" s="36"/>
      <c r="N207" s="36"/>
      <c r="O207" s="36"/>
      <c r="P207" s="36"/>
      <c r="Q207" s="36"/>
      <c r="R207" s="36"/>
      <c r="S207" s="36"/>
      <c r="T207" s="36"/>
      <c r="U207" s="36"/>
      <c r="V207" s="36"/>
      <c r="W207" s="36"/>
      <c r="X207" s="36"/>
      <c r="Y207" s="36"/>
      <c r="Z207" s="36"/>
      <c r="AA207" s="36"/>
      <c r="AB207" s="36"/>
      <c r="AC207" s="36"/>
    </row>
    <row r="208" spans="1:29" ht="24" customHeight="1">
      <c r="A208" s="601">
        <v>203</v>
      </c>
      <c r="B208" s="601">
        <v>1245</v>
      </c>
      <c r="C208" s="601" t="s">
        <v>4779</v>
      </c>
      <c r="D208" s="682">
        <v>43945</v>
      </c>
      <c r="E208" s="591" t="s">
        <v>4780</v>
      </c>
      <c r="F208" s="592" t="s">
        <v>41</v>
      </c>
      <c r="G208" s="683" t="s">
        <v>3897</v>
      </c>
      <c r="H208" s="81"/>
      <c r="I208" s="81"/>
      <c r="J208" s="35"/>
      <c r="K208" s="36"/>
      <c r="L208" s="36"/>
      <c r="M208" s="36"/>
      <c r="N208" s="36"/>
      <c r="O208" s="36"/>
      <c r="P208" s="36"/>
      <c r="Q208" s="36"/>
      <c r="R208" s="36"/>
      <c r="S208" s="36"/>
      <c r="T208" s="36"/>
      <c r="U208" s="36"/>
      <c r="V208" s="36"/>
      <c r="W208" s="36"/>
      <c r="X208" s="36"/>
      <c r="Y208" s="36"/>
      <c r="Z208" s="36"/>
      <c r="AA208" s="36"/>
      <c r="AB208" s="36"/>
      <c r="AC208" s="36"/>
    </row>
    <row r="209" spans="1:29" ht="24" customHeight="1">
      <c r="A209" s="601">
        <v>204</v>
      </c>
      <c r="B209" s="601">
        <v>11546</v>
      </c>
      <c r="C209" s="601" t="s">
        <v>4781</v>
      </c>
      <c r="D209" s="682">
        <v>43946</v>
      </c>
      <c r="E209" s="591" t="s">
        <v>4113</v>
      </c>
      <c r="F209" s="592" t="s">
        <v>4114</v>
      </c>
      <c r="G209" s="683" t="s">
        <v>4115</v>
      </c>
      <c r="H209" s="81"/>
      <c r="I209" s="81"/>
      <c r="J209" s="35"/>
      <c r="K209" s="36"/>
      <c r="L209" s="36"/>
      <c r="M209" s="36"/>
      <c r="N209" s="36"/>
      <c r="O209" s="36"/>
      <c r="P209" s="36"/>
      <c r="Q209" s="36"/>
      <c r="R209" s="36"/>
      <c r="S209" s="36"/>
      <c r="T209" s="36"/>
      <c r="U209" s="36"/>
      <c r="V209" s="36"/>
      <c r="W209" s="36"/>
      <c r="X209" s="36"/>
      <c r="Y209" s="36"/>
      <c r="Z209" s="36"/>
      <c r="AA209" s="36"/>
      <c r="AB209" s="36"/>
      <c r="AC209" s="36"/>
    </row>
    <row r="210" spans="1:29" ht="15" customHeight="1">
      <c r="A210" s="601">
        <v>205</v>
      </c>
      <c r="B210" s="601">
        <v>3527</v>
      </c>
      <c r="C210" s="601" t="s">
        <v>4782</v>
      </c>
      <c r="D210" s="682">
        <v>43946</v>
      </c>
      <c r="E210" s="591" t="s">
        <v>3667</v>
      </c>
      <c r="F210" s="592" t="s">
        <v>3669</v>
      </c>
      <c r="G210" s="683" t="s">
        <v>4117</v>
      </c>
      <c r="H210" s="81"/>
      <c r="I210" s="81"/>
      <c r="J210" s="35"/>
      <c r="K210" s="36"/>
      <c r="L210" s="36"/>
      <c r="M210" s="36"/>
      <c r="N210" s="36"/>
      <c r="O210" s="36"/>
      <c r="P210" s="36"/>
      <c r="Q210" s="36"/>
      <c r="R210" s="36"/>
      <c r="S210" s="36"/>
      <c r="T210" s="36"/>
      <c r="U210" s="36"/>
      <c r="V210" s="36"/>
      <c r="W210" s="36"/>
      <c r="X210" s="36"/>
      <c r="Y210" s="36"/>
      <c r="Z210" s="36"/>
      <c r="AA210" s="36"/>
      <c r="AB210" s="36"/>
      <c r="AC210" s="36"/>
    </row>
    <row r="211" spans="1:29" ht="36" customHeight="1">
      <c r="A211" s="601">
        <v>206</v>
      </c>
      <c r="B211" s="601">
        <v>3659</v>
      </c>
      <c r="C211" s="601" t="s">
        <v>4782</v>
      </c>
      <c r="D211" s="682">
        <v>43953</v>
      </c>
      <c r="E211" s="591" t="s">
        <v>3671</v>
      </c>
      <c r="F211" s="592" t="s">
        <v>4119</v>
      </c>
      <c r="G211" s="683" t="s">
        <v>4120</v>
      </c>
      <c r="H211" s="81"/>
      <c r="I211" s="81"/>
      <c r="J211" s="35"/>
      <c r="K211" s="36"/>
      <c r="L211" s="36"/>
      <c r="M211" s="36"/>
      <c r="N211" s="36"/>
      <c r="O211" s="36"/>
      <c r="P211" s="36"/>
      <c r="Q211" s="36"/>
      <c r="R211" s="36"/>
      <c r="S211" s="36"/>
      <c r="T211" s="36"/>
      <c r="U211" s="36"/>
      <c r="V211" s="36"/>
      <c r="W211" s="36"/>
      <c r="X211" s="36"/>
      <c r="Y211" s="36"/>
      <c r="Z211" s="36"/>
      <c r="AA211" s="36"/>
      <c r="AB211" s="36"/>
      <c r="AC211" s="36"/>
    </row>
    <row r="212" spans="1:29" ht="24" customHeight="1">
      <c r="A212" s="601">
        <v>207</v>
      </c>
      <c r="B212" s="601">
        <v>636</v>
      </c>
      <c r="C212" s="601" t="s">
        <v>4783</v>
      </c>
      <c r="D212" s="682">
        <v>43957</v>
      </c>
      <c r="E212" s="591" t="s">
        <v>4784</v>
      </c>
      <c r="F212" s="592" t="s">
        <v>41</v>
      </c>
      <c r="G212" s="683" t="s">
        <v>4785</v>
      </c>
      <c r="H212" s="81"/>
      <c r="I212" s="81"/>
      <c r="J212" s="35"/>
      <c r="K212" s="36"/>
      <c r="L212" s="36"/>
      <c r="M212" s="36"/>
      <c r="N212" s="36"/>
      <c r="O212" s="36"/>
      <c r="P212" s="36"/>
      <c r="Q212" s="36"/>
      <c r="R212" s="36"/>
      <c r="S212" s="36"/>
      <c r="T212" s="36"/>
      <c r="U212" s="36"/>
      <c r="V212" s="36"/>
      <c r="W212" s="36"/>
      <c r="X212" s="36"/>
      <c r="Y212" s="36"/>
      <c r="Z212" s="36"/>
      <c r="AA212" s="36"/>
      <c r="AB212" s="36"/>
      <c r="AC212" s="36"/>
    </row>
    <row r="213" spans="1:29" ht="36" customHeight="1">
      <c r="A213" s="601">
        <v>208</v>
      </c>
      <c r="B213" s="601">
        <v>637</v>
      </c>
      <c r="C213" s="601" t="s">
        <v>4786</v>
      </c>
      <c r="D213" s="682">
        <v>43957</v>
      </c>
      <c r="E213" s="591" t="s">
        <v>4787</v>
      </c>
      <c r="F213" s="592" t="s">
        <v>41</v>
      </c>
      <c r="G213" s="683" t="s">
        <v>4788</v>
      </c>
      <c r="H213" s="81"/>
      <c r="I213" s="81"/>
      <c r="J213" s="35"/>
      <c r="K213" s="36"/>
      <c r="L213" s="36"/>
      <c r="M213" s="36"/>
      <c r="N213" s="36"/>
      <c r="O213" s="36"/>
      <c r="P213" s="36"/>
      <c r="Q213" s="36"/>
      <c r="R213" s="36"/>
      <c r="S213" s="36"/>
      <c r="T213" s="36"/>
      <c r="U213" s="36"/>
      <c r="V213" s="36"/>
      <c r="W213" s="36"/>
      <c r="X213" s="36"/>
      <c r="Y213" s="36"/>
      <c r="Z213" s="36"/>
      <c r="AA213" s="36"/>
      <c r="AB213" s="36"/>
      <c r="AC213" s="36"/>
    </row>
    <row r="214" spans="1:29" ht="36" customHeight="1">
      <c r="A214" s="601">
        <v>209</v>
      </c>
      <c r="B214" s="601" t="s">
        <v>4124</v>
      </c>
      <c r="C214" s="601" t="s">
        <v>4789</v>
      </c>
      <c r="D214" s="682">
        <v>43958</v>
      </c>
      <c r="E214" s="591" t="s">
        <v>4126</v>
      </c>
      <c r="F214" s="592" t="s">
        <v>4127</v>
      </c>
      <c r="G214" s="683" t="s">
        <v>4128</v>
      </c>
      <c r="H214" s="81"/>
      <c r="I214" s="81"/>
      <c r="J214" s="35"/>
      <c r="K214" s="36"/>
      <c r="L214" s="36"/>
      <c r="M214" s="36"/>
      <c r="N214" s="36"/>
      <c r="O214" s="36"/>
      <c r="P214" s="36"/>
      <c r="Q214" s="36"/>
      <c r="R214" s="36"/>
      <c r="S214" s="36"/>
      <c r="T214" s="36"/>
      <c r="U214" s="36"/>
      <c r="V214" s="36"/>
      <c r="W214" s="36"/>
      <c r="X214" s="36"/>
      <c r="Y214" s="36"/>
      <c r="Z214" s="36"/>
      <c r="AA214" s="36"/>
      <c r="AB214" s="36"/>
      <c r="AC214" s="36"/>
    </row>
    <row r="215" spans="1:29" ht="24" customHeight="1">
      <c r="A215" s="601">
        <v>210</v>
      </c>
      <c r="B215" s="601">
        <v>731</v>
      </c>
      <c r="C215" s="601" t="s">
        <v>4790</v>
      </c>
      <c r="D215" s="682">
        <v>43958</v>
      </c>
      <c r="E215" s="591" t="s">
        <v>4791</v>
      </c>
      <c r="F215" s="592" t="s">
        <v>41</v>
      </c>
      <c r="G215" s="683" t="s">
        <v>4792</v>
      </c>
      <c r="H215" s="81"/>
      <c r="I215" s="81"/>
      <c r="J215" s="35"/>
      <c r="K215" s="36"/>
      <c r="L215" s="36"/>
      <c r="M215" s="36"/>
      <c r="N215" s="36"/>
      <c r="O215" s="36"/>
      <c r="P215" s="36"/>
      <c r="Q215" s="36"/>
      <c r="R215" s="36"/>
      <c r="S215" s="36"/>
      <c r="T215" s="36"/>
      <c r="U215" s="36"/>
      <c r="V215" s="36"/>
      <c r="W215" s="36"/>
      <c r="X215" s="36"/>
      <c r="Y215" s="36"/>
      <c r="Z215" s="36"/>
      <c r="AA215" s="36"/>
      <c r="AB215" s="36"/>
      <c r="AC215" s="36"/>
    </row>
    <row r="216" spans="1:29" ht="60" customHeight="1">
      <c r="A216" s="601">
        <v>211</v>
      </c>
      <c r="B216" s="601">
        <v>30</v>
      </c>
      <c r="C216" s="601" t="s">
        <v>4793</v>
      </c>
      <c r="D216" s="682">
        <v>43959</v>
      </c>
      <c r="E216" s="591" t="s">
        <v>4794</v>
      </c>
      <c r="F216" s="592" t="s">
        <v>41</v>
      </c>
      <c r="G216" s="683" t="s">
        <v>4795</v>
      </c>
      <c r="H216" s="81"/>
      <c r="I216" s="81"/>
      <c r="J216" s="35"/>
      <c r="K216" s="36"/>
      <c r="L216" s="36"/>
      <c r="M216" s="36"/>
      <c r="N216" s="36"/>
      <c r="O216" s="36"/>
      <c r="P216" s="36"/>
      <c r="Q216" s="36"/>
      <c r="R216" s="36"/>
      <c r="S216" s="36"/>
      <c r="T216" s="36"/>
      <c r="U216" s="36"/>
      <c r="V216" s="36"/>
      <c r="W216" s="36"/>
      <c r="X216" s="36"/>
      <c r="Y216" s="36"/>
      <c r="Z216" s="36"/>
      <c r="AA216" s="36"/>
      <c r="AB216" s="36"/>
      <c r="AC216" s="36"/>
    </row>
    <row r="217" spans="1:29" ht="24" customHeight="1">
      <c r="A217" s="601">
        <v>212</v>
      </c>
      <c r="B217" s="601">
        <v>126</v>
      </c>
      <c r="C217" s="601" t="s">
        <v>4422</v>
      </c>
      <c r="D217" s="682">
        <v>43961</v>
      </c>
      <c r="E217" s="591" t="s">
        <v>4796</v>
      </c>
      <c r="F217" s="592" t="s">
        <v>4797</v>
      </c>
      <c r="G217" s="683" t="s">
        <v>4132</v>
      </c>
      <c r="H217" s="81"/>
      <c r="I217" s="81"/>
      <c r="J217" s="35"/>
      <c r="K217" s="36"/>
      <c r="L217" s="36"/>
      <c r="M217" s="36"/>
      <c r="N217" s="36"/>
      <c r="O217" s="36"/>
      <c r="P217" s="36"/>
      <c r="Q217" s="36"/>
      <c r="R217" s="36"/>
      <c r="S217" s="36"/>
      <c r="T217" s="36"/>
      <c r="U217" s="36"/>
      <c r="V217" s="36"/>
      <c r="W217" s="36"/>
      <c r="X217" s="36"/>
      <c r="Y217" s="36"/>
      <c r="Z217" s="36"/>
      <c r="AA217" s="36"/>
      <c r="AB217" s="36"/>
      <c r="AC217" s="36"/>
    </row>
    <row r="218" spans="1:29" ht="36" customHeight="1">
      <c r="A218" s="601">
        <v>213</v>
      </c>
      <c r="B218" s="601">
        <v>17</v>
      </c>
      <c r="C218" s="601" t="s">
        <v>4798</v>
      </c>
      <c r="D218" s="682">
        <v>43962</v>
      </c>
      <c r="E218" s="591" t="s">
        <v>4799</v>
      </c>
      <c r="F218" s="592" t="s">
        <v>41</v>
      </c>
      <c r="G218" s="683" t="s">
        <v>4800</v>
      </c>
      <c r="H218" s="81"/>
      <c r="I218" s="81"/>
      <c r="J218" s="35"/>
      <c r="K218" s="36"/>
      <c r="L218" s="36"/>
      <c r="M218" s="36"/>
      <c r="N218" s="36"/>
      <c r="O218" s="36"/>
      <c r="P218" s="36"/>
      <c r="Q218" s="36"/>
      <c r="R218" s="36"/>
      <c r="S218" s="36"/>
      <c r="T218" s="36"/>
      <c r="U218" s="36"/>
      <c r="V218" s="36"/>
      <c r="W218" s="36"/>
      <c r="X218" s="36"/>
      <c r="Y218" s="36"/>
      <c r="Z218" s="36"/>
      <c r="AA218" s="36"/>
      <c r="AB218" s="36"/>
      <c r="AC218" s="36"/>
    </row>
    <row r="219" spans="1:29" ht="24" customHeight="1">
      <c r="A219" s="601">
        <v>214</v>
      </c>
      <c r="B219" s="601">
        <v>167</v>
      </c>
      <c r="C219" s="601" t="s">
        <v>4801</v>
      </c>
      <c r="D219" s="682">
        <v>43969</v>
      </c>
      <c r="E219" s="591" t="s">
        <v>4802</v>
      </c>
      <c r="F219" s="592" t="s">
        <v>41</v>
      </c>
      <c r="G219" s="683" t="s">
        <v>4377</v>
      </c>
      <c r="H219" s="81"/>
      <c r="I219" s="81"/>
      <c r="J219" s="35"/>
      <c r="K219" s="36"/>
      <c r="L219" s="36"/>
      <c r="M219" s="36"/>
      <c r="N219" s="36"/>
      <c r="O219" s="36"/>
      <c r="P219" s="36"/>
      <c r="Q219" s="36"/>
      <c r="R219" s="36"/>
      <c r="S219" s="36"/>
      <c r="T219" s="36"/>
      <c r="U219" s="36"/>
      <c r="V219" s="36"/>
      <c r="W219" s="36"/>
      <c r="X219" s="36"/>
      <c r="Y219" s="36"/>
      <c r="Z219" s="36"/>
      <c r="AA219" s="36"/>
      <c r="AB219" s="36"/>
      <c r="AC219" s="36"/>
    </row>
    <row r="220" spans="1:29" ht="24" customHeight="1">
      <c r="A220" s="601">
        <v>215</v>
      </c>
      <c r="B220" s="601">
        <v>676</v>
      </c>
      <c r="C220" s="601" t="s">
        <v>4803</v>
      </c>
      <c r="D220" s="682">
        <v>43970</v>
      </c>
      <c r="E220" s="591" t="s">
        <v>4804</v>
      </c>
      <c r="F220" s="592" t="s">
        <v>41</v>
      </c>
      <c r="G220" s="683" t="s">
        <v>3897</v>
      </c>
      <c r="H220" s="81"/>
      <c r="I220" s="81"/>
      <c r="J220" s="35"/>
      <c r="K220" s="36"/>
      <c r="L220" s="36"/>
      <c r="M220" s="36"/>
      <c r="N220" s="36"/>
      <c r="O220" s="36"/>
      <c r="P220" s="36"/>
      <c r="Q220" s="36"/>
      <c r="R220" s="36"/>
      <c r="S220" s="36"/>
      <c r="T220" s="36"/>
      <c r="U220" s="36"/>
      <c r="V220" s="36"/>
      <c r="W220" s="36"/>
      <c r="X220" s="36"/>
      <c r="Y220" s="36"/>
      <c r="Z220" s="36"/>
      <c r="AA220" s="36"/>
      <c r="AB220" s="36"/>
      <c r="AC220" s="36"/>
    </row>
    <row r="221" spans="1:29" ht="24" customHeight="1">
      <c r="A221" s="601">
        <v>216</v>
      </c>
      <c r="B221" s="601">
        <v>3</v>
      </c>
      <c r="C221" s="592" t="s">
        <v>4805</v>
      </c>
      <c r="D221" s="682">
        <v>43973</v>
      </c>
      <c r="E221" s="591" t="s">
        <v>4806</v>
      </c>
      <c r="F221" s="592" t="s">
        <v>41</v>
      </c>
      <c r="G221" s="683" t="s">
        <v>4807</v>
      </c>
      <c r="H221" s="81"/>
      <c r="I221" s="81"/>
      <c r="J221" s="35"/>
      <c r="K221" s="36"/>
      <c r="L221" s="36"/>
      <c r="M221" s="36"/>
      <c r="N221" s="36"/>
      <c r="O221" s="36"/>
      <c r="P221" s="36"/>
      <c r="Q221" s="36"/>
      <c r="R221" s="36"/>
      <c r="S221" s="36"/>
      <c r="T221" s="36"/>
      <c r="U221" s="36"/>
      <c r="V221" s="36"/>
      <c r="W221" s="36"/>
      <c r="X221" s="36"/>
      <c r="Y221" s="36"/>
      <c r="Z221" s="36"/>
      <c r="AA221" s="36"/>
      <c r="AB221" s="36"/>
      <c r="AC221" s="36"/>
    </row>
    <row r="222" spans="1:29" ht="36" customHeight="1">
      <c r="A222" s="601">
        <v>217</v>
      </c>
      <c r="B222" s="601">
        <v>689</v>
      </c>
      <c r="C222" s="601" t="s">
        <v>4808</v>
      </c>
      <c r="D222" s="682">
        <v>43973</v>
      </c>
      <c r="E222" s="591" t="s">
        <v>4809</v>
      </c>
      <c r="F222" s="592" t="s">
        <v>41</v>
      </c>
      <c r="G222" s="683" t="s">
        <v>4810</v>
      </c>
      <c r="H222" s="81"/>
      <c r="I222" s="81"/>
      <c r="J222" s="35"/>
      <c r="K222" s="36"/>
      <c r="L222" s="36"/>
      <c r="M222" s="36"/>
      <c r="N222" s="36"/>
      <c r="O222" s="36"/>
      <c r="P222" s="36"/>
      <c r="Q222" s="36"/>
      <c r="R222" s="36"/>
      <c r="S222" s="36"/>
      <c r="T222" s="36"/>
      <c r="U222" s="36"/>
      <c r="V222" s="36"/>
      <c r="W222" s="36"/>
      <c r="X222" s="36"/>
      <c r="Y222" s="36"/>
      <c r="Z222" s="36"/>
      <c r="AA222" s="36"/>
      <c r="AB222" s="36"/>
      <c r="AC222" s="36"/>
    </row>
    <row r="223" spans="1:29" ht="36" customHeight="1">
      <c r="A223" s="601">
        <v>218</v>
      </c>
      <c r="B223" s="601">
        <v>844</v>
      </c>
      <c r="C223" s="601" t="s">
        <v>4811</v>
      </c>
      <c r="D223" s="682">
        <v>43977</v>
      </c>
      <c r="E223" s="591" t="s">
        <v>4812</v>
      </c>
      <c r="F223" s="592" t="s">
        <v>41</v>
      </c>
      <c r="G223" s="683" t="s">
        <v>4813</v>
      </c>
      <c r="H223" s="81"/>
      <c r="I223" s="81"/>
      <c r="J223" s="35"/>
      <c r="K223" s="36"/>
      <c r="L223" s="36"/>
      <c r="M223" s="36"/>
      <c r="N223" s="36"/>
      <c r="O223" s="36"/>
      <c r="P223" s="36"/>
      <c r="Q223" s="36"/>
      <c r="R223" s="36"/>
      <c r="S223" s="36"/>
      <c r="T223" s="36"/>
      <c r="U223" s="36"/>
      <c r="V223" s="36"/>
      <c r="W223" s="36"/>
      <c r="X223" s="36"/>
      <c r="Y223" s="36"/>
      <c r="Z223" s="36"/>
      <c r="AA223" s="36"/>
      <c r="AB223" s="36"/>
      <c r="AC223" s="36"/>
    </row>
    <row r="224" spans="1:29" ht="36" customHeight="1">
      <c r="A224" s="601">
        <v>219</v>
      </c>
      <c r="B224" s="601">
        <v>749</v>
      </c>
      <c r="C224" s="601" t="s">
        <v>4814</v>
      </c>
      <c r="D224" s="682">
        <v>43979</v>
      </c>
      <c r="E224" s="591" t="s">
        <v>4815</v>
      </c>
      <c r="F224" s="592" t="s">
        <v>41</v>
      </c>
      <c r="G224" s="683" t="s">
        <v>4816</v>
      </c>
      <c r="H224" s="81"/>
      <c r="I224" s="81"/>
      <c r="J224" s="35"/>
      <c r="K224" s="36"/>
      <c r="L224" s="36"/>
      <c r="M224" s="36"/>
      <c r="N224" s="36"/>
      <c r="O224" s="36"/>
      <c r="P224" s="36"/>
      <c r="Q224" s="36"/>
      <c r="R224" s="36"/>
      <c r="S224" s="36"/>
      <c r="T224" s="36"/>
      <c r="U224" s="36"/>
      <c r="V224" s="36"/>
      <c r="W224" s="36"/>
      <c r="X224" s="36"/>
      <c r="Y224" s="36"/>
      <c r="Z224" s="36"/>
      <c r="AA224" s="36"/>
      <c r="AB224" s="36"/>
      <c r="AC224" s="36"/>
    </row>
    <row r="225" spans="1:29" ht="36" customHeight="1">
      <c r="A225" s="601">
        <v>220</v>
      </c>
      <c r="B225" s="601">
        <v>768</v>
      </c>
      <c r="C225" s="601" t="s">
        <v>4817</v>
      </c>
      <c r="D225" s="682">
        <v>43981</v>
      </c>
      <c r="E225" s="591" t="s">
        <v>4818</v>
      </c>
      <c r="F225" s="592" t="s">
        <v>41</v>
      </c>
      <c r="G225" s="683" t="s">
        <v>3897</v>
      </c>
      <c r="H225" s="81"/>
      <c r="I225" s="81"/>
      <c r="J225" s="35"/>
      <c r="K225" s="36"/>
      <c r="L225" s="36"/>
      <c r="M225" s="36"/>
      <c r="N225" s="36"/>
      <c r="O225" s="36"/>
      <c r="P225" s="36"/>
      <c r="Q225" s="36"/>
      <c r="R225" s="36"/>
      <c r="S225" s="36"/>
      <c r="T225" s="36"/>
      <c r="U225" s="36"/>
      <c r="V225" s="36"/>
      <c r="W225" s="36"/>
      <c r="X225" s="36"/>
      <c r="Y225" s="36"/>
      <c r="Z225" s="36"/>
      <c r="AA225" s="36"/>
      <c r="AB225" s="36"/>
      <c r="AC225" s="36"/>
    </row>
    <row r="226" spans="1:29" ht="24" customHeight="1">
      <c r="A226" s="601">
        <v>221</v>
      </c>
      <c r="B226" s="601">
        <v>770</v>
      </c>
      <c r="C226" s="601" t="s">
        <v>4819</v>
      </c>
      <c r="D226" s="682">
        <v>43984</v>
      </c>
      <c r="E226" s="591" t="s">
        <v>4820</v>
      </c>
      <c r="F226" s="592" t="s">
        <v>4821</v>
      </c>
      <c r="G226" s="683" t="s">
        <v>3897</v>
      </c>
      <c r="H226" s="81"/>
      <c r="I226" s="81"/>
      <c r="J226" s="35"/>
      <c r="K226" s="36"/>
      <c r="L226" s="36"/>
      <c r="M226" s="36"/>
      <c r="N226" s="36"/>
      <c r="O226" s="36"/>
      <c r="P226" s="36"/>
      <c r="Q226" s="36"/>
      <c r="R226" s="36"/>
      <c r="S226" s="36"/>
      <c r="T226" s="36"/>
      <c r="U226" s="36"/>
      <c r="V226" s="36"/>
      <c r="W226" s="36"/>
      <c r="X226" s="36"/>
      <c r="Y226" s="36"/>
      <c r="Z226" s="36"/>
      <c r="AA226" s="36"/>
      <c r="AB226" s="36"/>
      <c r="AC226" s="36"/>
    </row>
    <row r="227" spans="1:29" ht="36" customHeight="1">
      <c r="A227" s="601">
        <v>222</v>
      </c>
      <c r="B227" s="601">
        <v>894</v>
      </c>
      <c r="C227" s="601" t="s">
        <v>4822</v>
      </c>
      <c r="D227" s="682">
        <v>43991</v>
      </c>
      <c r="E227" s="591" t="s">
        <v>4823</v>
      </c>
      <c r="F227" s="592" t="s">
        <v>41</v>
      </c>
      <c r="G227" s="683" t="s">
        <v>3897</v>
      </c>
      <c r="H227" s="81"/>
      <c r="I227" s="81"/>
      <c r="J227" s="35"/>
      <c r="K227" s="36"/>
      <c r="L227" s="36"/>
      <c r="M227" s="36"/>
      <c r="N227" s="36"/>
      <c r="O227" s="36"/>
      <c r="P227" s="36"/>
      <c r="Q227" s="36"/>
      <c r="R227" s="36"/>
      <c r="S227" s="36"/>
      <c r="T227" s="36"/>
      <c r="U227" s="36"/>
      <c r="V227" s="36"/>
      <c r="W227" s="36"/>
      <c r="X227" s="36"/>
      <c r="Y227" s="36"/>
      <c r="Z227" s="36"/>
      <c r="AA227" s="36"/>
      <c r="AB227" s="36"/>
      <c r="AC227" s="36"/>
    </row>
    <row r="228" spans="1:29" ht="60" customHeight="1">
      <c r="A228" s="601">
        <v>223</v>
      </c>
      <c r="B228" s="601">
        <v>1003</v>
      </c>
      <c r="C228" s="601" t="s">
        <v>4824</v>
      </c>
      <c r="D228" s="682">
        <v>44001</v>
      </c>
      <c r="E228" s="591" t="s">
        <v>4825</v>
      </c>
      <c r="F228" s="592" t="s">
        <v>41</v>
      </c>
      <c r="G228" s="683" t="s">
        <v>4826</v>
      </c>
      <c r="H228" s="81"/>
      <c r="I228" s="81"/>
      <c r="J228" s="35"/>
      <c r="K228" s="36"/>
      <c r="L228" s="36"/>
      <c r="M228" s="36"/>
      <c r="N228" s="36"/>
      <c r="O228" s="36"/>
      <c r="P228" s="36"/>
      <c r="Q228" s="36"/>
      <c r="R228" s="36"/>
      <c r="S228" s="36"/>
      <c r="T228" s="36"/>
      <c r="U228" s="36"/>
      <c r="V228" s="36"/>
      <c r="W228" s="36"/>
      <c r="X228" s="36"/>
      <c r="Y228" s="36"/>
      <c r="Z228" s="36"/>
      <c r="AA228" s="36"/>
      <c r="AB228" s="36"/>
      <c r="AC228" s="36"/>
    </row>
    <row r="229" spans="1:29" ht="24" customHeight="1">
      <c r="A229" s="601">
        <v>224</v>
      </c>
      <c r="B229" s="601">
        <v>1248</v>
      </c>
      <c r="C229" s="601" t="s">
        <v>4827</v>
      </c>
      <c r="D229" s="682">
        <v>44015</v>
      </c>
      <c r="E229" s="591" t="s">
        <v>4828</v>
      </c>
      <c r="F229" s="592" t="s">
        <v>4829</v>
      </c>
      <c r="G229" s="683" t="s">
        <v>3897</v>
      </c>
      <c r="H229" s="81"/>
      <c r="I229" s="81"/>
      <c r="J229" s="35"/>
      <c r="K229" s="36"/>
      <c r="L229" s="36"/>
      <c r="M229" s="36"/>
      <c r="N229" s="36"/>
      <c r="O229" s="36"/>
      <c r="P229" s="36"/>
      <c r="Q229" s="36"/>
      <c r="R229" s="36"/>
      <c r="S229" s="36"/>
      <c r="T229" s="36"/>
      <c r="U229" s="36"/>
      <c r="V229" s="36"/>
      <c r="W229" s="36"/>
      <c r="X229" s="36"/>
      <c r="Y229" s="36"/>
      <c r="Z229" s="36"/>
      <c r="AA229" s="36"/>
      <c r="AB229" s="36"/>
      <c r="AC229" s="36"/>
    </row>
    <row r="230" spans="1:29" ht="120" customHeight="1">
      <c r="A230" s="601">
        <v>225</v>
      </c>
      <c r="B230" s="601">
        <v>963</v>
      </c>
      <c r="C230" s="601" t="s">
        <v>4830</v>
      </c>
      <c r="D230" s="682">
        <v>44019</v>
      </c>
      <c r="E230" s="591" t="s">
        <v>4831</v>
      </c>
      <c r="F230" s="592" t="s">
        <v>4832</v>
      </c>
      <c r="G230" s="683" t="s">
        <v>4833</v>
      </c>
      <c r="H230" s="81"/>
      <c r="I230" s="81"/>
      <c r="J230" s="35"/>
      <c r="K230" s="36"/>
      <c r="L230" s="36"/>
      <c r="M230" s="36"/>
      <c r="N230" s="36"/>
      <c r="O230" s="36"/>
      <c r="P230" s="36"/>
      <c r="Q230" s="36"/>
      <c r="R230" s="36"/>
      <c r="S230" s="36"/>
      <c r="T230" s="36"/>
      <c r="U230" s="36"/>
      <c r="V230" s="36"/>
      <c r="W230" s="36"/>
      <c r="X230" s="36"/>
      <c r="Y230" s="36"/>
      <c r="Z230" s="36"/>
      <c r="AA230" s="36"/>
      <c r="AB230" s="36"/>
      <c r="AC230" s="36"/>
    </row>
    <row r="231" spans="1:29" ht="36" customHeight="1">
      <c r="A231" s="601">
        <v>226</v>
      </c>
      <c r="B231" s="601">
        <v>990</v>
      </c>
      <c r="C231" s="601" t="s">
        <v>4834</v>
      </c>
      <c r="D231" s="682">
        <v>44021</v>
      </c>
      <c r="E231" s="591" t="s">
        <v>4835</v>
      </c>
      <c r="F231" s="592" t="s">
        <v>41</v>
      </c>
      <c r="G231" s="683" t="s">
        <v>4836</v>
      </c>
      <c r="H231" s="81"/>
      <c r="I231" s="81"/>
      <c r="J231" s="35"/>
      <c r="K231" s="36"/>
      <c r="L231" s="36"/>
      <c r="M231" s="36"/>
      <c r="N231" s="36"/>
      <c r="O231" s="36"/>
      <c r="P231" s="36"/>
      <c r="Q231" s="36"/>
      <c r="R231" s="36"/>
      <c r="S231" s="36"/>
      <c r="T231" s="36"/>
      <c r="U231" s="36"/>
      <c r="V231" s="36"/>
      <c r="W231" s="36"/>
      <c r="X231" s="36"/>
      <c r="Y231" s="36"/>
      <c r="Z231" s="36"/>
      <c r="AA231" s="36"/>
      <c r="AB231" s="36"/>
      <c r="AC231" s="36"/>
    </row>
    <row r="232" spans="1:29" ht="48" customHeight="1">
      <c r="A232" s="601">
        <v>227</v>
      </c>
      <c r="B232" s="601">
        <v>168</v>
      </c>
      <c r="C232" s="601" t="s">
        <v>4830</v>
      </c>
      <c r="D232" s="682">
        <v>44024</v>
      </c>
      <c r="E232" s="591" t="s">
        <v>4837</v>
      </c>
      <c r="F232" s="592" t="s">
        <v>4838</v>
      </c>
      <c r="G232" s="683" t="s">
        <v>4227</v>
      </c>
      <c r="H232" s="81"/>
      <c r="I232" s="81"/>
      <c r="J232" s="35"/>
      <c r="K232" s="36"/>
      <c r="L232" s="36"/>
      <c r="M232" s="36"/>
      <c r="N232" s="36"/>
      <c r="O232" s="36"/>
      <c r="P232" s="36"/>
      <c r="Q232" s="36"/>
      <c r="R232" s="36"/>
      <c r="S232" s="36"/>
      <c r="T232" s="36"/>
      <c r="U232" s="36"/>
      <c r="V232" s="36"/>
      <c r="W232" s="36"/>
      <c r="X232" s="36"/>
      <c r="Y232" s="36"/>
      <c r="Z232" s="36"/>
      <c r="AA232" s="36"/>
      <c r="AB232" s="36"/>
      <c r="AC232" s="36"/>
    </row>
    <row r="233" spans="1:29" ht="36" customHeight="1">
      <c r="A233" s="601">
        <v>228</v>
      </c>
      <c r="B233" s="601">
        <v>1172</v>
      </c>
      <c r="C233" s="601" t="s">
        <v>4839</v>
      </c>
      <c r="D233" s="682">
        <v>44029</v>
      </c>
      <c r="E233" s="591" t="s">
        <v>4840</v>
      </c>
      <c r="F233" s="592" t="s">
        <v>41</v>
      </c>
      <c r="G233" s="683" t="s">
        <v>3897</v>
      </c>
      <c r="H233" s="81"/>
      <c r="I233" s="81"/>
      <c r="J233" s="35"/>
      <c r="K233" s="36"/>
      <c r="L233" s="36"/>
      <c r="M233" s="36"/>
      <c r="N233" s="36"/>
      <c r="O233" s="36"/>
      <c r="P233" s="36"/>
      <c r="Q233" s="36"/>
      <c r="R233" s="36"/>
      <c r="S233" s="36"/>
      <c r="T233" s="36"/>
      <c r="U233" s="36"/>
      <c r="V233" s="36"/>
      <c r="W233" s="36"/>
      <c r="X233" s="36"/>
      <c r="Y233" s="36"/>
      <c r="Z233" s="36"/>
      <c r="AA233" s="36"/>
      <c r="AB233" s="36"/>
      <c r="AC233" s="36"/>
    </row>
    <row r="234" spans="1:29" ht="24" customHeight="1">
      <c r="A234" s="601">
        <v>229</v>
      </c>
      <c r="B234" s="601">
        <v>1</v>
      </c>
      <c r="C234" s="601" t="s">
        <v>4841</v>
      </c>
      <c r="D234" s="682">
        <v>44034</v>
      </c>
      <c r="E234" s="591" t="s">
        <v>4842</v>
      </c>
      <c r="F234" s="592" t="s">
        <v>3844</v>
      </c>
      <c r="G234" s="683" t="s">
        <v>4843</v>
      </c>
      <c r="H234" s="81"/>
      <c r="I234" s="81"/>
      <c r="J234" s="35"/>
      <c r="K234" s="36"/>
      <c r="L234" s="36"/>
      <c r="M234" s="36"/>
      <c r="N234" s="36"/>
      <c r="O234" s="36"/>
      <c r="P234" s="36"/>
      <c r="Q234" s="36"/>
      <c r="R234" s="36"/>
      <c r="S234" s="36"/>
      <c r="T234" s="36"/>
      <c r="U234" s="36"/>
      <c r="V234" s="36"/>
      <c r="W234" s="36"/>
      <c r="X234" s="36"/>
      <c r="Y234" s="36"/>
      <c r="Z234" s="36"/>
      <c r="AA234" s="36"/>
      <c r="AB234" s="36"/>
      <c r="AC234" s="36"/>
    </row>
    <row r="235" spans="1:29" ht="84" customHeight="1">
      <c r="A235" s="601">
        <v>230</v>
      </c>
      <c r="B235" s="601">
        <v>2023</v>
      </c>
      <c r="C235" s="601" t="s">
        <v>4844</v>
      </c>
      <c r="D235" s="682">
        <v>44035</v>
      </c>
      <c r="E235" s="591" t="s">
        <v>4845</v>
      </c>
      <c r="F235" s="592" t="s">
        <v>2884</v>
      </c>
      <c r="G235" s="683" t="s">
        <v>4233</v>
      </c>
      <c r="H235" s="81"/>
      <c r="I235" s="81"/>
      <c r="J235" s="35"/>
      <c r="K235" s="36"/>
      <c r="L235" s="36"/>
      <c r="M235" s="36"/>
      <c r="N235" s="36"/>
      <c r="O235" s="36"/>
      <c r="P235" s="36"/>
      <c r="Q235" s="36"/>
      <c r="R235" s="36"/>
      <c r="S235" s="36"/>
      <c r="T235" s="36"/>
      <c r="U235" s="36"/>
      <c r="V235" s="36"/>
      <c r="W235" s="36"/>
      <c r="X235" s="36"/>
      <c r="Y235" s="36"/>
      <c r="Z235" s="36"/>
      <c r="AA235" s="36"/>
      <c r="AB235" s="36"/>
      <c r="AC235" s="36"/>
    </row>
    <row r="236" spans="1:29" ht="48" customHeight="1">
      <c r="A236" s="601">
        <v>231</v>
      </c>
      <c r="B236" s="601">
        <v>1076</v>
      </c>
      <c r="C236" s="601" t="s">
        <v>4846</v>
      </c>
      <c r="D236" s="682">
        <v>44040</v>
      </c>
      <c r="E236" s="591" t="s">
        <v>4074</v>
      </c>
      <c r="F236" s="592" t="s">
        <v>4248</v>
      </c>
      <c r="G236" s="683" t="s">
        <v>4249</v>
      </c>
      <c r="H236" s="81"/>
      <c r="I236" s="81"/>
      <c r="J236" s="35"/>
      <c r="K236" s="36"/>
      <c r="L236" s="36"/>
      <c r="M236" s="36"/>
      <c r="N236" s="36"/>
      <c r="O236" s="36"/>
      <c r="P236" s="36"/>
      <c r="Q236" s="36"/>
      <c r="R236" s="36"/>
      <c r="S236" s="36"/>
      <c r="T236" s="36"/>
      <c r="U236" s="36"/>
      <c r="V236" s="36"/>
      <c r="W236" s="36"/>
      <c r="X236" s="36"/>
      <c r="Y236" s="36"/>
      <c r="Z236" s="36"/>
      <c r="AA236" s="36"/>
      <c r="AB236" s="36"/>
      <c r="AC236" s="36"/>
    </row>
    <row r="237" spans="1:29" ht="36" customHeight="1">
      <c r="A237" s="601">
        <v>232</v>
      </c>
      <c r="B237" s="601">
        <v>179</v>
      </c>
      <c r="C237" s="601" t="s">
        <v>4830</v>
      </c>
      <c r="D237" s="682">
        <v>44043</v>
      </c>
      <c r="E237" s="591" t="s">
        <v>4847</v>
      </c>
      <c r="F237" s="592" t="s">
        <v>4255</v>
      </c>
      <c r="G237" s="683" t="s">
        <v>4256</v>
      </c>
      <c r="H237" s="81"/>
      <c r="I237" s="81"/>
      <c r="J237" s="35"/>
      <c r="K237" s="36"/>
      <c r="L237" s="36"/>
      <c r="M237" s="36"/>
      <c r="N237" s="36"/>
      <c r="O237" s="36"/>
      <c r="P237" s="36"/>
      <c r="Q237" s="36"/>
      <c r="R237" s="36"/>
      <c r="S237" s="36"/>
      <c r="T237" s="36"/>
      <c r="U237" s="36"/>
      <c r="V237" s="36"/>
      <c r="W237" s="36"/>
      <c r="X237" s="36"/>
      <c r="Y237" s="36"/>
      <c r="Z237" s="36"/>
      <c r="AA237" s="36"/>
      <c r="AB237" s="36"/>
      <c r="AC237" s="36"/>
    </row>
    <row r="238" spans="1:29" ht="36" customHeight="1">
      <c r="A238" s="601">
        <v>233</v>
      </c>
      <c r="B238" s="601">
        <v>1109</v>
      </c>
      <c r="C238" s="601" t="s">
        <v>4830</v>
      </c>
      <c r="D238" s="682">
        <v>44053</v>
      </c>
      <c r="E238" s="591" t="s">
        <v>4848</v>
      </c>
      <c r="F238" s="592">
        <v>8</v>
      </c>
      <c r="G238" s="683" t="s">
        <v>4271</v>
      </c>
      <c r="H238" s="81"/>
      <c r="I238" s="81"/>
      <c r="J238" s="35"/>
      <c r="K238" s="36"/>
      <c r="L238" s="36"/>
      <c r="M238" s="36"/>
      <c r="N238" s="36"/>
      <c r="O238" s="36"/>
      <c r="P238" s="36"/>
      <c r="Q238" s="36"/>
      <c r="R238" s="36"/>
      <c r="S238" s="36"/>
      <c r="T238" s="36"/>
      <c r="U238" s="36"/>
      <c r="V238" s="36"/>
      <c r="W238" s="36"/>
      <c r="X238" s="36"/>
      <c r="Y238" s="36"/>
      <c r="Z238" s="36"/>
      <c r="AA238" s="36"/>
      <c r="AB238" s="36"/>
      <c r="AC238" s="36"/>
    </row>
    <row r="239" spans="1:29" ht="72" customHeight="1">
      <c r="A239" s="601">
        <v>234</v>
      </c>
      <c r="B239" s="601">
        <v>1148</v>
      </c>
      <c r="C239" s="601" t="s">
        <v>4849</v>
      </c>
      <c r="D239" s="682">
        <v>44061</v>
      </c>
      <c r="E239" s="591" t="s">
        <v>4850</v>
      </c>
      <c r="F239" s="592" t="s">
        <v>41</v>
      </c>
      <c r="G239" s="683" t="s">
        <v>3897</v>
      </c>
      <c r="H239" s="81"/>
      <c r="I239" s="81"/>
      <c r="J239" s="35"/>
      <c r="K239" s="36"/>
      <c r="L239" s="36"/>
      <c r="M239" s="36"/>
      <c r="N239" s="36"/>
      <c r="O239" s="36"/>
      <c r="P239" s="36"/>
      <c r="Q239" s="36"/>
      <c r="R239" s="36"/>
      <c r="S239" s="36"/>
      <c r="T239" s="36"/>
      <c r="U239" s="36"/>
      <c r="V239" s="36"/>
      <c r="W239" s="36"/>
      <c r="X239" s="36"/>
      <c r="Y239" s="36"/>
      <c r="Z239" s="36"/>
      <c r="AA239" s="36"/>
      <c r="AB239" s="36"/>
      <c r="AC239" s="36"/>
    </row>
    <row r="240" spans="1:29" ht="48" customHeight="1">
      <c r="A240" s="601">
        <v>235</v>
      </c>
      <c r="B240" s="601">
        <v>8</v>
      </c>
      <c r="C240" s="592" t="s">
        <v>4851</v>
      </c>
      <c r="D240" s="689">
        <v>44061</v>
      </c>
      <c r="E240" s="591" t="s">
        <v>4852</v>
      </c>
      <c r="F240" s="592" t="s">
        <v>4853</v>
      </c>
      <c r="G240" s="683" t="s">
        <v>4854</v>
      </c>
      <c r="H240" s="81"/>
      <c r="I240" s="81"/>
      <c r="J240" s="35"/>
      <c r="K240" s="36"/>
      <c r="L240" s="36"/>
      <c r="M240" s="36"/>
      <c r="N240" s="36"/>
      <c r="O240" s="36"/>
      <c r="P240" s="36"/>
      <c r="Q240" s="36"/>
      <c r="R240" s="36"/>
      <c r="S240" s="36"/>
      <c r="T240" s="36"/>
      <c r="U240" s="36"/>
      <c r="V240" s="36"/>
      <c r="W240" s="36"/>
      <c r="X240" s="36"/>
      <c r="Y240" s="36"/>
      <c r="Z240" s="36"/>
      <c r="AA240" s="36"/>
      <c r="AB240" s="36"/>
      <c r="AC240" s="36"/>
    </row>
    <row r="241" spans="1:29" ht="24" customHeight="1">
      <c r="A241" s="601">
        <v>236</v>
      </c>
      <c r="B241" s="601">
        <v>2052</v>
      </c>
      <c r="C241" s="601" t="s">
        <v>4855</v>
      </c>
      <c r="D241" s="682">
        <v>44068</v>
      </c>
      <c r="E241" s="591" t="s">
        <v>4856</v>
      </c>
      <c r="F241" s="592" t="s">
        <v>4857</v>
      </c>
      <c r="G241" s="683" t="s">
        <v>4318</v>
      </c>
      <c r="H241" s="81"/>
      <c r="I241" s="81"/>
      <c r="J241" s="35"/>
      <c r="K241" s="36"/>
      <c r="L241" s="36"/>
      <c r="M241" s="36"/>
      <c r="N241" s="36"/>
      <c r="O241" s="36"/>
      <c r="P241" s="36"/>
      <c r="Q241" s="36"/>
      <c r="R241" s="36"/>
      <c r="S241" s="36"/>
      <c r="T241" s="36"/>
      <c r="U241" s="36"/>
      <c r="V241" s="36"/>
      <c r="W241" s="36"/>
      <c r="X241" s="36"/>
      <c r="Y241" s="36"/>
      <c r="Z241" s="36"/>
      <c r="AA241" s="36"/>
      <c r="AB241" s="36"/>
      <c r="AC241" s="36"/>
    </row>
    <row r="242" spans="1:29" ht="24" customHeight="1">
      <c r="A242" s="601">
        <v>237</v>
      </c>
      <c r="B242" s="601">
        <v>1168</v>
      </c>
      <c r="C242" s="601" t="s">
        <v>4858</v>
      </c>
      <c r="D242" s="682">
        <v>44068</v>
      </c>
      <c r="E242" s="591" t="s">
        <v>4859</v>
      </c>
      <c r="F242" s="592" t="s">
        <v>41</v>
      </c>
      <c r="G242" s="683" t="s">
        <v>4860</v>
      </c>
      <c r="H242" s="463"/>
      <c r="I242" s="100"/>
      <c r="J242" s="35"/>
      <c r="K242" s="36"/>
      <c r="L242" s="36"/>
      <c r="M242" s="36"/>
      <c r="N242" s="36"/>
      <c r="O242" s="36"/>
      <c r="P242" s="36"/>
      <c r="Q242" s="36"/>
      <c r="R242" s="36"/>
      <c r="S242" s="36"/>
      <c r="T242" s="36"/>
      <c r="U242" s="36"/>
      <c r="V242" s="36"/>
      <c r="W242" s="36"/>
      <c r="X242" s="36"/>
      <c r="Y242" s="36"/>
      <c r="Z242" s="36"/>
      <c r="AA242" s="36"/>
      <c r="AB242" s="36"/>
      <c r="AC242" s="36"/>
    </row>
    <row r="243" spans="1:29" ht="48" customHeight="1">
      <c r="A243" s="601">
        <v>238</v>
      </c>
      <c r="B243" s="601">
        <v>1462</v>
      </c>
      <c r="C243" s="601" t="s">
        <v>4861</v>
      </c>
      <c r="D243" s="682">
        <v>44068</v>
      </c>
      <c r="E243" s="591" t="s">
        <v>4862</v>
      </c>
      <c r="F243" s="690"/>
      <c r="G243" s="683" t="s">
        <v>4863</v>
      </c>
      <c r="H243" s="463"/>
      <c r="I243" s="100"/>
      <c r="J243" s="35"/>
      <c r="K243" s="36"/>
      <c r="L243" s="36"/>
      <c r="M243" s="36"/>
      <c r="N243" s="36"/>
      <c r="O243" s="36"/>
      <c r="P243" s="36"/>
      <c r="Q243" s="36"/>
      <c r="R243" s="36"/>
      <c r="S243" s="36"/>
      <c r="T243" s="36"/>
      <c r="U243" s="36"/>
      <c r="V243" s="36"/>
      <c r="W243" s="36"/>
      <c r="X243" s="36"/>
      <c r="Y243" s="36"/>
      <c r="Z243" s="36"/>
      <c r="AA243" s="36"/>
      <c r="AB243" s="36"/>
      <c r="AC243" s="36"/>
    </row>
    <row r="244" spans="1:29" ht="36" customHeight="1">
      <c r="A244" s="601">
        <v>239</v>
      </c>
      <c r="B244" s="601">
        <v>7</v>
      </c>
      <c r="C244" s="592" t="s">
        <v>4331</v>
      </c>
      <c r="D244" s="687">
        <v>44070</v>
      </c>
      <c r="E244" s="591" t="s">
        <v>4864</v>
      </c>
      <c r="F244" s="592" t="s">
        <v>41</v>
      </c>
      <c r="G244" s="683" t="s">
        <v>4865</v>
      </c>
      <c r="H244" s="463"/>
      <c r="I244" s="100"/>
      <c r="J244" s="35"/>
      <c r="K244" s="36"/>
      <c r="L244" s="36"/>
      <c r="M244" s="36"/>
      <c r="N244" s="36"/>
      <c r="O244" s="36"/>
      <c r="P244" s="36"/>
      <c r="Q244" s="36"/>
      <c r="R244" s="36"/>
      <c r="S244" s="36"/>
      <c r="T244" s="36"/>
      <c r="U244" s="36"/>
      <c r="V244" s="36"/>
      <c r="W244" s="36"/>
      <c r="X244" s="36"/>
      <c r="Y244" s="36"/>
      <c r="Z244" s="36"/>
      <c r="AA244" s="36"/>
      <c r="AB244" s="36"/>
      <c r="AC244" s="36"/>
    </row>
    <row r="245" spans="1:29" ht="24" customHeight="1">
      <c r="A245" s="601">
        <v>240</v>
      </c>
      <c r="B245" s="601">
        <v>1537</v>
      </c>
      <c r="C245" s="592" t="s">
        <v>4866</v>
      </c>
      <c r="D245" s="691">
        <v>44076</v>
      </c>
      <c r="E245" s="591" t="s">
        <v>4867</v>
      </c>
      <c r="F245" s="592" t="s">
        <v>41</v>
      </c>
      <c r="G245" s="683" t="s">
        <v>4868</v>
      </c>
      <c r="H245" s="81"/>
      <c r="I245" s="81"/>
      <c r="J245" s="35"/>
      <c r="K245" s="36"/>
      <c r="L245" s="36"/>
      <c r="M245" s="36"/>
      <c r="N245" s="36"/>
      <c r="O245" s="36"/>
      <c r="P245" s="36"/>
      <c r="Q245" s="36"/>
      <c r="R245" s="36"/>
      <c r="S245" s="36"/>
      <c r="T245" s="36"/>
      <c r="U245" s="36"/>
      <c r="V245" s="36"/>
      <c r="W245" s="36"/>
      <c r="X245" s="36"/>
      <c r="Y245" s="36"/>
      <c r="Z245" s="36"/>
      <c r="AA245" s="36"/>
      <c r="AB245" s="36"/>
      <c r="AC245" s="36"/>
    </row>
    <row r="246" spans="1:29" ht="36" customHeight="1">
      <c r="A246" s="601">
        <v>241</v>
      </c>
      <c r="B246" s="601">
        <v>1258</v>
      </c>
      <c r="C246" s="601" t="s">
        <v>4869</v>
      </c>
      <c r="D246" s="682">
        <v>44089</v>
      </c>
      <c r="E246" s="591" t="s">
        <v>4870</v>
      </c>
      <c r="F246" s="592" t="s">
        <v>41</v>
      </c>
      <c r="G246" s="683" t="s">
        <v>3897</v>
      </c>
      <c r="H246" s="81"/>
      <c r="I246" s="81"/>
      <c r="J246" s="35"/>
      <c r="K246" s="36"/>
      <c r="L246" s="36"/>
      <c r="M246" s="36"/>
      <c r="N246" s="36"/>
      <c r="O246" s="36"/>
      <c r="P246" s="36"/>
      <c r="Q246" s="36"/>
      <c r="R246" s="36"/>
      <c r="S246" s="36"/>
      <c r="T246" s="36"/>
      <c r="U246" s="36"/>
      <c r="V246" s="36"/>
      <c r="W246" s="36"/>
      <c r="X246" s="36"/>
      <c r="Y246" s="36"/>
      <c r="Z246" s="36"/>
      <c r="AA246" s="36"/>
      <c r="AB246" s="36"/>
      <c r="AC246" s="36"/>
    </row>
    <row r="247" spans="1:29" ht="24" customHeight="1">
      <c r="A247" s="601">
        <v>242</v>
      </c>
      <c r="B247" s="601">
        <v>1630</v>
      </c>
      <c r="C247" s="601" t="s">
        <v>4871</v>
      </c>
      <c r="D247" s="682">
        <v>44090</v>
      </c>
      <c r="E247" s="591" t="s">
        <v>4872</v>
      </c>
      <c r="F247" s="592" t="s">
        <v>41</v>
      </c>
      <c r="G247" s="683" t="s">
        <v>3897</v>
      </c>
      <c r="H247" s="81"/>
      <c r="I247" s="81"/>
      <c r="J247" s="35"/>
      <c r="K247" s="36"/>
      <c r="L247" s="36"/>
      <c r="M247" s="36"/>
      <c r="N247" s="36"/>
      <c r="O247" s="36"/>
      <c r="P247" s="36"/>
      <c r="Q247" s="36"/>
      <c r="R247" s="36"/>
      <c r="S247" s="36"/>
      <c r="T247" s="36"/>
      <c r="U247" s="36"/>
      <c r="V247" s="36"/>
      <c r="W247" s="36"/>
      <c r="X247" s="36"/>
      <c r="Y247" s="36"/>
      <c r="Z247" s="36"/>
      <c r="AA247" s="36"/>
      <c r="AB247" s="36"/>
      <c r="AC247" s="36"/>
    </row>
    <row r="248" spans="1:29" ht="24" customHeight="1">
      <c r="A248" s="601">
        <v>243</v>
      </c>
      <c r="B248" s="601">
        <v>1297</v>
      </c>
      <c r="C248" s="601" t="s">
        <v>4873</v>
      </c>
      <c r="D248" s="682">
        <v>44103</v>
      </c>
      <c r="E248" s="591" t="s">
        <v>4874</v>
      </c>
      <c r="F248" s="592" t="s">
        <v>41</v>
      </c>
      <c r="G248" s="683" t="s">
        <v>4875</v>
      </c>
      <c r="H248" s="81"/>
      <c r="I248" s="81"/>
      <c r="J248" s="35"/>
      <c r="K248" s="36"/>
      <c r="L248" s="36"/>
      <c r="M248" s="36"/>
      <c r="N248" s="36"/>
      <c r="O248" s="36"/>
      <c r="P248" s="36"/>
      <c r="Q248" s="36"/>
      <c r="R248" s="36"/>
      <c r="S248" s="36"/>
      <c r="T248" s="36"/>
      <c r="U248" s="36"/>
      <c r="V248" s="36"/>
      <c r="W248" s="36"/>
      <c r="X248" s="36"/>
      <c r="Y248" s="36"/>
      <c r="Z248" s="36"/>
      <c r="AA248" s="36"/>
      <c r="AB248" s="36"/>
      <c r="AC248" s="36"/>
    </row>
    <row r="249" spans="1:29" ht="24" customHeight="1">
      <c r="A249" s="601">
        <v>244</v>
      </c>
      <c r="B249" s="601">
        <v>10</v>
      </c>
      <c r="C249" s="592" t="s">
        <v>953</v>
      </c>
      <c r="D249" s="692">
        <v>44111</v>
      </c>
      <c r="E249" s="591" t="s">
        <v>4876</v>
      </c>
      <c r="F249" s="592">
        <v>1</v>
      </c>
      <c r="G249" s="683" t="s">
        <v>4877</v>
      </c>
      <c r="H249" s="81"/>
      <c r="I249" s="81"/>
      <c r="J249" s="35"/>
      <c r="K249" s="36"/>
      <c r="L249" s="36"/>
      <c r="M249" s="36"/>
      <c r="N249" s="36"/>
      <c r="O249" s="36"/>
      <c r="P249" s="36"/>
      <c r="Q249" s="36"/>
      <c r="R249" s="36"/>
      <c r="S249" s="36"/>
      <c r="T249" s="36"/>
      <c r="U249" s="36"/>
      <c r="V249" s="36"/>
      <c r="W249" s="36"/>
      <c r="X249" s="36"/>
      <c r="Y249" s="36"/>
      <c r="Z249" s="36"/>
      <c r="AA249" s="36"/>
      <c r="AB249" s="36"/>
      <c r="AC249" s="36"/>
    </row>
    <row r="250" spans="1:29" ht="36" customHeight="1">
      <c r="A250" s="601">
        <v>245</v>
      </c>
      <c r="B250" s="601">
        <v>1374</v>
      </c>
      <c r="C250" s="601" t="s">
        <v>4878</v>
      </c>
      <c r="D250" s="682">
        <v>44123</v>
      </c>
      <c r="E250" s="591" t="s">
        <v>4879</v>
      </c>
      <c r="F250" s="592" t="s">
        <v>41</v>
      </c>
      <c r="G250" s="683" t="s">
        <v>4875</v>
      </c>
      <c r="H250" s="81"/>
      <c r="I250" s="81"/>
      <c r="J250" s="35"/>
      <c r="K250" s="36"/>
      <c r="L250" s="36"/>
      <c r="M250" s="36"/>
      <c r="N250" s="36"/>
      <c r="O250" s="36"/>
      <c r="P250" s="36"/>
      <c r="Q250" s="36"/>
      <c r="R250" s="36"/>
      <c r="S250" s="36"/>
      <c r="T250" s="36"/>
      <c r="U250" s="36"/>
      <c r="V250" s="36"/>
      <c r="W250" s="36"/>
      <c r="X250" s="36"/>
      <c r="Y250" s="36"/>
      <c r="Z250" s="36"/>
      <c r="AA250" s="36"/>
      <c r="AB250" s="36"/>
      <c r="AC250" s="36"/>
    </row>
    <row r="251" spans="1:29" ht="12" customHeight="1">
      <c r="A251" s="601">
        <v>246</v>
      </c>
      <c r="B251" s="601">
        <v>1408</v>
      </c>
      <c r="C251" s="601" t="s">
        <v>4880</v>
      </c>
      <c r="D251" s="682">
        <v>44134</v>
      </c>
      <c r="E251" s="591" t="s">
        <v>4881</v>
      </c>
      <c r="F251" s="592" t="s">
        <v>41</v>
      </c>
      <c r="G251" s="683" t="s">
        <v>4882</v>
      </c>
      <c r="H251" s="81"/>
      <c r="I251" s="81"/>
      <c r="J251" s="35"/>
      <c r="K251" s="36"/>
      <c r="L251" s="36"/>
      <c r="M251" s="36"/>
      <c r="N251" s="36"/>
      <c r="O251" s="36"/>
      <c r="P251" s="36"/>
      <c r="Q251" s="36"/>
      <c r="R251" s="36"/>
      <c r="S251" s="36"/>
      <c r="T251" s="36"/>
      <c r="U251" s="36"/>
      <c r="V251" s="36"/>
      <c r="W251" s="36"/>
      <c r="X251" s="36"/>
      <c r="Y251" s="36"/>
      <c r="Z251" s="36"/>
      <c r="AA251" s="36"/>
      <c r="AB251" s="36"/>
      <c r="AC251" s="36"/>
    </row>
    <row r="252" spans="1:29" ht="24" customHeight="1">
      <c r="A252" s="601">
        <v>247</v>
      </c>
      <c r="B252" s="601">
        <v>45</v>
      </c>
      <c r="C252" s="601" t="s">
        <v>4883</v>
      </c>
      <c r="D252" s="682">
        <v>44155</v>
      </c>
      <c r="E252" s="591" t="s">
        <v>4884</v>
      </c>
      <c r="F252" s="592" t="s">
        <v>41</v>
      </c>
      <c r="G252" s="683" t="s">
        <v>3897</v>
      </c>
      <c r="H252" s="81"/>
      <c r="I252" s="81"/>
      <c r="J252" s="35"/>
      <c r="K252" s="36"/>
      <c r="L252" s="36"/>
      <c r="M252" s="36"/>
      <c r="N252" s="36"/>
      <c r="O252" s="36"/>
      <c r="P252" s="36"/>
      <c r="Q252" s="36"/>
      <c r="R252" s="36"/>
      <c r="S252" s="36"/>
      <c r="T252" s="36"/>
      <c r="U252" s="36"/>
      <c r="V252" s="36"/>
      <c r="W252" s="36"/>
      <c r="X252" s="36"/>
      <c r="Y252" s="36"/>
      <c r="Z252" s="36"/>
      <c r="AA252" s="36"/>
      <c r="AB252" s="36"/>
      <c r="AC252" s="36"/>
    </row>
    <row r="253" spans="1:29" ht="24" customHeight="1">
      <c r="A253" s="601">
        <v>248</v>
      </c>
      <c r="B253" s="601">
        <v>2230</v>
      </c>
      <c r="C253" s="601" t="s">
        <v>4885</v>
      </c>
      <c r="D253" s="682">
        <v>44162</v>
      </c>
      <c r="E253" s="591" t="s">
        <v>4886</v>
      </c>
      <c r="F253" s="592" t="s">
        <v>41</v>
      </c>
      <c r="G253" s="683" t="s">
        <v>4887</v>
      </c>
      <c r="H253" s="81"/>
      <c r="I253" s="81"/>
      <c r="J253" s="35"/>
      <c r="K253" s="36"/>
      <c r="L253" s="36"/>
      <c r="M253" s="36"/>
      <c r="N253" s="36"/>
      <c r="O253" s="36"/>
      <c r="P253" s="36"/>
      <c r="Q253" s="36"/>
      <c r="R253" s="36"/>
      <c r="S253" s="36"/>
      <c r="T253" s="36"/>
      <c r="U253" s="36"/>
      <c r="V253" s="36"/>
      <c r="W253" s="36"/>
      <c r="X253" s="36"/>
      <c r="Y253" s="36"/>
      <c r="Z253" s="36"/>
      <c r="AA253" s="36"/>
      <c r="AB253" s="36"/>
      <c r="AC253" s="36"/>
    </row>
    <row r="254" spans="1:29" ht="12" customHeight="1">
      <c r="A254" s="601">
        <v>249</v>
      </c>
      <c r="B254" s="601">
        <v>1550</v>
      </c>
      <c r="C254" s="601" t="s">
        <v>4888</v>
      </c>
      <c r="D254" s="682">
        <v>44163</v>
      </c>
      <c r="E254" s="591" t="s">
        <v>4889</v>
      </c>
      <c r="F254" s="592" t="s">
        <v>41</v>
      </c>
      <c r="G254" s="683" t="s">
        <v>4890</v>
      </c>
      <c r="H254" s="81"/>
      <c r="I254" s="81"/>
      <c r="J254" s="35"/>
      <c r="K254" s="36"/>
      <c r="L254" s="36"/>
      <c r="M254" s="36"/>
      <c r="N254" s="36"/>
      <c r="O254" s="36"/>
      <c r="P254" s="36"/>
      <c r="Q254" s="36"/>
      <c r="R254" s="36"/>
      <c r="S254" s="36"/>
      <c r="T254" s="36"/>
      <c r="U254" s="36"/>
      <c r="V254" s="36"/>
      <c r="W254" s="36"/>
      <c r="X254" s="36"/>
      <c r="Y254" s="36"/>
      <c r="Z254" s="36"/>
      <c r="AA254" s="36"/>
      <c r="AB254" s="36"/>
      <c r="AC254" s="36"/>
    </row>
    <row r="255" spans="1:29" ht="36" customHeight="1">
      <c r="A255" s="601">
        <v>250</v>
      </c>
      <c r="B255" s="601">
        <v>2064</v>
      </c>
      <c r="C255" s="601" t="s">
        <v>4891</v>
      </c>
      <c r="D255" s="682">
        <v>44174</v>
      </c>
      <c r="E255" s="591" t="s">
        <v>4892</v>
      </c>
      <c r="F255" s="592" t="s">
        <v>41</v>
      </c>
      <c r="G255" s="683" t="s">
        <v>4893</v>
      </c>
      <c r="H255" s="81"/>
      <c r="I255" s="81"/>
      <c r="J255" s="35"/>
      <c r="K255" s="36"/>
      <c r="L255" s="36"/>
      <c r="M255" s="36"/>
      <c r="N255" s="36"/>
      <c r="O255" s="36"/>
      <c r="P255" s="36"/>
      <c r="Q255" s="36"/>
      <c r="R255" s="36"/>
      <c r="S255" s="36"/>
      <c r="T255" s="36"/>
      <c r="U255" s="36"/>
      <c r="V255" s="36"/>
      <c r="W255" s="36"/>
      <c r="X255" s="36"/>
      <c r="Y255" s="36"/>
      <c r="Z255" s="36"/>
      <c r="AA255" s="36"/>
      <c r="AB255" s="36"/>
      <c r="AC255" s="36"/>
    </row>
    <row r="256" spans="1:29" ht="24" customHeight="1">
      <c r="A256" s="601">
        <v>251</v>
      </c>
      <c r="B256" s="601">
        <v>1</v>
      </c>
      <c r="C256" s="601" t="s">
        <v>4894</v>
      </c>
      <c r="D256" s="689">
        <v>44202</v>
      </c>
      <c r="E256" s="641" t="s">
        <v>4895</v>
      </c>
      <c r="F256" s="592">
        <v>1</v>
      </c>
      <c r="G256" s="683" t="s">
        <v>4896</v>
      </c>
      <c r="H256" s="81"/>
      <c r="I256" s="81"/>
      <c r="J256" s="35"/>
      <c r="K256" s="36"/>
      <c r="L256" s="36"/>
      <c r="M256" s="36"/>
      <c r="N256" s="36"/>
      <c r="O256" s="36"/>
      <c r="P256" s="36"/>
      <c r="Q256" s="36"/>
      <c r="R256" s="36"/>
      <c r="S256" s="36"/>
      <c r="T256" s="36"/>
      <c r="U256" s="36"/>
      <c r="V256" s="36"/>
      <c r="W256" s="36"/>
      <c r="X256" s="36"/>
      <c r="Y256" s="36"/>
      <c r="Z256" s="36"/>
      <c r="AA256" s="36"/>
      <c r="AB256" s="36"/>
      <c r="AC256" s="36"/>
    </row>
    <row r="257" spans="1:29" ht="12" customHeight="1">
      <c r="A257" s="601">
        <v>252</v>
      </c>
      <c r="B257" s="601">
        <v>39</v>
      </c>
      <c r="C257" s="601" t="s">
        <v>3954</v>
      </c>
      <c r="D257" s="682">
        <v>44210</v>
      </c>
      <c r="E257" s="591" t="s">
        <v>4897</v>
      </c>
      <c r="F257" s="592" t="s">
        <v>41</v>
      </c>
      <c r="G257" s="683" t="s">
        <v>4893</v>
      </c>
      <c r="H257" s="81"/>
      <c r="I257" s="81"/>
      <c r="J257" s="35"/>
      <c r="K257" s="36"/>
      <c r="L257" s="36"/>
      <c r="M257" s="36"/>
      <c r="N257" s="36"/>
      <c r="O257" s="36"/>
      <c r="P257" s="36"/>
      <c r="Q257" s="36"/>
      <c r="R257" s="36"/>
      <c r="S257" s="36"/>
      <c r="T257" s="36"/>
      <c r="U257" s="36"/>
      <c r="V257" s="36"/>
      <c r="W257" s="36"/>
      <c r="X257" s="36"/>
      <c r="Y257" s="36"/>
      <c r="Z257" s="36"/>
      <c r="AA257" s="36"/>
      <c r="AB257" s="36"/>
      <c r="AC257" s="36"/>
    </row>
    <row r="258" spans="1:29" ht="48" customHeight="1">
      <c r="A258" s="601">
        <v>253</v>
      </c>
      <c r="B258" s="601">
        <v>109</v>
      </c>
      <c r="C258" s="601" t="s">
        <v>4898</v>
      </c>
      <c r="D258" s="682">
        <v>44225</v>
      </c>
      <c r="E258" s="591" t="s">
        <v>4899</v>
      </c>
      <c r="F258" s="592" t="s">
        <v>41</v>
      </c>
      <c r="G258" s="683" t="s">
        <v>4900</v>
      </c>
      <c r="H258" s="81"/>
      <c r="I258" s="81"/>
      <c r="J258" s="35"/>
      <c r="K258" s="36"/>
      <c r="L258" s="36"/>
      <c r="M258" s="36"/>
      <c r="N258" s="36"/>
      <c r="O258" s="36"/>
      <c r="P258" s="36"/>
      <c r="Q258" s="36"/>
      <c r="R258" s="36"/>
      <c r="S258" s="36"/>
      <c r="T258" s="36"/>
      <c r="U258" s="36"/>
      <c r="V258" s="36"/>
      <c r="W258" s="36"/>
      <c r="X258" s="36"/>
      <c r="Y258" s="36"/>
      <c r="Z258" s="36"/>
      <c r="AA258" s="36"/>
      <c r="AB258" s="36"/>
      <c r="AC258" s="36"/>
    </row>
    <row r="259" spans="1:29" ht="101.25" customHeight="1">
      <c r="A259" s="601">
        <v>254</v>
      </c>
      <c r="B259" s="601">
        <v>222</v>
      </c>
      <c r="C259" s="592" t="s">
        <v>4901</v>
      </c>
      <c r="D259" s="689">
        <v>44252</v>
      </c>
      <c r="E259" s="591" t="s">
        <v>4902</v>
      </c>
      <c r="F259" s="592">
        <v>1</v>
      </c>
      <c r="G259" s="683" t="s">
        <v>4903</v>
      </c>
      <c r="H259" s="94"/>
      <c r="I259" s="81"/>
      <c r="J259" s="35"/>
      <c r="K259" s="36"/>
      <c r="L259" s="36"/>
      <c r="M259" s="36"/>
      <c r="N259" s="36"/>
      <c r="O259" s="36"/>
      <c r="P259" s="36"/>
      <c r="Q259" s="36"/>
      <c r="R259" s="36"/>
      <c r="S259" s="36"/>
      <c r="T259" s="36"/>
      <c r="U259" s="36"/>
      <c r="V259" s="36"/>
      <c r="W259" s="36"/>
      <c r="X259" s="36"/>
      <c r="Y259" s="36"/>
      <c r="Z259" s="36"/>
      <c r="AA259" s="36"/>
      <c r="AB259" s="36"/>
      <c r="AC259" s="36"/>
    </row>
    <row r="260" spans="1:29" ht="108" customHeight="1">
      <c r="A260" s="601">
        <v>255</v>
      </c>
      <c r="B260" s="601">
        <v>223</v>
      </c>
      <c r="C260" s="592" t="s">
        <v>4904</v>
      </c>
      <c r="D260" s="689">
        <v>44252</v>
      </c>
      <c r="E260" s="591" t="s">
        <v>4905</v>
      </c>
      <c r="F260" s="592" t="s">
        <v>41</v>
      </c>
      <c r="G260" s="683" t="s">
        <v>4906</v>
      </c>
      <c r="H260" s="81"/>
      <c r="I260" s="81"/>
      <c r="J260" s="35"/>
      <c r="K260" s="36"/>
      <c r="L260" s="36"/>
      <c r="M260" s="36"/>
      <c r="N260" s="36"/>
      <c r="O260" s="36"/>
      <c r="P260" s="36"/>
      <c r="Q260" s="36"/>
      <c r="R260" s="36"/>
      <c r="S260" s="36"/>
      <c r="T260" s="36"/>
      <c r="U260" s="36"/>
      <c r="V260" s="36"/>
      <c r="W260" s="36"/>
      <c r="X260" s="36"/>
      <c r="Y260" s="36"/>
      <c r="Z260" s="36"/>
      <c r="AA260" s="36"/>
      <c r="AB260" s="36"/>
      <c r="AC260" s="36"/>
    </row>
    <row r="261" spans="1:29" ht="48" customHeight="1">
      <c r="A261" s="601">
        <v>256</v>
      </c>
      <c r="B261" s="601">
        <v>206</v>
      </c>
      <c r="C261" s="592" t="s">
        <v>4907</v>
      </c>
      <c r="D261" s="689">
        <v>44253</v>
      </c>
      <c r="E261" s="591" t="s">
        <v>4908</v>
      </c>
      <c r="F261" s="592" t="s">
        <v>41</v>
      </c>
      <c r="G261" s="683" t="s">
        <v>4909</v>
      </c>
      <c r="H261" s="81"/>
      <c r="I261" s="81"/>
      <c r="J261" s="35"/>
      <c r="K261" s="36"/>
      <c r="L261" s="36"/>
      <c r="M261" s="36"/>
      <c r="N261" s="36"/>
      <c r="O261" s="36"/>
      <c r="P261" s="36"/>
      <c r="Q261" s="36"/>
      <c r="R261" s="36"/>
      <c r="S261" s="36"/>
      <c r="T261" s="36"/>
      <c r="U261" s="36"/>
      <c r="V261" s="36"/>
      <c r="W261" s="36"/>
      <c r="X261" s="36"/>
      <c r="Y261" s="36"/>
      <c r="Z261" s="36"/>
      <c r="AA261" s="36"/>
      <c r="AB261" s="36"/>
      <c r="AC261" s="36"/>
    </row>
    <row r="262" spans="1:29" ht="36" customHeight="1">
      <c r="A262" s="601">
        <v>257</v>
      </c>
      <c r="B262" s="601">
        <v>22</v>
      </c>
      <c r="C262" s="592" t="s">
        <v>4910</v>
      </c>
      <c r="D262" s="689">
        <v>44263</v>
      </c>
      <c r="E262" s="591" t="s">
        <v>4911</v>
      </c>
      <c r="F262" s="592" t="s">
        <v>41</v>
      </c>
      <c r="G262" s="683" t="s">
        <v>4912</v>
      </c>
      <c r="H262" s="81"/>
      <c r="I262" s="81"/>
      <c r="J262" s="35"/>
      <c r="K262" s="36"/>
      <c r="L262" s="36"/>
      <c r="M262" s="36"/>
      <c r="N262" s="36"/>
      <c r="O262" s="36"/>
      <c r="P262" s="36"/>
      <c r="Q262" s="36"/>
      <c r="R262" s="36"/>
      <c r="S262" s="36"/>
      <c r="T262" s="36"/>
      <c r="U262" s="36"/>
      <c r="V262" s="36"/>
      <c r="W262" s="36"/>
      <c r="X262" s="36"/>
      <c r="Y262" s="36"/>
      <c r="Z262" s="36"/>
      <c r="AA262" s="36"/>
      <c r="AB262" s="36"/>
      <c r="AC262" s="36"/>
    </row>
    <row r="263" spans="1:29" ht="240" customHeight="1">
      <c r="A263" s="601">
        <v>258</v>
      </c>
      <c r="B263" s="601">
        <v>392</v>
      </c>
      <c r="C263" s="592" t="s">
        <v>4913</v>
      </c>
      <c r="D263" s="689">
        <v>44280</v>
      </c>
      <c r="E263" s="591" t="s">
        <v>4914</v>
      </c>
      <c r="F263" s="592" t="s">
        <v>41</v>
      </c>
      <c r="G263" s="683" t="s">
        <v>4915</v>
      </c>
      <c r="H263" s="81"/>
      <c r="I263" s="81"/>
      <c r="J263" s="35"/>
      <c r="K263" s="36"/>
      <c r="L263" s="36"/>
      <c r="M263" s="36"/>
      <c r="N263" s="36"/>
      <c r="O263" s="36"/>
      <c r="P263" s="36"/>
      <c r="Q263" s="36"/>
      <c r="R263" s="36"/>
      <c r="S263" s="36"/>
      <c r="T263" s="36"/>
      <c r="U263" s="36"/>
      <c r="V263" s="36"/>
      <c r="W263" s="36"/>
      <c r="X263" s="36"/>
      <c r="Y263" s="36"/>
      <c r="Z263" s="36"/>
      <c r="AA263" s="36"/>
      <c r="AB263" s="36"/>
      <c r="AC263" s="36"/>
    </row>
    <row r="264" spans="1:29" ht="36" customHeight="1">
      <c r="A264" s="601">
        <v>259</v>
      </c>
      <c r="B264" s="601">
        <v>25</v>
      </c>
      <c r="C264" s="592" t="s">
        <v>4916</v>
      </c>
      <c r="D264" s="689">
        <v>44281</v>
      </c>
      <c r="E264" s="591" t="s">
        <v>4917</v>
      </c>
      <c r="F264" s="592" t="s">
        <v>41</v>
      </c>
      <c r="G264" s="683" t="s">
        <v>4918</v>
      </c>
      <c r="H264" s="81"/>
      <c r="I264" s="81"/>
      <c r="J264" s="35"/>
      <c r="K264" s="36"/>
      <c r="L264" s="36"/>
      <c r="M264" s="36"/>
      <c r="N264" s="36"/>
      <c r="O264" s="36"/>
      <c r="P264" s="36"/>
      <c r="Q264" s="36"/>
      <c r="R264" s="36"/>
      <c r="S264" s="36"/>
      <c r="T264" s="36"/>
      <c r="U264" s="36"/>
      <c r="V264" s="36"/>
      <c r="W264" s="36"/>
      <c r="X264" s="36"/>
      <c r="Y264" s="36"/>
      <c r="Z264" s="36"/>
      <c r="AA264" s="36"/>
      <c r="AB264" s="36"/>
      <c r="AC264" s="36"/>
    </row>
    <row r="265" spans="1:29" ht="108" customHeight="1">
      <c r="A265" s="601">
        <v>260</v>
      </c>
      <c r="B265" s="592">
        <v>773</v>
      </c>
      <c r="C265" s="592" t="s">
        <v>4919</v>
      </c>
      <c r="D265" s="689">
        <v>44293</v>
      </c>
      <c r="E265" s="591" t="s">
        <v>4920</v>
      </c>
      <c r="F265" s="592" t="s">
        <v>41</v>
      </c>
      <c r="G265" s="683" t="s">
        <v>4921</v>
      </c>
      <c r="H265" s="81"/>
      <c r="I265" s="81"/>
      <c r="J265" s="35"/>
      <c r="K265" s="36"/>
      <c r="L265" s="36"/>
      <c r="M265" s="36"/>
      <c r="N265" s="36"/>
      <c r="O265" s="36"/>
      <c r="P265" s="36"/>
      <c r="Q265" s="36"/>
      <c r="R265" s="36"/>
      <c r="S265" s="36"/>
      <c r="T265" s="36"/>
      <c r="U265" s="36"/>
      <c r="V265" s="36"/>
      <c r="W265" s="36"/>
      <c r="X265" s="36"/>
      <c r="Y265" s="36"/>
      <c r="Z265" s="36"/>
      <c r="AA265" s="36"/>
      <c r="AB265" s="36"/>
      <c r="AC265" s="36"/>
    </row>
    <row r="266" spans="1:29" ht="178.5" customHeight="1">
      <c r="A266" s="601">
        <v>261</v>
      </c>
      <c r="B266" s="601">
        <v>376</v>
      </c>
      <c r="C266" s="592" t="s">
        <v>4922</v>
      </c>
      <c r="D266" s="689">
        <v>44295</v>
      </c>
      <c r="E266" s="591" t="s">
        <v>4923</v>
      </c>
      <c r="F266" s="592" t="s">
        <v>41</v>
      </c>
      <c r="G266" s="683" t="s">
        <v>4924</v>
      </c>
      <c r="H266" s="81"/>
      <c r="I266" s="81"/>
      <c r="J266" s="35"/>
      <c r="K266" s="36"/>
      <c r="L266" s="36"/>
      <c r="M266" s="36"/>
      <c r="N266" s="36"/>
      <c r="O266" s="36"/>
      <c r="P266" s="36"/>
      <c r="Q266" s="36"/>
      <c r="R266" s="36"/>
      <c r="S266" s="36"/>
      <c r="T266" s="36"/>
      <c r="U266" s="36"/>
      <c r="V266" s="36"/>
      <c r="W266" s="36"/>
      <c r="X266" s="36"/>
      <c r="Y266" s="36"/>
      <c r="Z266" s="36"/>
      <c r="AA266" s="36"/>
      <c r="AB266" s="36"/>
      <c r="AC266" s="36"/>
    </row>
    <row r="267" spans="1:29" ht="78.75" customHeight="1">
      <c r="A267" s="601">
        <v>262</v>
      </c>
      <c r="B267" s="592">
        <v>507</v>
      </c>
      <c r="C267" s="592" t="s">
        <v>4925</v>
      </c>
      <c r="D267" s="689">
        <v>44305</v>
      </c>
      <c r="E267" s="591" t="s">
        <v>4926</v>
      </c>
      <c r="F267" s="592" t="s">
        <v>4927</v>
      </c>
      <c r="G267" s="683" t="s">
        <v>4928</v>
      </c>
      <c r="H267" s="81"/>
      <c r="I267" s="81"/>
      <c r="J267" s="35"/>
      <c r="K267" s="36"/>
      <c r="L267" s="36"/>
      <c r="M267" s="36"/>
      <c r="N267" s="36"/>
      <c r="O267" s="36"/>
      <c r="P267" s="36"/>
      <c r="Q267" s="36"/>
      <c r="R267" s="36"/>
      <c r="S267" s="36"/>
      <c r="T267" s="36"/>
      <c r="U267" s="36"/>
      <c r="V267" s="36"/>
      <c r="W267" s="36"/>
      <c r="X267" s="36"/>
      <c r="Y267" s="36"/>
      <c r="Z267" s="36"/>
      <c r="AA267" s="36"/>
      <c r="AB267" s="36"/>
      <c r="AC267" s="36"/>
    </row>
    <row r="268" spans="1:29" ht="65.25" customHeight="1">
      <c r="A268" s="601">
        <v>263</v>
      </c>
      <c r="B268" s="601">
        <v>223</v>
      </c>
      <c r="C268" s="592" t="s">
        <v>4929</v>
      </c>
      <c r="D268" s="689">
        <v>44309</v>
      </c>
      <c r="E268" s="591" t="s">
        <v>4930</v>
      </c>
      <c r="F268" s="592" t="s">
        <v>41</v>
      </c>
      <c r="G268" s="683" t="s">
        <v>4931</v>
      </c>
      <c r="H268" s="81"/>
      <c r="I268" s="81"/>
      <c r="J268" s="35"/>
      <c r="K268" s="36"/>
      <c r="L268" s="36"/>
      <c r="M268" s="36"/>
      <c r="N268" s="36"/>
      <c r="O268" s="36"/>
      <c r="P268" s="36"/>
      <c r="Q268" s="36"/>
      <c r="R268" s="36"/>
      <c r="S268" s="36"/>
      <c r="T268" s="36"/>
      <c r="U268" s="36"/>
      <c r="V268" s="36"/>
      <c r="W268" s="36"/>
      <c r="X268" s="36"/>
      <c r="Y268" s="36"/>
      <c r="Z268" s="36"/>
      <c r="AA268" s="36"/>
      <c r="AB268" s="36"/>
      <c r="AC268" s="36"/>
    </row>
    <row r="269" spans="1:29" ht="180" customHeight="1">
      <c r="A269" s="601">
        <v>264</v>
      </c>
      <c r="B269" s="601">
        <v>392</v>
      </c>
      <c r="C269" s="592" t="s">
        <v>4932</v>
      </c>
      <c r="D269" s="689">
        <v>44310</v>
      </c>
      <c r="E269" s="591" t="s">
        <v>4914</v>
      </c>
      <c r="F269" s="592" t="s">
        <v>41</v>
      </c>
      <c r="G269" s="683" t="s">
        <v>4933</v>
      </c>
      <c r="H269" s="81"/>
      <c r="I269" s="81"/>
      <c r="J269" s="35"/>
      <c r="K269" s="36"/>
      <c r="L269" s="36"/>
      <c r="M269" s="36"/>
      <c r="N269" s="36"/>
      <c r="O269" s="36"/>
      <c r="P269" s="36"/>
      <c r="Q269" s="36"/>
      <c r="R269" s="36"/>
      <c r="S269" s="36"/>
      <c r="T269" s="36"/>
      <c r="U269" s="36"/>
      <c r="V269" s="36"/>
      <c r="W269" s="36"/>
      <c r="X269" s="36"/>
      <c r="Y269" s="36"/>
      <c r="Z269" s="36"/>
      <c r="AA269" s="36"/>
      <c r="AB269" s="36"/>
      <c r="AC269" s="36"/>
    </row>
    <row r="270" spans="1:29" ht="24" customHeight="1">
      <c r="A270" s="601">
        <v>265</v>
      </c>
      <c r="B270" s="601">
        <v>677</v>
      </c>
      <c r="C270" s="601" t="s">
        <v>4934</v>
      </c>
      <c r="D270" s="689">
        <v>44315</v>
      </c>
      <c r="E270" s="591" t="s">
        <v>4935</v>
      </c>
      <c r="F270" s="592" t="s">
        <v>4936</v>
      </c>
      <c r="G270" s="683" t="s">
        <v>4937</v>
      </c>
      <c r="H270" s="81"/>
      <c r="I270" s="81"/>
      <c r="J270" s="35"/>
      <c r="K270" s="36"/>
      <c r="L270" s="36"/>
      <c r="M270" s="36"/>
      <c r="N270" s="36"/>
      <c r="O270" s="36"/>
      <c r="P270" s="36"/>
      <c r="Q270" s="36"/>
      <c r="R270" s="36"/>
      <c r="S270" s="36"/>
      <c r="T270" s="36"/>
      <c r="U270" s="36"/>
      <c r="V270" s="36"/>
      <c r="W270" s="36"/>
      <c r="X270" s="36"/>
      <c r="Y270" s="36"/>
      <c r="Z270" s="36"/>
      <c r="AA270" s="36"/>
      <c r="AB270" s="36"/>
      <c r="AC270" s="36"/>
    </row>
    <row r="271" spans="1:29" ht="24" customHeight="1">
      <c r="A271" s="601">
        <v>266</v>
      </c>
      <c r="B271" s="601">
        <v>109</v>
      </c>
      <c r="C271" s="592" t="s">
        <v>4938</v>
      </c>
      <c r="D271" s="689">
        <v>44315</v>
      </c>
      <c r="E271" s="591" t="s">
        <v>4939</v>
      </c>
      <c r="F271" s="592" t="s">
        <v>4927</v>
      </c>
      <c r="G271" s="683" t="s">
        <v>4940</v>
      </c>
      <c r="H271" s="81"/>
      <c r="I271" s="81"/>
      <c r="J271" s="35"/>
      <c r="K271" s="36"/>
      <c r="L271" s="36"/>
      <c r="M271" s="36"/>
      <c r="N271" s="36"/>
      <c r="O271" s="36"/>
      <c r="P271" s="36"/>
      <c r="Q271" s="36"/>
      <c r="R271" s="36"/>
      <c r="S271" s="36"/>
      <c r="T271" s="36"/>
      <c r="U271" s="36"/>
      <c r="V271" s="36"/>
      <c r="W271" s="36"/>
      <c r="X271" s="36"/>
      <c r="Y271" s="36"/>
      <c r="Z271" s="36"/>
      <c r="AA271" s="36"/>
      <c r="AB271" s="36"/>
      <c r="AC271" s="36"/>
    </row>
    <row r="272" spans="1:29" ht="24" customHeight="1">
      <c r="A272" s="601">
        <v>267</v>
      </c>
      <c r="B272" s="601">
        <v>129</v>
      </c>
      <c r="C272" s="592" t="s">
        <v>4941</v>
      </c>
      <c r="D272" s="689">
        <v>44320</v>
      </c>
      <c r="E272" s="591" t="s">
        <v>4942</v>
      </c>
      <c r="F272" s="592" t="s">
        <v>4927</v>
      </c>
      <c r="G272" s="683" t="s">
        <v>4943</v>
      </c>
      <c r="H272" s="81"/>
      <c r="I272" s="81"/>
      <c r="J272" s="35"/>
      <c r="K272" s="36"/>
      <c r="L272" s="36"/>
      <c r="M272" s="36"/>
      <c r="N272" s="36"/>
      <c r="O272" s="36"/>
      <c r="P272" s="36"/>
      <c r="Q272" s="36"/>
      <c r="R272" s="36"/>
      <c r="S272" s="36"/>
      <c r="T272" s="36"/>
      <c r="U272" s="36"/>
      <c r="V272" s="36"/>
      <c r="W272" s="36"/>
      <c r="X272" s="36"/>
      <c r="Y272" s="36"/>
      <c r="Z272" s="36"/>
      <c r="AA272" s="36"/>
      <c r="AB272" s="36"/>
      <c r="AC272" s="36"/>
    </row>
    <row r="273" spans="1:29" ht="36" customHeight="1">
      <c r="A273" s="601">
        <v>268</v>
      </c>
      <c r="B273" s="601">
        <v>599</v>
      </c>
      <c r="C273" s="592" t="s">
        <v>4944</v>
      </c>
      <c r="D273" s="689">
        <v>44328</v>
      </c>
      <c r="E273" s="591" t="s">
        <v>4945</v>
      </c>
      <c r="F273" s="592" t="s">
        <v>4927</v>
      </c>
      <c r="G273" s="683" t="s">
        <v>4946</v>
      </c>
      <c r="H273" s="81"/>
      <c r="I273" s="81"/>
      <c r="J273" s="35"/>
      <c r="K273" s="36"/>
      <c r="L273" s="36"/>
      <c r="M273" s="36"/>
      <c r="N273" s="36"/>
      <c r="O273" s="36"/>
      <c r="P273" s="36"/>
      <c r="Q273" s="36"/>
      <c r="R273" s="36"/>
      <c r="S273" s="36"/>
      <c r="T273" s="36"/>
      <c r="U273" s="36"/>
      <c r="V273" s="36"/>
      <c r="W273" s="36"/>
      <c r="X273" s="36"/>
      <c r="Y273" s="36"/>
      <c r="Z273" s="36"/>
      <c r="AA273" s="36"/>
      <c r="AB273" s="36"/>
      <c r="AC273" s="36"/>
    </row>
    <row r="274" spans="1:29" ht="24" customHeight="1">
      <c r="A274" s="601">
        <v>269</v>
      </c>
      <c r="B274" s="601">
        <v>738</v>
      </c>
      <c r="C274" s="592" t="s">
        <v>4947</v>
      </c>
      <c r="D274" s="689">
        <v>44342</v>
      </c>
      <c r="E274" s="591" t="s">
        <v>4948</v>
      </c>
      <c r="F274" s="601" t="s">
        <v>41</v>
      </c>
      <c r="G274" s="683" t="s">
        <v>4949</v>
      </c>
      <c r="H274" s="81"/>
      <c r="I274" s="81"/>
      <c r="J274" s="35"/>
      <c r="K274" s="36"/>
      <c r="L274" s="36"/>
      <c r="M274" s="36"/>
      <c r="N274" s="36"/>
      <c r="O274" s="36"/>
      <c r="P274" s="36"/>
      <c r="Q274" s="36"/>
      <c r="R274" s="36"/>
      <c r="S274" s="36"/>
      <c r="T274" s="36"/>
      <c r="U274" s="36"/>
      <c r="V274" s="36"/>
      <c r="W274" s="36"/>
      <c r="X274" s="36"/>
      <c r="Y274" s="36"/>
      <c r="Z274" s="36"/>
      <c r="AA274" s="36"/>
      <c r="AB274" s="36"/>
      <c r="AC274" s="36"/>
    </row>
    <row r="275" spans="1:29" ht="36" customHeight="1">
      <c r="A275" s="601">
        <v>270</v>
      </c>
      <c r="B275" s="601">
        <v>580</v>
      </c>
      <c r="C275" s="592" t="s">
        <v>4950</v>
      </c>
      <c r="D275" s="689">
        <v>44347</v>
      </c>
      <c r="E275" s="591" t="s">
        <v>4951</v>
      </c>
      <c r="F275" s="601" t="s">
        <v>41</v>
      </c>
      <c r="G275" s="683" t="s">
        <v>4952</v>
      </c>
      <c r="H275" s="81"/>
      <c r="I275" s="81"/>
      <c r="J275" s="35"/>
      <c r="K275" s="36"/>
      <c r="L275" s="36"/>
      <c r="M275" s="36"/>
      <c r="N275" s="36"/>
      <c r="O275" s="36"/>
      <c r="P275" s="36"/>
      <c r="Q275" s="36"/>
      <c r="R275" s="36"/>
      <c r="S275" s="36"/>
      <c r="T275" s="36"/>
      <c r="U275" s="36"/>
      <c r="V275" s="36"/>
      <c r="W275" s="36"/>
      <c r="X275" s="36"/>
      <c r="Y275" s="36"/>
      <c r="Z275" s="36"/>
      <c r="AA275" s="36"/>
      <c r="AB275" s="36"/>
      <c r="AC275" s="36"/>
    </row>
    <row r="276" spans="1:29" ht="48" customHeight="1">
      <c r="A276" s="601">
        <v>271</v>
      </c>
      <c r="B276" s="601">
        <v>777</v>
      </c>
      <c r="C276" s="592" t="s">
        <v>4953</v>
      </c>
      <c r="D276" s="689">
        <v>44349</v>
      </c>
      <c r="E276" s="591" t="s">
        <v>4954</v>
      </c>
      <c r="F276" s="601" t="s">
        <v>41</v>
      </c>
      <c r="G276" s="683" t="s">
        <v>4955</v>
      </c>
      <c r="H276" s="81"/>
      <c r="I276" s="81"/>
      <c r="J276" s="35"/>
      <c r="K276" s="36"/>
      <c r="L276" s="36"/>
      <c r="M276" s="36"/>
      <c r="N276" s="36"/>
      <c r="O276" s="36"/>
      <c r="P276" s="36"/>
      <c r="Q276" s="36"/>
      <c r="R276" s="36"/>
      <c r="S276" s="36"/>
      <c r="T276" s="36"/>
      <c r="U276" s="36"/>
      <c r="V276" s="36"/>
      <c r="W276" s="36"/>
      <c r="X276" s="36"/>
      <c r="Y276" s="36"/>
      <c r="Z276" s="36"/>
      <c r="AA276" s="36"/>
      <c r="AB276" s="36"/>
      <c r="AC276" s="36"/>
    </row>
    <row r="277" spans="1:29" ht="36" customHeight="1">
      <c r="A277" s="601">
        <v>272</v>
      </c>
      <c r="B277" s="601">
        <v>4</v>
      </c>
      <c r="C277" s="592" t="s">
        <v>4956</v>
      </c>
      <c r="D277" s="689">
        <v>44356</v>
      </c>
      <c r="E277" s="591" t="s">
        <v>4957</v>
      </c>
      <c r="F277" s="601" t="s">
        <v>41</v>
      </c>
      <c r="G277" s="683" t="s">
        <v>4958</v>
      </c>
      <c r="H277" s="81"/>
      <c r="I277" s="81"/>
      <c r="J277" s="35"/>
      <c r="K277" s="36"/>
      <c r="L277" s="36"/>
      <c r="M277" s="36"/>
      <c r="N277" s="36"/>
      <c r="O277" s="36"/>
      <c r="P277" s="36"/>
      <c r="Q277" s="36"/>
      <c r="R277" s="36"/>
      <c r="S277" s="36"/>
      <c r="T277" s="36"/>
      <c r="U277" s="36"/>
      <c r="V277" s="36"/>
      <c r="W277" s="36"/>
      <c r="X277" s="36"/>
      <c r="Y277" s="36"/>
      <c r="Z277" s="36"/>
      <c r="AA277" s="36"/>
      <c r="AB277" s="36"/>
      <c r="AC277" s="36"/>
    </row>
    <row r="278" spans="1:29" ht="24" customHeight="1">
      <c r="A278" s="601">
        <v>273</v>
      </c>
      <c r="B278" s="601">
        <v>800</v>
      </c>
      <c r="C278" s="592" t="s">
        <v>4959</v>
      </c>
      <c r="D278" s="689">
        <v>44358</v>
      </c>
      <c r="E278" s="591" t="s">
        <v>4960</v>
      </c>
      <c r="F278" s="592" t="s">
        <v>4927</v>
      </c>
      <c r="G278" s="683" t="s">
        <v>4961</v>
      </c>
      <c r="H278" s="81"/>
      <c r="I278" s="81"/>
      <c r="J278" s="35"/>
      <c r="K278" s="36"/>
      <c r="L278" s="36"/>
      <c r="M278" s="36"/>
      <c r="N278" s="36"/>
      <c r="O278" s="36"/>
      <c r="P278" s="36"/>
      <c r="Q278" s="36"/>
      <c r="R278" s="36"/>
      <c r="S278" s="36"/>
      <c r="T278" s="36"/>
      <c r="U278" s="36"/>
      <c r="V278" s="36"/>
      <c r="W278" s="36"/>
      <c r="X278" s="36"/>
      <c r="Y278" s="36"/>
      <c r="Z278" s="36"/>
      <c r="AA278" s="36"/>
      <c r="AB278" s="36"/>
      <c r="AC278" s="36"/>
    </row>
    <row r="279" spans="1:29" ht="24" customHeight="1">
      <c r="A279" s="601">
        <v>274</v>
      </c>
      <c r="B279" s="601">
        <v>816</v>
      </c>
      <c r="C279" s="592" t="s">
        <v>4962</v>
      </c>
      <c r="D279" s="689">
        <v>44365</v>
      </c>
      <c r="E279" s="591" t="s">
        <v>4963</v>
      </c>
      <c r="F279" s="592" t="s">
        <v>4927</v>
      </c>
      <c r="G279" s="683" t="s">
        <v>4964</v>
      </c>
      <c r="H279" s="81"/>
      <c r="I279" s="81"/>
      <c r="J279" s="35"/>
      <c r="K279" s="36"/>
      <c r="L279" s="36"/>
      <c r="M279" s="36"/>
      <c r="N279" s="36"/>
      <c r="O279" s="36"/>
      <c r="P279" s="36"/>
      <c r="Q279" s="36"/>
      <c r="R279" s="36"/>
      <c r="S279" s="36"/>
      <c r="T279" s="36"/>
      <c r="U279" s="36"/>
      <c r="V279" s="36"/>
      <c r="W279" s="36"/>
      <c r="X279" s="36"/>
      <c r="Y279" s="36"/>
      <c r="Z279" s="36"/>
      <c r="AA279" s="36"/>
      <c r="AB279" s="36"/>
      <c r="AC279" s="36"/>
    </row>
    <row r="280" spans="1:29" ht="24" customHeight="1">
      <c r="A280" s="601">
        <v>275</v>
      </c>
      <c r="B280" s="601">
        <v>2096</v>
      </c>
      <c r="C280" s="592" t="s">
        <v>4965</v>
      </c>
      <c r="D280" s="689">
        <v>44379</v>
      </c>
      <c r="E280" s="591" t="s">
        <v>4966</v>
      </c>
      <c r="F280" s="601" t="s">
        <v>41</v>
      </c>
      <c r="G280" s="683" t="s">
        <v>4967</v>
      </c>
      <c r="H280" s="81"/>
      <c r="I280" s="81"/>
      <c r="J280" s="35"/>
      <c r="K280" s="36"/>
      <c r="L280" s="36"/>
      <c r="M280" s="36"/>
      <c r="N280" s="36"/>
      <c r="O280" s="36"/>
      <c r="P280" s="36"/>
      <c r="Q280" s="36"/>
      <c r="R280" s="36"/>
      <c r="S280" s="36"/>
      <c r="T280" s="36"/>
      <c r="U280" s="36"/>
      <c r="V280" s="36"/>
      <c r="W280" s="36"/>
      <c r="X280" s="36"/>
      <c r="Y280" s="36"/>
      <c r="Z280" s="36"/>
      <c r="AA280" s="36"/>
      <c r="AB280" s="36"/>
      <c r="AC280" s="36"/>
    </row>
    <row r="281" spans="1:29" ht="24" customHeight="1">
      <c r="A281" s="601">
        <v>276</v>
      </c>
      <c r="B281" s="601">
        <v>1022</v>
      </c>
      <c r="C281" s="592" t="s">
        <v>4968</v>
      </c>
      <c r="D281" s="689">
        <v>44398</v>
      </c>
      <c r="E281" s="591" t="s">
        <v>4969</v>
      </c>
      <c r="F281" s="592" t="s">
        <v>4927</v>
      </c>
      <c r="G281" s="683" t="s">
        <v>4970</v>
      </c>
      <c r="H281" s="81"/>
      <c r="I281" s="81"/>
      <c r="J281" s="35"/>
      <c r="K281" s="36"/>
      <c r="L281" s="36"/>
      <c r="M281" s="36"/>
      <c r="N281" s="36"/>
      <c r="O281" s="36"/>
      <c r="P281" s="36"/>
      <c r="Q281" s="36"/>
      <c r="R281" s="36"/>
      <c r="S281" s="36"/>
      <c r="T281" s="36"/>
      <c r="U281" s="36"/>
      <c r="V281" s="36"/>
      <c r="W281" s="36"/>
      <c r="X281" s="36"/>
      <c r="Y281" s="36"/>
      <c r="Z281" s="36"/>
      <c r="AA281" s="36"/>
      <c r="AB281" s="36"/>
      <c r="AC281" s="36"/>
    </row>
    <row r="282" spans="1:29" ht="24" customHeight="1">
      <c r="A282" s="601">
        <v>277</v>
      </c>
      <c r="B282" s="601">
        <v>738</v>
      </c>
      <c r="C282" s="592" t="s">
        <v>4971</v>
      </c>
      <c r="D282" s="689">
        <v>44435</v>
      </c>
      <c r="E282" s="591" t="s">
        <v>4972</v>
      </c>
      <c r="F282" s="601" t="s">
        <v>41</v>
      </c>
      <c r="G282" s="693" t="s">
        <v>4973</v>
      </c>
      <c r="H282" s="81"/>
      <c r="I282" s="81"/>
      <c r="J282" s="35"/>
      <c r="K282" s="36"/>
      <c r="L282" s="36"/>
      <c r="M282" s="36"/>
      <c r="N282" s="36"/>
      <c r="O282" s="36"/>
      <c r="P282" s="36"/>
      <c r="Q282" s="36"/>
      <c r="R282" s="36"/>
      <c r="S282" s="36"/>
      <c r="T282" s="36"/>
      <c r="U282" s="36"/>
      <c r="V282" s="36"/>
      <c r="W282" s="36"/>
      <c r="X282" s="36"/>
      <c r="Y282" s="36"/>
      <c r="Z282" s="36"/>
      <c r="AA282" s="36"/>
      <c r="AB282" s="36"/>
      <c r="AC282" s="36"/>
    </row>
    <row r="283" spans="1:29" ht="24" customHeight="1">
      <c r="A283" s="601">
        <v>278</v>
      </c>
      <c r="B283" s="601">
        <v>1026</v>
      </c>
      <c r="C283" s="592" t="s">
        <v>4974</v>
      </c>
      <c r="D283" s="689">
        <v>44439</v>
      </c>
      <c r="E283" s="591" t="s">
        <v>4975</v>
      </c>
      <c r="F283" s="601" t="s">
        <v>41</v>
      </c>
      <c r="G283" s="693" t="s">
        <v>4976</v>
      </c>
      <c r="H283" s="81"/>
      <c r="I283" s="81"/>
      <c r="J283" s="35"/>
      <c r="K283" s="36"/>
      <c r="L283" s="36"/>
      <c r="M283" s="36"/>
      <c r="N283" s="36"/>
      <c r="O283" s="36"/>
      <c r="P283" s="36"/>
      <c r="Q283" s="36"/>
      <c r="R283" s="36"/>
      <c r="S283" s="36"/>
      <c r="T283" s="36"/>
      <c r="U283" s="36"/>
      <c r="V283" s="36"/>
      <c r="W283" s="36"/>
      <c r="X283" s="36"/>
      <c r="Y283" s="36"/>
      <c r="Z283" s="36"/>
      <c r="AA283" s="36"/>
      <c r="AB283" s="36"/>
      <c r="AC283" s="36"/>
    </row>
    <row r="284" spans="1:29" ht="24" customHeight="1">
      <c r="A284" s="601">
        <v>279</v>
      </c>
      <c r="B284" s="601">
        <v>1687</v>
      </c>
      <c r="C284" s="592" t="s">
        <v>4977</v>
      </c>
      <c r="D284" s="694">
        <v>44494</v>
      </c>
      <c r="E284" s="591" t="s">
        <v>4978</v>
      </c>
      <c r="F284" s="601" t="s">
        <v>41</v>
      </c>
      <c r="G284" s="693" t="s">
        <v>4979</v>
      </c>
      <c r="H284" s="81"/>
      <c r="I284" s="81"/>
      <c r="J284" s="35"/>
      <c r="K284" s="36"/>
      <c r="L284" s="36"/>
      <c r="M284" s="36"/>
      <c r="N284" s="36"/>
      <c r="O284" s="36"/>
      <c r="P284" s="36"/>
      <c r="Q284" s="36"/>
      <c r="R284" s="36"/>
      <c r="S284" s="36"/>
      <c r="T284" s="36"/>
      <c r="U284" s="36"/>
      <c r="V284" s="36"/>
      <c r="W284" s="36"/>
      <c r="X284" s="36"/>
      <c r="Y284" s="36"/>
      <c r="Z284" s="36"/>
      <c r="AA284" s="36"/>
      <c r="AB284" s="36"/>
      <c r="AC284" s="36"/>
    </row>
    <row r="285" spans="1:29" ht="48" customHeight="1">
      <c r="A285" s="34">
        <v>280</v>
      </c>
      <c r="B285" s="695">
        <v>1687</v>
      </c>
      <c r="C285" s="696" t="s">
        <v>4977</v>
      </c>
      <c r="D285" s="697">
        <v>44494</v>
      </c>
      <c r="E285" s="698" t="s">
        <v>4978</v>
      </c>
      <c r="F285" s="601" t="s">
        <v>41</v>
      </c>
      <c r="G285" s="699" t="s">
        <v>4979</v>
      </c>
      <c r="H285" s="81"/>
      <c r="I285" s="81"/>
      <c r="J285" s="35"/>
      <c r="K285" s="36"/>
      <c r="L285" s="36"/>
      <c r="M285" s="36"/>
      <c r="N285" s="36"/>
      <c r="O285" s="36"/>
      <c r="P285" s="36"/>
      <c r="Q285" s="36"/>
      <c r="R285" s="36"/>
      <c r="S285" s="36"/>
      <c r="T285" s="36"/>
      <c r="U285" s="36"/>
      <c r="V285" s="36"/>
      <c r="W285" s="36"/>
      <c r="X285" s="36"/>
      <c r="Y285" s="36"/>
      <c r="Z285" s="36"/>
      <c r="AA285" s="36"/>
      <c r="AB285" s="36"/>
      <c r="AC285" s="36"/>
    </row>
    <row r="286" spans="1:29" ht="41.25" customHeight="1">
      <c r="A286" s="34">
        <v>281</v>
      </c>
      <c r="B286" s="695">
        <v>1408</v>
      </c>
      <c r="C286" s="696" t="s">
        <v>4980</v>
      </c>
      <c r="D286" s="697">
        <v>44503</v>
      </c>
      <c r="E286" s="698" t="s">
        <v>4981</v>
      </c>
      <c r="F286" s="601" t="s">
        <v>41</v>
      </c>
      <c r="G286" s="699" t="s">
        <v>4982</v>
      </c>
      <c r="H286" s="81"/>
      <c r="I286" s="81"/>
      <c r="J286" s="35"/>
      <c r="K286" s="36"/>
      <c r="L286" s="36"/>
      <c r="M286" s="36"/>
      <c r="N286" s="36"/>
      <c r="O286" s="36"/>
      <c r="P286" s="36"/>
      <c r="Q286" s="36"/>
      <c r="R286" s="36"/>
      <c r="S286" s="36"/>
      <c r="T286" s="36"/>
      <c r="U286" s="36"/>
      <c r="V286" s="36"/>
      <c r="W286" s="36"/>
      <c r="X286" s="36"/>
      <c r="Y286" s="36"/>
      <c r="Z286" s="36"/>
      <c r="AA286" s="36"/>
      <c r="AB286" s="36"/>
      <c r="AC286" s="36"/>
    </row>
    <row r="287" spans="1:29" ht="36" customHeight="1">
      <c r="A287" s="81">
        <v>282</v>
      </c>
      <c r="B287" s="94">
        <v>1913</v>
      </c>
      <c r="C287" s="81" t="s">
        <v>4983</v>
      </c>
      <c r="D287" s="86">
        <v>44525</v>
      </c>
      <c r="E287" s="620" t="s">
        <v>4984</v>
      </c>
      <c r="F287" s="601" t="s">
        <v>41</v>
      </c>
      <c r="G287" s="699" t="s">
        <v>4985</v>
      </c>
      <c r="H287" s="81"/>
      <c r="I287" s="81"/>
      <c r="J287" s="35"/>
      <c r="K287" s="36"/>
      <c r="L287" s="36"/>
      <c r="M287" s="36"/>
      <c r="N287" s="36"/>
      <c r="O287" s="36"/>
      <c r="P287" s="36"/>
      <c r="Q287" s="36"/>
      <c r="R287" s="36"/>
      <c r="S287" s="36"/>
      <c r="T287" s="36"/>
      <c r="U287" s="36"/>
      <c r="V287" s="36"/>
      <c r="W287" s="36"/>
      <c r="X287" s="36"/>
      <c r="Y287" s="36"/>
      <c r="Z287" s="36"/>
      <c r="AA287" s="36"/>
      <c r="AB287" s="36"/>
      <c r="AC287" s="36"/>
    </row>
    <row r="288" spans="1:29" ht="39" customHeight="1">
      <c r="A288" s="34">
        <v>283</v>
      </c>
      <c r="B288" s="700">
        <v>140</v>
      </c>
      <c r="C288" s="701" t="s">
        <v>4986</v>
      </c>
      <c r="D288" s="702">
        <v>44615</v>
      </c>
      <c r="E288" s="700" t="s">
        <v>4987</v>
      </c>
      <c r="F288" s="607" t="s">
        <v>41</v>
      </c>
      <c r="G288" s="703" t="s">
        <v>4988</v>
      </c>
      <c r="H288" s="81"/>
      <c r="I288" s="81"/>
      <c r="J288" s="35"/>
      <c r="K288" s="36"/>
      <c r="L288" s="36"/>
      <c r="M288" s="36"/>
      <c r="N288" s="36"/>
      <c r="O288" s="36"/>
      <c r="P288" s="36"/>
      <c r="Q288" s="36"/>
      <c r="R288" s="36"/>
      <c r="S288" s="36"/>
      <c r="T288" s="36"/>
      <c r="U288" s="36"/>
      <c r="V288" s="36"/>
      <c r="W288" s="36"/>
      <c r="X288" s="36"/>
      <c r="Y288" s="36"/>
      <c r="Z288" s="36"/>
      <c r="AA288" s="36"/>
      <c r="AB288" s="36"/>
      <c r="AC288" s="36"/>
    </row>
    <row r="289" spans="1:29" ht="54" customHeight="1">
      <c r="A289" s="704">
        <v>284</v>
      </c>
      <c r="B289" s="705">
        <v>304</v>
      </c>
      <c r="C289" s="706" t="s">
        <v>4989</v>
      </c>
      <c r="D289" s="707">
        <v>44615</v>
      </c>
      <c r="E289" s="705" t="s">
        <v>4990</v>
      </c>
      <c r="F289" s="612" t="s">
        <v>41</v>
      </c>
      <c r="G289" s="708" t="s">
        <v>4991</v>
      </c>
      <c r="H289" s="81"/>
      <c r="I289" s="81"/>
      <c r="J289" s="35"/>
      <c r="K289" s="36"/>
      <c r="L289" s="36"/>
      <c r="M289" s="36"/>
      <c r="N289" s="36"/>
      <c r="O289" s="36"/>
      <c r="P289" s="36"/>
      <c r="Q289" s="36"/>
      <c r="R289" s="36"/>
      <c r="S289" s="36"/>
      <c r="T289" s="36"/>
      <c r="U289" s="36"/>
      <c r="V289" s="36"/>
      <c r="W289" s="36"/>
      <c r="X289" s="36"/>
      <c r="Y289" s="36"/>
      <c r="Z289" s="36"/>
      <c r="AA289" s="36"/>
      <c r="AB289" s="36"/>
      <c r="AC289" s="36"/>
    </row>
    <row r="290" spans="1:29" ht="84.75">
      <c r="A290" s="704">
        <v>285</v>
      </c>
      <c r="B290" s="705">
        <v>298</v>
      </c>
      <c r="C290" s="706" t="s">
        <v>4992</v>
      </c>
      <c r="D290" s="707">
        <v>44620</v>
      </c>
      <c r="E290" s="705" t="s">
        <v>4993</v>
      </c>
      <c r="F290" s="612" t="s">
        <v>41</v>
      </c>
      <c r="G290" s="708" t="s">
        <v>4994</v>
      </c>
      <c r="H290" s="81"/>
      <c r="I290" s="81"/>
      <c r="J290" s="35"/>
      <c r="K290" s="36"/>
      <c r="L290" s="36"/>
      <c r="M290" s="36"/>
      <c r="N290" s="36"/>
      <c r="O290" s="36"/>
      <c r="P290" s="36"/>
      <c r="Q290" s="36"/>
      <c r="R290" s="36"/>
      <c r="S290" s="36"/>
      <c r="T290" s="36"/>
      <c r="U290" s="36"/>
      <c r="V290" s="36"/>
      <c r="W290" s="36"/>
      <c r="X290" s="36"/>
      <c r="Y290" s="36"/>
      <c r="Z290" s="36"/>
      <c r="AA290" s="36"/>
      <c r="AB290" s="36"/>
      <c r="AC290" s="36"/>
    </row>
    <row r="291" spans="1:29" ht="48.75">
      <c r="A291" s="704">
        <v>286</v>
      </c>
      <c r="B291" s="705">
        <v>350</v>
      </c>
      <c r="C291" s="706" t="s">
        <v>4995</v>
      </c>
      <c r="D291" s="707">
        <v>44621</v>
      </c>
      <c r="E291" s="705" t="s">
        <v>4996</v>
      </c>
      <c r="F291" s="612" t="s">
        <v>41</v>
      </c>
      <c r="G291" s="708" t="s">
        <v>4997</v>
      </c>
      <c r="H291" s="81"/>
      <c r="I291" s="81"/>
      <c r="J291" s="35"/>
      <c r="K291" s="36"/>
      <c r="L291" s="36"/>
      <c r="M291" s="36"/>
      <c r="N291" s="36"/>
      <c r="O291" s="36"/>
      <c r="P291" s="36"/>
      <c r="Q291" s="36"/>
      <c r="R291" s="36"/>
      <c r="S291" s="36"/>
      <c r="T291" s="36"/>
      <c r="U291" s="36"/>
      <c r="V291" s="36"/>
      <c r="W291" s="36"/>
      <c r="X291" s="36"/>
      <c r="Y291" s="36"/>
      <c r="Z291" s="36"/>
      <c r="AA291" s="36"/>
      <c r="AB291" s="36"/>
      <c r="AC291" s="36"/>
    </row>
    <row r="292" spans="1:29" ht="63.75" customHeight="1">
      <c r="A292" s="704">
        <v>287</v>
      </c>
      <c r="B292" s="700">
        <v>16</v>
      </c>
      <c r="C292" s="701" t="s">
        <v>4998</v>
      </c>
      <c r="D292" s="702">
        <v>44652</v>
      </c>
      <c r="E292" s="700" t="s">
        <v>4999</v>
      </c>
      <c r="F292" s="607" t="s">
        <v>41</v>
      </c>
      <c r="G292" s="703" t="s">
        <v>5000</v>
      </c>
      <c r="H292" s="95"/>
      <c r="I292" s="95"/>
      <c r="J292" s="35"/>
      <c r="K292" s="36"/>
      <c r="L292" s="36"/>
      <c r="M292" s="36"/>
      <c r="N292" s="36"/>
      <c r="O292" s="36"/>
      <c r="P292" s="36"/>
      <c r="Q292" s="36"/>
      <c r="R292" s="36"/>
      <c r="S292" s="36"/>
      <c r="T292" s="36"/>
      <c r="U292" s="36"/>
      <c r="V292" s="36"/>
      <c r="W292" s="36"/>
      <c r="X292" s="36"/>
      <c r="Y292" s="36"/>
      <c r="Z292" s="36"/>
      <c r="AA292" s="36"/>
      <c r="AB292" s="36"/>
      <c r="AC292" s="36"/>
    </row>
    <row r="293" spans="1:29" ht="77.25" customHeight="1">
      <c r="A293" s="704">
        <v>288</v>
      </c>
      <c r="B293" s="705">
        <v>666</v>
      </c>
      <c r="C293" s="706" t="s">
        <v>5001</v>
      </c>
      <c r="D293" s="707">
        <v>44679</v>
      </c>
      <c r="E293" s="705" t="s">
        <v>5002</v>
      </c>
      <c r="F293" s="612" t="s">
        <v>41</v>
      </c>
      <c r="G293" s="708" t="s">
        <v>5003</v>
      </c>
      <c r="H293" s="81"/>
      <c r="I293" s="81"/>
      <c r="J293" s="35"/>
      <c r="K293" s="36"/>
      <c r="L293" s="36"/>
      <c r="M293" s="36"/>
      <c r="N293" s="36"/>
      <c r="O293" s="36"/>
      <c r="P293" s="36"/>
      <c r="Q293" s="36"/>
      <c r="R293" s="36"/>
      <c r="S293" s="36"/>
      <c r="T293" s="36"/>
      <c r="U293" s="36"/>
      <c r="V293" s="36"/>
      <c r="W293" s="36"/>
      <c r="X293" s="36"/>
      <c r="Y293" s="36"/>
      <c r="Z293" s="36"/>
      <c r="AA293" s="36"/>
      <c r="AB293" s="36"/>
      <c r="AC293" s="36"/>
    </row>
    <row r="294" spans="1:29" ht="59.25" customHeight="1">
      <c r="A294" s="704">
        <v>289</v>
      </c>
      <c r="B294" s="705">
        <v>655</v>
      </c>
      <c r="C294" s="706" t="s">
        <v>5004</v>
      </c>
      <c r="D294" s="707">
        <v>44679</v>
      </c>
      <c r="E294" s="705" t="s">
        <v>5005</v>
      </c>
      <c r="F294" s="612" t="s">
        <v>41</v>
      </c>
      <c r="G294" s="708" t="s">
        <v>5006</v>
      </c>
      <c r="H294" s="81"/>
      <c r="I294" s="81"/>
      <c r="J294" s="35"/>
      <c r="K294" s="36"/>
      <c r="L294" s="36"/>
      <c r="M294" s="36"/>
      <c r="N294" s="36"/>
      <c r="O294" s="36"/>
      <c r="P294" s="36"/>
      <c r="Q294" s="36"/>
      <c r="R294" s="36"/>
      <c r="S294" s="36"/>
      <c r="T294" s="36"/>
      <c r="U294" s="36"/>
      <c r="V294" s="36"/>
      <c r="W294" s="36"/>
      <c r="X294" s="36"/>
      <c r="Y294" s="36"/>
      <c r="Z294" s="36"/>
      <c r="AA294" s="36"/>
      <c r="AB294" s="36"/>
      <c r="AC294" s="36"/>
    </row>
    <row r="295" spans="1:29" ht="48.75" customHeight="1">
      <c r="A295" s="704">
        <v>290</v>
      </c>
      <c r="B295" s="705">
        <v>692</v>
      </c>
      <c r="C295" s="706" t="s">
        <v>5007</v>
      </c>
      <c r="D295" s="707">
        <v>44680</v>
      </c>
      <c r="E295" s="705" t="s">
        <v>5008</v>
      </c>
      <c r="F295" s="612" t="s">
        <v>41</v>
      </c>
      <c r="G295" s="708" t="s">
        <v>5009</v>
      </c>
      <c r="H295" s="81"/>
      <c r="I295" s="81"/>
      <c r="J295" s="35"/>
      <c r="K295" s="36"/>
      <c r="L295" s="36"/>
      <c r="M295" s="36"/>
      <c r="N295" s="36"/>
      <c r="O295" s="36"/>
      <c r="P295" s="36"/>
      <c r="Q295" s="36"/>
      <c r="R295" s="36"/>
      <c r="S295" s="36"/>
      <c r="T295" s="36"/>
      <c r="U295" s="36"/>
      <c r="V295" s="36"/>
      <c r="W295" s="36"/>
      <c r="X295" s="36"/>
      <c r="Y295" s="36"/>
      <c r="Z295" s="36"/>
      <c r="AA295" s="36"/>
      <c r="AB295" s="36"/>
      <c r="AC295" s="36"/>
    </row>
    <row r="296" spans="1:29" ht="40.5" customHeight="1">
      <c r="A296" s="34">
        <v>291</v>
      </c>
      <c r="B296" s="709">
        <v>16</v>
      </c>
      <c r="C296" s="710" t="s">
        <v>4998</v>
      </c>
      <c r="D296" s="711">
        <v>44652</v>
      </c>
      <c r="E296" s="712" t="s">
        <v>4999</v>
      </c>
      <c r="F296" s="713" t="s">
        <v>41</v>
      </c>
      <c r="G296" s="708" t="s">
        <v>5000</v>
      </c>
      <c r="H296" s="81"/>
      <c r="I296" s="81"/>
      <c r="J296" s="423" t="s">
        <v>3460</v>
      </c>
      <c r="K296" s="36"/>
      <c r="L296" s="36"/>
      <c r="M296" s="36"/>
      <c r="N296" s="36"/>
      <c r="O296" s="36"/>
      <c r="P296" s="36"/>
      <c r="Q296" s="36"/>
      <c r="R296" s="36"/>
      <c r="S296" s="36"/>
      <c r="T296" s="36"/>
      <c r="U296" s="36"/>
      <c r="V296" s="36"/>
      <c r="W296" s="36"/>
      <c r="X296" s="36"/>
      <c r="Y296" s="36"/>
      <c r="Z296" s="36"/>
      <c r="AA296" s="36"/>
      <c r="AB296" s="36"/>
      <c r="AC296" s="36"/>
    </row>
    <row r="297" spans="1:29" ht="37.5" customHeight="1">
      <c r="A297" s="704">
        <v>292</v>
      </c>
      <c r="B297" s="714">
        <v>666</v>
      </c>
      <c r="C297" s="715" t="s">
        <v>5001</v>
      </c>
      <c r="D297" s="716">
        <v>44679</v>
      </c>
      <c r="E297" s="717" t="s">
        <v>5002</v>
      </c>
      <c r="F297" s="718" t="s">
        <v>41</v>
      </c>
      <c r="G297" s="708" t="s">
        <v>5003</v>
      </c>
      <c r="H297" s="81"/>
      <c r="I297" s="81"/>
      <c r="J297" s="423" t="s">
        <v>3460</v>
      </c>
      <c r="K297" s="36"/>
      <c r="L297" s="36"/>
      <c r="M297" s="36"/>
      <c r="N297" s="36"/>
      <c r="O297" s="36"/>
      <c r="P297" s="36"/>
      <c r="Q297" s="36"/>
      <c r="R297" s="36"/>
      <c r="S297" s="36"/>
      <c r="T297" s="36"/>
      <c r="U297" s="36"/>
      <c r="V297" s="36"/>
      <c r="W297" s="36"/>
      <c r="X297" s="36"/>
      <c r="Y297" s="36"/>
      <c r="Z297" s="36"/>
      <c r="AA297" s="36"/>
      <c r="AB297" s="36"/>
      <c r="AC297" s="36"/>
    </row>
    <row r="298" spans="1:29" ht="40.5" customHeight="1">
      <c r="A298" s="704">
        <v>293</v>
      </c>
      <c r="B298" s="714">
        <v>655</v>
      </c>
      <c r="C298" s="715" t="s">
        <v>5004</v>
      </c>
      <c r="D298" s="716">
        <v>44679</v>
      </c>
      <c r="E298" s="717" t="s">
        <v>5005</v>
      </c>
      <c r="F298" s="718" t="s">
        <v>41</v>
      </c>
      <c r="G298" s="708" t="s">
        <v>5006</v>
      </c>
      <c r="H298" s="81"/>
      <c r="I298" s="81"/>
      <c r="J298" s="423" t="s">
        <v>3460</v>
      </c>
      <c r="K298" s="36"/>
      <c r="L298" s="36"/>
      <c r="M298" s="36"/>
      <c r="N298" s="36"/>
      <c r="O298" s="36"/>
      <c r="P298" s="36"/>
      <c r="Q298" s="36"/>
      <c r="R298" s="36"/>
      <c r="S298" s="36"/>
      <c r="T298" s="36"/>
      <c r="U298" s="36"/>
      <c r="V298" s="36"/>
      <c r="W298" s="36"/>
      <c r="X298" s="36"/>
      <c r="Y298" s="36"/>
      <c r="Z298" s="36"/>
      <c r="AA298" s="36"/>
      <c r="AB298" s="36"/>
      <c r="AC298" s="36"/>
    </row>
    <row r="299" spans="1:29" ht="40.5" customHeight="1">
      <c r="A299" s="704">
        <v>294</v>
      </c>
      <c r="B299" s="714">
        <v>692</v>
      </c>
      <c r="C299" s="715" t="s">
        <v>5007</v>
      </c>
      <c r="D299" s="716">
        <v>44680</v>
      </c>
      <c r="E299" s="717" t="s">
        <v>5008</v>
      </c>
      <c r="F299" s="718" t="s">
        <v>41</v>
      </c>
      <c r="G299" s="708" t="s">
        <v>5009</v>
      </c>
      <c r="H299" s="81"/>
      <c r="I299" s="81"/>
      <c r="J299" s="423" t="s">
        <v>3460</v>
      </c>
      <c r="K299" s="36"/>
      <c r="L299" s="36"/>
      <c r="M299" s="36"/>
      <c r="N299" s="36"/>
      <c r="O299" s="36"/>
      <c r="P299" s="36"/>
      <c r="Q299" s="36"/>
      <c r="R299" s="36"/>
      <c r="S299" s="36"/>
      <c r="T299" s="36"/>
      <c r="U299" s="36"/>
      <c r="V299" s="36"/>
      <c r="W299" s="36"/>
      <c r="X299" s="36"/>
      <c r="Y299" s="36"/>
      <c r="Z299" s="36"/>
      <c r="AA299" s="36"/>
      <c r="AB299" s="36"/>
      <c r="AC299" s="36"/>
    </row>
    <row r="300" spans="1:29" ht="42" customHeight="1">
      <c r="A300" s="704">
        <v>295</v>
      </c>
      <c r="B300" s="714">
        <v>30</v>
      </c>
      <c r="C300" s="715" t="s">
        <v>5010</v>
      </c>
      <c r="D300" s="716">
        <v>44742</v>
      </c>
      <c r="E300" s="717" t="s">
        <v>5011</v>
      </c>
      <c r="F300" s="718" t="s">
        <v>41</v>
      </c>
      <c r="G300" s="708" t="s">
        <v>5012</v>
      </c>
      <c r="H300" s="81"/>
      <c r="I300" s="81"/>
      <c r="J300" s="423" t="s">
        <v>3460</v>
      </c>
      <c r="K300" s="36"/>
      <c r="L300" s="36"/>
      <c r="M300" s="36"/>
      <c r="N300" s="36"/>
      <c r="O300" s="36"/>
      <c r="P300" s="36"/>
      <c r="Q300" s="36"/>
      <c r="R300" s="36"/>
      <c r="S300" s="36"/>
      <c r="T300" s="36"/>
      <c r="U300" s="36"/>
      <c r="V300" s="36"/>
      <c r="W300" s="36"/>
      <c r="X300" s="36"/>
      <c r="Y300" s="36"/>
      <c r="Z300" s="36"/>
      <c r="AA300" s="36"/>
      <c r="AB300" s="36"/>
      <c r="AC300" s="36"/>
    </row>
    <row r="301" spans="1:29" ht="60" customHeight="1">
      <c r="A301" s="81"/>
      <c r="B301" s="81"/>
      <c r="C301" s="460"/>
      <c r="D301" s="81"/>
      <c r="E301" s="620"/>
      <c r="F301" s="620"/>
      <c r="G301" s="708"/>
      <c r="H301" s="81"/>
      <c r="I301" s="81"/>
      <c r="J301" s="35"/>
      <c r="K301" s="36"/>
      <c r="L301" s="36"/>
      <c r="M301" s="36"/>
      <c r="N301" s="36"/>
      <c r="O301" s="36"/>
      <c r="P301" s="36"/>
      <c r="Q301" s="36"/>
      <c r="R301" s="36"/>
      <c r="S301" s="36"/>
      <c r="T301" s="36"/>
      <c r="U301" s="36"/>
      <c r="V301" s="36"/>
      <c r="W301" s="36"/>
      <c r="X301" s="36"/>
      <c r="Y301" s="36"/>
      <c r="Z301" s="36"/>
      <c r="AA301" s="36"/>
      <c r="AB301" s="36"/>
      <c r="AC301" s="36"/>
    </row>
    <row r="302" spans="1:29" ht="65.25" customHeight="1">
      <c r="A302" s="81"/>
      <c r="B302" s="94"/>
      <c r="C302" s="81"/>
      <c r="D302" s="81"/>
      <c r="E302" s="620"/>
      <c r="F302" s="620"/>
      <c r="G302" s="620"/>
      <c r="H302" s="81"/>
      <c r="I302" s="81"/>
      <c r="J302" s="35"/>
      <c r="K302" s="36"/>
      <c r="L302" s="36"/>
      <c r="M302" s="36"/>
      <c r="N302" s="36"/>
      <c r="O302" s="36"/>
      <c r="P302" s="36"/>
      <c r="Q302" s="36"/>
      <c r="R302" s="36"/>
      <c r="S302" s="36"/>
      <c r="T302" s="36"/>
      <c r="U302" s="36"/>
      <c r="V302" s="36"/>
      <c r="W302" s="36"/>
      <c r="X302" s="36"/>
      <c r="Y302" s="36"/>
      <c r="Z302" s="36"/>
      <c r="AA302" s="36"/>
      <c r="AB302" s="36"/>
      <c r="AC302" s="36"/>
    </row>
    <row r="303" spans="1:29" ht="52.5" customHeight="1">
      <c r="A303" s="81"/>
      <c r="B303" s="94"/>
      <c r="C303" s="81"/>
      <c r="D303" s="81"/>
      <c r="E303" s="620"/>
      <c r="F303" s="620"/>
      <c r="G303" s="620"/>
      <c r="H303" s="81"/>
      <c r="I303" s="81"/>
      <c r="J303" s="35"/>
      <c r="K303" s="36"/>
      <c r="L303" s="36"/>
      <c r="M303" s="36"/>
      <c r="N303" s="36"/>
      <c r="O303" s="36"/>
      <c r="P303" s="36"/>
      <c r="Q303" s="36"/>
      <c r="R303" s="36"/>
      <c r="S303" s="36"/>
      <c r="T303" s="36"/>
      <c r="U303" s="36"/>
      <c r="V303" s="36"/>
      <c r="W303" s="36"/>
      <c r="X303" s="36"/>
      <c r="Y303" s="36"/>
      <c r="Z303" s="36"/>
      <c r="AA303" s="36"/>
      <c r="AB303" s="36"/>
      <c r="AC303" s="36"/>
    </row>
    <row r="304" spans="1:29" ht="46.5" customHeight="1">
      <c r="A304" s="624"/>
      <c r="B304" s="94"/>
      <c r="C304" s="81"/>
      <c r="D304" s="81"/>
      <c r="E304" s="620"/>
      <c r="F304" s="620"/>
      <c r="G304" s="620"/>
      <c r="H304" s="81"/>
      <c r="I304" s="81"/>
      <c r="J304" s="35"/>
      <c r="K304" s="36"/>
      <c r="L304" s="36"/>
      <c r="M304" s="36"/>
      <c r="N304" s="36"/>
      <c r="O304" s="36"/>
      <c r="P304" s="36"/>
      <c r="Q304" s="36"/>
      <c r="R304" s="36"/>
      <c r="S304" s="36"/>
      <c r="T304" s="36"/>
      <c r="U304" s="36"/>
      <c r="V304" s="36"/>
      <c r="W304" s="36"/>
      <c r="X304" s="36"/>
      <c r="Y304" s="36"/>
      <c r="Z304" s="36"/>
      <c r="AA304" s="36"/>
      <c r="AB304" s="36"/>
      <c r="AC304" s="36"/>
    </row>
    <row r="305" spans="1:29" ht="56.25" customHeight="1">
      <c r="A305" s="624"/>
      <c r="B305" s="94"/>
      <c r="C305" s="81"/>
      <c r="D305" s="81"/>
      <c r="E305" s="620"/>
      <c r="F305" s="620"/>
      <c r="G305" s="620"/>
      <c r="H305" s="81"/>
      <c r="I305" s="81"/>
      <c r="J305" s="35"/>
      <c r="K305" s="36"/>
      <c r="L305" s="36"/>
      <c r="M305" s="36"/>
      <c r="N305" s="36"/>
      <c r="O305" s="36"/>
      <c r="P305" s="36"/>
      <c r="Q305" s="36"/>
      <c r="R305" s="36"/>
      <c r="S305" s="36"/>
      <c r="T305" s="36"/>
      <c r="U305" s="36"/>
      <c r="V305" s="36"/>
      <c r="W305" s="36"/>
      <c r="X305" s="36"/>
      <c r="Y305" s="36"/>
      <c r="Z305" s="36"/>
      <c r="AA305" s="36"/>
      <c r="AB305" s="36"/>
      <c r="AC305" s="36"/>
    </row>
    <row r="306" spans="1:29" ht="70.5" customHeight="1">
      <c r="A306" s="624"/>
      <c r="B306" s="94"/>
      <c r="C306" s="81"/>
      <c r="D306" s="81"/>
      <c r="E306" s="620"/>
      <c r="F306" s="620"/>
      <c r="G306" s="620"/>
      <c r="H306" s="81"/>
      <c r="I306" s="81"/>
      <c r="J306" s="35"/>
      <c r="K306" s="36"/>
      <c r="L306" s="36"/>
      <c r="M306" s="36"/>
      <c r="N306" s="36"/>
      <c r="O306" s="36"/>
      <c r="P306" s="36"/>
      <c r="Q306" s="36"/>
      <c r="R306" s="36"/>
      <c r="S306" s="36"/>
      <c r="T306" s="36"/>
      <c r="U306" s="36"/>
      <c r="V306" s="36"/>
      <c r="W306" s="36"/>
      <c r="X306" s="36"/>
      <c r="Y306" s="36"/>
      <c r="Z306" s="36"/>
      <c r="AA306" s="36"/>
      <c r="AB306" s="36"/>
      <c r="AC306" s="36"/>
    </row>
    <row r="307" spans="1:29" ht="64.5" customHeight="1">
      <c r="A307" s="624"/>
      <c r="B307" s="94"/>
      <c r="C307" s="81"/>
      <c r="D307" s="81"/>
      <c r="E307" s="620"/>
      <c r="F307" s="620"/>
      <c r="G307" s="620"/>
      <c r="H307" s="81"/>
      <c r="I307" s="81"/>
      <c r="J307" s="35"/>
      <c r="K307" s="36"/>
      <c r="L307" s="36"/>
      <c r="M307" s="36"/>
      <c r="N307" s="36"/>
      <c r="O307" s="36"/>
      <c r="P307" s="36"/>
      <c r="Q307" s="36"/>
      <c r="R307" s="36"/>
      <c r="S307" s="36"/>
      <c r="T307" s="36"/>
      <c r="U307" s="36"/>
      <c r="V307" s="36"/>
      <c r="W307" s="36"/>
      <c r="X307" s="36"/>
      <c r="Y307" s="36"/>
      <c r="Z307" s="36"/>
      <c r="AA307" s="36"/>
      <c r="AB307" s="36"/>
      <c r="AC307" s="36"/>
    </row>
    <row r="308" spans="1:29" ht="105" customHeight="1">
      <c r="A308" s="624"/>
      <c r="B308" s="94"/>
      <c r="C308" s="81"/>
      <c r="D308" s="81"/>
      <c r="E308" s="620"/>
      <c r="F308" s="620"/>
      <c r="G308" s="620"/>
      <c r="H308" s="81"/>
      <c r="I308" s="81"/>
      <c r="J308" s="35"/>
      <c r="K308" s="36"/>
      <c r="L308" s="36"/>
      <c r="M308" s="36"/>
      <c r="N308" s="36"/>
      <c r="O308" s="36"/>
      <c r="P308" s="36"/>
      <c r="Q308" s="36"/>
      <c r="R308" s="36"/>
      <c r="S308" s="36"/>
      <c r="T308" s="36"/>
      <c r="U308" s="36"/>
      <c r="V308" s="36"/>
      <c r="W308" s="36"/>
      <c r="X308" s="36"/>
      <c r="Y308" s="36"/>
      <c r="Z308" s="36"/>
      <c r="AA308" s="36"/>
      <c r="AB308" s="36"/>
      <c r="AC308" s="36"/>
    </row>
    <row r="309" spans="1:29" ht="85.5" customHeight="1">
      <c r="A309" s="624"/>
      <c r="B309" s="94"/>
      <c r="C309" s="81"/>
      <c r="D309" s="81"/>
      <c r="E309" s="620"/>
      <c r="F309" s="620"/>
      <c r="G309" s="620"/>
      <c r="H309" s="81"/>
      <c r="I309" s="81"/>
      <c r="J309" s="35"/>
      <c r="K309" s="36"/>
      <c r="L309" s="36"/>
      <c r="M309" s="36"/>
      <c r="N309" s="36"/>
      <c r="O309" s="36"/>
      <c r="P309" s="36"/>
      <c r="Q309" s="36"/>
      <c r="R309" s="36"/>
      <c r="S309" s="36"/>
      <c r="T309" s="36"/>
      <c r="U309" s="36"/>
      <c r="V309" s="36"/>
      <c r="W309" s="36"/>
      <c r="X309" s="36"/>
      <c r="Y309" s="36"/>
      <c r="Z309" s="36"/>
      <c r="AA309" s="36"/>
      <c r="AB309" s="36"/>
      <c r="AC309" s="36"/>
    </row>
    <row r="310" spans="1:29" ht="68.25" customHeight="1">
      <c r="A310" s="624"/>
      <c r="B310" s="94"/>
      <c r="C310" s="81"/>
      <c r="D310" s="81"/>
      <c r="E310" s="620"/>
      <c r="F310" s="620"/>
      <c r="G310" s="620"/>
      <c r="H310" s="81"/>
      <c r="I310" s="81"/>
      <c r="J310" s="35"/>
      <c r="K310" s="36"/>
      <c r="L310" s="36"/>
      <c r="M310" s="36"/>
      <c r="N310" s="36"/>
      <c r="O310" s="36"/>
      <c r="P310" s="36"/>
      <c r="Q310" s="36"/>
      <c r="R310" s="36"/>
      <c r="S310" s="36"/>
      <c r="T310" s="36"/>
      <c r="U310" s="36"/>
      <c r="V310" s="36"/>
      <c r="W310" s="36"/>
      <c r="X310" s="36"/>
      <c r="Y310" s="36"/>
      <c r="Z310" s="36"/>
      <c r="AA310" s="36"/>
      <c r="AB310" s="36"/>
      <c r="AC310" s="36"/>
    </row>
    <row r="311" spans="1:29" ht="72.75" customHeight="1">
      <c r="A311" s="81"/>
      <c r="B311" s="94"/>
      <c r="C311" s="81"/>
      <c r="D311" s="81"/>
      <c r="E311" s="620"/>
      <c r="F311" s="620"/>
      <c r="G311" s="620"/>
      <c r="H311" s="81"/>
      <c r="I311" s="81"/>
      <c r="J311" s="35"/>
      <c r="K311" s="36"/>
      <c r="L311" s="36"/>
      <c r="M311" s="36"/>
      <c r="N311" s="36"/>
      <c r="O311" s="36"/>
      <c r="P311" s="36"/>
      <c r="Q311" s="36"/>
      <c r="R311" s="36"/>
      <c r="S311" s="36"/>
      <c r="T311" s="36"/>
      <c r="U311" s="36"/>
      <c r="V311" s="36"/>
      <c r="W311" s="36"/>
      <c r="X311" s="36"/>
      <c r="Y311" s="36"/>
      <c r="Z311" s="36"/>
      <c r="AA311" s="36"/>
      <c r="AB311" s="36"/>
      <c r="AC311" s="36"/>
    </row>
    <row r="312" spans="1:29" ht="74.25" customHeight="1">
      <c r="A312" s="81"/>
      <c r="B312" s="94"/>
      <c r="C312" s="81"/>
      <c r="D312" s="81"/>
      <c r="E312" s="620"/>
      <c r="F312" s="620"/>
      <c r="G312" s="620"/>
      <c r="H312" s="81"/>
      <c r="I312" s="81"/>
      <c r="J312" s="35"/>
      <c r="K312" s="36"/>
      <c r="L312" s="36"/>
      <c r="M312" s="36"/>
      <c r="N312" s="36"/>
      <c r="O312" s="36"/>
      <c r="P312" s="36"/>
      <c r="Q312" s="36"/>
      <c r="R312" s="36"/>
      <c r="S312" s="36"/>
      <c r="T312" s="36"/>
      <c r="U312" s="36"/>
      <c r="V312" s="36"/>
      <c r="W312" s="36"/>
      <c r="X312" s="36"/>
      <c r="Y312" s="36"/>
      <c r="Z312" s="36"/>
      <c r="AA312" s="36"/>
      <c r="AB312" s="36"/>
      <c r="AC312" s="36"/>
    </row>
    <row r="313" spans="1:29" ht="58.5" customHeight="1">
      <c r="A313" s="81"/>
      <c r="B313" s="94"/>
      <c r="C313" s="81"/>
      <c r="D313" s="81"/>
      <c r="E313" s="620"/>
      <c r="F313" s="620"/>
      <c r="G313" s="620"/>
      <c r="H313" s="81"/>
      <c r="I313" s="81"/>
      <c r="J313" s="35"/>
      <c r="K313" s="36"/>
      <c r="L313" s="36"/>
      <c r="M313" s="36"/>
      <c r="N313" s="36"/>
      <c r="O313" s="36"/>
      <c r="P313" s="36"/>
      <c r="Q313" s="36"/>
      <c r="R313" s="36"/>
      <c r="S313" s="36"/>
      <c r="T313" s="36"/>
      <c r="U313" s="36"/>
      <c r="V313" s="36"/>
      <c r="W313" s="36"/>
      <c r="X313" s="36"/>
      <c r="Y313" s="36"/>
      <c r="Z313" s="36"/>
      <c r="AA313" s="36"/>
      <c r="AB313" s="36"/>
      <c r="AC313" s="36"/>
    </row>
    <row r="314" spans="1:29" ht="42.75" customHeight="1">
      <c r="A314" s="81"/>
      <c r="B314" s="94"/>
      <c r="C314" s="81"/>
      <c r="D314" s="81"/>
      <c r="E314" s="620"/>
      <c r="F314" s="620"/>
      <c r="G314" s="620"/>
      <c r="H314" s="81"/>
      <c r="I314" s="81"/>
      <c r="J314" s="35"/>
      <c r="K314" s="36"/>
      <c r="L314" s="36"/>
      <c r="M314" s="36"/>
      <c r="N314" s="36"/>
      <c r="O314" s="36"/>
      <c r="P314" s="36"/>
      <c r="Q314" s="36"/>
      <c r="R314" s="36"/>
      <c r="S314" s="36"/>
      <c r="T314" s="36"/>
      <c r="U314" s="36"/>
      <c r="V314" s="36"/>
      <c r="W314" s="36"/>
      <c r="X314" s="36"/>
      <c r="Y314" s="36"/>
      <c r="Z314" s="36"/>
      <c r="AA314" s="36"/>
      <c r="AB314" s="36"/>
      <c r="AC314" s="36"/>
    </row>
    <row r="315" spans="1:29" ht="53.25" customHeight="1">
      <c r="A315" s="81"/>
      <c r="B315" s="81"/>
      <c r="C315" s="115"/>
      <c r="D315" s="81"/>
      <c r="E315" s="620"/>
      <c r="F315" s="620"/>
      <c r="G315" s="620"/>
      <c r="H315" s="81"/>
      <c r="I315" s="81"/>
      <c r="J315" s="35"/>
      <c r="K315" s="36"/>
      <c r="L315" s="36"/>
      <c r="M315" s="36"/>
      <c r="N315" s="36"/>
      <c r="O315" s="36"/>
      <c r="P315" s="36"/>
      <c r="Q315" s="36"/>
      <c r="R315" s="36"/>
      <c r="S315" s="36"/>
      <c r="T315" s="36"/>
      <c r="U315" s="36"/>
      <c r="V315" s="36"/>
      <c r="W315" s="36"/>
      <c r="X315" s="36"/>
      <c r="Y315" s="36"/>
      <c r="Z315" s="36"/>
      <c r="AA315" s="36"/>
      <c r="AB315" s="36"/>
      <c r="AC315" s="36"/>
    </row>
    <row r="316" spans="1:29" ht="51" customHeight="1">
      <c r="A316" s="81"/>
      <c r="B316" s="94"/>
      <c r="C316" s="81"/>
      <c r="D316" s="81"/>
      <c r="E316" s="620"/>
      <c r="F316" s="620"/>
      <c r="G316" s="620"/>
      <c r="H316" s="81"/>
      <c r="I316" s="81"/>
      <c r="J316" s="35"/>
      <c r="K316" s="36"/>
      <c r="L316" s="36"/>
      <c r="M316" s="36"/>
      <c r="N316" s="36"/>
      <c r="O316" s="36"/>
      <c r="P316" s="36"/>
      <c r="Q316" s="36"/>
      <c r="R316" s="36"/>
      <c r="S316" s="36"/>
      <c r="T316" s="36"/>
      <c r="U316" s="36"/>
      <c r="V316" s="36"/>
      <c r="W316" s="36"/>
      <c r="X316" s="36"/>
      <c r="Y316" s="36"/>
      <c r="Z316" s="36"/>
      <c r="AA316" s="36"/>
      <c r="AB316" s="36"/>
      <c r="AC316" s="36"/>
    </row>
    <row r="317" spans="1:29" ht="36" customHeight="1">
      <c r="A317" s="81"/>
      <c r="B317" s="81"/>
      <c r="C317" s="81"/>
      <c r="D317" s="81"/>
      <c r="E317" s="620"/>
      <c r="F317" s="620"/>
      <c r="G317" s="620"/>
      <c r="H317" s="81"/>
      <c r="I317" s="81"/>
      <c r="J317" s="35"/>
      <c r="K317" s="36"/>
      <c r="L317" s="36"/>
      <c r="M317" s="36"/>
      <c r="N317" s="36"/>
      <c r="O317" s="36"/>
      <c r="P317" s="36"/>
      <c r="Q317" s="36"/>
      <c r="R317" s="36"/>
      <c r="S317" s="36"/>
      <c r="T317" s="36"/>
      <c r="U317" s="36"/>
      <c r="V317" s="36"/>
      <c r="W317" s="36"/>
      <c r="X317" s="36"/>
      <c r="Y317" s="36"/>
      <c r="Z317" s="36"/>
      <c r="AA317" s="36"/>
      <c r="AB317" s="36"/>
      <c r="AC317" s="36"/>
    </row>
    <row r="318" spans="1:29" ht="48" customHeight="1">
      <c r="A318" s="81"/>
      <c r="B318" s="94"/>
      <c r="C318" s="81"/>
      <c r="D318" s="81"/>
      <c r="E318" s="620"/>
      <c r="F318" s="620"/>
      <c r="G318" s="620"/>
      <c r="H318" s="81"/>
      <c r="I318" s="81"/>
      <c r="J318" s="35"/>
      <c r="K318" s="36"/>
      <c r="L318" s="36"/>
      <c r="M318" s="36"/>
      <c r="N318" s="36"/>
      <c r="O318" s="36"/>
      <c r="P318" s="36"/>
      <c r="Q318" s="36"/>
      <c r="R318" s="36"/>
      <c r="S318" s="36"/>
      <c r="T318" s="36"/>
      <c r="U318" s="36"/>
      <c r="V318" s="36"/>
      <c r="W318" s="36"/>
      <c r="X318" s="36"/>
      <c r="Y318" s="36"/>
      <c r="Z318" s="36"/>
      <c r="AA318" s="36"/>
      <c r="AB318" s="36"/>
      <c r="AC318" s="36"/>
    </row>
    <row r="319" spans="1:29" ht="55.5" customHeight="1">
      <c r="A319" s="81"/>
      <c r="B319" s="81"/>
      <c r="C319" s="115"/>
      <c r="D319" s="81"/>
      <c r="E319" s="620"/>
      <c r="F319" s="620"/>
      <c r="G319" s="620"/>
      <c r="H319" s="81"/>
      <c r="I319" s="81"/>
      <c r="J319" s="35"/>
      <c r="K319" s="36"/>
      <c r="L319" s="36"/>
      <c r="M319" s="36"/>
      <c r="N319" s="36"/>
      <c r="O319" s="36"/>
      <c r="P319" s="36"/>
      <c r="Q319" s="36"/>
      <c r="R319" s="36"/>
      <c r="S319" s="36"/>
      <c r="T319" s="36"/>
      <c r="U319" s="36"/>
      <c r="V319" s="36"/>
      <c r="W319" s="36"/>
      <c r="X319" s="36"/>
      <c r="Y319" s="36"/>
      <c r="Z319" s="36"/>
      <c r="AA319" s="36"/>
      <c r="AB319" s="36"/>
      <c r="AC319" s="36"/>
    </row>
    <row r="320" spans="1:29" ht="30.75" customHeight="1">
      <c r="A320" s="81"/>
      <c r="B320" s="94"/>
      <c r="C320" s="81"/>
      <c r="D320" s="81"/>
      <c r="E320" s="620"/>
      <c r="F320" s="620"/>
      <c r="G320" s="620"/>
      <c r="H320" s="81"/>
      <c r="I320" s="81"/>
      <c r="J320" s="35"/>
      <c r="K320" s="36"/>
      <c r="L320" s="36"/>
      <c r="M320" s="36"/>
      <c r="N320" s="36"/>
      <c r="O320" s="36"/>
      <c r="P320" s="36"/>
      <c r="Q320" s="36"/>
      <c r="R320" s="36"/>
      <c r="S320" s="36"/>
      <c r="T320" s="36"/>
      <c r="U320" s="36"/>
      <c r="V320" s="36"/>
      <c r="W320" s="36"/>
      <c r="X320" s="36"/>
      <c r="Y320" s="36"/>
      <c r="Z320" s="36"/>
      <c r="AA320" s="36"/>
      <c r="AB320" s="36"/>
      <c r="AC320" s="36"/>
    </row>
    <row r="321" spans="1:29" ht="28.5" customHeight="1">
      <c r="A321" s="81"/>
      <c r="B321" s="94"/>
      <c r="C321" s="81"/>
      <c r="D321" s="81"/>
      <c r="E321" s="620"/>
      <c r="F321" s="620"/>
      <c r="G321" s="620"/>
      <c r="H321" s="81"/>
      <c r="I321" s="81"/>
      <c r="J321" s="35"/>
      <c r="K321" s="36"/>
      <c r="L321" s="36"/>
      <c r="M321" s="36"/>
      <c r="N321" s="36"/>
      <c r="O321" s="36"/>
      <c r="P321" s="36"/>
      <c r="Q321" s="36"/>
      <c r="R321" s="36"/>
      <c r="S321" s="36"/>
      <c r="T321" s="36"/>
      <c r="U321" s="36"/>
      <c r="V321" s="36"/>
      <c r="W321" s="36"/>
      <c r="X321" s="36"/>
      <c r="Y321" s="36"/>
      <c r="Z321" s="36"/>
      <c r="AA321" s="36"/>
      <c r="AB321" s="36"/>
      <c r="AC321" s="36"/>
    </row>
    <row r="322" spans="1:29" ht="36" customHeight="1">
      <c r="A322" s="81"/>
      <c r="B322" s="94"/>
      <c r="C322" s="81"/>
      <c r="D322" s="81"/>
      <c r="E322" s="620"/>
      <c r="F322" s="620"/>
      <c r="G322" s="620"/>
      <c r="H322" s="81"/>
      <c r="I322" s="81"/>
      <c r="J322" s="35"/>
      <c r="K322" s="36"/>
      <c r="L322" s="36"/>
      <c r="M322" s="36"/>
      <c r="N322" s="36"/>
      <c r="O322" s="36"/>
      <c r="P322" s="36"/>
      <c r="Q322" s="36"/>
      <c r="R322" s="36"/>
      <c r="S322" s="36"/>
      <c r="T322" s="36"/>
      <c r="U322" s="36"/>
      <c r="V322" s="36"/>
      <c r="W322" s="36"/>
      <c r="X322" s="36"/>
      <c r="Y322" s="36"/>
      <c r="Z322" s="36"/>
      <c r="AA322" s="36"/>
      <c r="AB322" s="36"/>
      <c r="AC322" s="36"/>
    </row>
    <row r="323" spans="1:29" ht="48" customHeight="1">
      <c r="A323" s="81"/>
      <c r="B323" s="94"/>
      <c r="C323" s="81"/>
      <c r="D323" s="81"/>
      <c r="E323" s="620"/>
      <c r="F323" s="620"/>
      <c r="G323" s="620"/>
      <c r="H323" s="81"/>
      <c r="I323" s="81"/>
      <c r="J323" s="35"/>
      <c r="K323" s="36"/>
      <c r="L323" s="36"/>
      <c r="M323" s="36"/>
      <c r="N323" s="36"/>
      <c r="O323" s="36"/>
      <c r="P323" s="36"/>
      <c r="Q323" s="36"/>
      <c r="R323" s="36"/>
      <c r="S323" s="36"/>
      <c r="T323" s="36"/>
      <c r="U323" s="36"/>
      <c r="V323" s="36"/>
      <c r="W323" s="36"/>
      <c r="X323" s="36"/>
      <c r="Y323" s="36"/>
      <c r="Z323" s="36"/>
      <c r="AA323" s="36"/>
      <c r="AB323" s="36"/>
      <c r="AC323" s="36"/>
    </row>
    <row r="324" spans="1:29" ht="36" customHeight="1">
      <c r="A324" s="81"/>
      <c r="B324" s="94"/>
      <c r="C324" s="81"/>
      <c r="D324" s="81"/>
      <c r="E324" s="628"/>
      <c r="F324" s="628"/>
      <c r="G324" s="628"/>
      <c r="H324" s="95"/>
      <c r="I324" s="95"/>
      <c r="J324" s="35"/>
      <c r="K324" s="36"/>
      <c r="L324" s="36"/>
      <c r="M324" s="36"/>
      <c r="N324" s="36"/>
      <c r="O324" s="36"/>
      <c r="P324" s="36"/>
      <c r="Q324" s="36"/>
      <c r="R324" s="36"/>
      <c r="S324" s="36"/>
      <c r="T324" s="36"/>
      <c r="U324" s="36"/>
      <c r="V324" s="36"/>
      <c r="W324" s="36"/>
      <c r="X324" s="36"/>
      <c r="Y324" s="36"/>
      <c r="Z324" s="36"/>
      <c r="AA324" s="36"/>
      <c r="AB324" s="36"/>
      <c r="AC324" s="36"/>
    </row>
    <row r="325" spans="1:29" ht="156" customHeight="1">
      <c r="A325" s="81"/>
      <c r="B325" s="94"/>
      <c r="C325" s="81"/>
      <c r="D325" s="81"/>
      <c r="E325" s="620"/>
      <c r="F325" s="620"/>
      <c r="G325" s="620"/>
      <c r="H325" s="81"/>
      <c r="I325" s="81"/>
      <c r="J325" s="35"/>
      <c r="K325" s="36"/>
      <c r="L325" s="36"/>
      <c r="M325" s="36"/>
      <c r="N325" s="36"/>
      <c r="O325" s="36"/>
      <c r="P325" s="36"/>
      <c r="Q325" s="36"/>
      <c r="R325" s="36"/>
      <c r="S325" s="36"/>
      <c r="T325" s="36"/>
      <c r="U325" s="36"/>
      <c r="V325" s="36"/>
      <c r="W325" s="36"/>
      <c r="X325" s="36"/>
      <c r="Y325" s="36"/>
      <c r="Z325" s="36"/>
      <c r="AA325" s="36"/>
      <c r="AB325" s="36"/>
      <c r="AC325" s="36"/>
    </row>
    <row r="326" spans="1:29" ht="72" customHeight="1">
      <c r="A326" s="81"/>
      <c r="B326" s="94"/>
      <c r="C326" s="81"/>
      <c r="D326" s="81"/>
      <c r="E326" s="620"/>
      <c r="F326" s="620"/>
      <c r="G326" s="620"/>
      <c r="H326" s="81"/>
      <c r="I326" s="81"/>
      <c r="J326" s="35"/>
      <c r="K326" s="36"/>
      <c r="L326" s="36"/>
      <c r="M326" s="36"/>
      <c r="N326" s="36"/>
      <c r="O326" s="36"/>
      <c r="P326" s="36"/>
      <c r="Q326" s="36"/>
      <c r="R326" s="36"/>
      <c r="S326" s="36"/>
      <c r="T326" s="36"/>
      <c r="U326" s="36"/>
      <c r="V326" s="36"/>
      <c r="W326" s="36"/>
      <c r="X326" s="36"/>
      <c r="Y326" s="36"/>
      <c r="Z326" s="36"/>
      <c r="AA326" s="36"/>
      <c r="AB326" s="36"/>
      <c r="AC326" s="36"/>
    </row>
    <row r="327" spans="1:29" ht="36" customHeight="1">
      <c r="A327" s="619"/>
      <c r="B327" s="94"/>
      <c r="C327" s="81"/>
      <c r="D327" s="81"/>
      <c r="E327" s="620"/>
      <c r="F327" s="620"/>
      <c r="G327" s="620"/>
      <c r="H327" s="81"/>
      <c r="I327" s="81"/>
      <c r="J327" s="35"/>
      <c r="K327" s="36"/>
      <c r="L327" s="36"/>
      <c r="M327" s="36"/>
      <c r="N327" s="36"/>
      <c r="O327" s="36"/>
      <c r="P327" s="36"/>
      <c r="Q327" s="36"/>
      <c r="R327" s="36"/>
      <c r="S327" s="36"/>
      <c r="T327" s="36"/>
      <c r="U327" s="36"/>
      <c r="V327" s="36"/>
      <c r="W327" s="36"/>
      <c r="X327" s="36"/>
      <c r="Y327" s="36"/>
      <c r="Z327" s="36"/>
      <c r="AA327" s="36"/>
      <c r="AB327" s="36"/>
      <c r="AC327" s="36"/>
    </row>
    <row r="328" spans="1:29" ht="36" customHeight="1">
      <c r="A328" s="81"/>
      <c r="B328" s="94"/>
      <c r="C328" s="81"/>
      <c r="D328" s="81"/>
      <c r="E328" s="620"/>
      <c r="F328" s="620"/>
      <c r="G328" s="620"/>
      <c r="H328" s="81"/>
      <c r="I328" s="81"/>
      <c r="J328" s="35"/>
      <c r="K328" s="36"/>
      <c r="L328" s="36"/>
      <c r="M328" s="36"/>
      <c r="N328" s="36"/>
      <c r="O328" s="36"/>
      <c r="P328" s="36"/>
      <c r="Q328" s="36"/>
      <c r="R328" s="36"/>
      <c r="S328" s="36"/>
      <c r="T328" s="36"/>
      <c r="U328" s="36"/>
      <c r="V328" s="36"/>
      <c r="W328" s="36"/>
      <c r="X328" s="36"/>
      <c r="Y328" s="36"/>
      <c r="Z328" s="36"/>
      <c r="AA328" s="36"/>
      <c r="AB328" s="36"/>
      <c r="AC328" s="36"/>
    </row>
    <row r="329" spans="1:29" ht="24" customHeight="1">
      <c r="A329" s="619"/>
      <c r="B329" s="94"/>
      <c r="C329" s="81"/>
      <c r="D329" s="81"/>
      <c r="E329" s="620"/>
      <c r="F329" s="620"/>
      <c r="G329" s="620"/>
      <c r="H329" s="81"/>
      <c r="I329" s="81"/>
      <c r="J329" s="35"/>
      <c r="K329" s="36"/>
      <c r="L329" s="36"/>
      <c r="M329" s="36"/>
      <c r="N329" s="36"/>
      <c r="O329" s="36"/>
      <c r="P329" s="36"/>
      <c r="Q329" s="36"/>
      <c r="R329" s="36"/>
      <c r="S329" s="36"/>
      <c r="T329" s="36"/>
      <c r="U329" s="36"/>
      <c r="V329" s="36"/>
      <c r="W329" s="36"/>
      <c r="X329" s="36"/>
      <c r="Y329" s="36"/>
      <c r="Z329" s="36"/>
      <c r="AA329" s="36"/>
      <c r="AB329" s="36"/>
      <c r="AC329" s="36"/>
    </row>
    <row r="330" spans="1:29" ht="48" customHeight="1">
      <c r="A330" s="619"/>
      <c r="B330" s="94"/>
      <c r="C330" s="81"/>
      <c r="D330" s="81"/>
      <c r="E330" s="620"/>
      <c r="F330" s="620"/>
      <c r="G330" s="620"/>
      <c r="H330" s="81"/>
      <c r="I330" s="81"/>
      <c r="J330" s="35"/>
      <c r="K330" s="36"/>
      <c r="L330" s="36"/>
      <c r="M330" s="36"/>
      <c r="N330" s="36"/>
      <c r="O330" s="36"/>
      <c r="P330" s="36"/>
      <c r="Q330" s="36"/>
      <c r="R330" s="36"/>
      <c r="S330" s="36"/>
      <c r="T330" s="36"/>
      <c r="U330" s="36"/>
      <c r="V330" s="36"/>
      <c r="W330" s="36"/>
      <c r="X330" s="36"/>
      <c r="Y330" s="36"/>
      <c r="Z330" s="36"/>
      <c r="AA330" s="36"/>
      <c r="AB330" s="36"/>
      <c r="AC330" s="36"/>
    </row>
    <row r="331" spans="1:29" ht="24" customHeight="1">
      <c r="A331" s="619"/>
      <c r="B331" s="94"/>
      <c r="C331" s="81"/>
      <c r="D331" s="81"/>
      <c r="E331" s="620"/>
      <c r="F331" s="620"/>
      <c r="G331" s="620"/>
      <c r="H331" s="81"/>
      <c r="I331" s="81"/>
      <c r="J331" s="35"/>
      <c r="K331" s="36"/>
      <c r="L331" s="36"/>
      <c r="M331" s="36"/>
      <c r="N331" s="36"/>
      <c r="O331" s="36"/>
      <c r="P331" s="36"/>
      <c r="Q331" s="36"/>
      <c r="R331" s="36"/>
      <c r="S331" s="36"/>
      <c r="T331" s="36"/>
      <c r="U331" s="36"/>
      <c r="V331" s="36"/>
      <c r="W331" s="36"/>
      <c r="X331" s="36"/>
      <c r="Y331" s="36"/>
      <c r="Z331" s="36"/>
      <c r="AA331" s="36"/>
      <c r="AB331" s="36"/>
      <c r="AC331" s="36"/>
    </row>
    <row r="332" spans="1:29" ht="36" customHeight="1">
      <c r="A332" s="621"/>
      <c r="B332" s="94"/>
      <c r="C332" s="81"/>
      <c r="D332" s="81"/>
      <c r="E332" s="620"/>
      <c r="F332" s="620"/>
      <c r="G332" s="620"/>
      <c r="H332" s="81"/>
      <c r="I332" s="81"/>
      <c r="J332" s="35"/>
      <c r="K332" s="36"/>
      <c r="L332" s="36"/>
      <c r="M332" s="36"/>
      <c r="N332" s="36"/>
      <c r="O332" s="36"/>
      <c r="P332" s="36"/>
      <c r="Q332" s="36"/>
      <c r="R332" s="36"/>
      <c r="S332" s="36"/>
      <c r="T332" s="36"/>
      <c r="U332" s="36"/>
      <c r="V332" s="36"/>
      <c r="W332" s="36"/>
      <c r="X332" s="36"/>
      <c r="Y332" s="36"/>
      <c r="Z332" s="36"/>
      <c r="AA332" s="36"/>
      <c r="AB332" s="36"/>
      <c r="AC332" s="36"/>
    </row>
    <row r="333" spans="1:29" ht="24" customHeight="1">
      <c r="A333" s="81"/>
      <c r="B333" s="94"/>
      <c r="C333" s="81"/>
      <c r="D333" s="81"/>
      <c r="E333" s="620"/>
      <c r="F333" s="620"/>
      <c r="G333" s="620"/>
      <c r="H333" s="81"/>
      <c r="I333" s="81"/>
      <c r="J333" s="35"/>
      <c r="K333" s="36"/>
      <c r="L333" s="36"/>
      <c r="M333" s="36"/>
      <c r="N333" s="36"/>
      <c r="O333" s="36"/>
      <c r="P333" s="36"/>
      <c r="Q333" s="36"/>
      <c r="R333" s="36"/>
      <c r="S333" s="36"/>
      <c r="T333" s="36"/>
      <c r="U333" s="36"/>
      <c r="V333" s="36"/>
      <c r="W333" s="36"/>
      <c r="X333" s="36"/>
      <c r="Y333" s="36"/>
      <c r="Z333" s="36"/>
      <c r="AA333" s="36"/>
      <c r="AB333" s="36"/>
      <c r="AC333" s="36"/>
    </row>
    <row r="334" spans="1:29" ht="24" customHeight="1">
      <c r="A334" s="81"/>
      <c r="B334" s="94"/>
      <c r="C334" s="81"/>
      <c r="D334" s="81"/>
      <c r="E334" s="620"/>
      <c r="F334" s="620"/>
      <c r="G334" s="620"/>
      <c r="H334" s="81"/>
      <c r="I334" s="81"/>
      <c r="J334" s="35"/>
      <c r="K334" s="36"/>
      <c r="L334" s="36"/>
      <c r="M334" s="36"/>
      <c r="N334" s="36"/>
      <c r="O334" s="36"/>
      <c r="P334" s="36"/>
      <c r="Q334" s="36"/>
      <c r="R334" s="36"/>
      <c r="S334" s="36"/>
      <c r="T334" s="36"/>
      <c r="U334" s="36"/>
      <c r="V334" s="36"/>
      <c r="W334" s="36"/>
      <c r="X334" s="36"/>
      <c r="Y334" s="36"/>
      <c r="Z334" s="36"/>
      <c r="AA334" s="36"/>
      <c r="AB334" s="36"/>
      <c r="AC334" s="36"/>
    </row>
    <row r="335" spans="1:29" ht="24" customHeight="1">
      <c r="A335" s="81"/>
      <c r="B335" s="94"/>
      <c r="C335" s="81"/>
      <c r="D335" s="81"/>
      <c r="E335" s="620"/>
      <c r="F335" s="620"/>
      <c r="G335" s="620"/>
      <c r="H335" s="81"/>
      <c r="I335" s="81"/>
      <c r="J335" s="35"/>
      <c r="K335" s="36"/>
      <c r="L335" s="36"/>
      <c r="M335" s="36"/>
      <c r="N335" s="36"/>
      <c r="O335" s="36"/>
      <c r="P335" s="36"/>
      <c r="Q335" s="36"/>
      <c r="R335" s="36"/>
      <c r="S335" s="36"/>
      <c r="T335" s="36"/>
      <c r="U335" s="36"/>
      <c r="V335" s="36"/>
      <c r="W335" s="36"/>
      <c r="X335" s="36"/>
      <c r="Y335" s="36"/>
      <c r="Z335" s="36"/>
      <c r="AA335" s="36"/>
      <c r="AB335" s="36"/>
      <c r="AC335" s="36"/>
    </row>
    <row r="336" spans="1:29" ht="24" customHeight="1">
      <c r="A336" s="81"/>
      <c r="B336" s="94"/>
      <c r="C336" s="81"/>
      <c r="D336" s="81"/>
      <c r="E336" s="620"/>
      <c r="F336" s="620"/>
      <c r="G336" s="620"/>
      <c r="H336" s="81"/>
      <c r="I336" s="81"/>
      <c r="J336" s="35"/>
      <c r="K336" s="36"/>
      <c r="L336" s="36"/>
      <c r="M336" s="36"/>
      <c r="N336" s="36"/>
      <c r="O336" s="36"/>
      <c r="P336" s="36"/>
      <c r="Q336" s="36"/>
      <c r="R336" s="36"/>
      <c r="S336" s="36"/>
      <c r="T336" s="36"/>
      <c r="U336" s="36"/>
      <c r="V336" s="36"/>
      <c r="W336" s="36"/>
      <c r="X336" s="36"/>
      <c r="Y336" s="36"/>
      <c r="Z336" s="36"/>
      <c r="AA336" s="36"/>
      <c r="AB336" s="36"/>
      <c r="AC336" s="36"/>
    </row>
    <row r="337" spans="1:29" ht="12" customHeight="1">
      <c r="A337" s="81"/>
      <c r="B337" s="94"/>
      <c r="C337" s="81"/>
      <c r="D337" s="81"/>
      <c r="E337" s="620"/>
      <c r="F337" s="620"/>
      <c r="G337" s="620"/>
      <c r="H337" s="81"/>
      <c r="I337" s="81"/>
      <c r="J337" s="35"/>
      <c r="K337" s="36"/>
      <c r="L337" s="36"/>
      <c r="M337" s="36"/>
      <c r="N337" s="36"/>
      <c r="O337" s="36"/>
      <c r="P337" s="36"/>
      <c r="Q337" s="36"/>
      <c r="R337" s="36"/>
      <c r="S337" s="36"/>
      <c r="T337" s="36"/>
      <c r="U337" s="36"/>
      <c r="V337" s="36"/>
      <c r="W337" s="36"/>
      <c r="X337" s="36"/>
      <c r="Y337" s="36"/>
      <c r="Z337" s="36"/>
      <c r="AA337" s="36"/>
      <c r="AB337" s="36"/>
      <c r="AC337" s="36"/>
    </row>
    <row r="338" spans="1:29" ht="24" customHeight="1">
      <c r="A338" s="81"/>
      <c r="B338" s="94"/>
      <c r="C338" s="81"/>
      <c r="D338" s="81"/>
      <c r="E338" s="620"/>
      <c r="F338" s="620"/>
      <c r="G338" s="620"/>
      <c r="H338" s="81"/>
      <c r="I338" s="81"/>
      <c r="J338" s="35"/>
      <c r="K338" s="36"/>
      <c r="L338" s="36"/>
      <c r="M338" s="36"/>
      <c r="N338" s="36"/>
      <c r="O338" s="36"/>
      <c r="P338" s="36"/>
      <c r="Q338" s="36"/>
      <c r="R338" s="36"/>
      <c r="S338" s="36"/>
      <c r="T338" s="36"/>
      <c r="U338" s="36"/>
      <c r="V338" s="36"/>
      <c r="W338" s="36"/>
      <c r="X338" s="36"/>
      <c r="Y338" s="36"/>
      <c r="Z338" s="36"/>
      <c r="AA338" s="36"/>
      <c r="AB338" s="36"/>
      <c r="AC338" s="36"/>
    </row>
    <row r="339" spans="1:29" ht="36" customHeight="1">
      <c r="A339" s="81"/>
      <c r="B339" s="94"/>
      <c r="C339" s="81"/>
      <c r="D339" s="81"/>
      <c r="E339" s="620"/>
      <c r="F339" s="620"/>
      <c r="G339" s="620"/>
      <c r="H339" s="81"/>
      <c r="I339" s="81"/>
      <c r="J339" s="35"/>
      <c r="K339" s="36"/>
      <c r="L339" s="36"/>
      <c r="M339" s="36"/>
      <c r="N339" s="36"/>
      <c r="O339" s="36"/>
      <c r="P339" s="36"/>
      <c r="Q339" s="36"/>
      <c r="R339" s="36"/>
      <c r="S339" s="36"/>
      <c r="T339" s="36"/>
      <c r="U339" s="36"/>
      <c r="V339" s="36"/>
      <c r="W339" s="36"/>
      <c r="X339" s="36"/>
      <c r="Y339" s="36"/>
      <c r="Z339" s="36"/>
      <c r="AA339" s="36"/>
      <c r="AB339" s="36"/>
      <c r="AC339" s="36"/>
    </row>
    <row r="340" spans="1:29" ht="36" customHeight="1">
      <c r="A340" s="81"/>
      <c r="B340" s="94"/>
      <c r="C340" s="81"/>
      <c r="D340" s="81"/>
      <c r="E340" s="620"/>
      <c r="F340" s="620"/>
      <c r="G340" s="620"/>
      <c r="H340" s="81"/>
      <c r="I340" s="81"/>
      <c r="J340" s="35"/>
      <c r="K340" s="36"/>
      <c r="L340" s="36"/>
      <c r="M340" s="36"/>
      <c r="N340" s="36"/>
      <c r="O340" s="36"/>
      <c r="P340" s="36"/>
      <c r="Q340" s="36"/>
      <c r="R340" s="36"/>
      <c r="S340" s="36"/>
      <c r="T340" s="36"/>
      <c r="U340" s="36"/>
      <c r="V340" s="36"/>
      <c r="W340" s="36"/>
      <c r="X340" s="36"/>
      <c r="Y340" s="36"/>
      <c r="Z340" s="36"/>
      <c r="AA340" s="36"/>
      <c r="AB340" s="36"/>
      <c r="AC340" s="36"/>
    </row>
    <row r="341" spans="1:29" ht="36" customHeight="1">
      <c r="A341" s="81"/>
      <c r="B341" s="94"/>
      <c r="C341" s="81"/>
      <c r="D341" s="81"/>
      <c r="E341" s="620"/>
      <c r="F341" s="620"/>
      <c r="G341" s="620"/>
      <c r="H341" s="81"/>
      <c r="I341" s="81"/>
      <c r="J341" s="35"/>
      <c r="K341" s="36"/>
      <c r="L341" s="36"/>
      <c r="M341" s="36"/>
      <c r="N341" s="36"/>
      <c r="O341" s="36"/>
      <c r="P341" s="36"/>
      <c r="Q341" s="36"/>
      <c r="R341" s="36"/>
      <c r="S341" s="36"/>
      <c r="T341" s="36"/>
      <c r="U341" s="36"/>
      <c r="V341" s="36"/>
      <c r="W341" s="36"/>
      <c r="X341" s="36"/>
      <c r="Y341" s="36"/>
      <c r="Z341" s="36"/>
      <c r="AA341" s="36"/>
      <c r="AB341" s="36"/>
      <c r="AC341" s="36"/>
    </row>
    <row r="342" spans="1:29" ht="12" customHeight="1">
      <c r="A342" s="81"/>
      <c r="B342" s="94"/>
      <c r="C342" s="81"/>
      <c r="D342" s="81"/>
      <c r="E342" s="620"/>
      <c r="F342" s="620"/>
      <c r="G342" s="620"/>
      <c r="H342" s="81"/>
      <c r="I342" s="81"/>
      <c r="J342" s="35"/>
      <c r="K342" s="36"/>
      <c r="L342" s="36"/>
      <c r="M342" s="36"/>
      <c r="N342" s="36"/>
      <c r="O342" s="36"/>
      <c r="P342" s="36"/>
      <c r="Q342" s="36"/>
      <c r="R342" s="36"/>
      <c r="S342" s="36"/>
      <c r="T342" s="36"/>
      <c r="U342" s="36"/>
      <c r="V342" s="36"/>
      <c r="W342" s="36"/>
      <c r="X342" s="36"/>
      <c r="Y342" s="36"/>
      <c r="Z342" s="36"/>
      <c r="AA342" s="36"/>
      <c r="AB342" s="36"/>
      <c r="AC342" s="36"/>
    </row>
    <row r="343" spans="1:29" ht="24" customHeight="1">
      <c r="A343" s="81"/>
      <c r="B343" s="94"/>
      <c r="C343" s="81"/>
      <c r="D343" s="81"/>
      <c r="E343" s="620"/>
      <c r="F343" s="620"/>
      <c r="G343" s="620"/>
      <c r="H343" s="81"/>
      <c r="I343" s="81"/>
      <c r="J343" s="35"/>
      <c r="K343" s="36"/>
      <c r="L343" s="36"/>
      <c r="M343" s="36"/>
      <c r="N343" s="36"/>
      <c r="O343" s="36"/>
      <c r="P343" s="36"/>
      <c r="Q343" s="36"/>
      <c r="R343" s="36"/>
      <c r="S343" s="36"/>
      <c r="T343" s="36"/>
      <c r="U343" s="36"/>
      <c r="V343" s="36"/>
      <c r="W343" s="36"/>
      <c r="X343" s="36"/>
      <c r="Y343" s="36"/>
      <c r="Z343" s="36"/>
      <c r="AA343" s="36"/>
      <c r="AB343" s="36"/>
      <c r="AC343" s="36"/>
    </row>
    <row r="344" spans="1:29" ht="36" customHeight="1">
      <c r="A344" s="81"/>
      <c r="B344" s="94"/>
      <c r="C344" s="81"/>
      <c r="D344" s="81"/>
      <c r="E344" s="620"/>
      <c r="F344" s="620"/>
      <c r="G344" s="620"/>
      <c r="H344" s="81"/>
      <c r="I344" s="81"/>
      <c r="J344" s="35"/>
      <c r="K344" s="36"/>
      <c r="L344" s="36"/>
      <c r="M344" s="36"/>
      <c r="N344" s="36"/>
      <c r="O344" s="36"/>
      <c r="P344" s="36"/>
      <c r="Q344" s="36"/>
      <c r="R344" s="36"/>
      <c r="S344" s="36"/>
      <c r="T344" s="36"/>
      <c r="U344" s="36"/>
      <c r="V344" s="36"/>
      <c r="W344" s="36"/>
      <c r="X344" s="36"/>
      <c r="Y344" s="36"/>
      <c r="Z344" s="36"/>
      <c r="AA344" s="36"/>
      <c r="AB344" s="36"/>
      <c r="AC344" s="36"/>
    </row>
    <row r="345" spans="1:29" ht="48" customHeight="1">
      <c r="A345" s="81"/>
      <c r="B345" s="94"/>
      <c r="C345" s="81"/>
      <c r="D345" s="81"/>
      <c r="E345" s="620"/>
      <c r="F345" s="620"/>
      <c r="G345" s="620"/>
      <c r="H345" s="81"/>
      <c r="I345" s="81"/>
      <c r="J345" s="35"/>
      <c r="K345" s="36"/>
      <c r="L345" s="36"/>
      <c r="M345" s="36"/>
      <c r="N345" s="36"/>
      <c r="O345" s="36"/>
      <c r="P345" s="36"/>
      <c r="Q345" s="36"/>
      <c r="R345" s="36"/>
      <c r="S345" s="36"/>
      <c r="T345" s="36"/>
      <c r="U345" s="36"/>
      <c r="V345" s="36"/>
      <c r="W345" s="36"/>
      <c r="X345" s="36"/>
      <c r="Y345" s="36"/>
      <c r="Z345" s="36"/>
      <c r="AA345" s="36"/>
      <c r="AB345" s="36"/>
      <c r="AC345" s="36"/>
    </row>
    <row r="346" spans="1:29" ht="12" customHeight="1">
      <c r="A346" s="81"/>
      <c r="B346" s="94"/>
      <c r="C346" s="81"/>
      <c r="D346" s="81"/>
      <c r="E346" s="620"/>
      <c r="F346" s="620"/>
      <c r="G346" s="620"/>
      <c r="H346" s="81"/>
      <c r="I346" s="81"/>
      <c r="J346" s="35"/>
      <c r="K346" s="36"/>
      <c r="L346" s="36"/>
      <c r="M346" s="36"/>
      <c r="N346" s="36"/>
      <c r="O346" s="36"/>
      <c r="P346" s="36"/>
      <c r="Q346" s="36"/>
      <c r="R346" s="36"/>
      <c r="S346" s="36"/>
      <c r="T346" s="36"/>
      <c r="U346" s="36"/>
      <c r="V346" s="36"/>
      <c r="W346" s="36"/>
      <c r="X346" s="36"/>
      <c r="Y346" s="36"/>
      <c r="Z346" s="36"/>
      <c r="AA346" s="36"/>
      <c r="AB346" s="36"/>
      <c r="AC346" s="36"/>
    </row>
    <row r="347" spans="1:29" ht="24" customHeight="1">
      <c r="A347" s="81"/>
      <c r="B347" s="94"/>
      <c r="C347" s="81"/>
      <c r="D347" s="81"/>
      <c r="E347" s="620"/>
      <c r="F347" s="620"/>
      <c r="G347" s="620"/>
      <c r="H347" s="81"/>
      <c r="I347" s="81"/>
      <c r="J347" s="35"/>
      <c r="K347" s="36"/>
      <c r="L347" s="36"/>
      <c r="M347" s="36"/>
      <c r="N347" s="36"/>
      <c r="O347" s="36"/>
      <c r="P347" s="36"/>
      <c r="Q347" s="36"/>
      <c r="R347" s="36"/>
      <c r="S347" s="36"/>
      <c r="T347" s="36"/>
      <c r="U347" s="36"/>
      <c r="V347" s="36"/>
      <c r="W347" s="36"/>
      <c r="X347" s="36"/>
      <c r="Y347" s="36"/>
      <c r="Z347" s="36"/>
      <c r="AA347" s="36"/>
      <c r="AB347" s="36"/>
      <c r="AC347" s="36"/>
    </row>
    <row r="348" spans="1:29" ht="24" customHeight="1">
      <c r="A348" s="81"/>
      <c r="B348" s="94"/>
      <c r="C348" s="81"/>
      <c r="D348" s="81"/>
      <c r="E348" s="620"/>
      <c r="F348" s="620"/>
      <c r="G348" s="620"/>
      <c r="H348" s="81"/>
      <c r="I348" s="81"/>
      <c r="J348" s="35"/>
      <c r="K348" s="36"/>
      <c r="L348" s="36"/>
      <c r="M348" s="36"/>
      <c r="N348" s="36"/>
      <c r="O348" s="36"/>
      <c r="P348" s="36"/>
      <c r="Q348" s="36"/>
      <c r="R348" s="36"/>
      <c r="S348" s="36"/>
      <c r="T348" s="36"/>
      <c r="U348" s="36"/>
      <c r="V348" s="36"/>
      <c r="W348" s="36"/>
      <c r="X348" s="36"/>
      <c r="Y348" s="36"/>
      <c r="Z348" s="36"/>
      <c r="AA348" s="36"/>
      <c r="AB348" s="36"/>
      <c r="AC348" s="36"/>
    </row>
    <row r="349" spans="1:29" ht="48" customHeight="1">
      <c r="A349" s="81"/>
      <c r="B349" s="94"/>
      <c r="C349" s="81"/>
      <c r="D349" s="81"/>
      <c r="E349" s="620"/>
      <c r="F349" s="620"/>
      <c r="G349" s="620"/>
      <c r="H349" s="81"/>
      <c r="I349" s="81"/>
      <c r="J349" s="35"/>
      <c r="K349" s="36"/>
      <c r="L349" s="36"/>
      <c r="M349" s="36"/>
      <c r="N349" s="36"/>
      <c r="O349" s="36"/>
      <c r="P349" s="36"/>
      <c r="Q349" s="36"/>
      <c r="R349" s="36"/>
      <c r="S349" s="36"/>
      <c r="T349" s="36"/>
      <c r="U349" s="36"/>
      <c r="V349" s="36"/>
      <c r="W349" s="36"/>
      <c r="X349" s="36"/>
      <c r="Y349" s="36"/>
      <c r="Z349" s="36"/>
      <c r="AA349" s="36"/>
      <c r="AB349" s="36"/>
      <c r="AC349" s="36"/>
    </row>
    <row r="350" spans="1:29" ht="24" customHeight="1">
      <c r="A350" s="81"/>
      <c r="B350" s="94"/>
      <c r="C350" s="81"/>
      <c r="D350" s="81"/>
      <c r="E350" s="620"/>
      <c r="F350" s="620"/>
      <c r="G350" s="620"/>
      <c r="H350" s="81"/>
      <c r="I350" s="81"/>
      <c r="J350" s="35"/>
      <c r="K350" s="36"/>
      <c r="L350" s="36"/>
      <c r="M350" s="36"/>
      <c r="N350" s="36"/>
      <c r="O350" s="36"/>
      <c r="P350" s="36"/>
      <c r="Q350" s="36"/>
      <c r="R350" s="36"/>
      <c r="S350" s="36"/>
      <c r="T350" s="36"/>
      <c r="U350" s="36"/>
      <c r="V350" s="36"/>
      <c r="W350" s="36"/>
      <c r="X350" s="36"/>
      <c r="Y350" s="36"/>
      <c r="Z350" s="36"/>
      <c r="AA350" s="36"/>
      <c r="AB350" s="36"/>
      <c r="AC350" s="36"/>
    </row>
    <row r="351" spans="1:29" ht="36" customHeight="1">
      <c r="A351" s="81"/>
      <c r="B351" s="94"/>
      <c r="C351" s="81"/>
      <c r="D351" s="81"/>
      <c r="E351" s="620"/>
      <c r="F351" s="620"/>
      <c r="G351" s="620"/>
      <c r="H351" s="81"/>
      <c r="I351" s="81"/>
      <c r="J351" s="35"/>
      <c r="K351" s="36"/>
      <c r="L351" s="36"/>
      <c r="M351" s="36"/>
      <c r="N351" s="36"/>
      <c r="O351" s="36"/>
      <c r="P351" s="36"/>
      <c r="Q351" s="36"/>
      <c r="R351" s="36"/>
      <c r="S351" s="36"/>
      <c r="T351" s="36"/>
      <c r="U351" s="36"/>
      <c r="V351" s="36"/>
      <c r="W351" s="36"/>
      <c r="X351" s="36"/>
      <c r="Y351" s="36"/>
      <c r="Z351" s="36"/>
      <c r="AA351" s="36"/>
      <c r="AB351" s="36"/>
      <c r="AC351" s="36"/>
    </row>
    <row r="352" spans="1:29" ht="24" customHeight="1">
      <c r="A352" s="81"/>
      <c r="B352" s="94"/>
      <c r="C352" s="81"/>
      <c r="D352" s="81"/>
      <c r="E352" s="620"/>
      <c r="F352" s="620"/>
      <c r="G352" s="620"/>
      <c r="H352" s="81"/>
      <c r="I352" s="81"/>
      <c r="J352" s="35"/>
      <c r="K352" s="36"/>
      <c r="L352" s="36"/>
      <c r="M352" s="36"/>
      <c r="N352" s="36"/>
      <c r="O352" s="36"/>
      <c r="P352" s="36"/>
      <c r="Q352" s="36"/>
      <c r="R352" s="36"/>
      <c r="S352" s="36"/>
      <c r="T352" s="36"/>
      <c r="U352" s="36"/>
      <c r="V352" s="36"/>
      <c r="W352" s="36"/>
      <c r="X352" s="36"/>
      <c r="Y352" s="36"/>
      <c r="Z352" s="36"/>
      <c r="AA352" s="36"/>
      <c r="AB352" s="36"/>
      <c r="AC352" s="36"/>
    </row>
    <row r="353" spans="1:29" ht="24" customHeight="1">
      <c r="A353" s="81"/>
      <c r="B353" s="94"/>
      <c r="C353" s="81"/>
      <c r="D353" s="81"/>
      <c r="E353" s="620"/>
      <c r="F353" s="620"/>
      <c r="G353" s="620"/>
      <c r="H353" s="81"/>
      <c r="I353" s="81"/>
      <c r="J353" s="35"/>
      <c r="K353" s="36"/>
      <c r="L353" s="36"/>
      <c r="M353" s="36"/>
      <c r="N353" s="36"/>
      <c r="O353" s="36"/>
      <c r="P353" s="36"/>
      <c r="Q353" s="36"/>
      <c r="R353" s="36"/>
      <c r="S353" s="36"/>
      <c r="T353" s="36"/>
      <c r="U353" s="36"/>
      <c r="V353" s="36"/>
      <c r="W353" s="36"/>
      <c r="X353" s="36"/>
      <c r="Y353" s="36"/>
      <c r="Z353" s="36"/>
      <c r="AA353" s="36"/>
      <c r="AB353" s="36"/>
      <c r="AC353" s="36"/>
    </row>
    <row r="354" spans="1:29" ht="240" customHeight="1">
      <c r="A354" s="81"/>
      <c r="B354" s="94"/>
      <c r="C354" s="81"/>
      <c r="D354" s="81"/>
      <c r="E354" s="620"/>
      <c r="F354" s="620"/>
      <c r="G354" s="620"/>
      <c r="H354" s="81"/>
      <c r="I354" s="81"/>
      <c r="J354" s="35"/>
      <c r="K354" s="36"/>
      <c r="L354" s="36"/>
      <c r="M354" s="36"/>
      <c r="N354" s="36"/>
      <c r="O354" s="36"/>
      <c r="P354" s="36"/>
      <c r="Q354" s="36"/>
      <c r="R354" s="36"/>
      <c r="S354" s="36"/>
      <c r="T354" s="36"/>
      <c r="U354" s="36"/>
      <c r="V354" s="36"/>
      <c r="W354" s="36"/>
      <c r="X354" s="36"/>
      <c r="Y354" s="36"/>
      <c r="Z354" s="36"/>
      <c r="AA354" s="36"/>
      <c r="AB354" s="36"/>
      <c r="AC354" s="36"/>
    </row>
    <row r="355" spans="1:29" ht="60" customHeight="1">
      <c r="A355" s="81"/>
      <c r="B355" s="94"/>
      <c r="C355" s="81"/>
      <c r="D355" s="81"/>
      <c r="E355" s="620"/>
      <c r="F355" s="620"/>
      <c r="G355" s="620"/>
      <c r="H355" s="81"/>
      <c r="I355" s="81"/>
      <c r="J355" s="35"/>
      <c r="K355" s="36"/>
      <c r="L355" s="36"/>
      <c r="M355" s="36"/>
      <c r="N355" s="36"/>
      <c r="O355" s="36"/>
      <c r="P355" s="36"/>
      <c r="Q355" s="36"/>
      <c r="R355" s="36"/>
      <c r="S355" s="36"/>
      <c r="T355" s="36"/>
      <c r="U355" s="36"/>
      <c r="V355" s="36"/>
      <c r="W355" s="36"/>
      <c r="X355" s="36"/>
      <c r="Y355" s="36"/>
      <c r="Z355" s="36"/>
      <c r="AA355" s="36"/>
      <c r="AB355" s="36"/>
      <c r="AC355" s="36"/>
    </row>
    <row r="356" spans="1:29" ht="60" customHeight="1">
      <c r="A356" s="81"/>
      <c r="B356" s="94"/>
      <c r="C356" s="81"/>
      <c r="D356" s="81"/>
      <c r="E356" s="620"/>
      <c r="F356" s="620"/>
      <c r="G356" s="620"/>
      <c r="H356" s="81"/>
      <c r="I356" s="81"/>
      <c r="J356" s="35"/>
      <c r="K356" s="36"/>
      <c r="L356" s="36"/>
      <c r="M356" s="36"/>
      <c r="N356" s="36"/>
      <c r="O356" s="36"/>
      <c r="P356" s="36"/>
      <c r="Q356" s="36"/>
      <c r="R356" s="36"/>
      <c r="S356" s="36"/>
      <c r="T356" s="36"/>
      <c r="U356" s="36"/>
      <c r="V356" s="36"/>
      <c r="W356" s="36"/>
      <c r="X356" s="36"/>
      <c r="Y356" s="36"/>
      <c r="Z356" s="36"/>
      <c r="AA356" s="36"/>
      <c r="AB356" s="36"/>
      <c r="AC356" s="36"/>
    </row>
    <row r="357" spans="1:29" ht="24" customHeight="1">
      <c r="A357" s="81"/>
      <c r="B357" s="94"/>
      <c r="C357" s="81"/>
      <c r="D357" s="81"/>
      <c r="E357" s="620"/>
      <c r="F357" s="620"/>
      <c r="G357" s="620"/>
      <c r="H357" s="81"/>
      <c r="I357" s="81"/>
      <c r="J357" s="35"/>
      <c r="K357" s="36"/>
      <c r="L357" s="36"/>
      <c r="M357" s="36"/>
      <c r="N357" s="36"/>
      <c r="O357" s="36"/>
      <c r="P357" s="36"/>
      <c r="Q357" s="36"/>
      <c r="R357" s="36"/>
      <c r="S357" s="36"/>
      <c r="T357" s="36"/>
      <c r="U357" s="36"/>
      <c r="V357" s="36"/>
      <c r="W357" s="36"/>
      <c r="X357" s="36"/>
      <c r="Y357" s="36"/>
      <c r="Z357" s="36"/>
      <c r="AA357" s="36"/>
      <c r="AB357" s="36"/>
      <c r="AC357" s="36"/>
    </row>
    <row r="358" spans="1:29" ht="24" customHeight="1">
      <c r="A358" s="81"/>
      <c r="B358" s="94"/>
      <c r="C358" s="81"/>
      <c r="D358" s="81"/>
      <c r="E358" s="620"/>
      <c r="F358" s="620"/>
      <c r="G358" s="620"/>
      <c r="H358" s="81"/>
      <c r="I358" s="81"/>
      <c r="J358" s="35"/>
      <c r="K358" s="36"/>
      <c r="L358" s="36"/>
      <c r="M358" s="36"/>
      <c r="N358" s="36"/>
      <c r="O358" s="36"/>
      <c r="P358" s="36"/>
      <c r="Q358" s="36"/>
      <c r="R358" s="36"/>
      <c r="S358" s="36"/>
      <c r="T358" s="36"/>
      <c r="U358" s="36"/>
      <c r="V358" s="36"/>
      <c r="W358" s="36"/>
      <c r="X358" s="36"/>
      <c r="Y358" s="36"/>
      <c r="Z358" s="36"/>
      <c r="AA358" s="36"/>
      <c r="AB358" s="36"/>
      <c r="AC358" s="36"/>
    </row>
    <row r="359" spans="1:29" ht="84" customHeight="1">
      <c r="A359" s="81"/>
      <c r="B359" s="94"/>
      <c r="C359" s="81"/>
      <c r="D359" s="81"/>
      <c r="E359" s="620"/>
      <c r="F359" s="620"/>
      <c r="G359" s="620"/>
      <c r="H359" s="81"/>
      <c r="I359" s="81"/>
      <c r="J359" s="35"/>
      <c r="K359" s="36"/>
      <c r="L359" s="36"/>
      <c r="M359" s="36"/>
      <c r="N359" s="36"/>
      <c r="O359" s="36"/>
      <c r="P359" s="36"/>
      <c r="Q359" s="36"/>
      <c r="R359" s="36"/>
      <c r="S359" s="36"/>
      <c r="T359" s="36"/>
      <c r="U359" s="36"/>
      <c r="V359" s="36"/>
      <c r="W359" s="36"/>
      <c r="X359" s="36"/>
      <c r="Y359" s="36"/>
      <c r="Z359" s="36"/>
      <c r="AA359" s="36"/>
      <c r="AB359" s="36"/>
      <c r="AC359" s="36"/>
    </row>
    <row r="360" spans="1:29" ht="36" customHeight="1">
      <c r="A360" s="81"/>
      <c r="B360" s="94"/>
      <c r="C360" s="81"/>
      <c r="D360" s="81"/>
      <c r="E360" s="620"/>
      <c r="F360" s="620"/>
      <c r="G360" s="620"/>
      <c r="H360" s="81"/>
      <c r="I360" s="81"/>
      <c r="J360" s="35"/>
      <c r="K360" s="36"/>
      <c r="L360" s="36"/>
      <c r="M360" s="36"/>
      <c r="N360" s="36"/>
      <c r="O360" s="36"/>
      <c r="P360" s="36"/>
      <c r="Q360" s="36"/>
      <c r="R360" s="36"/>
      <c r="S360" s="36"/>
      <c r="T360" s="36"/>
      <c r="U360" s="36"/>
      <c r="V360" s="36"/>
      <c r="W360" s="36"/>
      <c r="X360" s="36"/>
      <c r="Y360" s="36"/>
      <c r="Z360" s="36"/>
      <c r="AA360" s="36"/>
      <c r="AB360" s="36"/>
      <c r="AC360" s="36"/>
    </row>
    <row r="361" spans="1:29" ht="24" customHeight="1">
      <c r="A361" s="81"/>
      <c r="B361" s="94"/>
      <c r="C361" s="81"/>
      <c r="D361" s="81"/>
      <c r="E361" s="620"/>
      <c r="F361" s="620"/>
      <c r="G361" s="620"/>
      <c r="H361" s="81"/>
      <c r="I361" s="81"/>
      <c r="J361" s="35"/>
      <c r="K361" s="36"/>
      <c r="L361" s="36"/>
      <c r="M361" s="36"/>
      <c r="N361" s="36"/>
      <c r="O361" s="36"/>
      <c r="P361" s="36"/>
      <c r="Q361" s="36"/>
      <c r="R361" s="36"/>
      <c r="S361" s="36"/>
      <c r="T361" s="36"/>
      <c r="U361" s="36"/>
      <c r="V361" s="36"/>
      <c r="W361" s="36"/>
      <c r="X361" s="36"/>
      <c r="Y361" s="36"/>
      <c r="Z361" s="36"/>
      <c r="AA361" s="36"/>
      <c r="AB361" s="36"/>
      <c r="AC361" s="36"/>
    </row>
    <row r="362" spans="1:29" ht="36" customHeight="1">
      <c r="A362" s="81"/>
      <c r="B362" s="94"/>
      <c r="C362" s="81"/>
      <c r="D362" s="81"/>
      <c r="E362" s="620"/>
      <c r="F362" s="620"/>
      <c r="G362" s="620"/>
      <c r="H362" s="81"/>
      <c r="I362" s="81"/>
      <c r="J362" s="35"/>
      <c r="K362" s="36"/>
      <c r="L362" s="36"/>
      <c r="M362" s="36"/>
      <c r="N362" s="36"/>
      <c r="O362" s="36"/>
      <c r="P362" s="36"/>
      <c r="Q362" s="36"/>
      <c r="R362" s="36"/>
      <c r="S362" s="36"/>
      <c r="T362" s="36"/>
      <c r="U362" s="36"/>
      <c r="V362" s="36"/>
      <c r="W362" s="36"/>
      <c r="X362" s="36"/>
      <c r="Y362" s="36"/>
      <c r="Z362" s="36"/>
      <c r="AA362" s="36"/>
      <c r="AB362" s="36"/>
      <c r="AC362" s="36"/>
    </row>
    <row r="363" spans="1:29" ht="24" customHeight="1">
      <c r="A363" s="81"/>
      <c r="B363" s="94"/>
      <c r="C363" s="81"/>
      <c r="D363" s="81"/>
      <c r="E363" s="620"/>
      <c r="F363" s="620"/>
      <c r="G363" s="620"/>
      <c r="H363" s="81"/>
      <c r="I363" s="81"/>
      <c r="J363" s="35"/>
      <c r="K363" s="36"/>
      <c r="L363" s="36"/>
      <c r="M363" s="36"/>
      <c r="N363" s="36"/>
      <c r="O363" s="36"/>
      <c r="P363" s="36"/>
      <c r="Q363" s="36"/>
      <c r="R363" s="36"/>
      <c r="S363" s="36"/>
      <c r="T363" s="36"/>
      <c r="U363" s="36"/>
      <c r="V363" s="36"/>
      <c r="W363" s="36"/>
      <c r="X363" s="36"/>
      <c r="Y363" s="36"/>
      <c r="Z363" s="36"/>
      <c r="AA363" s="36"/>
      <c r="AB363" s="36"/>
      <c r="AC363" s="36"/>
    </row>
    <row r="364" spans="1:29" ht="24" customHeight="1">
      <c r="A364" s="81"/>
      <c r="B364" s="94"/>
      <c r="C364" s="81"/>
      <c r="D364" s="81"/>
      <c r="E364" s="620"/>
      <c r="F364" s="620"/>
      <c r="G364" s="620"/>
      <c r="H364" s="81"/>
      <c r="I364" s="81"/>
      <c r="J364" s="35"/>
      <c r="K364" s="36"/>
      <c r="L364" s="36"/>
      <c r="M364" s="36"/>
      <c r="N364" s="36"/>
      <c r="O364" s="36"/>
      <c r="P364" s="36"/>
      <c r="Q364" s="36"/>
      <c r="R364" s="36"/>
      <c r="S364" s="36"/>
      <c r="T364" s="36"/>
      <c r="U364" s="36"/>
      <c r="V364" s="36"/>
      <c r="W364" s="36"/>
      <c r="X364" s="36"/>
      <c r="Y364" s="36"/>
      <c r="Z364" s="36"/>
      <c r="AA364" s="36"/>
      <c r="AB364" s="36"/>
      <c r="AC364" s="36"/>
    </row>
    <row r="365" spans="1:29" ht="24" customHeight="1">
      <c r="A365" s="81"/>
      <c r="B365" s="94"/>
      <c r="C365" s="81"/>
      <c r="D365" s="81"/>
      <c r="E365" s="620"/>
      <c r="F365" s="620"/>
      <c r="G365" s="620"/>
      <c r="H365" s="81"/>
      <c r="I365" s="81"/>
      <c r="J365" s="35"/>
      <c r="K365" s="36"/>
      <c r="L365" s="36"/>
      <c r="M365" s="36"/>
      <c r="N365" s="36"/>
      <c r="O365" s="36"/>
      <c r="P365" s="36"/>
      <c r="Q365" s="36"/>
      <c r="R365" s="36"/>
      <c r="S365" s="36"/>
      <c r="T365" s="36"/>
      <c r="U365" s="36"/>
      <c r="V365" s="36"/>
      <c r="W365" s="36"/>
      <c r="X365" s="36"/>
      <c r="Y365" s="36"/>
      <c r="Z365" s="36"/>
      <c r="AA365" s="36"/>
      <c r="AB365" s="36"/>
      <c r="AC365" s="36"/>
    </row>
    <row r="366" spans="1:29" ht="12" customHeight="1">
      <c r="A366" s="81"/>
      <c r="B366" s="94"/>
      <c r="C366" s="81"/>
      <c r="D366" s="81"/>
      <c r="E366" s="620"/>
      <c r="F366" s="620"/>
      <c r="G366" s="620"/>
      <c r="H366" s="81"/>
      <c r="I366" s="81"/>
      <c r="J366" s="35"/>
      <c r="K366" s="36"/>
      <c r="L366" s="36"/>
      <c r="M366" s="36"/>
      <c r="N366" s="36"/>
      <c r="O366" s="36"/>
      <c r="P366" s="36"/>
      <c r="Q366" s="36"/>
      <c r="R366" s="36"/>
      <c r="S366" s="36"/>
      <c r="T366" s="36"/>
      <c r="U366" s="36"/>
      <c r="V366" s="36"/>
      <c r="W366" s="36"/>
      <c r="X366" s="36"/>
      <c r="Y366" s="36"/>
      <c r="Z366" s="36"/>
      <c r="AA366" s="36"/>
      <c r="AB366" s="36"/>
      <c r="AC366" s="36"/>
    </row>
    <row r="367" spans="1:29" ht="24" customHeight="1">
      <c r="A367" s="81"/>
      <c r="B367" s="94"/>
      <c r="C367" s="81"/>
      <c r="D367" s="81"/>
      <c r="E367" s="620"/>
      <c r="F367" s="620"/>
      <c r="G367" s="620"/>
      <c r="H367" s="81"/>
      <c r="I367" s="81"/>
      <c r="J367" s="35"/>
      <c r="K367" s="36"/>
      <c r="L367" s="36"/>
      <c r="M367" s="36"/>
      <c r="N367" s="36"/>
      <c r="O367" s="36"/>
      <c r="P367" s="36"/>
      <c r="Q367" s="36"/>
      <c r="R367" s="36"/>
      <c r="S367" s="36"/>
      <c r="T367" s="36"/>
      <c r="U367" s="36"/>
      <c r="V367" s="36"/>
      <c r="W367" s="36"/>
      <c r="X367" s="36"/>
      <c r="Y367" s="36"/>
      <c r="Z367" s="36"/>
      <c r="AA367" s="36"/>
      <c r="AB367" s="36"/>
      <c r="AC367" s="36"/>
    </row>
    <row r="368" spans="1:29" ht="24" customHeight="1">
      <c r="A368" s="81"/>
      <c r="B368" s="94"/>
      <c r="C368" s="81"/>
      <c r="D368" s="81"/>
      <c r="E368" s="620"/>
      <c r="F368" s="620"/>
      <c r="G368" s="620"/>
      <c r="H368" s="81"/>
      <c r="I368" s="81"/>
      <c r="J368" s="35"/>
      <c r="K368" s="36"/>
      <c r="L368" s="36"/>
      <c r="M368" s="36"/>
      <c r="N368" s="36"/>
      <c r="O368" s="36"/>
      <c r="P368" s="36"/>
      <c r="Q368" s="36"/>
      <c r="R368" s="36"/>
      <c r="S368" s="36"/>
      <c r="T368" s="36"/>
      <c r="U368" s="36"/>
      <c r="V368" s="36"/>
      <c r="W368" s="36"/>
      <c r="X368" s="36"/>
      <c r="Y368" s="36"/>
      <c r="Z368" s="36"/>
      <c r="AA368" s="36"/>
      <c r="AB368" s="36"/>
      <c r="AC368" s="36"/>
    </row>
    <row r="369" spans="1:29" ht="24" customHeight="1">
      <c r="A369" s="81"/>
      <c r="B369" s="94"/>
      <c r="C369" s="81"/>
      <c r="D369" s="81"/>
      <c r="E369" s="620"/>
      <c r="F369" s="620"/>
      <c r="G369" s="620"/>
      <c r="H369" s="81"/>
      <c r="I369" s="81"/>
      <c r="J369" s="35"/>
      <c r="K369" s="36"/>
      <c r="L369" s="36"/>
      <c r="M369" s="36"/>
      <c r="N369" s="36"/>
      <c r="O369" s="36"/>
      <c r="P369" s="36"/>
      <c r="Q369" s="36"/>
      <c r="R369" s="36"/>
      <c r="S369" s="36"/>
      <c r="T369" s="36"/>
      <c r="U369" s="36"/>
      <c r="V369" s="36"/>
      <c r="W369" s="36"/>
      <c r="X369" s="36"/>
      <c r="Y369" s="36"/>
      <c r="Z369" s="36"/>
      <c r="AA369" s="36"/>
      <c r="AB369" s="36"/>
      <c r="AC369" s="36"/>
    </row>
    <row r="370" spans="1:29" ht="24" customHeight="1">
      <c r="A370" s="81"/>
      <c r="B370" s="94"/>
      <c r="C370" s="81"/>
      <c r="D370" s="81"/>
      <c r="E370" s="620"/>
      <c r="F370" s="620"/>
      <c r="G370" s="620"/>
      <c r="H370" s="81"/>
      <c r="I370" s="81"/>
      <c r="J370" s="35"/>
      <c r="K370" s="36"/>
      <c r="L370" s="36"/>
      <c r="M370" s="36"/>
      <c r="N370" s="36"/>
      <c r="O370" s="36"/>
      <c r="P370" s="36"/>
      <c r="Q370" s="36"/>
      <c r="R370" s="36"/>
      <c r="S370" s="36"/>
      <c r="T370" s="36"/>
      <c r="U370" s="36"/>
      <c r="V370" s="36"/>
      <c r="W370" s="36"/>
      <c r="X370" s="36"/>
      <c r="Y370" s="36"/>
      <c r="Z370" s="36"/>
      <c r="AA370" s="36"/>
      <c r="AB370" s="36"/>
      <c r="AC370" s="36"/>
    </row>
    <row r="371" spans="1:29" ht="24" customHeight="1">
      <c r="A371" s="81"/>
      <c r="B371" s="94"/>
      <c r="C371" s="81"/>
      <c r="D371" s="81"/>
      <c r="E371" s="620"/>
      <c r="F371" s="620"/>
      <c r="G371" s="620"/>
      <c r="H371" s="81"/>
      <c r="I371" s="81"/>
      <c r="J371" s="35"/>
      <c r="K371" s="36"/>
      <c r="L371" s="36"/>
      <c r="M371" s="36"/>
      <c r="N371" s="36"/>
      <c r="O371" s="36"/>
      <c r="P371" s="36"/>
      <c r="Q371" s="36"/>
      <c r="R371" s="36"/>
      <c r="S371" s="36"/>
      <c r="T371" s="36"/>
      <c r="U371" s="36"/>
      <c r="V371" s="36"/>
      <c r="W371" s="36"/>
      <c r="X371" s="36"/>
      <c r="Y371" s="36"/>
      <c r="Z371" s="36"/>
      <c r="AA371" s="36"/>
      <c r="AB371" s="36"/>
      <c r="AC371" s="36"/>
    </row>
    <row r="372" spans="1:29" ht="60" customHeight="1">
      <c r="A372" s="81"/>
      <c r="B372" s="94"/>
      <c r="C372" s="81"/>
      <c r="D372" s="81"/>
      <c r="E372" s="620"/>
      <c r="F372" s="620"/>
      <c r="G372" s="620"/>
      <c r="H372" s="81"/>
      <c r="I372" s="81"/>
      <c r="J372" s="35"/>
      <c r="K372" s="36"/>
      <c r="L372" s="36"/>
      <c r="M372" s="36"/>
      <c r="N372" s="36"/>
      <c r="O372" s="36"/>
      <c r="P372" s="36"/>
      <c r="Q372" s="36"/>
      <c r="R372" s="36"/>
      <c r="S372" s="36"/>
      <c r="T372" s="36"/>
      <c r="U372" s="36"/>
      <c r="V372" s="36"/>
      <c r="W372" s="36"/>
      <c r="X372" s="36"/>
      <c r="Y372" s="36"/>
      <c r="Z372" s="36"/>
      <c r="AA372" s="36"/>
      <c r="AB372" s="36"/>
      <c r="AC372" s="36"/>
    </row>
    <row r="373" spans="1:29" ht="24" customHeight="1">
      <c r="A373" s="81"/>
      <c r="B373" s="94"/>
      <c r="C373" s="81"/>
      <c r="D373" s="81"/>
      <c r="E373" s="620"/>
      <c r="F373" s="620"/>
      <c r="G373" s="620"/>
      <c r="H373" s="81"/>
      <c r="I373" s="81"/>
      <c r="J373" s="35"/>
      <c r="K373" s="36"/>
      <c r="L373" s="36"/>
      <c r="M373" s="36"/>
      <c r="N373" s="36"/>
      <c r="O373" s="36"/>
      <c r="P373" s="36"/>
      <c r="Q373" s="36"/>
      <c r="R373" s="36"/>
      <c r="S373" s="36"/>
      <c r="T373" s="36"/>
      <c r="U373" s="36"/>
      <c r="V373" s="36"/>
      <c r="W373" s="36"/>
      <c r="X373" s="36"/>
      <c r="Y373" s="36"/>
      <c r="Z373" s="36"/>
      <c r="AA373" s="36"/>
      <c r="AB373" s="36"/>
      <c r="AC373" s="36"/>
    </row>
    <row r="374" spans="1:29" ht="96" customHeight="1">
      <c r="A374" s="81"/>
      <c r="B374" s="94"/>
      <c r="C374" s="81"/>
      <c r="D374" s="81"/>
      <c r="E374" s="620"/>
      <c r="F374" s="620"/>
      <c r="G374" s="620"/>
      <c r="H374" s="81"/>
      <c r="I374" s="81"/>
      <c r="J374" s="35"/>
      <c r="K374" s="36"/>
      <c r="L374" s="36"/>
      <c r="M374" s="36"/>
      <c r="N374" s="36"/>
      <c r="O374" s="36"/>
      <c r="P374" s="36"/>
      <c r="Q374" s="36"/>
      <c r="R374" s="36"/>
      <c r="S374" s="36"/>
      <c r="T374" s="36"/>
      <c r="U374" s="36"/>
      <c r="V374" s="36"/>
      <c r="W374" s="36"/>
      <c r="X374" s="36"/>
      <c r="Y374" s="36"/>
      <c r="Z374" s="36"/>
      <c r="AA374" s="36"/>
      <c r="AB374" s="36"/>
      <c r="AC374" s="36"/>
    </row>
    <row r="375" spans="1:29" ht="48" customHeight="1">
      <c r="A375" s="81"/>
      <c r="B375" s="94"/>
      <c r="C375" s="81"/>
      <c r="D375" s="81"/>
      <c r="E375" s="620"/>
      <c r="F375" s="620"/>
      <c r="G375" s="620"/>
      <c r="H375" s="81"/>
      <c r="I375" s="81"/>
      <c r="J375" s="35"/>
      <c r="K375" s="36"/>
      <c r="L375" s="36"/>
      <c r="M375" s="36"/>
      <c r="N375" s="36"/>
      <c r="O375" s="36"/>
      <c r="P375" s="36"/>
      <c r="Q375" s="36"/>
      <c r="R375" s="36"/>
      <c r="S375" s="36"/>
      <c r="T375" s="36"/>
      <c r="U375" s="36"/>
      <c r="V375" s="36"/>
      <c r="W375" s="36"/>
      <c r="X375" s="36"/>
      <c r="Y375" s="36"/>
      <c r="Z375" s="36"/>
      <c r="AA375" s="36"/>
      <c r="AB375" s="36"/>
      <c r="AC375" s="36"/>
    </row>
    <row r="376" spans="1:29" ht="48" customHeight="1">
      <c r="A376" s="81"/>
      <c r="B376" s="94"/>
      <c r="C376" s="81"/>
      <c r="D376" s="81"/>
      <c r="E376" s="620"/>
      <c r="F376" s="620"/>
      <c r="G376" s="620"/>
      <c r="H376" s="81"/>
      <c r="I376" s="81"/>
      <c r="J376" s="35"/>
      <c r="K376" s="36"/>
      <c r="L376" s="36"/>
      <c r="M376" s="36"/>
      <c r="N376" s="36"/>
      <c r="O376" s="36"/>
      <c r="P376" s="36"/>
      <c r="Q376" s="36"/>
      <c r="R376" s="36"/>
      <c r="S376" s="36"/>
      <c r="T376" s="36"/>
      <c r="U376" s="36"/>
      <c r="V376" s="36"/>
      <c r="W376" s="36"/>
      <c r="X376" s="36"/>
      <c r="Y376" s="36"/>
      <c r="Z376" s="36"/>
      <c r="AA376" s="36"/>
      <c r="AB376" s="36"/>
      <c r="AC376" s="36"/>
    </row>
    <row r="377" spans="1:29" ht="24" customHeight="1">
      <c r="A377" s="81"/>
      <c r="B377" s="94"/>
      <c r="C377" s="81"/>
      <c r="D377" s="81"/>
      <c r="E377" s="620"/>
      <c r="F377" s="620"/>
      <c r="G377" s="620"/>
      <c r="H377" s="81"/>
      <c r="I377" s="81"/>
      <c r="J377" s="35"/>
      <c r="K377" s="36"/>
      <c r="L377" s="36"/>
      <c r="M377" s="36"/>
      <c r="N377" s="36"/>
      <c r="O377" s="36"/>
      <c r="P377" s="36"/>
      <c r="Q377" s="36"/>
      <c r="R377" s="36"/>
      <c r="S377" s="36"/>
      <c r="T377" s="36"/>
      <c r="U377" s="36"/>
      <c r="V377" s="36"/>
      <c r="W377" s="36"/>
      <c r="X377" s="36"/>
      <c r="Y377" s="36"/>
      <c r="Z377" s="36"/>
      <c r="AA377" s="36"/>
      <c r="AB377" s="36"/>
      <c r="AC377" s="36"/>
    </row>
    <row r="378" spans="1:29" ht="24" customHeight="1">
      <c r="A378" s="81"/>
      <c r="B378" s="94"/>
      <c r="C378" s="81"/>
      <c r="D378" s="81"/>
      <c r="E378" s="620"/>
      <c r="F378" s="620"/>
      <c r="G378" s="620"/>
      <c r="H378" s="81"/>
      <c r="I378" s="81"/>
      <c r="J378" s="35"/>
      <c r="K378" s="36"/>
      <c r="L378" s="36"/>
      <c r="M378" s="36"/>
      <c r="N378" s="36"/>
      <c r="O378" s="36"/>
      <c r="P378" s="36"/>
      <c r="Q378" s="36"/>
      <c r="R378" s="36"/>
      <c r="S378" s="36"/>
      <c r="T378" s="36"/>
      <c r="U378" s="36"/>
      <c r="V378" s="36"/>
      <c r="W378" s="36"/>
      <c r="X378" s="36"/>
      <c r="Y378" s="36"/>
      <c r="Z378" s="36"/>
      <c r="AA378" s="36"/>
      <c r="AB378" s="36"/>
      <c r="AC378" s="36"/>
    </row>
    <row r="379" spans="1:29" ht="12" customHeight="1">
      <c r="A379" s="81"/>
      <c r="B379" s="94"/>
      <c r="C379" s="81"/>
      <c r="D379" s="81"/>
      <c r="E379" s="620"/>
      <c r="F379" s="620"/>
      <c r="G379" s="620"/>
      <c r="H379" s="81"/>
      <c r="I379" s="81"/>
      <c r="J379" s="35"/>
      <c r="K379" s="36"/>
      <c r="L379" s="36"/>
      <c r="M379" s="36"/>
      <c r="N379" s="36"/>
      <c r="O379" s="36"/>
      <c r="P379" s="36"/>
      <c r="Q379" s="36"/>
      <c r="R379" s="36"/>
      <c r="S379" s="36"/>
      <c r="T379" s="36"/>
      <c r="U379" s="36"/>
      <c r="V379" s="36"/>
      <c r="W379" s="36"/>
      <c r="X379" s="36"/>
      <c r="Y379" s="36"/>
      <c r="Z379" s="36"/>
      <c r="AA379" s="36"/>
      <c r="AB379" s="36"/>
      <c r="AC379" s="36"/>
    </row>
    <row r="380" spans="1:29" ht="36" customHeight="1">
      <c r="A380" s="81"/>
      <c r="B380" s="94"/>
      <c r="C380" s="81"/>
      <c r="D380" s="81"/>
      <c r="E380" s="620"/>
      <c r="F380" s="620"/>
      <c r="G380" s="620"/>
      <c r="H380" s="81"/>
      <c r="I380" s="81"/>
      <c r="J380" s="35"/>
      <c r="K380" s="36"/>
      <c r="L380" s="36"/>
      <c r="M380" s="36"/>
      <c r="N380" s="36"/>
      <c r="O380" s="36"/>
      <c r="P380" s="36"/>
      <c r="Q380" s="36"/>
      <c r="R380" s="36"/>
      <c r="S380" s="36"/>
      <c r="T380" s="36"/>
      <c r="U380" s="36"/>
      <c r="V380" s="36"/>
      <c r="W380" s="36"/>
      <c r="X380" s="36"/>
      <c r="Y380" s="36"/>
      <c r="Z380" s="36"/>
      <c r="AA380" s="36"/>
      <c r="AB380" s="36"/>
      <c r="AC380" s="36"/>
    </row>
    <row r="381" spans="1:29" ht="36" customHeight="1">
      <c r="A381" s="81"/>
      <c r="B381" s="94"/>
      <c r="C381" s="81"/>
      <c r="D381" s="81"/>
      <c r="E381" s="620"/>
      <c r="F381" s="620"/>
      <c r="G381" s="620"/>
      <c r="H381" s="81"/>
      <c r="I381" s="81"/>
      <c r="J381" s="35"/>
      <c r="K381" s="36"/>
      <c r="L381" s="36"/>
      <c r="M381" s="36"/>
      <c r="N381" s="36"/>
      <c r="O381" s="36"/>
      <c r="P381" s="36"/>
      <c r="Q381" s="36"/>
      <c r="R381" s="36"/>
      <c r="S381" s="36"/>
      <c r="T381" s="36"/>
      <c r="U381" s="36"/>
      <c r="V381" s="36"/>
      <c r="W381" s="36"/>
      <c r="X381" s="36"/>
      <c r="Y381" s="36"/>
      <c r="Z381" s="36"/>
      <c r="AA381" s="36"/>
      <c r="AB381" s="36"/>
      <c r="AC381" s="36"/>
    </row>
    <row r="382" spans="1:29" ht="24" customHeight="1">
      <c r="A382" s="81"/>
      <c r="B382" s="94"/>
      <c r="C382" s="81"/>
      <c r="D382" s="81"/>
      <c r="E382" s="620"/>
      <c r="F382" s="620"/>
      <c r="G382" s="620"/>
      <c r="H382" s="81"/>
      <c r="I382" s="81"/>
      <c r="J382" s="35"/>
      <c r="K382" s="36"/>
      <c r="L382" s="36"/>
      <c r="M382" s="36"/>
      <c r="N382" s="36"/>
      <c r="O382" s="36"/>
      <c r="P382" s="36"/>
      <c r="Q382" s="36"/>
      <c r="R382" s="36"/>
      <c r="S382" s="36"/>
      <c r="T382" s="36"/>
      <c r="U382" s="36"/>
      <c r="V382" s="36"/>
      <c r="W382" s="36"/>
      <c r="X382" s="36"/>
      <c r="Y382" s="36"/>
      <c r="Z382" s="36"/>
      <c r="AA382" s="36"/>
      <c r="AB382" s="36"/>
      <c r="AC382" s="36"/>
    </row>
    <row r="383" spans="1:29" ht="48" customHeight="1">
      <c r="A383" s="81"/>
      <c r="B383" s="94"/>
      <c r="C383" s="81"/>
      <c r="D383" s="81"/>
      <c r="E383" s="620"/>
      <c r="F383" s="620"/>
      <c r="G383" s="620"/>
      <c r="H383" s="81"/>
      <c r="I383" s="81"/>
      <c r="J383" s="35"/>
      <c r="K383" s="36"/>
      <c r="L383" s="36"/>
      <c r="M383" s="36"/>
      <c r="N383" s="36"/>
      <c r="O383" s="36"/>
      <c r="P383" s="36"/>
      <c r="Q383" s="36"/>
      <c r="R383" s="36"/>
      <c r="S383" s="36"/>
      <c r="T383" s="36"/>
      <c r="U383" s="36"/>
      <c r="V383" s="36"/>
      <c r="W383" s="36"/>
      <c r="X383" s="36"/>
      <c r="Y383" s="36"/>
      <c r="Z383" s="36"/>
      <c r="AA383" s="36"/>
      <c r="AB383" s="36"/>
      <c r="AC383" s="36"/>
    </row>
    <row r="384" spans="1:29" ht="24" customHeight="1">
      <c r="A384" s="81"/>
      <c r="B384" s="94"/>
      <c r="C384" s="81"/>
      <c r="D384" s="81"/>
      <c r="E384" s="620"/>
      <c r="F384" s="620"/>
      <c r="G384" s="620"/>
      <c r="H384" s="81"/>
      <c r="I384" s="81"/>
      <c r="J384" s="35"/>
      <c r="K384" s="36"/>
      <c r="L384" s="36"/>
      <c r="M384" s="36"/>
      <c r="N384" s="36"/>
      <c r="O384" s="36"/>
      <c r="P384" s="36"/>
      <c r="Q384" s="36"/>
      <c r="R384" s="36"/>
      <c r="S384" s="36"/>
      <c r="T384" s="36"/>
      <c r="U384" s="36"/>
      <c r="V384" s="36"/>
      <c r="W384" s="36"/>
      <c r="X384" s="36"/>
      <c r="Y384" s="36"/>
      <c r="Z384" s="36"/>
      <c r="AA384" s="36"/>
      <c r="AB384" s="36"/>
      <c r="AC384" s="36"/>
    </row>
    <row r="385" spans="1:29" ht="24" customHeight="1">
      <c r="A385" s="81"/>
      <c r="B385" s="94"/>
      <c r="C385" s="81"/>
      <c r="D385" s="81"/>
      <c r="E385" s="620"/>
      <c r="F385" s="620"/>
      <c r="G385" s="620"/>
      <c r="H385" s="81"/>
      <c r="I385" s="81"/>
      <c r="J385" s="35"/>
      <c r="K385" s="36"/>
      <c r="L385" s="36"/>
      <c r="M385" s="36"/>
      <c r="N385" s="36"/>
      <c r="O385" s="36"/>
      <c r="P385" s="36"/>
      <c r="Q385" s="36"/>
      <c r="R385" s="36"/>
      <c r="S385" s="36"/>
      <c r="T385" s="36"/>
      <c r="U385" s="36"/>
      <c r="V385" s="36"/>
      <c r="W385" s="36"/>
      <c r="X385" s="36"/>
      <c r="Y385" s="36"/>
      <c r="Z385" s="36"/>
      <c r="AA385" s="36"/>
      <c r="AB385" s="36"/>
      <c r="AC385" s="36"/>
    </row>
    <row r="386" spans="1:29" ht="36" customHeight="1">
      <c r="A386" s="81"/>
      <c r="B386" s="94"/>
      <c r="C386" s="81"/>
      <c r="D386" s="81"/>
      <c r="E386" s="620"/>
      <c r="F386" s="620"/>
      <c r="G386" s="620"/>
      <c r="H386" s="81"/>
      <c r="I386" s="81"/>
      <c r="J386" s="35"/>
      <c r="K386" s="36"/>
      <c r="L386" s="36"/>
      <c r="M386" s="36"/>
      <c r="N386" s="36"/>
      <c r="O386" s="36"/>
      <c r="P386" s="36"/>
      <c r="Q386" s="36"/>
      <c r="R386" s="36"/>
      <c r="S386" s="36"/>
      <c r="T386" s="36"/>
      <c r="U386" s="36"/>
      <c r="V386" s="36"/>
      <c r="W386" s="36"/>
      <c r="X386" s="36"/>
      <c r="Y386" s="36"/>
      <c r="Z386" s="36"/>
      <c r="AA386" s="36"/>
      <c r="AB386" s="36"/>
      <c r="AC386" s="36"/>
    </row>
    <row r="387" spans="1:29" ht="48" customHeight="1">
      <c r="A387" s="81"/>
      <c r="B387" s="94"/>
      <c r="C387" s="81"/>
      <c r="D387" s="81"/>
      <c r="E387" s="620"/>
      <c r="F387" s="620"/>
      <c r="G387" s="620"/>
      <c r="H387" s="81"/>
      <c r="I387" s="81"/>
      <c r="J387" s="35"/>
      <c r="K387" s="36"/>
      <c r="L387" s="36"/>
      <c r="M387" s="36"/>
      <c r="N387" s="36"/>
      <c r="O387" s="36"/>
      <c r="P387" s="36"/>
      <c r="Q387" s="36"/>
      <c r="R387" s="36"/>
      <c r="S387" s="36"/>
      <c r="T387" s="36"/>
      <c r="U387" s="36"/>
      <c r="V387" s="36"/>
      <c r="W387" s="36"/>
      <c r="X387" s="36"/>
      <c r="Y387" s="36"/>
      <c r="Z387" s="36"/>
      <c r="AA387" s="36"/>
      <c r="AB387" s="36"/>
      <c r="AC387" s="36"/>
    </row>
    <row r="388" spans="1:29" ht="48" customHeight="1">
      <c r="A388" s="81"/>
      <c r="B388" s="94"/>
      <c r="C388" s="81"/>
      <c r="D388" s="81"/>
      <c r="E388" s="620"/>
      <c r="F388" s="620"/>
      <c r="G388" s="620"/>
      <c r="H388" s="81"/>
      <c r="I388" s="81"/>
      <c r="J388" s="35"/>
      <c r="K388" s="36"/>
      <c r="L388" s="36"/>
      <c r="M388" s="36"/>
      <c r="N388" s="36"/>
      <c r="O388" s="36"/>
      <c r="P388" s="36"/>
      <c r="Q388" s="36"/>
      <c r="R388" s="36"/>
      <c r="S388" s="36"/>
      <c r="T388" s="36"/>
      <c r="U388" s="36"/>
      <c r="V388" s="36"/>
      <c r="W388" s="36"/>
      <c r="X388" s="36"/>
      <c r="Y388" s="36"/>
      <c r="Z388" s="36"/>
      <c r="AA388" s="36"/>
      <c r="AB388" s="36"/>
      <c r="AC388" s="36"/>
    </row>
    <row r="389" spans="1:29" ht="36" customHeight="1">
      <c r="A389" s="81"/>
      <c r="B389" s="94"/>
      <c r="C389" s="81"/>
      <c r="D389" s="81"/>
      <c r="E389" s="620"/>
      <c r="F389" s="620"/>
      <c r="G389" s="620"/>
      <c r="H389" s="81"/>
      <c r="I389" s="81"/>
      <c r="J389" s="35"/>
      <c r="K389" s="36"/>
      <c r="L389" s="36"/>
      <c r="M389" s="36"/>
      <c r="N389" s="36"/>
      <c r="O389" s="36"/>
      <c r="P389" s="36"/>
      <c r="Q389" s="36"/>
      <c r="R389" s="36"/>
      <c r="S389" s="36"/>
      <c r="T389" s="36"/>
      <c r="U389" s="36"/>
      <c r="V389" s="36"/>
      <c r="W389" s="36"/>
      <c r="X389" s="36"/>
      <c r="Y389" s="36"/>
      <c r="Z389" s="36"/>
      <c r="AA389" s="36"/>
      <c r="AB389" s="36"/>
      <c r="AC389" s="36"/>
    </row>
    <row r="390" spans="1:29" ht="24" customHeight="1">
      <c r="A390" s="81"/>
      <c r="B390" s="94"/>
      <c r="C390" s="81"/>
      <c r="D390" s="81"/>
      <c r="E390" s="620"/>
      <c r="F390" s="620"/>
      <c r="G390" s="620"/>
      <c r="H390" s="81"/>
      <c r="I390" s="81"/>
      <c r="J390" s="35"/>
      <c r="K390" s="36"/>
      <c r="L390" s="36"/>
      <c r="M390" s="36"/>
      <c r="N390" s="36"/>
      <c r="O390" s="36"/>
      <c r="P390" s="36"/>
      <c r="Q390" s="36"/>
      <c r="R390" s="36"/>
      <c r="S390" s="36"/>
      <c r="T390" s="36"/>
      <c r="U390" s="36"/>
      <c r="V390" s="36"/>
      <c r="W390" s="36"/>
      <c r="X390" s="36"/>
      <c r="Y390" s="36"/>
      <c r="Z390" s="36"/>
      <c r="AA390" s="36"/>
      <c r="AB390" s="36"/>
      <c r="AC390" s="36"/>
    </row>
    <row r="391" spans="1:29" ht="24" customHeight="1">
      <c r="A391" s="81"/>
      <c r="B391" s="94"/>
      <c r="C391" s="81"/>
      <c r="D391" s="81"/>
      <c r="E391" s="620"/>
      <c r="F391" s="620"/>
      <c r="G391" s="620"/>
      <c r="H391" s="81"/>
      <c r="I391" s="81"/>
      <c r="J391" s="35"/>
      <c r="K391" s="36"/>
      <c r="L391" s="36"/>
      <c r="M391" s="36"/>
      <c r="N391" s="36"/>
      <c r="O391" s="36"/>
      <c r="P391" s="36"/>
      <c r="Q391" s="36"/>
      <c r="R391" s="36"/>
      <c r="S391" s="36"/>
      <c r="T391" s="36"/>
      <c r="U391" s="36"/>
      <c r="V391" s="36"/>
      <c r="W391" s="36"/>
      <c r="X391" s="36"/>
      <c r="Y391" s="36"/>
      <c r="Z391" s="36"/>
      <c r="AA391" s="36"/>
      <c r="AB391" s="36"/>
      <c r="AC391" s="36"/>
    </row>
    <row r="392" spans="1:29" ht="24" customHeight="1">
      <c r="A392" s="81"/>
      <c r="B392" s="94"/>
      <c r="C392" s="81"/>
      <c r="D392" s="81"/>
      <c r="E392" s="620"/>
      <c r="F392" s="620"/>
      <c r="G392" s="620"/>
      <c r="H392" s="81"/>
      <c r="I392" s="81"/>
      <c r="J392" s="35"/>
      <c r="K392" s="36"/>
      <c r="L392" s="36"/>
      <c r="M392" s="36"/>
      <c r="N392" s="36"/>
      <c r="O392" s="36"/>
      <c r="P392" s="36"/>
      <c r="Q392" s="36"/>
      <c r="R392" s="36"/>
      <c r="S392" s="36"/>
      <c r="T392" s="36"/>
      <c r="U392" s="36"/>
      <c r="V392" s="36"/>
      <c r="W392" s="36"/>
      <c r="X392" s="36"/>
      <c r="Y392" s="36"/>
      <c r="Z392" s="36"/>
      <c r="AA392" s="36"/>
      <c r="AB392" s="36"/>
      <c r="AC392" s="36"/>
    </row>
    <row r="393" spans="1:29" ht="24" customHeight="1">
      <c r="A393" s="81"/>
      <c r="B393" s="94"/>
      <c r="C393" s="81"/>
      <c r="D393" s="81"/>
      <c r="E393" s="620"/>
      <c r="F393" s="620"/>
      <c r="G393" s="620"/>
      <c r="H393" s="81"/>
      <c r="I393" s="81"/>
      <c r="J393" s="35"/>
      <c r="K393" s="36"/>
      <c r="L393" s="36"/>
      <c r="M393" s="36"/>
      <c r="N393" s="36"/>
      <c r="O393" s="36"/>
      <c r="P393" s="36"/>
      <c r="Q393" s="36"/>
      <c r="R393" s="36"/>
      <c r="S393" s="36"/>
      <c r="T393" s="36"/>
      <c r="U393" s="36"/>
      <c r="V393" s="36"/>
      <c r="W393" s="36"/>
      <c r="X393" s="36"/>
      <c r="Y393" s="36"/>
      <c r="Z393" s="36"/>
      <c r="AA393" s="36"/>
      <c r="AB393" s="36"/>
      <c r="AC393" s="36"/>
    </row>
    <row r="394" spans="1:29" ht="96" customHeight="1">
      <c r="A394" s="81"/>
      <c r="B394" s="94"/>
      <c r="C394" s="81"/>
      <c r="D394" s="81"/>
      <c r="E394" s="620"/>
      <c r="F394" s="620"/>
      <c r="G394" s="620"/>
      <c r="H394" s="81"/>
      <c r="I394" s="81"/>
      <c r="J394" s="35"/>
      <c r="K394" s="36"/>
      <c r="L394" s="36"/>
      <c r="M394" s="36"/>
      <c r="N394" s="36"/>
      <c r="O394" s="36"/>
      <c r="P394" s="36"/>
      <c r="Q394" s="36"/>
      <c r="R394" s="36"/>
      <c r="S394" s="36"/>
      <c r="T394" s="36"/>
      <c r="U394" s="36"/>
      <c r="V394" s="36"/>
      <c r="W394" s="36"/>
      <c r="X394" s="36"/>
      <c r="Y394" s="36"/>
      <c r="Z394" s="36"/>
      <c r="AA394" s="36"/>
      <c r="AB394" s="36"/>
      <c r="AC394" s="36"/>
    </row>
    <row r="395" spans="1:29" ht="36" customHeight="1">
      <c r="A395" s="81"/>
      <c r="B395" s="94"/>
      <c r="C395" s="81"/>
      <c r="D395" s="81"/>
      <c r="E395" s="620"/>
      <c r="F395" s="620"/>
      <c r="G395" s="620"/>
      <c r="H395" s="81"/>
      <c r="I395" s="81"/>
      <c r="J395" s="35"/>
      <c r="K395" s="36"/>
      <c r="L395" s="36"/>
      <c r="M395" s="36"/>
      <c r="N395" s="36"/>
      <c r="O395" s="36"/>
      <c r="P395" s="36"/>
      <c r="Q395" s="36"/>
      <c r="R395" s="36"/>
      <c r="S395" s="36"/>
      <c r="T395" s="36"/>
      <c r="U395" s="36"/>
      <c r="V395" s="36"/>
      <c r="W395" s="36"/>
      <c r="X395" s="36"/>
      <c r="Y395" s="36"/>
      <c r="Z395" s="36"/>
      <c r="AA395" s="36"/>
      <c r="AB395" s="36"/>
      <c r="AC395" s="36"/>
    </row>
    <row r="396" spans="1:29" ht="48" customHeight="1">
      <c r="A396" s="81"/>
      <c r="B396" s="94"/>
      <c r="C396" s="81"/>
      <c r="D396" s="81"/>
      <c r="E396" s="620"/>
      <c r="F396" s="620"/>
      <c r="G396" s="620"/>
      <c r="H396" s="81"/>
      <c r="I396" s="81"/>
      <c r="J396" s="35"/>
      <c r="K396" s="36"/>
      <c r="L396" s="36"/>
      <c r="M396" s="36"/>
      <c r="N396" s="36"/>
      <c r="O396" s="36"/>
      <c r="P396" s="36"/>
      <c r="Q396" s="36"/>
      <c r="R396" s="36"/>
      <c r="S396" s="36"/>
      <c r="T396" s="36"/>
      <c r="U396" s="36"/>
      <c r="V396" s="36"/>
      <c r="W396" s="36"/>
      <c r="X396" s="36"/>
      <c r="Y396" s="36"/>
      <c r="Z396" s="36"/>
      <c r="AA396" s="36"/>
      <c r="AB396" s="36"/>
      <c r="AC396" s="36"/>
    </row>
    <row r="397" spans="1:29" ht="36" customHeight="1">
      <c r="A397" s="81"/>
      <c r="B397" s="94"/>
      <c r="C397" s="81"/>
      <c r="D397" s="81"/>
      <c r="E397" s="620"/>
      <c r="F397" s="620"/>
      <c r="G397" s="620"/>
      <c r="H397" s="81"/>
      <c r="I397" s="81"/>
      <c r="J397" s="35"/>
      <c r="K397" s="36"/>
      <c r="L397" s="36"/>
      <c r="M397" s="36"/>
      <c r="N397" s="36"/>
      <c r="O397" s="36"/>
      <c r="P397" s="36"/>
      <c r="Q397" s="36"/>
      <c r="R397" s="36"/>
      <c r="S397" s="36"/>
      <c r="T397" s="36"/>
      <c r="U397" s="36"/>
      <c r="V397" s="36"/>
      <c r="W397" s="36"/>
      <c r="X397" s="36"/>
      <c r="Y397" s="36"/>
      <c r="Z397" s="36"/>
      <c r="AA397" s="36"/>
      <c r="AB397" s="36"/>
      <c r="AC397" s="36"/>
    </row>
    <row r="398" spans="1:29" ht="48" customHeight="1">
      <c r="A398" s="81"/>
      <c r="B398" s="94"/>
      <c r="C398" s="81"/>
      <c r="D398" s="81"/>
      <c r="E398" s="620"/>
      <c r="F398" s="620"/>
      <c r="G398" s="620"/>
      <c r="H398" s="81"/>
      <c r="I398" s="81"/>
      <c r="J398" s="35"/>
      <c r="K398" s="36"/>
      <c r="L398" s="36"/>
      <c r="M398" s="36"/>
      <c r="N398" s="36"/>
      <c r="O398" s="36"/>
      <c r="P398" s="36"/>
      <c r="Q398" s="36"/>
      <c r="R398" s="36"/>
      <c r="S398" s="36"/>
      <c r="T398" s="36"/>
      <c r="U398" s="36"/>
      <c r="V398" s="36"/>
      <c r="W398" s="36"/>
      <c r="X398" s="36"/>
      <c r="Y398" s="36"/>
      <c r="Z398" s="36"/>
      <c r="AA398" s="36"/>
      <c r="AB398" s="36"/>
      <c r="AC398" s="36"/>
    </row>
    <row r="399" spans="1:29" ht="24" customHeight="1">
      <c r="A399" s="100"/>
      <c r="B399" s="463"/>
      <c r="C399" s="100"/>
      <c r="D399" s="100"/>
      <c r="E399" s="627"/>
      <c r="F399" s="627"/>
      <c r="G399" s="627"/>
      <c r="H399" s="100"/>
      <c r="I399" s="100"/>
      <c r="J399" s="35"/>
      <c r="K399" s="36"/>
      <c r="L399" s="36"/>
      <c r="M399" s="36"/>
      <c r="N399" s="36"/>
      <c r="O399" s="36"/>
      <c r="P399" s="36"/>
      <c r="Q399" s="36"/>
      <c r="R399" s="36"/>
      <c r="S399" s="36"/>
      <c r="T399" s="36"/>
      <c r="U399" s="36"/>
      <c r="V399" s="36"/>
      <c r="W399" s="36"/>
      <c r="X399" s="36"/>
      <c r="Y399" s="36"/>
      <c r="Z399" s="36"/>
      <c r="AA399" s="36"/>
      <c r="AB399" s="36"/>
      <c r="AC399" s="36"/>
    </row>
    <row r="400" spans="1:29" ht="72" customHeight="1">
      <c r="A400" s="100"/>
      <c r="B400" s="463"/>
      <c r="C400" s="100"/>
      <c r="D400" s="100"/>
      <c r="E400" s="627"/>
      <c r="F400" s="627"/>
      <c r="G400" s="627"/>
      <c r="H400" s="100"/>
      <c r="I400" s="100"/>
      <c r="J400" s="35"/>
      <c r="K400" s="36"/>
      <c r="L400" s="36"/>
      <c r="M400" s="36"/>
      <c r="N400" s="36"/>
      <c r="O400" s="36"/>
      <c r="P400" s="36"/>
      <c r="Q400" s="36"/>
      <c r="R400" s="36"/>
      <c r="S400" s="36"/>
      <c r="T400" s="36"/>
      <c r="U400" s="36"/>
      <c r="V400" s="36"/>
      <c r="W400" s="36"/>
      <c r="X400" s="36"/>
      <c r="Y400" s="36"/>
      <c r="Z400" s="36"/>
      <c r="AA400" s="36"/>
      <c r="AB400" s="36"/>
      <c r="AC400" s="36"/>
    </row>
    <row r="401" spans="1:29" ht="36" customHeight="1">
      <c r="A401" s="100"/>
      <c r="B401" s="463"/>
      <c r="C401" s="100"/>
      <c r="D401" s="100"/>
      <c r="E401" s="627"/>
      <c r="F401" s="627"/>
      <c r="G401" s="627"/>
      <c r="H401" s="100"/>
      <c r="I401" s="100"/>
      <c r="J401" s="35"/>
      <c r="K401" s="36"/>
      <c r="L401" s="36"/>
      <c r="M401" s="36"/>
      <c r="N401" s="36"/>
      <c r="O401" s="36"/>
      <c r="P401" s="36"/>
      <c r="Q401" s="36"/>
      <c r="R401" s="36"/>
      <c r="S401" s="36"/>
      <c r="T401" s="36"/>
      <c r="U401" s="36"/>
      <c r="V401" s="36"/>
      <c r="W401" s="36"/>
      <c r="X401" s="36"/>
      <c r="Y401" s="36"/>
      <c r="Z401" s="36"/>
      <c r="AA401" s="36"/>
      <c r="AB401" s="36"/>
      <c r="AC401" s="36"/>
    </row>
    <row r="402" spans="1:29" ht="15.75" customHeight="1">
      <c r="A402" s="100"/>
      <c r="B402" s="463"/>
      <c r="C402" s="100"/>
      <c r="D402" s="100"/>
      <c r="E402" s="627"/>
      <c r="F402" s="627"/>
      <c r="G402" s="627"/>
      <c r="H402" s="100"/>
      <c r="I402" s="100"/>
      <c r="J402" s="35"/>
      <c r="K402" s="36"/>
      <c r="L402" s="36"/>
      <c r="M402" s="36"/>
      <c r="N402" s="36"/>
      <c r="O402" s="36"/>
      <c r="P402" s="36"/>
      <c r="Q402" s="36"/>
      <c r="R402" s="36"/>
      <c r="S402" s="36"/>
      <c r="T402" s="36"/>
      <c r="U402" s="36"/>
      <c r="V402" s="36"/>
      <c r="W402" s="36"/>
      <c r="X402" s="36"/>
      <c r="Y402" s="36"/>
      <c r="Z402" s="36"/>
      <c r="AA402" s="36"/>
      <c r="AB402" s="36"/>
      <c r="AC402" s="36"/>
    </row>
    <row r="403" spans="1:29" ht="36" customHeight="1">
      <c r="A403" s="100"/>
      <c r="B403" s="463"/>
      <c r="C403" s="100"/>
      <c r="D403" s="100"/>
      <c r="E403" s="627"/>
      <c r="F403" s="627"/>
      <c r="G403" s="627"/>
      <c r="H403" s="100"/>
      <c r="I403" s="100"/>
      <c r="J403" s="35"/>
      <c r="K403" s="36"/>
      <c r="L403" s="36"/>
      <c r="M403" s="36"/>
      <c r="N403" s="36"/>
      <c r="O403" s="36"/>
      <c r="P403" s="36"/>
      <c r="Q403" s="36"/>
      <c r="R403" s="36"/>
      <c r="S403" s="36"/>
      <c r="T403" s="36"/>
      <c r="U403" s="36"/>
      <c r="V403" s="36"/>
      <c r="W403" s="36"/>
      <c r="X403" s="36"/>
      <c r="Y403" s="36"/>
      <c r="Z403" s="36"/>
      <c r="AA403" s="36"/>
      <c r="AB403" s="36"/>
      <c r="AC403" s="36"/>
    </row>
    <row r="404" spans="1:29" ht="36" customHeight="1">
      <c r="A404" s="100"/>
      <c r="B404" s="463"/>
      <c r="C404" s="100"/>
      <c r="D404" s="100"/>
      <c r="E404" s="627"/>
      <c r="F404" s="627"/>
      <c r="G404" s="627"/>
      <c r="H404" s="100"/>
      <c r="I404" s="100"/>
      <c r="J404" s="35"/>
      <c r="K404" s="36"/>
      <c r="L404" s="36"/>
      <c r="M404" s="36"/>
      <c r="N404" s="36"/>
      <c r="O404" s="36"/>
      <c r="P404" s="36"/>
      <c r="Q404" s="36"/>
      <c r="R404" s="36"/>
      <c r="S404" s="36"/>
      <c r="T404" s="36"/>
      <c r="U404" s="36"/>
      <c r="V404" s="36"/>
      <c r="W404" s="36"/>
      <c r="X404" s="36"/>
      <c r="Y404" s="36"/>
      <c r="Z404" s="36"/>
      <c r="AA404" s="36"/>
      <c r="AB404" s="36"/>
      <c r="AC404" s="36"/>
    </row>
    <row r="405" spans="1:29" ht="36" customHeight="1">
      <c r="A405" s="100"/>
      <c r="B405" s="463"/>
      <c r="C405" s="100"/>
      <c r="D405" s="100"/>
      <c r="E405" s="627"/>
      <c r="F405" s="627"/>
      <c r="G405" s="627"/>
      <c r="H405" s="100"/>
      <c r="I405" s="100"/>
      <c r="J405" s="35"/>
      <c r="K405" s="36"/>
      <c r="L405" s="36"/>
      <c r="M405" s="36"/>
      <c r="N405" s="36"/>
      <c r="O405" s="36"/>
      <c r="P405" s="36"/>
      <c r="Q405" s="36"/>
      <c r="R405" s="36"/>
      <c r="S405" s="36"/>
      <c r="T405" s="36"/>
      <c r="U405" s="36"/>
      <c r="V405" s="36"/>
      <c r="W405" s="36"/>
      <c r="X405" s="36"/>
      <c r="Y405" s="36"/>
      <c r="Z405" s="36"/>
      <c r="AA405" s="36"/>
      <c r="AB405" s="36"/>
      <c r="AC405" s="36"/>
    </row>
    <row r="406" spans="1:29" ht="36" customHeight="1">
      <c r="A406" s="100"/>
      <c r="B406" s="463"/>
      <c r="C406" s="100"/>
      <c r="D406" s="100"/>
      <c r="E406" s="627"/>
      <c r="F406" s="627"/>
      <c r="G406" s="627"/>
      <c r="H406" s="100"/>
      <c r="I406" s="100"/>
      <c r="J406" s="35"/>
      <c r="K406" s="36"/>
      <c r="L406" s="36"/>
      <c r="M406" s="36"/>
      <c r="N406" s="36"/>
      <c r="O406" s="36"/>
      <c r="P406" s="36"/>
      <c r="Q406" s="36"/>
      <c r="R406" s="36"/>
      <c r="S406" s="36"/>
      <c r="T406" s="36"/>
      <c r="U406" s="36"/>
      <c r="V406" s="36"/>
      <c r="W406" s="36"/>
      <c r="X406" s="36"/>
      <c r="Y406" s="36"/>
      <c r="Z406" s="36"/>
      <c r="AA406" s="36"/>
      <c r="AB406" s="36"/>
      <c r="AC406" s="36"/>
    </row>
    <row r="407" spans="1:29" ht="24" customHeight="1">
      <c r="A407" s="100"/>
      <c r="B407" s="463"/>
      <c r="C407" s="100"/>
      <c r="D407" s="100"/>
      <c r="E407" s="627"/>
      <c r="F407" s="627"/>
      <c r="G407" s="627"/>
      <c r="H407" s="100"/>
      <c r="I407" s="100"/>
      <c r="J407" s="35"/>
      <c r="K407" s="36"/>
      <c r="L407" s="36"/>
      <c r="M407" s="36"/>
      <c r="N407" s="36"/>
      <c r="O407" s="36"/>
      <c r="P407" s="36"/>
      <c r="Q407" s="36"/>
      <c r="R407" s="36"/>
      <c r="S407" s="36"/>
      <c r="T407" s="36"/>
      <c r="U407" s="36"/>
      <c r="V407" s="36"/>
      <c r="W407" s="36"/>
      <c r="X407" s="36"/>
      <c r="Y407" s="36"/>
      <c r="Z407" s="36"/>
      <c r="AA407" s="36"/>
      <c r="AB407" s="36"/>
      <c r="AC407" s="36"/>
    </row>
    <row r="408" spans="1:29" ht="60" customHeight="1">
      <c r="A408" s="619"/>
      <c r="B408" s="463"/>
      <c r="C408" s="100"/>
      <c r="D408" s="100"/>
      <c r="E408" s="627"/>
      <c r="F408" s="627"/>
      <c r="G408" s="627"/>
      <c r="H408" s="100"/>
      <c r="I408" s="100"/>
      <c r="J408" s="35"/>
      <c r="K408" s="36"/>
      <c r="L408" s="36"/>
      <c r="M408" s="36"/>
      <c r="N408" s="36"/>
      <c r="O408" s="36"/>
      <c r="P408" s="36"/>
      <c r="Q408" s="36"/>
      <c r="R408" s="36"/>
      <c r="S408" s="36"/>
      <c r="T408" s="36"/>
      <c r="U408" s="36"/>
      <c r="V408" s="36"/>
      <c r="W408" s="36"/>
      <c r="X408" s="36"/>
      <c r="Y408" s="36"/>
      <c r="Z408" s="36"/>
      <c r="AA408" s="36"/>
      <c r="AB408" s="36"/>
      <c r="AC408" s="36"/>
    </row>
    <row r="409" spans="1:29" ht="24" customHeight="1">
      <c r="A409" s="619"/>
      <c r="B409" s="463"/>
      <c r="C409" s="100"/>
      <c r="D409" s="100"/>
      <c r="E409" s="627"/>
      <c r="F409" s="627"/>
      <c r="G409" s="627"/>
      <c r="H409" s="100"/>
      <c r="I409" s="100"/>
      <c r="J409" s="35"/>
      <c r="K409" s="36"/>
      <c r="L409" s="36"/>
      <c r="M409" s="36"/>
      <c r="N409" s="36"/>
      <c r="O409" s="36"/>
      <c r="P409" s="36"/>
      <c r="Q409" s="36"/>
      <c r="R409" s="36"/>
      <c r="S409" s="36"/>
      <c r="T409" s="36"/>
      <c r="U409" s="36"/>
      <c r="V409" s="36"/>
      <c r="W409" s="36"/>
      <c r="X409" s="36"/>
      <c r="Y409" s="36"/>
      <c r="Z409" s="36"/>
      <c r="AA409" s="36"/>
      <c r="AB409" s="36"/>
      <c r="AC409" s="36"/>
    </row>
    <row r="410" spans="1:29" ht="36" customHeight="1">
      <c r="A410" s="619"/>
      <c r="B410" s="463"/>
      <c r="C410" s="100"/>
      <c r="D410" s="100"/>
      <c r="E410" s="627"/>
      <c r="F410" s="627"/>
      <c r="G410" s="627"/>
      <c r="H410" s="100"/>
      <c r="I410" s="100"/>
      <c r="J410" s="35"/>
      <c r="K410" s="36"/>
      <c r="L410" s="36"/>
      <c r="M410" s="36"/>
      <c r="N410" s="36"/>
      <c r="O410" s="36"/>
      <c r="P410" s="36"/>
      <c r="Q410" s="36"/>
      <c r="R410" s="36"/>
      <c r="S410" s="36"/>
      <c r="T410" s="36"/>
      <c r="U410" s="36"/>
      <c r="V410" s="36"/>
      <c r="W410" s="36"/>
      <c r="X410" s="36"/>
      <c r="Y410" s="36"/>
      <c r="Z410" s="36"/>
      <c r="AA410" s="36"/>
      <c r="AB410" s="36"/>
      <c r="AC410" s="36"/>
    </row>
    <row r="411" spans="1:29" ht="48" customHeight="1">
      <c r="A411" s="619"/>
      <c r="B411" s="463"/>
      <c r="C411" s="100"/>
      <c r="D411" s="100"/>
      <c r="E411" s="627"/>
      <c r="F411" s="627"/>
      <c r="G411" s="627"/>
      <c r="H411" s="100"/>
      <c r="I411" s="100"/>
      <c r="J411" s="35"/>
      <c r="K411" s="36"/>
      <c r="L411" s="36"/>
      <c r="M411" s="36"/>
      <c r="N411" s="36"/>
      <c r="O411" s="36"/>
      <c r="P411" s="36"/>
      <c r="Q411" s="36"/>
      <c r="R411" s="36"/>
      <c r="S411" s="36"/>
      <c r="T411" s="36"/>
      <c r="U411" s="36"/>
      <c r="V411" s="36"/>
      <c r="W411" s="36"/>
      <c r="X411" s="36"/>
      <c r="Y411" s="36"/>
      <c r="Z411" s="36"/>
      <c r="AA411" s="36"/>
      <c r="AB411" s="36"/>
      <c r="AC411" s="36"/>
    </row>
    <row r="412" spans="1:29" ht="24" customHeight="1">
      <c r="A412" s="619"/>
      <c r="B412" s="463"/>
      <c r="C412" s="100"/>
      <c r="D412" s="100"/>
      <c r="E412" s="627"/>
      <c r="F412" s="627"/>
      <c r="G412" s="627"/>
      <c r="H412" s="100"/>
      <c r="I412" s="100"/>
      <c r="J412" s="35"/>
      <c r="K412" s="36"/>
      <c r="L412" s="36"/>
      <c r="M412" s="36"/>
      <c r="N412" s="36"/>
      <c r="O412" s="36"/>
      <c r="P412" s="36"/>
      <c r="Q412" s="36"/>
      <c r="R412" s="36"/>
      <c r="S412" s="36"/>
      <c r="T412" s="36"/>
      <c r="U412" s="36"/>
      <c r="V412" s="36"/>
      <c r="W412" s="36"/>
      <c r="X412" s="36"/>
      <c r="Y412" s="36"/>
      <c r="Z412" s="36"/>
      <c r="AA412" s="36"/>
      <c r="AB412" s="36"/>
      <c r="AC412" s="36"/>
    </row>
    <row r="413" spans="1:29" ht="36" customHeight="1">
      <c r="A413" s="619"/>
      <c r="B413" s="463"/>
      <c r="C413" s="100"/>
      <c r="D413" s="100"/>
      <c r="E413" s="627"/>
      <c r="F413" s="627"/>
      <c r="G413" s="627"/>
      <c r="H413" s="100"/>
      <c r="I413" s="100"/>
      <c r="J413" s="35"/>
      <c r="K413" s="36"/>
      <c r="L413" s="36"/>
      <c r="M413" s="36"/>
      <c r="N413" s="36"/>
      <c r="O413" s="36"/>
      <c r="P413" s="36"/>
      <c r="Q413" s="36"/>
      <c r="R413" s="36"/>
      <c r="S413" s="36"/>
      <c r="T413" s="36"/>
      <c r="U413" s="36"/>
      <c r="V413" s="36"/>
      <c r="W413" s="36"/>
      <c r="X413" s="36"/>
      <c r="Y413" s="36"/>
      <c r="Z413" s="36"/>
      <c r="AA413" s="36"/>
      <c r="AB413" s="36"/>
      <c r="AC413" s="36"/>
    </row>
    <row r="414" spans="1:29" ht="60" customHeight="1">
      <c r="A414" s="619"/>
      <c r="B414" s="463"/>
      <c r="C414" s="100"/>
      <c r="D414" s="100"/>
      <c r="E414" s="627"/>
      <c r="F414" s="627"/>
      <c r="G414" s="627"/>
      <c r="H414" s="100"/>
      <c r="I414" s="100"/>
      <c r="J414" s="35"/>
      <c r="K414" s="36"/>
      <c r="L414" s="36"/>
      <c r="M414" s="36"/>
      <c r="N414" s="36"/>
      <c r="O414" s="36"/>
      <c r="P414" s="36"/>
      <c r="Q414" s="36"/>
      <c r="R414" s="36"/>
      <c r="S414" s="36"/>
      <c r="T414" s="36"/>
      <c r="U414" s="36"/>
      <c r="V414" s="36"/>
      <c r="W414" s="36"/>
      <c r="X414" s="36"/>
      <c r="Y414" s="36"/>
      <c r="Z414" s="36"/>
      <c r="AA414" s="36"/>
      <c r="AB414" s="36"/>
      <c r="AC414" s="36"/>
    </row>
    <row r="415" spans="1:29" ht="24" customHeight="1">
      <c r="A415" s="100"/>
      <c r="B415" s="463"/>
      <c r="C415" s="100"/>
      <c r="D415" s="100"/>
      <c r="E415" s="627"/>
      <c r="F415" s="627"/>
      <c r="G415" s="627"/>
      <c r="H415" s="100"/>
      <c r="I415" s="100"/>
      <c r="J415" s="35"/>
      <c r="K415" s="36"/>
      <c r="L415" s="36"/>
      <c r="M415" s="36"/>
      <c r="N415" s="36"/>
      <c r="O415" s="36"/>
      <c r="P415" s="36"/>
      <c r="Q415" s="36"/>
      <c r="R415" s="36"/>
      <c r="S415" s="36"/>
      <c r="T415" s="36"/>
      <c r="U415" s="36"/>
      <c r="V415" s="36"/>
      <c r="W415" s="36"/>
      <c r="X415" s="36"/>
      <c r="Y415" s="36"/>
      <c r="Z415" s="36"/>
      <c r="AA415" s="36"/>
      <c r="AB415" s="36"/>
      <c r="AC415" s="36"/>
    </row>
    <row r="416" spans="1:29" ht="24" customHeight="1">
      <c r="A416" s="100"/>
      <c r="B416" s="463"/>
      <c r="C416" s="100"/>
      <c r="D416" s="100"/>
      <c r="E416" s="627"/>
      <c r="F416" s="627"/>
      <c r="G416" s="627"/>
      <c r="H416" s="100"/>
      <c r="I416" s="100"/>
      <c r="J416" s="35"/>
      <c r="K416" s="36"/>
      <c r="L416" s="36"/>
      <c r="M416" s="36"/>
      <c r="N416" s="36"/>
      <c r="O416" s="36"/>
      <c r="P416" s="36"/>
      <c r="Q416" s="36"/>
      <c r="R416" s="36"/>
      <c r="S416" s="36"/>
      <c r="T416" s="36"/>
      <c r="U416" s="36"/>
      <c r="V416" s="36"/>
      <c r="W416" s="36"/>
      <c r="X416" s="36"/>
      <c r="Y416" s="36"/>
      <c r="Z416" s="36"/>
      <c r="AA416" s="36"/>
      <c r="AB416" s="36"/>
      <c r="AC416" s="36"/>
    </row>
    <row r="417" spans="1:29" ht="24" customHeight="1">
      <c r="A417" s="100"/>
      <c r="B417" s="463"/>
      <c r="C417" s="100"/>
      <c r="D417" s="100"/>
      <c r="E417" s="627"/>
      <c r="F417" s="627"/>
      <c r="G417" s="627"/>
      <c r="H417" s="100"/>
      <c r="I417" s="100"/>
      <c r="J417" s="35"/>
      <c r="K417" s="36"/>
      <c r="L417" s="36"/>
      <c r="M417" s="36"/>
      <c r="N417" s="36"/>
      <c r="O417" s="36"/>
      <c r="P417" s="36"/>
      <c r="Q417" s="36"/>
      <c r="R417" s="36"/>
      <c r="S417" s="36"/>
      <c r="T417" s="36"/>
      <c r="U417" s="36"/>
      <c r="V417" s="36"/>
      <c r="W417" s="36"/>
      <c r="X417" s="36"/>
      <c r="Y417" s="36"/>
      <c r="Z417" s="36"/>
      <c r="AA417" s="36"/>
      <c r="AB417" s="36"/>
      <c r="AC417" s="36"/>
    </row>
    <row r="418" spans="1:29" ht="36" customHeight="1">
      <c r="A418" s="100"/>
      <c r="B418" s="463"/>
      <c r="C418" s="100"/>
      <c r="D418" s="100"/>
      <c r="E418" s="627"/>
      <c r="F418" s="627"/>
      <c r="G418" s="627"/>
      <c r="H418" s="100"/>
      <c r="I418" s="100"/>
      <c r="J418" s="35"/>
      <c r="K418" s="36"/>
      <c r="L418" s="36"/>
      <c r="M418" s="36"/>
      <c r="N418" s="36"/>
      <c r="O418" s="36"/>
      <c r="P418" s="36"/>
      <c r="Q418" s="36"/>
      <c r="R418" s="36"/>
      <c r="S418" s="36"/>
      <c r="T418" s="36"/>
      <c r="U418" s="36"/>
      <c r="V418" s="36"/>
      <c r="W418" s="36"/>
      <c r="X418" s="36"/>
      <c r="Y418" s="36"/>
      <c r="Z418" s="36"/>
      <c r="AA418" s="36"/>
      <c r="AB418" s="36"/>
      <c r="AC418" s="36"/>
    </row>
    <row r="419" spans="1:29" ht="36" customHeight="1">
      <c r="A419" s="100"/>
      <c r="B419" s="463"/>
      <c r="C419" s="100"/>
      <c r="D419" s="100"/>
      <c r="E419" s="627"/>
      <c r="F419" s="627"/>
      <c r="G419" s="627"/>
      <c r="H419" s="100"/>
      <c r="I419" s="100"/>
      <c r="J419" s="35"/>
      <c r="K419" s="36"/>
      <c r="L419" s="36"/>
      <c r="M419" s="36"/>
      <c r="N419" s="36"/>
      <c r="O419" s="36"/>
      <c r="P419" s="36"/>
      <c r="Q419" s="36"/>
      <c r="R419" s="36"/>
      <c r="S419" s="36"/>
      <c r="T419" s="36"/>
      <c r="U419" s="36"/>
      <c r="V419" s="36"/>
      <c r="W419" s="36"/>
      <c r="X419" s="36"/>
      <c r="Y419" s="36"/>
      <c r="Z419" s="36"/>
      <c r="AA419" s="36"/>
      <c r="AB419" s="36"/>
      <c r="AC419" s="36"/>
    </row>
    <row r="420" spans="1:29" ht="24" customHeight="1">
      <c r="A420" s="100"/>
      <c r="B420" s="463"/>
      <c r="C420" s="100"/>
      <c r="D420" s="100"/>
      <c r="E420" s="627"/>
      <c r="F420" s="627"/>
      <c r="G420" s="627"/>
      <c r="H420" s="100"/>
      <c r="I420" s="100"/>
      <c r="J420" s="35"/>
      <c r="K420" s="36"/>
      <c r="L420" s="36"/>
      <c r="M420" s="36"/>
      <c r="N420" s="36"/>
      <c r="O420" s="36"/>
      <c r="P420" s="36"/>
      <c r="Q420" s="36"/>
      <c r="R420" s="36"/>
      <c r="S420" s="36"/>
      <c r="T420" s="36"/>
      <c r="U420" s="36"/>
      <c r="V420" s="36"/>
      <c r="W420" s="36"/>
      <c r="X420" s="36"/>
      <c r="Y420" s="36"/>
      <c r="Z420" s="36"/>
      <c r="AA420" s="36"/>
      <c r="AB420" s="36"/>
      <c r="AC420" s="36"/>
    </row>
    <row r="421" spans="1:29" ht="36" customHeight="1">
      <c r="A421" s="100"/>
      <c r="B421" s="463"/>
      <c r="C421" s="100"/>
      <c r="D421" s="100"/>
      <c r="E421" s="627"/>
      <c r="F421" s="627"/>
      <c r="G421" s="627"/>
      <c r="H421" s="100"/>
      <c r="I421" s="100"/>
      <c r="J421" s="35"/>
      <c r="K421" s="36"/>
      <c r="L421" s="36"/>
      <c r="M421" s="36"/>
      <c r="N421" s="36"/>
      <c r="O421" s="36"/>
      <c r="P421" s="36"/>
      <c r="Q421" s="36"/>
      <c r="R421" s="36"/>
      <c r="S421" s="36"/>
      <c r="T421" s="36"/>
      <c r="U421" s="36"/>
      <c r="V421" s="36"/>
      <c r="W421" s="36"/>
      <c r="X421" s="36"/>
      <c r="Y421" s="36"/>
      <c r="Z421" s="36"/>
      <c r="AA421" s="36"/>
      <c r="AB421" s="36"/>
      <c r="AC421" s="36"/>
    </row>
    <row r="422" spans="1:29" ht="24" customHeight="1">
      <c r="A422" s="100"/>
      <c r="B422" s="463"/>
      <c r="C422" s="100"/>
      <c r="D422" s="100"/>
      <c r="E422" s="627"/>
      <c r="F422" s="627"/>
      <c r="G422" s="627"/>
      <c r="H422" s="100"/>
      <c r="I422" s="100"/>
      <c r="J422" s="35"/>
      <c r="K422" s="36"/>
      <c r="L422" s="36"/>
      <c r="M422" s="36"/>
      <c r="N422" s="36"/>
      <c r="O422" s="36"/>
      <c r="P422" s="36"/>
      <c r="Q422" s="36"/>
      <c r="R422" s="36"/>
      <c r="S422" s="36"/>
      <c r="T422" s="36"/>
      <c r="U422" s="36"/>
      <c r="V422" s="36"/>
      <c r="W422" s="36"/>
      <c r="X422" s="36"/>
      <c r="Y422" s="36"/>
      <c r="Z422" s="36"/>
      <c r="AA422" s="36"/>
      <c r="AB422" s="36"/>
      <c r="AC422" s="36"/>
    </row>
    <row r="423" spans="1:29" ht="48" customHeight="1">
      <c r="A423" s="100"/>
      <c r="B423" s="463"/>
      <c r="C423" s="100"/>
      <c r="D423" s="100"/>
      <c r="E423" s="627"/>
      <c r="F423" s="627"/>
      <c r="G423" s="627"/>
      <c r="H423" s="100"/>
      <c r="I423" s="100"/>
      <c r="J423" s="35"/>
      <c r="K423" s="36"/>
      <c r="L423" s="36"/>
      <c r="M423" s="36"/>
      <c r="N423" s="36"/>
      <c r="O423" s="36"/>
      <c r="P423" s="36"/>
      <c r="Q423" s="36"/>
      <c r="R423" s="36"/>
      <c r="S423" s="36"/>
      <c r="T423" s="36"/>
      <c r="U423" s="36"/>
      <c r="V423" s="36"/>
      <c r="W423" s="36"/>
      <c r="X423" s="36"/>
      <c r="Y423" s="36"/>
      <c r="Z423" s="36"/>
      <c r="AA423" s="36"/>
      <c r="AB423" s="36"/>
      <c r="AC423" s="36"/>
    </row>
    <row r="424" spans="1:29" ht="36" customHeight="1">
      <c r="A424" s="100"/>
      <c r="B424" s="463"/>
      <c r="C424" s="100"/>
      <c r="D424" s="100"/>
      <c r="E424" s="627"/>
      <c r="F424" s="627"/>
      <c r="G424" s="627"/>
      <c r="H424" s="100"/>
      <c r="I424" s="100"/>
      <c r="J424" s="35"/>
      <c r="K424" s="36"/>
      <c r="L424" s="36"/>
      <c r="M424" s="36"/>
      <c r="N424" s="36"/>
      <c r="O424" s="36"/>
      <c r="P424" s="36"/>
      <c r="Q424" s="36"/>
      <c r="R424" s="36"/>
      <c r="S424" s="36"/>
      <c r="T424" s="36"/>
      <c r="U424" s="36"/>
      <c r="V424" s="36"/>
      <c r="W424" s="36"/>
      <c r="X424" s="36"/>
      <c r="Y424" s="36"/>
      <c r="Z424" s="36"/>
      <c r="AA424" s="36"/>
      <c r="AB424" s="36"/>
      <c r="AC424" s="36"/>
    </row>
    <row r="425" spans="1:29" ht="24" customHeight="1">
      <c r="A425" s="100"/>
      <c r="B425" s="463"/>
      <c r="C425" s="100"/>
      <c r="D425" s="100"/>
      <c r="E425" s="627"/>
      <c r="F425" s="627"/>
      <c r="G425" s="627"/>
      <c r="H425" s="100"/>
      <c r="I425" s="100"/>
      <c r="J425" s="35"/>
      <c r="K425" s="36"/>
      <c r="L425" s="36"/>
      <c r="M425" s="36"/>
      <c r="N425" s="36"/>
      <c r="O425" s="36"/>
      <c r="P425" s="36"/>
      <c r="Q425" s="36"/>
      <c r="R425" s="36"/>
      <c r="S425" s="36"/>
      <c r="T425" s="36"/>
      <c r="U425" s="36"/>
      <c r="V425" s="36"/>
      <c r="W425" s="36"/>
      <c r="X425" s="36"/>
      <c r="Y425" s="36"/>
      <c r="Z425" s="36"/>
      <c r="AA425" s="36"/>
      <c r="AB425" s="36"/>
      <c r="AC425" s="36"/>
    </row>
    <row r="426" spans="1:29" ht="36" customHeight="1">
      <c r="A426" s="100"/>
      <c r="B426" s="463"/>
      <c r="C426" s="100"/>
      <c r="D426" s="100"/>
      <c r="E426" s="627"/>
      <c r="F426" s="627"/>
      <c r="G426" s="627"/>
      <c r="H426" s="100"/>
      <c r="I426" s="100"/>
      <c r="J426" s="35"/>
      <c r="K426" s="36"/>
      <c r="L426" s="36"/>
      <c r="M426" s="36"/>
      <c r="N426" s="36"/>
      <c r="O426" s="36"/>
      <c r="P426" s="36"/>
      <c r="Q426" s="36"/>
      <c r="R426" s="36"/>
      <c r="S426" s="36"/>
      <c r="T426" s="36"/>
      <c r="U426" s="36"/>
      <c r="V426" s="36"/>
      <c r="W426" s="36"/>
      <c r="X426" s="36"/>
      <c r="Y426" s="36"/>
      <c r="Z426" s="36"/>
      <c r="AA426" s="36"/>
      <c r="AB426" s="36"/>
      <c r="AC426" s="36"/>
    </row>
    <row r="427" spans="1:29" ht="24" customHeight="1">
      <c r="A427" s="100"/>
      <c r="B427" s="463"/>
      <c r="C427" s="100"/>
      <c r="D427" s="100"/>
      <c r="E427" s="627"/>
      <c r="F427" s="627"/>
      <c r="G427" s="627"/>
      <c r="H427" s="100"/>
      <c r="I427" s="100"/>
      <c r="J427" s="35"/>
      <c r="K427" s="36"/>
      <c r="L427" s="36"/>
      <c r="M427" s="36"/>
      <c r="N427" s="36"/>
      <c r="O427" s="36"/>
      <c r="P427" s="36"/>
      <c r="Q427" s="36"/>
      <c r="R427" s="36"/>
      <c r="S427" s="36"/>
      <c r="T427" s="36"/>
      <c r="U427" s="36"/>
      <c r="V427" s="36"/>
      <c r="W427" s="36"/>
      <c r="X427" s="36"/>
      <c r="Y427" s="36"/>
      <c r="Z427" s="36"/>
      <c r="AA427" s="36"/>
      <c r="AB427" s="36"/>
      <c r="AC427" s="36"/>
    </row>
    <row r="428" spans="1:29" ht="36" customHeight="1">
      <c r="A428" s="100"/>
      <c r="B428" s="463"/>
      <c r="C428" s="100"/>
      <c r="D428" s="100"/>
      <c r="E428" s="627"/>
      <c r="F428" s="627"/>
      <c r="G428" s="627"/>
      <c r="H428" s="100"/>
      <c r="I428" s="100"/>
      <c r="J428" s="35"/>
      <c r="K428" s="36"/>
      <c r="L428" s="36"/>
      <c r="M428" s="36"/>
      <c r="N428" s="36"/>
      <c r="O428" s="36"/>
      <c r="P428" s="36"/>
      <c r="Q428" s="36"/>
      <c r="R428" s="36"/>
      <c r="S428" s="36"/>
      <c r="T428" s="36"/>
      <c r="U428" s="36"/>
      <c r="V428" s="36"/>
      <c r="W428" s="36"/>
      <c r="X428" s="36"/>
      <c r="Y428" s="36"/>
      <c r="Z428" s="36"/>
      <c r="AA428" s="36"/>
      <c r="AB428" s="36"/>
      <c r="AC428" s="36"/>
    </row>
    <row r="429" spans="1:29" ht="48" customHeight="1">
      <c r="A429" s="100"/>
      <c r="B429" s="463"/>
      <c r="C429" s="100"/>
      <c r="D429" s="100"/>
      <c r="E429" s="627"/>
      <c r="F429" s="627"/>
      <c r="G429" s="627"/>
      <c r="H429" s="100"/>
      <c r="I429" s="100"/>
      <c r="J429" s="35"/>
      <c r="K429" s="36"/>
      <c r="L429" s="36"/>
      <c r="M429" s="36"/>
      <c r="N429" s="36"/>
      <c r="O429" s="36"/>
      <c r="P429" s="36"/>
      <c r="Q429" s="36"/>
      <c r="R429" s="36"/>
      <c r="S429" s="36"/>
      <c r="T429" s="36"/>
      <c r="U429" s="36"/>
      <c r="V429" s="36"/>
      <c r="W429" s="36"/>
      <c r="X429" s="36"/>
      <c r="Y429" s="36"/>
      <c r="Z429" s="36"/>
      <c r="AA429" s="36"/>
      <c r="AB429" s="36"/>
      <c r="AC429" s="36"/>
    </row>
    <row r="430" spans="1:29" ht="24" customHeight="1">
      <c r="A430" s="100"/>
      <c r="B430" s="463"/>
      <c r="C430" s="100"/>
      <c r="D430" s="100"/>
      <c r="E430" s="627"/>
      <c r="F430" s="627"/>
      <c r="G430" s="627"/>
      <c r="H430" s="100"/>
      <c r="I430" s="100"/>
      <c r="J430" s="35"/>
      <c r="K430" s="36"/>
      <c r="L430" s="36"/>
      <c r="M430" s="36"/>
      <c r="N430" s="36"/>
      <c r="O430" s="36"/>
      <c r="P430" s="36"/>
      <c r="Q430" s="36"/>
      <c r="R430" s="36"/>
      <c r="S430" s="36"/>
      <c r="T430" s="36"/>
      <c r="U430" s="36"/>
      <c r="V430" s="36"/>
      <c r="W430" s="36"/>
      <c r="X430" s="36"/>
      <c r="Y430" s="36"/>
      <c r="Z430" s="36"/>
      <c r="AA430" s="36"/>
      <c r="AB430" s="36"/>
      <c r="AC430" s="36"/>
    </row>
    <row r="431" spans="1:29" ht="24" customHeight="1">
      <c r="A431" s="100"/>
      <c r="B431" s="463"/>
      <c r="C431" s="100"/>
      <c r="D431" s="100"/>
      <c r="E431" s="627"/>
      <c r="F431" s="627"/>
      <c r="G431" s="627"/>
      <c r="H431" s="100"/>
      <c r="I431" s="100"/>
      <c r="J431" s="35"/>
      <c r="K431" s="36"/>
      <c r="L431" s="36"/>
      <c r="M431" s="36"/>
      <c r="N431" s="36"/>
      <c r="O431" s="36"/>
      <c r="P431" s="36"/>
      <c r="Q431" s="36"/>
      <c r="R431" s="36"/>
      <c r="S431" s="36"/>
      <c r="T431" s="36"/>
      <c r="U431" s="36"/>
      <c r="V431" s="36"/>
      <c r="W431" s="36"/>
      <c r="X431" s="36"/>
      <c r="Y431" s="36"/>
      <c r="Z431" s="36"/>
      <c r="AA431" s="36"/>
      <c r="AB431" s="36"/>
      <c r="AC431" s="36"/>
    </row>
    <row r="432" spans="1:29" ht="36" customHeight="1">
      <c r="A432" s="100"/>
      <c r="B432" s="463"/>
      <c r="C432" s="100"/>
      <c r="D432" s="100"/>
      <c r="E432" s="627"/>
      <c r="F432" s="627"/>
      <c r="G432" s="627"/>
      <c r="H432" s="100"/>
      <c r="I432" s="100"/>
      <c r="J432" s="35"/>
      <c r="K432" s="36"/>
      <c r="L432" s="36"/>
      <c r="M432" s="36"/>
      <c r="N432" s="36"/>
      <c r="O432" s="36"/>
      <c r="P432" s="36"/>
      <c r="Q432" s="36"/>
      <c r="R432" s="36"/>
      <c r="S432" s="36"/>
      <c r="T432" s="36"/>
      <c r="U432" s="36"/>
      <c r="V432" s="36"/>
      <c r="W432" s="36"/>
      <c r="X432" s="36"/>
      <c r="Y432" s="36"/>
      <c r="Z432" s="36"/>
      <c r="AA432" s="36"/>
      <c r="AB432" s="36"/>
      <c r="AC432" s="36"/>
    </row>
    <row r="433" spans="1:29" ht="108" customHeight="1">
      <c r="A433" s="100"/>
      <c r="B433" s="463"/>
      <c r="C433" s="100"/>
      <c r="D433" s="100"/>
      <c r="E433" s="627"/>
      <c r="F433" s="627"/>
      <c r="G433" s="627"/>
      <c r="H433" s="100"/>
      <c r="I433" s="100"/>
      <c r="J433" s="35"/>
      <c r="K433" s="36"/>
      <c r="L433" s="36"/>
      <c r="M433" s="36"/>
      <c r="N433" s="36"/>
      <c r="O433" s="36"/>
      <c r="P433" s="36"/>
      <c r="Q433" s="36"/>
      <c r="R433" s="36"/>
      <c r="S433" s="36"/>
      <c r="T433" s="36"/>
      <c r="U433" s="36"/>
      <c r="V433" s="36"/>
      <c r="W433" s="36"/>
      <c r="X433" s="36"/>
      <c r="Y433" s="36"/>
      <c r="Z433" s="36"/>
      <c r="AA433" s="36"/>
      <c r="AB433" s="36"/>
      <c r="AC433" s="36"/>
    </row>
    <row r="434" spans="1:29" ht="24" customHeight="1">
      <c r="A434" s="100"/>
      <c r="B434" s="463"/>
      <c r="C434" s="100"/>
      <c r="D434" s="100"/>
      <c r="E434" s="627"/>
      <c r="F434" s="627"/>
      <c r="G434" s="627"/>
      <c r="H434" s="100"/>
      <c r="I434" s="100"/>
      <c r="J434" s="35"/>
      <c r="K434" s="36"/>
      <c r="L434" s="36"/>
      <c r="M434" s="36"/>
      <c r="N434" s="36"/>
      <c r="O434" s="36"/>
      <c r="P434" s="36"/>
      <c r="Q434" s="36"/>
      <c r="R434" s="36"/>
      <c r="S434" s="36"/>
      <c r="T434" s="36"/>
      <c r="U434" s="36"/>
      <c r="V434" s="36"/>
      <c r="W434" s="36"/>
      <c r="X434" s="36"/>
      <c r="Y434" s="36"/>
      <c r="Z434" s="36"/>
      <c r="AA434" s="36"/>
      <c r="AB434" s="36"/>
      <c r="AC434" s="36"/>
    </row>
    <row r="435" spans="1:29" ht="24" customHeight="1">
      <c r="A435" s="100"/>
      <c r="B435" s="463"/>
      <c r="C435" s="100"/>
      <c r="D435" s="100"/>
      <c r="E435" s="627"/>
      <c r="F435" s="627"/>
      <c r="G435" s="627"/>
      <c r="H435" s="100"/>
      <c r="I435" s="100"/>
      <c r="J435" s="35"/>
      <c r="K435" s="36"/>
      <c r="L435" s="36"/>
      <c r="M435" s="36"/>
      <c r="N435" s="36"/>
      <c r="O435" s="36"/>
      <c r="P435" s="36"/>
      <c r="Q435" s="36"/>
      <c r="R435" s="36"/>
      <c r="S435" s="36"/>
      <c r="T435" s="36"/>
      <c r="U435" s="36"/>
      <c r="V435" s="36"/>
      <c r="W435" s="36"/>
      <c r="X435" s="36"/>
      <c r="Y435" s="36"/>
      <c r="Z435" s="36"/>
      <c r="AA435" s="36"/>
      <c r="AB435" s="36"/>
      <c r="AC435" s="36"/>
    </row>
    <row r="436" spans="1:29" ht="12" customHeight="1">
      <c r="A436" s="100"/>
      <c r="B436" s="463"/>
      <c r="C436" s="100"/>
      <c r="D436" s="100"/>
      <c r="E436" s="627"/>
      <c r="F436" s="627"/>
      <c r="G436" s="627"/>
      <c r="H436" s="100"/>
      <c r="I436" s="100"/>
      <c r="J436" s="35"/>
      <c r="K436" s="36"/>
      <c r="L436" s="36"/>
      <c r="M436" s="36"/>
      <c r="N436" s="36"/>
      <c r="O436" s="36"/>
      <c r="P436" s="36"/>
      <c r="Q436" s="36"/>
      <c r="R436" s="36"/>
      <c r="S436" s="36"/>
      <c r="T436" s="36"/>
      <c r="U436" s="36"/>
      <c r="V436" s="36"/>
      <c r="W436" s="36"/>
      <c r="X436" s="36"/>
      <c r="Y436" s="36"/>
      <c r="Z436" s="36"/>
      <c r="AA436" s="36"/>
      <c r="AB436" s="36"/>
      <c r="AC436" s="36"/>
    </row>
    <row r="437" spans="1:29" ht="24" customHeight="1">
      <c r="A437" s="100"/>
      <c r="B437" s="463"/>
      <c r="C437" s="100"/>
      <c r="D437" s="100"/>
      <c r="E437" s="627"/>
      <c r="F437" s="627"/>
      <c r="G437" s="627"/>
      <c r="H437" s="100"/>
      <c r="I437" s="100"/>
      <c r="J437" s="35"/>
      <c r="K437" s="36"/>
      <c r="L437" s="36"/>
      <c r="M437" s="36"/>
      <c r="N437" s="36"/>
      <c r="O437" s="36"/>
      <c r="P437" s="36"/>
      <c r="Q437" s="36"/>
      <c r="R437" s="36"/>
      <c r="S437" s="36"/>
      <c r="T437" s="36"/>
      <c r="U437" s="36"/>
      <c r="V437" s="36"/>
      <c r="W437" s="36"/>
      <c r="X437" s="36"/>
      <c r="Y437" s="36"/>
      <c r="Z437" s="36"/>
      <c r="AA437" s="36"/>
      <c r="AB437" s="36"/>
      <c r="AC437" s="36"/>
    </row>
    <row r="438" spans="1:29" ht="24" customHeight="1">
      <c r="A438" s="100"/>
      <c r="B438" s="463"/>
      <c r="C438" s="100"/>
      <c r="D438" s="100"/>
      <c r="E438" s="627"/>
      <c r="F438" s="627"/>
      <c r="G438" s="627"/>
      <c r="H438" s="100"/>
      <c r="I438" s="100"/>
      <c r="J438" s="35"/>
      <c r="K438" s="36"/>
      <c r="L438" s="36"/>
      <c r="M438" s="36"/>
      <c r="N438" s="36"/>
      <c r="O438" s="36"/>
      <c r="P438" s="36"/>
      <c r="Q438" s="36"/>
      <c r="R438" s="36"/>
      <c r="S438" s="36"/>
      <c r="T438" s="36"/>
      <c r="U438" s="36"/>
      <c r="V438" s="36"/>
      <c r="W438" s="36"/>
      <c r="X438" s="36"/>
      <c r="Y438" s="36"/>
      <c r="Z438" s="36"/>
      <c r="AA438" s="36"/>
      <c r="AB438" s="36"/>
      <c r="AC438" s="36"/>
    </row>
    <row r="439" spans="1:29" ht="24" customHeight="1">
      <c r="A439" s="100"/>
      <c r="B439" s="463"/>
      <c r="C439" s="100"/>
      <c r="D439" s="100"/>
      <c r="E439" s="627"/>
      <c r="F439" s="627"/>
      <c r="G439" s="627"/>
      <c r="H439" s="100"/>
      <c r="I439" s="100"/>
      <c r="J439" s="35"/>
      <c r="K439" s="36"/>
      <c r="L439" s="36"/>
      <c r="M439" s="36"/>
      <c r="N439" s="36"/>
      <c r="O439" s="36"/>
      <c r="P439" s="36"/>
      <c r="Q439" s="36"/>
      <c r="R439" s="36"/>
      <c r="S439" s="36"/>
      <c r="T439" s="36"/>
      <c r="U439" s="36"/>
      <c r="V439" s="36"/>
      <c r="W439" s="36"/>
      <c r="X439" s="36"/>
      <c r="Y439" s="36"/>
      <c r="Z439" s="36"/>
      <c r="AA439" s="36"/>
      <c r="AB439" s="36"/>
      <c r="AC439" s="36"/>
    </row>
    <row r="440" spans="1:29" ht="36" customHeight="1">
      <c r="A440" s="100"/>
      <c r="B440" s="463"/>
      <c r="C440" s="100"/>
      <c r="D440" s="100"/>
      <c r="E440" s="627"/>
      <c r="F440" s="627"/>
      <c r="G440" s="627"/>
      <c r="H440" s="100"/>
      <c r="I440" s="100"/>
      <c r="J440" s="35"/>
      <c r="K440" s="36"/>
      <c r="L440" s="36"/>
      <c r="M440" s="36"/>
      <c r="N440" s="36"/>
      <c r="O440" s="36"/>
      <c r="P440" s="36"/>
      <c r="Q440" s="36"/>
      <c r="R440" s="36"/>
      <c r="S440" s="36"/>
      <c r="T440" s="36"/>
      <c r="U440" s="36"/>
      <c r="V440" s="36"/>
      <c r="W440" s="36"/>
      <c r="X440" s="36"/>
      <c r="Y440" s="36"/>
      <c r="Z440" s="36"/>
      <c r="AA440" s="36"/>
      <c r="AB440" s="36"/>
      <c r="AC440" s="36"/>
    </row>
    <row r="441" spans="1:29" ht="24" customHeight="1">
      <c r="A441" s="100"/>
      <c r="B441" s="463"/>
      <c r="C441" s="100"/>
      <c r="D441" s="100"/>
      <c r="E441" s="627"/>
      <c r="F441" s="627"/>
      <c r="G441" s="627"/>
      <c r="H441" s="100"/>
      <c r="I441" s="100"/>
      <c r="J441" s="35"/>
      <c r="K441" s="36"/>
      <c r="L441" s="36"/>
      <c r="M441" s="36"/>
      <c r="N441" s="36"/>
      <c r="O441" s="36"/>
      <c r="P441" s="36"/>
      <c r="Q441" s="36"/>
      <c r="R441" s="36"/>
      <c r="S441" s="36"/>
      <c r="T441" s="36"/>
      <c r="U441" s="36"/>
      <c r="V441" s="36"/>
      <c r="W441" s="36"/>
      <c r="X441" s="36"/>
      <c r="Y441" s="36"/>
      <c r="Z441" s="36"/>
      <c r="AA441" s="36"/>
      <c r="AB441" s="36"/>
      <c r="AC441" s="36"/>
    </row>
    <row r="442" spans="1:29" ht="24" customHeight="1">
      <c r="A442" s="100"/>
      <c r="B442" s="463"/>
      <c r="C442" s="100"/>
      <c r="D442" s="100"/>
      <c r="E442" s="627"/>
      <c r="F442" s="627"/>
      <c r="G442" s="627"/>
      <c r="H442" s="100"/>
      <c r="I442" s="100"/>
      <c r="J442" s="35"/>
      <c r="K442" s="36"/>
      <c r="L442" s="36"/>
      <c r="M442" s="36"/>
      <c r="N442" s="36"/>
      <c r="O442" s="36"/>
      <c r="P442" s="36"/>
      <c r="Q442" s="36"/>
      <c r="R442" s="36"/>
      <c r="S442" s="36"/>
      <c r="T442" s="36"/>
      <c r="U442" s="36"/>
      <c r="V442" s="36"/>
      <c r="W442" s="36"/>
      <c r="X442" s="36"/>
      <c r="Y442" s="36"/>
      <c r="Z442" s="36"/>
      <c r="AA442" s="36"/>
      <c r="AB442" s="36"/>
      <c r="AC442" s="36"/>
    </row>
    <row r="443" spans="1:29" ht="36" customHeight="1">
      <c r="A443" s="100"/>
      <c r="B443" s="463"/>
      <c r="C443" s="100"/>
      <c r="D443" s="100"/>
      <c r="E443" s="627"/>
      <c r="F443" s="627"/>
      <c r="G443" s="627"/>
      <c r="H443" s="100"/>
      <c r="I443" s="100"/>
      <c r="J443" s="35"/>
      <c r="K443" s="36"/>
      <c r="L443" s="36"/>
      <c r="M443" s="36"/>
      <c r="N443" s="36"/>
      <c r="O443" s="36"/>
      <c r="P443" s="36"/>
      <c r="Q443" s="36"/>
      <c r="R443" s="36"/>
      <c r="S443" s="36"/>
      <c r="T443" s="36"/>
      <c r="U443" s="36"/>
      <c r="V443" s="36"/>
      <c r="W443" s="36"/>
      <c r="X443" s="36"/>
      <c r="Y443" s="36"/>
      <c r="Z443" s="36"/>
      <c r="AA443" s="36"/>
      <c r="AB443" s="36"/>
      <c r="AC443" s="36"/>
    </row>
    <row r="444" spans="1:29" ht="12" customHeight="1">
      <c r="A444" s="100"/>
      <c r="B444" s="463"/>
      <c r="C444" s="100"/>
      <c r="D444" s="100"/>
      <c r="E444" s="627"/>
      <c r="F444" s="627"/>
      <c r="G444" s="627"/>
      <c r="H444" s="100"/>
      <c r="I444" s="100"/>
      <c r="J444" s="35"/>
      <c r="K444" s="36"/>
      <c r="L444" s="36"/>
      <c r="M444" s="36"/>
      <c r="N444" s="36"/>
      <c r="O444" s="36"/>
      <c r="P444" s="36"/>
      <c r="Q444" s="36"/>
      <c r="R444" s="36"/>
      <c r="S444" s="36"/>
      <c r="T444" s="36"/>
      <c r="U444" s="36"/>
      <c r="V444" s="36"/>
      <c r="W444" s="36"/>
      <c r="X444" s="36"/>
      <c r="Y444" s="36"/>
      <c r="Z444" s="36"/>
      <c r="AA444" s="36"/>
      <c r="AB444" s="36"/>
      <c r="AC444" s="36"/>
    </row>
    <row r="445" spans="1:29" ht="12" customHeight="1">
      <c r="A445" s="100"/>
      <c r="B445" s="463"/>
      <c r="C445" s="100"/>
      <c r="D445" s="100"/>
      <c r="E445" s="627"/>
      <c r="F445" s="627"/>
      <c r="G445" s="627"/>
      <c r="H445" s="100"/>
      <c r="I445" s="100"/>
      <c r="J445" s="35"/>
      <c r="K445" s="36"/>
      <c r="L445" s="36"/>
      <c r="M445" s="36"/>
      <c r="N445" s="36"/>
      <c r="O445" s="36"/>
      <c r="P445" s="36"/>
      <c r="Q445" s="36"/>
      <c r="R445" s="36"/>
      <c r="S445" s="36"/>
      <c r="T445" s="36"/>
      <c r="U445" s="36"/>
      <c r="V445" s="36"/>
      <c r="W445" s="36"/>
      <c r="X445" s="36"/>
      <c r="Y445" s="36"/>
      <c r="Z445" s="36"/>
      <c r="AA445" s="36"/>
      <c r="AB445" s="36"/>
      <c r="AC445" s="36"/>
    </row>
    <row r="446" spans="1:29" ht="24" customHeight="1">
      <c r="A446" s="100"/>
      <c r="B446" s="463"/>
      <c r="C446" s="100"/>
      <c r="D446" s="100"/>
      <c r="E446" s="627"/>
      <c r="F446" s="627"/>
      <c r="G446" s="627"/>
      <c r="H446" s="100"/>
      <c r="I446" s="100"/>
      <c r="J446" s="35"/>
      <c r="K446" s="36"/>
      <c r="L446" s="36"/>
      <c r="M446" s="36"/>
      <c r="N446" s="36"/>
      <c r="O446" s="36"/>
      <c r="P446" s="36"/>
      <c r="Q446" s="36"/>
      <c r="R446" s="36"/>
      <c r="S446" s="36"/>
      <c r="T446" s="36"/>
      <c r="U446" s="36"/>
      <c r="V446" s="36"/>
      <c r="W446" s="36"/>
      <c r="X446" s="36"/>
      <c r="Y446" s="36"/>
      <c r="Z446" s="36"/>
      <c r="AA446" s="36"/>
      <c r="AB446" s="36"/>
      <c r="AC446" s="36"/>
    </row>
    <row r="447" spans="1:29" ht="24" customHeight="1">
      <c r="A447" s="100"/>
      <c r="B447" s="463"/>
      <c r="C447" s="100"/>
      <c r="D447" s="100"/>
      <c r="E447" s="627"/>
      <c r="F447" s="627"/>
      <c r="G447" s="627"/>
      <c r="H447" s="100"/>
      <c r="I447" s="100"/>
      <c r="J447" s="35"/>
      <c r="K447" s="36"/>
      <c r="L447" s="36"/>
      <c r="M447" s="36"/>
      <c r="N447" s="36"/>
      <c r="O447" s="36"/>
      <c r="P447" s="36"/>
      <c r="Q447" s="36"/>
      <c r="R447" s="36"/>
      <c r="S447" s="36"/>
      <c r="T447" s="36"/>
      <c r="U447" s="36"/>
      <c r="V447" s="36"/>
      <c r="W447" s="36"/>
      <c r="X447" s="36"/>
      <c r="Y447" s="36"/>
      <c r="Z447" s="36"/>
      <c r="AA447" s="36"/>
      <c r="AB447" s="36"/>
      <c r="AC447" s="36"/>
    </row>
    <row r="448" spans="1:29" ht="24" customHeight="1">
      <c r="A448" s="100"/>
      <c r="B448" s="463"/>
      <c r="C448" s="100"/>
      <c r="D448" s="100"/>
      <c r="E448" s="627"/>
      <c r="F448" s="627"/>
      <c r="G448" s="627"/>
      <c r="H448" s="100"/>
      <c r="I448" s="100"/>
      <c r="J448" s="35"/>
      <c r="K448" s="36"/>
      <c r="L448" s="36"/>
      <c r="M448" s="36"/>
      <c r="N448" s="36"/>
      <c r="O448" s="36"/>
      <c r="P448" s="36"/>
      <c r="Q448" s="36"/>
      <c r="R448" s="36"/>
      <c r="S448" s="36"/>
      <c r="T448" s="36"/>
      <c r="U448" s="36"/>
      <c r="V448" s="36"/>
      <c r="W448" s="36"/>
      <c r="X448" s="36"/>
      <c r="Y448" s="36"/>
      <c r="Z448" s="36"/>
      <c r="AA448" s="36"/>
      <c r="AB448" s="36"/>
      <c r="AC448" s="36"/>
    </row>
    <row r="449" spans="1:29" ht="24" customHeight="1">
      <c r="A449" s="100"/>
      <c r="B449" s="463"/>
      <c r="C449" s="100"/>
      <c r="D449" s="100"/>
      <c r="E449" s="627"/>
      <c r="F449" s="627"/>
      <c r="G449" s="627"/>
      <c r="H449" s="100"/>
      <c r="I449" s="100"/>
      <c r="J449" s="35"/>
      <c r="K449" s="36"/>
      <c r="L449" s="36"/>
      <c r="M449" s="36"/>
      <c r="N449" s="36"/>
      <c r="O449" s="36"/>
      <c r="P449" s="36"/>
      <c r="Q449" s="36"/>
      <c r="R449" s="36"/>
      <c r="S449" s="36"/>
      <c r="T449" s="36"/>
      <c r="U449" s="36"/>
      <c r="V449" s="36"/>
      <c r="W449" s="36"/>
      <c r="X449" s="36"/>
      <c r="Y449" s="36"/>
      <c r="Z449" s="36"/>
      <c r="AA449" s="36"/>
      <c r="AB449" s="36"/>
      <c r="AC449" s="36"/>
    </row>
    <row r="450" spans="1:29" ht="12" customHeight="1">
      <c r="A450" s="100"/>
      <c r="B450" s="463"/>
      <c r="C450" s="100"/>
      <c r="D450" s="100"/>
      <c r="E450" s="627"/>
      <c r="F450" s="627"/>
      <c r="G450" s="627"/>
      <c r="H450" s="100"/>
      <c r="I450" s="100"/>
      <c r="J450" s="35"/>
      <c r="K450" s="36"/>
      <c r="L450" s="36"/>
      <c r="M450" s="36"/>
      <c r="N450" s="36"/>
      <c r="O450" s="36"/>
      <c r="P450" s="36"/>
      <c r="Q450" s="36"/>
      <c r="R450" s="36"/>
      <c r="S450" s="36"/>
      <c r="T450" s="36"/>
      <c r="U450" s="36"/>
      <c r="V450" s="36"/>
      <c r="W450" s="36"/>
      <c r="X450" s="36"/>
      <c r="Y450" s="36"/>
      <c r="Z450" s="36"/>
      <c r="AA450" s="36"/>
      <c r="AB450" s="36"/>
      <c r="AC450" s="36"/>
    </row>
    <row r="451" spans="1:29" ht="36" customHeight="1">
      <c r="A451" s="100"/>
      <c r="B451" s="463"/>
      <c r="C451" s="100"/>
      <c r="D451" s="100"/>
      <c r="E451" s="627"/>
      <c r="F451" s="627"/>
      <c r="G451" s="627"/>
      <c r="H451" s="100"/>
      <c r="I451" s="100"/>
      <c r="J451" s="35"/>
      <c r="K451" s="36"/>
      <c r="L451" s="36"/>
      <c r="M451" s="36"/>
      <c r="N451" s="36"/>
      <c r="O451" s="36"/>
      <c r="P451" s="36"/>
      <c r="Q451" s="36"/>
      <c r="R451" s="36"/>
      <c r="S451" s="36"/>
      <c r="T451" s="36"/>
      <c r="U451" s="36"/>
      <c r="V451" s="36"/>
      <c r="W451" s="36"/>
      <c r="X451" s="36"/>
      <c r="Y451" s="36"/>
      <c r="Z451" s="36"/>
      <c r="AA451" s="36"/>
      <c r="AB451" s="36"/>
      <c r="AC451" s="36"/>
    </row>
    <row r="452" spans="1:29" ht="60" customHeight="1">
      <c r="A452" s="100"/>
      <c r="B452" s="463"/>
      <c r="C452" s="100"/>
      <c r="D452" s="100"/>
      <c r="E452" s="627"/>
      <c r="F452" s="627"/>
      <c r="G452" s="627"/>
      <c r="H452" s="100"/>
      <c r="I452" s="100"/>
      <c r="J452" s="35"/>
      <c r="K452" s="36"/>
      <c r="L452" s="36"/>
      <c r="M452" s="36"/>
      <c r="N452" s="36"/>
      <c r="O452" s="36"/>
      <c r="P452" s="36"/>
      <c r="Q452" s="36"/>
      <c r="R452" s="36"/>
      <c r="S452" s="36"/>
      <c r="T452" s="36"/>
      <c r="U452" s="36"/>
      <c r="V452" s="36"/>
      <c r="W452" s="36"/>
      <c r="X452" s="36"/>
      <c r="Y452" s="36"/>
      <c r="Z452" s="36"/>
      <c r="AA452" s="36"/>
      <c r="AB452" s="36"/>
      <c r="AC452" s="36"/>
    </row>
    <row r="453" spans="1:29" ht="12" customHeight="1">
      <c r="A453" s="100"/>
      <c r="B453" s="630"/>
      <c r="C453" s="100"/>
      <c r="D453" s="100"/>
      <c r="E453" s="627"/>
      <c r="F453" s="627"/>
      <c r="G453" s="627"/>
      <c r="H453" s="100"/>
      <c r="I453" s="100"/>
      <c r="J453" s="35"/>
      <c r="K453" s="36"/>
      <c r="L453" s="36"/>
      <c r="M453" s="36"/>
      <c r="N453" s="36"/>
      <c r="O453" s="36"/>
      <c r="P453" s="36"/>
      <c r="Q453" s="36"/>
      <c r="R453" s="36"/>
      <c r="S453" s="36"/>
      <c r="T453" s="36"/>
      <c r="U453" s="36"/>
      <c r="V453" s="36"/>
      <c r="W453" s="36"/>
      <c r="X453" s="36"/>
      <c r="Y453" s="36"/>
      <c r="Z453" s="36"/>
      <c r="AA453" s="36"/>
      <c r="AB453" s="36"/>
      <c r="AC453" s="36"/>
    </row>
    <row r="454" spans="1:29" ht="12" customHeight="1">
      <c r="A454" s="100"/>
      <c r="B454" s="631"/>
      <c r="C454" s="100"/>
      <c r="D454" s="100"/>
      <c r="E454" s="627"/>
      <c r="F454" s="627"/>
      <c r="G454" s="627"/>
      <c r="H454" s="100"/>
      <c r="I454" s="100"/>
      <c r="J454" s="35"/>
      <c r="K454" s="36"/>
      <c r="L454" s="36"/>
      <c r="M454" s="36"/>
      <c r="N454" s="36"/>
      <c r="O454" s="36"/>
      <c r="P454" s="36"/>
      <c r="Q454" s="36"/>
      <c r="R454" s="36"/>
      <c r="S454" s="36"/>
      <c r="T454" s="36"/>
      <c r="U454" s="36"/>
      <c r="V454" s="36"/>
      <c r="W454" s="36"/>
      <c r="X454" s="36"/>
      <c r="Y454" s="36"/>
      <c r="Z454" s="36"/>
      <c r="AA454" s="36"/>
      <c r="AB454" s="36"/>
      <c r="AC454" s="36"/>
    </row>
    <row r="455" spans="1:29" ht="12" customHeight="1">
      <c r="A455" s="100"/>
      <c r="B455" s="631"/>
      <c r="C455" s="632"/>
      <c r="D455" s="100"/>
      <c r="E455" s="627"/>
      <c r="F455" s="627"/>
      <c r="G455" s="627"/>
      <c r="H455" s="100"/>
      <c r="I455" s="100"/>
      <c r="J455" s="35"/>
      <c r="K455" s="36"/>
      <c r="L455" s="36"/>
      <c r="M455" s="36"/>
      <c r="N455" s="36"/>
      <c r="O455" s="36"/>
      <c r="P455" s="36"/>
      <c r="Q455" s="36"/>
      <c r="R455" s="36"/>
      <c r="S455" s="36"/>
      <c r="T455" s="36"/>
      <c r="U455" s="36"/>
      <c r="V455" s="36"/>
      <c r="W455" s="36"/>
      <c r="X455" s="36"/>
      <c r="Y455" s="36"/>
      <c r="Z455" s="36"/>
      <c r="AA455" s="36"/>
      <c r="AB455" s="36"/>
      <c r="AC455" s="36"/>
    </row>
    <row r="456" spans="1:29" ht="60" customHeight="1">
      <c r="A456" s="81"/>
      <c r="B456" s="94"/>
      <c r="C456" s="81"/>
      <c r="D456" s="81"/>
      <c r="E456" s="620"/>
      <c r="F456" s="620"/>
      <c r="G456" s="620"/>
      <c r="H456" s="81"/>
      <c r="I456" s="81"/>
      <c r="J456" s="35"/>
      <c r="K456" s="36"/>
      <c r="L456" s="36"/>
      <c r="M456" s="36"/>
      <c r="N456" s="36"/>
      <c r="O456" s="36"/>
      <c r="P456" s="36"/>
      <c r="Q456" s="36"/>
      <c r="R456" s="36"/>
      <c r="S456" s="36"/>
      <c r="T456" s="36"/>
      <c r="U456" s="36"/>
      <c r="V456" s="36"/>
      <c r="W456" s="36"/>
      <c r="X456" s="36"/>
      <c r="Y456" s="36"/>
      <c r="Z456" s="36"/>
      <c r="AA456" s="36"/>
      <c r="AB456" s="36"/>
      <c r="AC456" s="36"/>
    </row>
    <row r="457" spans="1:29" ht="48" customHeight="1">
      <c r="A457" s="81"/>
      <c r="B457" s="94"/>
      <c r="C457" s="81"/>
      <c r="D457" s="81"/>
      <c r="E457" s="620"/>
      <c r="F457" s="620"/>
      <c r="G457" s="620"/>
      <c r="H457" s="81"/>
      <c r="I457" s="81"/>
      <c r="J457" s="35"/>
      <c r="K457" s="36"/>
      <c r="L457" s="36"/>
      <c r="M457" s="36"/>
      <c r="N457" s="36"/>
      <c r="O457" s="36"/>
      <c r="P457" s="36"/>
      <c r="Q457" s="36"/>
      <c r="R457" s="36"/>
      <c r="S457" s="36"/>
      <c r="T457" s="36"/>
      <c r="U457" s="36"/>
      <c r="V457" s="36"/>
      <c r="W457" s="36"/>
      <c r="X457" s="36"/>
      <c r="Y457" s="36"/>
      <c r="Z457" s="36"/>
      <c r="AA457" s="36"/>
      <c r="AB457" s="36"/>
      <c r="AC457" s="36"/>
    </row>
    <row r="458" spans="1:29" ht="36" customHeight="1">
      <c r="A458" s="81"/>
      <c r="B458" s="94"/>
      <c r="C458" s="81"/>
      <c r="D458" s="81"/>
      <c r="E458" s="620"/>
      <c r="F458" s="620"/>
      <c r="G458" s="620"/>
      <c r="H458" s="81"/>
      <c r="I458" s="81"/>
      <c r="J458" s="35"/>
      <c r="K458" s="36"/>
      <c r="L458" s="36"/>
      <c r="M458" s="36"/>
      <c r="N458" s="36"/>
      <c r="O458" s="36"/>
      <c r="P458" s="36"/>
      <c r="Q458" s="36"/>
      <c r="R458" s="36"/>
      <c r="S458" s="36"/>
      <c r="T458" s="36"/>
      <c r="U458" s="36"/>
      <c r="V458" s="36"/>
      <c r="W458" s="36"/>
      <c r="X458" s="36"/>
      <c r="Y458" s="36"/>
      <c r="Z458" s="36"/>
      <c r="AA458" s="36"/>
      <c r="AB458" s="36"/>
      <c r="AC458" s="36"/>
    </row>
    <row r="459" spans="1:29" ht="48" customHeight="1">
      <c r="A459" s="81"/>
      <c r="B459" s="94"/>
      <c r="C459" s="81"/>
      <c r="D459" s="81"/>
      <c r="E459" s="620"/>
      <c r="F459" s="620"/>
      <c r="G459" s="620"/>
      <c r="H459" s="81"/>
      <c r="I459" s="81"/>
      <c r="J459" s="35"/>
      <c r="K459" s="36"/>
      <c r="L459" s="36"/>
      <c r="M459" s="36"/>
      <c r="N459" s="36"/>
      <c r="O459" s="36"/>
      <c r="P459" s="36"/>
      <c r="Q459" s="36"/>
      <c r="R459" s="36"/>
      <c r="S459" s="36"/>
      <c r="T459" s="36"/>
      <c r="U459" s="36"/>
      <c r="V459" s="36"/>
      <c r="W459" s="36"/>
      <c r="X459" s="36"/>
      <c r="Y459" s="36"/>
      <c r="Z459" s="36"/>
      <c r="AA459" s="36"/>
      <c r="AB459" s="36"/>
      <c r="AC459" s="36"/>
    </row>
    <row r="460" spans="1:29" ht="28.5" customHeight="1">
      <c r="A460" s="81"/>
      <c r="B460" s="94"/>
      <c r="C460" s="81"/>
      <c r="D460" s="81"/>
      <c r="E460" s="620"/>
      <c r="F460" s="620"/>
      <c r="G460" s="620"/>
      <c r="H460" s="81"/>
      <c r="I460" s="81"/>
      <c r="J460" s="35"/>
      <c r="K460" s="36"/>
      <c r="L460" s="36"/>
      <c r="M460" s="36"/>
      <c r="N460" s="36"/>
      <c r="O460" s="36"/>
      <c r="P460" s="36"/>
      <c r="Q460" s="36"/>
      <c r="R460" s="36"/>
      <c r="S460" s="36"/>
      <c r="T460" s="36"/>
      <c r="U460" s="36"/>
      <c r="V460" s="36"/>
      <c r="W460" s="36"/>
      <c r="X460" s="36"/>
      <c r="Y460" s="36"/>
      <c r="Z460" s="36"/>
      <c r="AA460" s="36"/>
      <c r="AB460" s="36"/>
      <c r="AC460" s="36"/>
    </row>
    <row r="461" spans="1:29" ht="180" customHeight="1">
      <c r="A461" s="81"/>
      <c r="B461" s="94"/>
      <c r="C461" s="81"/>
      <c r="D461" s="81"/>
      <c r="E461" s="620"/>
      <c r="F461" s="620"/>
      <c r="G461" s="620"/>
      <c r="H461" s="81"/>
      <c r="I461" s="81"/>
      <c r="J461" s="35"/>
      <c r="K461" s="36"/>
      <c r="L461" s="36"/>
      <c r="M461" s="36"/>
      <c r="N461" s="36"/>
      <c r="O461" s="36"/>
      <c r="P461" s="36"/>
      <c r="Q461" s="36"/>
      <c r="R461" s="36"/>
      <c r="S461" s="36"/>
      <c r="T461" s="36"/>
      <c r="U461" s="36"/>
      <c r="V461" s="36"/>
      <c r="W461" s="36"/>
      <c r="X461" s="36"/>
      <c r="Y461" s="36"/>
      <c r="Z461" s="36"/>
      <c r="AA461" s="36"/>
      <c r="AB461" s="36"/>
      <c r="AC461" s="36"/>
    </row>
    <row r="462" spans="1:29" ht="24" customHeight="1">
      <c r="A462" s="81"/>
      <c r="B462" s="94"/>
      <c r="C462" s="81"/>
      <c r="D462" s="81"/>
      <c r="E462" s="620"/>
      <c r="F462" s="620"/>
      <c r="G462" s="620"/>
      <c r="H462" s="81"/>
      <c r="I462" s="81"/>
      <c r="J462" s="35"/>
      <c r="K462" s="36"/>
      <c r="L462" s="36"/>
      <c r="M462" s="36"/>
      <c r="N462" s="36"/>
      <c r="O462" s="36"/>
      <c r="P462" s="36"/>
      <c r="Q462" s="36"/>
      <c r="R462" s="36"/>
      <c r="S462" s="36"/>
      <c r="T462" s="36"/>
      <c r="U462" s="36"/>
      <c r="V462" s="36"/>
      <c r="W462" s="36"/>
      <c r="X462" s="36"/>
      <c r="Y462" s="36"/>
      <c r="Z462" s="36"/>
      <c r="AA462" s="36"/>
      <c r="AB462" s="36"/>
      <c r="AC462" s="36"/>
    </row>
    <row r="463" spans="1:29" ht="24" customHeight="1">
      <c r="A463" s="81"/>
      <c r="B463" s="94"/>
      <c r="C463" s="81"/>
      <c r="D463" s="81"/>
      <c r="E463" s="620"/>
      <c r="F463" s="620"/>
      <c r="G463" s="620"/>
      <c r="H463" s="81"/>
      <c r="I463" s="81"/>
      <c r="J463" s="35"/>
      <c r="K463" s="36"/>
      <c r="L463" s="36"/>
      <c r="M463" s="36"/>
      <c r="N463" s="36"/>
      <c r="O463" s="36"/>
      <c r="P463" s="36"/>
      <c r="Q463" s="36"/>
      <c r="R463" s="36"/>
      <c r="S463" s="36"/>
      <c r="T463" s="36"/>
      <c r="U463" s="36"/>
      <c r="V463" s="36"/>
      <c r="W463" s="36"/>
      <c r="X463" s="36"/>
      <c r="Y463" s="36"/>
      <c r="Z463" s="36"/>
      <c r="AA463" s="36"/>
      <c r="AB463" s="36"/>
      <c r="AC463" s="36"/>
    </row>
    <row r="464" spans="1:29" ht="36" customHeight="1">
      <c r="A464" s="81"/>
      <c r="B464" s="81"/>
      <c r="C464" s="81"/>
      <c r="D464" s="81"/>
      <c r="E464" s="620"/>
      <c r="F464" s="620"/>
      <c r="G464" s="620"/>
      <c r="H464" s="81"/>
      <c r="I464" s="81"/>
      <c r="J464" s="35"/>
      <c r="K464" s="36"/>
      <c r="L464" s="36"/>
      <c r="M464" s="36"/>
      <c r="N464" s="36"/>
      <c r="O464" s="36"/>
      <c r="P464" s="36"/>
      <c r="Q464" s="36"/>
      <c r="R464" s="36"/>
      <c r="S464" s="36"/>
      <c r="T464" s="36"/>
      <c r="U464" s="36"/>
      <c r="V464" s="36"/>
      <c r="W464" s="36"/>
      <c r="X464" s="36"/>
      <c r="Y464" s="36"/>
      <c r="Z464" s="36"/>
      <c r="AA464" s="36"/>
      <c r="AB464" s="36"/>
      <c r="AC464" s="36"/>
    </row>
    <row r="465" spans="1:29" ht="36" customHeight="1">
      <c r="A465" s="81"/>
      <c r="B465" s="94"/>
      <c r="C465" s="81"/>
      <c r="D465" s="81"/>
      <c r="E465" s="620"/>
      <c r="F465" s="620"/>
      <c r="G465" s="620"/>
      <c r="H465" s="81"/>
      <c r="I465" s="81"/>
      <c r="J465" s="35"/>
      <c r="K465" s="36"/>
      <c r="L465" s="36"/>
      <c r="M465" s="36"/>
      <c r="N465" s="36"/>
      <c r="O465" s="36"/>
      <c r="P465" s="36"/>
      <c r="Q465" s="36"/>
      <c r="R465" s="36"/>
      <c r="S465" s="36"/>
      <c r="T465" s="36"/>
      <c r="U465" s="36"/>
      <c r="V465" s="36"/>
      <c r="W465" s="36"/>
      <c r="X465" s="36"/>
      <c r="Y465" s="36"/>
      <c r="Z465" s="36"/>
      <c r="AA465" s="36"/>
      <c r="AB465" s="36"/>
      <c r="AC465" s="36"/>
    </row>
    <row r="466" spans="1:29" ht="24" customHeight="1">
      <c r="A466" s="81"/>
      <c r="B466" s="94"/>
      <c r="C466" s="81"/>
      <c r="D466" s="81"/>
      <c r="E466" s="620"/>
      <c r="F466" s="620"/>
      <c r="G466" s="620"/>
      <c r="H466" s="81"/>
      <c r="I466" s="81"/>
      <c r="J466" s="35"/>
      <c r="K466" s="36"/>
      <c r="L466" s="36"/>
      <c r="M466" s="36"/>
      <c r="N466" s="36"/>
      <c r="O466" s="36"/>
      <c r="P466" s="36"/>
      <c r="Q466" s="36"/>
      <c r="R466" s="36"/>
      <c r="S466" s="36"/>
      <c r="T466" s="36"/>
      <c r="U466" s="36"/>
      <c r="V466" s="36"/>
      <c r="W466" s="36"/>
      <c r="X466" s="36"/>
      <c r="Y466" s="36"/>
      <c r="Z466" s="36"/>
      <c r="AA466" s="36"/>
      <c r="AB466" s="36"/>
      <c r="AC466" s="36"/>
    </row>
    <row r="467" spans="1:29" ht="24" customHeight="1">
      <c r="A467" s="81"/>
      <c r="B467" s="94"/>
      <c r="C467" s="81"/>
      <c r="D467" s="81"/>
      <c r="E467" s="620"/>
      <c r="F467" s="620"/>
      <c r="G467" s="620"/>
      <c r="H467" s="81"/>
      <c r="I467" s="81"/>
      <c r="J467" s="35"/>
      <c r="K467" s="36"/>
      <c r="L467" s="36"/>
      <c r="M467" s="36"/>
      <c r="N467" s="36"/>
      <c r="O467" s="36"/>
      <c r="P467" s="36"/>
      <c r="Q467" s="36"/>
      <c r="R467" s="36"/>
      <c r="S467" s="36"/>
      <c r="T467" s="36"/>
      <c r="U467" s="36"/>
      <c r="V467" s="36"/>
      <c r="W467" s="36"/>
      <c r="X467" s="36"/>
      <c r="Y467" s="36"/>
      <c r="Z467" s="36"/>
      <c r="AA467" s="36"/>
      <c r="AB467" s="36"/>
      <c r="AC467" s="36"/>
    </row>
    <row r="468" spans="1:29" ht="48" customHeight="1">
      <c r="A468" s="81"/>
      <c r="B468" s="94"/>
      <c r="C468" s="81"/>
      <c r="D468" s="81"/>
      <c r="E468" s="620"/>
      <c r="F468" s="620"/>
      <c r="G468" s="620"/>
      <c r="H468" s="81"/>
      <c r="I468" s="81"/>
      <c r="J468" s="35"/>
      <c r="K468" s="36"/>
      <c r="L468" s="36"/>
      <c r="M468" s="36"/>
      <c r="N468" s="36"/>
      <c r="O468" s="36"/>
      <c r="P468" s="36"/>
      <c r="Q468" s="36"/>
      <c r="R468" s="36"/>
      <c r="S468" s="36"/>
      <c r="T468" s="36"/>
      <c r="U468" s="36"/>
      <c r="V468" s="36"/>
      <c r="W468" s="36"/>
      <c r="X468" s="36"/>
      <c r="Y468" s="36"/>
      <c r="Z468" s="36"/>
      <c r="AA468" s="36"/>
      <c r="AB468" s="36"/>
      <c r="AC468" s="36"/>
    </row>
    <row r="469" spans="1:29" ht="36" customHeight="1">
      <c r="A469" s="81"/>
      <c r="B469" s="94"/>
      <c r="C469" s="81"/>
      <c r="D469" s="81"/>
      <c r="E469" s="620"/>
      <c r="F469" s="620"/>
      <c r="G469" s="620"/>
      <c r="H469" s="81"/>
      <c r="I469" s="81"/>
      <c r="J469" s="35"/>
      <c r="K469" s="36"/>
      <c r="L469" s="36"/>
      <c r="M469" s="36"/>
      <c r="N469" s="36"/>
      <c r="O469" s="36"/>
      <c r="P469" s="36"/>
      <c r="Q469" s="36"/>
      <c r="R469" s="36"/>
      <c r="S469" s="36"/>
      <c r="T469" s="36"/>
      <c r="U469" s="36"/>
      <c r="V469" s="36"/>
      <c r="W469" s="36"/>
      <c r="X469" s="36"/>
      <c r="Y469" s="36"/>
      <c r="Z469" s="36"/>
      <c r="AA469" s="36"/>
      <c r="AB469" s="36"/>
      <c r="AC469" s="36"/>
    </row>
    <row r="470" spans="1:29" ht="36" customHeight="1">
      <c r="A470" s="81"/>
      <c r="B470" s="94"/>
      <c r="C470" s="81"/>
      <c r="D470" s="81"/>
      <c r="E470" s="620"/>
      <c r="F470" s="620"/>
      <c r="G470" s="620"/>
      <c r="H470" s="81"/>
      <c r="I470" s="81"/>
      <c r="J470" s="35"/>
      <c r="K470" s="36"/>
      <c r="L470" s="36"/>
      <c r="M470" s="36"/>
      <c r="N470" s="36"/>
      <c r="O470" s="36"/>
      <c r="P470" s="36"/>
      <c r="Q470" s="36"/>
      <c r="R470" s="36"/>
      <c r="S470" s="36"/>
      <c r="T470" s="36"/>
      <c r="U470" s="36"/>
      <c r="V470" s="36"/>
      <c r="W470" s="36"/>
      <c r="X470" s="36"/>
      <c r="Y470" s="36"/>
      <c r="Z470" s="36"/>
      <c r="AA470" s="36"/>
      <c r="AB470" s="36"/>
      <c r="AC470" s="36"/>
    </row>
    <row r="471" spans="1:29" ht="24" customHeight="1">
      <c r="A471" s="81"/>
      <c r="B471" s="94"/>
      <c r="C471" s="81"/>
      <c r="D471" s="81"/>
      <c r="E471" s="620"/>
      <c r="F471" s="620"/>
      <c r="G471" s="620"/>
      <c r="H471" s="81"/>
      <c r="I471" s="81"/>
      <c r="J471" s="35"/>
      <c r="K471" s="36"/>
      <c r="L471" s="36"/>
      <c r="M471" s="36"/>
      <c r="N471" s="36"/>
      <c r="O471" s="36"/>
      <c r="P471" s="36"/>
      <c r="Q471" s="36"/>
      <c r="R471" s="36"/>
      <c r="S471" s="36"/>
      <c r="T471" s="36"/>
      <c r="U471" s="36"/>
      <c r="V471" s="36"/>
      <c r="W471" s="36"/>
      <c r="X471" s="36"/>
      <c r="Y471" s="36"/>
      <c r="Z471" s="36"/>
      <c r="AA471" s="36"/>
      <c r="AB471" s="36"/>
      <c r="AC471" s="36"/>
    </row>
    <row r="472" spans="1:29" ht="36" customHeight="1">
      <c r="A472" s="81"/>
      <c r="B472" s="94"/>
      <c r="C472" s="81"/>
      <c r="D472" s="81"/>
      <c r="E472" s="620"/>
      <c r="F472" s="620"/>
      <c r="G472" s="620"/>
      <c r="H472" s="81"/>
      <c r="I472" s="81"/>
      <c r="J472" s="35"/>
      <c r="K472" s="36"/>
      <c r="L472" s="36"/>
      <c r="M472" s="36"/>
      <c r="N472" s="36"/>
      <c r="O472" s="36"/>
      <c r="P472" s="36"/>
      <c r="Q472" s="36"/>
      <c r="R472" s="36"/>
      <c r="S472" s="36"/>
      <c r="T472" s="36"/>
      <c r="U472" s="36"/>
      <c r="V472" s="36"/>
      <c r="W472" s="36"/>
      <c r="X472" s="36"/>
      <c r="Y472" s="36"/>
      <c r="Z472" s="36"/>
      <c r="AA472" s="36"/>
      <c r="AB472" s="36"/>
      <c r="AC472" s="36"/>
    </row>
    <row r="473" spans="1:29" ht="24" customHeight="1">
      <c r="A473" s="81"/>
      <c r="B473" s="94"/>
      <c r="C473" s="81"/>
      <c r="D473" s="81"/>
      <c r="E473" s="620"/>
      <c r="F473" s="620"/>
      <c r="G473" s="620"/>
      <c r="H473" s="81"/>
      <c r="I473" s="81"/>
      <c r="J473" s="35"/>
      <c r="K473" s="36"/>
      <c r="L473" s="36"/>
      <c r="M473" s="36"/>
      <c r="N473" s="36"/>
      <c r="O473" s="36"/>
      <c r="P473" s="36"/>
      <c r="Q473" s="36"/>
      <c r="R473" s="36"/>
      <c r="S473" s="36"/>
      <c r="T473" s="36"/>
      <c r="U473" s="36"/>
      <c r="V473" s="36"/>
      <c r="W473" s="36"/>
      <c r="X473" s="36"/>
      <c r="Y473" s="36"/>
      <c r="Z473" s="36"/>
      <c r="AA473" s="36"/>
      <c r="AB473" s="36"/>
      <c r="AC473" s="36"/>
    </row>
    <row r="474" spans="1:29" ht="24" customHeight="1">
      <c r="A474" s="81"/>
      <c r="B474" s="94"/>
      <c r="C474" s="81"/>
      <c r="D474" s="81"/>
      <c r="E474" s="620"/>
      <c r="F474" s="620"/>
      <c r="G474" s="620"/>
      <c r="H474" s="81"/>
      <c r="I474" s="81"/>
      <c r="J474" s="35"/>
      <c r="K474" s="36"/>
      <c r="L474" s="36"/>
      <c r="M474" s="36"/>
      <c r="N474" s="36"/>
      <c r="O474" s="36"/>
      <c r="P474" s="36"/>
      <c r="Q474" s="36"/>
      <c r="R474" s="36"/>
      <c r="S474" s="36"/>
      <c r="T474" s="36"/>
      <c r="U474" s="36"/>
      <c r="V474" s="36"/>
      <c r="W474" s="36"/>
      <c r="X474" s="36"/>
      <c r="Y474" s="36"/>
      <c r="Z474" s="36"/>
      <c r="AA474" s="36"/>
      <c r="AB474" s="36"/>
      <c r="AC474" s="36"/>
    </row>
    <row r="475" spans="1:29" ht="24" customHeight="1">
      <c r="A475" s="81"/>
      <c r="B475" s="94"/>
      <c r="C475" s="81"/>
      <c r="D475" s="81"/>
      <c r="E475" s="620"/>
      <c r="F475" s="620"/>
      <c r="G475" s="620"/>
      <c r="H475" s="81"/>
      <c r="I475" s="81"/>
      <c r="J475" s="35"/>
      <c r="K475" s="36"/>
      <c r="L475" s="36"/>
      <c r="M475" s="36"/>
      <c r="N475" s="36"/>
      <c r="O475" s="36"/>
      <c r="P475" s="36"/>
      <c r="Q475" s="36"/>
      <c r="R475" s="36"/>
      <c r="S475" s="36"/>
      <c r="T475" s="36"/>
      <c r="U475" s="36"/>
      <c r="V475" s="36"/>
      <c r="W475" s="36"/>
      <c r="X475" s="36"/>
      <c r="Y475" s="36"/>
      <c r="Z475" s="36"/>
      <c r="AA475" s="36"/>
      <c r="AB475" s="36"/>
      <c r="AC475" s="36"/>
    </row>
    <row r="476" spans="1:29" ht="24" customHeight="1">
      <c r="A476" s="81"/>
      <c r="B476" s="94"/>
      <c r="C476" s="81"/>
      <c r="D476" s="81"/>
      <c r="E476" s="620"/>
      <c r="F476" s="620"/>
      <c r="G476" s="620"/>
      <c r="H476" s="81"/>
      <c r="I476" s="81"/>
      <c r="J476" s="35"/>
      <c r="K476" s="36"/>
      <c r="L476" s="36"/>
      <c r="M476" s="36"/>
      <c r="N476" s="36"/>
      <c r="O476" s="36"/>
      <c r="P476" s="36"/>
      <c r="Q476" s="36"/>
      <c r="R476" s="36"/>
      <c r="S476" s="36"/>
      <c r="T476" s="36"/>
      <c r="U476" s="36"/>
      <c r="V476" s="36"/>
      <c r="W476" s="36"/>
      <c r="X476" s="36"/>
      <c r="Y476" s="36"/>
      <c r="Z476" s="36"/>
      <c r="AA476" s="36"/>
      <c r="AB476" s="36"/>
      <c r="AC476" s="36"/>
    </row>
    <row r="477" spans="1:29" ht="24" customHeight="1">
      <c r="A477" s="81"/>
      <c r="B477" s="94"/>
      <c r="C477" s="81"/>
      <c r="D477" s="81"/>
      <c r="E477" s="620"/>
      <c r="F477" s="620"/>
      <c r="G477" s="620"/>
      <c r="H477" s="81"/>
      <c r="I477" s="81"/>
      <c r="J477" s="35"/>
      <c r="K477" s="36"/>
      <c r="L477" s="36"/>
      <c r="M477" s="36"/>
      <c r="N477" s="36"/>
      <c r="O477" s="36"/>
      <c r="P477" s="36"/>
      <c r="Q477" s="36"/>
      <c r="R477" s="36"/>
      <c r="S477" s="36"/>
      <c r="T477" s="36"/>
      <c r="U477" s="36"/>
      <c r="V477" s="36"/>
      <c r="W477" s="36"/>
      <c r="X477" s="36"/>
      <c r="Y477" s="36"/>
      <c r="Z477" s="36"/>
      <c r="AA477" s="36"/>
      <c r="AB477" s="36"/>
      <c r="AC477" s="36"/>
    </row>
    <row r="478" spans="1:29" ht="36" customHeight="1">
      <c r="A478" s="81"/>
      <c r="B478" s="94"/>
      <c r="C478" s="81"/>
      <c r="D478" s="81"/>
      <c r="E478" s="620"/>
      <c r="F478" s="620"/>
      <c r="G478" s="620"/>
      <c r="H478" s="81"/>
      <c r="I478" s="81"/>
      <c r="J478" s="35"/>
      <c r="K478" s="36"/>
      <c r="L478" s="36"/>
      <c r="M478" s="36"/>
      <c r="N478" s="36"/>
      <c r="O478" s="36"/>
      <c r="P478" s="36"/>
      <c r="Q478" s="36"/>
      <c r="R478" s="36"/>
      <c r="S478" s="36"/>
      <c r="T478" s="36"/>
      <c r="U478" s="36"/>
      <c r="V478" s="36"/>
      <c r="W478" s="36"/>
      <c r="X478" s="36"/>
      <c r="Y478" s="36"/>
      <c r="Z478" s="36"/>
      <c r="AA478" s="36"/>
      <c r="AB478" s="36"/>
      <c r="AC478" s="36"/>
    </row>
    <row r="479" spans="1:29" ht="36" customHeight="1">
      <c r="A479" s="81"/>
      <c r="B479" s="94"/>
      <c r="C479" s="81"/>
      <c r="D479" s="81"/>
      <c r="E479" s="620"/>
      <c r="F479" s="620"/>
      <c r="G479" s="620"/>
      <c r="H479" s="81"/>
      <c r="I479" s="81"/>
      <c r="J479" s="35"/>
      <c r="K479" s="36"/>
      <c r="L479" s="36"/>
      <c r="M479" s="36"/>
      <c r="N479" s="36"/>
      <c r="O479" s="36"/>
      <c r="P479" s="36"/>
      <c r="Q479" s="36"/>
      <c r="R479" s="36"/>
      <c r="S479" s="36"/>
      <c r="T479" s="36"/>
      <c r="U479" s="36"/>
      <c r="V479" s="36"/>
      <c r="W479" s="36"/>
      <c r="X479" s="36"/>
      <c r="Y479" s="36"/>
      <c r="Z479" s="36"/>
      <c r="AA479" s="36"/>
      <c r="AB479" s="36"/>
      <c r="AC479" s="36"/>
    </row>
    <row r="480" spans="1:29" ht="24" customHeight="1">
      <c r="A480" s="81"/>
      <c r="B480" s="94"/>
      <c r="C480" s="81"/>
      <c r="D480" s="81"/>
      <c r="E480" s="620"/>
      <c r="F480" s="620"/>
      <c r="G480" s="620"/>
      <c r="H480" s="81"/>
      <c r="I480" s="81"/>
      <c r="J480" s="35"/>
      <c r="K480" s="36"/>
      <c r="L480" s="36"/>
      <c r="M480" s="36"/>
      <c r="N480" s="36"/>
      <c r="O480" s="36"/>
      <c r="P480" s="36"/>
      <c r="Q480" s="36"/>
      <c r="R480" s="36"/>
      <c r="S480" s="36"/>
      <c r="T480" s="36"/>
      <c r="U480" s="36"/>
      <c r="V480" s="36"/>
      <c r="W480" s="36"/>
      <c r="X480" s="36"/>
      <c r="Y480" s="36"/>
      <c r="Z480" s="36"/>
      <c r="AA480" s="36"/>
      <c r="AB480" s="36"/>
      <c r="AC480" s="36"/>
    </row>
    <row r="481" spans="1:29" ht="48" customHeight="1">
      <c r="A481" s="81"/>
      <c r="B481" s="94"/>
      <c r="C481" s="81"/>
      <c r="D481" s="81"/>
      <c r="E481" s="620"/>
      <c r="F481" s="620"/>
      <c r="G481" s="620"/>
      <c r="H481" s="81"/>
      <c r="I481" s="81"/>
      <c r="J481" s="35"/>
      <c r="K481" s="36"/>
      <c r="L481" s="36"/>
      <c r="M481" s="36"/>
      <c r="N481" s="36"/>
      <c r="O481" s="36"/>
      <c r="P481" s="36"/>
      <c r="Q481" s="36"/>
      <c r="R481" s="36"/>
      <c r="S481" s="36"/>
      <c r="T481" s="36"/>
      <c r="U481" s="36"/>
      <c r="V481" s="36"/>
      <c r="W481" s="36"/>
      <c r="X481" s="36"/>
      <c r="Y481" s="36"/>
      <c r="Z481" s="36"/>
      <c r="AA481" s="36"/>
      <c r="AB481" s="36"/>
      <c r="AC481" s="36"/>
    </row>
    <row r="482" spans="1:29" ht="60" customHeight="1">
      <c r="A482" s="81"/>
      <c r="B482" s="94"/>
      <c r="C482" s="81"/>
      <c r="D482" s="81"/>
      <c r="E482" s="620"/>
      <c r="F482" s="620"/>
      <c r="G482" s="620"/>
      <c r="H482" s="81"/>
      <c r="I482" s="81"/>
      <c r="J482" s="35"/>
      <c r="K482" s="36"/>
      <c r="L482" s="36"/>
      <c r="M482" s="36"/>
      <c r="N482" s="36"/>
      <c r="O482" s="36"/>
      <c r="P482" s="36"/>
      <c r="Q482" s="36"/>
      <c r="R482" s="36"/>
      <c r="S482" s="36"/>
      <c r="T482" s="36"/>
      <c r="U482" s="36"/>
      <c r="V482" s="36"/>
      <c r="W482" s="36"/>
      <c r="X482" s="36"/>
      <c r="Y482" s="36"/>
      <c r="Z482" s="36"/>
      <c r="AA482" s="36"/>
      <c r="AB482" s="36"/>
      <c r="AC482" s="36"/>
    </row>
    <row r="483" spans="1:29" ht="24" customHeight="1">
      <c r="A483" s="81"/>
      <c r="B483" s="94"/>
      <c r="C483" s="81"/>
      <c r="D483" s="81"/>
      <c r="E483" s="620"/>
      <c r="F483" s="620"/>
      <c r="G483" s="620"/>
      <c r="H483" s="81"/>
      <c r="I483" s="81"/>
      <c r="J483" s="35"/>
      <c r="K483" s="36"/>
      <c r="L483" s="36"/>
      <c r="M483" s="36"/>
      <c r="N483" s="36"/>
      <c r="O483" s="36"/>
      <c r="P483" s="36"/>
      <c r="Q483" s="36"/>
      <c r="R483" s="36"/>
      <c r="S483" s="36"/>
      <c r="T483" s="36"/>
      <c r="U483" s="36"/>
      <c r="V483" s="36"/>
      <c r="W483" s="36"/>
      <c r="X483" s="36"/>
      <c r="Y483" s="36"/>
      <c r="Z483" s="36"/>
      <c r="AA483" s="36"/>
      <c r="AB483" s="36"/>
      <c r="AC483" s="36"/>
    </row>
    <row r="484" spans="1:29" ht="24" customHeight="1">
      <c r="A484" s="81"/>
      <c r="B484" s="94"/>
      <c r="C484" s="81"/>
      <c r="D484" s="81"/>
      <c r="E484" s="620"/>
      <c r="F484" s="620"/>
      <c r="G484" s="620"/>
      <c r="H484" s="81"/>
      <c r="I484" s="81"/>
      <c r="J484" s="35"/>
      <c r="K484" s="36"/>
      <c r="L484" s="36"/>
      <c r="M484" s="36"/>
      <c r="N484" s="36"/>
      <c r="O484" s="36"/>
      <c r="P484" s="36"/>
      <c r="Q484" s="36"/>
      <c r="R484" s="36"/>
      <c r="S484" s="36"/>
      <c r="T484" s="36"/>
      <c r="U484" s="36"/>
      <c r="V484" s="36"/>
      <c r="W484" s="36"/>
      <c r="X484" s="36"/>
      <c r="Y484" s="36"/>
      <c r="Z484" s="36"/>
      <c r="AA484" s="36"/>
      <c r="AB484" s="36"/>
      <c r="AC484" s="36"/>
    </row>
    <row r="485" spans="1:29" ht="36" customHeight="1">
      <c r="A485" s="81"/>
      <c r="B485" s="94"/>
      <c r="C485" s="81"/>
      <c r="D485" s="81"/>
      <c r="E485" s="620"/>
      <c r="F485" s="620"/>
      <c r="G485" s="620"/>
      <c r="H485" s="81"/>
      <c r="I485" s="81"/>
      <c r="J485" s="35"/>
      <c r="K485" s="36"/>
      <c r="L485" s="36"/>
      <c r="M485" s="36"/>
      <c r="N485" s="36"/>
      <c r="O485" s="36"/>
      <c r="P485" s="36"/>
      <c r="Q485" s="36"/>
      <c r="R485" s="36"/>
      <c r="S485" s="36"/>
      <c r="T485" s="36"/>
      <c r="U485" s="36"/>
      <c r="V485" s="36"/>
      <c r="W485" s="36"/>
      <c r="X485" s="36"/>
      <c r="Y485" s="36"/>
      <c r="Z485" s="36"/>
      <c r="AA485" s="36"/>
      <c r="AB485" s="36"/>
      <c r="AC485" s="36"/>
    </row>
    <row r="486" spans="1:29" ht="24" customHeight="1">
      <c r="A486" s="81"/>
      <c r="B486" s="94"/>
      <c r="C486" s="81"/>
      <c r="D486" s="81"/>
      <c r="E486" s="620"/>
      <c r="F486" s="620"/>
      <c r="G486" s="620"/>
      <c r="H486" s="81"/>
      <c r="I486" s="81"/>
      <c r="J486" s="35"/>
      <c r="K486" s="36"/>
      <c r="L486" s="36"/>
      <c r="M486" s="36"/>
      <c r="N486" s="36"/>
      <c r="O486" s="36"/>
      <c r="P486" s="36"/>
      <c r="Q486" s="36"/>
      <c r="R486" s="36"/>
      <c r="S486" s="36"/>
      <c r="T486" s="36"/>
      <c r="U486" s="36"/>
      <c r="V486" s="36"/>
      <c r="W486" s="36"/>
      <c r="X486" s="36"/>
      <c r="Y486" s="36"/>
      <c r="Z486" s="36"/>
      <c r="AA486" s="36"/>
      <c r="AB486" s="36"/>
      <c r="AC486" s="36"/>
    </row>
    <row r="487" spans="1:29" ht="72" customHeight="1">
      <c r="A487" s="81"/>
      <c r="B487" s="94"/>
      <c r="C487" s="81"/>
      <c r="D487" s="81"/>
      <c r="E487" s="620"/>
      <c r="F487" s="620"/>
      <c r="G487" s="620"/>
      <c r="H487" s="81"/>
      <c r="I487" s="81"/>
      <c r="J487" s="35"/>
      <c r="K487" s="36"/>
      <c r="L487" s="36"/>
      <c r="M487" s="36"/>
      <c r="N487" s="36"/>
      <c r="O487" s="36"/>
      <c r="P487" s="36"/>
      <c r="Q487" s="36"/>
      <c r="R487" s="36"/>
      <c r="S487" s="36"/>
      <c r="T487" s="36"/>
      <c r="U487" s="36"/>
      <c r="V487" s="36"/>
      <c r="W487" s="36"/>
      <c r="X487" s="36"/>
      <c r="Y487" s="36"/>
      <c r="Z487" s="36"/>
      <c r="AA487" s="36"/>
      <c r="AB487" s="36"/>
      <c r="AC487" s="36"/>
    </row>
    <row r="488" spans="1:29" ht="24" customHeight="1">
      <c r="A488" s="81"/>
      <c r="B488" s="94"/>
      <c r="C488" s="81"/>
      <c r="D488" s="81"/>
      <c r="E488" s="620"/>
      <c r="F488" s="620"/>
      <c r="G488" s="620"/>
      <c r="H488" s="81"/>
      <c r="I488" s="81"/>
      <c r="J488" s="35"/>
      <c r="K488" s="36"/>
      <c r="L488" s="36"/>
      <c r="M488" s="36"/>
      <c r="N488" s="36"/>
      <c r="O488" s="36"/>
      <c r="P488" s="36"/>
      <c r="Q488" s="36"/>
      <c r="R488" s="36"/>
      <c r="S488" s="36"/>
      <c r="T488" s="36"/>
      <c r="U488" s="36"/>
      <c r="V488" s="36"/>
      <c r="W488" s="36"/>
      <c r="X488" s="36"/>
      <c r="Y488" s="36"/>
      <c r="Z488" s="36"/>
      <c r="AA488" s="36"/>
      <c r="AB488" s="36"/>
      <c r="AC488" s="36"/>
    </row>
    <row r="489" spans="1:29" ht="36" customHeight="1">
      <c r="A489" s="81"/>
      <c r="B489" s="94"/>
      <c r="C489" s="81"/>
      <c r="D489" s="81"/>
      <c r="E489" s="620"/>
      <c r="F489" s="620"/>
      <c r="G489" s="620"/>
      <c r="H489" s="81"/>
      <c r="I489" s="81"/>
      <c r="J489" s="35"/>
      <c r="K489" s="36"/>
      <c r="L489" s="36"/>
      <c r="M489" s="36"/>
      <c r="N489" s="36"/>
      <c r="O489" s="36"/>
      <c r="P489" s="36"/>
      <c r="Q489" s="36"/>
      <c r="R489" s="36"/>
      <c r="S489" s="36"/>
      <c r="T489" s="36"/>
      <c r="U489" s="36"/>
      <c r="V489" s="36"/>
      <c r="W489" s="36"/>
      <c r="X489" s="36"/>
      <c r="Y489" s="36"/>
      <c r="Z489" s="36"/>
      <c r="AA489" s="36"/>
      <c r="AB489" s="36"/>
      <c r="AC489" s="36"/>
    </row>
    <row r="490" spans="1:29" ht="24" customHeight="1">
      <c r="A490" s="81"/>
      <c r="B490" s="94"/>
      <c r="C490" s="81"/>
      <c r="D490" s="81"/>
      <c r="E490" s="620"/>
      <c r="F490" s="620"/>
      <c r="G490" s="620"/>
      <c r="H490" s="81"/>
      <c r="I490" s="81"/>
      <c r="J490" s="35"/>
      <c r="K490" s="36"/>
      <c r="L490" s="36"/>
      <c r="M490" s="36"/>
      <c r="N490" s="36"/>
      <c r="O490" s="36"/>
      <c r="P490" s="36"/>
      <c r="Q490" s="36"/>
      <c r="R490" s="36"/>
      <c r="S490" s="36"/>
      <c r="T490" s="36"/>
      <c r="U490" s="36"/>
      <c r="V490" s="36"/>
      <c r="W490" s="36"/>
      <c r="X490" s="36"/>
      <c r="Y490" s="36"/>
      <c r="Z490" s="36"/>
      <c r="AA490" s="36"/>
      <c r="AB490" s="36"/>
      <c r="AC490" s="36"/>
    </row>
    <row r="491" spans="1:29" ht="72" customHeight="1">
      <c r="A491" s="81"/>
      <c r="B491" s="94"/>
      <c r="C491" s="81"/>
      <c r="D491" s="81"/>
      <c r="E491" s="620"/>
      <c r="F491" s="620"/>
      <c r="G491" s="620"/>
      <c r="H491" s="81"/>
      <c r="I491" s="81"/>
      <c r="J491" s="35"/>
      <c r="K491" s="36"/>
      <c r="L491" s="36"/>
      <c r="M491" s="36"/>
      <c r="N491" s="36"/>
      <c r="O491" s="36"/>
      <c r="P491" s="36"/>
      <c r="Q491" s="36"/>
      <c r="R491" s="36"/>
      <c r="S491" s="36"/>
      <c r="T491" s="36"/>
      <c r="U491" s="36"/>
      <c r="V491" s="36"/>
      <c r="W491" s="36"/>
      <c r="X491" s="36"/>
      <c r="Y491" s="36"/>
      <c r="Z491" s="36"/>
      <c r="AA491" s="36"/>
      <c r="AB491" s="36"/>
      <c r="AC491" s="36"/>
    </row>
    <row r="492" spans="1:29" ht="24" customHeight="1">
      <c r="A492" s="81"/>
      <c r="B492" s="94"/>
      <c r="C492" s="81"/>
      <c r="D492" s="81"/>
      <c r="E492" s="620"/>
      <c r="F492" s="620"/>
      <c r="G492" s="620"/>
      <c r="H492" s="81"/>
      <c r="I492" s="81"/>
      <c r="J492" s="35"/>
      <c r="K492" s="36"/>
      <c r="L492" s="36"/>
      <c r="M492" s="36"/>
      <c r="N492" s="36"/>
      <c r="O492" s="36"/>
      <c r="P492" s="36"/>
      <c r="Q492" s="36"/>
      <c r="R492" s="36"/>
      <c r="S492" s="36"/>
      <c r="T492" s="36"/>
      <c r="U492" s="36"/>
      <c r="V492" s="36"/>
      <c r="W492" s="36"/>
      <c r="X492" s="36"/>
      <c r="Y492" s="36"/>
      <c r="Z492" s="36"/>
      <c r="AA492" s="36"/>
      <c r="AB492" s="36"/>
      <c r="AC492" s="36"/>
    </row>
    <row r="493" spans="1:29" ht="24" customHeight="1">
      <c r="A493" s="81"/>
      <c r="B493" s="94"/>
      <c r="C493" s="81"/>
      <c r="D493" s="81"/>
      <c r="E493" s="620"/>
      <c r="F493" s="620"/>
      <c r="G493" s="620"/>
      <c r="H493" s="81"/>
      <c r="I493" s="81"/>
      <c r="J493" s="35"/>
      <c r="K493" s="36"/>
      <c r="L493" s="36"/>
      <c r="M493" s="36"/>
      <c r="N493" s="36"/>
      <c r="O493" s="36"/>
      <c r="P493" s="36"/>
      <c r="Q493" s="36"/>
      <c r="R493" s="36"/>
      <c r="S493" s="36"/>
      <c r="T493" s="36"/>
      <c r="U493" s="36"/>
      <c r="V493" s="36"/>
      <c r="W493" s="36"/>
      <c r="X493" s="36"/>
      <c r="Y493" s="36"/>
      <c r="Z493" s="36"/>
      <c r="AA493" s="36"/>
      <c r="AB493" s="36"/>
      <c r="AC493" s="36"/>
    </row>
    <row r="494" spans="1:29" ht="60" customHeight="1">
      <c r="A494" s="81"/>
      <c r="B494" s="94"/>
      <c r="C494" s="81"/>
      <c r="D494" s="81"/>
      <c r="E494" s="620"/>
      <c r="F494" s="620"/>
      <c r="G494" s="620"/>
      <c r="H494" s="81"/>
      <c r="I494" s="81"/>
      <c r="J494" s="35"/>
      <c r="K494" s="36"/>
      <c r="L494" s="36"/>
      <c r="M494" s="36"/>
      <c r="N494" s="36"/>
      <c r="O494" s="36"/>
      <c r="P494" s="36"/>
      <c r="Q494" s="36"/>
      <c r="R494" s="36"/>
      <c r="S494" s="36"/>
      <c r="T494" s="36"/>
      <c r="U494" s="36"/>
      <c r="V494" s="36"/>
      <c r="W494" s="36"/>
      <c r="X494" s="36"/>
      <c r="Y494" s="36"/>
      <c r="Z494" s="36"/>
      <c r="AA494" s="36"/>
      <c r="AB494" s="36"/>
      <c r="AC494" s="36"/>
    </row>
    <row r="495" spans="1:29" ht="24" customHeight="1">
      <c r="A495" s="81"/>
      <c r="B495" s="94"/>
      <c r="C495" s="81"/>
      <c r="D495" s="81"/>
      <c r="E495" s="620"/>
      <c r="F495" s="620"/>
      <c r="G495" s="620"/>
      <c r="H495" s="81"/>
      <c r="I495" s="81"/>
      <c r="J495" s="35"/>
      <c r="K495" s="36"/>
      <c r="L495" s="36"/>
      <c r="M495" s="36"/>
      <c r="N495" s="36"/>
      <c r="O495" s="36"/>
      <c r="P495" s="36"/>
      <c r="Q495" s="36"/>
      <c r="R495" s="36"/>
      <c r="S495" s="36"/>
      <c r="T495" s="36"/>
      <c r="U495" s="36"/>
      <c r="V495" s="36"/>
      <c r="W495" s="36"/>
      <c r="X495" s="36"/>
      <c r="Y495" s="36"/>
      <c r="Z495" s="36"/>
      <c r="AA495" s="36"/>
      <c r="AB495" s="36"/>
      <c r="AC495" s="36"/>
    </row>
    <row r="496" spans="1:29" ht="72" customHeight="1">
      <c r="A496" s="81"/>
      <c r="B496" s="94"/>
      <c r="C496" s="81"/>
      <c r="D496" s="81"/>
      <c r="E496" s="620"/>
      <c r="F496" s="620"/>
      <c r="G496" s="620"/>
      <c r="H496" s="81"/>
      <c r="I496" s="81"/>
      <c r="J496" s="35"/>
      <c r="K496" s="36"/>
      <c r="L496" s="36"/>
      <c r="M496" s="36"/>
      <c r="N496" s="36"/>
      <c r="O496" s="36"/>
      <c r="P496" s="36"/>
      <c r="Q496" s="36"/>
      <c r="R496" s="36"/>
      <c r="S496" s="36"/>
      <c r="T496" s="36"/>
      <c r="U496" s="36"/>
      <c r="V496" s="36"/>
      <c r="W496" s="36"/>
      <c r="X496" s="36"/>
      <c r="Y496" s="36"/>
      <c r="Z496" s="36"/>
      <c r="AA496" s="36"/>
      <c r="AB496" s="36"/>
      <c r="AC496" s="36"/>
    </row>
    <row r="497" spans="1:29" ht="48" customHeight="1">
      <c r="A497" s="81"/>
      <c r="B497" s="94"/>
      <c r="C497" s="81"/>
      <c r="D497" s="81"/>
      <c r="E497" s="620"/>
      <c r="F497" s="620"/>
      <c r="G497" s="620"/>
      <c r="H497" s="81"/>
      <c r="I497" s="81"/>
      <c r="J497" s="35"/>
      <c r="K497" s="36"/>
      <c r="L497" s="36"/>
      <c r="M497" s="36"/>
      <c r="N497" s="36"/>
      <c r="O497" s="36"/>
      <c r="P497" s="36"/>
      <c r="Q497" s="36"/>
      <c r="R497" s="36"/>
      <c r="S497" s="36"/>
      <c r="T497" s="36"/>
      <c r="U497" s="36"/>
      <c r="V497" s="36"/>
      <c r="W497" s="36"/>
      <c r="X497" s="36"/>
      <c r="Y497" s="36"/>
      <c r="Z497" s="36"/>
      <c r="AA497" s="36"/>
      <c r="AB497" s="36"/>
      <c r="AC497" s="36"/>
    </row>
    <row r="498" spans="1:29" ht="24" customHeight="1">
      <c r="A498" s="81"/>
      <c r="B498" s="94"/>
      <c r="C498" s="81"/>
      <c r="D498" s="81"/>
      <c r="E498" s="620"/>
      <c r="F498" s="620"/>
      <c r="G498" s="620"/>
      <c r="H498" s="81"/>
      <c r="I498" s="81"/>
      <c r="J498" s="35"/>
      <c r="K498" s="36"/>
      <c r="L498" s="36"/>
      <c r="M498" s="36"/>
      <c r="N498" s="36"/>
      <c r="O498" s="36"/>
      <c r="P498" s="36"/>
      <c r="Q498" s="36"/>
      <c r="R498" s="36"/>
      <c r="S498" s="36"/>
      <c r="T498" s="36"/>
      <c r="U498" s="36"/>
      <c r="V498" s="36"/>
      <c r="W498" s="36"/>
      <c r="X498" s="36"/>
      <c r="Y498" s="36"/>
      <c r="Z498" s="36"/>
      <c r="AA498" s="36"/>
      <c r="AB498" s="36"/>
      <c r="AC498" s="36"/>
    </row>
    <row r="499" spans="1:29" ht="24" customHeight="1">
      <c r="A499" s="81"/>
      <c r="B499" s="94"/>
      <c r="C499" s="81"/>
      <c r="D499" s="81"/>
      <c r="E499" s="620"/>
      <c r="F499" s="620"/>
      <c r="G499" s="620"/>
      <c r="H499" s="81"/>
      <c r="I499" s="81"/>
      <c r="J499" s="35"/>
      <c r="K499" s="36"/>
      <c r="L499" s="36"/>
      <c r="M499" s="36"/>
      <c r="N499" s="36"/>
      <c r="O499" s="36"/>
      <c r="P499" s="36"/>
      <c r="Q499" s="36"/>
      <c r="R499" s="36"/>
      <c r="S499" s="36"/>
      <c r="T499" s="36"/>
      <c r="U499" s="36"/>
      <c r="V499" s="36"/>
      <c r="W499" s="36"/>
      <c r="X499" s="36"/>
      <c r="Y499" s="36"/>
      <c r="Z499" s="36"/>
      <c r="AA499" s="36"/>
      <c r="AB499" s="36"/>
      <c r="AC499" s="36"/>
    </row>
    <row r="500" spans="1:29" ht="24" customHeight="1">
      <c r="A500" s="81"/>
      <c r="B500" s="94"/>
      <c r="C500" s="81"/>
      <c r="D500" s="81"/>
      <c r="E500" s="620"/>
      <c r="F500" s="620"/>
      <c r="G500" s="620"/>
      <c r="H500" s="81"/>
      <c r="I500" s="81"/>
      <c r="J500" s="35"/>
      <c r="K500" s="36"/>
      <c r="L500" s="36"/>
      <c r="M500" s="36"/>
      <c r="N500" s="36"/>
      <c r="O500" s="36"/>
      <c r="P500" s="36"/>
      <c r="Q500" s="36"/>
      <c r="R500" s="36"/>
      <c r="S500" s="36"/>
      <c r="T500" s="36"/>
      <c r="U500" s="36"/>
      <c r="V500" s="36"/>
      <c r="W500" s="36"/>
      <c r="X500" s="36"/>
      <c r="Y500" s="36"/>
      <c r="Z500" s="36"/>
      <c r="AA500" s="36"/>
      <c r="AB500" s="36"/>
      <c r="AC500" s="36"/>
    </row>
    <row r="501" spans="1:29" ht="60" customHeight="1">
      <c r="A501" s="81"/>
      <c r="B501" s="94"/>
      <c r="C501" s="81"/>
      <c r="D501" s="81"/>
      <c r="E501" s="620"/>
      <c r="F501" s="620"/>
      <c r="G501" s="620"/>
      <c r="H501" s="81"/>
      <c r="I501" s="81"/>
      <c r="J501" s="35"/>
      <c r="K501" s="36"/>
      <c r="L501" s="36"/>
      <c r="M501" s="36"/>
      <c r="N501" s="36"/>
      <c r="O501" s="36"/>
      <c r="P501" s="36"/>
      <c r="Q501" s="36"/>
      <c r="R501" s="36"/>
      <c r="S501" s="36"/>
      <c r="T501" s="36"/>
      <c r="U501" s="36"/>
      <c r="V501" s="36"/>
      <c r="W501" s="36"/>
      <c r="X501" s="36"/>
      <c r="Y501" s="36"/>
      <c r="Z501" s="36"/>
      <c r="AA501" s="36"/>
      <c r="AB501" s="36"/>
      <c r="AC501" s="36"/>
    </row>
    <row r="502" spans="1:29" ht="36" customHeight="1">
      <c r="A502" s="81"/>
      <c r="B502" s="94"/>
      <c r="C502" s="81"/>
      <c r="D502" s="81"/>
      <c r="E502" s="620"/>
      <c r="F502" s="620"/>
      <c r="G502" s="620"/>
      <c r="H502" s="81"/>
      <c r="I502" s="81"/>
      <c r="J502" s="35"/>
      <c r="K502" s="36"/>
      <c r="L502" s="36"/>
      <c r="M502" s="36"/>
      <c r="N502" s="36"/>
      <c r="O502" s="36"/>
      <c r="P502" s="36"/>
      <c r="Q502" s="36"/>
      <c r="R502" s="36"/>
      <c r="S502" s="36"/>
      <c r="T502" s="36"/>
      <c r="U502" s="36"/>
      <c r="V502" s="36"/>
      <c r="W502" s="36"/>
      <c r="X502" s="36"/>
      <c r="Y502" s="36"/>
      <c r="Z502" s="36"/>
      <c r="AA502" s="36"/>
      <c r="AB502" s="36"/>
      <c r="AC502" s="36"/>
    </row>
    <row r="503" spans="1:29" ht="24" customHeight="1">
      <c r="A503" s="81"/>
      <c r="B503" s="94"/>
      <c r="C503" s="81"/>
      <c r="D503" s="81"/>
      <c r="E503" s="620"/>
      <c r="F503" s="620"/>
      <c r="G503" s="620"/>
      <c r="H503" s="81"/>
      <c r="I503" s="81"/>
      <c r="J503" s="35"/>
      <c r="K503" s="36"/>
      <c r="L503" s="36"/>
      <c r="M503" s="36"/>
      <c r="N503" s="36"/>
      <c r="O503" s="36"/>
      <c r="P503" s="36"/>
      <c r="Q503" s="36"/>
      <c r="R503" s="36"/>
      <c r="S503" s="36"/>
      <c r="T503" s="36"/>
      <c r="U503" s="36"/>
      <c r="V503" s="36"/>
      <c r="W503" s="36"/>
      <c r="X503" s="36"/>
      <c r="Y503" s="36"/>
      <c r="Z503" s="36"/>
      <c r="AA503" s="36"/>
      <c r="AB503" s="36"/>
      <c r="AC503" s="36"/>
    </row>
    <row r="504" spans="1:29" ht="36" customHeight="1">
      <c r="A504" s="81"/>
      <c r="B504" s="94"/>
      <c r="C504" s="81"/>
      <c r="D504" s="81"/>
      <c r="E504" s="620"/>
      <c r="F504" s="620"/>
      <c r="G504" s="620"/>
      <c r="H504" s="81"/>
      <c r="I504" s="81"/>
      <c r="J504" s="35"/>
      <c r="K504" s="36"/>
      <c r="L504" s="36"/>
      <c r="M504" s="36"/>
      <c r="N504" s="36"/>
      <c r="O504" s="36"/>
      <c r="P504" s="36"/>
      <c r="Q504" s="36"/>
      <c r="R504" s="36"/>
      <c r="S504" s="36"/>
      <c r="T504" s="36"/>
      <c r="U504" s="36"/>
      <c r="V504" s="36"/>
      <c r="W504" s="36"/>
      <c r="X504" s="36"/>
      <c r="Y504" s="36"/>
      <c r="Z504" s="36"/>
      <c r="AA504" s="36"/>
      <c r="AB504" s="36"/>
      <c r="AC504" s="36"/>
    </row>
    <row r="505" spans="1:29" ht="48" customHeight="1">
      <c r="A505" s="81"/>
      <c r="B505" s="94"/>
      <c r="C505" s="81"/>
      <c r="D505" s="81"/>
      <c r="E505" s="620"/>
      <c r="F505" s="620"/>
      <c r="G505" s="620"/>
      <c r="H505" s="81"/>
      <c r="I505" s="81"/>
      <c r="J505" s="35"/>
      <c r="K505" s="36"/>
      <c r="L505" s="36"/>
      <c r="M505" s="36"/>
      <c r="N505" s="36"/>
      <c r="O505" s="36"/>
      <c r="P505" s="36"/>
      <c r="Q505" s="36"/>
      <c r="R505" s="36"/>
      <c r="S505" s="36"/>
      <c r="T505" s="36"/>
      <c r="U505" s="36"/>
      <c r="V505" s="36"/>
      <c r="W505" s="36"/>
      <c r="X505" s="36"/>
      <c r="Y505" s="36"/>
      <c r="Z505" s="36"/>
      <c r="AA505" s="36"/>
      <c r="AB505" s="36"/>
      <c r="AC505" s="36"/>
    </row>
    <row r="506" spans="1:29" ht="96" customHeight="1">
      <c r="A506" s="81"/>
      <c r="B506" s="94"/>
      <c r="C506" s="81"/>
      <c r="D506" s="81"/>
      <c r="E506" s="620"/>
      <c r="F506" s="620"/>
      <c r="G506" s="620"/>
      <c r="H506" s="81"/>
      <c r="I506" s="81"/>
      <c r="J506" s="35"/>
      <c r="K506" s="36"/>
      <c r="L506" s="36"/>
      <c r="M506" s="36"/>
      <c r="N506" s="36"/>
      <c r="O506" s="36"/>
      <c r="P506" s="36"/>
      <c r="Q506" s="36"/>
      <c r="R506" s="36"/>
      <c r="S506" s="36"/>
      <c r="T506" s="36"/>
      <c r="U506" s="36"/>
      <c r="V506" s="36"/>
      <c r="W506" s="36"/>
      <c r="X506" s="36"/>
      <c r="Y506" s="36"/>
      <c r="Z506" s="36"/>
      <c r="AA506" s="36"/>
      <c r="AB506" s="36"/>
      <c r="AC506" s="36"/>
    </row>
    <row r="507" spans="1:29" ht="75.75" customHeight="1">
      <c r="A507" s="81"/>
      <c r="B507" s="94"/>
      <c r="C507" s="81"/>
      <c r="D507" s="81"/>
      <c r="E507" s="620"/>
      <c r="F507" s="620"/>
      <c r="G507" s="620"/>
      <c r="H507" s="81"/>
      <c r="I507" s="81"/>
      <c r="J507" s="35"/>
      <c r="K507" s="36"/>
      <c r="L507" s="36"/>
      <c r="M507" s="36"/>
      <c r="N507" s="36"/>
      <c r="O507" s="36"/>
      <c r="P507" s="36"/>
      <c r="Q507" s="36"/>
      <c r="R507" s="36"/>
      <c r="S507" s="36"/>
      <c r="T507" s="36"/>
      <c r="U507" s="36"/>
      <c r="V507" s="36"/>
      <c r="W507" s="36"/>
      <c r="X507" s="36"/>
      <c r="Y507" s="36"/>
      <c r="Z507" s="36"/>
      <c r="AA507" s="36"/>
      <c r="AB507" s="36"/>
      <c r="AC507" s="36"/>
    </row>
    <row r="508" spans="1:29" ht="84" customHeight="1">
      <c r="A508" s="81"/>
      <c r="B508" s="94"/>
      <c r="C508" s="81"/>
      <c r="D508" s="81"/>
      <c r="E508" s="620"/>
      <c r="F508" s="620"/>
      <c r="G508" s="620"/>
      <c r="H508" s="81"/>
      <c r="I508" s="81"/>
      <c r="J508" s="35"/>
      <c r="K508" s="36"/>
      <c r="L508" s="36"/>
      <c r="M508" s="36"/>
      <c r="N508" s="36"/>
      <c r="O508" s="36"/>
      <c r="P508" s="36"/>
      <c r="Q508" s="36"/>
      <c r="R508" s="36"/>
      <c r="S508" s="36"/>
      <c r="T508" s="36"/>
      <c r="U508" s="36"/>
      <c r="V508" s="36"/>
      <c r="W508" s="36"/>
      <c r="X508" s="36"/>
      <c r="Y508" s="36"/>
      <c r="Z508" s="36"/>
      <c r="AA508" s="36"/>
      <c r="AB508" s="36"/>
      <c r="AC508" s="36"/>
    </row>
    <row r="509" spans="1:29" ht="48" customHeight="1">
      <c r="A509" s="81"/>
      <c r="B509" s="94"/>
      <c r="C509" s="81"/>
      <c r="D509" s="81"/>
      <c r="E509" s="620"/>
      <c r="F509" s="620"/>
      <c r="G509" s="620"/>
      <c r="H509" s="81"/>
      <c r="I509" s="81"/>
      <c r="J509" s="35"/>
      <c r="K509" s="36"/>
      <c r="L509" s="36"/>
      <c r="M509" s="36"/>
      <c r="N509" s="36"/>
      <c r="O509" s="36"/>
      <c r="P509" s="36"/>
      <c r="Q509" s="36"/>
      <c r="R509" s="36"/>
      <c r="S509" s="36"/>
      <c r="T509" s="36"/>
      <c r="U509" s="36"/>
      <c r="V509" s="36"/>
      <c r="W509" s="36"/>
      <c r="X509" s="36"/>
      <c r="Y509" s="36"/>
      <c r="Z509" s="36"/>
      <c r="AA509" s="36"/>
      <c r="AB509" s="36"/>
      <c r="AC509" s="36"/>
    </row>
    <row r="510" spans="1:29" ht="72" customHeight="1">
      <c r="A510" s="81"/>
      <c r="B510" s="94"/>
      <c r="C510" s="81"/>
      <c r="D510" s="81"/>
      <c r="E510" s="620"/>
      <c r="F510" s="620"/>
      <c r="G510" s="620"/>
      <c r="H510" s="81"/>
      <c r="I510" s="81"/>
      <c r="J510" s="35"/>
      <c r="K510" s="36"/>
      <c r="L510" s="36"/>
      <c r="M510" s="36"/>
      <c r="N510" s="36"/>
      <c r="O510" s="36"/>
      <c r="P510" s="36"/>
      <c r="Q510" s="36"/>
      <c r="R510" s="36"/>
      <c r="S510" s="36"/>
      <c r="T510" s="36"/>
      <c r="U510" s="36"/>
      <c r="V510" s="36"/>
      <c r="W510" s="36"/>
      <c r="X510" s="36"/>
      <c r="Y510" s="36"/>
      <c r="Z510" s="36"/>
      <c r="AA510" s="36"/>
      <c r="AB510" s="36"/>
      <c r="AC510" s="36"/>
    </row>
    <row r="511" spans="1:29" ht="53.25" customHeight="1">
      <c r="A511" s="81"/>
      <c r="B511" s="94"/>
      <c r="C511" s="81"/>
      <c r="D511" s="81"/>
      <c r="E511" s="620"/>
      <c r="F511" s="620"/>
      <c r="G511" s="620"/>
      <c r="H511" s="81"/>
      <c r="I511" s="81"/>
      <c r="J511" s="35"/>
      <c r="K511" s="36"/>
      <c r="L511" s="36"/>
      <c r="M511" s="36"/>
      <c r="N511" s="36"/>
      <c r="O511" s="36"/>
      <c r="P511" s="36"/>
      <c r="Q511" s="36"/>
      <c r="R511" s="36"/>
      <c r="S511" s="36"/>
      <c r="T511" s="36"/>
      <c r="U511" s="36"/>
      <c r="V511" s="36"/>
      <c r="W511" s="36"/>
      <c r="X511" s="36"/>
      <c r="Y511" s="36"/>
      <c r="Z511" s="36"/>
      <c r="AA511" s="36"/>
      <c r="AB511" s="36"/>
      <c r="AC511" s="36"/>
    </row>
    <row r="512" spans="1:29" ht="54" customHeight="1">
      <c r="A512" s="81"/>
      <c r="B512" s="94"/>
      <c r="C512" s="81"/>
      <c r="D512" s="81"/>
      <c r="E512" s="620"/>
      <c r="F512" s="620"/>
      <c r="G512" s="620"/>
      <c r="H512" s="81"/>
      <c r="I512" s="81"/>
      <c r="J512" s="35"/>
      <c r="K512" s="36"/>
      <c r="L512" s="36"/>
      <c r="M512" s="36"/>
      <c r="N512" s="36"/>
      <c r="O512" s="36"/>
      <c r="P512" s="36"/>
      <c r="Q512" s="36"/>
      <c r="R512" s="36"/>
      <c r="S512" s="36"/>
      <c r="T512" s="36"/>
      <c r="U512" s="36"/>
      <c r="V512" s="36"/>
      <c r="W512" s="36"/>
      <c r="X512" s="36"/>
      <c r="Y512" s="36"/>
      <c r="Z512" s="36"/>
      <c r="AA512" s="36"/>
      <c r="AB512" s="36"/>
      <c r="AC512" s="36"/>
    </row>
    <row r="513" spans="1:29" ht="57" customHeight="1">
      <c r="A513" s="81"/>
      <c r="B513" s="94"/>
      <c r="C513" s="81"/>
      <c r="D513" s="81"/>
      <c r="E513" s="620"/>
      <c r="F513" s="620"/>
      <c r="G513" s="620"/>
      <c r="H513" s="81"/>
      <c r="I513" s="81"/>
      <c r="J513" s="35"/>
      <c r="K513" s="36"/>
      <c r="L513" s="36"/>
      <c r="M513" s="36"/>
      <c r="N513" s="36"/>
      <c r="O513" s="36"/>
      <c r="P513" s="36"/>
      <c r="Q513" s="36"/>
      <c r="R513" s="36"/>
      <c r="S513" s="36"/>
      <c r="T513" s="36"/>
      <c r="U513" s="36"/>
      <c r="V513" s="36"/>
      <c r="W513" s="36"/>
      <c r="X513" s="36"/>
      <c r="Y513" s="36"/>
      <c r="Z513" s="36"/>
      <c r="AA513" s="36"/>
      <c r="AB513" s="36"/>
      <c r="AC513" s="36"/>
    </row>
    <row r="514" spans="1:29" ht="47.25" customHeight="1">
      <c r="A514" s="81"/>
      <c r="B514" s="94"/>
      <c r="C514" s="81"/>
      <c r="D514" s="81"/>
      <c r="E514" s="620"/>
      <c r="F514" s="620"/>
      <c r="G514" s="620"/>
      <c r="H514" s="81"/>
      <c r="I514" s="81"/>
      <c r="J514" s="35"/>
      <c r="K514" s="36"/>
      <c r="L514" s="36"/>
      <c r="M514" s="36"/>
      <c r="N514" s="36"/>
      <c r="O514" s="36"/>
      <c r="P514" s="36"/>
      <c r="Q514" s="36"/>
      <c r="R514" s="36"/>
      <c r="S514" s="36"/>
      <c r="T514" s="36"/>
      <c r="U514" s="36"/>
      <c r="V514" s="36"/>
      <c r="W514" s="36"/>
      <c r="X514" s="36"/>
      <c r="Y514" s="36"/>
      <c r="Z514" s="36"/>
      <c r="AA514" s="36"/>
      <c r="AB514" s="36"/>
      <c r="AC514" s="36"/>
    </row>
    <row r="515" spans="1:29" ht="36" customHeight="1">
      <c r="A515" s="81"/>
      <c r="B515" s="94"/>
      <c r="C515" s="81"/>
      <c r="D515" s="81"/>
      <c r="E515" s="620"/>
      <c r="F515" s="620"/>
      <c r="G515" s="620"/>
      <c r="H515" s="81"/>
      <c r="I515" s="81"/>
      <c r="J515" s="35"/>
      <c r="K515" s="36"/>
      <c r="L515" s="36"/>
      <c r="M515" s="36"/>
      <c r="N515" s="36"/>
      <c r="O515" s="36"/>
      <c r="P515" s="36"/>
      <c r="Q515" s="36"/>
      <c r="R515" s="36"/>
      <c r="S515" s="36"/>
      <c r="T515" s="36"/>
      <c r="U515" s="36"/>
      <c r="V515" s="36"/>
      <c r="W515" s="36"/>
      <c r="X515" s="36"/>
      <c r="Y515" s="36"/>
      <c r="Z515" s="36"/>
      <c r="AA515" s="36"/>
      <c r="AB515" s="36"/>
      <c r="AC515" s="36"/>
    </row>
    <row r="516" spans="1:29" ht="36" customHeight="1">
      <c r="A516" s="81"/>
      <c r="B516" s="94"/>
      <c r="C516" s="81"/>
      <c r="D516" s="81"/>
      <c r="E516" s="620"/>
      <c r="F516" s="620"/>
      <c r="G516" s="620"/>
      <c r="H516" s="81"/>
      <c r="I516" s="81"/>
      <c r="J516" s="35"/>
      <c r="K516" s="36"/>
      <c r="L516" s="36"/>
      <c r="M516" s="36"/>
      <c r="N516" s="36"/>
      <c r="O516" s="36"/>
      <c r="P516" s="36"/>
      <c r="Q516" s="36"/>
      <c r="R516" s="36"/>
      <c r="S516" s="36"/>
      <c r="T516" s="36"/>
      <c r="U516" s="36"/>
      <c r="V516" s="36"/>
      <c r="W516" s="36"/>
      <c r="X516" s="36"/>
      <c r="Y516" s="36"/>
      <c r="Z516" s="36"/>
      <c r="AA516" s="36"/>
      <c r="AB516" s="36"/>
      <c r="AC516" s="36"/>
    </row>
    <row r="517" spans="1:29" ht="36" customHeight="1">
      <c r="A517" s="624"/>
      <c r="B517" s="94"/>
      <c r="C517" s="81"/>
      <c r="D517" s="81"/>
      <c r="E517" s="620"/>
      <c r="F517" s="620"/>
      <c r="G517" s="620"/>
      <c r="H517" s="81"/>
      <c r="I517" s="81"/>
      <c r="J517" s="35"/>
      <c r="K517" s="36"/>
      <c r="L517" s="36"/>
      <c r="M517" s="36"/>
      <c r="N517" s="36"/>
      <c r="O517" s="36"/>
      <c r="P517" s="36"/>
      <c r="Q517" s="36"/>
      <c r="R517" s="36"/>
      <c r="S517" s="36"/>
      <c r="T517" s="36"/>
      <c r="U517" s="36"/>
      <c r="V517" s="36"/>
      <c r="W517" s="36"/>
      <c r="X517" s="36"/>
      <c r="Y517" s="36"/>
      <c r="Z517" s="36"/>
      <c r="AA517" s="36"/>
      <c r="AB517" s="36"/>
      <c r="AC517" s="36"/>
    </row>
    <row r="518" spans="1:29" ht="48" customHeight="1">
      <c r="A518" s="624"/>
      <c r="B518" s="94"/>
      <c r="C518" s="81"/>
      <c r="D518" s="81"/>
      <c r="E518" s="620"/>
      <c r="F518" s="620"/>
      <c r="G518" s="620"/>
      <c r="H518" s="81"/>
      <c r="I518" s="81"/>
      <c r="J518" s="35"/>
      <c r="K518" s="36"/>
      <c r="L518" s="36"/>
      <c r="M518" s="36"/>
      <c r="N518" s="36"/>
      <c r="O518" s="36"/>
      <c r="P518" s="36"/>
      <c r="Q518" s="36"/>
      <c r="R518" s="36"/>
      <c r="S518" s="36"/>
      <c r="T518" s="36"/>
      <c r="U518" s="36"/>
      <c r="V518" s="36"/>
      <c r="W518" s="36"/>
      <c r="X518" s="36"/>
      <c r="Y518" s="36"/>
      <c r="Z518" s="36"/>
      <c r="AA518" s="36"/>
      <c r="AB518" s="36"/>
      <c r="AC518" s="36"/>
    </row>
    <row r="519" spans="1:29" ht="36" customHeight="1">
      <c r="A519" s="624"/>
      <c r="B519" s="633"/>
      <c r="C519" s="100"/>
      <c r="D519" s="100"/>
      <c r="E519" s="627"/>
      <c r="F519" s="627"/>
      <c r="G519" s="627"/>
      <c r="H519" s="100"/>
      <c r="I519" s="100"/>
      <c r="J519" s="35"/>
      <c r="K519" s="36"/>
      <c r="L519" s="36"/>
      <c r="M519" s="36"/>
      <c r="N519" s="36"/>
      <c r="O519" s="36"/>
      <c r="P519" s="36"/>
      <c r="Q519" s="36"/>
      <c r="R519" s="36"/>
      <c r="S519" s="36"/>
      <c r="T519" s="36"/>
      <c r="U519" s="36"/>
      <c r="V519" s="36"/>
      <c r="W519" s="36"/>
      <c r="X519" s="36"/>
      <c r="Y519" s="36"/>
      <c r="Z519" s="36"/>
      <c r="AA519" s="36"/>
      <c r="AB519" s="36"/>
      <c r="AC519" s="36"/>
    </row>
    <row r="520" spans="1:29" ht="36" customHeight="1">
      <c r="A520" s="624"/>
      <c r="B520" s="633"/>
      <c r="C520" s="100"/>
      <c r="D520" s="100"/>
      <c r="E520" s="627"/>
      <c r="F520" s="627"/>
      <c r="G520" s="627"/>
      <c r="H520" s="100"/>
      <c r="I520" s="100"/>
      <c r="J520" s="35"/>
      <c r="K520" s="36"/>
      <c r="L520" s="36"/>
      <c r="M520" s="36"/>
      <c r="N520" s="36"/>
      <c r="O520" s="36"/>
      <c r="P520" s="36"/>
      <c r="Q520" s="36"/>
      <c r="R520" s="36"/>
      <c r="S520" s="36"/>
      <c r="T520" s="36"/>
      <c r="U520" s="36"/>
      <c r="V520" s="36"/>
      <c r="W520" s="36"/>
      <c r="X520" s="36"/>
      <c r="Y520" s="36"/>
      <c r="Z520" s="36"/>
      <c r="AA520" s="36"/>
      <c r="AB520" s="36"/>
      <c r="AC520" s="36"/>
    </row>
    <row r="521" spans="1:29" ht="36" customHeight="1">
      <c r="A521" s="619"/>
      <c r="B521" s="94"/>
      <c r="C521" s="81"/>
      <c r="D521" s="81"/>
      <c r="E521" s="620"/>
      <c r="F521" s="620"/>
      <c r="G521" s="620"/>
      <c r="H521" s="81"/>
      <c r="I521" s="81"/>
      <c r="J521" s="35"/>
      <c r="K521" s="36"/>
      <c r="L521" s="36"/>
      <c r="M521" s="36"/>
      <c r="N521" s="36"/>
      <c r="O521" s="36"/>
      <c r="P521" s="36"/>
      <c r="Q521" s="36"/>
      <c r="R521" s="36"/>
      <c r="S521" s="36"/>
      <c r="T521" s="36"/>
      <c r="U521" s="36"/>
      <c r="V521" s="36"/>
      <c r="W521" s="36"/>
      <c r="X521" s="36"/>
      <c r="Y521" s="36"/>
      <c r="Z521" s="36"/>
      <c r="AA521" s="36"/>
      <c r="AB521" s="36"/>
      <c r="AC521" s="36"/>
    </row>
    <row r="522" spans="1:29" ht="48" customHeight="1">
      <c r="A522" s="619"/>
      <c r="B522" s="94"/>
      <c r="C522" s="81"/>
      <c r="D522" s="81"/>
      <c r="E522" s="620"/>
      <c r="F522" s="620"/>
      <c r="G522" s="620"/>
      <c r="H522" s="81"/>
      <c r="I522" s="81"/>
      <c r="J522" s="35"/>
      <c r="K522" s="36"/>
      <c r="L522" s="36"/>
      <c r="M522" s="36"/>
      <c r="N522" s="36"/>
      <c r="O522" s="36"/>
      <c r="P522" s="36"/>
      <c r="Q522" s="36"/>
      <c r="R522" s="36"/>
      <c r="S522" s="36"/>
      <c r="T522" s="36"/>
      <c r="U522" s="36"/>
      <c r="V522" s="36"/>
      <c r="W522" s="36"/>
      <c r="X522" s="36"/>
      <c r="Y522" s="36"/>
      <c r="Z522" s="36"/>
      <c r="AA522" s="36"/>
      <c r="AB522" s="36"/>
      <c r="AC522" s="36"/>
    </row>
    <row r="523" spans="1:29" ht="36" customHeight="1">
      <c r="A523" s="619"/>
      <c r="B523" s="94"/>
      <c r="C523" s="81"/>
      <c r="D523" s="81"/>
      <c r="E523" s="620"/>
      <c r="F523" s="620"/>
      <c r="G523" s="620"/>
      <c r="H523" s="81"/>
      <c r="I523" s="81"/>
      <c r="J523" s="35"/>
      <c r="K523" s="36"/>
      <c r="L523" s="36"/>
      <c r="M523" s="36"/>
      <c r="N523" s="36"/>
      <c r="O523" s="36"/>
      <c r="P523" s="36"/>
      <c r="Q523" s="36"/>
      <c r="R523" s="36"/>
      <c r="S523" s="36"/>
      <c r="T523" s="36"/>
      <c r="U523" s="36"/>
      <c r="V523" s="36"/>
      <c r="W523" s="36"/>
      <c r="X523" s="36"/>
      <c r="Y523" s="36"/>
      <c r="Z523" s="36"/>
      <c r="AA523" s="36"/>
      <c r="AB523" s="36"/>
      <c r="AC523" s="36"/>
    </row>
    <row r="524" spans="1:29" ht="24" customHeight="1">
      <c r="A524" s="619"/>
      <c r="B524" s="94"/>
      <c r="C524" s="81"/>
      <c r="D524" s="81"/>
      <c r="E524" s="620"/>
      <c r="F524" s="620"/>
      <c r="G524" s="620"/>
      <c r="H524" s="81"/>
      <c r="I524" s="81"/>
      <c r="J524" s="35"/>
      <c r="K524" s="36"/>
      <c r="L524" s="36"/>
      <c r="M524" s="36"/>
      <c r="N524" s="36"/>
      <c r="O524" s="36"/>
      <c r="P524" s="36"/>
      <c r="Q524" s="36"/>
      <c r="R524" s="36"/>
      <c r="S524" s="36"/>
      <c r="T524" s="36"/>
      <c r="U524" s="36"/>
      <c r="V524" s="36"/>
      <c r="W524" s="36"/>
      <c r="X524" s="36"/>
      <c r="Y524" s="36"/>
      <c r="Z524" s="36"/>
      <c r="AA524" s="36"/>
      <c r="AB524" s="36"/>
      <c r="AC524" s="36"/>
    </row>
    <row r="525" spans="1:29" ht="24" customHeight="1">
      <c r="A525" s="619"/>
      <c r="B525" s="94"/>
      <c r="C525" s="81"/>
      <c r="D525" s="81"/>
      <c r="E525" s="620"/>
      <c r="F525" s="620"/>
      <c r="G525" s="620"/>
      <c r="H525" s="81"/>
      <c r="I525" s="81"/>
      <c r="J525" s="35"/>
      <c r="K525" s="36"/>
      <c r="L525" s="36"/>
      <c r="M525" s="36"/>
      <c r="N525" s="36"/>
      <c r="O525" s="36"/>
      <c r="P525" s="36"/>
      <c r="Q525" s="36"/>
      <c r="R525" s="36"/>
      <c r="S525" s="36"/>
      <c r="T525" s="36"/>
      <c r="U525" s="36"/>
      <c r="V525" s="36"/>
      <c r="W525" s="36"/>
      <c r="X525" s="36"/>
      <c r="Y525" s="36"/>
      <c r="Z525" s="36"/>
      <c r="AA525" s="36"/>
      <c r="AB525" s="36"/>
      <c r="AC525" s="36"/>
    </row>
    <row r="526" spans="1:29" ht="24" customHeight="1">
      <c r="A526" s="619"/>
      <c r="B526" s="94"/>
      <c r="C526" s="81"/>
      <c r="D526" s="81"/>
      <c r="E526" s="620"/>
      <c r="F526" s="620"/>
      <c r="G526" s="620"/>
      <c r="H526" s="81"/>
      <c r="I526" s="81"/>
      <c r="J526" s="35"/>
      <c r="K526" s="36"/>
      <c r="L526" s="36"/>
      <c r="M526" s="36"/>
      <c r="N526" s="36"/>
      <c r="O526" s="36"/>
      <c r="P526" s="36"/>
      <c r="Q526" s="36"/>
      <c r="R526" s="36"/>
      <c r="S526" s="36"/>
      <c r="T526" s="36"/>
      <c r="U526" s="36"/>
      <c r="V526" s="36"/>
      <c r="W526" s="36"/>
      <c r="X526" s="36"/>
      <c r="Y526" s="36"/>
      <c r="Z526" s="36"/>
      <c r="AA526" s="36"/>
      <c r="AB526" s="36"/>
      <c r="AC526" s="36"/>
    </row>
    <row r="527" spans="1:29" ht="24" customHeight="1">
      <c r="A527" s="619"/>
      <c r="B527" s="94"/>
      <c r="C527" s="81"/>
      <c r="D527" s="81"/>
      <c r="E527" s="620"/>
      <c r="F527" s="620"/>
      <c r="G527" s="620"/>
      <c r="H527" s="81"/>
      <c r="I527" s="81"/>
      <c r="J527" s="35"/>
      <c r="K527" s="36"/>
      <c r="L527" s="36"/>
      <c r="M527" s="36"/>
      <c r="N527" s="36"/>
      <c r="O527" s="36"/>
      <c r="P527" s="36"/>
      <c r="Q527" s="36"/>
      <c r="R527" s="36"/>
      <c r="S527" s="36"/>
      <c r="T527" s="36"/>
      <c r="U527" s="36"/>
      <c r="V527" s="36"/>
      <c r="W527" s="36"/>
      <c r="X527" s="36"/>
      <c r="Y527" s="36"/>
      <c r="Z527" s="36"/>
      <c r="AA527" s="36"/>
      <c r="AB527" s="36"/>
      <c r="AC527" s="36"/>
    </row>
    <row r="528" spans="1:29" ht="36" customHeight="1">
      <c r="A528" s="619"/>
      <c r="B528" s="94"/>
      <c r="C528" s="81"/>
      <c r="D528" s="81"/>
      <c r="E528" s="620"/>
      <c r="F528" s="620"/>
      <c r="G528" s="620"/>
      <c r="H528" s="81"/>
      <c r="I528" s="81"/>
      <c r="J528" s="35"/>
      <c r="K528" s="36"/>
      <c r="L528" s="36"/>
      <c r="M528" s="36"/>
      <c r="N528" s="36"/>
      <c r="O528" s="36"/>
      <c r="P528" s="36"/>
      <c r="Q528" s="36"/>
      <c r="R528" s="36"/>
      <c r="S528" s="36"/>
      <c r="T528" s="36"/>
      <c r="U528" s="36"/>
      <c r="V528" s="36"/>
      <c r="W528" s="36"/>
      <c r="X528" s="36"/>
      <c r="Y528" s="36"/>
      <c r="Z528" s="36"/>
      <c r="AA528" s="36"/>
      <c r="AB528" s="36"/>
      <c r="AC528" s="36"/>
    </row>
    <row r="529" spans="1:29" ht="36" customHeight="1">
      <c r="A529" s="619"/>
      <c r="B529" s="94"/>
      <c r="C529" s="81"/>
      <c r="D529" s="81"/>
      <c r="E529" s="620"/>
      <c r="F529" s="620"/>
      <c r="G529" s="620"/>
      <c r="H529" s="81"/>
      <c r="I529" s="81"/>
      <c r="J529" s="35"/>
      <c r="K529" s="36"/>
      <c r="L529" s="36"/>
      <c r="M529" s="36"/>
      <c r="N529" s="36"/>
      <c r="O529" s="36"/>
      <c r="P529" s="36"/>
      <c r="Q529" s="36"/>
      <c r="R529" s="36"/>
      <c r="S529" s="36"/>
      <c r="T529" s="36"/>
      <c r="U529" s="36"/>
      <c r="V529" s="36"/>
      <c r="W529" s="36"/>
      <c r="X529" s="36"/>
      <c r="Y529" s="36"/>
      <c r="Z529" s="36"/>
      <c r="AA529" s="36"/>
      <c r="AB529" s="36"/>
      <c r="AC529" s="36"/>
    </row>
    <row r="530" spans="1:29" ht="36" customHeight="1">
      <c r="A530" s="619"/>
      <c r="B530" s="94"/>
      <c r="C530" s="81"/>
      <c r="D530" s="81"/>
      <c r="E530" s="620"/>
      <c r="F530" s="620"/>
      <c r="G530" s="620"/>
      <c r="H530" s="81"/>
      <c r="I530" s="81"/>
      <c r="J530" s="35"/>
      <c r="K530" s="36"/>
      <c r="L530" s="36"/>
      <c r="M530" s="36"/>
      <c r="N530" s="36"/>
      <c r="O530" s="36"/>
      <c r="P530" s="36"/>
      <c r="Q530" s="36"/>
      <c r="R530" s="36"/>
      <c r="S530" s="36"/>
      <c r="T530" s="36"/>
      <c r="U530" s="36"/>
      <c r="V530" s="36"/>
      <c r="W530" s="36"/>
      <c r="X530" s="36"/>
      <c r="Y530" s="36"/>
      <c r="Z530" s="36"/>
      <c r="AA530" s="36"/>
      <c r="AB530" s="36"/>
      <c r="AC530" s="36"/>
    </row>
    <row r="531" spans="1:29" ht="24" customHeight="1">
      <c r="A531" s="619"/>
      <c r="B531" s="94"/>
      <c r="C531" s="81"/>
      <c r="D531" s="81"/>
      <c r="E531" s="620"/>
      <c r="F531" s="620"/>
      <c r="G531" s="620"/>
      <c r="H531" s="81"/>
      <c r="I531" s="81"/>
      <c r="J531" s="35"/>
      <c r="K531" s="36"/>
      <c r="L531" s="36"/>
      <c r="M531" s="36"/>
      <c r="N531" s="36"/>
      <c r="O531" s="36"/>
      <c r="P531" s="36"/>
      <c r="Q531" s="36"/>
      <c r="R531" s="36"/>
      <c r="S531" s="36"/>
      <c r="T531" s="36"/>
      <c r="U531" s="36"/>
      <c r="V531" s="36"/>
      <c r="W531" s="36"/>
      <c r="X531" s="36"/>
      <c r="Y531" s="36"/>
      <c r="Z531" s="36"/>
      <c r="AA531" s="36"/>
      <c r="AB531" s="36"/>
      <c r="AC531" s="36"/>
    </row>
    <row r="532" spans="1:29" ht="24" customHeight="1">
      <c r="A532" s="619"/>
      <c r="B532" s="94"/>
      <c r="C532" s="81"/>
      <c r="D532" s="81"/>
      <c r="E532" s="620"/>
      <c r="F532" s="620"/>
      <c r="G532" s="620"/>
      <c r="H532" s="81"/>
      <c r="I532" s="81"/>
      <c r="J532" s="35"/>
      <c r="K532" s="36"/>
      <c r="L532" s="36"/>
      <c r="M532" s="36"/>
      <c r="N532" s="36"/>
      <c r="O532" s="36"/>
      <c r="P532" s="36"/>
      <c r="Q532" s="36"/>
      <c r="R532" s="36"/>
      <c r="S532" s="36"/>
      <c r="T532" s="36"/>
      <c r="U532" s="36"/>
      <c r="V532" s="36"/>
      <c r="W532" s="36"/>
      <c r="X532" s="36"/>
      <c r="Y532" s="36"/>
      <c r="Z532" s="36"/>
      <c r="AA532" s="36"/>
      <c r="AB532" s="36"/>
      <c r="AC532" s="36"/>
    </row>
    <row r="533" spans="1:29" ht="24" customHeight="1">
      <c r="A533" s="619"/>
      <c r="B533" s="94"/>
      <c r="C533" s="81"/>
      <c r="D533" s="81"/>
      <c r="E533" s="620"/>
      <c r="F533" s="620"/>
      <c r="G533" s="620"/>
      <c r="H533" s="81"/>
      <c r="I533" s="81"/>
      <c r="J533" s="35"/>
      <c r="K533" s="36"/>
      <c r="L533" s="36"/>
      <c r="M533" s="36"/>
      <c r="N533" s="36"/>
      <c r="O533" s="36"/>
      <c r="P533" s="36"/>
      <c r="Q533" s="36"/>
      <c r="R533" s="36"/>
      <c r="S533" s="36"/>
      <c r="T533" s="36"/>
      <c r="U533" s="36"/>
      <c r="V533" s="36"/>
      <c r="W533" s="36"/>
      <c r="X533" s="36"/>
      <c r="Y533" s="36"/>
      <c r="Z533" s="36"/>
      <c r="AA533" s="36"/>
      <c r="AB533" s="36"/>
      <c r="AC533" s="36"/>
    </row>
    <row r="534" spans="1:29" ht="36" customHeight="1">
      <c r="A534" s="619"/>
      <c r="B534" s="94"/>
      <c r="C534" s="81"/>
      <c r="D534" s="81"/>
      <c r="E534" s="620"/>
      <c r="F534" s="620"/>
      <c r="G534" s="620"/>
      <c r="H534" s="81"/>
      <c r="I534" s="81"/>
      <c r="J534" s="35"/>
      <c r="K534" s="36"/>
      <c r="L534" s="36"/>
      <c r="M534" s="36"/>
      <c r="N534" s="36"/>
      <c r="O534" s="36"/>
      <c r="P534" s="36"/>
      <c r="Q534" s="36"/>
      <c r="R534" s="36"/>
      <c r="S534" s="36"/>
      <c r="T534" s="36"/>
      <c r="U534" s="36"/>
      <c r="V534" s="36"/>
      <c r="W534" s="36"/>
      <c r="X534" s="36"/>
      <c r="Y534" s="36"/>
      <c r="Z534" s="36"/>
      <c r="AA534" s="36"/>
      <c r="AB534" s="36"/>
      <c r="AC534" s="36"/>
    </row>
    <row r="535" spans="1:29" ht="24" customHeight="1">
      <c r="A535" s="619"/>
      <c r="B535" s="94"/>
      <c r="C535" s="81"/>
      <c r="D535" s="81"/>
      <c r="E535" s="620"/>
      <c r="F535" s="620"/>
      <c r="G535" s="620"/>
      <c r="H535" s="81"/>
      <c r="I535" s="81"/>
      <c r="J535" s="35"/>
      <c r="K535" s="36"/>
      <c r="L535" s="36"/>
      <c r="M535" s="36"/>
      <c r="N535" s="36"/>
      <c r="O535" s="36"/>
      <c r="P535" s="36"/>
      <c r="Q535" s="36"/>
      <c r="R535" s="36"/>
      <c r="S535" s="36"/>
      <c r="T535" s="36"/>
      <c r="U535" s="36"/>
      <c r="V535" s="36"/>
      <c r="W535" s="36"/>
      <c r="X535" s="36"/>
      <c r="Y535" s="36"/>
      <c r="Z535" s="36"/>
      <c r="AA535" s="36"/>
      <c r="AB535" s="36"/>
      <c r="AC535" s="36"/>
    </row>
    <row r="536" spans="1:29" ht="48" customHeight="1">
      <c r="A536" s="619"/>
      <c r="B536" s="94"/>
      <c r="C536" s="81"/>
      <c r="D536" s="81"/>
      <c r="E536" s="620"/>
      <c r="F536" s="620"/>
      <c r="G536" s="620"/>
      <c r="H536" s="81"/>
      <c r="I536" s="81"/>
      <c r="J536" s="35"/>
      <c r="K536" s="36"/>
      <c r="L536" s="36"/>
      <c r="M536" s="36"/>
      <c r="N536" s="36"/>
      <c r="O536" s="36"/>
      <c r="P536" s="36"/>
      <c r="Q536" s="36"/>
      <c r="R536" s="36"/>
      <c r="S536" s="36"/>
      <c r="T536" s="36"/>
      <c r="U536" s="36"/>
      <c r="V536" s="36"/>
      <c r="W536" s="36"/>
      <c r="X536" s="36"/>
      <c r="Y536" s="36"/>
      <c r="Z536" s="36"/>
      <c r="AA536" s="36"/>
      <c r="AB536" s="36"/>
      <c r="AC536" s="36"/>
    </row>
    <row r="537" spans="1:29" ht="12" customHeight="1">
      <c r="A537" s="619"/>
      <c r="B537" s="94"/>
      <c r="C537" s="81"/>
      <c r="D537" s="81"/>
      <c r="E537" s="620"/>
      <c r="F537" s="620"/>
      <c r="G537" s="620"/>
      <c r="H537" s="81"/>
      <c r="I537" s="81"/>
      <c r="J537" s="35"/>
      <c r="K537" s="36"/>
      <c r="L537" s="36"/>
      <c r="M537" s="36"/>
      <c r="N537" s="36"/>
      <c r="O537" s="36"/>
      <c r="P537" s="36"/>
      <c r="Q537" s="36"/>
      <c r="R537" s="36"/>
      <c r="S537" s="36"/>
      <c r="T537" s="36"/>
      <c r="U537" s="36"/>
      <c r="V537" s="36"/>
      <c r="W537" s="36"/>
      <c r="X537" s="36"/>
      <c r="Y537" s="36"/>
      <c r="Z537" s="36"/>
      <c r="AA537" s="36"/>
      <c r="AB537" s="36"/>
      <c r="AC537" s="36"/>
    </row>
    <row r="538" spans="1:29" ht="24" customHeight="1">
      <c r="A538" s="619"/>
      <c r="B538" s="94"/>
      <c r="C538" s="81"/>
      <c r="D538" s="81"/>
      <c r="E538" s="620"/>
      <c r="F538" s="620"/>
      <c r="G538" s="620"/>
      <c r="H538" s="81"/>
      <c r="I538" s="81"/>
      <c r="J538" s="35"/>
      <c r="K538" s="36"/>
      <c r="L538" s="36"/>
      <c r="M538" s="36"/>
      <c r="N538" s="36"/>
      <c r="O538" s="36"/>
      <c r="P538" s="36"/>
      <c r="Q538" s="36"/>
      <c r="R538" s="36"/>
      <c r="S538" s="36"/>
      <c r="T538" s="36"/>
      <c r="U538" s="36"/>
      <c r="V538" s="36"/>
      <c r="W538" s="36"/>
      <c r="X538" s="36"/>
      <c r="Y538" s="36"/>
      <c r="Z538" s="36"/>
      <c r="AA538" s="36"/>
      <c r="AB538" s="36"/>
      <c r="AC538" s="36"/>
    </row>
    <row r="539" spans="1:29" ht="48" customHeight="1">
      <c r="A539" s="619"/>
      <c r="B539" s="94"/>
      <c r="C539" s="81"/>
      <c r="D539" s="81"/>
      <c r="E539" s="620"/>
      <c r="F539" s="620"/>
      <c r="G539" s="620"/>
      <c r="H539" s="81"/>
      <c r="I539" s="81"/>
      <c r="J539" s="35"/>
      <c r="K539" s="36"/>
      <c r="L539" s="36"/>
      <c r="M539" s="36"/>
      <c r="N539" s="36"/>
      <c r="O539" s="36"/>
      <c r="P539" s="36"/>
      <c r="Q539" s="36"/>
      <c r="R539" s="36"/>
      <c r="S539" s="36"/>
      <c r="T539" s="36"/>
      <c r="U539" s="36"/>
      <c r="V539" s="36"/>
      <c r="W539" s="36"/>
      <c r="X539" s="36"/>
      <c r="Y539" s="36"/>
      <c r="Z539" s="36"/>
      <c r="AA539" s="36"/>
      <c r="AB539" s="36"/>
      <c r="AC539" s="36"/>
    </row>
    <row r="540" spans="1:29" ht="36" customHeight="1">
      <c r="A540" s="619"/>
      <c r="B540" s="94"/>
      <c r="C540" s="81"/>
      <c r="D540" s="81"/>
      <c r="E540" s="620"/>
      <c r="F540" s="620"/>
      <c r="G540" s="620"/>
      <c r="H540" s="81"/>
      <c r="I540" s="81"/>
      <c r="J540" s="35"/>
      <c r="K540" s="36"/>
      <c r="L540" s="36"/>
      <c r="M540" s="36"/>
      <c r="N540" s="36"/>
      <c r="O540" s="36"/>
      <c r="P540" s="36"/>
      <c r="Q540" s="36"/>
      <c r="R540" s="36"/>
      <c r="S540" s="36"/>
      <c r="T540" s="36"/>
      <c r="U540" s="36"/>
      <c r="V540" s="36"/>
      <c r="W540" s="36"/>
      <c r="X540" s="36"/>
      <c r="Y540" s="36"/>
      <c r="Z540" s="36"/>
      <c r="AA540" s="36"/>
      <c r="AB540" s="36"/>
      <c r="AC540" s="36"/>
    </row>
    <row r="541" spans="1:29" ht="36" customHeight="1">
      <c r="A541" s="619"/>
      <c r="B541" s="94"/>
      <c r="C541" s="81"/>
      <c r="D541" s="81"/>
      <c r="E541" s="620"/>
      <c r="F541" s="620"/>
      <c r="G541" s="620"/>
      <c r="H541" s="81"/>
      <c r="I541" s="81"/>
      <c r="J541" s="35"/>
      <c r="K541" s="36"/>
      <c r="L541" s="36"/>
      <c r="M541" s="36"/>
      <c r="N541" s="36"/>
      <c r="O541" s="36"/>
      <c r="P541" s="36"/>
      <c r="Q541" s="36"/>
      <c r="R541" s="36"/>
      <c r="S541" s="36"/>
      <c r="T541" s="36"/>
      <c r="U541" s="36"/>
      <c r="V541" s="36"/>
      <c r="W541" s="36"/>
      <c r="X541" s="36"/>
      <c r="Y541" s="36"/>
      <c r="Z541" s="36"/>
      <c r="AA541" s="36"/>
      <c r="AB541" s="36"/>
      <c r="AC541" s="36"/>
    </row>
    <row r="542" spans="1:29" ht="36" customHeight="1">
      <c r="A542" s="619"/>
      <c r="B542" s="94"/>
      <c r="C542" s="81"/>
      <c r="D542" s="81"/>
      <c r="E542" s="620"/>
      <c r="F542" s="620"/>
      <c r="G542" s="620"/>
      <c r="H542" s="81"/>
      <c r="I542" s="81"/>
      <c r="J542" s="35"/>
      <c r="K542" s="36"/>
      <c r="L542" s="36"/>
      <c r="M542" s="36"/>
      <c r="N542" s="36"/>
      <c r="O542" s="36"/>
      <c r="P542" s="36"/>
      <c r="Q542" s="36"/>
      <c r="R542" s="36"/>
      <c r="S542" s="36"/>
      <c r="T542" s="36"/>
      <c r="U542" s="36"/>
      <c r="V542" s="36"/>
      <c r="W542" s="36"/>
      <c r="X542" s="36"/>
      <c r="Y542" s="36"/>
      <c r="Z542" s="36"/>
      <c r="AA542" s="36"/>
      <c r="AB542" s="36"/>
      <c r="AC542" s="36"/>
    </row>
    <row r="543" spans="1:29" ht="24" customHeight="1">
      <c r="A543" s="81"/>
      <c r="B543" s="94"/>
      <c r="C543" s="81"/>
      <c r="D543" s="81"/>
      <c r="E543" s="620"/>
      <c r="F543" s="620"/>
      <c r="G543" s="620"/>
      <c r="H543" s="81"/>
      <c r="I543" s="81"/>
      <c r="J543" s="35"/>
      <c r="K543" s="36"/>
      <c r="L543" s="36"/>
      <c r="M543" s="36"/>
      <c r="N543" s="36"/>
      <c r="O543" s="36"/>
      <c r="P543" s="36"/>
      <c r="Q543" s="36"/>
      <c r="R543" s="36"/>
      <c r="S543" s="36"/>
      <c r="T543" s="36"/>
      <c r="U543" s="36"/>
      <c r="V543" s="36"/>
      <c r="W543" s="36"/>
      <c r="X543" s="36"/>
      <c r="Y543" s="36"/>
      <c r="Z543" s="36"/>
      <c r="AA543" s="36"/>
      <c r="AB543" s="36"/>
      <c r="AC543" s="36"/>
    </row>
    <row r="544" spans="1:29" ht="36" customHeight="1">
      <c r="A544" s="81"/>
      <c r="B544" s="94"/>
      <c r="C544" s="81"/>
      <c r="D544" s="81"/>
      <c r="E544" s="620"/>
      <c r="F544" s="620"/>
      <c r="G544" s="620"/>
      <c r="H544" s="81"/>
      <c r="I544" s="81"/>
      <c r="J544" s="35"/>
      <c r="K544" s="36"/>
      <c r="L544" s="36"/>
      <c r="M544" s="36"/>
      <c r="N544" s="36"/>
      <c r="O544" s="36"/>
      <c r="P544" s="36"/>
      <c r="Q544" s="36"/>
      <c r="R544" s="36"/>
      <c r="S544" s="36"/>
      <c r="T544" s="36"/>
      <c r="U544" s="36"/>
      <c r="V544" s="36"/>
      <c r="W544" s="36"/>
      <c r="X544" s="36"/>
      <c r="Y544" s="36"/>
      <c r="Z544" s="36"/>
      <c r="AA544" s="36"/>
      <c r="AB544" s="36"/>
      <c r="AC544" s="36"/>
    </row>
    <row r="545" spans="1:29" ht="36" customHeight="1">
      <c r="A545" s="81"/>
      <c r="B545" s="94"/>
      <c r="C545" s="81"/>
      <c r="D545" s="81"/>
      <c r="E545" s="620"/>
      <c r="F545" s="620"/>
      <c r="G545" s="620"/>
      <c r="H545" s="81"/>
      <c r="I545" s="81"/>
      <c r="J545" s="35"/>
      <c r="K545" s="36"/>
      <c r="L545" s="36"/>
      <c r="M545" s="36"/>
      <c r="N545" s="36"/>
      <c r="O545" s="36"/>
      <c r="P545" s="36"/>
      <c r="Q545" s="36"/>
      <c r="R545" s="36"/>
      <c r="S545" s="36"/>
      <c r="T545" s="36"/>
      <c r="U545" s="36"/>
      <c r="V545" s="36"/>
      <c r="W545" s="36"/>
      <c r="X545" s="36"/>
      <c r="Y545" s="36"/>
      <c r="Z545" s="36"/>
      <c r="AA545" s="36"/>
      <c r="AB545" s="36"/>
      <c r="AC545" s="36"/>
    </row>
    <row r="546" spans="1:29" ht="60" customHeight="1">
      <c r="A546" s="81"/>
      <c r="B546" s="94"/>
      <c r="C546" s="81"/>
      <c r="D546" s="81"/>
      <c r="E546" s="620"/>
      <c r="F546" s="620"/>
      <c r="G546" s="620"/>
      <c r="H546" s="81"/>
      <c r="I546" s="81"/>
      <c r="J546" s="35"/>
      <c r="K546" s="36"/>
      <c r="L546" s="36"/>
      <c r="M546" s="36"/>
      <c r="N546" s="36"/>
      <c r="O546" s="36"/>
      <c r="P546" s="36"/>
      <c r="Q546" s="36"/>
      <c r="R546" s="36"/>
      <c r="S546" s="36"/>
      <c r="T546" s="36"/>
      <c r="U546" s="36"/>
      <c r="V546" s="36"/>
      <c r="W546" s="36"/>
      <c r="X546" s="36"/>
      <c r="Y546" s="36"/>
      <c r="Z546" s="36"/>
      <c r="AA546" s="36"/>
      <c r="AB546" s="36"/>
      <c r="AC546" s="36"/>
    </row>
    <row r="547" spans="1:29" ht="24" customHeight="1">
      <c r="A547" s="81"/>
      <c r="B547" s="94"/>
      <c r="C547" s="81"/>
      <c r="D547" s="81"/>
      <c r="E547" s="620"/>
      <c r="F547" s="620"/>
      <c r="G547" s="620"/>
      <c r="H547" s="81"/>
      <c r="I547" s="81"/>
      <c r="J547" s="35"/>
      <c r="K547" s="36"/>
      <c r="L547" s="36"/>
      <c r="M547" s="36"/>
      <c r="N547" s="36"/>
      <c r="O547" s="36"/>
      <c r="P547" s="36"/>
      <c r="Q547" s="36"/>
      <c r="R547" s="36"/>
      <c r="S547" s="36"/>
      <c r="T547" s="36"/>
      <c r="U547" s="36"/>
      <c r="V547" s="36"/>
      <c r="W547" s="36"/>
      <c r="X547" s="36"/>
      <c r="Y547" s="36"/>
      <c r="Z547" s="36"/>
      <c r="AA547" s="36"/>
      <c r="AB547" s="36"/>
      <c r="AC547" s="36"/>
    </row>
    <row r="548" spans="1:29" ht="24" customHeight="1">
      <c r="A548" s="81"/>
      <c r="B548" s="94"/>
      <c r="C548" s="81"/>
      <c r="D548" s="81"/>
      <c r="E548" s="620"/>
      <c r="F548" s="620"/>
      <c r="G548" s="620"/>
      <c r="H548" s="81"/>
      <c r="I548" s="81"/>
      <c r="J548" s="35"/>
      <c r="K548" s="36"/>
      <c r="L548" s="36"/>
      <c r="M548" s="36"/>
      <c r="N548" s="36"/>
      <c r="O548" s="36"/>
      <c r="P548" s="36"/>
      <c r="Q548" s="36"/>
      <c r="R548" s="36"/>
      <c r="S548" s="36"/>
      <c r="T548" s="36"/>
      <c r="U548" s="36"/>
      <c r="V548" s="36"/>
      <c r="W548" s="36"/>
      <c r="X548" s="36"/>
      <c r="Y548" s="36"/>
      <c r="Z548" s="36"/>
      <c r="AA548" s="36"/>
      <c r="AB548" s="36"/>
      <c r="AC548" s="36"/>
    </row>
    <row r="549" spans="1:29" ht="24" customHeight="1">
      <c r="A549" s="81"/>
      <c r="B549" s="94"/>
      <c r="C549" s="81"/>
      <c r="D549" s="81"/>
      <c r="E549" s="620"/>
      <c r="F549" s="620"/>
      <c r="G549" s="620"/>
      <c r="H549" s="81"/>
      <c r="I549" s="81"/>
      <c r="J549" s="35"/>
      <c r="K549" s="36"/>
      <c r="L549" s="36"/>
      <c r="M549" s="36"/>
      <c r="N549" s="36"/>
      <c r="O549" s="36"/>
      <c r="P549" s="36"/>
      <c r="Q549" s="36"/>
      <c r="R549" s="36"/>
      <c r="S549" s="36"/>
      <c r="T549" s="36"/>
      <c r="U549" s="36"/>
      <c r="V549" s="36"/>
      <c r="W549" s="36"/>
      <c r="X549" s="36"/>
      <c r="Y549" s="36"/>
      <c r="Z549" s="36"/>
      <c r="AA549" s="36"/>
      <c r="AB549" s="36"/>
      <c r="AC549" s="36"/>
    </row>
    <row r="550" spans="1:29" ht="36" customHeight="1">
      <c r="A550" s="81"/>
      <c r="B550" s="94"/>
      <c r="C550" s="81"/>
      <c r="D550" s="81"/>
      <c r="E550" s="620"/>
      <c r="F550" s="620"/>
      <c r="G550" s="620"/>
      <c r="H550" s="81"/>
      <c r="I550" s="81"/>
      <c r="J550" s="35"/>
      <c r="K550" s="36"/>
      <c r="L550" s="36"/>
      <c r="M550" s="36"/>
      <c r="N550" s="36"/>
      <c r="O550" s="36"/>
      <c r="P550" s="36"/>
      <c r="Q550" s="36"/>
      <c r="R550" s="36"/>
      <c r="S550" s="36"/>
      <c r="T550" s="36"/>
      <c r="U550" s="36"/>
      <c r="V550" s="36"/>
      <c r="W550" s="36"/>
      <c r="X550" s="36"/>
      <c r="Y550" s="36"/>
      <c r="Z550" s="36"/>
      <c r="AA550" s="36"/>
      <c r="AB550" s="36"/>
      <c r="AC550" s="36"/>
    </row>
    <row r="551" spans="1:29" ht="36" customHeight="1">
      <c r="A551" s="81"/>
      <c r="B551" s="94"/>
      <c r="C551" s="81"/>
      <c r="D551" s="81"/>
      <c r="E551" s="620"/>
      <c r="F551" s="620"/>
      <c r="G551" s="620"/>
      <c r="H551" s="81"/>
      <c r="I551" s="81"/>
      <c r="J551" s="35"/>
      <c r="K551" s="36"/>
      <c r="L551" s="36"/>
      <c r="M551" s="36"/>
      <c r="N551" s="36"/>
      <c r="O551" s="36"/>
      <c r="P551" s="36"/>
      <c r="Q551" s="36"/>
      <c r="R551" s="36"/>
      <c r="S551" s="36"/>
      <c r="T551" s="36"/>
      <c r="U551" s="36"/>
      <c r="V551" s="36"/>
      <c r="W551" s="36"/>
      <c r="X551" s="36"/>
      <c r="Y551" s="36"/>
      <c r="Z551" s="36"/>
      <c r="AA551" s="36"/>
      <c r="AB551" s="36"/>
      <c r="AC551" s="36"/>
    </row>
    <row r="552" spans="1:29" ht="48" customHeight="1">
      <c r="A552" s="81"/>
      <c r="B552" s="94"/>
      <c r="C552" s="81"/>
      <c r="D552" s="81"/>
      <c r="E552" s="620"/>
      <c r="F552" s="620"/>
      <c r="G552" s="620"/>
      <c r="H552" s="81"/>
      <c r="I552" s="81"/>
      <c r="J552" s="35"/>
      <c r="K552" s="36"/>
      <c r="L552" s="36"/>
      <c r="M552" s="36"/>
      <c r="N552" s="36"/>
      <c r="O552" s="36"/>
      <c r="P552" s="36"/>
      <c r="Q552" s="36"/>
      <c r="R552" s="36"/>
      <c r="S552" s="36"/>
      <c r="T552" s="36"/>
      <c r="U552" s="36"/>
      <c r="V552" s="36"/>
      <c r="W552" s="36"/>
      <c r="X552" s="36"/>
      <c r="Y552" s="36"/>
      <c r="Z552" s="36"/>
      <c r="AA552" s="36"/>
      <c r="AB552" s="36"/>
      <c r="AC552" s="36"/>
    </row>
    <row r="553" spans="1:29" ht="48" customHeight="1">
      <c r="A553" s="81"/>
      <c r="B553" s="94"/>
      <c r="C553" s="81"/>
      <c r="D553" s="81"/>
      <c r="E553" s="620"/>
      <c r="F553" s="620"/>
      <c r="G553" s="620"/>
      <c r="H553" s="81"/>
      <c r="I553" s="81"/>
      <c r="J553" s="35"/>
      <c r="K553" s="36"/>
      <c r="L553" s="36"/>
      <c r="M553" s="36"/>
      <c r="N553" s="36"/>
      <c r="O553" s="36"/>
      <c r="P553" s="36"/>
      <c r="Q553" s="36"/>
      <c r="R553" s="36"/>
      <c r="S553" s="36"/>
      <c r="T553" s="36"/>
      <c r="U553" s="36"/>
      <c r="V553" s="36"/>
      <c r="W553" s="36"/>
      <c r="X553" s="36"/>
      <c r="Y553" s="36"/>
      <c r="Z553" s="36"/>
      <c r="AA553" s="36"/>
      <c r="AB553" s="36"/>
      <c r="AC553" s="36"/>
    </row>
    <row r="554" spans="1:29" ht="36" customHeight="1">
      <c r="A554" s="81"/>
      <c r="B554" s="94"/>
      <c r="C554" s="81"/>
      <c r="D554" s="81"/>
      <c r="E554" s="620"/>
      <c r="F554" s="620"/>
      <c r="G554" s="620"/>
      <c r="H554" s="81"/>
      <c r="I554" s="81"/>
      <c r="J554" s="35"/>
      <c r="K554" s="36"/>
      <c r="L554" s="36"/>
      <c r="M554" s="36"/>
      <c r="N554" s="36"/>
      <c r="O554" s="36"/>
      <c r="P554" s="36"/>
      <c r="Q554" s="36"/>
      <c r="R554" s="36"/>
      <c r="S554" s="36"/>
      <c r="T554" s="36"/>
      <c r="U554" s="36"/>
      <c r="V554" s="36"/>
      <c r="W554" s="36"/>
      <c r="X554" s="36"/>
      <c r="Y554" s="36"/>
      <c r="Z554" s="36"/>
      <c r="AA554" s="36"/>
      <c r="AB554" s="36"/>
      <c r="AC554" s="36"/>
    </row>
    <row r="555" spans="1:29" ht="36" customHeight="1">
      <c r="A555" s="81"/>
      <c r="B555" s="94"/>
      <c r="C555" s="81"/>
      <c r="D555" s="81"/>
      <c r="E555" s="620"/>
      <c r="F555" s="620"/>
      <c r="G555" s="620"/>
      <c r="H555" s="81"/>
      <c r="I555" s="81"/>
      <c r="J555" s="35"/>
      <c r="K555" s="36"/>
      <c r="L555" s="36"/>
      <c r="M555" s="36"/>
      <c r="N555" s="36"/>
      <c r="O555" s="36"/>
      <c r="P555" s="36"/>
      <c r="Q555" s="36"/>
      <c r="R555" s="36"/>
      <c r="S555" s="36"/>
      <c r="T555" s="36"/>
      <c r="U555" s="36"/>
      <c r="V555" s="36"/>
      <c r="W555" s="36"/>
      <c r="X555" s="36"/>
      <c r="Y555" s="36"/>
      <c r="Z555" s="36"/>
      <c r="AA555" s="36"/>
      <c r="AB555" s="36"/>
      <c r="AC555" s="36"/>
    </row>
    <row r="556" spans="1:29" ht="48" customHeight="1">
      <c r="A556" s="81"/>
      <c r="B556" s="94"/>
      <c r="C556" s="81"/>
      <c r="D556" s="81"/>
      <c r="E556" s="620"/>
      <c r="F556" s="620"/>
      <c r="G556" s="620"/>
      <c r="H556" s="81"/>
      <c r="I556" s="81"/>
      <c r="J556" s="35"/>
      <c r="K556" s="36"/>
      <c r="L556" s="36"/>
      <c r="M556" s="36"/>
      <c r="N556" s="36"/>
      <c r="O556" s="36"/>
      <c r="P556" s="36"/>
      <c r="Q556" s="36"/>
      <c r="R556" s="36"/>
      <c r="S556" s="36"/>
      <c r="T556" s="36"/>
      <c r="U556" s="36"/>
      <c r="V556" s="36"/>
      <c r="W556" s="36"/>
      <c r="X556" s="36"/>
      <c r="Y556" s="36"/>
      <c r="Z556" s="36"/>
      <c r="AA556" s="36"/>
      <c r="AB556" s="36"/>
      <c r="AC556" s="36"/>
    </row>
    <row r="557" spans="1:29" ht="48" customHeight="1">
      <c r="A557" s="81"/>
      <c r="B557" s="94"/>
      <c r="C557" s="81"/>
      <c r="D557" s="81"/>
      <c r="E557" s="620"/>
      <c r="F557" s="620"/>
      <c r="G557" s="620"/>
      <c r="H557" s="81"/>
      <c r="I557" s="81"/>
      <c r="J557" s="35"/>
      <c r="K557" s="36"/>
      <c r="L557" s="36"/>
      <c r="M557" s="36"/>
      <c r="N557" s="36"/>
      <c r="O557" s="36"/>
      <c r="P557" s="36"/>
      <c r="Q557" s="36"/>
      <c r="R557" s="36"/>
      <c r="S557" s="36"/>
      <c r="T557" s="36"/>
      <c r="U557" s="36"/>
      <c r="V557" s="36"/>
      <c r="W557" s="36"/>
      <c r="X557" s="36"/>
      <c r="Y557" s="36"/>
      <c r="Z557" s="36"/>
      <c r="AA557" s="36"/>
      <c r="AB557" s="36"/>
      <c r="AC557" s="36"/>
    </row>
    <row r="558" spans="1:29" ht="36" customHeight="1">
      <c r="A558" s="81"/>
      <c r="B558" s="94"/>
      <c r="C558" s="81"/>
      <c r="D558" s="81"/>
      <c r="E558" s="620"/>
      <c r="F558" s="620"/>
      <c r="G558" s="620"/>
      <c r="H558" s="81"/>
      <c r="I558" s="81"/>
      <c r="J558" s="35"/>
      <c r="K558" s="36"/>
      <c r="L558" s="36"/>
      <c r="M558" s="36"/>
      <c r="N558" s="36"/>
      <c r="O558" s="36"/>
      <c r="P558" s="36"/>
      <c r="Q558" s="36"/>
      <c r="R558" s="36"/>
      <c r="S558" s="36"/>
      <c r="T558" s="36"/>
      <c r="U558" s="36"/>
      <c r="V558" s="36"/>
      <c r="W558" s="36"/>
      <c r="X558" s="36"/>
      <c r="Y558" s="36"/>
      <c r="Z558" s="36"/>
      <c r="AA558" s="36"/>
      <c r="AB558" s="36"/>
      <c r="AC558" s="36"/>
    </row>
    <row r="559" spans="1:29" ht="48" customHeight="1">
      <c r="A559" s="81"/>
      <c r="B559" s="94"/>
      <c r="C559" s="81"/>
      <c r="D559" s="81"/>
      <c r="E559" s="620"/>
      <c r="F559" s="620"/>
      <c r="G559" s="620"/>
      <c r="H559" s="81"/>
      <c r="I559" s="81"/>
      <c r="J559" s="35"/>
      <c r="K559" s="36"/>
      <c r="L559" s="36"/>
      <c r="M559" s="36"/>
      <c r="N559" s="36"/>
      <c r="O559" s="36"/>
      <c r="P559" s="36"/>
      <c r="Q559" s="36"/>
      <c r="R559" s="36"/>
      <c r="S559" s="36"/>
      <c r="T559" s="36"/>
      <c r="U559" s="36"/>
      <c r="V559" s="36"/>
      <c r="W559" s="36"/>
      <c r="X559" s="36"/>
      <c r="Y559" s="36"/>
      <c r="Z559" s="36"/>
      <c r="AA559" s="36"/>
      <c r="AB559" s="36"/>
      <c r="AC559" s="36"/>
    </row>
    <row r="560" spans="1:29" ht="84" customHeight="1">
      <c r="A560" s="81"/>
      <c r="B560" s="94"/>
      <c r="C560" s="81"/>
      <c r="D560" s="81"/>
      <c r="E560" s="620"/>
      <c r="F560" s="620"/>
      <c r="G560" s="620"/>
      <c r="H560" s="81"/>
      <c r="I560" s="81"/>
      <c r="J560" s="35"/>
      <c r="K560" s="36"/>
      <c r="L560" s="36"/>
      <c r="M560" s="36"/>
      <c r="N560" s="36"/>
      <c r="O560" s="36"/>
      <c r="P560" s="36"/>
      <c r="Q560" s="36"/>
      <c r="R560" s="36"/>
      <c r="S560" s="36"/>
      <c r="T560" s="36"/>
      <c r="U560" s="36"/>
      <c r="V560" s="36"/>
      <c r="W560" s="36"/>
      <c r="X560" s="36"/>
      <c r="Y560" s="36"/>
      <c r="Z560" s="36"/>
      <c r="AA560" s="36"/>
      <c r="AB560" s="36"/>
      <c r="AC560" s="36"/>
    </row>
    <row r="561" spans="1:29" ht="36" customHeight="1">
      <c r="A561" s="81"/>
      <c r="B561" s="94"/>
      <c r="C561" s="81"/>
      <c r="D561" s="81"/>
      <c r="E561" s="620"/>
      <c r="F561" s="620"/>
      <c r="G561" s="620"/>
      <c r="H561" s="81"/>
      <c r="I561" s="81"/>
      <c r="J561" s="35"/>
      <c r="K561" s="36"/>
      <c r="L561" s="36"/>
      <c r="M561" s="36"/>
      <c r="N561" s="36"/>
      <c r="O561" s="36"/>
      <c r="P561" s="36"/>
      <c r="Q561" s="36"/>
      <c r="R561" s="36"/>
      <c r="S561" s="36"/>
      <c r="T561" s="36"/>
      <c r="U561" s="36"/>
      <c r="V561" s="36"/>
      <c r="W561" s="36"/>
      <c r="X561" s="36"/>
      <c r="Y561" s="36"/>
      <c r="Z561" s="36"/>
      <c r="AA561" s="36"/>
      <c r="AB561" s="36"/>
      <c r="AC561" s="36"/>
    </row>
    <row r="562" spans="1:29" ht="36" customHeight="1">
      <c r="A562" s="81"/>
      <c r="B562" s="94"/>
      <c r="C562" s="81"/>
      <c r="D562" s="81"/>
      <c r="E562" s="620"/>
      <c r="F562" s="620"/>
      <c r="G562" s="620"/>
      <c r="H562" s="81"/>
      <c r="I562" s="81"/>
      <c r="J562" s="35"/>
      <c r="K562" s="36"/>
      <c r="L562" s="36"/>
      <c r="M562" s="36"/>
      <c r="N562" s="36"/>
      <c r="O562" s="36"/>
      <c r="P562" s="36"/>
      <c r="Q562" s="36"/>
      <c r="R562" s="36"/>
      <c r="S562" s="36"/>
      <c r="T562" s="36"/>
      <c r="U562" s="36"/>
      <c r="V562" s="36"/>
      <c r="W562" s="36"/>
      <c r="X562" s="36"/>
      <c r="Y562" s="36"/>
      <c r="Z562" s="36"/>
      <c r="AA562" s="36"/>
      <c r="AB562" s="36"/>
      <c r="AC562" s="36"/>
    </row>
    <row r="563" spans="1:29" ht="48" customHeight="1">
      <c r="A563" s="81"/>
      <c r="B563" s="94"/>
      <c r="C563" s="81"/>
      <c r="D563" s="81"/>
      <c r="E563" s="620"/>
      <c r="F563" s="620"/>
      <c r="G563" s="620"/>
      <c r="H563" s="81"/>
      <c r="I563" s="81"/>
      <c r="J563" s="35"/>
      <c r="K563" s="36"/>
      <c r="L563" s="36"/>
      <c r="M563" s="36"/>
      <c r="N563" s="36"/>
      <c r="O563" s="36"/>
      <c r="P563" s="36"/>
      <c r="Q563" s="36"/>
      <c r="R563" s="36"/>
      <c r="S563" s="36"/>
      <c r="T563" s="36"/>
      <c r="U563" s="36"/>
      <c r="V563" s="36"/>
      <c r="W563" s="36"/>
      <c r="X563" s="36"/>
      <c r="Y563" s="36"/>
      <c r="Z563" s="36"/>
      <c r="AA563" s="36"/>
      <c r="AB563" s="36"/>
      <c r="AC563" s="36"/>
    </row>
    <row r="564" spans="1:29" ht="36" customHeight="1">
      <c r="A564" s="81"/>
      <c r="B564" s="94"/>
      <c r="C564" s="81"/>
      <c r="D564" s="81"/>
      <c r="E564" s="620"/>
      <c r="F564" s="620"/>
      <c r="G564" s="620"/>
      <c r="H564" s="81"/>
      <c r="I564" s="81"/>
      <c r="J564" s="35"/>
      <c r="K564" s="36"/>
      <c r="L564" s="36"/>
      <c r="M564" s="36"/>
      <c r="N564" s="36"/>
      <c r="O564" s="36"/>
      <c r="P564" s="36"/>
      <c r="Q564" s="36"/>
      <c r="R564" s="36"/>
      <c r="S564" s="36"/>
      <c r="T564" s="36"/>
      <c r="U564" s="36"/>
      <c r="V564" s="36"/>
      <c r="W564" s="36"/>
      <c r="X564" s="36"/>
      <c r="Y564" s="36"/>
      <c r="Z564" s="36"/>
      <c r="AA564" s="36"/>
      <c r="AB564" s="36"/>
      <c r="AC564" s="36"/>
    </row>
    <row r="565" spans="1:29" ht="48" customHeight="1">
      <c r="A565" s="81"/>
      <c r="B565" s="94"/>
      <c r="C565" s="81"/>
      <c r="D565" s="81"/>
      <c r="E565" s="620"/>
      <c r="F565" s="620"/>
      <c r="G565" s="620"/>
      <c r="H565" s="81"/>
      <c r="I565" s="81"/>
      <c r="J565" s="35"/>
      <c r="K565" s="36"/>
      <c r="L565" s="36"/>
      <c r="M565" s="36"/>
      <c r="N565" s="36"/>
      <c r="O565" s="36"/>
      <c r="P565" s="36"/>
      <c r="Q565" s="36"/>
      <c r="R565" s="36"/>
      <c r="S565" s="36"/>
      <c r="T565" s="36"/>
      <c r="U565" s="36"/>
      <c r="V565" s="36"/>
      <c r="W565" s="36"/>
      <c r="X565" s="36"/>
      <c r="Y565" s="36"/>
      <c r="Z565" s="36"/>
      <c r="AA565" s="36"/>
      <c r="AB565" s="36"/>
      <c r="AC565" s="36"/>
    </row>
    <row r="566" spans="1:29" ht="24" customHeight="1">
      <c r="A566" s="81"/>
      <c r="B566" s="94"/>
      <c r="C566" s="81"/>
      <c r="D566" s="81"/>
      <c r="E566" s="620"/>
      <c r="F566" s="620"/>
      <c r="G566" s="620"/>
      <c r="H566" s="81"/>
      <c r="I566" s="81"/>
      <c r="J566" s="35"/>
      <c r="K566" s="36"/>
      <c r="L566" s="36"/>
      <c r="M566" s="36"/>
      <c r="N566" s="36"/>
      <c r="O566" s="36"/>
      <c r="P566" s="36"/>
      <c r="Q566" s="36"/>
      <c r="R566" s="36"/>
      <c r="S566" s="36"/>
      <c r="T566" s="36"/>
      <c r="U566" s="36"/>
      <c r="V566" s="36"/>
      <c r="W566" s="36"/>
      <c r="X566" s="36"/>
      <c r="Y566" s="36"/>
      <c r="Z566" s="36"/>
      <c r="AA566" s="36"/>
      <c r="AB566" s="36"/>
      <c r="AC566" s="36"/>
    </row>
    <row r="567" spans="1:29" ht="24" customHeight="1">
      <c r="A567" s="81"/>
      <c r="B567" s="94"/>
      <c r="C567" s="81"/>
      <c r="D567" s="81"/>
      <c r="E567" s="620"/>
      <c r="F567" s="620"/>
      <c r="G567" s="620"/>
      <c r="H567" s="81"/>
      <c r="I567" s="81"/>
      <c r="J567" s="35"/>
      <c r="K567" s="36"/>
      <c r="L567" s="36"/>
      <c r="M567" s="36"/>
      <c r="N567" s="36"/>
      <c r="O567" s="36"/>
      <c r="P567" s="36"/>
      <c r="Q567" s="36"/>
      <c r="R567" s="36"/>
      <c r="S567" s="36"/>
      <c r="T567" s="36"/>
      <c r="U567" s="36"/>
      <c r="V567" s="36"/>
      <c r="W567" s="36"/>
      <c r="X567" s="36"/>
      <c r="Y567" s="36"/>
      <c r="Z567" s="36"/>
      <c r="AA567" s="36"/>
      <c r="AB567" s="36"/>
      <c r="AC567" s="36"/>
    </row>
    <row r="568" spans="1:29" ht="12" customHeight="1">
      <c r="A568" s="81"/>
      <c r="B568" s="94"/>
      <c r="C568" s="81"/>
      <c r="D568" s="81"/>
      <c r="E568" s="620"/>
      <c r="F568" s="620"/>
      <c r="G568" s="620"/>
      <c r="H568" s="81"/>
      <c r="I568" s="81"/>
      <c r="J568" s="35"/>
      <c r="K568" s="36"/>
      <c r="L568" s="36"/>
      <c r="M568" s="36"/>
      <c r="N568" s="36"/>
      <c r="O568" s="36"/>
      <c r="P568" s="36"/>
      <c r="Q568" s="36"/>
      <c r="R568" s="36"/>
      <c r="S568" s="36"/>
      <c r="T568" s="36"/>
      <c r="U568" s="36"/>
      <c r="V568" s="36"/>
      <c r="W568" s="36"/>
      <c r="X568" s="36"/>
      <c r="Y568" s="36"/>
      <c r="Z568" s="36"/>
      <c r="AA568" s="36"/>
      <c r="AB568" s="36"/>
      <c r="AC568" s="36"/>
    </row>
    <row r="569" spans="1:29" ht="36" customHeight="1">
      <c r="A569" s="81"/>
      <c r="B569" s="94"/>
      <c r="C569" s="81"/>
      <c r="D569" s="81"/>
      <c r="E569" s="620"/>
      <c r="F569" s="620"/>
      <c r="G569" s="620"/>
      <c r="H569" s="81"/>
      <c r="I569" s="81"/>
      <c r="J569" s="35"/>
      <c r="K569" s="36"/>
      <c r="L569" s="36"/>
      <c r="M569" s="36"/>
      <c r="N569" s="36"/>
      <c r="O569" s="36"/>
      <c r="P569" s="36"/>
      <c r="Q569" s="36"/>
      <c r="R569" s="36"/>
      <c r="S569" s="36"/>
      <c r="T569" s="36"/>
      <c r="U569" s="36"/>
      <c r="V569" s="36"/>
      <c r="W569" s="36"/>
      <c r="X569" s="36"/>
      <c r="Y569" s="36"/>
      <c r="Z569" s="36"/>
      <c r="AA569" s="36"/>
      <c r="AB569" s="36"/>
      <c r="AC569" s="36"/>
    </row>
    <row r="570" spans="1:29" ht="12" customHeight="1">
      <c r="A570" s="81"/>
      <c r="B570" s="94"/>
      <c r="C570" s="81"/>
      <c r="D570" s="81"/>
      <c r="E570" s="620"/>
      <c r="F570" s="620"/>
      <c r="G570" s="620"/>
      <c r="H570" s="81"/>
      <c r="I570" s="81"/>
      <c r="J570" s="35"/>
      <c r="K570" s="36"/>
      <c r="L570" s="36"/>
      <c r="M570" s="36"/>
      <c r="N570" s="36"/>
      <c r="O570" s="36"/>
      <c r="P570" s="36"/>
      <c r="Q570" s="36"/>
      <c r="R570" s="36"/>
      <c r="S570" s="36"/>
      <c r="T570" s="36"/>
      <c r="U570" s="36"/>
      <c r="V570" s="36"/>
      <c r="W570" s="36"/>
      <c r="X570" s="36"/>
      <c r="Y570" s="36"/>
      <c r="Z570" s="36"/>
      <c r="AA570" s="36"/>
      <c r="AB570" s="36"/>
      <c r="AC570" s="36"/>
    </row>
    <row r="571" spans="1:29" ht="72" customHeight="1">
      <c r="A571" s="81"/>
      <c r="B571" s="81"/>
      <c r="C571" s="81"/>
      <c r="D571" s="81"/>
      <c r="E571" s="620"/>
      <c r="F571" s="620"/>
      <c r="G571" s="620"/>
      <c r="H571" s="81"/>
      <c r="I571" s="81"/>
      <c r="J571" s="35"/>
      <c r="K571" s="36"/>
      <c r="L571" s="36"/>
      <c r="M571" s="36"/>
      <c r="N571" s="36"/>
      <c r="O571" s="36"/>
      <c r="P571" s="36"/>
      <c r="Q571" s="36"/>
      <c r="R571" s="36"/>
      <c r="S571" s="36"/>
      <c r="T571" s="36"/>
      <c r="U571" s="36"/>
      <c r="V571" s="36"/>
      <c r="W571" s="36"/>
      <c r="X571" s="36"/>
      <c r="Y571" s="36"/>
      <c r="Z571" s="36"/>
      <c r="AA571" s="36"/>
      <c r="AB571" s="36"/>
      <c r="AC571" s="36"/>
    </row>
    <row r="572" spans="1:29" ht="108" customHeight="1">
      <c r="A572" s="81"/>
      <c r="B572" s="94"/>
      <c r="C572" s="81"/>
      <c r="D572" s="81"/>
      <c r="E572" s="620"/>
      <c r="F572" s="620"/>
      <c r="G572" s="620"/>
      <c r="H572" s="81"/>
      <c r="I572" s="81"/>
      <c r="J572" s="35"/>
      <c r="K572" s="36"/>
      <c r="L572" s="36"/>
      <c r="M572" s="36"/>
      <c r="N572" s="36"/>
      <c r="O572" s="36"/>
      <c r="P572" s="36"/>
      <c r="Q572" s="36"/>
      <c r="R572" s="36"/>
      <c r="S572" s="36"/>
      <c r="T572" s="36"/>
      <c r="U572" s="36"/>
      <c r="V572" s="36"/>
      <c r="W572" s="36"/>
      <c r="X572" s="36"/>
      <c r="Y572" s="36"/>
      <c r="Z572" s="36"/>
      <c r="AA572" s="36"/>
      <c r="AB572" s="36"/>
      <c r="AC572" s="36"/>
    </row>
    <row r="573" spans="1:29" ht="24" customHeight="1">
      <c r="A573" s="81"/>
      <c r="B573" s="94"/>
      <c r="C573" s="81"/>
      <c r="D573" s="81"/>
      <c r="E573" s="620"/>
      <c r="F573" s="620"/>
      <c r="G573" s="620"/>
      <c r="H573" s="81"/>
      <c r="I573" s="81"/>
      <c r="J573" s="35"/>
      <c r="K573" s="36"/>
      <c r="L573" s="36"/>
      <c r="M573" s="36"/>
      <c r="N573" s="36"/>
      <c r="O573" s="36"/>
      <c r="P573" s="36"/>
      <c r="Q573" s="36"/>
      <c r="R573" s="36"/>
      <c r="S573" s="36"/>
      <c r="T573" s="36"/>
      <c r="U573" s="36"/>
      <c r="V573" s="36"/>
      <c r="W573" s="36"/>
      <c r="X573" s="36"/>
      <c r="Y573" s="36"/>
      <c r="Z573" s="36"/>
      <c r="AA573" s="36"/>
      <c r="AB573" s="36"/>
      <c r="AC573" s="36"/>
    </row>
    <row r="574" spans="1:29" ht="24" customHeight="1">
      <c r="A574" s="81"/>
      <c r="B574" s="94"/>
      <c r="C574" s="81"/>
      <c r="D574" s="81"/>
      <c r="E574" s="620"/>
      <c r="F574" s="620"/>
      <c r="G574" s="620"/>
      <c r="H574" s="81"/>
      <c r="I574" s="81"/>
      <c r="J574" s="35"/>
      <c r="K574" s="36"/>
      <c r="L574" s="36"/>
      <c r="M574" s="36"/>
      <c r="N574" s="36"/>
      <c r="O574" s="36"/>
      <c r="P574" s="36"/>
      <c r="Q574" s="36"/>
      <c r="R574" s="36"/>
      <c r="S574" s="36"/>
      <c r="T574" s="36"/>
      <c r="U574" s="36"/>
      <c r="V574" s="36"/>
      <c r="W574" s="36"/>
      <c r="X574" s="36"/>
      <c r="Y574" s="36"/>
      <c r="Z574" s="36"/>
      <c r="AA574" s="36"/>
      <c r="AB574" s="36"/>
      <c r="AC574" s="36"/>
    </row>
    <row r="575" spans="1:29" ht="24" customHeight="1">
      <c r="A575" s="81"/>
      <c r="B575" s="94"/>
      <c r="C575" s="81"/>
      <c r="D575" s="81"/>
      <c r="E575" s="620"/>
      <c r="F575" s="620"/>
      <c r="G575" s="620"/>
      <c r="H575" s="81"/>
      <c r="I575" s="81"/>
      <c r="J575" s="35"/>
      <c r="K575" s="36"/>
      <c r="L575" s="36"/>
      <c r="M575" s="36"/>
      <c r="N575" s="36"/>
      <c r="O575" s="36"/>
      <c r="P575" s="36"/>
      <c r="Q575" s="36"/>
      <c r="R575" s="36"/>
      <c r="S575" s="36"/>
      <c r="T575" s="36"/>
      <c r="U575" s="36"/>
      <c r="V575" s="36"/>
      <c r="W575" s="36"/>
      <c r="X575" s="36"/>
      <c r="Y575" s="36"/>
      <c r="Z575" s="36"/>
      <c r="AA575" s="36"/>
      <c r="AB575" s="36"/>
      <c r="AC575" s="36"/>
    </row>
    <row r="576" spans="1:29" ht="24" customHeight="1">
      <c r="A576" s="81"/>
      <c r="B576" s="94"/>
      <c r="C576" s="81"/>
      <c r="D576" s="81"/>
      <c r="E576" s="620"/>
      <c r="F576" s="620"/>
      <c r="G576" s="620"/>
      <c r="H576" s="81"/>
      <c r="I576" s="81"/>
      <c r="J576" s="35"/>
      <c r="K576" s="36"/>
      <c r="L576" s="36"/>
      <c r="M576" s="36"/>
      <c r="N576" s="36"/>
      <c r="O576" s="36"/>
      <c r="P576" s="36"/>
      <c r="Q576" s="36"/>
      <c r="R576" s="36"/>
      <c r="S576" s="36"/>
      <c r="T576" s="36"/>
      <c r="U576" s="36"/>
      <c r="V576" s="36"/>
      <c r="W576" s="36"/>
      <c r="X576" s="36"/>
      <c r="Y576" s="36"/>
      <c r="Z576" s="36"/>
      <c r="AA576" s="36"/>
      <c r="AB576" s="36"/>
      <c r="AC576" s="36"/>
    </row>
    <row r="577" spans="1:29" ht="36" customHeight="1">
      <c r="A577" s="81"/>
      <c r="B577" s="94"/>
      <c r="C577" s="81"/>
      <c r="D577" s="81"/>
      <c r="E577" s="620"/>
      <c r="F577" s="620"/>
      <c r="G577" s="620"/>
      <c r="H577" s="81"/>
      <c r="I577" s="81"/>
      <c r="J577" s="35"/>
      <c r="K577" s="36"/>
      <c r="L577" s="36"/>
      <c r="M577" s="36"/>
      <c r="N577" s="36"/>
      <c r="O577" s="36"/>
      <c r="P577" s="36"/>
      <c r="Q577" s="36"/>
      <c r="R577" s="36"/>
      <c r="S577" s="36"/>
      <c r="T577" s="36"/>
      <c r="U577" s="36"/>
      <c r="V577" s="36"/>
      <c r="W577" s="36"/>
      <c r="X577" s="36"/>
      <c r="Y577" s="36"/>
      <c r="Z577" s="36"/>
      <c r="AA577" s="36"/>
      <c r="AB577" s="36"/>
      <c r="AC577" s="36"/>
    </row>
    <row r="578" spans="1:29" ht="24" customHeight="1">
      <c r="A578" s="619"/>
      <c r="B578" s="94"/>
      <c r="C578" s="81"/>
      <c r="D578" s="81"/>
      <c r="E578" s="620"/>
      <c r="F578" s="620"/>
      <c r="G578" s="620"/>
      <c r="H578" s="81"/>
      <c r="I578" s="81"/>
      <c r="J578" s="35"/>
      <c r="K578" s="36"/>
      <c r="L578" s="36"/>
      <c r="M578" s="36"/>
      <c r="N578" s="36"/>
      <c r="O578" s="36"/>
      <c r="P578" s="36"/>
      <c r="Q578" s="36"/>
      <c r="R578" s="36"/>
      <c r="S578" s="36"/>
      <c r="T578" s="36"/>
      <c r="U578" s="36"/>
      <c r="V578" s="36"/>
      <c r="W578" s="36"/>
      <c r="X578" s="36"/>
      <c r="Y578" s="36"/>
      <c r="Z578" s="36"/>
      <c r="AA578" s="36"/>
      <c r="AB578" s="36"/>
      <c r="AC578" s="36"/>
    </row>
    <row r="579" spans="1:29" ht="24" customHeight="1">
      <c r="A579" s="81"/>
      <c r="B579" s="81"/>
      <c r="C579" s="81"/>
      <c r="D579" s="81"/>
      <c r="E579" s="620"/>
      <c r="F579" s="620"/>
      <c r="G579" s="620"/>
      <c r="H579" s="81"/>
      <c r="I579" s="81"/>
      <c r="J579" s="35"/>
      <c r="K579" s="36"/>
      <c r="L579" s="36"/>
      <c r="M579" s="36"/>
      <c r="N579" s="36"/>
      <c r="O579" s="36"/>
      <c r="P579" s="36"/>
      <c r="Q579" s="36"/>
      <c r="R579" s="36"/>
      <c r="S579" s="36"/>
      <c r="T579" s="36"/>
      <c r="U579" s="36"/>
      <c r="V579" s="36"/>
      <c r="W579" s="36"/>
      <c r="X579" s="36"/>
      <c r="Y579" s="36"/>
      <c r="Z579" s="36"/>
      <c r="AA579" s="36"/>
      <c r="AB579" s="36"/>
      <c r="AC579" s="36"/>
    </row>
    <row r="580" spans="1:29" ht="36" customHeight="1">
      <c r="A580" s="81"/>
      <c r="B580" s="81"/>
      <c r="C580" s="81"/>
      <c r="D580" s="81"/>
      <c r="E580" s="620"/>
      <c r="F580" s="620"/>
      <c r="G580" s="620"/>
      <c r="H580" s="81"/>
      <c r="I580" s="81"/>
      <c r="J580" s="35"/>
      <c r="K580" s="36"/>
      <c r="L580" s="36"/>
      <c r="M580" s="36"/>
      <c r="N580" s="36"/>
      <c r="O580" s="36"/>
      <c r="P580" s="36"/>
      <c r="Q580" s="36"/>
      <c r="R580" s="36"/>
      <c r="S580" s="36"/>
      <c r="T580" s="36"/>
      <c r="U580" s="36"/>
      <c r="V580" s="36"/>
      <c r="W580" s="36"/>
      <c r="X580" s="36"/>
      <c r="Y580" s="36"/>
      <c r="Z580" s="36"/>
      <c r="AA580" s="36"/>
      <c r="AB580" s="36"/>
      <c r="AC580" s="36"/>
    </row>
    <row r="581" spans="1:29" ht="24" customHeight="1">
      <c r="A581" s="81"/>
      <c r="B581" s="81"/>
      <c r="C581" s="81"/>
      <c r="D581" s="81"/>
      <c r="E581" s="620"/>
      <c r="F581" s="620"/>
      <c r="G581" s="620"/>
      <c r="H581" s="81"/>
      <c r="I581" s="81"/>
      <c r="J581" s="35"/>
      <c r="K581" s="36"/>
      <c r="L581" s="36"/>
      <c r="M581" s="36"/>
      <c r="N581" s="36"/>
      <c r="O581" s="36"/>
      <c r="P581" s="36"/>
      <c r="Q581" s="36"/>
      <c r="R581" s="36"/>
      <c r="S581" s="36"/>
      <c r="T581" s="36"/>
      <c r="U581" s="36"/>
      <c r="V581" s="36"/>
      <c r="W581" s="36"/>
      <c r="X581" s="36"/>
      <c r="Y581" s="36"/>
      <c r="Z581" s="36"/>
      <c r="AA581" s="36"/>
      <c r="AB581" s="36"/>
      <c r="AC581" s="36"/>
    </row>
    <row r="582" spans="1:29" ht="36" customHeight="1">
      <c r="A582" s="81"/>
      <c r="B582" s="81"/>
      <c r="C582" s="81"/>
      <c r="D582" s="81"/>
      <c r="E582" s="620"/>
      <c r="F582" s="620"/>
      <c r="G582" s="620"/>
      <c r="H582" s="81"/>
      <c r="I582" s="81"/>
      <c r="J582" s="35"/>
      <c r="K582" s="36"/>
      <c r="L582" s="36"/>
      <c r="M582" s="36"/>
      <c r="N582" s="36"/>
      <c r="O582" s="36"/>
      <c r="P582" s="36"/>
      <c r="Q582" s="36"/>
      <c r="R582" s="36"/>
      <c r="S582" s="36"/>
      <c r="T582" s="36"/>
      <c r="U582" s="36"/>
      <c r="V582" s="36"/>
      <c r="W582" s="36"/>
      <c r="X582" s="36"/>
      <c r="Y582" s="36"/>
      <c r="Z582" s="36"/>
      <c r="AA582" s="36"/>
      <c r="AB582" s="36"/>
      <c r="AC582" s="36"/>
    </row>
    <row r="583" spans="1:29" ht="24" customHeight="1">
      <c r="A583" s="81"/>
      <c r="B583" s="94"/>
      <c r="C583" s="81"/>
      <c r="D583" s="81"/>
      <c r="E583" s="620"/>
      <c r="F583" s="620"/>
      <c r="G583" s="620"/>
      <c r="H583" s="81"/>
      <c r="I583" s="81"/>
      <c r="J583" s="35"/>
      <c r="K583" s="36"/>
      <c r="L583" s="36"/>
      <c r="M583" s="36"/>
      <c r="N583" s="36"/>
      <c r="O583" s="36"/>
      <c r="P583" s="36"/>
      <c r="Q583" s="36"/>
      <c r="R583" s="36"/>
      <c r="S583" s="36"/>
      <c r="T583" s="36"/>
      <c r="U583" s="36"/>
      <c r="V583" s="36"/>
      <c r="W583" s="36"/>
      <c r="X583" s="36"/>
      <c r="Y583" s="36"/>
      <c r="Z583" s="36"/>
      <c r="AA583" s="36"/>
      <c r="AB583" s="36"/>
      <c r="AC583" s="36"/>
    </row>
    <row r="584" spans="1:29" ht="24" customHeight="1">
      <c r="A584" s="81"/>
      <c r="B584" s="81"/>
      <c r="C584" s="81"/>
      <c r="D584" s="81"/>
      <c r="E584" s="620"/>
      <c r="F584" s="620"/>
      <c r="G584" s="620"/>
      <c r="H584" s="81"/>
      <c r="I584" s="81"/>
      <c r="J584" s="35"/>
      <c r="K584" s="36"/>
      <c r="L584" s="36"/>
      <c r="M584" s="36"/>
      <c r="N584" s="36"/>
      <c r="O584" s="36"/>
      <c r="P584" s="36"/>
      <c r="Q584" s="36"/>
      <c r="R584" s="36"/>
      <c r="S584" s="36"/>
      <c r="T584" s="36"/>
      <c r="U584" s="36"/>
      <c r="V584" s="36"/>
      <c r="W584" s="36"/>
      <c r="X584" s="36"/>
      <c r="Y584" s="36"/>
      <c r="Z584" s="36"/>
      <c r="AA584" s="36"/>
      <c r="AB584" s="36"/>
      <c r="AC584" s="36"/>
    </row>
    <row r="585" spans="1:29" ht="204" customHeight="1">
      <c r="A585" s="81"/>
      <c r="B585" s="81"/>
      <c r="C585" s="81"/>
      <c r="D585" s="81"/>
      <c r="E585" s="620"/>
      <c r="F585" s="620"/>
      <c r="G585" s="620"/>
      <c r="H585" s="81"/>
      <c r="I585" s="81"/>
      <c r="J585" s="35"/>
      <c r="K585" s="36"/>
      <c r="L585" s="36"/>
      <c r="M585" s="36"/>
      <c r="N585" s="36"/>
      <c r="O585" s="36"/>
      <c r="P585" s="36"/>
      <c r="Q585" s="36"/>
      <c r="R585" s="36"/>
      <c r="S585" s="36"/>
      <c r="T585" s="36"/>
      <c r="U585" s="36"/>
      <c r="V585" s="36"/>
      <c r="W585" s="36"/>
      <c r="X585" s="36"/>
      <c r="Y585" s="36"/>
      <c r="Z585" s="36"/>
      <c r="AA585" s="36"/>
      <c r="AB585" s="36"/>
      <c r="AC585" s="36"/>
    </row>
    <row r="586" spans="1:29" ht="24" customHeight="1">
      <c r="A586" s="619"/>
      <c r="B586" s="81"/>
      <c r="C586" s="81"/>
      <c r="D586" s="81"/>
      <c r="E586" s="620"/>
      <c r="F586" s="620"/>
      <c r="G586" s="620"/>
      <c r="H586" s="81"/>
      <c r="I586" s="81"/>
      <c r="J586" s="35"/>
      <c r="K586" s="36"/>
      <c r="L586" s="36"/>
      <c r="M586" s="36"/>
      <c r="N586" s="36"/>
      <c r="O586" s="36"/>
      <c r="P586" s="36"/>
      <c r="Q586" s="36"/>
      <c r="R586" s="36"/>
      <c r="S586" s="36"/>
      <c r="T586" s="36"/>
      <c r="U586" s="36"/>
      <c r="V586" s="36"/>
      <c r="W586" s="36"/>
      <c r="X586" s="36"/>
      <c r="Y586" s="36"/>
      <c r="Z586" s="36"/>
      <c r="AA586" s="36"/>
      <c r="AB586" s="36"/>
      <c r="AC586" s="36"/>
    </row>
    <row r="587" spans="1:29" ht="48" customHeight="1">
      <c r="A587" s="100"/>
      <c r="B587" s="100"/>
      <c r="C587" s="100"/>
      <c r="D587" s="100"/>
      <c r="E587" s="627"/>
      <c r="F587" s="627"/>
      <c r="G587" s="627"/>
      <c r="H587" s="100"/>
      <c r="I587" s="100"/>
      <c r="J587" s="35"/>
      <c r="K587" s="36"/>
      <c r="L587" s="36"/>
      <c r="M587" s="36"/>
      <c r="N587" s="36"/>
      <c r="O587" s="36"/>
      <c r="P587" s="36"/>
      <c r="Q587" s="36"/>
      <c r="R587" s="36"/>
      <c r="S587" s="36"/>
      <c r="T587" s="36"/>
      <c r="U587" s="36"/>
      <c r="V587" s="36"/>
      <c r="W587" s="36"/>
      <c r="X587" s="36"/>
      <c r="Y587" s="36"/>
      <c r="Z587" s="36"/>
      <c r="AA587" s="36"/>
      <c r="AB587" s="36"/>
      <c r="AC587" s="36"/>
    </row>
    <row r="588" spans="1:29" ht="48" customHeight="1">
      <c r="A588" s="81"/>
      <c r="B588" s="81"/>
      <c r="C588" s="81"/>
      <c r="D588" s="81"/>
      <c r="E588" s="620"/>
      <c r="F588" s="620"/>
      <c r="G588" s="620"/>
      <c r="H588" s="81"/>
      <c r="I588" s="81"/>
      <c r="J588" s="35"/>
      <c r="K588" s="36"/>
      <c r="L588" s="36"/>
      <c r="M588" s="36"/>
      <c r="N588" s="36"/>
      <c r="O588" s="36"/>
      <c r="P588" s="36"/>
      <c r="Q588" s="36"/>
      <c r="R588" s="36"/>
      <c r="S588" s="36"/>
      <c r="T588" s="36"/>
      <c r="U588" s="36"/>
      <c r="V588" s="36"/>
      <c r="W588" s="36"/>
      <c r="X588" s="36"/>
      <c r="Y588" s="36"/>
      <c r="Z588" s="36"/>
      <c r="AA588" s="36"/>
      <c r="AB588" s="36"/>
      <c r="AC588" s="36"/>
    </row>
    <row r="589" spans="1:29" ht="48" customHeight="1">
      <c r="A589" s="81"/>
      <c r="B589" s="81"/>
      <c r="C589" s="81"/>
      <c r="D589" s="81"/>
      <c r="E589" s="620"/>
      <c r="F589" s="620"/>
      <c r="G589" s="620"/>
      <c r="H589" s="81"/>
      <c r="I589" s="81"/>
      <c r="J589" s="35"/>
      <c r="K589" s="36"/>
      <c r="L589" s="36"/>
      <c r="M589" s="36"/>
      <c r="N589" s="36"/>
      <c r="O589" s="36"/>
      <c r="P589" s="36"/>
      <c r="Q589" s="36"/>
      <c r="R589" s="36"/>
      <c r="S589" s="36"/>
      <c r="T589" s="36"/>
      <c r="U589" s="36"/>
      <c r="V589" s="36"/>
      <c r="W589" s="36"/>
      <c r="X589" s="36"/>
      <c r="Y589" s="36"/>
      <c r="Z589" s="36"/>
      <c r="AA589" s="36"/>
      <c r="AB589" s="36"/>
      <c r="AC589" s="36"/>
    </row>
    <row r="590" spans="1:29" ht="36" customHeight="1">
      <c r="A590" s="81"/>
      <c r="B590" s="81"/>
      <c r="C590" s="81"/>
      <c r="D590" s="81"/>
      <c r="E590" s="620"/>
      <c r="F590" s="620"/>
      <c r="G590" s="620"/>
      <c r="H590" s="81"/>
      <c r="I590" s="81"/>
      <c r="J590" s="35"/>
      <c r="K590" s="36"/>
      <c r="L590" s="36"/>
      <c r="M590" s="36"/>
      <c r="N590" s="36"/>
      <c r="O590" s="36"/>
      <c r="P590" s="36"/>
      <c r="Q590" s="36"/>
      <c r="R590" s="36"/>
      <c r="S590" s="36"/>
      <c r="T590" s="36"/>
      <c r="U590" s="36"/>
      <c r="V590" s="36"/>
      <c r="W590" s="36"/>
      <c r="X590" s="36"/>
      <c r="Y590" s="36"/>
      <c r="Z590" s="36"/>
      <c r="AA590" s="36"/>
      <c r="AB590" s="36"/>
      <c r="AC590" s="36"/>
    </row>
    <row r="591" spans="1:29" ht="24" customHeight="1">
      <c r="A591" s="81"/>
      <c r="B591" s="81"/>
      <c r="C591" s="81"/>
      <c r="D591" s="81"/>
      <c r="E591" s="620"/>
      <c r="F591" s="620"/>
      <c r="G591" s="620"/>
      <c r="H591" s="81"/>
      <c r="I591" s="81"/>
      <c r="J591" s="35"/>
      <c r="K591" s="36"/>
      <c r="L591" s="36"/>
      <c r="M591" s="36"/>
      <c r="N591" s="36"/>
      <c r="O591" s="36"/>
      <c r="P591" s="36"/>
      <c r="Q591" s="36"/>
      <c r="R591" s="36"/>
      <c r="S591" s="36"/>
      <c r="T591" s="36"/>
      <c r="U591" s="36"/>
      <c r="V591" s="36"/>
      <c r="W591" s="36"/>
      <c r="X591" s="36"/>
      <c r="Y591" s="36"/>
      <c r="Z591" s="36"/>
      <c r="AA591" s="36"/>
      <c r="AB591" s="36"/>
      <c r="AC591" s="36"/>
    </row>
    <row r="592" spans="1:29" ht="24" customHeight="1">
      <c r="A592" s="81"/>
      <c r="B592" s="81"/>
      <c r="C592" s="81"/>
      <c r="D592" s="81"/>
      <c r="E592" s="620"/>
      <c r="F592" s="620"/>
      <c r="G592" s="620"/>
      <c r="H592" s="81"/>
      <c r="I592" s="81"/>
      <c r="J592" s="35"/>
      <c r="K592" s="36"/>
      <c r="L592" s="36"/>
      <c r="M592" s="36"/>
      <c r="N592" s="36"/>
      <c r="O592" s="36"/>
      <c r="P592" s="36"/>
      <c r="Q592" s="36"/>
      <c r="R592" s="36"/>
      <c r="S592" s="36"/>
      <c r="T592" s="36"/>
      <c r="U592" s="36"/>
      <c r="V592" s="36"/>
      <c r="W592" s="36"/>
      <c r="X592" s="36"/>
      <c r="Y592" s="36"/>
      <c r="Z592" s="36"/>
      <c r="AA592" s="36"/>
      <c r="AB592" s="36"/>
      <c r="AC592" s="36"/>
    </row>
    <row r="593" spans="1:29" ht="36" customHeight="1">
      <c r="A593" s="81"/>
      <c r="B593" s="81"/>
      <c r="C593" s="81"/>
      <c r="D593" s="81"/>
      <c r="E593" s="620"/>
      <c r="F593" s="620"/>
      <c r="G593" s="620"/>
      <c r="H593" s="81"/>
      <c r="I593" s="81"/>
      <c r="J593" s="35"/>
      <c r="K593" s="36"/>
      <c r="L593" s="36"/>
      <c r="M593" s="36"/>
      <c r="N593" s="36"/>
      <c r="O593" s="36"/>
      <c r="P593" s="36"/>
      <c r="Q593" s="36"/>
      <c r="R593" s="36"/>
      <c r="S593" s="36"/>
      <c r="T593" s="36"/>
      <c r="U593" s="36"/>
      <c r="V593" s="36"/>
      <c r="W593" s="36"/>
      <c r="X593" s="36"/>
      <c r="Y593" s="36"/>
      <c r="Z593" s="36"/>
      <c r="AA593" s="36"/>
      <c r="AB593" s="36"/>
      <c r="AC593" s="36"/>
    </row>
    <row r="594" spans="1:29" ht="36" customHeight="1">
      <c r="A594" s="81"/>
      <c r="B594" s="81"/>
      <c r="C594" s="81"/>
      <c r="D594" s="81"/>
      <c r="E594" s="620"/>
      <c r="F594" s="620"/>
      <c r="G594" s="620"/>
      <c r="H594" s="81"/>
      <c r="I594" s="81"/>
      <c r="J594" s="35"/>
      <c r="K594" s="36"/>
      <c r="L594" s="36"/>
      <c r="M594" s="36"/>
      <c r="N594" s="36"/>
      <c r="O594" s="36"/>
      <c r="P594" s="36"/>
      <c r="Q594" s="36"/>
      <c r="R594" s="36"/>
      <c r="S594" s="36"/>
      <c r="T594" s="36"/>
      <c r="U594" s="36"/>
      <c r="V594" s="36"/>
      <c r="W594" s="36"/>
      <c r="X594" s="36"/>
      <c r="Y594" s="36"/>
      <c r="Z594" s="36"/>
      <c r="AA594" s="36"/>
      <c r="AB594" s="36"/>
      <c r="AC594" s="36"/>
    </row>
    <row r="595" spans="1:29" ht="24" customHeight="1">
      <c r="A595" s="81"/>
      <c r="B595" s="81"/>
      <c r="C595" s="81"/>
      <c r="D595" s="81"/>
      <c r="E595" s="620"/>
      <c r="F595" s="620"/>
      <c r="G595" s="620"/>
      <c r="H595" s="81"/>
      <c r="I595" s="81"/>
      <c r="J595" s="35"/>
      <c r="K595" s="36"/>
      <c r="L595" s="36"/>
      <c r="M595" s="36"/>
      <c r="N595" s="36"/>
      <c r="O595" s="36"/>
      <c r="P595" s="36"/>
      <c r="Q595" s="36"/>
      <c r="R595" s="36"/>
      <c r="S595" s="36"/>
      <c r="T595" s="36"/>
      <c r="U595" s="36"/>
      <c r="V595" s="36"/>
      <c r="W595" s="36"/>
      <c r="X595" s="36"/>
      <c r="Y595" s="36"/>
      <c r="Z595" s="36"/>
      <c r="AA595" s="36"/>
      <c r="AB595" s="36"/>
      <c r="AC595" s="36"/>
    </row>
    <row r="596" spans="1:29" ht="36" customHeight="1">
      <c r="A596" s="81"/>
      <c r="B596" s="81"/>
      <c r="C596" s="81"/>
      <c r="D596" s="81"/>
      <c r="E596" s="620"/>
      <c r="F596" s="620"/>
      <c r="G596" s="620"/>
      <c r="H596" s="81"/>
      <c r="I596" s="81"/>
      <c r="J596" s="35"/>
      <c r="K596" s="36"/>
      <c r="L596" s="36"/>
      <c r="M596" s="36"/>
      <c r="N596" s="36"/>
      <c r="O596" s="36"/>
      <c r="P596" s="36"/>
      <c r="Q596" s="36"/>
      <c r="R596" s="36"/>
      <c r="S596" s="36"/>
      <c r="T596" s="36"/>
      <c r="U596" s="36"/>
      <c r="V596" s="36"/>
      <c r="W596" s="36"/>
      <c r="X596" s="36"/>
      <c r="Y596" s="36"/>
      <c r="Z596" s="36"/>
      <c r="AA596" s="36"/>
      <c r="AB596" s="36"/>
      <c r="AC596" s="36"/>
    </row>
    <row r="597" spans="1:29" ht="24" customHeight="1">
      <c r="A597" s="81"/>
      <c r="B597" s="81"/>
      <c r="C597" s="81"/>
      <c r="D597" s="81"/>
      <c r="E597" s="620"/>
      <c r="F597" s="620"/>
      <c r="G597" s="620"/>
      <c r="H597" s="81"/>
      <c r="I597" s="81"/>
      <c r="J597" s="240"/>
      <c r="K597" s="241"/>
      <c r="L597" s="36"/>
      <c r="M597" s="36"/>
      <c r="N597" s="36"/>
      <c r="O597" s="36"/>
      <c r="P597" s="36"/>
      <c r="Q597" s="36"/>
      <c r="R597" s="36"/>
      <c r="S597" s="36"/>
      <c r="T597" s="36"/>
      <c r="U597" s="36"/>
      <c r="V597" s="36"/>
      <c r="W597" s="36"/>
      <c r="X597" s="36"/>
      <c r="Y597" s="36"/>
      <c r="Z597" s="36"/>
      <c r="AA597" s="36"/>
      <c r="AB597" s="36"/>
      <c r="AC597" s="36"/>
    </row>
    <row r="598" spans="1:29" ht="24" customHeight="1">
      <c r="A598" s="81"/>
      <c r="B598" s="81"/>
      <c r="C598" s="81"/>
      <c r="D598" s="81"/>
      <c r="E598" s="620"/>
      <c r="F598" s="620"/>
      <c r="G598" s="620"/>
      <c r="H598" s="81"/>
      <c r="I598" s="81"/>
      <c r="J598" s="35"/>
      <c r="K598" s="242"/>
      <c r="L598" s="36"/>
      <c r="M598" s="36"/>
      <c r="N598" s="36"/>
      <c r="O598" s="36"/>
      <c r="P598" s="36"/>
      <c r="Q598" s="36"/>
      <c r="R598" s="36"/>
      <c r="S598" s="36"/>
      <c r="T598" s="36"/>
      <c r="U598" s="36"/>
      <c r="V598" s="36"/>
      <c r="W598" s="36"/>
      <c r="X598" s="36"/>
      <c r="Y598" s="36"/>
      <c r="Z598" s="36"/>
      <c r="AA598" s="36"/>
      <c r="AB598" s="36"/>
      <c r="AC598" s="36"/>
    </row>
    <row r="599" spans="1:29" ht="36" customHeight="1">
      <c r="A599" s="81"/>
      <c r="B599" s="81"/>
      <c r="C599" s="81"/>
      <c r="D599" s="81"/>
      <c r="E599" s="620"/>
      <c r="F599" s="620"/>
      <c r="G599" s="620"/>
      <c r="H599" s="81"/>
      <c r="I599" s="81"/>
      <c r="J599" s="243"/>
      <c r="K599" s="241"/>
      <c r="L599" s="36"/>
      <c r="M599" s="36"/>
      <c r="N599" s="36"/>
      <c r="O599" s="36"/>
      <c r="P599" s="36"/>
      <c r="Q599" s="36"/>
      <c r="R599" s="36"/>
      <c r="S599" s="36"/>
      <c r="T599" s="36"/>
      <c r="U599" s="36"/>
      <c r="V599" s="36"/>
      <c r="W599" s="36"/>
      <c r="X599" s="36"/>
      <c r="Y599" s="36"/>
      <c r="Z599" s="36"/>
      <c r="AA599" s="36"/>
      <c r="AB599" s="36"/>
      <c r="AC599" s="36"/>
    </row>
    <row r="600" spans="1:29" ht="24" customHeight="1">
      <c r="A600" s="81"/>
      <c r="B600" s="81"/>
      <c r="C600" s="81"/>
      <c r="D600" s="81"/>
      <c r="E600" s="620"/>
      <c r="F600" s="620"/>
      <c r="G600" s="620"/>
      <c r="H600" s="81"/>
      <c r="I600" s="81"/>
      <c r="J600" s="240"/>
      <c r="K600" s="241"/>
      <c r="L600" s="36"/>
      <c r="M600" s="36"/>
      <c r="N600" s="36"/>
      <c r="O600" s="36"/>
      <c r="P600" s="36"/>
      <c r="Q600" s="36"/>
      <c r="R600" s="36"/>
      <c r="S600" s="36"/>
      <c r="T600" s="36"/>
      <c r="U600" s="36"/>
      <c r="V600" s="36"/>
      <c r="W600" s="36"/>
      <c r="X600" s="36"/>
      <c r="Y600" s="36"/>
      <c r="Z600" s="36"/>
      <c r="AA600" s="36"/>
      <c r="AB600" s="36"/>
      <c r="AC600" s="36"/>
    </row>
    <row r="601" spans="1:29" ht="36" customHeight="1">
      <c r="A601" s="81"/>
      <c r="B601" s="81"/>
      <c r="C601" s="81"/>
      <c r="D601" s="81"/>
      <c r="E601" s="620"/>
      <c r="F601" s="620"/>
      <c r="G601" s="620"/>
      <c r="H601" s="81"/>
      <c r="I601" s="81"/>
      <c r="J601" s="35"/>
      <c r="K601" s="36"/>
      <c r="L601" s="36"/>
      <c r="M601" s="36"/>
      <c r="N601" s="36"/>
      <c r="O601" s="36"/>
      <c r="P601" s="36"/>
      <c r="Q601" s="36"/>
      <c r="R601" s="36"/>
      <c r="S601" s="36"/>
      <c r="T601" s="36"/>
      <c r="U601" s="36"/>
      <c r="V601" s="36"/>
      <c r="W601" s="36"/>
      <c r="X601" s="36"/>
      <c r="Y601" s="36"/>
      <c r="Z601" s="36"/>
      <c r="AA601" s="36"/>
      <c r="AB601" s="36"/>
      <c r="AC601" s="36"/>
    </row>
    <row r="602" spans="1:29" ht="72" customHeight="1">
      <c r="A602" s="81"/>
      <c r="B602" s="81"/>
      <c r="C602" s="81"/>
      <c r="D602" s="81"/>
      <c r="E602" s="620"/>
      <c r="F602" s="620"/>
      <c r="G602" s="620"/>
      <c r="H602" s="81"/>
      <c r="I602" s="81"/>
      <c r="J602" s="35"/>
      <c r="K602" s="36"/>
      <c r="L602" s="36"/>
      <c r="M602" s="36"/>
      <c r="N602" s="36"/>
      <c r="O602" s="36"/>
      <c r="P602" s="36"/>
      <c r="Q602" s="241"/>
      <c r="R602" s="36"/>
      <c r="S602" s="241"/>
      <c r="T602" s="36"/>
      <c r="U602" s="36"/>
      <c r="V602" s="36"/>
      <c r="W602" s="36"/>
      <c r="X602" s="36"/>
      <c r="Y602" s="36"/>
      <c r="Z602" s="36"/>
      <c r="AA602" s="36"/>
      <c r="AB602" s="36"/>
      <c r="AC602" s="36"/>
    </row>
    <row r="603" spans="1:29" ht="24" customHeight="1">
      <c r="A603" s="81"/>
      <c r="B603" s="81"/>
      <c r="C603" s="81"/>
      <c r="D603" s="81"/>
      <c r="E603" s="620"/>
      <c r="F603" s="620"/>
      <c r="G603" s="620"/>
      <c r="H603" s="81"/>
      <c r="I603" s="81"/>
      <c r="J603" s="35"/>
      <c r="K603" s="36"/>
      <c r="L603" s="36"/>
      <c r="M603" s="36"/>
      <c r="N603" s="36"/>
      <c r="O603" s="36"/>
      <c r="P603" s="36"/>
      <c r="Q603" s="36"/>
      <c r="R603" s="36"/>
      <c r="S603" s="36"/>
      <c r="T603" s="36"/>
      <c r="U603" s="36"/>
      <c r="V603" s="36"/>
      <c r="W603" s="36"/>
      <c r="X603" s="36"/>
      <c r="Y603" s="36"/>
      <c r="Z603" s="36"/>
      <c r="AA603" s="36"/>
      <c r="AB603" s="36"/>
      <c r="AC603" s="36"/>
    </row>
    <row r="604" spans="1:29" ht="24" customHeight="1">
      <c r="A604" s="81"/>
      <c r="B604" s="81"/>
      <c r="C604" s="81"/>
      <c r="D604" s="81"/>
      <c r="E604" s="620"/>
      <c r="F604" s="620"/>
      <c r="G604" s="620"/>
      <c r="H604" s="81"/>
      <c r="I604" s="81"/>
      <c r="J604" s="35"/>
      <c r="K604" s="36"/>
      <c r="L604" s="36"/>
      <c r="M604" s="36"/>
      <c r="N604" s="36"/>
      <c r="O604" s="36"/>
      <c r="P604" s="36"/>
      <c r="Q604" s="36"/>
      <c r="R604" s="36"/>
      <c r="S604" s="36"/>
      <c r="T604" s="36"/>
      <c r="U604" s="36"/>
      <c r="V604" s="36"/>
      <c r="W604" s="36"/>
      <c r="X604" s="36"/>
      <c r="Y604" s="36"/>
      <c r="Z604" s="36"/>
      <c r="AA604" s="36"/>
      <c r="AB604" s="36"/>
      <c r="AC604" s="36"/>
    </row>
    <row r="605" spans="1:29" ht="84" customHeight="1">
      <c r="A605" s="81"/>
      <c r="B605" s="81"/>
      <c r="C605" s="81"/>
      <c r="D605" s="81"/>
      <c r="E605" s="620"/>
      <c r="F605" s="620"/>
      <c r="G605" s="620"/>
      <c r="H605" s="81"/>
      <c r="I605" s="81"/>
      <c r="J605" s="35"/>
      <c r="K605" s="36"/>
      <c r="L605" s="36"/>
      <c r="M605" s="36"/>
      <c r="N605" s="36"/>
      <c r="O605" s="36"/>
      <c r="P605" s="36"/>
      <c r="Q605" s="36"/>
      <c r="R605" s="36"/>
      <c r="S605" s="36"/>
      <c r="T605" s="36"/>
      <c r="U605" s="36"/>
      <c r="V605" s="36"/>
      <c r="W605" s="36"/>
      <c r="X605" s="36"/>
      <c r="Y605" s="36"/>
      <c r="Z605" s="36"/>
      <c r="AA605" s="36"/>
      <c r="AB605" s="36"/>
      <c r="AC605" s="36"/>
    </row>
    <row r="606" spans="1:29" ht="72" customHeight="1">
      <c r="A606" s="81"/>
      <c r="B606" s="81"/>
      <c r="C606" s="81"/>
      <c r="D606" s="81"/>
      <c r="E606" s="620"/>
      <c r="F606" s="620"/>
      <c r="G606" s="620"/>
      <c r="H606" s="81"/>
      <c r="I606" s="81"/>
      <c r="J606" s="35"/>
      <c r="K606" s="36"/>
      <c r="L606" s="36"/>
      <c r="M606" s="36"/>
      <c r="N606" s="36"/>
      <c r="O606" s="36"/>
      <c r="P606" s="36"/>
      <c r="Q606" s="36"/>
      <c r="R606" s="36"/>
      <c r="S606" s="36"/>
      <c r="T606" s="36"/>
      <c r="U606" s="36"/>
      <c r="V606" s="36"/>
      <c r="W606" s="36"/>
      <c r="X606" s="36"/>
      <c r="Y606" s="36"/>
      <c r="Z606" s="36"/>
      <c r="AA606" s="36"/>
      <c r="AB606" s="36"/>
      <c r="AC606" s="36"/>
    </row>
    <row r="607" spans="1:29" ht="24" customHeight="1">
      <c r="A607" s="81"/>
      <c r="B607" s="81"/>
      <c r="C607" s="81"/>
      <c r="D607" s="81"/>
      <c r="E607" s="620"/>
      <c r="F607" s="620"/>
      <c r="G607" s="620"/>
      <c r="H607" s="81"/>
      <c r="I607" s="81"/>
      <c r="J607" s="35"/>
      <c r="K607" s="36"/>
      <c r="L607" s="36"/>
      <c r="M607" s="36"/>
      <c r="N607" s="36"/>
      <c r="O607" s="36"/>
      <c r="P607" s="36"/>
      <c r="Q607" s="36"/>
      <c r="R607" s="36"/>
      <c r="S607" s="36"/>
      <c r="T607" s="36"/>
      <c r="U607" s="36"/>
      <c r="V607" s="36"/>
      <c r="W607" s="36"/>
      <c r="X607" s="36"/>
      <c r="Y607" s="36"/>
      <c r="Z607" s="36"/>
      <c r="AA607" s="36"/>
      <c r="AB607" s="36"/>
      <c r="AC607" s="36"/>
    </row>
    <row r="608" spans="1:29" ht="36" customHeight="1">
      <c r="A608" s="81"/>
      <c r="B608" s="81"/>
      <c r="C608" s="81"/>
      <c r="D608" s="81"/>
      <c r="E608" s="620"/>
      <c r="F608" s="620"/>
      <c r="G608" s="620"/>
      <c r="H608" s="81"/>
      <c r="I608" s="81"/>
      <c r="J608" s="35"/>
      <c r="K608" s="36"/>
      <c r="L608" s="36"/>
      <c r="M608" s="36"/>
      <c r="N608" s="36"/>
      <c r="O608" s="36"/>
      <c r="P608" s="36"/>
      <c r="Q608" s="36"/>
      <c r="R608" s="36"/>
      <c r="S608" s="36"/>
      <c r="T608" s="36"/>
      <c r="U608" s="36"/>
      <c r="V608" s="36"/>
      <c r="W608" s="36"/>
      <c r="X608" s="36"/>
      <c r="Y608" s="36"/>
      <c r="Z608" s="36"/>
      <c r="AA608" s="36"/>
      <c r="AB608" s="36"/>
      <c r="AC608" s="36"/>
    </row>
    <row r="609" spans="1:29" ht="48" customHeight="1">
      <c r="A609" s="81"/>
      <c r="B609" s="81"/>
      <c r="C609" s="81"/>
      <c r="D609" s="81"/>
      <c r="E609" s="620"/>
      <c r="F609" s="620"/>
      <c r="G609" s="620"/>
      <c r="H609" s="81"/>
      <c r="I609" s="81"/>
      <c r="J609" s="35"/>
      <c r="K609" s="36"/>
      <c r="L609" s="36"/>
      <c r="M609" s="36"/>
      <c r="N609" s="36"/>
      <c r="O609" s="36"/>
      <c r="P609" s="36"/>
      <c r="Q609" s="36"/>
      <c r="R609" s="36"/>
      <c r="S609" s="36"/>
      <c r="T609" s="36"/>
      <c r="U609" s="36"/>
      <c r="V609" s="36"/>
      <c r="W609" s="36"/>
      <c r="X609" s="36"/>
      <c r="Y609" s="36"/>
      <c r="Z609" s="36"/>
      <c r="AA609" s="36"/>
      <c r="AB609" s="36"/>
      <c r="AC609" s="36"/>
    </row>
    <row r="610" spans="1:29" ht="36" customHeight="1">
      <c r="A610" s="81"/>
      <c r="B610" s="81"/>
      <c r="C610" s="81"/>
      <c r="D610" s="81"/>
      <c r="E610" s="620"/>
      <c r="F610" s="620"/>
      <c r="G610" s="620"/>
      <c r="H610" s="81"/>
      <c r="I610" s="81"/>
      <c r="J610" s="35"/>
      <c r="K610" s="36"/>
      <c r="L610" s="36"/>
      <c r="M610" s="36"/>
      <c r="N610" s="36"/>
      <c r="O610" s="36"/>
      <c r="P610" s="36"/>
      <c r="Q610" s="36"/>
      <c r="R610" s="36"/>
      <c r="S610" s="36"/>
      <c r="T610" s="36"/>
      <c r="U610" s="36"/>
      <c r="V610" s="36"/>
      <c r="W610" s="36"/>
      <c r="X610" s="36"/>
      <c r="Y610" s="36"/>
      <c r="Z610" s="36"/>
      <c r="AA610" s="36"/>
      <c r="AB610" s="36"/>
      <c r="AC610" s="36"/>
    </row>
    <row r="611" spans="1:29" ht="48" customHeight="1">
      <c r="A611" s="81"/>
      <c r="B611" s="81"/>
      <c r="C611" s="81"/>
      <c r="D611" s="81"/>
      <c r="E611" s="620"/>
      <c r="F611" s="620"/>
      <c r="G611" s="620"/>
      <c r="H611" s="81"/>
      <c r="I611" s="81"/>
      <c r="J611" s="35"/>
      <c r="K611" s="36"/>
      <c r="L611" s="36"/>
      <c r="M611" s="36"/>
      <c r="N611" s="36"/>
      <c r="O611" s="36"/>
      <c r="P611" s="36"/>
      <c r="Q611" s="36"/>
      <c r="R611" s="36"/>
      <c r="S611" s="36"/>
      <c r="T611" s="36"/>
      <c r="U611" s="36"/>
      <c r="V611" s="36"/>
      <c r="W611" s="36"/>
      <c r="X611" s="36"/>
      <c r="Y611" s="36"/>
      <c r="Z611" s="36"/>
      <c r="AA611" s="36"/>
      <c r="AB611" s="36"/>
      <c r="AC611" s="36"/>
    </row>
    <row r="612" spans="1:29" ht="24" customHeight="1">
      <c r="A612" s="81"/>
      <c r="B612" s="81"/>
      <c r="C612" s="81"/>
      <c r="D612" s="81"/>
      <c r="E612" s="620"/>
      <c r="F612" s="620"/>
      <c r="G612" s="620"/>
      <c r="H612" s="81"/>
      <c r="I612" s="81"/>
      <c r="J612" s="35"/>
      <c r="K612" s="36"/>
      <c r="L612" s="36"/>
      <c r="M612" s="36"/>
      <c r="N612" s="36"/>
      <c r="O612" s="36"/>
      <c r="P612" s="36"/>
      <c r="Q612" s="36"/>
      <c r="R612" s="36"/>
      <c r="S612" s="36"/>
      <c r="T612" s="36"/>
      <c r="U612" s="36"/>
      <c r="V612" s="36"/>
      <c r="W612" s="36"/>
      <c r="X612" s="36"/>
      <c r="Y612" s="36"/>
      <c r="Z612" s="36"/>
      <c r="AA612" s="36"/>
      <c r="AB612" s="36"/>
      <c r="AC612" s="36"/>
    </row>
    <row r="613" spans="1:29" ht="24" customHeight="1">
      <c r="A613" s="81"/>
      <c r="B613" s="81"/>
      <c r="C613" s="81"/>
      <c r="D613" s="81"/>
      <c r="E613" s="620"/>
      <c r="F613" s="620"/>
      <c r="G613" s="620"/>
      <c r="H613" s="81"/>
      <c r="I613" s="81"/>
      <c r="J613" s="35"/>
      <c r="K613" s="36"/>
      <c r="L613" s="36"/>
      <c r="M613" s="36"/>
      <c r="N613" s="36"/>
      <c r="O613" s="36"/>
      <c r="P613" s="36"/>
      <c r="Q613" s="36"/>
      <c r="R613" s="36"/>
      <c r="S613" s="36"/>
      <c r="T613" s="36"/>
      <c r="U613" s="36"/>
      <c r="V613" s="36"/>
      <c r="W613" s="36"/>
      <c r="X613" s="36"/>
      <c r="Y613" s="36"/>
      <c r="Z613" s="36"/>
      <c r="AA613" s="36"/>
      <c r="AB613" s="36"/>
      <c r="AC613" s="36"/>
    </row>
    <row r="614" spans="1:29" ht="36" customHeight="1">
      <c r="A614" s="81"/>
      <c r="B614" s="81"/>
      <c r="C614" s="81"/>
      <c r="D614" s="81"/>
      <c r="E614" s="620"/>
      <c r="F614" s="620"/>
      <c r="G614" s="620"/>
      <c r="H614" s="81"/>
      <c r="I614" s="81"/>
      <c r="J614" s="35"/>
      <c r="K614" s="36"/>
      <c r="L614" s="36"/>
      <c r="M614" s="36"/>
      <c r="N614" s="36"/>
      <c r="O614" s="36"/>
      <c r="P614" s="36"/>
      <c r="Q614" s="36"/>
      <c r="R614" s="36"/>
      <c r="S614" s="36"/>
      <c r="T614" s="36"/>
      <c r="U614" s="36"/>
      <c r="V614" s="36"/>
      <c r="W614" s="36"/>
      <c r="X614" s="36"/>
      <c r="Y614" s="36"/>
      <c r="Z614" s="36"/>
      <c r="AA614" s="36"/>
      <c r="AB614" s="36"/>
      <c r="AC614" s="36"/>
    </row>
    <row r="615" spans="1:29" ht="48" customHeight="1">
      <c r="A615" s="81"/>
      <c r="B615" s="81"/>
      <c r="C615" s="81"/>
      <c r="D615" s="81"/>
      <c r="E615" s="620"/>
      <c r="F615" s="620"/>
      <c r="G615" s="620"/>
      <c r="H615" s="81"/>
      <c r="I615" s="81"/>
      <c r="J615" s="35"/>
      <c r="K615" s="36"/>
      <c r="L615" s="36"/>
      <c r="M615" s="36"/>
      <c r="N615" s="36"/>
      <c r="O615" s="36"/>
      <c r="P615" s="36"/>
      <c r="Q615" s="36"/>
      <c r="R615" s="36"/>
      <c r="S615" s="36"/>
      <c r="T615" s="36"/>
      <c r="U615" s="36"/>
      <c r="V615" s="36"/>
      <c r="W615" s="36"/>
      <c r="X615" s="36"/>
      <c r="Y615" s="36"/>
      <c r="Z615" s="36"/>
      <c r="AA615" s="36"/>
      <c r="AB615" s="36"/>
      <c r="AC615" s="36"/>
    </row>
    <row r="616" spans="1:29" ht="36" customHeight="1">
      <c r="A616" s="81"/>
      <c r="B616" s="81"/>
      <c r="C616" s="81"/>
      <c r="D616" s="81"/>
      <c r="E616" s="620"/>
      <c r="F616" s="620"/>
      <c r="G616" s="620"/>
      <c r="H616" s="81"/>
      <c r="I616" s="81"/>
      <c r="J616" s="35"/>
      <c r="K616" s="36"/>
      <c r="L616" s="36"/>
      <c r="M616" s="36"/>
      <c r="N616" s="36"/>
      <c r="O616" s="36"/>
      <c r="P616" s="36"/>
      <c r="Q616" s="36"/>
      <c r="R616" s="36"/>
      <c r="S616" s="36"/>
      <c r="T616" s="36"/>
      <c r="U616" s="36"/>
      <c r="V616" s="36"/>
      <c r="W616" s="36"/>
      <c r="X616" s="36"/>
      <c r="Y616" s="36"/>
      <c r="Z616" s="36"/>
      <c r="AA616" s="36"/>
      <c r="AB616" s="36"/>
      <c r="AC616" s="36"/>
    </row>
    <row r="617" spans="1:29" ht="24" customHeight="1">
      <c r="A617" s="81"/>
      <c r="B617" s="81"/>
      <c r="C617" s="81"/>
      <c r="D617" s="81"/>
      <c r="E617" s="620"/>
      <c r="F617" s="620"/>
      <c r="G617" s="620"/>
      <c r="H617" s="81"/>
      <c r="I617" s="81"/>
      <c r="J617" s="35"/>
      <c r="K617" s="36"/>
      <c r="L617" s="36"/>
      <c r="M617" s="36"/>
      <c r="N617" s="36"/>
      <c r="O617" s="36"/>
      <c r="P617" s="36"/>
      <c r="Q617" s="36"/>
      <c r="R617" s="36"/>
      <c r="S617" s="36"/>
      <c r="T617" s="36"/>
      <c r="U617" s="36"/>
      <c r="V617" s="36"/>
      <c r="W617" s="36"/>
      <c r="X617" s="36"/>
      <c r="Y617" s="36"/>
      <c r="Z617" s="36"/>
      <c r="AA617" s="36"/>
      <c r="AB617" s="36"/>
      <c r="AC617" s="36"/>
    </row>
    <row r="618" spans="1:29" ht="36" customHeight="1">
      <c r="A618" s="619"/>
      <c r="B618" s="81"/>
      <c r="C618" s="81"/>
      <c r="D618" s="81"/>
      <c r="E618" s="620"/>
      <c r="F618" s="620"/>
      <c r="G618" s="620"/>
      <c r="H618" s="81"/>
      <c r="I618" s="81"/>
      <c r="J618" s="35"/>
      <c r="K618" s="36"/>
      <c r="L618" s="36"/>
      <c r="M618" s="36"/>
      <c r="N618" s="36"/>
      <c r="O618" s="36"/>
      <c r="P618" s="36"/>
      <c r="Q618" s="36"/>
      <c r="R618" s="36"/>
      <c r="S618" s="36"/>
      <c r="T618" s="36"/>
      <c r="U618" s="36"/>
      <c r="V618" s="36"/>
      <c r="W618" s="36"/>
      <c r="X618" s="36"/>
      <c r="Y618" s="36"/>
      <c r="Z618" s="36"/>
      <c r="AA618" s="36"/>
      <c r="AB618" s="36"/>
      <c r="AC618" s="36"/>
    </row>
    <row r="619" spans="1:29" ht="24" customHeight="1">
      <c r="A619" s="619"/>
      <c r="B619" s="81"/>
      <c r="C619" s="81"/>
      <c r="D619" s="81"/>
      <c r="E619" s="620"/>
      <c r="F619" s="620"/>
      <c r="G619" s="620"/>
      <c r="H619" s="81"/>
      <c r="I619" s="81"/>
      <c r="J619" s="35"/>
      <c r="K619" s="36"/>
      <c r="L619" s="36"/>
      <c r="M619" s="36"/>
      <c r="N619" s="36"/>
      <c r="O619" s="36"/>
      <c r="P619" s="36"/>
      <c r="Q619" s="36"/>
      <c r="R619" s="36"/>
      <c r="S619" s="36"/>
      <c r="T619" s="36"/>
      <c r="U619" s="36"/>
      <c r="V619" s="36"/>
      <c r="W619" s="36"/>
      <c r="X619" s="36"/>
      <c r="Y619" s="36"/>
      <c r="Z619" s="36"/>
      <c r="AA619" s="36"/>
      <c r="AB619" s="36"/>
      <c r="AC619" s="36"/>
    </row>
    <row r="620" spans="1:29" ht="24" customHeight="1">
      <c r="A620" s="619"/>
      <c r="B620" s="81"/>
      <c r="C620" s="81"/>
      <c r="D620" s="81"/>
      <c r="E620" s="620"/>
      <c r="F620" s="620"/>
      <c r="G620" s="620"/>
      <c r="H620" s="81"/>
      <c r="I620" s="81"/>
      <c r="J620" s="35"/>
      <c r="K620" s="36"/>
      <c r="L620" s="36"/>
      <c r="M620" s="36"/>
      <c r="N620" s="36"/>
      <c r="O620" s="36"/>
      <c r="P620" s="36"/>
      <c r="Q620" s="36"/>
      <c r="R620" s="36"/>
      <c r="S620" s="36"/>
      <c r="T620" s="36"/>
      <c r="U620" s="36"/>
      <c r="V620" s="36"/>
      <c r="W620" s="36"/>
      <c r="X620" s="36"/>
      <c r="Y620" s="36"/>
      <c r="Z620" s="36"/>
      <c r="AA620" s="36"/>
      <c r="AB620" s="36"/>
      <c r="AC620" s="36"/>
    </row>
    <row r="621" spans="1:29" ht="36" customHeight="1">
      <c r="A621" s="619"/>
      <c r="B621" s="81"/>
      <c r="C621" s="81"/>
      <c r="D621" s="81"/>
      <c r="E621" s="620"/>
      <c r="F621" s="620"/>
      <c r="G621" s="620"/>
      <c r="H621" s="81"/>
      <c r="I621" s="81"/>
      <c r="J621" s="35"/>
      <c r="K621" s="36"/>
      <c r="L621" s="36"/>
      <c r="M621" s="36"/>
      <c r="N621" s="36"/>
      <c r="O621" s="36"/>
      <c r="P621" s="36"/>
      <c r="Q621" s="36"/>
      <c r="R621" s="36"/>
      <c r="S621" s="36"/>
      <c r="T621" s="36"/>
      <c r="U621" s="36"/>
      <c r="V621" s="36"/>
      <c r="W621" s="36"/>
      <c r="X621" s="36"/>
      <c r="Y621" s="36"/>
      <c r="Z621" s="36"/>
      <c r="AA621" s="36"/>
      <c r="AB621" s="36"/>
      <c r="AC621" s="36"/>
    </row>
    <row r="622" spans="1:29" ht="36" customHeight="1">
      <c r="A622" s="81"/>
      <c r="B622" s="81"/>
      <c r="C622" s="81"/>
      <c r="D622" s="81"/>
      <c r="E622" s="620"/>
      <c r="F622" s="620"/>
      <c r="G622" s="620"/>
      <c r="H622" s="81"/>
      <c r="I622" s="81"/>
      <c r="J622" s="35"/>
      <c r="K622" s="36"/>
      <c r="L622" s="36"/>
      <c r="M622" s="36"/>
      <c r="N622" s="36"/>
      <c r="O622" s="36"/>
      <c r="P622" s="36"/>
      <c r="Q622" s="36"/>
      <c r="R622" s="36"/>
      <c r="S622" s="36"/>
      <c r="T622" s="36"/>
      <c r="U622" s="36"/>
      <c r="V622" s="36"/>
      <c r="W622" s="36"/>
      <c r="X622" s="36"/>
      <c r="Y622" s="36"/>
      <c r="Z622" s="36"/>
      <c r="AA622" s="36"/>
      <c r="AB622" s="36"/>
      <c r="AC622" s="36"/>
    </row>
    <row r="623" spans="1:29" ht="48" customHeight="1">
      <c r="A623" s="81"/>
      <c r="B623" s="81"/>
      <c r="C623" s="81"/>
      <c r="D623" s="81"/>
      <c r="E623" s="620"/>
      <c r="F623" s="620"/>
      <c r="G623" s="620"/>
      <c r="H623" s="81"/>
      <c r="I623" s="81"/>
      <c r="J623" s="35"/>
      <c r="K623" s="36"/>
      <c r="L623" s="36"/>
      <c r="M623" s="36"/>
      <c r="N623" s="36"/>
      <c r="O623" s="36"/>
      <c r="P623" s="36"/>
      <c r="Q623" s="36"/>
      <c r="R623" s="36"/>
      <c r="S623" s="36"/>
      <c r="T623" s="36"/>
      <c r="U623" s="36"/>
      <c r="V623" s="36"/>
      <c r="W623" s="36"/>
      <c r="X623" s="36"/>
      <c r="Y623" s="36"/>
      <c r="Z623" s="36"/>
      <c r="AA623" s="36"/>
      <c r="AB623" s="36"/>
      <c r="AC623" s="36"/>
    </row>
    <row r="624" spans="1:29" ht="36" customHeight="1">
      <c r="A624" s="81"/>
      <c r="B624" s="81"/>
      <c r="C624" s="81"/>
      <c r="D624" s="81"/>
      <c r="E624" s="620"/>
      <c r="F624" s="620"/>
      <c r="G624" s="620"/>
      <c r="H624" s="81"/>
      <c r="I624" s="81"/>
      <c r="J624" s="35"/>
      <c r="K624" s="36"/>
      <c r="L624" s="36"/>
      <c r="M624" s="36"/>
      <c r="N624" s="36"/>
      <c r="O624" s="36"/>
      <c r="P624" s="36"/>
      <c r="Q624" s="36"/>
      <c r="R624" s="36"/>
      <c r="S624" s="36"/>
      <c r="T624" s="36"/>
      <c r="U624" s="36"/>
      <c r="V624" s="36"/>
      <c r="W624" s="36"/>
      <c r="X624" s="36"/>
      <c r="Y624" s="36"/>
      <c r="Z624" s="36"/>
      <c r="AA624" s="36"/>
      <c r="AB624" s="36"/>
      <c r="AC624" s="36"/>
    </row>
    <row r="625" spans="1:29" ht="36" customHeight="1">
      <c r="A625" s="81"/>
      <c r="B625" s="81"/>
      <c r="C625" s="81"/>
      <c r="D625" s="81"/>
      <c r="E625" s="620"/>
      <c r="F625" s="620"/>
      <c r="G625" s="620"/>
      <c r="H625" s="81"/>
      <c r="I625" s="81"/>
      <c r="J625" s="35"/>
      <c r="K625" s="36"/>
      <c r="L625" s="36"/>
      <c r="M625" s="36"/>
      <c r="N625" s="36"/>
      <c r="O625" s="36"/>
      <c r="P625" s="36"/>
      <c r="Q625" s="36"/>
      <c r="R625" s="36"/>
      <c r="S625" s="36"/>
      <c r="T625" s="36"/>
      <c r="U625" s="36"/>
      <c r="V625" s="36"/>
      <c r="W625" s="36"/>
      <c r="X625" s="36"/>
      <c r="Y625" s="36"/>
      <c r="Z625" s="36"/>
      <c r="AA625" s="36"/>
      <c r="AB625" s="36"/>
      <c r="AC625" s="36"/>
    </row>
    <row r="626" spans="1:29" ht="36" customHeight="1">
      <c r="A626" s="81"/>
      <c r="B626" s="81"/>
      <c r="C626" s="81"/>
      <c r="D626" s="81"/>
      <c r="E626" s="620"/>
      <c r="F626" s="620"/>
      <c r="G626" s="620"/>
      <c r="H626" s="81"/>
      <c r="I626" s="81"/>
      <c r="J626" s="35"/>
      <c r="K626" s="36"/>
      <c r="L626" s="36"/>
      <c r="M626" s="36"/>
      <c r="N626" s="36"/>
      <c r="O626" s="36"/>
      <c r="P626" s="36"/>
      <c r="Q626" s="36"/>
      <c r="R626" s="36"/>
      <c r="S626" s="36"/>
      <c r="T626" s="36"/>
      <c r="U626" s="36"/>
      <c r="V626" s="36"/>
      <c r="W626" s="36"/>
      <c r="X626" s="36"/>
      <c r="Y626" s="36"/>
      <c r="Z626" s="36"/>
      <c r="AA626" s="36"/>
      <c r="AB626" s="36"/>
      <c r="AC626" s="36"/>
    </row>
    <row r="627" spans="1:29" ht="48" customHeight="1">
      <c r="A627" s="81"/>
      <c r="B627" s="81"/>
      <c r="C627" s="81"/>
      <c r="D627" s="81"/>
      <c r="E627" s="620"/>
      <c r="F627" s="620"/>
      <c r="G627" s="620"/>
      <c r="H627" s="81"/>
      <c r="I627" s="81"/>
      <c r="J627" s="35"/>
      <c r="K627" s="36"/>
      <c r="L627" s="36"/>
      <c r="M627" s="36"/>
      <c r="N627" s="36"/>
      <c r="O627" s="36"/>
      <c r="P627" s="36"/>
      <c r="Q627" s="36"/>
      <c r="R627" s="36"/>
      <c r="S627" s="36"/>
      <c r="T627" s="36"/>
      <c r="U627" s="36"/>
      <c r="V627" s="36"/>
      <c r="W627" s="36"/>
      <c r="X627" s="36"/>
      <c r="Y627" s="36"/>
      <c r="Z627" s="36"/>
      <c r="AA627" s="36"/>
      <c r="AB627" s="36"/>
      <c r="AC627" s="36"/>
    </row>
    <row r="628" spans="1:29" ht="36" customHeight="1">
      <c r="A628" s="81"/>
      <c r="B628" s="81"/>
      <c r="C628" s="81"/>
      <c r="D628" s="81"/>
      <c r="E628" s="620"/>
      <c r="F628" s="620"/>
      <c r="G628" s="620"/>
      <c r="H628" s="81"/>
      <c r="I628" s="81"/>
      <c r="J628" s="35"/>
      <c r="K628" s="36"/>
      <c r="L628" s="36"/>
      <c r="M628" s="36"/>
      <c r="N628" s="36"/>
      <c r="O628" s="36"/>
      <c r="P628" s="36"/>
      <c r="Q628" s="36"/>
      <c r="R628" s="36"/>
      <c r="S628" s="36"/>
      <c r="T628" s="36"/>
      <c r="U628" s="36"/>
      <c r="V628" s="36"/>
      <c r="W628" s="36"/>
      <c r="X628" s="36"/>
      <c r="Y628" s="36"/>
      <c r="Z628" s="36"/>
      <c r="AA628" s="36"/>
      <c r="AB628" s="36"/>
      <c r="AC628" s="36"/>
    </row>
    <row r="629" spans="1:29" ht="36" customHeight="1">
      <c r="A629" s="81"/>
      <c r="B629" s="81"/>
      <c r="C629" s="81"/>
      <c r="D629" s="81"/>
      <c r="E629" s="620"/>
      <c r="F629" s="620"/>
      <c r="G629" s="620"/>
      <c r="H629" s="81"/>
      <c r="I629" s="81"/>
      <c r="J629" s="35"/>
      <c r="K629" s="36"/>
      <c r="L629" s="36"/>
      <c r="M629" s="36"/>
      <c r="N629" s="36"/>
      <c r="O629" s="36"/>
      <c r="P629" s="36"/>
      <c r="Q629" s="36"/>
      <c r="R629" s="36"/>
      <c r="S629" s="36"/>
      <c r="T629" s="36"/>
      <c r="U629" s="36"/>
      <c r="V629" s="36"/>
      <c r="W629" s="36"/>
      <c r="X629" s="36"/>
      <c r="Y629" s="36"/>
      <c r="Z629" s="36"/>
      <c r="AA629" s="36"/>
      <c r="AB629" s="36"/>
      <c r="AC629" s="36"/>
    </row>
    <row r="630" spans="1:29" ht="36" customHeight="1">
      <c r="A630" s="81"/>
      <c r="B630" s="81"/>
      <c r="C630" s="81"/>
      <c r="D630" s="81"/>
      <c r="E630" s="620"/>
      <c r="F630" s="620"/>
      <c r="G630" s="620"/>
      <c r="H630" s="81"/>
      <c r="I630" s="81"/>
      <c r="J630" s="35"/>
      <c r="K630" s="36"/>
      <c r="L630" s="36"/>
      <c r="M630" s="36"/>
      <c r="N630" s="36"/>
      <c r="O630" s="36"/>
      <c r="P630" s="36"/>
      <c r="Q630" s="36"/>
      <c r="R630" s="36"/>
      <c r="S630" s="36"/>
      <c r="T630" s="36"/>
      <c r="U630" s="36"/>
      <c r="V630" s="36"/>
      <c r="W630" s="36"/>
      <c r="X630" s="36"/>
      <c r="Y630" s="36"/>
      <c r="Z630" s="36"/>
      <c r="AA630" s="36"/>
      <c r="AB630" s="36"/>
      <c r="AC630" s="36"/>
    </row>
    <row r="631" spans="1:29" ht="36" customHeight="1">
      <c r="A631" s="81"/>
      <c r="B631" s="81"/>
      <c r="C631" s="81"/>
      <c r="D631" s="81"/>
      <c r="E631" s="620"/>
      <c r="F631" s="620"/>
      <c r="G631" s="620"/>
      <c r="H631" s="81"/>
      <c r="I631" s="81"/>
      <c r="J631" s="35"/>
      <c r="K631" s="36"/>
      <c r="L631" s="36"/>
      <c r="M631" s="36"/>
      <c r="N631" s="36"/>
      <c r="O631" s="36"/>
      <c r="P631" s="36"/>
      <c r="Q631" s="36"/>
      <c r="R631" s="36"/>
      <c r="S631" s="36"/>
      <c r="T631" s="36"/>
      <c r="U631" s="36"/>
      <c r="V631" s="36"/>
      <c r="W631" s="36"/>
      <c r="X631" s="36"/>
      <c r="Y631" s="36"/>
      <c r="Z631" s="36"/>
      <c r="AA631" s="36"/>
      <c r="AB631" s="36"/>
      <c r="AC631" s="36"/>
    </row>
    <row r="632" spans="1:29" ht="24" customHeight="1">
      <c r="A632" s="81"/>
      <c r="B632" s="81"/>
      <c r="C632" s="81"/>
      <c r="D632" s="81"/>
      <c r="E632" s="620"/>
      <c r="F632" s="620"/>
      <c r="G632" s="620"/>
      <c r="H632" s="81"/>
      <c r="I632" s="81"/>
      <c r="J632" s="35"/>
      <c r="K632" s="36"/>
      <c r="L632" s="36"/>
      <c r="M632" s="36"/>
      <c r="N632" s="36"/>
      <c r="O632" s="36"/>
      <c r="P632" s="36"/>
      <c r="Q632" s="36"/>
      <c r="R632" s="36"/>
      <c r="S632" s="36"/>
      <c r="T632" s="36"/>
      <c r="U632" s="36"/>
      <c r="V632" s="36"/>
      <c r="W632" s="36"/>
      <c r="X632" s="36"/>
      <c r="Y632" s="36"/>
      <c r="Z632" s="36"/>
      <c r="AA632" s="36"/>
      <c r="AB632" s="36"/>
      <c r="AC632" s="36"/>
    </row>
    <row r="633" spans="1:29" ht="24" customHeight="1">
      <c r="A633" s="81"/>
      <c r="B633" s="81"/>
      <c r="C633" s="81"/>
      <c r="D633" s="81"/>
      <c r="E633" s="620"/>
      <c r="F633" s="620"/>
      <c r="G633" s="620"/>
      <c r="H633" s="81"/>
      <c r="I633" s="81"/>
      <c r="J633" s="35"/>
      <c r="K633" s="36"/>
      <c r="L633" s="36"/>
      <c r="M633" s="36"/>
      <c r="N633" s="36"/>
      <c r="O633" s="36"/>
      <c r="P633" s="36"/>
      <c r="Q633" s="36"/>
      <c r="R633" s="36"/>
      <c r="S633" s="36"/>
      <c r="T633" s="36"/>
      <c r="U633" s="36"/>
      <c r="V633" s="36"/>
      <c r="W633" s="36"/>
      <c r="X633" s="36"/>
      <c r="Y633" s="36"/>
      <c r="Z633" s="36"/>
      <c r="AA633" s="36"/>
      <c r="AB633" s="36"/>
      <c r="AC633" s="36"/>
    </row>
    <row r="634" spans="1:29" ht="36" customHeight="1">
      <c r="A634" s="81"/>
      <c r="B634" s="81"/>
      <c r="C634" s="81"/>
      <c r="D634" s="81"/>
      <c r="E634" s="620"/>
      <c r="F634" s="620"/>
      <c r="G634" s="620"/>
      <c r="H634" s="81"/>
      <c r="I634" s="81"/>
      <c r="J634" s="35"/>
      <c r="K634" s="36"/>
      <c r="L634" s="36"/>
      <c r="M634" s="36"/>
      <c r="N634" s="36"/>
      <c r="O634" s="36"/>
      <c r="P634" s="36"/>
      <c r="Q634" s="36"/>
      <c r="R634" s="36"/>
      <c r="S634" s="36"/>
      <c r="T634" s="36"/>
      <c r="U634" s="36"/>
      <c r="V634" s="36"/>
      <c r="W634" s="36"/>
      <c r="X634" s="36"/>
      <c r="Y634" s="36"/>
      <c r="Z634" s="36"/>
      <c r="AA634" s="36"/>
      <c r="AB634" s="36"/>
      <c r="AC634" s="36"/>
    </row>
    <row r="635" spans="1:29" ht="48" customHeight="1">
      <c r="A635" s="81"/>
      <c r="B635" s="81"/>
      <c r="C635" s="81"/>
      <c r="D635" s="81"/>
      <c r="E635" s="620"/>
      <c r="F635" s="620"/>
      <c r="G635" s="620"/>
      <c r="H635" s="81"/>
      <c r="I635" s="81"/>
      <c r="J635" s="35"/>
      <c r="K635" s="36"/>
      <c r="L635" s="36"/>
      <c r="M635" s="36"/>
      <c r="N635" s="36"/>
      <c r="O635" s="36"/>
      <c r="P635" s="36"/>
      <c r="Q635" s="36"/>
      <c r="R635" s="36"/>
      <c r="S635" s="36"/>
      <c r="T635" s="36"/>
      <c r="U635" s="36"/>
      <c r="V635" s="36"/>
      <c r="W635" s="36"/>
      <c r="X635" s="36"/>
      <c r="Y635" s="36"/>
      <c r="Z635" s="36"/>
      <c r="AA635" s="36"/>
      <c r="AB635" s="36"/>
      <c r="AC635" s="36"/>
    </row>
    <row r="636" spans="1:29" ht="24" customHeight="1">
      <c r="A636" s="81"/>
      <c r="B636" s="81"/>
      <c r="C636" s="81"/>
      <c r="D636" s="81"/>
      <c r="E636" s="620"/>
      <c r="F636" s="620"/>
      <c r="G636" s="620"/>
      <c r="H636" s="81"/>
      <c r="I636" s="81"/>
      <c r="J636" s="35"/>
      <c r="K636" s="36"/>
      <c r="L636" s="36"/>
      <c r="M636" s="36"/>
      <c r="N636" s="36"/>
      <c r="O636" s="36"/>
      <c r="P636" s="36"/>
      <c r="Q636" s="36"/>
      <c r="R636" s="36"/>
      <c r="S636" s="36"/>
      <c r="T636" s="36"/>
      <c r="U636" s="36"/>
      <c r="V636" s="36"/>
      <c r="W636" s="36"/>
      <c r="X636" s="36"/>
      <c r="Y636" s="36"/>
      <c r="Z636" s="36"/>
      <c r="AA636" s="36"/>
      <c r="AB636" s="36"/>
      <c r="AC636" s="36"/>
    </row>
    <row r="637" spans="1:29" ht="24" customHeight="1">
      <c r="A637" s="81"/>
      <c r="B637" s="81"/>
      <c r="C637" s="81"/>
      <c r="D637" s="81"/>
      <c r="E637" s="620"/>
      <c r="F637" s="620"/>
      <c r="G637" s="620"/>
      <c r="H637" s="81"/>
      <c r="I637" s="81"/>
      <c r="J637" s="35"/>
      <c r="K637" s="36"/>
      <c r="L637" s="36"/>
      <c r="M637" s="36"/>
      <c r="N637" s="36"/>
      <c r="O637" s="36"/>
      <c r="P637" s="36"/>
      <c r="Q637" s="36"/>
      <c r="R637" s="36"/>
      <c r="S637" s="36"/>
      <c r="T637" s="36"/>
      <c r="U637" s="36"/>
      <c r="V637" s="36"/>
      <c r="W637" s="36"/>
      <c r="X637" s="36"/>
      <c r="Y637" s="36"/>
      <c r="Z637" s="36"/>
      <c r="AA637" s="36"/>
      <c r="AB637" s="36"/>
      <c r="AC637" s="36"/>
    </row>
    <row r="638" spans="1:29" ht="48" customHeight="1">
      <c r="A638" s="81"/>
      <c r="B638" s="81"/>
      <c r="C638" s="81"/>
      <c r="D638" s="81"/>
      <c r="E638" s="620"/>
      <c r="F638" s="620"/>
      <c r="G638" s="620"/>
      <c r="H638" s="81"/>
      <c r="I638" s="81"/>
      <c r="J638" s="35"/>
      <c r="K638" s="36"/>
      <c r="L638" s="36"/>
      <c r="M638" s="36"/>
      <c r="N638" s="36"/>
      <c r="O638" s="36"/>
      <c r="P638" s="36"/>
      <c r="Q638" s="36"/>
      <c r="R638" s="36"/>
      <c r="S638" s="36"/>
      <c r="T638" s="36"/>
      <c r="U638" s="36"/>
      <c r="V638" s="36"/>
      <c r="W638" s="36"/>
      <c r="X638" s="36"/>
      <c r="Y638" s="36"/>
      <c r="Z638" s="36"/>
      <c r="AA638" s="36"/>
      <c r="AB638" s="36"/>
      <c r="AC638" s="36"/>
    </row>
    <row r="639" spans="1:29" ht="24" customHeight="1">
      <c r="A639" s="81"/>
      <c r="B639" s="81"/>
      <c r="C639" s="81"/>
      <c r="D639" s="81"/>
      <c r="E639" s="620"/>
      <c r="F639" s="620"/>
      <c r="G639" s="620"/>
      <c r="H639" s="81"/>
      <c r="I639" s="81"/>
      <c r="J639" s="35"/>
      <c r="K639" s="36"/>
      <c r="L639" s="36"/>
      <c r="M639" s="36"/>
      <c r="N639" s="36"/>
      <c r="O639" s="36"/>
      <c r="P639" s="36"/>
      <c r="Q639" s="36"/>
      <c r="R639" s="36"/>
      <c r="S639" s="36"/>
      <c r="T639" s="36"/>
      <c r="U639" s="36"/>
      <c r="V639" s="36"/>
      <c r="W639" s="36"/>
      <c r="X639" s="36"/>
      <c r="Y639" s="36"/>
      <c r="Z639" s="36"/>
      <c r="AA639" s="36"/>
      <c r="AB639" s="36"/>
      <c r="AC639" s="36"/>
    </row>
    <row r="640" spans="1:29" ht="24" customHeight="1">
      <c r="A640" s="81"/>
      <c r="B640" s="81"/>
      <c r="C640" s="81"/>
      <c r="D640" s="81"/>
      <c r="E640" s="620"/>
      <c r="F640" s="620"/>
      <c r="G640" s="620"/>
      <c r="H640" s="81"/>
      <c r="I640" s="81"/>
      <c r="J640" s="35"/>
      <c r="K640" s="36"/>
      <c r="L640" s="36"/>
      <c r="M640" s="36"/>
      <c r="N640" s="36"/>
      <c r="O640" s="36"/>
      <c r="P640" s="36"/>
      <c r="Q640" s="36"/>
      <c r="R640" s="36"/>
      <c r="S640" s="36"/>
      <c r="T640" s="36"/>
      <c r="U640" s="36"/>
      <c r="V640" s="36"/>
      <c r="W640" s="36"/>
      <c r="X640" s="36"/>
      <c r="Y640" s="36"/>
      <c r="Z640" s="36"/>
      <c r="AA640" s="36"/>
      <c r="AB640" s="36"/>
      <c r="AC640" s="36"/>
    </row>
    <row r="641" spans="1:29" ht="36" customHeight="1">
      <c r="A641" s="81"/>
      <c r="B641" s="81"/>
      <c r="C641" s="81"/>
      <c r="D641" s="81"/>
      <c r="E641" s="620"/>
      <c r="F641" s="620"/>
      <c r="G641" s="620"/>
      <c r="H641" s="81"/>
      <c r="I641" s="81"/>
      <c r="J641" s="35"/>
      <c r="K641" s="36"/>
      <c r="L641" s="36"/>
      <c r="M641" s="36"/>
      <c r="N641" s="36"/>
      <c r="O641" s="36"/>
      <c r="P641" s="36"/>
      <c r="Q641" s="36"/>
      <c r="R641" s="36"/>
      <c r="S641" s="36"/>
      <c r="T641" s="36"/>
      <c r="U641" s="36"/>
      <c r="V641" s="36"/>
      <c r="W641" s="36"/>
      <c r="X641" s="36"/>
      <c r="Y641" s="36"/>
      <c r="Z641" s="36"/>
      <c r="AA641" s="36"/>
      <c r="AB641" s="36"/>
      <c r="AC641" s="36"/>
    </row>
    <row r="642" spans="1:29" ht="36" customHeight="1">
      <c r="A642" s="81"/>
      <c r="B642" s="81"/>
      <c r="C642" s="81"/>
      <c r="D642" s="81"/>
      <c r="E642" s="620"/>
      <c r="F642" s="620"/>
      <c r="G642" s="620"/>
      <c r="H642" s="81"/>
      <c r="I642" s="81"/>
      <c r="J642" s="35"/>
      <c r="K642" s="36"/>
      <c r="L642" s="36"/>
      <c r="M642" s="36"/>
      <c r="N642" s="36"/>
      <c r="O642" s="36"/>
      <c r="P642" s="36"/>
      <c r="Q642" s="36"/>
      <c r="R642" s="36"/>
      <c r="S642" s="36"/>
      <c r="T642" s="36"/>
      <c r="U642" s="36"/>
      <c r="V642" s="36"/>
      <c r="W642" s="36"/>
      <c r="X642" s="36"/>
      <c r="Y642" s="36"/>
      <c r="Z642" s="36"/>
      <c r="AA642" s="36"/>
      <c r="AB642" s="36"/>
      <c r="AC642" s="36"/>
    </row>
    <row r="643" spans="1:29" ht="84" customHeight="1">
      <c r="A643" s="100"/>
      <c r="B643" s="100"/>
      <c r="C643" s="100"/>
      <c r="D643" s="100"/>
      <c r="E643" s="627"/>
      <c r="F643" s="627"/>
      <c r="G643" s="627"/>
      <c r="H643" s="100"/>
      <c r="I643" s="100"/>
      <c r="J643" s="35"/>
      <c r="K643" s="36"/>
      <c r="L643" s="36"/>
      <c r="M643" s="36"/>
      <c r="N643" s="36"/>
      <c r="O643" s="36"/>
      <c r="P643" s="36"/>
      <c r="Q643" s="36"/>
      <c r="R643" s="36"/>
      <c r="S643" s="36"/>
      <c r="T643" s="36"/>
      <c r="U643" s="36"/>
      <c r="V643" s="36"/>
      <c r="W643" s="36"/>
      <c r="X643" s="36"/>
      <c r="Y643" s="36"/>
      <c r="Z643" s="36"/>
      <c r="AA643" s="36"/>
      <c r="AB643" s="36"/>
      <c r="AC643" s="36"/>
    </row>
    <row r="644" spans="1:29" ht="180" customHeight="1">
      <c r="A644" s="100"/>
      <c r="B644" s="100"/>
      <c r="C644" s="100"/>
      <c r="D644" s="100"/>
      <c r="E644" s="627"/>
      <c r="F644" s="627"/>
      <c r="G644" s="627"/>
      <c r="H644" s="100"/>
      <c r="I644" s="100"/>
      <c r="J644" s="35"/>
      <c r="K644" s="36"/>
      <c r="L644" s="36"/>
      <c r="M644" s="36"/>
      <c r="N644" s="36"/>
      <c r="O644" s="36"/>
      <c r="P644" s="36"/>
      <c r="Q644" s="36"/>
      <c r="R644" s="36"/>
      <c r="S644" s="36"/>
      <c r="T644" s="36"/>
      <c r="U644" s="36"/>
      <c r="V644" s="36"/>
      <c r="W644" s="36"/>
      <c r="X644" s="36"/>
      <c r="Y644" s="36"/>
      <c r="Z644" s="36"/>
      <c r="AA644" s="36"/>
      <c r="AB644" s="36"/>
      <c r="AC644" s="36"/>
    </row>
    <row r="645" spans="1:29" ht="24" customHeight="1">
      <c r="A645" s="81"/>
      <c r="B645" s="81"/>
      <c r="C645" s="81"/>
      <c r="D645" s="81"/>
      <c r="E645" s="620"/>
      <c r="F645" s="620"/>
      <c r="G645" s="620"/>
      <c r="H645" s="81"/>
      <c r="I645" s="81"/>
      <c r="J645" s="35"/>
      <c r="K645" s="36"/>
      <c r="L645" s="36"/>
      <c r="M645" s="36"/>
      <c r="N645" s="36"/>
      <c r="O645" s="36"/>
      <c r="P645" s="36"/>
      <c r="Q645" s="36"/>
      <c r="R645" s="36"/>
      <c r="S645" s="36"/>
      <c r="T645" s="36"/>
      <c r="U645" s="36"/>
      <c r="V645" s="36"/>
      <c r="W645" s="36"/>
      <c r="X645" s="36"/>
      <c r="Y645" s="36"/>
      <c r="Z645" s="36"/>
      <c r="AA645" s="36"/>
      <c r="AB645" s="36"/>
      <c r="AC645" s="36"/>
    </row>
    <row r="646" spans="1:29" ht="36" customHeight="1">
      <c r="A646" s="81"/>
      <c r="B646" s="95"/>
      <c r="C646" s="81"/>
      <c r="D646" s="81"/>
      <c r="E646" s="620"/>
      <c r="F646" s="620"/>
      <c r="G646" s="620"/>
      <c r="H646" s="81"/>
      <c r="I646" s="81"/>
      <c r="J646" s="35"/>
      <c r="K646" s="36"/>
      <c r="L646" s="36"/>
      <c r="M646" s="36"/>
      <c r="N646" s="36"/>
      <c r="O646" s="36"/>
      <c r="P646" s="36"/>
      <c r="Q646" s="36"/>
      <c r="R646" s="36"/>
      <c r="S646" s="36"/>
      <c r="T646" s="36"/>
      <c r="U646" s="36"/>
      <c r="V646" s="36"/>
      <c r="W646" s="36"/>
      <c r="X646" s="36"/>
      <c r="Y646" s="36"/>
      <c r="Z646" s="36"/>
      <c r="AA646" s="36"/>
      <c r="AB646" s="36"/>
      <c r="AC646" s="36"/>
    </row>
    <row r="647" spans="1:29" ht="24" customHeight="1">
      <c r="A647" s="81"/>
      <c r="B647" s="95"/>
      <c r="C647" s="81"/>
      <c r="D647" s="81"/>
      <c r="E647" s="620"/>
      <c r="F647" s="620"/>
      <c r="G647" s="620"/>
      <c r="H647" s="81"/>
      <c r="I647" s="81"/>
      <c r="J647" s="35"/>
      <c r="K647" s="36"/>
      <c r="L647" s="36"/>
      <c r="M647" s="36"/>
      <c r="N647" s="36"/>
      <c r="O647" s="36"/>
      <c r="P647" s="36"/>
      <c r="Q647" s="36"/>
      <c r="R647" s="36"/>
      <c r="S647" s="36"/>
      <c r="T647" s="36"/>
      <c r="U647" s="36"/>
      <c r="V647" s="36"/>
      <c r="W647" s="36"/>
      <c r="X647" s="36"/>
      <c r="Y647" s="36"/>
      <c r="Z647" s="36"/>
      <c r="AA647" s="36"/>
      <c r="AB647" s="36"/>
      <c r="AC647" s="36"/>
    </row>
    <row r="648" spans="1:29" ht="36" customHeight="1">
      <c r="A648" s="81"/>
      <c r="B648" s="81"/>
      <c r="C648" s="81"/>
      <c r="D648" s="81"/>
      <c r="E648" s="620"/>
      <c r="F648" s="620"/>
      <c r="G648" s="620"/>
      <c r="H648" s="81"/>
      <c r="I648" s="81"/>
      <c r="J648" s="35"/>
      <c r="K648" s="36"/>
      <c r="L648" s="36"/>
      <c r="M648" s="36"/>
      <c r="N648" s="36"/>
      <c r="O648" s="36"/>
      <c r="P648" s="36"/>
      <c r="Q648" s="36"/>
      <c r="R648" s="36"/>
      <c r="S648" s="36"/>
      <c r="T648" s="36"/>
      <c r="U648" s="36"/>
      <c r="V648" s="36"/>
      <c r="W648" s="36"/>
      <c r="X648" s="36"/>
      <c r="Y648" s="36"/>
      <c r="Z648" s="36"/>
      <c r="AA648" s="36"/>
      <c r="AB648" s="36"/>
      <c r="AC648" s="36"/>
    </row>
    <row r="649" spans="1:29" ht="24" customHeight="1">
      <c r="A649" s="81"/>
      <c r="B649" s="95"/>
      <c r="C649" s="81"/>
      <c r="D649" s="81"/>
      <c r="E649" s="620"/>
      <c r="F649" s="620"/>
      <c r="G649" s="620"/>
      <c r="H649" s="81"/>
      <c r="I649" s="81"/>
      <c r="J649" s="35"/>
      <c r="K649" s="36"/>
      <c r="L649" s="36"/>
      <c r="M649" s="36"/>
      <c r="N649" s="36"/>
      <c r="O649" s="36"/>
      <c r="P649" s="36"/>
      <c r="Q649" s="36"/>
      <c r="R649" s="36"/>
      <c r="S649" s="36"/>
      <c r="T649" s="36"/>
      <c r="U649" s="36"/>
      <c r="V649" s="36"/>
      <c r="W649" s="36"/>
      <c r="X649" s="36"/>
      <c r="Y649" s="36"/>
      <c r="Z649" s="36"/>
      <c r="AA649" s="36"/>
      <c r="AB649" s="36"/>
      <c r="AC649" s="36"/>
    </row>
    <row r="650" spans="1:29" ht="36" customHeight="1">
      <c r="A650" s="619"/>
      <c r="B650" s="81"/>
      <c r="C650" s="81"/>
      <c r="D650" s="81"/>
      <c r="E650" s="620"/>
      <c r="F650" s="620"/>
      <c r="G650" s="620"/>
      <c r="H650" s="94"/>
      <c r="I650" s="81"/>
      <c r="J650" s="35"/>
      <c r="K650" s="36"/>
      <c r="L650" s="36"/>
      <c r="M650" s="36"/>
      <c r="N650" s="36"/>
      <c r="O650" s="36"/>
      <c r="P650" s="36"/>
      <c r="Q650" s="36"/>
      <c r="R650" s="36"/>
      <c r="S650" s="36"/>
      <c r="T650" s="36"/>
      <c r="U650" s="36"/>
      <c r="V650" s="36"/>
      <c r="W650" s="36"/>
      <c r="X650" s="36"/>
      <c r="Y650" s="36"/>
      <c r="Z650" s="36"/>
      <c r="AA650" s="36"/>
      <c r="AB650" s="36"/>
      <c r="AC650" s="36"/>
    </row>
    <row r="651" spans="1:29" ht="24" customHeight="1">
      <c r="A651" s="81"/>
      <c r="B651" s="94"/>
      <c r="C651" s="81"/>
      <c r="D651" s="81"/>
      <c r="E651" s="620"/>
      <c r="F651" s="620"/>
      <c r="G651" s="620"/>
      <c r="H651" s="94"/>
      <c r="I651" s="81"/>
      <c r="J651" s="35"/>
      <c r="K651" s="36"/>
      <c r="L651" s="36"/>
      <c r="M651" s="36"/>
      <c r="N651" s="36"/>
      <c r="O651" s="36"/>
      <c r="P651" s="36"/>
      <c r="Q651" s="36"/>
      <c r="R651" s="36"/>
      <c r="S651" s="36"/>
      <c r="T651" s="36"/>
      <c r="U651" s="36"/>
      <c r="V651" s="36"/>
      <c r="W651" s="36"/>
      <c r="X651" s="36"/>
      <c r="Y651" s="36"/>
      <c r="Z651" s="36"/>
      <c r="AA651" s="36"/>
      <c r="AB651" s="36"/>
      <c r="AC651" s="36"/>
    </row>
    <row r="652" spans="1:29" ht="24" customHeight="1">
      <c r="A652" s="81"/>
      <c r="B652" s="81"/>
      <c r="C652" s="81"/>
      <c r="D652" s="81"/>
      <c r="E652" s="620"/>
      <c r="F652" s="620"/>
      <c r="G652" s="620"/>
      <c r="H652" s="94"/>
      <c r="I652" s="81"/>
      <c r="J652" s="35"/>
      <c r="K652" s="36"/>
      <c r="L652" s="36"/>
      <c r="M652" s="36"/>
      <c r="N652" s="36"/>
      <c r="O652" s="36"/>
      <c r="P652" s="36"/>
      <c r="Q652" s="36"/>
      <c r="R652" s="36"/>
      <c r="S652" s="36"/>
      <c r="T652" s="36"/>
      <c r="U652" s="36"/>
      <c r="V652" s="36"/>
      <c r="W652" s="36"/>
      <c r="X652" s="36"/>
      <c r="Y652" s="36"/>
      <c r="Z652" s="36"/>
      <c r="AA652" s="36"/>
      <c r="AB652" s="36"/>
      <c r="AC652" s="36"/>
    </row>
    <row r="653" spans="1:29" ht="48" customHeight="1">
      <c r="A653" s="81"/>
      <c r="B653" s="81"/>
      <c r="C653" s="81"/>
      <c r="D653" s="81"/>
      <c r="E653" s="620"/>
      <c r="F653" s="620"/>
      <c r="G653" s="620"/>
      <c r="H653" s="94"/>
      <c r="I653" s="81"/>
      <c r="J653" s="35"/>
      <c r="K653" s="36"/>
      <c r="L653" s="36"/>
      <c r="M653" s="36"/>
      <c r="N653" s="36"/>
      <c r="O653" s="36"/>
      <c r="P653" s="36"/>
      <c r="Q653" s="36"/>
      <c r="R653" s="36"/>
      <c r="S653" s="36"/>
      <c r="T653" s="36"/>
      <c r="U653" s="36"/>
      <c r="V653" s="36"/>
      <c r="W653" s="36"/>
      <c r="X653" s="36"/>
      <c r="Y653" s="36"/>
      <c r="Z653" s="36"/>
      <c r="AA653" s="36"/>
      <c r="AB653" s="36"/>
      <c r="AC653" s="36"/>
    </row>
    <row r="654" spans="1:29" ht="48" customHeight="1">
      <c r="A654" s="81"/>
      <c r="B654" s="94"/>
      <c r="C654" s="81"/>
      <c r="D654" s="81"/>
      <c r="E654" s="620"/>
      <c r="F654" s="620"/>
      <c r="G654" s="620"/>
      <c r="H654" s="94"/>
      <c r="I654" s="81"/>
      <c r="J654" s="35"/>
      <c r="K654" s="36"/>
      <c r="L654" s="36"/>
      <c r="M654" s="36"/>
      <c r="N654" s="36"/>
      <c r="O654" s="36"/>
      <c r="P654" s="36"/>
      <c r="Q654" s="36"/>
      <c r="R654" s="36"/>
      <c r="S654" s="36"/>
      <c r="T654" s="36"/>
      <c r="U654" s="36"/>
      <c r="V654" s="36"/>
      <c r="W654" s="36"/>
      <c r="X654" s="36"/>
      <c r="Y654" s="36"/>
      <c r="Z654" s="36"/>
      <c r="AA654" s="36"/>
      <c r="AB654" s="36"/>
      <c r="AC654" s="36"/>
    </row>
    <row r="655" spans="1:29" ht="24" customHeight="1">
      <c r="A655" s="81"/>
      <c r="B655" s="94"/>
      <c r="C655" s="81"/>
      <c r="D655" s="81"/>
      <c r="E655" s="620"/>
      <c r="F655" s="620"/>
      <c r="G655" s="620"/>
      <c r="H655" s="94"/>
      <c r="I655" s="81"/>
      <c r="J655" s="35"/>
      <c r="K655" s="36"/>
      <c r="L655" s="36"/>
      <c r="M655" s="36"/>
      <c r="N655" s="36"/>
      <c r="O655" s="36"/>
      <c r="P655" s="36"/>
      <c r="Q655" s="36"/>
      <c r="R655" s="36"/>
      <c r="S655" s="36"/>
      <c r="T655" s="36"/>
      <c r="U655" s="36"/>
      <c r="V655" s="36"/>
      <c r="W655" s="36"/>
      <c r="X655" s="36"/>
      <c r="Y655" s="36"/>
      <c r="Z655" s="36"/>
      <c r="AA655" s="36"/>
      <c r="AB655" s="36"/>
      <c r="AC655" s="36"/>
    </row>
    <row r="656" spans="1:29" ht="36" customHeight="1">
      <c r="A656" s="81"/>
      <c r="B656" s="81"/>
      <c r="C656" s="81"/>
      <c r="D656" s="81"/>
      <c r="E656" s="620"/>
      <c r="F656" s="620"/>
      <c r="G656" s="620"/>
      <c r="H656" s="94"/>
      <c r="I656" s="81"/>
      <c r="J656" s="35"/>
      <c r="K656" s="36"/>
      <c r="L656" s="36"/>
      <c r="M656" s="36"/>
      <c r="N656" s="36"/>
      <c r="O656" s="36"/>
      <c r="P656" s="36"/>
      <c r="Q656" s="36"/>
      <c r="R656" s="36"/>
      <c r="S656" s="36"/>
      <c r="T656" s="36"/>
      <c r="U656" s="36"/>
      <c r="V656" s="36"/>
      <c r="W656" s="36"/>
      <c r="X656" s="36"/>
      <c r="Y656" s="36"/>
      <c r="Z656" s="36"/>
      <c r="AA656" s="36"/>
      <c r="AB656" s="36"/>
      <c r="AC656" s="36"/>
    </row>
    <row r="657" spans="1:29" ht="24" customHeight="1">
      <c r="A657" s="81"/>
      <c r="B657" s="81"/>
      <c r="C657" s="81"/>
      <c r="D657" s="81"/>
      <c r="E657" s="620"/>
      <c r="F657" s="620"/>
      <c r="G657" s="620"/>
      <c r="H657" s="94"/>
      <c r="I657" s="81"/>
      <c r="J657" s="35"/>
      <c r="K657" s="36"/>
      <c r="L657" s="36"/>
      <c r="M657" s="36"/>
      <c r="N657" s="36"/>
      <c r="O657" s="36"/>
      <c r="P657" s="36"/>
      <c r="Q657" s="36"/>
      <c r="R657" s="36"/>
      <c r="S657" s="36"/>
      <c r="T657" s="36"/>
      <c r="U657" s="36"/>
      <c r="V657" s="36"/>
      <c r="W657" s="36"/>
      <c r="X657" s="36"/>
      <c r="Y657" s="36"/>
      <c r="Z657" s="36"/>
      <c r="AA657" s="36"/>
      <c r="AB657" s="36"/>
      <c r="AC657" s="36"/>
    </row>
    <row r="658" spans="1:29" ht="24" customHeight="1">
      <c r="A658" s="81"/>
      <c r="B658" s="81"/>
      <c r="C658" s="81"/>
      <c r="D658" s="81"/>
      <c r="E658" s="620"/>
      <c r="F658" s="620"/>
      <c r="G658" s="620"/>
      <c r="H658" s="94"/>
      <c r="I658" s="81"/>
      <c r="J658" s="35"/>
      <c r="K658" s="36"/>
      <c r="L658" s="36"/>
      <c r="M658" s="36"/>
      <c r="N658" s="36"/>
      <c r="O658" s="36"/>
      <c r="P658" s="36"/>
      <c r="Q658" s="36"/>
      <c r="R658" s="36"/>
      <c r="S658" s="36"/>
      <c r="T658" s="36"/>
      <c r="U658" s="36"/>
      <c r="V658" s="36"/>
      <c r="W658" s="36"/>
      <c r="X658" s="36"/>
      <c r="Y658" s="36"/>
      <c r="Z658" s="36"/>
      <c r="AA658" s="36"/>
      <c r="AB658" s="36"/>
      <c r="AC658" s="36"/>
    </row>
    <row r="659" spans="1:29" ht="24" customHeight="1">
      <c r="A659" s="81"/>
      <c r="B659" s="81"/>
      <c r="C659" s="81"/>
      <c r="D659" s="81"/>
      <c r="E659" s="620"/>
      <c r="F659" s="620"/>
      <c r="G659" s="620"/>
      <c r="H659" s="94"/>
      <c r="I659" s="81"/>
      <c r="J659" s="35"/>
      <c r="K659" s="36"/>
      <c r="L659" s="36"/>
      <c r="M659" s="36"/>
      <c r="N659" s="36"/>
      <c r="O659" s="36"/>
      <c r="P659" s="36"/>
      <c r="Q659" s="36"/>
      <c r="R659" s="36"/>
      <c r="S659" s="36"/>
      <c r="T659" s="36"/>
      <c r="U659" s="36"/>
      <c r="V659" s="36"/>
      <c r="W659" s="36"/>
      <c r="X659" s="36"/>
      <c r="Y659" s="36"/>
      <c r="Z659" s="36"/>
      <c r="AA659" s="36"/>
      <c r="AB659" s="36"/>
      <c r="AC659" s="36"/>
    </row>
    <row r="660" spans="1:29" ht="36" customHeight="1">
      <c r="A660" s="81"/>
      <c r="B660" s="81"/>
      <c r="C660" s="81"/>
      <c r="D660" s="81"/>
      <c r="E660" s="620"/>
      <c r="F660" s="620"/>
      <c r="G660" s="620"/>
      <c r="H660" s="94"/>
      <c r="I660" s="81"/>
      <c r="J660" s="35"/>
      <c r="K660" s="36"/>
      <c r="L660" s="36"/>
      <c r="M660" s="36"/>
      <c r="N660" s="36"/>
      <c r="O660" s="36"/>
      <c r="P660" s="36"/>
      <c r="Q660" s="36"/>
      <c r="R660" s="36"/>
      <c r="S660" s="36"/>
      <c r="T660" s="36"/>
      <c r="U660" s="36"/>
      <c r="V660" s="36"/>
      <c r="W660" s="36"/>
      <c r="X660" s="36"/>
      <c r="Y660" s="36"/>
      <c r="Z660" s="36"/>
      <c r="AA660" s="36"/>
      <c r="AB660" s="36"/>
      <c r="AC660" s="36"/>
    </row>
    <row r="661" spans="1:29" ht="48" customHeight="1">
      <c r="A661" s="81"/>
      <c r="B661" s="81"/>
      <c r="C661" s="81"/>
      <c r="D661" s="81"/>
      <c r="E661" s="620"/>
      <c r="F661" s="620"/>
      <c r="G661" s="620"/>
      <c r="H661" s="94"/>
      <c r="I661" s="81"/>
      <c r="J661" s="35"/>
      <c r="K661" s="36"/>
      <c r="L661" s="36"/>
      <c r="M661" s="36"/>
      <c r="N661" s="36"/>
      <c r="O661" s="36"/>
      <c r="P661" s="36"/>
      <c r="Q661" s="36"/>
      <c r="R661" s="36"/>
      <c r="S661" s="36"/>
      <c r="T661" s="36"/>
      <c r="U661" s="36"/>
      <c r="V661" s="36"/>
      <c r="W661" s="36"/>
      <c r="X661" s="36"/>
      <c r="Y661" s="36"/>
      <c r="Z661" s="36"/>
      <c r="AA661" s="36"/>
      <c r="AB661" s="36"/>
      <c r="AC661" s="36"/>
    </row>
    <row r="662" spans="1:29" ht="24" customHeight="1">
      <c r="A662" s="81"/>
      <c r="B662" s="81"/>
      <c r="C662" s="81"/>
      <c r="D662" s="81"/>
      <c r="E662" s="620"/>
      <c r="F662" s="620"/>
      <c r="G662" s="620"/>
      <c r="H662" s="94"/>
      <c r="I662" s="81"/>
      <c r="J662" s="35"/>
      <c r="K662" s="36"/>
      <c r="L662" s="36"/>
      <c r="M662" s="36"/>
      <c r="N662" s="36"/>
      <c r="O662" s="36"/>
      <c r="P662" s="36"/>
      <c r="Q662" s="36"/>
      <c r="R662" s="36"/>
      <c r="S662" s="36"/>
      <c r="T662" s="36"/>
      <c r="U662" s="36"/>
      <c r="V662" s="36"/>
      <c r="W662" s="36"/>
      <c r="X662" s="36"/>
      <c r="Y662" s="36"/>
      <c r="Z662" s="36"/>
      <c r="AA662" s="36"/>
      <c r="AB662" s="36"/>
      <c r="AC662" s="36"/>
    </row>
    <row r="663" spans="1:29" ht="36" customHeight="1">
      <c r="A663" s="81"/>
      <c r="B663" s="81"/>
      <c r="C663" s="81"/>
      <c r="D663" s="81"/>
      <c r="E663" s="620"/>
      <c r="F663" s="620"/>
      <c r="G663" s="620"/>
      <c r="H663" s="94"/>
      <c r="I663" s="81"/>
      <c r="J663" s="35"/>
      <c r="K663" s="36"/>
      <c r="L663" s="36"/>
      <c r="M663" s="36"/>
      <c r="N663" s="36"/>
      <c r="O663" s="36"/>
      <c r="P663" s="36"/>
      <c r="Q663" s="36"/>
      <c r="R663" s="36"/>
      <c r="S663" s="36"/>
      <c r="T663" s="36"/>
      <c r="U663" s="36"/>
      <c r="V663" s="36"/>
      <c r="W663" s="36"/>
      <c r="X663" s="36"/>
      <c r="Y663" s="36"/>
      <c r="Z663" s="36"/>
      <c r="AA663" s="36"/>
      <c r="AB663" s="36"/>
      <c r="AC663" s="36"/>
    </row>
    <row r="664" spans="1:29" ht="48" customHeight="1">
      <c r="A664" s="81"/>
      <c r="B664" s="81"/>
      <c r="C664" s="81"/>
      <c r="D664" s="81"/>
      <c r="E664" s="620"/>
      <c r="F664" s="620"/>
      <c r="G664" s="620"/>
      <c r="H664" s="94"/>
      <c r="I664" s="81"/>
      <c r="J664" s="35"/>
      <c r="K664" s="36"/>
      <c r="L664" s="36"/>
      <c r="M664" s="36"/>
      <c r="N664" s="36"/>
      <c r="O664" s="36"/>
      <c r="P664" s="36"/>
      <c r="Q664" s="36"/>
      <c r="R664" s="36"/>
      <c r="S664" s="36"/>
      <c r="T664" s="36"/>
      <c r="U664" s="36"/>
      <c r="V664" s="36"/>
      <c r="W664" s="36"/>
      <c r="X664" s="36"/>
      <c r="Y664" s="36"/>
      <c r="Z664" s="36"/>
      <c r="AA664" s="36"/>
      <c r="AB664" s="36"/>
      <c r="AC664" s="36"/>
    </row>
    <row r="665" spans="1:29" ht="36" customHeight="1">
      <c r="A665" s="81"/>
      <c r="B665" s="81"/>
      <c r="C665" s="81"/>
      <c r="D665" s="81"/>
      <c r="E665" s="620"/>
      <c r="F665" s="620"/>
      <c r="G665" s="620"/>
      <c r="H665" s="94"/>
      <c r="I665" s="81"/>
      <c r="J665" s="35"/>
      <c r="K665" s="36"/>
      <c r="L665" s="36"/>
      <c r="M665" s="36"/>
      <c r="N665" s="36"/>
      <c r="O665" s="36"/>
      <c r="P665" s="36"/>
      <c r="Q665" s="36"/>
      <c r="R665" s="36"/>
      <c r="S665" s="36"/>
      <c r="T665" s="36"/>
      <c r="U665" s="36"/>
      <c r="V665" s="36"/>
      <c r="W665" s="36"/>
      <c r="X665" s="36"/>
      <c r="Y665" s="36"/>
      <c r="Z665" s="36"/>
      <c r="AA665" s="36"/>
      <c r="AB665" s="36"/>
      <c r="AC665" s="36"/>
    </row>
    <row r="666" spans="1:29" ht="24" customHeight="1">
      <c r="A666" s="81"/>
      <c r="B666" s="81"/>
      <c r="C666" s="81"/>
      <c r="D666" s="81"/>
      <c r="E666" s="620"/>
      <c r="F666" s="620"/>
      <c r="G666" s="620"/>
      <c r="H666" s="94"/>
      <c r="I666" s="81"/>
      <c r="J666" s="35"/>
      <c r="K666" s="36"/>
      <c r="L666" s="36"/>
      <c r="M666" s="36"/>
      <c r="N666" s="36"/>
      <c r="O666" s="36"/>
      <c r="P666" s="36"/>
      <c r="Q666" s="36"/>
      <c r="R666" s="36"/>
      <c r="S666" s="36"/>
      <c r="T666" s="36"/>
      <c r="U666" s="36"/>
      <c r="V666" s="36"/>
      <c r="W666" s="36"/>
      <c r="X666" s="36"/>
      <c r="Y666" s="36"/>
      <c r="Z666" s="36"/>
      <c r="AA666" s="36"/>
      <c r="AB666" s="36"/>
      <c r="AC666" s="36"/>
    </row>
    <row r="667" spans="1:29" ht="24" customHeight="1">
      <c r="A667" s="81"/>
      <c r="B667" s="81"/>
      <c r="C667" s="81"/>
      <c r="D667" s="81"/>
      <c r="E667" s="620"/>
      <c r="F667" s="620"/>
      <c r="G667" s="620"/>
      <c r="H667" s="94"/>
      <c r="I667" s="81"/>
      <c r="J667" s="35"/>
      <c r="K667" s="36"/>
      <c r="L667" s="36"/>
      <c r="M667" s="36"/>
      <c r="N667" s="36"/>
      <c r="O667" s="36"/>
      <c r="P667" s="36"/>
      <c r="Q667" s="36"/>
      <c r="R667" s="36"/>
      <c r="S667" s="36"/>
      <c r="T667" s="36"/>
      <c r="U667" s="36"/>
      <c r="V667" s="36"/>
      <c r="W667" s="36"/>
      <c r="X667" s="36"/>
      <c r="Y667" s="36"/>
      <c r="Z667" s="36"/>
      <c r="AA667" s="36"/>
      <c r="AB667" s="36"/>
      <c r="AC667" s="36"/>
    </row>
    <row r="668" spans="1:29" ht="36" customHeight="1">
      <c r="A668" s="81"/>
      <c r="B668" s="81"/>
      <c r="C668" s="81"/>
      <c r="D668" s="81"/>
      <c r="E668" s="620"/>
      <c r="F668" s="620"/>
      <c r="G668" s="620"/>
      <c r="H668" s="94"/>
      <c r="I668" s="81"/>
      <c r="J668" s="35"/>
      <c r="K668" s="36"/>
      <c r="L668" s="36"/>
      <c r="M668" s="36"/>
      <c r="N668" s="36"/>
      <c r="O668" s="36"/>
      <c r="P668" s="36"/>
      <c r="Q668" s="36"/>
      <c r="R668" s="36"/>
      <c r="S668" s="36"/>
      <c r="T668" s="36"/>
      <c r="U668" s="36"/>
      <c r="V668" s="36"/>
      <c r="W668" s="36"/>
      <c r="X668" s="36"/>
      <c r="Y668" s="36"/>
      <c r="Z668" s="36"/>
      <c r="AA668" s="36"/>
      <c r="AB668" s="36"/>
      <c r="AC668" s="36"/>
    </row>
    <row r="669" spans="1:29" ht="24" customHeight="1">
      <c r="A669" s="81"/>
      <c r="B669" s="81"/>
      <c r="C669" s="81"/>
      <c r="D669" s="81"/>
      <c r="E669" s="620"/>
      <c r="F669" s="620"/>
      <c r="G669" s="620"/>
      <c r="H669" s="94"/>
      <c r="I669" s="81"/>
      <c r="J669" s="35"/>
      <c r="K669" s="36"/>
      <c r="L669" s="36"/>
      <c r="M669" s="36"/>
      <c r="N669" s="36"/>
      <c r="O669" s="36"/>
      <c r="P669" s="36"/>
      <c r="Q669" s="36"/>
      <c r="R669" s="36"/>
      <c r="S669" s="36"/>
      <c r="T669" s="36"/>
      <c r="U669" s="36"/>
      <c r="V669" s="36"/>
      <c r="W669" s="36"/>
      <c r="X669" s="36"/>
      <c r="Y669" s="36"/>
      <c r="Z669" s="36"/>
      <c r="AA669" s="36"/>
      <c r="AB669" s="36"/>
      <c r="AC669" s="36"/>
    </row>
    <row r="670" spans="1:29" ht="24" customHeight="1">
      <c r="A670" s="81"/>
      <c r="B670" s="81"/>
      <c r="C670" s="81"/>
      <c r="D670" s="81"/>
      <c r="E670" s="620"/>
      <c r="F670" s="620"/>
      <c r="G670" s="620"/>
      <c r="H670" s="94"/>
      <c r="I670" s="81"/>
      <c r="J670" s="35"/>
      <c r="K670" s="36"/>
      <c r="L670" s="36"/>
      <c r="M670" s="36"/>
      <c r="N670" s="36"/>
      <c r="O670" s="36"/>
      <c r="P670" s="36"/>
      <c r="Q670" s="36"/>
      <c r="R670" s="36"/>
      <c r="S670" s="36"/>
      <c r="T670" s="36"/>
      <c r="U670" s="36"/>
      <c r="V670" s="36"/>
      <c r="W670" s="36"/>
      <c r="X670" s="36"/>
      <c r="Y670" s="36"/>
      <c r="Z670" s="36"/>
      <c r="AA670" s="36"/>
      <c r="AB670" s="36"/>
      <c r="AC670" s="36"/>
    </row>
    <row r="671" spans="1:29" ht="24" customHeight="1">
      <c r="A671" s="81"/>
      <c r="B671" s="81"/>
      <c r="C671" s="81"/>
      <c r="D671" s="81"/>
      <c r="E671" s="620"/>
      <c r="F671" s="620"/>
      <c r="G671" s="620"/>
      <c r="H671" s="94"/>
      <c r="I671" s="81"/>
      <c r="J671" s="35"/>
      <c r="K671" s="36"/>
      <c r="L671" s="36"/>
      <c r="M671" s="36"/>
      <c r="N671" s="36"/>
      <c r="O671" s="36"/>
      <c r="P671" s="36"/>
      <c r="Q671" s="36"/>
      <c r="R671" s="36"/>
      <c r="S671" s="36"/>
      <c r="T671" s="36"/>
      <c r="U671" s="36"/>
      <c r="V671" s="36"/>
      <c r="W671" s="36"/>
      <c r="X671" s="36"/>
      <c r="Y671" s="36"/>
      <c r="Z671" s="36"/>
      <c r="AA671" s="36"/>
      <c r="AB671" s="36"/>
      <c r="AC671" s="36"/>
    </row>
    <row r="672" spans="1:29" ht="24" customHeight="1">
      <c r="A672" s="81"/>
      <c r="B672" s="81"/>
      <c r="C672" s="81"/>
      <c r="D672" s="81"/>
      <c r="E672" s="620"/>
      <c r="F672" s="620"/>
      <c r="G672" s="620"/>
      <c r="H672" s="94"/>
      <c r="I672" s="81"/>
      <c r="J672" s="35"/>
      <c r="K672" s="36"/>
      <c r="L672" s="36"/>
      <c r="M672" s="36"/>
      <c r="N672" s="36"/>
      <c r="O672" s="36"/>
      <c r="P672" s="36"/>
      <c r="Q672" s="36"/>
      <c r="R672" s="36"/>
      <c r="S672" s="36"/>
      <c r="T672" s="36"/>
      <c r="U672" s="36"/>
      <c r="V672" s="36"/>
      <c r="W672" s="36"/>
      <c r="X672" s="36"/>
      <c r="Y672" s="36"/>
      <c r="Z672" s="36"/>
      <c r="AA672" s="36"/>
      <c r="AB672" s="36"/>
      <c r="AC672" s="36"/>
    </row>
    <row r="673" spans="1:29" ht="24" customHeight="1">
      <c r="A673" s="81"/>
      <c r="B673" s="81"/>
      <c r="C673" s="81"/>
      <c r="D673" s="81"/>
      <c r="E673" s="620"/>
      <c r="F673" s="620"/>
      <c r="G673" s="620"/>
      <c r="H673" s="94"/>
      <c r="I673" s="81"/>
      <c r="J673" s="35"/>
      <c r="K673" s="36"/>
      <c r="L673" s="36"/>
      <c r="M673" s="36"/>
      <c r="N673" s="36"/>
      <c r="O673" s="36"/>
      <c r="P673" s="36"/>
      <c r="Q673" s="36"/>
      <c r="R673" s="36"/>
      <c r="S673" s="36"/>
      <c r="T673" s="36"/>
      <c r="U673" s="36"/>
      <c r="V673" s="36"/>
      <c r="W673" s="36"/>
      <c r="X673" s="36"/>
      <c r="Y673" s="36"/>
      <c r="Z673" s="36"/>
      <c r="AA673" s="36"/>
      <c r="AB673" s="36"/>
      <c r="AC673" s="36"/>
    </row>
    <row r="674" spans="1:29" ht="24" customHeight="1">
      <c r="A674" s="81"/>
      <c r="B674" s="81"/>
      <c r="C674" s="81"/>
      <c r="D674" s="81"/>
      <c r="E674" s="620"/>
      <c r="F674" s="620"/>
      <c r="G674" s="620"/>
      <c r="H674" s="94"/>
      <c r="I674" s="81"/>
      <c r="J674" s="35"/>
      <c r="K674" s="36"/>
      <c r="L674" s="36"/>
      <c r="M674" s="36"/>
      <c r="N674" s="36"/>
      <c r="O674" s="36"/>
      <c r="P674" s="36"/>
      <c r="Q674" s="36"/>
      <c r="R674" s="36"/>
      <c r="S674" s="36"/>
      <c r="T674" s="36"/>
      <c r="U674" s="36"/>
      <c r="V674" s="36"/>
      <c r="W674" s="36"/>
      <c r="X674" s="36"/>
      <c r="Y674" s="36"/>
      <c r="Z674" s="36"/>
      <c r="AA674" s="36"/>
      <c r="AB674" s="36"/>
      <c r="AC674" s="36"/>
    </row>
    <row r="675" spans="1:29" ht="24" customHeight="1">
      <c r="A675" s="81"/>
      <c r="B675" s="81"/>
      <c r="C675" s="81"/>
      <c r="D675" s="81"/>
      <c r="E675" s="620"/>
      <c r="F675" s="620"/>
      <c r="G675" s="620"/>
      <c r="H675" s="94"/>
      <c r="I675" s="81"/>
      <c r="J675" s="35"/>
      <c r="K675" s="36"/>
      <c r="L675" s="36"/>
      <c r="M675" s="36"/>
      <c r="N675" s="36"/>
      <c r="O675" s="36"/>
      <c r="P675" s="36"/>
      <c r="Q675" s="36"/>
      <c r="R675" s="36"/>
      <c r="S675" s="36"/>
      <c r="T675" s="36"/>
      <c r="U675" s="36"/>
      <c r="V675" s="36"/>
      <c r="W675" s="36"/>
      <c r="X675" s="36"/>
      <c r="Y675" s="36"/>
      <c r="Z675" s="36"/>
      <c r="AA675" s="36"/>
      <c r="AB675" s="36"/>
      <c r="AC675" s="36"/>
    </row>
    <row r="676" spans="1:29" ht="36" customHeight="1">
      <c r="A676" s="81"/>
      <c r="B676" s="81"/>
      <c r="C676" s="81"/>
      <c r="D676" s="81"/>
      <c r="E676" s="620"/>
      <c r="F676" s="620"/>
      <c r="G676" s="620"/>
      <c r="H676" s="94"/>
      <c r="I676" s="81"/>
      <c r="J676" s="35"/>
      <c r="K676" s="36"/>
      <c r="L676" s="36"/>
      <c r="M676" s="36"/>
      <c r="N676" s="36"/>
      <c r="O676" s="36"/>
      <c r="P676" s="36"/>
      <c r="Q676" s="36"/>
      <c r="R676" s="36"/>
      <c r="S676" s="36"/>
      <c r="T676" s="36"/>
      <c r="U676" s="36"/>
      <c r="V676" s="36"/>
      <c r="W676" s="36"/>
      <c r="X676" s="36"/>
      <c r="Y676" s="36"/>
      <c r="Z676" s="36"/>
      <c r="AA676" s="36"/>
      <c r="AB676" s="36"/>
      <c r="AC676" s="36"/>
    </row>
    <row r="677" spans="1:29" ht="24" customHeight="1">
      <c r="A677" s="81"/>
      <c r="B677" s="81"/>
      <c r="C677" s="81"/>
      <c r="D677" s="81"/>
      <c r="E677" s="620"/>
      <c r="F677" s="620"/>
      <c r="G677" s="620"/>
      <c r="H677" s="94"/>
      <c r="I677" s="81"/>
      <c r="J677" s="35"/>
      <c r="K677" s="36"/>
      <c r="L677" s="36"/>
      <c r="M677" s="36"/>
      <c r="N677" s="36"/>
      <c r="O677" s="36"/>
      <c r="P677" s="36"/>
      <c r="Q677" s="36"/>
      <c r="R677" s="36"/>
      <c r="S677" s="36"/>
      <c r="T677" s="36"/>
      <c r="U677" s="36"/>
      <c r="V677" s="36"/>
      <c r="W677" s="36"/>
      <c r="X677" s="36"/>
      <c r="Y677" s="36"/>
      <c r="Z677" s="36"/>
      <c r="AA677" s="36"/>
      <c r="AB677" s="36"/>
      <c r="AC677" s="36"/>
    </row>
    <row r="678" spans="1:29" ht="24" customHeight="1">
      <c r="A678" s="81"/>
      <c r="B678" s="81"/>
      <c r="C678" s="81"/>
      <c r="D678" s="81"/>
      <c r="E678" s="620"/>
      <c r="F678" s="620"/>
      <c r="G678" s="620"/>
      <c r="H678" s="94"/>
      <c r="I678" s="81"/>
      <c r="J678" s="35"/>
      <c r="K678" s="36"/>
      <c r="L678" s="36"/>
      <c r="M678" s="36"/>
      <c r="N678" s="36"/>
      <c r="O678" s="36"/>
      <c r="P678" s="36"/>
      <c r="Q678" s="36"/>
      <c r="R678" s="36"/>
      <c r="S678" s="36"/>
      <c r="T678" s="36"/>
      <c r="U678" s="36"/>
      <c r="V678" s="36"/>
      <c r="W678" s="36"/>
      <c r="X678" s="36"/>
      <c r="Y678" s="36"/>
      <c r="Z678" s="36"/>
      <c r="AA678" s="36"/>
      <c r="AB678" s="36"/>
      <c r="AC678" s="36"/>
    </row>
    <row r="679" spans="1:29" ht="24" customHeight="1">
      <c r="A679" s="81"/>
      <c r="B679" s="81"/>
      <c r="C679" s="81"/>
      <c r="D679" s="81"/>
      <c r="E679" s="620"/>
      <c r="F679" s="620"/>
      <c r="G679" s="620"/>
      <c r="H679" s="94"/>
      <c r="I679" s="81"/>
      <c r="J679" s="35"/>
      <c r="K679" s="36"/>
      <c r="L679" s="36"/>
      <c r="M679" s="36"/>
      <c r="N679" s="36"/>
      <c r="O679" s="36"/>
      <c r="P679" s="36"/>
      <c r="Q679" s="36"/>
      <c r="R679" s="36"/>
      <c r="S679" s="36"/>
      <c r="T679" s="36"/>
      <c r="U679" s="36"/>
      <c r="V679" s="36"/>
      <c r="W679" s="36"/>
      <c r="X679" s="36"/>
      <c r="Y679" s="36"/>
      <c r="Z679" s="36"/>
      <c r="AA679" s="36"/>
      <c r="AB679" s="36"/>
      <c r="AC679" s="36"/>
    </row>
    <row r="680" spans="1:29" ht="24" customHeight="1">
      <c r="A680" s="81"/>
      <c r="B680" s="81"/>
      <c r="C680" s="81"/>
      <c r="D680" s="81"/>
      <c r="E680" s="620"/>
      <c r="F680" s="620"/>
      <c r="G680" s="620"/>
      <c r="H680" s="94"/>
      <c r="I680" s="81"/>
      <c r="J680" s="35"/>
      <c r="K680" s="36"/>
      <c r="L680" s="36"/>
      <c r="M680" s="36"/>
      <c r="N680" s="36"/>
      <c r="O680" s="36"/>
      <c r="P680" s="36"/>
      <c r="Q680" s="36"/>
      <c r="R680" s="36"/>
      <c r="S680" s="36"/>
      <c r="T680" s="36"/>
      <c r="U680" s="36"/>
      <c r="V680" s="36"/>
      <c r="W680" s="36"/>
      <c r="X680" s="36"/>
      <c r="Y680" s="36"/>
      <c r="Z680" s="36"/>
      <c r="AA680" s="36"/>
      <c r="AB680" s="36"/>
      <c r="AC680" s="36"/>
    </row>
    <row r="681" spans="1:29" ht="48" customHeight="1">
      <c r="A681" s="81"/>
      <c r="B681" s="81"/>
      <c r="C681" s="81"/>
      <c r="D681" s="81"/>
      <c r="E681" s="620"/>
      <c r="F681" s="620"/>
      <c r="G681" s="620"/>
      <c r="H681" s="94"/>
      <c r="I681" s="81"/>
      <c r="J681" s="35"/>
      <c r="K681" s="36"/>
      <c r="L681" s="36"/>
      <c r="M681" s="36"/>
      <c r="N681" s="36"/>
      <c r="O681" s="36"/>
      <c r="P681" s="36"/>
      <c r="Q681" s="36"/>
      <c r="R681" s="36"/>
      <c r="S681" s="36"/>
      <c r="T681" s="36"/>
      <c r="U681" s="36"/>
      <c r="V681" s="36"/>
      <c r="W681" s="36"/>
      <c r="X681" s="36"/>
      <c r="Y681" s="36"/>
      <c r="Z681" s="36"/>
      <c r="AA681" s="36"/>
      <c r="AB681" s="36"/>
      <c r="AC681" s="36"/>
    </row>
    <row r="682" spans="1:29" ht="36" customHeight="1">
      <c r="A682" s="81"/>
      <c r="B682" s="81"/>
      <c r="C682" s="81"/>
      <c r="D682" s="81"/>
      <c r="E682" s="620"/>
      <c r="F682" s="620"/>
      <c r="G682" s="620"/>
      <c r="H682" s="94"/>
      <c r="I682" s="81"/>
      <c r="J682" s="35"/>
      <c r="K682" s="36"/>
      <c r="L682" s="36"/>
      <c r="M682" s="36"/>
      <c r="N682" s="36"/>
      <c r="O682" s="36"/>
      <c r="P682" s="36"/>
      <c r="Q682" s="36"/>
      <c r="R682" s="36"/>
      <c r="S682" s="36"/>
      <c r="T682" s="36"/>
      <c r="U682" s="36"/>
      <c r="V682" s="36"/>
      <c r="W682" s="36"/>
      <c r="X682" s="36"/>
      <c r="Y682" s="36"/>
      <c r="Z682" s="36"/>
      <c r="AA682" s="36"/>
      <c r="AB682" s="36"/>
      <c r="AC682" s="36"/>
    </row>
    <row r="683" spans="1:29" ht="36" customHeight="1">
      <c r="A683" s="81"/>
      <c r="B683" s="94"/>
      <c r="C683" s="81"/>
      <c r="D683" s="81"/>
      <c r="E683" s="620"/>
      <c r="F683" s="620"/>
      <c r="G683" s="620"/>
      <c r="H683" s="94"/>
      <c r="I683" s="81"/>
      <c r="J683" s="35"/>
      <c r="K683" s="36"/>
      <c r="L683" s="36"/>
      <c r="M683" s="36"/>
      <c r="N683" s="36"/>
      <c r="O683" s="36"/>
      <c r="P683" s="36"/>
      <c r="Q683" s="36"/>
      <c r="R683" s="36"/>
      <c r="S683" s="36"/>
      <c r="T683" s="36"/>
      <c r="U683" s="36"/>
      <c r="V683" s="36"/>
      <c r="W683" s="36"/>
      <c r="X683" s="36"/>
      <c r="Y683" s="36"/>
      <c r="Z683" s="36"/>
      <c r="AA683" s="36"/>
      <c r="AB683" s="36"/>
      <c r="AC683" s="36"/>
    </row>
    <row r="684" spans="1:29" ht="24" customHeight="1">
      <c r="A684" s="81"/>
      <c r="B684" s="81"/>
      <c r="C684" s="81"/>
      <c r="D684" s="81"/>
      <c r="E684" s="620"/>
      <c r="F684" s="620"/>
      <c r="G684" s="620"/>
      <c r="H684" s="94"/>
      <c r="I684" s="81"/>
      <c r="J684" s="35"/>
      <c r="K684" s="36"/>
      <c r="L684" s="36"/>
      <c r="M684" s="36"/>
      <c r="N684" s="36"/>
      <c r="O684" s="36"/>
      <c r="P684" s="36"/>
      <c r="Q684" s="36"/>
      <c r="R684" s="36"/>
      <c r="S684" s="36"/>
      <c r="T684" s="36"/>
      <c r="U684" s="36"/>
      <c r="V684" s="36"/>
      <c r="W684" s="36"/>
      <c r="X684" s="36"/>
      <c r="Y684" s="36"/>
      <c r="Z684" s="36"/>
      <c r="AA684" s="36"/>
      <c r="AB684" s="36"/>
      <c r="AC684" s="36"/>
    </row>
    <row r="685" spans="1:29" ht="24" customHeight="1">
      <c r="A685" s="81"/>
      <c r="B685" s="81"/>
      <c r="C685" s="81"/>
      <c r="D685" s="81"/>
      <c r="E685" s="620"/>
      <c r="F685" s="620"/>
      <c r="G685" s="620"/>
      <c r="H685" s="94"/>
      <c r="I685" s="81"/>
      <c r="J685" s="35"/>
      <c r="K685" s="36"/>
      <c r="L685" s="36"/>
      <c r="M685" s="36"/>
      <c r="N685" s="36"/>
      <c r="O685" s="36"/>
      <c r="P685" s="36"/>
      <c r="Q685" s="36"/>
      <c r="R685" s="36"/>
      <c r="S685" s="36"/>
      <c r="T685" s="36"/>
      <c r="U685" s="36"/>
      <c r="V685" s="36"/>
      <c r="W685" s="36"/>
      <c r="X685" s="36"/>
      <c r="Y685" s="36"/>
      <c r="Z685" s="36"/>
      <c r="AA685" s="36"/>
      <c r="AB685" s="36"/>
      <c r="AC685" s="36"/>
    </row>
    <row r="686" spans="1:29" ht="24" customHeight="1">
      <c r="A686" s="81"/>
      <c r="B686" s="81"/>
      <c r="C686" s="81"/>
      <c r="D686" s="81"/>
      <c r="E686" s="620"/>
      <c r="F686" s="620"/>
      <c r="G686" s="620"/>
      <c r="H686" s="94"/>
      <c r="I686" s="81"/>
      <c r="J686" s="35"/>
      <c r="K686" s="36"/>
      <c r="L686" s="36"/>
      <c r="M686" s="36"/>
      <c r="N686" s="36"/>
      <c r="O686" s="36"/>
      <c r="P686" s="36"/>
      <c r="Q686" s="36"/>
      <c r="R686" s="36"/>
      <c r="S686" s="36"/>
      <c r="T686" s="36"/>
      <c r="U686" s="36"/>
      <c r="V686" s="36"/>
      <c r="W686" s="36"/>
      <c r="X686" s="36"/>
      <c r="Y686" s="36"/>
      <c r="Z686" s="36"/>
      <c r="AA686" s="36"/>
      <c r="AB686" s="36"/>
      <c r="AC686" s="36"/>
    </row>
    <row r="687" spans="1:29" ht="24" customHeight="1">
      <c r="A687" s="81"/>
      <c r="B687" s="81"/>
      <c r="C687" s="81"/>
      <c r="D687" s="81"/>
      <c r="E687" s="620"/>
      <c r="F687" s="620"/>
      <c r="G687" s="620"/>
      <c r="H687" s="94"/>
      <c r="I687" s="81"/>
      <c r="J687" s="35"/>
      <c r="K687" s="36"/>
      <c r="L687" s="36"/>
      <c r="M687" s="36"/>
      <c r="N687" s="36"/>
      <c r="O687" s="36"/>
      <c r="P687" s="36"/>
      <c r="Q687" s="36"/>
      <c r="R687" s="36"/>
      <c r="S687" s="36"/>
      <c r="T687" s="36"/>
      <c r="U687" s="36"/>
      <c r="V687" s="36"/>
      <c r="W687" s="36"/>
      <c r="X687" s="36"/>
      <c r="Y687" s="36"/>
      <c r="Z687" s="36"/>
      <c r="AA687" s="36"/>
      <c r="AB687" s="36"/>
      <c r="AC687" s="36"/>
    </row>
    <row r="688" spans="1:29" ht="24" customHeight="1">
      <c r="A688" s="81"/>
      <c r="B688" s="81"/>
      <c r="C688" s="81"/>
      <c r="D688" s="81"/>
      <c r="E688" s="620"/>
      <c r="F688" s="620"/>
      <c r="G688" s="620"/>
      <c r="H688" s="94"/>
      <c r="I688" s="81"/>
      <c r="J688" s="35"/>
      <c r="K688" s="36"/>
      <c r="L688" s="36"/>
      <c r="M688" s="36"/>
      <c r="N688" s="36"/>
      <c r="O688" s="36"/>
      <c r="P688" s="36"/>
      <c r="Q688" s="36"/>
      <c r="R688" s="36"/>
      <c r="S688" s="36"/>
      <c r="T688" s="36"/>
      <c r="U688" s="36"/>
      <c r="V688" s="36"/>
      <c r="W688" s="36"/>
      <c r="X688" s="36"/>
      <c r="Y688" s="36"/>
      <c r="Z688" s="36"/>
      <c r="AA688" s="36"/>
      <c r="AB688" s="36"/>
      <c r="AC688" s="36"/>
    </row>
    <row r="689" spans="1:29" ht="48" customHeight="1">
      <c r="A689" s="81"/>
      <c r="B689" s="81"/>
      <c r="C689" s="81"/>
      <c r="D689" s="81"/>
      <c r="E689" s="620"/>
      <c r="F689" s="620"/>
      <c r="G689" s="620"/>
      <c r="H689" s="94"/>
      <c r="I689" s="81"/>
      <c r="J689" s="35"/>
      <c r="K689" s="36"/>
      <c r="L689" s="36"/>
      <c r="M689" s="36"/>
      <c r="N689" s="36"/>
      <c r="O689" s="36"/>
      <c r="P689" s="36"/>
      <c r="Q689" s="36"/>
      <c r="R689" s="36"/>
      <c r="S689" s="36"/>
      <c r="T689" s="36"/>
      <c r="U689" s="36"/>
      <c r="V689" s="36"/>
      <c r="W689" s="36"/>
      <c r="X689" s="36"/>
      <c r="Y689" s="36"/>
      <c r="Z689" s="36"/>
      <c r="AA689" s="36"/>
      <c r="AB689" s="36"/>
      <c r="AC689" s="36"/>
    </row>
    <row r="690" spans="1:29" ht="24" customHeight="1">
      <c r="A690" s="81"/>
      <c r="B690" s="81"/>
      <c r="C690" s="81"/>
      <c r="D690" s="81"/>
      <c r="E690" s="620"/>
      <c r="F690" s="620"/>
      <c r="G690" s="620"/>
      <c r="H690" s="94"/>
      <c r="I690" s="81"/>
      <c r="J690" s="35"/>
      <c r="K690" s="36"/>
      <c r="L690" s="36"/>
      <c r="M690" s="36"/>
      <c r="N690" s="36"/>
      <c r="O690" s="36"/>
      <c r="P690" s="36"/>
      <c r="Q690" s="36"/>
      <c r="R690" s="36"/>
      <c r="S690" s="36"/>
      <c r="T690" s="36"/>
      <c r="U690" s="36"/>
      <c r="V690" s="36"/>
      <c r="W690" s="36"/>
      <c r="X690" s="36"/>
      <c r="Y690" s="36"/>
      <c r="Z690" s="36"/>
      <c r="AA690" s="36"/>
      <c r="AB690" s="36"/>
      <c r="AC690" s="36"/>
    </row>
    <row r="691" spans="1:29" ht="36" customHeight="1">
      <c r="A691" s="81"/>
      <c r="B691" s="81"/>
      <c r="C691" s="81"/>
      <c r="D691" s="81"/>
      <c r="E691" s="620"/>
      <c r="F691" s="620"/>
      <c r="G691" s="620"/>
      <c r="H691" s="94"/>
      <c r="I691" s="81"/>
      <c r="J691" s="35"/>
      <c r="K691" s="36"/>
      <c r="L691" s="36"/>
      <c r="M691" s="36"/>
      <c r="N691" s="36"/>
      <c r="O691" s="36"/>
      <c r="P691" s="36"/>
      <c r="Q691" s="36"/>
      <c r="R691" s="36"/>
      <c r="S691" s="36"/>
      <c r="T691" s="36"/>
      <c r="U691" s="36"/>
      <c r="V691" s="36"/>
      <c r="W691" s="36"/>
      <c r="X691" s="36"/>
      <c r="Y691" s="36"/>
      <c r="Z691" s="36"/>
      <c r="AA691" s="36"/>
      <c r="AB691" s="36"/>
      <c r="AC691" s="36"/>
    </row>
    <row r="692" spans="1:29" ht="36" customHeight="1">
      <c r="A692" s="81"/>
      <c r="B692" s="81"/>
      <c r="C692" s="81"/>
      <c r="D692" s="81"/>
      <c r="E692" s="620"/>
      <c r="F692" s="620"/>
      <c r="G692" s="620"/>
      <c r="H692" s="94"/>
      <c r="I692" s="81"/>
      <c r="J692" s="35"/>
      <c r="K692" s="36"/>
      <c r="L692" s="36"/>
      <c r="M692" s="36"/>
      <c r="N692" s="36"/>
      <c r="O692" s="36"/>
      <c r="P692" s="36"/>
      <c r="Q692" s="36"/>
      <c r="R692" s="36"/>
      <c r="S692" s="36"/>
      <c r="T692" s="36"/>
      <c r="U692" s="36"/>
      <c r="V692" s="36"/>
      <c r="W692" s="36"/>
      <c r="X692" s="36"/>
      <c r="Y692" s="36"/>
      <c r="Z692" s="36"/>
      <c r="AA692" s="36"/>
      <c r="AB692" s="36"/>
      <c r="AC692" s="36"/>
    </row>
    <row r="693" spans="1:29" ht="36" customHeight="1">
      <c r="A693" s="81"/>
      <c r="B693" s="81"/>
      <c r="C693" s="81"/>
      <c r="D693" s="81"/>
      <c r="E693" s="620"/>
      <c r="F693" s="620"/>
      <c r="G693" s="620"/>
      <c r="H693" s="94"/>
      <c r="I693" s="81"/>
      <c r="J693" s="35"/>
      <c r="K693" s="36"/>
      <c r="L693" s="36"/>
      <c r="M693" s="36"/>
      <c r="N693" s="36"/>
      <c r="O693" s="36"/>
      <c r="P693" s="36"/>
      <c r="Q693" s="36"/>
      <c r="R693" s="36"/>
      <c r="S693" s="36"/>
      <c r="T693" s="36"/>
      <c r="U693" s="36"/>
      <c r="V693" s="36"/>
      <c r="W693" s="36"/>
      <c r="X693" s="36"/>
      <c r="Y693" s="36"/>
      <c r="Z693" s="36"/>
      <c r="AA693" s="36"/>
      <c r="AB693" s="36"/>
      <c r="AC693" s="36"/>
    </row>
    <row r="694" spans="1:29" ht="24" customHeight="1">
      <c r="A694" s="81"/>
      <c r="B694" s="81"/>
      <c r="C694" s="81"/>
      <c r="D694" s="81"/>
      <c r="E694" s="620"/>
      <c r="F694" s="620"/>
      <c r="G694" s="620"/>
      <c r="H694" s="94"/>
      <c r="I694" s="81"/>
      <c r="J694" s="35"/>
      <c r="K694" s="36"/>
      <c r="L694" s="36"/>
      <c r="M694" s="36"/>
      <c r="N694" s="36"/>
      <c r="O694" s="36"/>
      <c r="P694" s="36"/>
      <c r="Q694" s="36"/>
      <c r="R694" s="36"/>
      <c r="S694" s="36"/>
      <c r="T694" s="36"/>
      <c r="U694" s="36"/>
      <c r="V694" s="36"/>
      <c r="W694" s="36"/>
      <c r="X694" s="36"/>
      <c r="Y694" s="36"/>
      <c r="Z694" s="36"/>
      <c r="AA694" s="36"/>
      <c r="AB694" s="36"/>
      <c r="AC694" s="36"/>
    </row>
    <row r="695" spans="1:29" ht="24" customHeight="1">
      <c r="A695" s="81"/>
      <c r="B695" s="81"/>
      <c r="C695" s="81"/>
      <c r="D695" s="81"/>
      <c r="E695" s="620"/>
      <c r="F695" s="620"/>
      <c r="G695" s="620"/>
      <c r="H695" s="94"/>
      <c r="I695" s="81"/>
      <c r="J695" s="35"/>
      <c r="K695" s="36"/>
      <c r="L695" s="36"/>
      <c r="M695" s="36"/>
      <c r="N695" s="36"/>
      <c r="O695" s="36"/>
      <c r="P695" s="36"/>
      <c r="Q695" s="36"/>
      <c r="R695" s="36"/>
      <c r="S695" s="36"/>
      <c r="T695" s="36"/>
      <c r="U695" s="36"/>
      <c r="V695" s="36"/>
      <c r="W695" s="36"/>
      <c r="X695" s="36"/>
      <c r="Y695" s="36"/>
      <c r="Z695" s="36"/>
      <c r="AA695" s="36"/>
      <c r="AB695" s="36"/>
      <c r="AC695" s="36"/>
    </row>
    <row r="696" spans="1:29" ht="24" customHeight="1">
      <c r="A696" s="81"/>
      <c r="B696" s="81"/>
      <c r="C696" s="81"/>
      <c r="D696" s="81"/>
      <c r="E696" s="620"/>
      <c r="F696" s="620"/>
      <c r="G696" s="620"/>
      <c r="H696" s="94"/>
      <c r="I696" s="81"/>
      <c r="J696" s="35"/>
      <c r="K696" s="36"/>
      <c r="L696" s="36"/>
      <c r="M696" s="36"/>
      <c r="N696" s="36"/>
      <c r="O696" s="36"/>
      <c r="P696" s="36"/>
      <c r="Q696" s="36"/>
      <c r="R696" s="36"/>
      <c r="S696" s="36"/>
      <c r="T696" s="36"/>
      <c r="U696" s="36"/>
      <c r="V696" s="36"/>
      <c r="W696" s="36"/>
      <c r="X696" s="36"/>
      <c r="Y696" s="36"/>
      <c r="Z696" s="36"/>
      <c r="AA696" s="36"/>
      <c r="AB696" s="36"/>
      <c r="AC696" s="36"/>
    </row>
    <row r="697" spans="1:29" ht="84" customHeight="1">
      <c r="A697" s="81"/>
      <c r="B697" s="81"/>
      <c r="C697" s="81"/>
      <c r="D697" s="81"/>
      <c r="E697" s="620"/>
      <c r="F697" s="620"/>
      <c r="G697" s="620"/>
      <c r="H697" s="94"/>
      <c r="I697" s="81"/>
      <c r="J697" s="35"/>
      <c r="K697" s="36"/>
      <c r="L697" s="36"/>
      <c r="M697" s="36"/>
      <c r="N697" s="36"/>
      <c r="O697" s="36"/>
      <c r="P697" s="36"/>
      <c r="Q697" s="36"/>
      <c r="R697" s="36"/>
      <c r="S697" s="36"/>
      <c r="T697" s="36"/>
      <c r="U697" s="36"/>
      <c r="V697" s="36"/>
      <c r="W697" s="36"/>
      <c r="X697" s="36"/>
      <c r="Y697" s="36"/>
      <c r="Z697" s="36"/>
      <c r="AA697" s="36"/>
      <c r="AB697" s="36"/>
      <c r="AC697" s="36"/>
    </row>
    <row r="698" spans="1:29" ht="24" customHeight="1">
      <c r="A698" s="81"/>
      <c r="B698" s="81"/>
      <c r="C698" s="81"/>
      <c r="D698" s="81"/>
      <c r="E698" s="620"/>
      <c r="F698" s="620"/>
      <c r="G698" s="620"/>
      <c r="H698" s="94"/>
      <c r="I698" s="81"/>
      <c r="J698" s="35"/>
      <c r="K698" s="36"/>
      <c r="L698" s="36"/>
      <c r="M698" s="36"/>
      <c r="N698" s="36"/>
      <c r="O698" s="36"/>
      <c r="P698" s="36"/>
      <c r="Q698" s="36"/>
      <c r="R698" s="36"/>
      <c r="S698" s="36"/>
      <c r="T698" s="36"/>
      <c r="U698" s="36"/>
      <c r="V698" s="36"/>
      <c r="W698" s="36"/>
      <c r="X698" s="36"/>
      <c r="Y698" s="36"/>
      <c r="Z698" s="36"/>
      <c r="AA698" s="36"/>
      <c r="AB698" s="36"/>
      <c r="AC698" s="36"/>
    </row>
    <row r="699" spans="1:29" ht="60" customHeight="1">
      <c r="A699" s="81"/>
      <c r="B699" s="81"/>
      <c r="C699" s="81"/>
      <c r="D699" s="81"/>
      <c r="E699" s="620"/>
      <c r="F699" s="620"/>
      <c r="G699" s="620"/>
      <c r="H699" s="94"/>
      <c r="I699" s="81"/>
      <c r="J699" s="35"/>
      <c r="K699" s="36"/>
      <c r="L699" s="36"/>
      <c r="M699" s="36"/>
      <c r="N699" s="36"/>
      <c r="O699" s="36"/>
      <c r="P699" s="36"/>
      <c r="Q699" s="36"/>
      <c r="R699" s="36"/>
      <c r="S699" s="36"/>
      <c r="T699" s="36"/>
      <c r="U699" s="36"/>
      <c r="V699" s="36"/>
      <c r="W699" s="36"/>
      <c r="X699" s="36"/>
      <c r="Y699" s="36"/>
      <c r="Z699" s="36"/>
      <c r="AA699" s="36"/>
      <c r="AB699" s="36"/>
      <c r="AC699" s="36"/>
    </row>
    <row r="700" spans="1:29" ht="36" customHeight="1">
      <c r="A700" s="81"/>
      <c r="B700" s="81"/>
      <c r="C700" s="81"/>
      <c r="D700" s="81"/>
      <c r="E700" s="620"/>
      <c r="F700" s="620"/>
      <c r="G700" s="620"/>
      <c r="H700" s="94"/>
      <c r="I700" s="81"/>
      <c r="J700" s="35"/>
      <c r="K700" s="36"/>
      <c r="L700" s="36"/>
      <c r="M700" s="36"/>
      <c r="N700" s="36"/>
      <c r="O700" s="36"/>
      <c r="P700" s="36"/>
      <c r="Q700" s="36"/>
      <c r="R700" s="36"/>
      <c r="S700" s="36"/>
      <c r="T700" s="36"/>
      <c r="U700" s="36"/>
      <c r="V700" s="36"/>
      <c r="W700" s="36"/>
      <c r="X700" s="36"/>
      <c r="Y700" s="36"/>
      <c r="Z700" s="36"/>
      <c r="AA700" s="36"/>
      <c r="AB700" s="36"/>
      <c r="AC700" s="36"/>
    </row>
    <row r="701" spans="1:29" ht="36" customHeight="1">
      <c r="A701" s="81"/>
      <c r="B701" s="81"/>
      <c r="C701" s="81"/>
      <c r="D701" s="81"/>
      <c r="E701" s="620"/>
      <c r="F701" s="620"/>
      <c r="G701" s="620"/>
      <c r="H701" s="94"/>
      <c r="I701" s="81"/>
      <c r="J701" s="35"/>
      <c r="K701" s="36"/>
      <c r="L701" s="36"/>
      <c r="M701" s="36"/>
      <c r="N701" s="36"/>
      <c r="O701" s="36"/>
      <c r="P701" s="36"/>
      <c r="Q701" s="36"/>
      <c r="R701" s="36"/>
      <c r="S701" s="36"/>
      <c r="T701" s="36"/>
      <c r="U701" s="36"/>
      <c r="V701" s="36"/>
      <c r="W701" s="36"/>
      <c r="X701" s="36"/>
      <c r="Y701" s="36"/>
      <c r="Z701" s="36"/>
      <c r="AA701" s="36"/>
      <c r="AB701" s="36"/>
      <c r="AC701" s="36"/>
    </row>
    <row r="702" spans="1:29" ht="84" customHeight="1">
      <c r="A702" s="81"/>
      <c r="B702" s="94"/>
      <c r="C702" s="81"/>
      <c r="D702" s="81"/>
      <c r="E702" s="620"/>
      <c r="F702" s="620"/>
      <c r="G702" s="620"/>
      <c r="H702" s="94"/>
      <c r="I702" s="81"/>
      <c r="J702" s="35"/>
      <c r="K702" s="36"/>
      <c r="L702" s="36"/>
      <c r="M702" s="36"/>
      <c r="N702" s="36"/>
      <c r="O702" s="36"/>
      <c r="P702" s="36"/>
      <c r="Q702" s="36"/>
      <c r="R702" s="36"/>
      <c r="S702" s="36"/>
      <c r="T702" s="36"/>
      <c r="U702" s="36"/>
      <c r="V702" s="36"/>
      <c r="W702" s="36"/>
      <c r="X702" s="36"/>
      <c r="Y702" s="36"/>
      <c r="Z702" s="36"/>
      <c r="AA702" s="36"/>
      <c r="AB702" s="36"/>
      <c r="AC702" s="36"/>
    </row>
    <row r="703" spans="1:29" ht="48" customHeight="1">
      <c r="A703" s="81"/>
      <c r="B703" s="81"/>
      <c r="C703" s="81"/>
      <c r="D703" s="81"/>
      <c r="E703" s="620"/>
      <c r="F703" s="620"/>
      <c r="G703" s="620"/>
      <c r="H703" s="94"/>
      <c r="I703" s="81"/>
      <c r="J703" s="35"/>
      <c r="K703" s="36"/>
      <c r="L703" s="36"/>
      <c r="M703" s="36"/>
      <c r="N703" s="36"/>
      <c r="O703" s="36"/>
      <c r="P703" s="36"/>
      <c r="Q703" s="36"/>
      <c r="R703" s="36"/>
      <c r="S703" s="36"/>
      <c r="T703" s="36"/>
      <c r="U703" s="36"/>
      <c r="V703" s="36"/>
      <c r="W703" s="36"/>
      <c r="X703" s="36"/>
      <c r="Y703" s="36"/>
      <c r="Z703" s="36"/>
      <c r="AA703" s="36"/>
      <c r="AB703" s="36"/>
      <c r="AC703" s="36"/>
    </row>
    <row r="704" spans="1:29" ht="36" customHeight="1">
      <c r="A704" s="81"/>
      <c r="B704" s="81"/>
      <c r="C704" s="81"/>
      <c r="D704" s="81"/>
      <c r="E704" s="620"/>
      <c r="F704" s="620"/>
      <c r="G704" s="620"/>
      <c r="H704" s="94"/>
      <c r="I704" s="81"/>
      <c r="J704" s="35"/>
      <c r="K704" s="36"/>
      <c r="L704" s="36"/>
      <c r="M704" s="36"/>
      <c r="N704" s="36"/>
      <c r="O704" s="36"/>
      <c r="P704" s="36"/>
      <c r="Q704" s="36"/>
      <c r="R704" s="36"/>
      <c r="S704" s="36"/>
      <c r="T704" s="36"/>
      <c r="U704" s="36"/>
      <c r="V704" s="36"/>
      <c r="W704" s="36"/>
      <c r="X704" s="36"/>
      <c r="Y704" s="36"/>
      <c r="Z704" s="36"/>
      <c r="AA704" s="36"/>
      <c r="AB704" s="36"/>
      <c r="AC704" s="36"/>
    </row>
    <row r="705" spans="1:29" ht="36" customHeight="1">
      <c r="A705" s="81"/>
      <c r="B705" s="81"/>
      <c r="C705" s="81"/>
      <c r="D705" s="81"/>
      <c r="E705" s="620"/>
      <c r="F705" s="620"/>
      <c r="G705" s="620"/>
      <c r="H705" s="94"/>
      <c r="I705" s="81"/>
      <c r="J705" s="35"/>
      <c r="K705" s="36"/>
      <c r="L705" s="36"/>
      <c r="M705" s="36"/>
      <c r="N705" s="36"/>
      <c r="O705" s="36"/>
      <c r="P705" s="36"/>
      <c r="Q705" s="36"/>
      <c r="R705" s="36"/>
      <c r="S705" s="36"/>
      <c r="T705" s="36"/>
      <c r="U705" s="36"/>
      <c r="V705" s="36"/>
      <c r="W705" s="36"/>
      <c r="X705" s="36"/>
      <c r="Y705" s="36"/>
      <c r="Z705" s="36"/>
      <c r="AA705" s="36"/>
      <c r="AB705" s="36"/>
      <c r="AC705" s="36"/>
    </row>
    <row r="706" spans="1:29" ht="36" customHeight="1">
      <c r="A706" s="81"/>
      <c r="B706" s="81"/>
      <c r="C706" s="81"/>
      <c r="D706" s="81"/>
      <c r="E706" s="620"/>
      <c r="F706" s="620"/>
      <c r="G706" s="620"/>
      <c r="H706" s="94"/>
      <c r="I706" s="81"/>
      <c r="J706" s="35"/>
      <c r="K706" s="36"/>
      <c r="L706" s="36"/>
      <c r="M706" s="36"/>
      <c r="N706" s="36"/>
      <c r="O706" s="36"/>
      <c r="P706" s="36"/>
      <c r="Q706" s="36"/>
      <c r="R706" s="36"/>
      <c r="S706" s="36"/>
      <c r="T706" s="36"/>
      <c r="U706" s="36"/>
      <c r="V706" s="36"/>
      <c r="W706" s="36"/>
      <c r="X706" s="36"/>
      <c r="Y706" s="36"/>
      <c r="Z706" s="36"/>
      <c r="AA706" s="36"/>
      <c r="AB706" s="36"/>
      <c r="AC706" s="36"/>
    </row>
    <row r="707" spans="1:29" ht="48" customHeight="1">
      <c r="A707" s="81"/>
      <c r="B707" s="81"/>
      <c r="C707" s="81"/>
      <c r="D707" s="81"/>
      <c r="E707" s="620"/>
      <c r="F707" s="620"/>
      <c r="G707" s="620"/>
      <c r="H707" s="94"/>
      <c r="I707" s="81"/>
      <c r="J707" s="35"/>
      <c r="K707" s="36"/>
      <c r="L707" s="36"/>
      <c r="M707" s="36"/>
      <c r="N707" s="36"/>
      <c r="O707" s="36"/>
      <c r="P707" s="36"/>
      <c r="Q707" s="36"/>
      <c r="R707" s="36"/>
      <c r="S707" s="36"/>
      <c r="T707" s="36"/>
      <c r="U707" s="36"/>
      <c r="V707" s="36"/>
      <c r="W707" s="36"/>
      <c r="X707" s="36"/>
      <c r="Y707" s="36"/>
      <c r="Z707" s="36"/>
      <c r="AA707" s="36"/>
      <c r="AB707" s="36"/>
      <c r="AC707" s="36"/>
    </row>
    <row r="708" spans="1:29" ht="48" customHeight="1">
      <c r="A708" s="81"/>
      <c r="B708" s="81"/>
      <c r="C708" s="81"/>
      <c r="D708" s="81"/>
      <c r="E708" s="620"/>
      <c r="F708" s="620"/>
      <c r="G708" s="620"/>
      <c r="H708" s="94"/>
      <c r="I708" s="81"/>
      <c r="J708" s="35"/>
      <c r="K708" s="36"/>
      <c r="L708" s="36"/>
      <c r="M708" s="36"/>
      <c r="N708" s="36"/>
      <c r="O708" s="36"/>
      <c r="P708" s="36"/>
      <c r="Q708" s="36"/>
      <c r="R708" s="36"/>
      <c r="S708" s="36"/>
      <c r="T708" s="36"/>
      <c r="U708" s="36"/>
      <c r="V708" s="36"/>
      <c r="W708" s="36"/>
      <c r="X708" s="36"/>
      <c r="Y708" s="36"/>
      <c r="Z708" s="36"/>
      <c r="AA708" s="36"/>
      <c r="AB708" s="36"/>
      <c r="AC708" s="36"/>
    </row>
    <row r="709" spans="1:29" ht="48" customHeight="1">
      <c r="A709" s="81"/>
      <c r="B709" s="81"/>
      <c r="C709" s="81"/>
      <c r="D709" s="81"/>
      <c r="E709" s="620"/>
      <c r="F709" s="620"/>
      <c r="G709" s="620"/>
      <c r="H709" s="94"/>
      <c r="I709" s="81"/>
      <c r="J709" s="35"/>
      <c r="K709" s="36"/>
      <c r="L709" s="36"/>
      <c r="M709" s="36"/>
      <c r="N709" s="36"/>
      <c r="O709" s="36"/>
      <c r="P709" s="36"/>
      <c r="Q709" s="36"/>
      <c r="R709" s="36"/>
      <c r="S709" s="36"/>
      <c r="T709" s="36"/>
      <c r="U709" s="36"/>
      <c r="V709" s="36"/>
      <c r="W709" s="36"/>
      <c r="X709" s="36"/>
      <c r="Y709" s="36"/>
      <c r="Z709" s="36"/>
      <c r="AA709" s="36"/>
      <c r="AB709" s="36"/>
      <c r="AC709" s="36"/>
    </row>
    <row r="710" spans="1:29" ht="36" customHeight="1">
      <c r="A710" s="81"/>
      <c r="B710" s="81"/>
      <c r="C710" s="81"/>
      <c r="D710" s="81"/>
      <c r="E710" s="620"/>
      <c r="F710" s="620"/>
      <c r="G710" s="620"/>
      <c r="H710" s="94"/>
      <c r="I710" s="81"/>
      <c r="J710" s="35"/>
      <c r="K710" s="36"/>
      <c r="L710" s="36"/>
      <c r="M710" s="36"/>
      <c r="N710" s="36"/>
      <c r="O710" s="36"/>
      <c r="P710" s="36"/>
      <c r="Q710" s="36"/>
      <c r="R710" s="36"/>
      <c r="S710" s="36"/>
      <c r="T710" s="36"/>
      <c r="U710" s="36"/>
      <c r="V710" s="36"/>
      <c r="W710" s="36"/>
      <c r="X710" s="36"/>
      <c r="Y710" s="36"/>
      <c r="Z710" s="36"/>
      <c r="AA710" s="36"/>
      <c r="AB710" s="36"/>
      <c r="AC710" s="36"/>
    </row>
    <row r="711" spans="1:29" ht="24" customHeight="1">
      <c r="A711" s="81"/>
      <c r="B711" s="81"/>
      <c r="C711" s="81"/>
      <c r="D711" s="81"/>
      <c r="E711" s="620"/>
      <c r="F711" s="620"/>
      <c r="G711" s="620"/>
      <c r="H711" s="94"/>
      <c r="I711" s="81"/>
      <c r="J711" s="35"/>
      <c r="K711" s="36"/>
      <c r="L711" s="36"/>
      <c r="M711" s="36"/>
      <c r="N711" s="36"/>
      <c r="O711" s="36"/>
      <c r="P711" s="36"/>
      <c r="Q711" s="36"/>
      <c r="R711" s="36"/>
      <c r="S711" s="36"/>
      <c r="T711" s="36"/>
      <c r="U711" s="36"/>
      <c r="V711" s="36"/>
      <c r="W711" s="36"/>
      <c r="X711" s="36"/>
      <c r="Y711" s="36"/>
      <c r="Z711" s="36"/>
      <c r="AA711" s="36"/>
      <c r="AB711" s="36"/>
      <c r="AC711" s="36"/>
    </row>
    <row r="712" spans="1:29" ht="36" customHeight="1">
      <c r="A712" s="81"/>
      <c r="B712" s="81"/>
      <c r="C712" s="81"/>
      <c r="D712" s="81"/>
      <c r="E712" s="620"/>
      <c r="F712" s="620"/>
      <c r="G712" s="620"/>
      <c r="H712" s="94"/>
      <c r="I712" s="81"/>
      <c r="J712" s="35"/>
      <c r="K712" s="36"/>
      <c r="L712" s="36"/>
      <c r="M712" s="36"/>
      <c r="N712" s="36"/>
      <c r="O712" s="36"/>
      <c r="P712" s="36"/>
      <c r="Q712" s="36"/>
      <c r="R712" s="36"/>
      <c r="S712" s="36"/>
      <c r="T712" s="36"/>
      <c r="U712" s="36"/>
      <c r="V712" s="36"/>
      <c r="W712" s="36"/>
      <c r="X712" s="36"/>
      <c r="Y712" s="36"/>
      <c r="Z712" s="36"/>
      <c r="AA712" s="36"/>
      <c r="AB712" s="36"/>
      <c r="AC712" s="36"/>
    </row>
    <row r="713" spans="1:29" ht="36" customHeight="1">
      <c r="A713" s="81"/>
      <c r="B713" s="81"/>
      <c r="C713" s="81"/>
      <c r="D713" s="81"/>
      <c r="E713" s="620"/>
      <c r="F713" s="620"/>
      <c r="G713" s="620"/>
      <c r="H713" s="94"/>
      <c r="I713" s="81"/>
      <c r="J713" s="35"/>
      <c r="K713" s="36"/>
      <c r="L713" s="36"/>
      <c r="M713" s="36"/>
      <c r="N713" s="36"/>
      <c r="O713" s="36"/>
      <c r="P713" s="36"/>
      <c r="Q713" s="36"/>
      <c r="R713" s="36"/>
      <c r="S713" s="36"/>
      <c r="T713" s="36"/>
      <c r="U713" s="36"/>
      <c r="V713" s="36"/>
      <c r="W713" s="36"/>
      <c r="X713" s="36"/>
      <c r="Y713" s="36"/>
      <c r="Z713" s="36"/>
      <c r="AA713" s="36"/>
      <c r="AB713" s="36"/>
      <c r="AC713" s="36"/>
    </row>
    <row r="714" spans="1:29" ht="36" customHeight="1">
      <c r="A714" s="81"/>
      <c r="B714" s="81"/>
      <c r="C714" s="81"/>
      <c r="D714" s="81"/>
      <c r="E714" s="620"/>
      <c r="F714" s="620"/>
      <c r="G714" s="620"/>
      <c r="H714" s="94"/>
      <c r="I714" s="81"/>
      <c r="J714" s="35"/>
      <c r="K714" s="36"/>
      <c r="L714" s="36"/>
      <c r="M714" s="36"/>
      <c r="N714" s="36"/>
      <c r="O714" s="36"/>
      <c r="P714" s="36"/>
      <c r="Q714" s="36"/>
      <c r="R714" s="36"/>
      <c r="S714" s="36"/>
      <c r="T714" s="36"/>
      <c r="U714" s="36"/>
      <c r="V714" s="36"/>
      <c r="W714" s="36"/>
      <c r="X714" s="36"/>
      <c r="Y714" s="36"/>
      <c r="Z714" s="36"/>
      <c r="AA714" s="36"/>
      <c r="AB714" s="36"/>
      <c r="AC714" s="36"/>
    </row>
    <row r="715" spans="1:29" ht="36" customHeight="1">
      <c r="A715" s="81"/>
      <c r="B715" s="81"/>
      <c r="C715" s="81"/>
      <c r="D715" s="81"/>
      <c r="E715" s="620"/>
      <c r="F715" s="620"/>
      <c r="G715" s="620"/>
      <c r="H715" s="94"/>
      <c r="I715" s="81"/>
      <c r="J715" s="35"/>
      <c r="K715" s="36"/>
      <c r="L715" s="36"/>
      <c r="M715" s="36"/>
      <c r="N715" s="36"/>
      <c r="O715" s="36"/>
      <c r="P715" s="36"/>
      <c r="Q715" s="36"/>
      <c r="R715" s="36"/>
      <c r="S715" s="36"/>
      <c r="T715" s="36"/>
      <c r="U715" s="36"/>
      <c r="V715" s="36"/>
      <c r="W715" s="36"/>
      <c r="X715" s="36"/>
      <c r="Y715" s="36"/>
      <c r="Z715" s="36"/>
      <c r="AA715" s="36"/>
      <c r="AB715" s="36"/>
      <c r="AC715" s="36"/>
    </row>
    <row r="716" spans="1:29" ht="288" customHeight="1">
      <c r="A716" s="619"/>
      <c r="B716" s="81"/>
      <c r="C716" s="81"/>
      <c r="D716" s="81"/>
      <c r="E716" s="620"/>
      <c r="F716" s="620"/>
      <c r="G716" s="620"/>
      <c r="H716" s="94"/>
      <c r="I716" s="81"/>
      <c r="J716" s="35"/>
      <c r="K716" s="36"/>
      <c r="L716" s="36"/>
      <c r="M716" s="36"/>
      <c r="N716" s="36"/>
      <c r="O716" s="36"/>
      <c r="P716" s="36"/>
      <c r="Q716" s="36"/>
      <c r="R716" s="36"/>
      <c r="S716" s="36"/>
      <c r="T716" s="36"/>
      <c r="U716" s="36"/>
      <c r="V716" s="36"/>
      <c r="W716" s="36"/>
      <c r="X716" s="36"/>
      <c r="Y716" s="36"/>
      <c r="Z716" s="36"/>
      <c r="AA716" s="36"/>
      <c r="AB716" s="36"/>
      <c r="AC716" s="36"/>
    </row>
    <row r="717" spans="1:29" ht="24" customHeight="1">
      <c r="A717" s="619"/>
      <c r="B717" s="81"/>
      <c r="C717" s="81"/>
      <c r="D717" s="81"/>
      <c r="E717" s="620"/>
      <c r="F717" s="620"/>
      <c r="G717" s="620"/>
      <c r="H717" s="94"/>
      <c r="I717" s="81"/>
      <c r="J717" s="35"/>
      <c r="K717" s="36"/>
      <c r="L717" s="36"/>
      <c r="M717" s="36"/>
      <c r="N717" s="36"/>
      <c r="O717" s="36"/>
      <c r="P717" s="36"/>
      <c r="Q717" s="36"/>
      <c r="R717" s="36"/>
      <c r="S717" s="36"/>
      <c r="T717" s="36"/>
      <c r="U717" s="36"/>
      <c r="V717" s="36"/>
      <c r="W717" s="36"/>
      <c r="X717" s="36"/>
      <c r="Y717" s="36"/>
      <c r="Z717" s="36"/>
      <c r="AA717" s="36"/>
      <c r="AB717" s="36"/>
      <c r="AC717" s="36"/>
    </row>
    <row r="718" spans="1:29" ht="60" customHeight="1">
      <c r="A718" s="619"/>
      <c r="B718" s="81"/>
      <c r="C718" s="81"/>
      <c r="D718" s="81"/>
      <c r="E718" s="620"/>
      <c r="F718" s="620"/>
      <c r="G718" s="620"/>
      <c r="H718" s="94"/>
      <c r="I718" s="81"/>
      <c r="J718" s="35"/>
      <c r="K718" s="36"/>
      <c r="L718" s="36"/>
      <c r="M718" s="36"/>
      <c r="N718" s="36"/>
      <c r="O718" s="36"/>
      <c r="P718" s="36"/>
      <c r="Q718" s="36"/>
      <c r="R718" s="36"/>
      <c r="S718" s="36"/>
      <c r="T718" s="36"/>
      <c r="U718" s="36"/>
      <c r="V718" s="36"/>
      <c r="W718" s="36"/>
      <c r="X718" s="36"/>
      <c r="Y718" s="36"/>
      <c r="Z718" s="36"/>
      <c r="AA718" s="36"/>
      <c r="AB718" s="36"/>
      <c r="AC718" s="36"/>
    </row>
    <row r="719" spans="1:29" ht="24" customHeight="1">
      <c r="A719" s="619"/>
      <c r="B719" s="81"/>
      <c r="C719" s="81"/>
      <c r="D719" s="81"/>
      <c r="E719" s="620"/>
      <c r="F719" s="620"/>
      <c r="G719" s="620"/>
      <c r="H719" s="94"/>
      <c r="I719" s="81"/>
      <c r="J719" s="35"/>
      <c r="K719" s="36"/>
      <c r="L719" s="36"/>
      <c r="M719" s="36"/>
      <c r="N719" s="36"/>
      <c r="O719" s="36"/>
      <c r="P719" s="36"/>
      <c r="Q719" s="36"/>
      <c r="R719" s="36"/>
      <c r="S719" s="36"/>
      <c r="T719" s="36"/>
      <c r="U719" s="36"/>
      <c r="V719" s="36"/>
      <c r="W719" s="36"/>
      <c r="X719" s="36"/>
      <c r="Y719" s="36"/>
      <c r="Z719" s="36"/>
      <c r="AA719" s="36"/>
      <c r="AB719" s="36"/>
      <c r="AC719" s="36"/>
    </row>
    <row r="720" spans="1:29" ht="36" customHeight="1">
      <c r="A720" s="619"/>
      <c r="B720" s="81"/>
      <c r="C720" s="81"/>
      <c r="D720" s="81"/>
      <c r="E720" s="620"/>
      <c r="F720" s="620"/>
      <c r="G720" s="620"/>
      <c r="H720" s="94"/>
      <c r="I720" s="81"/>
      <c r="J720" s="35"/>
      <c r="K720" s="36"/>
      <c r="L720" s="36"/>
      <c r="M720" s="36"/>
      <c r="N720" s="36"/>
      <c r="O720" s="36"/>
      <c r="P720" s="36"/>
      <c r="Q720" s="36"/>
      <c r="R720" s="36"/>
      <c r="S720" s="36"/>
      <c r="T720" s="36"/>
      <c r="U720" s="36"/>
      <c r="V720" s="36"/>
      <c r="W720" s="36"/>
      <c r="X720" s="36"/>
      <c r="Y720" s="36"/>
      <c r="Z720" s="36"/>
      <c r="AA720" s="36"/>
      <c r="AB720" s="36"/>
      <c r="AC720" s="36"/>
    </row>
    <row r="721" spans="1:29" ht="24" customHeight="1">
      <c r="A721" s="619"/>
      <c r="B721" s="81"/>
      <c r="C721" s="81"/>
      <c r="D721" s="81"/>
      <c r="E721" s="620"/>
      <c r="F721" s="620"/>
      <c r="G721" s="620"/>
      <c r="H721" s="94"/>
      <c r="I721" s="81"/>
      <c r="J721" s="35"/>
      <c r="K721" s="36"/>
      <c r="L721" s="36"/>
      <c r="M721" s="36"/>
      <c r="N721" s="36"/>
      <c r="O721" s="36"/>
      <c r="P721" s="36"/>
      <c r="Q721" s="36"/>
      <c r="R721" s="36"/>
      <c r="S721" s="36"/>
      <c r="T721" s="36"/>
      <c r="U721" s="36"/>
      <c r="V721" s="36"/>
      <c r="W721" s="36"/>
      <c r="X721" s="36"/>
      <c r="Y721" s="36"/>
      <c r="Z721" s="36"/>
      <c r="AA721" s="36"/>
      <c r="AB721" s="36"/>
      <c r="AC721" s="36"/>
    </row>
    <row r="722" spans="1:29" ht="48" customHeight="1">
      <c r="A722" s="619"/>
      <c r="B722" s="81"/>
      <c r="C722" s="81"/>
      <c r="D722" s="81"/>
      <c r="E722" s="620"/>
      <c r="F722" s="620"/>
      <c r="G722" s="620"/>
      <c r="H722" s="94"/>
      <c r="I722" s="81"/>
      <c r="J722" s="35"/>
      <c r="K722" s="36"/>
      <c r="L722" s="36"/>
      <c r="M722" s="36"/>
      <c r="N722" s="36"/>
      <c r="O722" s="36"/>
      <c r="P722" s="36"/>
      <c r="Q722" s="36"/>
      <c r="R722" s="36"/>
      <c r="S722" s="36"/>
      <c r="T722" s="36"/>
      <c r="U722" s="36"/>
      <c r="V722" s="36"/>
      <c r="W722" s="36"/>
      <c r="X722" s="36"/>
      <c r="Y722" s="36"/>
      <c r="Z722" s="36"/>
      <c r="AA722" s="36"/>
      <c r="AB722" s="36"/>
      <c r="AC722" s="36"/>
    </row>
    <row r="723" spans="1:29" ht="36" customHeight="1">
      <c r="A723" s="619"/>
      <c r="B723" s="81"/>
      <c r="C723" s="81"/>
      <c r="D723" s="81"/>
      <c r="E723" s="620"/>
      <c r="F723" s="620"/>
      <c r="G723" s="620"/>
      <c r="H723" s="94"/>
      <c r="I723" s="81"/>
      <c r="J723" s="35"/>
      <c r="K723" s="36"/>
      <c r="L723" s="36"/>
      <c r="M723" s="36"/>
      <c r="N723" s="36"/>
      <c r="O723" s="36"/>
      <c r="P723" s="36"/>
      <c r="Q723" s="36"/>
      <c r="R723" s="36"/>
      <c r="S723" s="36"/>
      <c r="T723" s="36"/>
      <c r="U723" s="36"/>
      <c r="V723" s="36"/>
      <c r="W723" s="36"/>
      <c r="X723" s="36"/>
      <c r="Y723" s="36"/>
      <c r="Z723" s="36"/>
      <c r="AA723" s="36"/>
      <c r="AB723" s="36"/>
      <c r="AC723" s="36"/>
    </row>
    <row r="724" spans="1:29" ht="24" customHeight="1">
      <c r="A724" s="619"/>
      <c r="B724" s="81"/>
      <c r="C724" s="81"/>
      <c r="D724" s="81"/>
      <c r="E724" s="620"/>
      <c r="F724" s="620"/>
      <c r="G724" s="620"/>
      <c r="H724" s="94"/>
      <c r="I724" s="81"/>
      <c r="J724" s="35"/>
      <c r="K724" s="36"/>
      <c r="L724" s="36"/>
      <c r="M724" s="36"/>
      <c r="N724" s="36"/>
      <c r="O724" s="36"/>
      <c r="P724" s="36"/>
      <c r="Q724" s="36"/>
      <c r="R724" s="36"/>
      <c r="S724" s="36"/>
      <c r="T724" s="36"/>
      <c r="U724" s="36"/>
      <c r="V724" s="36"/>
      <c r="W724" s="36"/>
      <c r="X724" s="36"/>
      <c r="Y724" s="36"/>
      <c r="Z724" s="36"/>
      <c r="AA724" s="36"/>
      <c r="AB724" s="36"/>
      <c r="AC724" s="36"/>
    </row>
    <row r="725" spans="1:29" ht="24" customHeight="1">
      <c r="A725" s="619"/>
      <c r="B725" s="81"/>
      <c r="C725" s="81"/>
      <c r="D725" s="81"/>
      <c r="E725" s="620"/>
      <c r="F725" s="620"/>
      <c r="G725" s="620"/>
      <c r="H725" s="94"/>
      <c r="I725" s="81"/>
      <c r="J725" s="35"/>
      <c r="K725" s="36"/>
      <c r="L725" s="36"/>
      <c r="M725" s="36"/>
      <c r="N725" s="36"/>
      <c r="O725" s="36"/>
      <c r="P725" s="36"/>
      <c r="Q725" s="36"/>
      <c r="R725" s="36"/>
      <c r="S725" s="36"/>
      <c r="T725" s="36"/>
      <c r="U725" s="36"/>
      <c r="V725" s="36"/>
      <c r="W725" s="36"/>
      <c r="X725" s="36"/>
      <c r="Y725" s="36"/>
      <c r="Z725" s="36"/>
      <c r="AA725" s="36"/>
      <c r="AB725" s="36"/>
      <c r="AC725" s="36"/>
    </row>
    <row r="726" spans="1:29" ht="60" customHeight="1">
      <c r="A726" s="619"/>
      <c r="B726" s="81"/>
      <c r="C726" s="81"/>
      <c r="D726" s="81"/>
      <c r="E726" s="620"/>
      <c r="F726" s="620"/>
      <c r="G726" s="620"/>
      <c r="H726" s="94"/>
      <c r="I726" s="81"/>
      <c r="J726" s="35"/>
      <c r="K726" s="36"/>
      <c r="L726" s="36"/>
      <c r="M726" s="36"/>
      <c r="N726" s="36"/>
      <c r="O726" s="36"/>
      <c r="P726" s="36"/>
      <c r="Q726" s="36"/>
      <c r="R726" s="36"/>
      <c r="S726" s="36"/>
      <c r="T726" s="36"/>
      <c r="U726" s="36"/>
      <c r="V726" s="36"/>
      <c r="W726" s="36"/>
      <c r="X726" s="36"/>
      <c r="Y726" s="36"/>
      <c r="Z726" s="36"/>
      <c r="AA726" s="36"/>
      <c r="AB726" s="36"/>
      <c r="AC726" s="36"/>
    </row>
    <row r="727" spans="1:29" ht="24" customHeight="1">
      <c r="A727" s="619"/>
      <c r="B727" s="81"/>
      <c r="C727" s="81"/>
      <c r="D727" s="81"/>
      <c r="E727" s="620"/>
      <c r="F727" s="620"/>
      <c r="G727" s="620"/>
      <c r="H727" s="94"/>
      <c r="I727" s="81"/>
      <c r="J727" s="35"/>
      <c r="K727" s="36"/>
      <c r="L727" s="36"/>
      <c r="M727" s="36"/>
      <c r="N727" s="36"/>
      <c r="O727" s="36"/>
      <c r="P727" s="36"/>
      <c r="Q727" s="36"/>
      <c r="R727" s="36"/>
      <c r="S727" s="36"/>
      <c r="T727" s="36"/>
      <c r="U727" s="36"/>
      <c r="V727" s="36"/>
      <c r="W727" s="36"/>
      <c r="X727" s="36"/>
      <c r="Y727" s="36"/>
      <c r="Z727" s="36"/>
      <c r="AA727" s="36"/>
      <c r="AB727" s="36"/>
      <c r="AC727" s="36"/>
    </row>
    <row r="728" spans="1:29" ht="36" customHeight="1">
      <c r="A728" s="619"/>
      <c r="B728" s="81"/>
      <c r="C728" s="81"/>
      <c r="D728" s="81"/>
      <c r="E728" s="620"/>
      <c r="F728" s="620"/>
      <c r="G728" s="620"/>
      <c r="H728" s="94"/>
      <c r="I728" s="81"/>
      <c r="J728" s="35"/>
      <c r="K728" s="36"/>
      <c r="L728" s="36"/>
      <c r="M728" s="36"/>
      <c r="N728" s="36"/>
      <c r="O728" s="36"/>
      <c r="P728" s="36"/>
      <c r="Q728" s="36"/>
      <c r="R728" s="36"/>
      <c r="S728" s="36"/>
      <c r="T728" s="36"/>
      <c r="U728" s="36"/>
      <c r="V728" s="36"/>
      <c r="W728" s="36"/>
      <c r="X728" s="36"/>
      <c r="Y728" s="36"/>
      <c r="Z728" s="36"/>
      <c r="AA728" s="36"/>
      <c r="AB728" s="36"/>
      <c r="AC728" s="36"/>
    </row>
    <row r="729" spans="1:29" ht="36" customHeight="1">
      <c r="A729" s="619"/>
      <c r="B729" s="81"/>
      <c r="C729" s="81"/>
      <c r="D729" s="81"/>
      <c r="E729" s="620"/>
      <c r="F729" s="620"/>
      <c r="G729" s="620"/>
      <c r="H729" s="94"/>
      <c r="I729" s="81"/>
      <c r="J729" s="35"/>
      <c r="K729" s="36"/>
      <c r="L729" s="36"/>
      <c r="M729" s="36"/>
      <c r="N729" s="36"/>
      <c r="O729" s="36"/>
      <c r="P729" s="36"/>
      <c r="Q729" s="36"/>
      <c r="R729" s="36"/>
      <c r="S729" s="36"/>
      <c r="T729" s="36"/>
      <c r="U729" s="36"/>
      <c r="V729" s="36"/>
      <c r="W729" s="36"/>
      <c r="X729" s="36"/>
      <c r="Y729" s="36"/>
      <c r="Z729" s="36"/>
      <c r="AA729" s="36"/>
      <c r="AB729" s="36"/>
      <c r="AC729" s="36"/>
    </row>
    <row r="730" spans="1:29" ht="24" customHeight="1">
      <c r="A730" s="81"/>
      <c r="B730" s="81"/>
      <c r="C730" s="81"/>
      <c r="D730" s="81"/>
      <c r="E730" s="620"/>
      <c r="F730" s="620"/>
      <c r="G730" s="620"/>
      <c r="H730" s="94"/>
      <c r="I730" s="81"/>
      <c r="J730" s="35"/>
      <c r="K730" s="36"/>
      <c r="L730" s="36"/>
      <c r="M730" s="36"/>
      <c r="N730" s="36"/>
      <c r="O730" s="36"/>
      <c r="P730" s="36"/>
      <c r="Q730" s="36"/>
      <c r="R730" s="36"/>
      <c r="S730" s="36"/>
      <c r="T730" s="36"/>
      <c r="U730" s="36"/>
      <c r="V730" s="36"/>
      <c r="W730" s="36"/>
      <c r="X730" s="36"/>
      <c r="Y730" s="36"/>
      <c r="Z730" s="36"/>
      <c r="AA730" s="36"/>
      <c r="AB730" s="36"/>
      <c r="AC730" s="36"/>
    </row>
    <row r="731" spans="1:29" ht="24" customHeight="1">
      <c r="A731" s="81"/>
      <c r="B731" s="81"/>
      <c r="C731" s="81"/>
      <c r="D731" s="81"/>
      <c r="E731" s="620"/>
      <c r="F731" s="620"/>
      <c r="G731" s="620"/>
      <c r="H731" s="94"/>
      <c r="I731" s="81"/>
      <c r="J731" s="35"/>
      <c r="K731" s="36"/>
      <c r="L731" s="36"/>
      <c r="M731" s="36"/>
      <c r="N731" s="36"/>
      <c r="O731" s="36"/>
      <c r="P731" s="36"/>
      <c r="Q731" s="36"/>
      <c r="R731" s="36"/>
      <c r="S731" s="36"/>
      <c r="T731" s="36"/>
      <c r="U731" s="36"/>
      <c r="V731" s="36"/>
      <c r="W731" s="36"/>
      <c r="X731" s="36"/>
      <c r="Y731" s="36"/>
      <c r="Z731" s="36"/>
      <c r="AA731" s="36"/>
      <c r="AB731" s="36"/>
      <c r="AC731" s="36"/>
    </row>
    <row r="732" spans="1:29" ht="24" customHeight="1">
      <c r="A732" s="619"/>
      <c r="B732" s="81"/>
      <c r="C732" s="81"/>
      <c r="D732" s="81"/>
      <c r="E732" s="620"/>
      <c r="F732" s="620"/>
      <c r="G732" s="620"/>
      <c r="H732" s="94"/>
      <c r="I732" s="81"/>
      <c r="J732" s="35"/>
      <c r="K732" s="36"/>
      <c r="L732" s="36"/>
      <c r="M732" s="36"/>
      <c r="N732" s="36"/>
      <c r="O732" s="36"/>
      <c r="P732" s="36"/>
      <c r="Q732" s="36"/>
      <c r="R732" s="36"/>
      <c r="S732" s="36"/>
      <c r="T732" s="36"/>
      <c r="U732" s="36"/>
      <c r="V732" s="36"/>
      <c r="W732" s="36"/>
      <c r="X732" s="36"/>
      <c r="Y732" s="36"/>
      <c r="Z732" s="36"/>
      <c r="AA732" s="36"/>
      <c r="AB732" s="36"/>
      <c r="AC732" s="36"/>
    </row>
    <row r="733" spans="1:29" ht="24" customHeight="1">
      <c r="A733" s="619"/>
      <c r="B733" s="81"/>
      <c r="C733" s="81"/>
      <c r="D733" s="81"/>
      <c r="E733" s="620"/>
      <c r="F733" s="620"/>
      <c r="G733" s="620"/>
      <c r="H733" s="94"/>
      <c r="I733" s="81"/>
      <c r="J733" s="35"/>
      <c r="K733" s="36"/>
      <c r="L733" s="36"/>
      <c r="M733" s="36"/>
      <c r="N733" s="36"/>
      <c r="O733" s="36"/>
      <c r="P733" s="36"/>
      <c r="Q733" s="36"/>
      <c r="R733" s="36"/>
      <c r="S733" s="36"/>
      <c r="T733" s="36"/>
      <c r="U733" s="36"/>
      <c r="V733" s="36"/>
      <c r="W733" s="36"/>
      <c r="X733" s="36"/>
      <c r="Y733" s="36"/>
      <c r="Z733" s="36"/>
      <c r="AA733" s="36"/>
      <c r="AB733" s="36"/>
      <c r="AC733" s="36"/>
    </row>
    <row r="734" spans="1:29" ht="24" customHeight="1">
      <c r="A734" s="619"/>
      <c r="B734" s="81"/>
      <c r="C734" s="81"/>
      <c r="D734" s="81"/>
      <c r="E734" s="620"/>
      <c r="F734" s="620"/>
      <c r="G734" s="620"/>
      <c r="H734" s="94"/>
      <c r="I734" s="81"/>
      <c r="J734" s="35"/>
      <c r="K734" s="36"/>
      <c r="L734" s="36"/>
      <c r="M734" s="36"/>
      <c r="N734" s="36"/>
      <c r="O734" s="36"/>
      <c r="P734" s="36"/>
      <c r="Q734" s="36"/>
      <c r="R734" s="36"/>
      <c r="S734" s="36"/>
      <c r="T734" s="36"/>
      <c r="U734" s="36"/>
      <c r="V734" s="36"/>
      <c r="W734" s="36"/>
      <c r="X734" s="36"/>
      <c r="Y734" s="36"/>
      <c r="Z734" s="36"/>
      <c r="AA734" s="36"/>
      <c r="AB734" s="36"/>
      <c r="AC734" s="36"/>
    </row>
    <row r="735" spans="1:29" ht="72" customHeight="1">
      <c r="A735" s="81"/>
      <c r="B735" s="81"/>
      <c r="C735" s="81"/>
      <c r="D735" s="81"/>
      <c r="E735" s="620"/>
      <c r="F735" s="620"/>
      <c r="G735" s="620"/>
      <c r="H735" s="94"/>
      <c r="I735" s="81"/>
      <c r="J735" s="35"/>
      <c r="K735" s="36"/>
      <c r="L735" s="36"/>
      <c r="M735" s="36"/>
      <c r="N735" s="36"/>
      <c r="O735" s="36"/>
      <c r="P735" s="36"/>
      <c r="Q735" s="36"/>
      <c r="R735" s="36"/>
      <c r="S735" s="36"/>
      <c r="T735" s="36"/>
      <c r="U735" s="36"/>
      <c r="V735" s="36"/>
      <c r="W735" s="36"/>
      <c r="X735" s="36"/>
      <c r="Y735" s="36"/>
      <c r="Z735" s="36"/>
      <c r="AA735" s="36"/>
      <c r="AB735" s="36"/>
      <c r="AC735" s="36"/>
    </row>
    <row r="736" spans="1:29" ht="24" customHeight="1">
      <c r="A736" s="81"/>
      <c r="B736" s="81"/>
      <c r="C736" s="81"/>
      <c r="D736" s="81"/>
      <c r="E736" s="620"/>
      <c r="F736" s="620"/>
      <c r="G736" s="620"/>
      <c r="H736" s="94"/>
      <c r="I736" s="81"/>
      <c r="J736" s="35"/>
      <c r="K736" s="36"/>
      <c r="L736" s="36"/>
      <c r="M736" s="36"/>
      <c r="N736" s="36"/>
      <c r="O736" s="36"/>
      <c r="P736" s="36"/>
      <c r="Q736" s="36"/>
      <c r="R736" s="36"/>
      <c r="S736" s="36"/>
      <c r="T736" s="36"/>
      <c r="U736" s="36"/>
      <c r="V736" s="36"/>
      <c r="W736" s="36"/>
      <c r="X736" s="36"/>
      <c r="Y736" s="36"/>
      <c r="Z736" s="36"/>
      <c r="AA736" s="36"/>
      <c r="AB736" s="36"/>
      <c r="AC736" s="36"/>
    </row>
    <row r="737" spans="1:29" ht="60" customHeight="1">
      <c r="A737" s="81"/>
      <c r="B737" s="81"/>
      <c r="C737" s="81"/>
      <c r="D737" s="81"/>
      <c r="E737" s="620"/>
      <c r="F737" s="620"/>
      <c r="G737" s="620"/>
      <c r="H737" s="94"/>
      <c r="I737" s="81"/>
      <c r="J737" s="35"/>
      <c r="K737" s="36"/>
      <c r="L737" s="36"/>
      <c r="M737" s="36"/>
      <c r="N737" s="36"/>
      <c r="O737" s="36"/>
      <c r="P737" s="36"/>
      <c r="Q737" s="36"/>
      <c r="R737" s="36"/>
      <c r="S737" s="36"/>
      <c r="T737" s="36"/>
      <c r="U737" s="36"/>
      <c r="V737" s="36"/>
      <c r="W737" s="36"/>
      <c r="X737" s="36"/>
      <c r="Y737" s="36"/>
      <c r="Z737" s="36"/>
      <c r="AA737" s="36"/>
      <c r="AB737" s="36"/>
      <c r="AC737" s="36"/>
    </row>
    <row r="738" spans="1:29" ht="72" customHeight="1">
      <c r="A738" s="81"/>
      <c r="B738" s="81"/>
      <c r="C738" s="81"/>
      <c r="D738" s="81"/>
      <c r="E738" s="620"/>
      <c r="F738" s="620"/>
      <c r="G738" s="620"/>
      <c r="H738" s="94"/>
      <c r="I738" s="81"/>
      <c r="J738" s="35"/>
      <c r="K738" s="36"/>
      <c r="L738" s="36"/>
      <c r="M738" s="36"/>
      <c r="N738" s="36"/>
      <c r="O738" s="36"/>
      <c r="P738" s="36"/>
      <c r="Q738" s="36"/>
      <c r="R738" s="36"/>
      <c r="S738" s="36"/>
      <c r="T738" s="36"/>
      <c r="U738" s="36"/>
      <c r="V738" s="36"/>
      <c r="W738" s="36"/>
      <c r="X738" s="36"/>
      <c r="Y738" s="36"/>
      <c r="Z738" s="36"/>
      <c r="AA738" s="36"/>
      <c r="AB738" s="36"/>
      <c r="AC738" s="36"/>
    </row>
    <row r="739" spans="1:29" ht="36" customHeight="1">
      <c r="A739" s="81"/>
      <c r="B739" s="81"/>
      <c r="C739" s="81"/>
      <c r="D739" s="81"/>
      <c r="E739" s="620"/>
      <c r="F739" s="620"/>
      <c r="G739" s="620"/>
      <c r="H739" s="94"/>
      <c r="I739" s="81"/>
      <c r="J739" s="35"/>
      <c r="K739" s="36"/>
      <c r="L739" s="36"/>
      <c r="M739" s="36"/>
      <c r="N739" s="36"/>
      <c r="O739" s="36"/>
      <c r="P739" s="36"/>
      <c r="Q739" s="36"/>
      <c r="R739" s="36"/>
      <c r="S739" s="36"/>
      <c r="T739" s="36"/>
      <c r="U739" s="36"/>
      <c r="V739" s="36"/>
      <c r="W739" s="36"/>
      <c r="X739" s="36"/>
      <c r="Y739" s="36"/>
      <c r="Z739" s="36"/>
      <c r="AA739" s="36"/>
      <c r="AB739" s="36"/>
      <c r="AC739" s="36"/>
    </row>
    <row r="740" spans="1:29" ht="36" customHeight="1">
      <c r="A740" s="81"/>
      <c r="B740" s="81"/>
      <c r="C740" s="81"/>
      <c r="D740" s="81"/>
      <c r="E740" s="620"/>
      <c r="F740" s="620"/>
      <c r="G740" s="620"/>
      <c r="H740" s="94"/>
      <c r="I740" s="81"/>
      <c r="J740" s="35"/>
      <c r="K740" s="36"/>
      <c r="L740" s="36"/>
      <c r="M740" s="36"/>
      <c r="N740" s="36"/>
      <c r="O740" s="36"/>
      <c r="P740" s="36"/>
      <c r="Q740" s="36"/>
      <c r="R740" s="36"/>
      <c r="S740" s="36"/>
      <c r="T740" s="36"/>
      <c r="U740" s="36"/>
      <c r="V740" s="36"/>
      <c r="W740" s="36"/>
      <c r="X740" s="36"/>
      <c r="Y740" s="36"/>
      <c r="Z740" s="36"/>
      <c r="AA740" s="36"/>
      <c r="AB740" s="36"/>
      <c r="AC740" s="36"/>
    </row>
    <row r="741" spans="1:29" ht="24" customHeight="1">
      <c r="A741" s="81"/>
      <c r="B741" s="81"/>
      <c r="C741" s="81"/>
      <c r="D741" s="81"/>
      <c r="E741" s="620"/>
      <c r="F741" s="620"/>
      <c r="G741" s="620"/>
      <c r="H741" s="94"/>
      <c r="I741" s="81"/>
      <c r="J741" s="35"/>
      <c r="K741" s="36"/>
      <c r="L741" s="36"/>
      <c r="M741" s="36"/>
      <c r="N741" s="36"/>
      <c r="O741" s="36"/>
      <c r="P741" s="36"/>
      <c r="Q741" s="36"/>
      <c r="R741" s="36"/>
      <c r="S741" s="36"/>
      <c r="T741" s="36"/>
      <c r="U741" s="36"/>
      <c r="V741" s="36"/>
      <c r="W741" s="36"/>
      <c r="X741" s="36"/>
      <c r="Y741" s="36"/>
      <c r="Z741" s="36"/>
      <c r="AA741" s="36"/>
      <c r="AB741" s="36"/>
      <c r="AC741" s="36"/>
    </row>
    <row r="742" spans="1:29" ht="24" customHeight="1">
      <c r="A742" s="81"/>
      <c r="B742" s="81"/>
      <c r="C742" s="81"/>
      <c r="D742" s="81"/>
      <c r="E742" s="620"/>
      <c r="F742" s="620"/>
      <c r="G742" s="620"/>
      <c r="H742" s="94"/>
      <c r="I742" s="81"/>
      <c r="J742" s="35"/>
      <c r="K742" s="36"/>
      <c r="L742" s="36"/>
      <c r="M742" s="36"/>
      <c r="N742" s="36"/>
      <c r="O742" s="36"/>
      <c r="P742" s="36"/>
      <c r="Q742" s="36"/>
      <c r="R742" s="36"/>
      <c r="S742" s="36"/>
      <c r="T742" s="36"/>
      <c r="U742" s="36"/>
      <c r="V742" s="36"/>
      <c r="W742" s="36"/>
      <c r="X742" s="36"/>
      <c r="Y742" s="36"/>
      <c r="Z742" s="36"/>
      <c r="AA742" s="36"/>
      <c r="AB742" s="36"/>
      <c r="AC742" s="36"/>
    </row>
    <row r="743" spans="1:29" ht="36" customHeight="1">
      <c r="A743" s="81"/>
      <c r="B743" s="81"/>
      <c r="C743" s="81"/>
      <c r="D743" s="81"/>
      <c r="E743" s="620"/>
      <c r="F743" s="620"/>
      <c r="G743" s="620"/>
      <c r="H743" s="94"/>
      <c r="I743" s="81"/>
      <c r="J743" s="35"/>
      <c r="K743" s="36"/>
      <c r="L743" s="36"/>
      <c r="M743" s="36"/>
      <c r="N743" s="36"/>
      <c r="O743" s="36"/>
      <c r="P743" s="36"/>
      <c r="Q743" s="36"/>
      <c r="R743" s="36"/>
      <c r="S743" s="36"/>
      <c r="T743" s="36"/>
      <c r="U743" s="36"/>
      <c r="V743" s="36"/>
      <c r="W743" s="36"/>
      <c r="X743" s="36"/>
      <c r="Y743" s="36"/>
      <c r="Z743" s="36"/>
      <c r="AA743" s="36"/>
      <c r="AB743" s="36"/>
      <c r="AC743" s="36"/>
    </row>
    <row r="744" spans="1:29" ht="36" customHeight="1">
      <c r="A744" s="81"/>
      <c r="B744" s="81"/>
      <c r="C744" s="81"/>
      <c r="D744" s="81"/>
      <c r="E744" s="620"/>
      <c r="F744" s="620"/>
      <c r="G744" s="620"/>
      <c r="H744" s="94"/>
      <c r="I744" s="81"/>
      <c r="J744" s="35"/>
      <c r="K744" s="36"/>
      <c r="L744" s="36"/>
      <c r="M744" s="36"/>
      <c r="N744" s="36"/>
      <c r="O744" s="36"/>
      <c r="P744" s="36"/>
      <c r="Q744" s="36"/>
      <c r="R744" s="36"/>
      <c r="S744" s="36"/>
      <c r="T744" s="36"/>
      <c r="U744" s="36"/>
      <c r="V744" s="36"/>
      <c r="W744" s="36"/>
      <c r="X744" s="36"/>
      <c r="Y744" s="36"/>
      <c r="Z744" s="36"/>
      <c r="AA744" s="36"/>
      <c r="AB744" s="36"/>
      <c r="AC744" s="36"/>
    </row>
    <row r="745" spans="1:29" ht="36" customHeight="1">
      <c r="A745" s="81"/>
      <c r="B745" s="81"/>
      <c r="C745" s="81"/>
      <c r="D745" s="81"/>
      <c r="E745" s="620"/>
      <c r="F745" s="620"/>
      <c r="G745" s="620"/>
      <c r="H745" s="94"/>
      <c r="I745" s="81"/>
      <c r="J745" s="35"/>
      <c r="K745" s="36"/>
      <c r="L745" s="36"/>
      <c r="M745" s="36"/>
      <c r="N745" s="36"/>
      <c r="O745" s="36"/>
      <c r="P745" s="36"/>
      <c r="Q745" s="36"/>
      <c r="R745" s="36"/>
      <c r="S745" s="36"/>
      <c r="T745" s="36"/>
      <c r="U745" s="36"/>
      <c r="V745" s="36"/>
      <c r="W745" s="36"/>
      <c r="X745" s="36"/>
      <c r="Y745" s="36"/>
      <c r="Z745" s="36"/>
      <c r="AA745" s="36"/>
      <c r="AB745" s="36"/>
      <c r="AC745" s="36"/>
    </row>
    <row r="746" spans="1:29" ht="36" customHeight="1">
      <c r="A746" s="81"/>
      <c r="B746" s="81"/>
      <c r="C746" s="81"/>
      <c r="D746" s="81"/>
      <c r="E746" s="620"/>
      <c r="F746" s="620"/>
      <c r="G746" s="620"/>
      <c r="H746" s="94"/>
      <c r="I746" s="81"/>
      <c r="J746" s="35"/>
      <c r="K746" s="36"/>
      <c r="L746" s="36"/>
      <c r="M746" s="36"/>
      <c r="N746" s="36"/>
      <c r="O746" s="36"/>
      <c r="P746" s="36"/>
      <c r="Q746" s="36"/>
      <c r="R746" s="36"/>
      <c r="S746" s="36"/>
      <c r="T746" s="36"/>
      <c r="U746" s="36"/>
      <c r="V746" s="36"/>
      <c r="W746" s="36"/>
      <c r="X746" s="36"/>
      <c r="Y746" s="36"/>
      <c r="Z746" s="36"/>
      <c r="AA746" s="36"/>
      <c r="AB746" s="36"/>
      <c r="AC746" s="36"/>
    </row>
    <row r="747" spans="1:29" ht="24" customHeight="1">
      <c r="A747" s="81"/>
      <c r="B747" s="81"/>
      <c r="C747" s="81"/>
      <c r="D747" s="81"/>
      <c r="E747" s="620"/>
      <c r="F747" s="620"/>
      <c r="G747" s="620"/>
      <c r="H747" s="94"/>
      <c r="I747" s="81"/>
      <c r="J747" s="35"/>
      <c r="K747" s="36"/>
      <c r="L747" s="36"/>
      <c r="M747" s="36"/>
      <c r="N747" s="36"/>
      <c r="O747" s="36"/>
      <c r="P747" s="36"/>
      <c r="Q747" s="36"/>
      <c r="R747" s="36"/>
      <c r="S747" s="36"/>
      <c r="T747" s="36"/>
      <c r="U747" s="36"/>
      <c r="V747" s="36"/>
      <c r="W747" s="36"/>
      <c r="X747" s="36"/>
      <c r="Y747" s="36"/>
      <c r="Z747" s="36"/>
      <c r="AA747" s="36"/>
      <c r="AB747" s="36"/>
      <c r="AC747" s="36"/>
    </row>
    <row r="748" spans="1:29" ht="48" customHeight="1">
      <c r="A748" s="81"/>
      <c r="B748" s="81"/>
      <c r="C748" s="81"/>
      <c r="D748" s="81"/>
      <c r="E748" s="620"/>
      <c r="F748" s="620"/>
      <c r="G748" s="620"/>
      <c r="H748" s="94"/>
      <c r="I748" s="81"/>
      <c r="J748" s="35"/>
      <c r="K748" s="36"/>
      <c r="L748" s="36"/>
      <c r="M748" s="36"/>
      <c r="N748" s="36"/>
      <c r="O748" s="36"/>
      <c r="P748" s="36"/>
      <c r="Q748" s="36"/>
      <c r="R748" s="36"/>
      <c r="S748" s="36"/>
      <c r="T748" s="36"/>
      <c r="U748" s="36"/>
      <c r="V748" s="36"/>
      <c r="W748" s="36"/>
      <c r="X748" s="36"/>
      <c r="Y748" s="36"/>
      <c r="Z748" s="36"/>
      <c r="AA748" s="36"/>
      <c r="AB748" s="36"/>
      <c r="AC748" s="36"/>
    </row>
    <row r="749" spans="1:29" ht="36" customHeight="1">
      <c r="A749" s="81"/>
      <c r="B749" s="81"/>
      <c r="C749" s="81"/>
      <c r="D749" s="81"/>
      <c r="E749" s="620"/>
      <c r="F749" s="620"/>
      <c r="G749" s="620"/>
      <c r="H749" s="94"/>
      <c r="I749" s="81"/>
      <c r="J749" s="35"/>
      <c r="K749" s="36"/>
      <c r="L749" s="36"/>
      <c r="M749" s="36"/>
      <c r="N749" s="36"/>
      <c r="O749" s="36"/>
      <c r="P749" s="36"/>
      <c r="Q749" s="36"/>
      <c r="R749" s="36"/>
      <c r="S749" s="36"/>
      <c r="T749" s="36"/>
      <c r="U749" s="36"/>
      <c r="V749" s="36"/>
      <c r="W749" s="36"/>
      <c r="X749" s="36"/>
      <c r="Y749" s="36"/>
      <c r="Z749" s="36"/>
      <c r="AA749" s="36"/>
      <c r="AB749" s="36"/>
      <c r="AC749" s="36"/>
    </row>
    <row r="750" spans="1:29" ht="48" customHeight="1">
      <c r="A750" s="81"/>
      <c r="B750" s="81"/>
      <c r="C750" s="81"/>
      <c r="D750" s="81"/>
      <c r="E750" s="620"/>
      <c r="F750" s="620"/>
      <c r="G750" s="620"/>
      <c r="H750" s="94"/>
      <c r="I750" s="81"/>
      <c r="J750" s="35"/>
      <c r="K750" s="36"/>
      <c r="L750" s="36"/>
      <c r="M750" s="36"/>
      <c r="N750" s="36"/>
      <c r="O750" s="36"/>
      <c r="P750" s="36"/>
      <c r="Q750" s="36"/>
      <c r="R750" s="36"/>
      <c r="S750" s="36"/>
      <c r="T750" s="36"/>
      <c r="U750" s="36"/>
      <c r="V750" s="36"/>
      <c r="W750" s="36"/>
      <c r="X750" s="36"/>
      <c r="Y750" s="36"/>
      <c r="Z750" s="36"/>
      <c r="AA750" s="36"/>
      <c r="AB750" s="36"/>
      <c r="AC750" s="36"/>
    </row>
    <row r="751" spans="1:29" ht="24" customHeight="1">
      <c r="A751" s="81"/>
      <c r="B751" s="81"/>
      <c r="C751" s="81"/>
      <c r="D751" s="81"/>
      <c r="E751" s="620"/>
      <c r="F751" s="620"/>
      <c r="G751" s="620"/>
      <c r="H751" s="94"/>
      <c r="I751" s="81"/>
      <c r="J751" s="35"/>
      <c r="K751" s="36"/>
      <c r="L751" s="36"/>
      <c r="M751" s="36"/>
      <c r="N751" s="36"/>
      <c r="O751" s="36"/>
      <c r="P751" s="36"/>
      <c r="Q751" s="36"/>
      <c r="R751" s="36"/>
      <c r="S751" s="36"/>
      <c r="T751" s="36"/>
      <c r="U751" s="36"/>
      <c r="V751" s="36"/>
      <c r="W751" s="36"/>
      <c r="X751" s="36"/>
      <c r="Y751" s="36"/>
      <c r="Z751" s="36"/>
      <c r="AA751" s="36"/>
      <c r="AB751" s="36"/>
      <c r="AC751" s="36"/>
    </row>
    <row r="752" spans="1:29" ht="48" customHeight="1">
      <c r="A752" s="81"/>
      <c r="B752" s="81"/>
      <c r="C752" s="81"/>
      <c r="D752" s="81"/>
      <c r="E752" s="620"/>
      <c r="F752" s="620"/>
      <c r="G752" s="620"/>
      <c r="H752" s="94"/>
      <c r="I752" s="81"/>
      <c r="J752" s="35"/>
      <c r="K752" s="36"/>
      <c r="L752" s="36"/>
      <c r="M752" s="36"/>
      <c r="N752" s="36"/>
      <c r="O752" s="36"/>
      <c r="P752" s="36"/>
      <c r="Q752" s="36"/>
      <c r="R752" s="36"/>
      <c r="S752" s="36"/>
      <c r="T752" s="36"/>
      <c r="U752" s="36"/>
      <c r="V752" s="36"/>
      <c r="W752" s="36"/>
      <c r="X752" s="36"/>
      <c r="Y752" s="36"/>
      <c r="Z752" s="36"/>
      <c r="AA752" s="36"/>
      <c r="AB752" s="36"/>
      <c r="AC752" s="36"/>
    </row>
    <row r="753" spans="1:29" ht="24" customHeight="1">
      <c r="A753" s="81"/>
      <c r="B753" s="81"/>
      <c r="C753" s="81"/>
      <c r="D753" s="81"/>
      <c r="E753" s="620"/>
      <c r="F753" s="620"/>
      <c r="G753" s="620"/>
      <c r="H753" s="94"/>
      <c r="I753" s="81"/>
      <c r="J753" s="35"/>
      <c r="K753" s="36"/>
      <c r="L753" s="36"/>
      <c r="M753" s="36"/>
      <c r="N753" s="36"/>
      <c r="O753" s="36"/>
      <c r="P753" s="36"/>
      <c r="Q753" s="36"/>
      <c r="R753" s="36"/>
      <c r="S753" s="36"/>
      <c r="T753" s="36"/>
      <c r="U753" s="36"/>
      <c r="V753" s="36"/>
      <c r="W753" s="36"/>
      <c r="X753" s="36"/>
      <c r="Y753" s="36"/>
      <c r="Z753" s="36"/>
      <c r="AA753" s="36"/>
      <c r="AB753" s="36"/>
      <c r="AC753" s="36"/>
    </row>
    <row r="754" spans="1:29" ht="36" customHeight="1">
      <c r="A754" s="81"/>
      <c r="B754" s="81"/>
      <c r="C754" s="81"/>
      <c r="D754" s="81"/>
      <c r="E754" s="620"/>
      <c r="F754" s="620"/>
      <c r="G754" s="620"/>
      <c r="H754" s="94"/>
      <c r="I754" s="81"/>
      <c r="J754" s="35"/>
      <c r="K754" s="36"/>
      <c r="L754" s="36"/>
      <c r="M754" s="36"/>
      <c r="N754" s="36"/>
      <c r="O754" s="36"/>
      <c r="P754" s="36"/>
      <c r="Q754" s="36"/>
      <c r="R754" s="36"/>
      <c r="S754" s="36"/>
      <c r="T754" s="36"/>
      <c r="U754" s="36"/>
      <c r="V754" s="36"/>
      <c r="W754" s="36"/>
      <c r="X754" s="36"/>
      <c r="Y754" s="36"/>
      <c r="Z754" s="36"/>
      <c r="AA754" s="36"/>
      <c r="AB754" s="36"/>
      <c r="AC754" s="36"/>
    </row>
    <row r="755" spans="1:29" ht="24" customHeight="1">
      <c r="A755" s="81"/>
      <c r="B755" s="81"/>
      <c r="C755" s="81"/>
      <c r="D755" s="81"/>
      <c r="E755" s="620"/>
      <c r="F755" s="620"/>
      <c r="G755" s="620"/>
      <c r="H755" s="94"/>
      <c r="I755" s="81"/>
      <c r="J755" s="35"/>
      <c r="K755" s="36"/>
      <c r="L755" s="36"/>
      <c r="M755" s="36"/>
      <c r="N755" s="36"/>
      <c r="O755" s="36"/>
      <c r="P755" s="36"/>
      <c r="Q755" s="36"/>
      <c r="R755" s="36"/>
      <c r="S755" s="36"/>
      <c r="T755" s="36"/>
      <c r="U755" s="36"/>
      <c r="V755" s="36"/>
      <c r="W755" s="36"/>
      <c r="X755" s="36"/>
      <c r="Y755" s="36"/>
      <c r="Z755" s="36"/>
      <c r="AA755" s="36"/>
      <c r="AB755" s="36"/>
      <c r="AC755" s="36"/>
    </row>
    <row r="756" spans="1:29" ht="48" customHeight="1">
      <c r="A756" s="81"/>
      <c r="B756" s="81"/>
      <c r="C756" s="81"/>
      <c r="D756" s="81"/>
      <c r="E756" s="620"/>
      <c r="F756" s="620"/>
      <c r="G756" s="620"/>
      <c r="H756" s="94"/>
      <c r="I756" s="81"/>
      <c r="J756" s="35"/>
      <c r="K756" s="36"/>
      <c r="L756" s="36"/>
      <c r="M756" s="36"/>
      <c r="N756" s="36"/>
      <c r="O756" s="36"/>
      <c r="P756" s="36"/>
      <c r="Q756" s="36"/>
      <c r="R756" s="36"/>
      <c r="S756" s="36"/>
      <c r="T756" s="36"/>
      <c r="U756" s="36"/>
      <c r="V756" s="36"/>
      <c r="W756" s="36"/>
      <c r="X756" s="36"/>
      <c r="Y756" s="36"/>
      <c r="Z756" s="36"/>
      <c r="AA756" s="36"/>
      <c r="AB756" s="36"/>
      <c r="AC756" s="36"/>
    </row>
    <row r="757" spans="1:29" ht="24" customHeight="1">
      <c r="A757" s="81"/>
      <c r="B757" s="81"/>
      <c r="C757" s="81"/>
      <c r="D757" s="81"/>
      <c r="E757" s="620"/>
      <c r="F757" s="620"/>
      <c r="G757" s="620"/>
      <c r="H757" s="94"/>
      <c r="I757" s="81"/>
      <c r="J757" s="35"/>
      <c r="K757" s="36"/>
      <c r="L757" s="36"/>
      <c r="M757" s="36"/>
      <c r="N757" s="36"/>
      <c r="O757" s="36"/>
      <c r="P757" s="36"/>
      <c r="Q757" s="36"/>
      <c r="R757" s="36"/>
      <c r="S757" s="36"/>
      <c r="T757" s="36"/>
      <c r="U757" s="36"/>
      <c r="V757" s="36"/>
      <c r="W757" s="36"/>
      <c r="X757" s="36"/>
      <c r="Y757" s="36"/>
      <c r="Z757" s="36"/>
      <c r="AA757" s="36"/>
      <c r="AB757" s="36"/>
      <c r="AC757" s="36"/>
    </row>
    <row r="758" spans="1:29" ht="24" customHeight="1">
      <c r="A758" s="81"/>
      <c r="B758" s="81"/>
      <c r="C758" s="81"/>
      <c r="D758" s="81"/>
      <c r="E758" s="620"/>
      <c r="F758" s="620"/>
      <c r="G758" s="620"/>
      <c r="H758" s="94"/>
      <c r="I758" s="81"/>
      <c r="J758" s="35"/>
      <c r="K758" s="36"/>
      <c r="L758" s="36"/>
      <c r="M758" s="36"/>
      <c r="N758" s="36"/>
      <c r="O758" s="36"/>
      <c r="P758" s="36"/>
      <c r="Q758" s="36"/>
      <c r="R758" s="36"/>
      <c r="S758" s="36"/>
      <c r="T758" s="36"/>
      <c r="U758" s="36"/>
      <c r="V758" s="36"/>
      <c r="W758" s="36"/>
      <c r="X758" s="36"/>
      <c r="Y758" s="36"/>
      <c r="Z758" s="36"/>
      <c r="AA758" s="36"/>
      <c r="AB758" s="36"/>
      <c r="AC758" s="36"/>
    </row>
    <row r="759" spans="1:29" ht="36" customHeight="1">
      <c r="A759" s="81"/>
      <c r="B759" s="81"/>
      <c r="C759" s="81"/>
      <c r="D759" s="81"/>
      <c r="E759" s="620"/>
      <c r="F759" s="620"/>
      <c r="G759" s="620"/>
      <c r="H759" s="94"/>
      <c r="I759" s="81"/>
      <c r="J759" s="35"/>
      <c r="K759" s="36"/>
      <c r="L759" s="36"/>
      <c r="M759" s="36"/>
      <c r="N759" s="36"/>
      <c r="O759" s="36"/>
      <c r="P759" s="36"/>
      <c r="Q759" s="36"/>
      <c r="R759" s="36"/>
      <c r="S759" s="36"/>
      <c r="T759" s="36"/>
      <c r="U759" s="36"/>
      <c r="V759" s="36"/>
      <c r="W759" s="36"/>
      <c r="X759" s="36"/>
      <c r="Y759" s="36"/>
      <c r="Z759" s="36"/>
      <c r="AA759" s="36"/>
      <c r="AB759" s="36"/>
      <c r="AC759" s="36"/>
    </row>
    <row r="760" spans="1:29" ht="24" customHeight="1">
      <c r="A760" s="81"/>
      <c r="B760" s="81"/>
      <c r="C760" s="81"/>
      <c r="D760" s="81"/>
      <c r="E760" s="620"/>
      <c r="F760" s="620"/>
      <c r="G760" s="620"/>
      <c r="H760" s="94"/>
      <c r="I760" s="81"/>
      <c r="J760" s="35"/>
      <c r="K760" s="36"/>
      <c r="L760" s="36"/>
      <c r="M760" s="36"/>
      <c r="N760" s="36"/>
      <c r="O760" s="36"/>
      <c r="P760" s="36"/>
      <c r="Q760" s="36"/>
      <c r="R760" s="36"/>
      <c r="S760" s="36"/>
      <c r="T760" s="36"/>
      <c r="U760" s="36"/>
      <c r="V760" s="36"/>
      <c r="W760" s="36"/>
      <c r="X760" s="36"/>
      <c r="Y760" s="36"/>
      <c r="Z760" s="36"/>
      <c r="AA760" s="36"/>
      <c r="AB760" s="36"/>
      <c r="AC760" s="36"/>
    </row>
    <row r="761" spans="1:29" ht="24" customHeight="1">
      <c r="A761" s="81"/>
      <c r="B761" s="81"/>
      <c r="C761" s="81"/>
      <c r="D761" s="81"/>
      <c r="E761" s="620"/>
      <c r="F761" s="620"/>
      <c r="G761" s="620"/>
      <c r="H761" s="94"/>
      <c r="I761" s="81"/>
      <c r="J761" s="35"/>
      <c r="K761" s="36"/>
      <c r="L761" s="36"/>
      <c r="M761" s="36"/>
      <c r="N761" s="36"/>
      <c r="O761" s="36"/>
      <c r="P761" s="36"/>
      <c r="Q761" s="36"/>
      <c r="R761" s="36"/>
      <c r="S761" s="36"/>
      <c r="T761" s="36"/>
      <c r="U761" s="36"/>
      <c r="V761" s="36"/>
      <c r="W761" s="36"/>
      <c r="X761" s="36"/>
      <c r="Y761" s="36"/>
      <c r="Z761" s="36"/>
      <c r="AA761" s="36"/>
      <c r="AB761" s="36"/>
      <c r="AC761" s="36"/>
    </row>
    <row r="762" spans="1:29" ht="12" customHeight="1">
      <c r="A762" s="619"/>
      <c r="B762" s="81"/>
      <c r="C762" s="81"/>
      <c r="D762" s="81"/>
      <c r="E762" s="620"/>
      <c r="F762" s="620"/>
      <c r="G762" s="620"/>
      <c r="H762" s="94"/>
      <c r="I762" s="81"/>
      <c r="J762" s="35"/>
      <c r="K762" s="36"/>
      <c r="L762" s="36"/>
      <c r="M762" s="36"/>
      <c r="N762" s="36"/>
      <c r="O762" s="36"/>
      <c r="P762" s="36"/>
      <c r="Q762" s="36"/>
      <c r="R762" s="36"/>
      <c r="S762" s="36"/>
      <c r="T762" s="36"/>
      <c r="U762" s="36"/>
      <c r="V762" s="36"/>
      <c r="W762" s="36"/>
      <c r="X762" s="36"/>
      <c r="Y762" s="36"/>
      <c r="Z762" s="36"/>
      <c r="AA762" s="36"/>
      <c r="AB762" s="36"/>
      <c r="AC762" s="36"/>
    </row>
    <row r="763" spans="1:29" ht="48" customHeight="1">
      <c r="A763" s="81"/>
      <c r="B763" s="81"/>
      <c r="C763" s="81"/>
      <c r="D763" s="81"/>
      <c r="E763" s="620"/>
      <c r="F763" s="620"/>
      <c r="G763" s="620"/>
      <c r="H763" s="94"/>
      <c r="I763" s="81"/>
      <c r="J763" s="35"/>
      <c r="K763" s="36"/>
      <c r="L763" s="36"/>
      <c r="M763" s="36"/>
      <c r="N763" s="36"/>
      <c r="O763" s="36"/>
      <c r="P763" s="36"/>
      <c r="Q763" s="36"/>
      <c r="R763" s="36"/>
      <c r="S763" s="36"/>
      <c r="T763" s="36"/>
      <c r="U763" s="36"/>
      <c r="V763" s="36"/>
      <c r="W763" s="36"/>
      <c r="X763" s="36"/>
      <c r="Y763" s="36"/>
      <c r="Z763" s="36"/>
      <c r="AA763" s="36"/>
      <c r="AB763" s="36"/>
      <c r="AC763" s="36"/>
    </row>
    <row r="764" spans="1:29" ht="24" customHeight="1">
      <c r="A764" s="81"/>
      <c r="B764" s="81"/>
      <c r="C764" s="81"/>
      <c r="D764" s="81"/>
      <c r="E764" s="620"/>
      <c r="F764" s="620"/>
      <c r="G764" s="620"/>
      <c r="H764" s="94"/>
      <c r="I764" s="81"/>
      <c r="J764" s="35"/>
      <c r="K764" s="36"/>
      <c r="L764" s="36"/>
      <c r="M764" s="36"/>
      <c r="N764" s="36"/>
      <c r="O764" s="36"/>
      <c r="P764" s="36"/>
      <c r="Q764" s="36"/>
      <c r="R764" s="36"/>
      <c r="S764" s="36"/>
      <c r="T764" s="36"/>
      <c r="U764" s="36"/>
      <c r="V764" s="36"/>
      <c r="W764" s="36"/>
      <c r="X764" s="36"/>
      <c r="Y764" s="36"/>
      <c r="Z764" s="36"/>
      <c r="AA764" s="36"/>
      <c r="AB764" s="36"/>
      <c r="AC764" s="36"/>
    </row>
    <row r="765" spans="1:29" ht="36" customHeight="1">
      <c r="A765" s="81"/>
      <c r="B765" s="81"/>
      <c r="C765" s="81"/>
      <c r="D765" s="81"/>
      <c r="E765" s="620"/>
      <c r="F765" s="620"/>
      <c r="G765" s="620"/>
      <c r="H765" s="94"/>
      <c r="I765" s="81"/>
      <c r="J765" s="35"/>
      <c r="K765" s="36"/>
      <c r="L765" s="36"/>
      <c r="M765" s="36"/>
      <c r="N765" s="36"/>
      <c r="O765" s="36"/>
      <c r="P765" s="36"/>
      <c r="Q765" s="36"/>
      <c r="R765" s="36"/>
      <c r="S765" s="36"/>
      <c r="T765" s="36"/>
      <c r="U765" s="36"/>
      <c r="V765" s="36"/>
      <c r="W765" s="36"/>
      <c r="X765" s="36"/>
      <c r="Y765" s="36"/>
      <c r="Z765" s="36"/>
      <c r="AA765" s="36"/>
      <c r="AB765" s="36"/>
      <c r="AC765" s="36"/>
    </row>
    <row r="766" spans="1:29" ht="36" customHeight="1">
      <c r="A766" s="81"/>
      <c r="B766" s="81"/>
      <c r="C766" s="81"/>
      <c r="D766" s="81"/>
      <c r="E766" s="620"/>
      <c r="F766" s="620"/>
      <c r="G766" s="620"/>
      <c r="H766" s="94"/>
      <c r="I766" s="81"/>
      <c r="J766" s="35"/>
      <c r="K766" s="36"/>
      <c r="L766" s="36"/>
      <c r="M766" s="36"/>
      <c r="N766" s="36"/>
      <c r="O766" s="36"/>
      <c r="P766" s="36"/>
      <c r="Q766" s="36"/>
      <c r="R766" s="36"/>
      <c r="S766" s="36"/>
      <c r="T766" s="36"/>
      <c r="U766" s="36"/>
      <c r="V766" s="36"/>
      <c r="W766" s="36"/>
      <c r="X766" s="36"/>
      <c r="Y766" s="36"/>
      <c r="Z766" s="36"/>
      <c r="AA766" s="36"/>
      <c r="AB766" s="36"/>
      <c r="AC766" s="36"/>
    </row>
    <row r="767" spans="1:29" ht="48" customHeight="1">
      <c r="A767" s="81"/>
      <c r="B767" s="81"/>
      <c r="C767" s="81"/>
      <c r="D767" s="81"/>
      <c r="E767" s="620"/>
      <c r="F767" s="620"/>
      <c r="G767" s="620"/>
      <c r="H767" s="634"/>
      <c r="I767" s="95"/>
      <c r="J767" s="35"/>
      <c r="K767" s="36"/>
      <c r="L767" s="36"/>
      <c r="M767" s="36"/>
      <c r="N767" s="36"/>
      <c r="O767" s="36"/>
      <c r="P767" s="36"/>
      <c r="Q767" s="36"/>
      <c r="R767" s="36"/>
      <c r="S767" s="36"/>
      <c r="T767" s="36"/>
      <c r="U767" s="36"/>
      <c r="V767" s="36"/>
      <c r="W767" s="36"/>
      <c r="X767" s="36"/>
      <c r="Y767" s="36"/>
      <c r="Z767" s="36"/>
      <c r="AA767" s="36"/>
      <c r="AB767" s="36"/>
      <c r="AC767" s="36"/>
    </row>
    <row r="768" spans="1:29" ht="24" customHeight="1">
      <c r="A768" s="81"/>
      <c r="B768" s="94"/>
      <c r="C768" s="81"/>
      <c r="D768" s="81"/>
      <c r="E768" s="620"/>
      <c r="F768" s="620"/>
      <c r="G768" s="620"/>
      <c r="H768" s="94"/>
      <c r="I768" s="81"/>
      <c r="J768" s="35"/>
      <c r="K768" s="36"/>
      <c r="L768" s="36"/>
      <c r="M768" s="36"/>
      <c r="N768" s="36"/>
      <c r="O768" s="36"/>
      <c r="P768" s="36"/>
      <c r="Q768" s="36"/>
      <c r="R768" s="36"/>
      <c r="S768" s="36"/>
      <c r="T768" s="36"/>
      <c r="U768" s="36"/>
      <c r="V768" s="36"/>
      <c r="W768" s="36"/>
      <c r="X768" s="36"/>
      <c r="Y768" s="36"/>
      <c r="Z768" s="36"/>
      <c r="AA768" s="36"/>
      <c r="AB768" s="36"/>
      <c r="AC768" s="36"/>
    </row>
    <row r="769" spans="1:29" ht="36" customHeight="1">
      <c r="A769" s="81"/>
      <c r="B769" s="94"/>
      <c r="C769" s="81"/>
      <c r="D769" s="81"/>
      <c r="E769" s="620"/>
      <c r="F769" s="620"/>
      <c r="G769" s="620"/>
      <c r="H769" s="94"/>
      <c r="I769" s="81"/>
      <c r="J769" s="35"/>
      <c r="K769" s="36"/>
      <c r="L769" s="36"/>
      <c r="M769" s="36"/>
      <c r="N769" s="36"/>
      <c r="O769" s="36"/>
      <c r="P769" s="36"/>
      <c r="Q769" s="36"/>
      <c r="R769" s="36"/>
      <c r="S769" s="36"/>
      <c r="T769" s="36"/>
      <c r="U769" s="36"/>
      <c r="V769" s="36"/>
      <c r="W769" s="36"/>
      <c r="X769" s="36"/>
      <c r="Y769" s="36"/>
      <c r="Z769" s="36"/>
      <c r="AA769" s="36"/>
      <c r="AB769" s="36"/>
      <c r="AC769" s="36"/>
    </row>
    <row r="770" spans="1:29" ht="24" customHeight="1">
      <c r="A770" s="81"/>
      <c r="B770" s="94"/>
      <c r="C770" s="81"/>
      <c r="D770" s="81"/>
      <c r="E770" s="620"/>
      <c r="F770" s="620"/>
      <c r="G770" s="620"/>
      <c r="H770" s="94"/>
      <c r="I770" s="81"/>
      <c r="J770" s="35"/>
      <c r="K770" s="36"/>
      <c r="L770" s="36"/>
      <c r="M770" s="36"/>
      <c r="N770" s="36"/>
      <c r="O770" s="36"/>
      <c r="P770" s="36"/>
      <c r="Q770" s="36"/>
      <c r="R770" s="36"/>
      <c r="S770" s="36"/>
      <c r="T770" s="36"/>
      <c r="U770" s="36"/>
      <c r="V770" s="36"/>
      <c r="W770" s="36"/>
      <c r="X770" s="36"/>
      <c r="Y770" s="36"/>
      <c r="Z770" s="36"/>
      <c r="AA770" s="36"/>
      <c r="AB770" s="36"/>
      <c r="AC770" s="36"/>
    </row>
    <row r="771" spans="1:29" ht="24" customHeight="1">
      <c r="A771" s="81"/>
      <c r="B771" s="94"/>
      <c r="C771" s="81"/>
      <c r="D771" s="81"/>
      <c r="E771" s="620"/>
      <c r="F771" s="620"/>
      <c r="G771" s="620"/>
      <c r="H771" s="94"/>
      <c r="I771" s="81"/>
      <c r="J771" s="35"/>
      <c r="K771" s="36"/>
      <c r="L771" s="36"/>
      <c r="M771" s="36"/>
      <c r="N771" s="36"/>
      <c r="O771" s="36"/>
      <c r="P771" s="36"/>
      <c r="Q771" s="36"/>
      <c r="R771" s="36"/>
      <c r="S771" s="36"/>
      <c r="T771" s="36"/>
      <c r="U771" s="36"/>
      <c r="V771" s="36"/>
      <c r="W771" s="36"/>
      <c r="X771" s="36"/>
      <c r="Y771" s="36"/>
      <c r="Z771" s="36"/>
      <c r="AA771" s="36"/>
      <c r="AB771" s="36"/>
      <c r="AC771" s="36"/>
    </row>
    <row r="772" spans="1:29" ht="36" customHeight="1">
      <c r="A772" s="81"/>
      <c r="B772" s="94"/>
      <c r="C772" s="81"/>
      <c r="D772" s="81"/>
      <c r="E772" s="620"/>
      <c r="F772" s="620"/>
      <c r="G772" s="620"/>
      <c r="H772" s="94"/>
      <c r="I772" s="81"/>
      <c r="J772" s="35"/>
      <c r="K772" s="36"/>
      <c r="L772" s="36"/>
      <c r="M772" s="36"/>
      <c r="N772" s="36"/>
      <c r="O772" s="36"/>
      <c r="P772" s="36"/>
      <c r="Q772" s="36"/>
      <c r="R772" s="36"/>
      <c r="S772" s="36"/>
      <c r="T772" s="36"/>
      <c r="U772" s="36"/>
      <c r="V772" s="36"/>
      <c r="W772" s="36"/>
      <c r="X772" s="36"/>
      <c r="Y772" s="36"/>
      <c r="Z772" s="36"/>
      <c r="AA772" s="36"/>
      <c r="AB772" s="36"/>
      <c r="AC772" s="36"/>
    </row>
    <row r="773" spans="1:29" ht="15" customHeight="1">
      <c r="A773" s="81"/>
      <c r="B773" s="94"/>
      <c r="C773" s="81"/>
      <c r="D773" s="81"/>
      <c r="E773" s="620"/>
      <c r="F773" s="620"/>
      <c r="G773" s="620"/>
      <c r="H773" s="94"/>
      <c r="I773" s="81"/>
      <c r="J773" s="35"/>
      <c r="K773" s="36"/>
      <c r="L773" s="36"/>
      <c r="M773" s="36"/>
      <c r="N773" s="36"/>
      <c r="O773" s="36"/>
      <c r="P773" s="36"/>
      <c r="Q773" s="36"/>
      <c r="R773" s="36"/>
      <c r="S773" s="36"/>
      <c r="T773" s="36"/>
      <c r="U773" s="36"/>
      <c r="V773" s="36"/>
      <c r="W773" s="36"/>
      <c r="X773" s="36"/>
      <c r="Y773" s="36"/>
      <c r="Z773" s="36"/>
      <c r="AA773" s="36"/>
      <c r="AB773" s="36"/>
      <c r="AC773" s="36"/>
    </row>
    <row r="774" spans="1:29" ht="72" customHeight="1">
      <c r="A774" s="81"/>
      <c r="B774" s="94"/>
      <c r="C774" s="81"/>
      <c r="D774" s="81"/>
      <c r="E774" s="620"/>
      <c r="F774" s="620"/>
      <c r="G774" s="620"/>
      <c r="H774" s="94"/>
      <c r="I774" s="81"/>
      <c r="J774" s="35"/>
      <c r="K774" s="36"/>
      <c r="L774" s="36"/>
      <c r="M774" s="36"/>
      <c r="N774" s="36"/>
      <c r="O774" s="36"/>
      <c r="P774" s="36"/>
      <c r="Q774" s="36"/>
      <c r="R774" s="36"/>
      <c r="S774" s="36"/>
      <c r="T774" s="36"/>
      <c r="U774" s="36"/>
      <c r="V774" s="36"/>
      <c r="W774" s="36"/>
      <c r="X774" s="36"/>
      <c r="Y774" s="36"/>
      <c r="Z774" s="36"/>
      <c r="AA774" s="36"/>
      <c r="AB774" s="36"/>
      <c r="AC774" s="36"/>
    </row>
    <row r="775" spans="1:29" ht="24" customHeight="1">
      <c r="A775" s="81"/>
      <c r="B775" s="94"/>
      <c r="C775" s="81"/>
      <c r="D775" s="81"/>
      <c r="E775" s="620"/>
      <c r="F775" s="620"/>
      <c r="G775" s="620"/>
      <c r="H775" s="94"/>
      <c r="I775" s="81"/>
      <c r="J775" s="35"/>
      <c r="K775" s="36"/>
      <c r="L775" s="36"/>
      <c r="M775" s="36"/>
      <c r="N775" s="36"/>
      <c r="O775" s="36"/>
      <c r="P775" s="36"/>
      <c r="Q775" s="36"/>
      <c r="R775" s="36"/>
      <c r="S775" s="36"/>
      <c r="T775" s="36"/>
      <c r="U775" s="36"/>
      <c r="V775" s="36"/>
      <c r="W775" s="36"/>
      <c r="X775" s="36"/>
      <c r="Y775" s="36"/>
      <c r="Z775" s="36"/>
      <c r="AA775" s="36"/>
      <c r="AB775" s="36"/>
      <c r="AC775" s="36"/>
    </row>
    <row r="776" spans="1:29" ht="24" customHeight="1">
      <c r="A776" s="81"/>
      <c r="B776" s="94"/>
      <c r="C776" s="81"/>
      <c r="D776" s="81"/>
      <c r="E776" s="620"/>
      <c r="F776" s="620"/>
      <c r="G776" s="620"/>
      <c r="H776" s="94"/>
      <c r="I776" s="81"/>
      <c r="J776" s="35"/>
      <c r="K776" s="36"/>
      <c r="L776" s="36"/>
      <c r="M776" s="36"/>
      <c r="N776" s="36"/>
      <c r="O776" s="36"/>
      <c r="P776" s="36"/>
      <c r="Q776" s="36"/>
      <c r="R776" s="36"/>
      <c r="S776" s="36"/>
      <c r="T776" s="36"/>
      <c r="U776" s="36"/>
      <c r="V776" s="36"/>
      <c r="W776" s="36"/>
      <c r="X776" s="36"/>
      <c r="Y776" s="36"/>
      <c r="Z776" s="36"/>
      <c r="AA776" s="36"/>
      <c r="AB776" s="36"/>
      <c r="AC776" s="36"/>
    </row>
    <row r="777" spans="1:29" ht="12" customHeight="1">
      <c r="A777" s="81"/>
      <c r="B777" s="94"/>
      <c r="C777" s="81"/>
      <c r="D777" s="81"/>
      <c r="E777" s="620"/>
      <c r="F777" s="620"/>
      <c r="G777" s="620"/>
      <c r="H777" s="94"/>
      <c r="I777" s="81"/>
      <c r="J777" s="35"/>
      <c r="K777" s="36"/>
      <c r="L777" s="36"/>
      <c r="M777" s="36"/>
      <c r="N777" s="36"/>
      <c r="O777" s="36"/>
      <c r="P777" s="36"/>
      <c r="Q777" s="36"/>
      <c r="R777" s="36"/>
      <c r="S777" s="36"/>
      <c r="T777" s="36"/>
      <c r="U777" s="36"/>
      <c r="V777" s="36"/>
      <c r="W777" s="36"/>
      <c r="X777" s="36"/>
      <c r="Y777" s="36"/>
      <c r="Z777" s="36"/>
      <c r="AA777" s="36"/>
      <c r="AB777" s="36"/>
      <c r="AC777" s="36"/>
    </row>
    <row r="778" spans="1:29" ht="12" customHeight="1">
      <c r="A778" s="81"/>
      <c r="B778" s="94"/>
      <c r="C778" s="81"/>
      <c r="D778" s="81"/>
      <c r="E778" s="620"/>
      <c r="F778" s="620"/>
      <c r="G778" s="620"/>
      <c r="H778" s="94"/>
      <c r="I778" s="81"/>
      <c r="J778" s="35"/>
      <c r="K778" s="36"/>
      <c r="L778" s="36"/>
      <c r="M778" s="36"/>
      <c r="N778" s="36"/>
      <c r="O778" s="36"/>
      <c r="P778" s="36"/>
      <c r="Q778" s="36"/>
      <c r="R778" s="36"/>
      <c r="S778" s="36"/>
      <c r="T778" s="36"/>
      <c r="U778" s="36"/>
      <c r="V778" s="36"/>
      <c r="W778" s="36"/>
      <c r="X778" s="36"/>
      <c r="Y778" s="36"/>
      <c r="Z778" s="36"/>
      <c r="AA778" s="36"/>
      <c r="AB778" s="36"/>
      <c r="AC778" s="36"/>
    </row>
    <row r="779" spans="1:29" ht="24" customHeight="1">
      <c r="A779" s="619"/>
      <c r="B779" s="94"/>
      <c r="C779" s="81"/>
      <c r="D779" s="81"/>
      <c r="E779" s="620"/>
      <c r="F779" s="620"/>
      <c r="G779" s="620"/>
      <c r="H779" s="94"/>
      <c r="I779" s="81"/>
      <c r="J779" s="35"/>
      <c r="K779" s="36"/>
      <c r="L779" s="36"/>
      <c r="M779" s="36"/>
      <c r="N779" s="36"/>
      <c r="O779" s="36"/>
      <c r="P779" s="36"/>
      <c r="Q779" s="36"/>
      <c r="R779" s="36"/>
      <c r="S779" s="36"/>
      <c r="T779" s="36"/>
      <c r="U779" s="36"/>
      <c r="V779" s="36"/>
      <c r="W779" s="36"/>
      <c r="X779" s="36"/>
      <c r="Y779" s="36"/>
      <c r="Z779" s="36"/>
      <c r="AA779" s="36"/>
      <c r="AB779" s="36"/>
      <c r="AC779" s="36"/>
    </row>
    <row r="780" spans="1:29" ht="132" customHeight="1">
      <c r="A780" s="81"/>
      <c r="B780" s="94"/>
      <c r="C780" s="81"/>
      <c r="D780" s="81"/>
      <c r="E780" s="620"/>
      <c r="F780" s="620"/>
      <c r="G780" s="620"/>
      <c r="H780" s="94"/>
      <c r="I780" s="81"/>
      <c r="J780" s="35"/>
      <c r="K780" s="36"/>
      <c r="L780" s="36"/>
      <c r="M780" s="36"/>
      <c r="N780" s="36"/>
      <c r="O780" s="36"/>
      <c r="P780" s="36"/>
      <c r="Q780" s="36"/>
      <c r="R780" s="36"/>
      <c r="S780" s="36"/>
      <c r="T780" s="36"/>
      <c r="U780" s="36"/>
      <c r="V780" s="36"/>
      <c r="W780" s="36"/>
      <c r="X780" s="36"/>
      <c r="Y780" s="36"/>
      <c r="Z780" s="36"/>
      <c r="AA780" s="36"/>
      <c r="AB780" s="36"/>
      <c r="AC780" s="36"/>
    </row>
    <row r="781" spans="1:29" ht="24" customHeight="1">
      <c r="A781" s="81"/>
      <c r="B781" s="94"/>
      <c r="C781" s="81"/>
      <c r="D781" s="81"/>
      <c r="E781" s="620"/>
      <c r="F781" s="620"/>
      <c r="G781" s="620"/>
      <c r="H781" s="94"/>
      <c r="I781" s="81"/>
      <c r="J781" s="35"/>
      <c r="K781" s="36"/>
      <c r="L781" s="36"/>
      <c r="M781" s="36"/>
      <c r="N781" s="36"/>
      <c r="O781" s="36"/>
      <c r="P781" s="36"/>
      <c r="Q781" s="36"/>
      <c r="R781" s="36"/>
      <c r="S781" s="36"/>
      <c r="T781" s="36"/>
      <c r="U781" s="36"/>
      <c r="V781" s="36"/>
      <c r="W781" s="36"/>
      <c r="X781" s="36"/>
      <c r="Y781" s="36"/>
      <c r="Z781" s="36"/>
      <c r="AA781" s="36"/>
      <c r="AB781" s="36"/>
      <c r="AC781" s="36"/>
    </row>
    <row r="782" spans="1:29" ht="156" customHeight="1">
      <c r="A782" s="81"/>
      <c r="B782" s="94"/>
      <c r="C782" s="94"/>
      <c r="D782" s="81"/>
      <c r="E782" s="620"/>
      <c r="F782" s="620"/>
      <c r="G782" s="620"/>
      <c r="H782" s="94"/>
      <c r="I782" s="81"/>
      <c r="J782" s="35"/>
      <c r="K782" s="36"/>
      <c r="L782" s="36"/>
      <c r="M782" s="36"/>
      <c r="N782" s="36"/>
      <c r="O782" s="36"/>
      <c r="P782" s="36"/>
      <c r="Q782" s="36"/>
      <c r="R782" s="36"/>
      <c r="S782" s="36"/>
      <c r="T782" s="36"/>
      <c r="U782" s="36"/>
      <c r="V782" s="36"/>
      <c r="W782" s="36"/>
      <c r="X782" s="36"/>
      <c r="Y782" s="36"/>
      <c r="Z782" s="36"/>
      <c r="AA782" s="36"/>
      <c r="AB782" s="36"/>
      <c r="AC782" s="36"/>
    </row>
    <row r="783" spans="1:29" ht="96" customHeight="1">
      <c r="A783" s="81"/>
      <c r="B783" s="94"/>
      <c r="C783" s="81"/>
      <c r="D783" s="81"/>
      <c r="E783" s="620"/>
      <c r="F783" s="620"/>
      <c r="G783" s="620"/>
      <c r="H783" s="94"/>
      <c r="I783" s="81"/>
      <c r="J783" s="35"/>
      <c r="K783" s="36"/>
      <c r="L783" s="36"/>
      <c r="M783" s="36"/>
      <c r="N783" s="36"/>
      <c r="O783" s="36"/>
      <c r="P783" s="36"/>
      <c r="Q783" s="36"/>
      <c r="R783" s="36"/>
      <c r="S783" s="36"/>
      <c r="T783" s="36"/>
      <c r="U783" s="36"/>
      <c r="V783" s="36"/>
      <c r="W783" s="36"/>
      <c r="X783" s="36"/>
      <c r="Y783" s="36"/>
      <c r="Z783" s="36"/>
      <c r="AA783" s="36"/>
      <c r="AB783" s="36"/>
      <c r="AC783" s="36"/>
    </row>
    <row r="784" spans="1:29" ht="156" customHeight="1">
      <c r="A784" s="81"/>
      <c r="B784" s="634"/>
      <c r="C784" s="95"/>
      <c r="D784" s="81"/>
      <c r="E784" s="620"/>
      <c r="F784" s="620"/>
      <c r="G784" s="620"/>
      <c r="H784" s="94"/>
      <c r="I784" s="81"/>
      <c r="J784" s="35"/>
      <c r="K784" s="36"/>
      <c r="L784" s="36"/>
      <c r="M784" s="36"/>
      <c r="N784" s="36"/>
      <c r="O784" s="36"/>
      <c r="P784" s="36"/>
      <c r="Q784" s="36"/>
      <c r="R784" s="36"/>
      <c r="S784" s="36"/>
      <c r="T784" s="36"/>
      <c r="U784" s="36"/>
      <c r="V784" s="36"/>
      <c r="W784" s="36"/>
      <c r="X784" s="36"/>
      <c r="Y784" s="36"/>
      <c r="Z784" s="36"/>
      <c r="AA784" s="36"/>
      <c r="AB784" s="36"/>
      <c r="AC784" s="36"/>
    </row>
    <row r="785" spans="1:29" ht="216" customHeight="1">
      <c r="A785" s="81"/>
      <c r="B785" s="94"/>
      <c r="C785" s="81"/>
      <c r="D785" s="81"/>
      <c r="E785" s="620"/>
      <c r="F785" s="620"/>
      <c r="G785" s="620"/>
      <c r="H785" s="94"/>
      <c r="I785" s="81"/>
      <c r="J785" s="35"/>
      <c r="K785" s="36"/>
      <c r="L785" s="36"/>
      <c r="M785" s="36"/>
      <c r="N785" s="36"/>
      <c r="O785" s="36"/>
      <c r="P785" s="36"/>
      <c r="Q785" s="36"/>
      <c r="R785" s="36"/>
      <c r="S785" s="36"/>
      <c r="T785" s="36"/>
      <c r="U785" s="36"/>
      <c r="V785" s="36"/>
      <c r="W785" s="36"/>
      <c r="X785" s="36"/>
      <c r="Y785" s="36"/>
      <c r="Z785" s="36"/>
      <c r="AA785" s="36"/>
      <c r="AB785" s="36"/>
      <c r="AC785" s="36"/>
    </row>
    <row r="786" spans="1:29" ht="240" customHeight="1">
      <c r="A786" s="81"/>
      <c r="B786" s="94"/>
      <c r="C786" s="81"/>
      <c r="D786" s="81"/>
      <c r="E786" s="620"/>
      <c r="F786" s="620"/>
      <c r="G786" s="620"/>
      <c r="H786" s="94"/>
      <c r="I786" s="81"/>
      <c r="J786" s="35"/>
      <c r="K786" s="36"/>
      <c r="L786" s="36"/>
      <c r="M786" s="36"/>
      <c r="N786" s="36"/>
      <c r="O786" s="36"/>
      <c r="P786" s="36"/>
      <c r="Q786" s="36"/>
      <c r="R786" s="36"/>
      <c r="S786" s="36"/>
      <c r="T786" s="36"/>
      <c r="U786" s="36"/>
      <c r="V786" s="36"/>
      <c r="W786" s="36"/>
      <c r="X786" s="36"/>
      <c r="Y786" s="36"/>
      <c r="Z786" s="36"/>
      <c r="AA786" s="36"/>
      <c r="AB786" s="36"/>
      <c r="AC786" s="36"/>
    </row>
    <row r="787" spans="1:29" ht="192" customHeight="1">
      <c r="A787" s="81"/>
      <c r="B787" s="634"/>
      <c r="C787" s="81"/>
      <c r="D787" s="81"/>
      <c r="E787" s="620"/>
      <c r="F787" s="620"/>
      <c r="G787" s="620"/>
      <c r="H787" s="94"/>
      <c r="I787" s="81"/>
      <c r="J787" s="35"/>
      <c r="K787" s="36"/>
      <c r="L787" s="36"/>
      <c r="M787" s="36"/>
      <c r="N787" s="36"/>
      <c r="O787" s="36"/>
      <c r="P787" s="36"/>
      <c r="Q787" s="36"/>
      <c r="R787" s="36"/>
      <c r="S787" s="36"/>
      <c r="T787" s="36"/>
      <c r="U787" s="36"/>
      <c r="V787" s="36"/>
      <c r="W787" s="36"/>
      <c r="X787" s="36"/>
      <c r="Y787" s="36"/>
      <c r="Z787" s="36"/>
      <c r="AA787" s="36"/>
      <c r="AB787" s="36"/>
      <c r="AC787" s="36"/>
    </row>
    <row r="788" spans="1:29" ht="24" customHeight="1">
      <c r="A788" s="619"/>
      <c r="B788" s="94"/>
      <c r="C788" s="81"/>
      <c r="D788" s="81"/>
      <c r="E788" s="620"/>
      <c r="F788" s="620"/>
      <c r="G788" s="620"/>
      <c r="H788" s="94"/>
      <c r="I788" s="81"/>
      <c r="J788" s="35"/>
      <c r="K788" s="36"/>
      <c r="L788" s="36"/>
      <c r="M788" s="36"/>
      <c r="N788" s="36"/>
      <c r="O788" s="36"/>
      <c r="P788" s="36"/>
      <c r="Q788" s="36"/>
      <c r="R788" s="36"/>
      <c r="S788" s="36"/>
      <c r="T788" s="36"/>
      <c r="U788" s="36"/>
      <c r="V788" s="36"/>
      <c r="W788" s="36"/>
      <c r="X788" s="36"/>
      <c r="Y788" s="36"/>
      <c r="Z788" s="36"/>
      <c r="AA788" s="36"/>
      <c r="AB788" s="36"/>
      <c r="AC788" s="36"/>
    </row>
    <row r="789" spans="1:29" ht="108" customHeight="1">
      <c r="A789" s="81"/>
      <c r="B789" s="81"/>
      <c r="C789" s="81"/>
      <c r="D789" s="81"/>
      <c r="E789" s="620"/>
      <c r="F789" s="620"/>
      <c r="G789" s="620"/>
      <c r="H789" s="94"/>
      <c r="I789" s="81"/>
      <c r="J789" s="35"/>
      <c r="K789" s="36"/>
      <c r="L789" s="36"/>
      <c r="M789" s="36"/>
      <c r="N789" s="36"/>
      <c r="O789" s="36"/>
      <c r="P789" s="36"/>
      <c r="Q789" s="36"/>
      <c r="R789" s="36"/>
      <c r="S789" s="36"/>
      <c r="T789" s="36"/>
      <c r="U789" s="36"/>
      <c r="V789" s="36"/>
      <c r="W789" s="36"/>
      <c r="X789" s="36"/>
      <c r="Y789" s="36"/>
      <c r="Z789" s="36"/>
      <c r="AA789" s="36"/>
      <c r="AB789" s="36"/>
      <c r="AC789" s="36"/>
    </row>
    <row r="790" spans="1:29" ht="409.5" customHeight="1">
      <c r="A790" s="81"/>
      <c r="B790" s="94"/>
      <c r="C790" s="81"/>
      <c r="D790" s="81"/>
      <c r="E790" s="620"/>
      <c r="F790" s="620"/>
      <c r="G790" s="620"/>
      <c r="H790" s="94"/>
      <c r="I790" s="81"/>
      <c r="J790" s="35"/>
      <c r="K790" s="36"/>
      <c r="L790" s="36"/>
      <c r="M790" s="36"/>
      <c r="N790" s="36"/>
      <c r="O790" s="36"/>
      <c r="P790" s="36"/>
      <c r="Q790" s="36"/>
      <c r="R790" s="36"/>
      <c r="S790" s="36"/>
      <c r="T790" s="36"/>
      <c r="U790" s="36"/>
      <c r="V790" s="36"/>
      <c r="W790" s="36"/>
      <c r="X790" s="36"/>
      <c r="Y790" s="36"/>
      <c r="Z790" s="36"/>
      <c r="AA790" s="36"/>
      <c r="AB790" s="36"/>
      <c r="AC790" s="36"/>
    </row>
    <row r="791" spans="1:29" ht="168" customHeight="1">
      <c r="A791" s="81"/>
      <c r="B791" s="81"/>
      <c r="C791" s="81"/>
      <c r="D791" s="81"/>
      <c r="E791" s="620"/>
      <c r="F791" s="620"/>
      <c r="G791" s="620"/>
      <c r="H791" s="94"/>
      <c r="I791" s="81"/>
      <c r="J791" s="35"/>
      <c r="K791" s="36"/>
      <c r="L791" s="36"/>
      <c r="M791" s="36"/>
      <c r="N791" s="36"/>
      <c r="O791" s="36"/>
      <c r="P791" s="36"/>
      <c r="Q791" s="36"/>
      <c r="R791" s="36"/>
      <c r="S791" s="36"/>
      <c r="T791" s="36"/>
      <c r="U791" s="36"/>
      <c r="V791" s="36"/>
      <c r="W791" s="36"/>
      <c r="X791" s="36"/>
      <c r="Y791" s="36"/>
      <c r="Z791" s="36"/>
      <c r="AA791" s="36"/>
      <c r="AB791" s="36"/>
      <c r="AC791" s="36"/>
    </row>
    <row r="792" spans="1:29" ht="276" customHeight="1">
      <c r="A792" s="81"/>
      <c r="B792" s="81"/>
      <c r="C792" s="81"/>
      <c r="D792" s="81"/>
      <c r="E792" s="620"/>
      <c r="F792" s="620"/>
      <c r="G792" s="620"/>
      <c r="H792" s="94"/>
      <c r="I792" s="81"/>
      <c r="J792" s="35"/>
      <c r="K792" s="36"/>
      <c r="L792" s="36"/>
      <c r="M792" s="36"/>
      <c r="N792" s="36"/>
      <c r="O792" s="36"/>
      <c r="P792" s="36"/>
      <c r="Q792" s="36"/>
      <c r="R792" s="36"/>
      <c r="S792" s="36"/>
      <c r="T792" s="36"/>
      <c r="U792" s="36"/>
      <c r="V792" s="36"/>
      <c r="W792" s="36"/>
      <c r="X792" s="36"/>
      <c r="Y792" s="36"/>
      <c r="Z792" s="36"/>
      <c r="AA792" s="36"/>
      <c r="AB792" s="36"/>
      <c r="AC792" s="36"/>
    </row>
    <row r="793" spans="1:29" ht="180" customHeight="1">
      <c r="A793" s="81"/>
      <c r="B793" s="81"/>
      <c r="C793" s="81"/>
      <c r="D793" s="81"/>
      <c r="E793" s="620"/>
      <c r="F793" s="620"/>
      <c r="G793" s="620"/>
      <c r="H793" s="94"/>
      <c r="I793" s="81"/>
      <c r="J793" s="35"/>
      <c r="K793" s="36"/>
      <c r="L793" s="36"/>
      <c r="M793" s="36"/>
      <c r="N793" s="36"/>
      <c r="O793" s="36"/>
      <c r="P793" s="36"/>
      <c r="Q793" s="36"/>
      <c r="R793" s="36"/>
      <c r="S793" s="36"/>
      <c r="T793" s="36"/>
      <c r="U793" s="36"/>
      <c r="V793" s="36"/>
      <c r="W793" s="36"/>
      <c r="X793" s="36"/>
      <c r="Y793" s="36"/>
      <c r="Z793" s="36"/>
      <c r="AA793" s="36"/>
      <c r="AB793" s="36"/>
      <c r="AC793" s="36"/>
    </row>
    <row r="794" spans="1:29" ht="168" customHeight="1">
      <c r="A794" s="476"/>
      <c r="B794" s="81"/>
      <c r="C794" s="81"/>
      <c r="D794" s="100"/>
      <c r="E794" s="627"/>
      <c r="F794" s="627"/>
      <c r="G794" s="627"/>
      <c r="H794" s="463"/>
      <c r="I794" s="81"/>
      <c r="J794" s="35"/>
      <c r="K794" s="36"/>
      <c r="L794" s="36"/>
      <c r="M794" s="36"/>
      <c r="N794" s="36"/>
      <c r="O794" s="36"/>
      <c r="P794" s="36"/>
      <c r="Q794" s="36"/>
      <c r="R794" s="36"/>
      <c r="S794" s="36"/>
      <c r="T794" s="36"/>
      <c r="U794" s="36"/>
      <c r="V794" s="36"/>
      <c r="W794" s="36"/>
      <c r="X794" s="36"/>
      <c r="Y794" s="36"/>
      <c r="Z794" s="36"/>
      <c r="AA794" s="36"/>
      <c r="AB794" s="36"/>
      <c r="AC794" s="36"/>
    </row>
    <row r="795" spans="1:29" ht="132" customHeight="1">
      <c r="A795" s="81"/>
      <c r="B795" s="81"/>
      <c r="C795" s="81"/>
      <c r="D795" s="81"/>
      <c r="E795" s="620"/>
      <c r="F795" s="620"/>
      <c r="G795" s="620"/>
      <c r="H795" s="94"/>
      <c r="I795" s="81"/>
      <c r="J795" s="35"/>
      <c r="K795" s="36"/>
      <c r="L795" s="36"/>
      <c r="M795" s="36"/>
      <c r="N795" s="36"/>
      <c r="O795" s="36"/>
      <c r="P795" s="36"/>
      <c r="Q795" s="36"/>
      <c r="R795" s="36"/>
      <c r="S795" s="36"/>
      <c r="T795" s="36"/>
      <c r="U795" s="36"/>
      <c r="V795" s="36"/>
      <c r="W795" s="36"/>
      <c r="X795" s="36"/>
      <c r="Y795" s="36"/>
      <c r="Z795" s="36"/>
      <c r="AA795" s="36"/>
      <c r="AB795" s="36"/>
      <c r="AC795" s="36"/>
    </row>
    <row r="796" spans="1:29" ht="108" customHeight="1">
      <c r="A796" s="81"/>
      <c r="B796" s="81"/>
      <c r="C796" s="81"/>
      <c r="D796" s="81"/>
      <c r="E796" s="620"/>
      <c r="F796" s="620"/>
      <c r="G796" s="620"/>
      <c r="H796" s="94"/>
      <c r="I796" s="81"/>
      <c r="J796" s="35"/>
      <c r="K796" s="36"/>
      <c r="L796" s="36"/>
      <c r="M796" s="36"/>
      <c r="N796" s="36"/>
      <c r="O796" s="36"/>
      <c r="P796" s="36"/>
      <c r="Q796" s="36"/>
      <c r="R796" s="36"/>
      <c r="S796" s="36"/>
      <c r="T796" s="36"/>
      <c r="U796" s="36"/>
      <c r="V796" s="36"/>
      <c r="W796" s="36"/>
      <c r="X796" s="36"/>
      <c r="Y796" s="36"/>
      <c r="Z796" s="36"/>
      <c r="AA796" s="36"/>
      <c r="AB796" s="36"/>
      <c r="AC796" s="36"/>
    </row>
    <row r="797" spans="1:29" ht="409.5" customHeight="1">
      <c r="A797" s="81"/>
      <c r="B797" s="81"/>
      <c r="C797" s="81"/>
      <c r="D797" s="81"/>
      <c r="E797" s="620"/>
      <c r="F797" s="620"/>
      <c r="G797" s="620"/>
      <c r="H797" s="94"/>
      <c r="I797" s="81"/>
      <c r="J797" s="35"/>
      <c r="K797" s="36"/>
      <c r="L797" s="36"/>
      <c r="M797" s="36"/>
      <c r="N797" s="36"/>
      <c r="O797" s="36"/>
      <c r="P797" s="36"/>
      <c r="Q797" s="36"/>
      <c r="R797" s="36"/>
      <c r="S797" s="36"/>
      <c r="T797" s="36"/>
      <c r="U797" s="36"/>
      <c r="V797" s="36"/>
      <c r="W797" s="36"/>
      <c r="X797" s="36"/>
      <c r="Y797" s="36"/>
      <c r="Z797" s="36"/>
      <c r="AA797" s="36"/>
      <c r="AB797" s="36"/>
      <c r="AC797" s="36"/>
    </row>
    <row r="798" spans="1:29" ht="216" customHeight="1">
      <c r="A798" s="81"/>
      <c r="B798" s="81"/>
      <c r="C798" s="81"/>
      <c r="D798" s="81"/>
      <c r="E798" s="620"/>
      <c r="F798" s="620"/>
      <c r="G798" s="620"/>
      <c r="H798" s="94"/>
      <c r="I798" s="81"/>
      <c r="J798" s="35"/>
      <c r="K798" s="36"/>
      <c r="L798" s="36"/>
      <c r="M798" s="36"/>
      <c r="N798" s="36"/>
      <c r="O798" s="36"/>
      <c r="P798" s="36"/>
      <c r="Q798" s="36"/>
      <c r="R798" s="36"/>
      <c r="S798" s="36"/>
      <c r="T798" s="36"/>
      <c r="U798" s="36"/>
      <c r="V798" s="36"/>
      <c r="W798" s="36"/>
      <c r="X798" s="36"/>
      <c r="Y798" s="36"/>
      <c r="Z798" s="36"/>
      <c r="AA798" s="36"/>
      <c r="AB798" s="36"/>
      <c r="AC798" s="36"/>
    </row>
    <row r="799" spans="1:29" ht="84" customHeight="1">
      <c r="A799" s="81"/>
      <c r="B799" s="81"/>
      <c r="C799" s="81"/>
      <c r="D799" s="81"/>
      <c r="E799" s="620"/>
      <c r="F799" s="620"/>
      <c r="G799" s="620"/>
      <c r="H799" s="94"/>
      <c r="I799" s="81"/>
      <c r="J799" s="35"/>
      <c r="K799" s="36"/>
      <c r="L799" s="36"/>
      <c r="M799" s="36"/>
      <c r="N799" s="36"/>
      <c r="O799" s="36"/>
      <c r="P799" s="36"/>
      <c r="Q799" s="36"/>
      <c r="R799" s="36"/>
      <c r="S799" s="36"/>
      <c r="T799" s="36"/>
      <c r="U799" s="36"/>
      <c r="V799" s="36"/>
      <c r="W799" s="36"/>
      <c r="X799" s="36"/>
      <c r="Y799" s="36"/>
      <c r="Z799" s="36"/>
      <c r="AA799" s="36"/>
      <c r="AB799" s="36"/>
      <c r="AC799" s="36"/>
    </row>
    <row r="800" spans="1:29" ht="180" customHeight="1">
      <c r="A800" s="81"/>
      <c r="B800" s="81"/>
      <c r="C800" s="81"/>
      <c r="D800" s="81"/>
      <c r="E800" s="620"/>
      <c r="F800" s="620"/>
      <c r="G800" s="620"/>
      <c r="H800" s="94"/>
      <c r="I800" s="81"/>
      <c r="J800" s="35"/>
      <c r="K800" s="36"/>
      <c r="L800" s="36"/>
      <c r="M800" s="36"/>
      <c r="N800" s="36"/>
      <c r="O800" s="36"/>
      <c r="P800" s="36"/>
      <c r="Q800" s="36"/>
      <c r="R800" s="36"/>
      <c r="S800" s="36"/>
      <c r="T800" s="36"/>
      <c r="U800" s="36"/>
      <c r="V800" s="36"/>
      <c r="W800" s="36"/>
      <c r="X800" s="36"/>
      <c r="Y800" s="36"/>
      <c r="Z800" s="36"/>
      <c r="AA800" s="36"/>
      <c r="AB800" s="36"/>
      <c r="AC800" s="36"/>
    </row>
    <row r="801" spans="1:29" ht="60" customHeight="1">
      <c r="A801" s="81"/>
      <c r="B801" s="81"/>
      <c r="C801" s="81"/>
      <c r="D801" s="81"/>
      <c r="E801" s="620"/>
      <c r="F801" s="620"/>
      <c r="G801" s="620"/>
      <c r="H801" s="94"/>
      <c r="I801" s="81"/>
      <c r="J801" s="35"/>
      <c r="K801" s="36"/>
      <c r="L801" s="36"/>
      <c r="M801" s="36"/>
      <c r="N801" s="36"/>
      <c r="O801" s="36"/>
      <c r="P801" s="36"/>
      <c r="Q801" s="36"/>
      <c r="R801" s="36"/>
      <c r="S801" s="36"/>
      <c r="T801" s="36"/>
      <c r="U801" s="36"/>
      <c r="V801" s="36"/>
      <c r="W801" s="36"/>
      <c r="X801" s="36"/>
      <c r="Y801" s="36"/>
      <c r="Z801" s="36"/>
      <c r="AA801" s="36"/>
      <c r="AB801" s="36"/>
      <c r="AC801" s="36"/>
    </row>
    <row r="802" spans="1:29" ht="252" customHeight="1">
      <c r="A802" s="81"/>
      <c r="B802" s="81"/>
      <c r="C802" s="81"/>
      <c r="D802" s="81"/>
      <c r="E802" s="620"/>
      <c r="F802" s="620"/>
      <c r="G802" s="620"/>
      <c r="H802" s="94"/>
      <c r="I802" s="81"/>
      <c r="J802" s="35"/>
      <c r="K802" s="36"/>
      <c r="L802" s="36"/>
      <c r="M802" s="36"/>
      <c r="N802" s="36"/>
      <c r="O802" s="36"/>
      <c r="P802" s="36"/>
      <c r="Q802" s="36"/>
      <c r="R802" s="36"/>
      <c r="S802" s="36"/>
      <c r="T802" s="36"/>
      <c r="U802" s="36"/>
      <c r="V802" s="36"/>
      <c r="W802" s="36"/>
      <c r="X802" s="36"/>
      <c r="Y802" s="36"/>
      <c r="Z802" s="36"/>
      <c r="AA802" s="36"/>
      <c r="AB802" s="36"/>
      <c r="AC802" s="36"/>
    </row>
    <row r="803" spans="1:29" ht="36" customHeight="1">
      <c r="A803" s="81"/>
      <c r="B803" s="94"/>
      <c r="C803" s="81"/>
      <c r="D803" s="81"/>
      <c r="E803" s="620"/>
      <c r="F803" s="620"/>
      <c r="G803" s="620"/>
      <c r="H803" s="94"/>
      <c r="I803" s="81"/>
      <c r="J803" s="35"/>
      <c r="K803" s="36"/>
      <c r="L803" s="36"/>
      <c r="M803" s="36"/>
      <c r="N803" s="36"/>
      <c r="O803" s="36"/>
      <c r="P803" s="36"/>
      <c r="Q803" s="36"/>
      <c r="R803" s="36"/>
      <c r="S803" s="36"/>
      <c r="T803" s="36"/>
      <c r="U803" s="36"/>
      <c r="V803" s="36"/>
      <c r="W803" s="36"/>
      <c r="X803" s="36"/>
      <c r="Y803" s="36"/>
      <c r="Z803" s="36"/>
      <c r="AA803" s="36"/>
      <c r="AB803" s="36"/>
      <c r="AC803" s="36"/>
    </row>
    <row r="804" spans="1:29" ht="168" customHeight="1">
      <c r="A804" s="81"/>
      <c r="B804" s="94"/>
      <c r="C804" s="81"/>
      <c r="D804" s="81"/>
      <c r="E804" s="620"/>
      <c r="F804" s="620"/>
      <c r="G804" s="620"/>
      <c r="H804" s="94"/>
      <c r="I804" s="81"/>
      <c r="J804" s="35"/>
      <c r="K804" s="36"/>
      <c r="L804" s="36"/>
      <c r="M804" s="36"/>
      <c r="N804" s="36"/>
      <c r="O804" s="36"/>
      <c r="P804" s="36"/>
      <c r="Q804" s="36"/>
      <c r="R804" s="36"/>
      <c r="S804" s="36"/>
      <c r="T804" s="36"/>
      <c r="U804" s="36"/>
      <c r="V804" s="36"/>
      <c r="W804" s="36"/>
      <c r="X804" s="36"/>
      <c r="Y804" s="36"/>
      <c r="Z804" s="36"/>
      <c r="AA804" s="36"/>
      <c r="AB804" s="36"/>
      <c r="AC804" s="36"/>
    </row>
    <row r="805" spans="1:29" ht="120" customHeight="1">
      <c r="A805" s="81"/>
      <c r="B805" s="94"/>
      <c r="C805" s="81"/>
      <c r="D805" s="81"/>
      <c r="E805" s="620"/>
      <c r="F805" s="620"/>
      <c r="G805" s="620"/>
      <c r="H805" s="94"/>
      <c r="I805" s="81"/>
      <c r="J805" s="35"/>
      <c r="K805" s="36"/>
      <c r="L805" s="36"/>
      <c r="M805" s="36"/>
      <c r="N805" s="36"/>
      <c r="O805" s="36"/>
      <c r="P805" s="36"/>
      <c r="Q805" s="36"/>
      <c r="R805" s="36"/>
      <c r="S805" s="36"/>
      <c r="T805" s="36"/>
      <c r="U805" s="36"/>
      <c r="V805" s="36"/>
      <c r="W805" s="36"/>
      <c r="X805" s="36"/>
      <c r="Y805" s="36"/>
      <c r="Z805" s="36"/>
      <c r="AA805" s="36"/>
      <c r="AB805" s="36"/>
      <c r="AC805" s="36"/>
    </row>
    <row r="806" spans="1:29" ht="96" customHeight="1">
      <c r="A806" s="81"/>
      <c r="B806" s="81"/>
      <c r="C806" s="81"/>
      <c r="D806" s="81"/>
      <c r="E806" s="620"/>
      <c r="F806" s="620"/>
      <c r="G806" s="620"/>
      <c r="H806" s="94"/>
      <c r="I806" s="81"/>
      <c r="J806" s="35"/>
      <c r="K806" s="36"/>
      <c r="L806" s="36"/>
      <c r="M806" s="36"/>
      <c r="N806" s="36"/>
      <c r="O806" s="36"/>
      <c r="P806" s="36"/>
      <c r="Q806" s="36"/>
      <c r="R806" s="36"/>
      <c r="S806" s="36"/>
      <c r="T806" s="36"/>
      <c r="U806" s="36"/>
      <c r="V806" s="36"/>
      <c r="W806" s="36"/>
      <c r="X806" s="36"/>
      <c r="Y806" s="36"/>
      <c r="Z806" s="36"/>
      <c r="AA806" s="36"/>
      <c r="AB806" s="36"/>
      <c r="AC806" s="36"/>
    </row>
    <row r="807" spans="1:29" ht="409.5" customHeight="1">
      <c r="A807" s="81"/>
      <c r="B807" s="94"/>
      <c r="C807" s="81"/>
      <c r="D807" s="81"/>
      <c r="E807" s="620"/>
      <c r="F807" s="620"/>
      <c r="G807" s="620"/>
      <c r="H807" s="94"/>
      <c r="I807" s="81"/>
      <c r="J807" s="35"/>
      <c r="K807" s="36"/>
      <c r="L807" s="36"/>
      <c r="M807" s="36"/>
      <c r="N807" s="36"/>
      <c r="O807" s="36"/>
      <c r="P807" s="36"/>
      <c r="Q807" s="36"/>
      <c r="R807" s="36"/>
      <c r="S807" s="36"/>
      <c r="T807" s="36"/>
      <c r="U807" s="36"/>
      <c r="V807" s="36"/>
      <c r="W807" s="36"/>
      <c r="X807" s="36"/>
      <c r="Y807" s="36"/>
      <c r="Z807" s="36"/>
      <c r="AA807" s="36"/>
      <c r="AB807" s="36"/>
      <c r="AC807" s="36"/>
    </row>
    <row r="808" spans="1:29" ht="108" customHeight="1">
      <c r="A808" s="81"/>
      <c r="B808" s="81"/>
      <c r="C808" s="81"/>
      <c r="D808" s="81"/>
      <c r="E808" s="620"/>
      <c r="F808" s="620"/>
      <c r="G808" s="620"/>
      <c r="H808" s="94"/>
      <c r="I808" s="81"/>
      <c r="J808" s="35"/>
      <c r="K808" s="36"/>
      <c r="L808" s="36"/>
      <c r="M808" s="36"/>
      <c r="N808" s="36"/>
      <c r="O808" s="36"/>
      <c r="P808" s="36"/>
      <c r="Q808" s="36"/>
      <c r="R808" s="36"/>
      <c r="S808" s="36"/>
      <c r="T808" s="36"/>
      <c r="U808" s="36"/>
      <c r="V808" s="36"/>
      <c r="W808" s="36"/>
      <c r="X808" s="36"/>
      <c r="Y808" s="36"/>
      <c r="Z808" s="36"/>
      <c r="AA808" s="36"/>
      <c r="AB808" s="36"/>
      <c r="AC808" s="36"/>
    </row>
    <row r="809" spans="1:29" ht="96" customHeight="1">
      <c r="A809" s="81"/>
      <c r="B809" s="81"/>
      <c r="C809" s="81"/>
      <c r="D809" s="81"/>
      <c r="E809" s="620"/>
      <c r="F809" s="620"/>
      <c r="G809" s="620"/>
      <c r="H809" s="94"/>
      <c r="I809" s="81"/>
      <c r="J809" s="35"/>
      <c r="K809" s="36"/>
      <c r="L809" s="36"/>
      <c r="M809" s="36"/>
      <c r="N809" s="36"/>
      <c r="O809" s="36"/>
      <c r="P809" s="36"/>
      <c r="Q809" s="36"/>
      <c r="R809" s="36"/>
      <c r="S809" s="36"/>
      <c r="T809" s="36"/>
      <c r="U809" s="36"/>
      <c r="V809" s="36"/>
      <c r="W809" s="36"/>
      <c r="X809" s="36"/>
      <c r="Y809" s="36"/>
      <c r="Z809" s="36"/>
      <c r="AA809" s="36"/>
      <c r="AB809" s="36"/>
      <c r="AC809" s="36"/>
    </row>
    <row r="810" spans="1:29" ht="144" customHeight="1">
      <c r="A810" s="81"/>
      <c r="B810" s="81"/>
      <c r="C810" s="81"/>
      <c r="D810" s="81"/>
      <c r="E810" s="620"/>
      <c r="F810" s="620"/>
      <c r="G810" s="620"/>
      <c r="H810" s="94"/>
      <c r="I810" s="81"/>
      <c r="J810" s="35"/>
      <c r="K810" s="36"/>
      <c r="L810" s="36"/>
      <c r="M810" s="36"/>
      <c r="N810" s="36"/>
      <c r="O810" s="36"/>
      <c r="P810" s="36"/>
      <c r="Q810" s="36"/>
      <c r="R810" s="36"/>
      <c r="S810" s="36"/>
      <c r="T810" s="36"/>
      <c r="U810" s="36"/>
      <c r="V810" s="36"/>
      <c r="W810" s="36"/>
      <c r="X810" s="36"/>
      <c r="Y810" s="36"/>
      <c r="Z810" s="36"/>
      <c r="AA810" s="36"/>
      <c r="AB810" s="36"/>
      <c r="AC810" s="36"/>
    </row>
    <row r="811" spans="1:29" ht="108" customHeight="1">
      <c r="A811" s="81"/>
      <c r="B811" s="81"/>
      <c r="C811" s="81"/>
      <c r="D811" s="81"/>
      <c r="E811" s="620"/>
      <c r="F811" s="620"/>
      <c r="G811" s="620"/>
      <c r="H811" s="94"/>
      <c r="I811" s="81"/>
      <c r="J811" s="35"/>
      <c r="K811" s="36"/>
      <c r="L811" s="36"/>
      <c r="M811" s="36"/>
      <c r="N811" s="36"/>
      <c r="O811" s="36"/>
      <c r="P811" s="36"/>
      <c r="Q811" s="36"/>
      <c r="R811" s="36"/>
      <c r="S811" s="36"/>
      <c r="T811" s="36"/>
      <c r="U811" s="36"/>
      <c r="V811" s="36"/>
      <c r="W811" s="36"/>
      <c r="X811" s="36"/>
      <c r="Y811" s="36"/>
      <c r="Z811" s="36"/>
      <c r="AA811" s="36"/>
      <c r="AB811" s="36"/>
      <c r="AC811" s="36"/>
    </row>
    <row r="812" spans="1:29" ht="120" customHeight="1">
      <c r="A812" s="81"/>
      <c r="B812" s="81"/>
      <c r="C812" s="81"/>
      <c r="D812" s="81"/>
      <c r="E812" s="620"/>
      <c r="F812" s="620"/>
      <c r="G812" s="620"/>
      <c r="H812" s="94"/>
      <c r="I812" s="81"/>
      <c r="J812" s="35"/>
      <c r="K812" s="36"/>
      <c r="L812" s="36"/>
      <c r="M812" s="36"/>
      <c r="N812" s="36"/>
      <c r="O812" s="36"/>
      <c r="P812" s="36"/>
      <c r="Q812" s="36"/>
      <c r="R812" s="36"/>
      <c r="S812" s="36"/>
      <c r="T812" s="36"/>
      <c r="U812" s="36"/>
      <c r="V812" s="36"/>
      <c r="W812" s="36"/>
      <c r="X812" s="36"/>
      <c r="Y812" s="36"/>
      <c r="Z812" s="36"/>
      <c r="AA812" s="36"/>
      <c r="AB812" s="36"/>
      <c r="AC812" s="36"/>
    </row>
    <row r="813" spans="1:29" ht="132" customHeight="1">
      <c r="A813" s="81"/>
      <c r="B813" s="81"/>
      <c r="C813" s="81"/>
      <c r="D813" s="81"/>
      <c r="E813" s="620"/>
      <c r="F813" s="620"/>
      <c r="G813" s="620"/>
      <c r="H813" s="94"/>
      <c r="I813" s="81"/>
      <c r="J813" s="35"/>
      <c r="K813" s="36"/>
      <c r="L813" s="36"/>
      <c r="M813" s="36"/>
      <c r="N813" s="36"/>
      <c r="O813" s="36"/>
      <c r="P813" s="36"/>
      <c r="Q813" s="36"/>
      <c r="R813" s="36"/>
      <c r="S813" s="36"/>
      <c r="T813" s="36"/>
      <c r="U813" s="36"/>
      <c r="V813" s="36"/>
      <c r="W813" s="36"/>
      <c r="X813" s="36"/>
      <c r="Y813" s="36"/>
      <c r="Z813" s="36"/>
      <c r="AA813" s="36"/>
      <c r="AB813" s="36"/>
      <c r="AC813" s="36"/>
    </row>
    <row r="814" spans="1:29" ht="168" customHeight="1">
      <c r="A814" s="81"/>
      <c r="B814" s="81"/>
      <c r="C814" s="81"/>
      <c r="D814" s="81"/>
      <c r="E814" s="620"/>
      <c r="F814" s="620"/>
      <c r="G814" s="620"/>
      <c r="H814" s="94"/>
      <c r="I814" s="81"/>
      <c r="J814" s="35"/>
      <c r="K814" s="36"/>
      <c r="L814" s="36"/>
      <c r="M814" s="36"/>
      <c r="N814" s="36"/>
      <c r="O814" s="36"/>
      <c r="P814" s="36"/>
      <c r="Q814" s="36"/>
      <c r="R814" s="36"/>
      <c r="S814" s="36"/>
      <c r="T814" s="36"/>
      <c r="U814" s="36"/>
      <c r="V814" s="36"/>
      <c r="W814" s="36"/>
      <c r="X814" s="36"/>
      <c r="Y814" s="36"/>
      <c r="Z814" s="36"/>
      <c r="AA814" s="36"/>
      <c r="AB814" s="36"/>
      <c r="AC814" s="36"/>
    </row>
    <row r="815" spans="1:29" ht="72" customHeight="1">
      <c r="A815" s="81"/>
      <c r="B815" s="81"/>
      <c r="C815" s="81"/>
      <c r="D815" s="81"/>
      <c r="E815" s="620"/>
      <c r="F815" s="620"/>
      <c r="G815" s="620"/>
      <c r="H815" s="94"/>
      <c r="I815" s="81"/>
      <c r="J815" s="35"/>
      <c r="K815" s="36"/>
      <c r="L815" s="36"/>
      <c r="M815" s="36"/>
      <c r="N815" s="36"/>
      <c r="O815" s="36"/>
      <c r="P815" s="36"/>
      <c r="Q815" s="36"/>
      <c r="R815" s="36"/>
      <c r="S815" s="36"/>
      <c r="T815" s="36"/>
      <c r="U815" s="36"/>
      <c r="V815" s="36"/>
      <c r="W815" s="36"/>
      <c r="X815" s="36"/>
      <c r="Y815" s="36"/>
      <c r="Z815" s="36"/>
      <c r="AA815" s="36"/>
      <c r="AB815" s="36"/>
      <c r="AC815" s="36"/>
    </row>
    <row r="816" spans="1:29" ht="336" customHeight="1">
      <c r="A816" s="81"/>
      <c r="B816" s="81"/>
      <c r="C816" s="81"/>
      <c r="D816" s="81"/>
      <c r="E816" s="620"/>
      <c r="F816" s="620"/>
      <c r="G816" s="620"/>
      <c r="H816" s="94"/>
      <c r="I816" s="81"/>
      <c r="J816" s="35"/>
      <c r="K816" s="36"/>
      <c r="L816" s="36"/>
      <c r="M816" s="36"/>
      <c r="N816" s="36"/>
      <c r="O816" s="36"/>
      <c r="P816" s="36"/>
      <c r="Q816" s="36"/>
      <c r="R816" s="36"/>
      <c r="S816" s="36"/>
      <c r="T816" s="36"/>
      <c r="U816" s="36"/>
      <c r="V816" s="36"/>
      <c r="W816" s="36"/>
      <c r="X816" s="36"/>
      <c r="Y816" s="36"/>
      <c r="Z816" s="36"/>
      <c r="AA816" s="36"/>
      <c r="AB816" s="36"/>
      <c r="AC816" s="36"/>
    </row>
    <row r="817" spans="1:29" ht="48" customHeight="1">
      <c r="A817" s="81"/>
      <c r="B817" s="81"/>
      <c r="C817" s="81"/>
      <c r="D817" s="81"/>
      <c r="E817" s="620"/>
      <c r="F817" s="620"/>
      <c r="G817" s="620"/>
      <c r="H817" s="94"/>
      <c r="I817" s="81"/>
      <c r="J817" s="35"/>
      <c r="K817" s="36"/>
      <c r="L817" s="36"/>
      <c r="M817" s="36"/>
      <c r="N817" s="36"/>
      <c r="O817" s="36"/>
      <c r="P817" s="36"/>
      <c r="Q817" s="36"/>
      <c r="R817" s="36"/>
      <c r="S817" s="36"/>
      <c r="T817" s="36"/>
      <c r="U817" s="36"/>
      <c r="V817" s="36"/>
      <c r="W817" s="36"/>
      <c r="X817" s="36"/>
      <c r="Y817" s="36"/>
      <c r="Z817" s="36"/>
      <c r="AA817" s="36"/>
      <c r="AB817" s="36"/>
      <c r="AC817" s="36"/>
    </row>
    <row r="818" spans="1:29" ht="24" customHeight="1">
      <c r="A818" s="81"/>
      <c r="B818" s="94"/>
      <c r="C818" s="81"/>
      <c r="D818" s="81"/>
      <c r="E818" s="620"/>
      <c r="F818" s="620"/>
      <c r="G818" s="620"/>
      <c r="H818" s="94"/>
      <c r="I818" s="81"/>
      <c r="J818" s="35"/>
      <c r="K818" s="36"/>
      <c r="L818" s="36"/>
      <c r="M818" s="36"/>
      <c r="N818" s="36"/>
      <c r="O818" s="36"/>
      <c r="P818" s="36"/>
      <c r="Q818" s="36"/>
      <c r="R818" s="36"/>
      <c r="S818" s="36"/>
      <c r="T818" s="36"/>
      <c r="U818" s="36"/>
      <c r="V818" s="36"/>
      <c r="W818" s="36"/>
      <c r="X818" s="36"/>
      <c r="Y818" s="36"/>
      <c r="Z818" s="36"/>
      <c r="AA818" s="36"/>
      <c r="AB818" s="36"/>
      <c r="AC818" s="36"/>
    </row>
    <row r="819" spans="1:29" ht="192" customHeight="1">
      <c r="A819" s="81"/>
      <c r="B819" s="81"/>
      <c r="C819" s="81"/>
      <c r="D819" s="81"/>
      <c r="E819" s="620"/>
      <c r="F819" s="620"/>
      <c r="G819" s="620"/>
      <c r="H819" s="94"/>
      <c r="I819" s="81"/>
      <c r="J819" s="35"/>
      <c r="K819" s="36"/>
      <c r="L819" s="36"/>
      <c r="M819" s="36"/>
      <c r="N819" s="36"/>
      <c r="O819" s="36"/>
      <c r="P819" s="36"/>
      <c r="Q819" s="36"/>
      <c r="R819" s="36"/>
      <c r="S819" s="36"/>
      <c r="T819" s="36"/>
      <c r="U819" s="36"/>
      <c r="V819" s="36"/>
      <c r="W819" s="36"/>
      <c r="X819" s="36"/>
      <c r="Y819" s="36"/>
      <c r="Z819" s="36"/>
      <c r="AA819" s="36"/>
      <c r="AB819" s="36"/>
      <c r="AC819" s="36"/>
    </row>
    <row r="820" spans="1:29" ht="12" customHeight="1">
      <c r="A820" s="81"/>
      <c r="B820" s="81"/>
      <c r="C820" s="81"/>
      <c r="D820" s="81"/>
      <c r="E820" s="620"/>
      <c r="F820" s="620"/>
      <c r="G820" s="620"/>
      <c r="H820" s="94"/>
      <c r="I820" s="81"/>
      <c r="J820" s="35"/>
      <c r="K820" s="36"/>
      <c r="L820" s="36"/>
      <c r="M820" s="36"/>
      <c r="N820" s="36"/>
      <c r="O820" s="36"/>
      <c r="P820" s="36"/>
      <c r="Q820" s="36"/>
      <c r="R820" s="36"/>
      <c r="S820" s="36"/>
      <c r="T820" s="36"/>
      <c r="U820" s="36"/>
      <c r="V820" s="36"/>
      <c r="W820" s="36"/>
      <c r="X820" s="36"/>
      <c r="Y820" s="36"/>
      <c r="Z820" s="36"/>
      <c r="AA820" s="36"/>
      <c r="AB820" s="36"/>
      <c r="AC820" s="36"/>
    </row>
    <row r="821" spans="1:29" ht="264" customHeight="1">
      <c r="A821" s="81"/>
      <c r="B821" s="81"/>
      <c r="C821" s="81"/>
      <c r="D821" s="81"/>
      <c r="E821" s="620"/>
      <c r="F821" s="620"/>
      <c r="G821" s="620"/>
      <c r="H821" s="94"/>
      <c r="I821" s="81"/>
      <c r="J821" s="35"/>
      <c r="K821" s="36"/>
      <c r="L821" s="36"/>
      <c r="M821" s="36"/>
      <c r="N821" s="36"/>
      <c r="O821" s="36"/>
      <c r="P821" s="36"/>
      <c r="Q821" s="36"/>
      <c r="R821" s="36"/>
      <c r="S821" s="36"/>
      <c r="T821" s="36"/>
      <c r="U821" s="36"/>
      <c r="V821" s="36"/>
      <c r="W821" s="36"/>
      <c r="X821" s="36"/>
      <c r="Y821" s="36"/>
      <c r="Z821" s="36"/>
      <c r="AA821" s="36"/>
      <c r="AB821" s="36"/>
      <c r="AC821" s="36"/>
    </row>
    <row r="822" spans="1:29" ht="24" customHeight="1">
      <c r="A822" s="81"/>
      <c r="B822" s="81"/>
      <c r="C822" s="81"/>
      <c r="D822" s="81"/>
      <c r="E822" s="620"/>
      <c r="F822" s="620"/>
      <c r="G822" s="620"/>
      <c r="H822" s="94"/>
      <c r="I822" s="81"/>
      <c r="J822" s="35"/>
      <c r="K822" s="36"/>
      <c r="L822" s="36"/>
      <c r="M822" s="36"/>
      <c r="N822" s="36"/>
      <c r="O822" s="36"/>
      <c r="P822" s="36"/>
      <c r="Q822" s="36"/>
      <c r="R822" s="36"/>
      <c r="S822" s="36"/>
      <c r="T822" s="36"/>
      <c r="U822" s="36"/>
      <c r="V822" s="36"/>
      <c r="W822" s="36"/>
      <c r="X822" s="36"/>
      <c r="Y822" s="36"/>
      <c r="Z822" s="36"/>
      <c r="AA822" s="36"/>
      <c r="AB822" s="36"/>
      <c r="AC822" s="36"/>
    </row>
    <row r="823" spans="1:29" ht="119.25" customHeight="1">
      <c r="A823" s="81"/>
      <c r="B823" s="81"/>
      <c r="C823" s="81"/>
      <c r="D823" s="81"/>
      <c r="E823" s="620"/>
      <c r="F823" s="620"/>
      <c r="G823" s="620"/>
      <c r="H823" s="94"/>
      <c r="I823" s="81"/>
      <c r="J823" s="35"/>
      <c r="K823" s="36"/>
      <c r="L823" s="36"/>
      <c r="M823" s="36"/>
      <c r="N823" s="36"/>
      <c r="O823" s="36"/>
      <c r="P823" s="36"/>
      <c r="Q823" s="36"/>
      <c r="R823" s="36"/>
      <c r="S823" s="36"/>
      <c r="T823" s="36"/>
      <c r="U823" s="36"/>
      <c r="V823" s="36"/>
      <c r="W823" s="36"/>
      <c r="X823" s="36"/>
      <c r="Y823" s="36"/>
      <c r="Z823" s="36"/>
      <c r="AA823" s="36"/>
      <c r="AB823" s="36"/>
      <c r="AC823" s="36"/>
    </row>
    <row r="824" spans="1:29" ht="96" customHeight="1">
      <c r="A824" s="476"/>
      <c r="B824" s="81"/>
      <c r="C824" s="100"/>
      <c r="D824" s="100"/>
      <c r="E824" s="627"/>
      <c r="F824" s="627"/>
      <c r="G824" s="627"/>
      <c r="H824" s="463"/>
      <c r="I824" s="81"/>
      <c r="J824" s="35"/>
      <c r="K824" s="36"/>
      <c r="L824" s="36"/>
      <c r="M824" s="36"/>
      <c r="N824" s="36"/>
      <c r="O824" s="36"/>
      <c r="P824" s="36"/>
      <c r="Q824" s="36"/>
      <c r="R824" s="36"/>
      <c r="S824" s="36"/>
      <c r="T824" s="36"/>
      <c r="U824" s="36"/>
      <c r="V824" s="36"/>
      <c r="W824" s="36"/>
      <c r="X824" s="36"/>
      <c r="Y824" s="36"/>
      <c r="Z824" s="36"/>
      <c r="AA824" s="36"/>
      <c r="AB824" s="36"/>
      <c r="AC824" s="36"/>
    </row>
    <row r="825" spans="1:29" ht="132" customHeight="1">
      <c r="A825" s="81"/>
      <c r="B825" s="81"/>
      <c r="C825" s="81"/>
      <c r="D825" s="81"/>
      <c r="E825" s="620"/>
      <c r="F825" s="620"/>
      <c r="G825" s="620"/>
      <c r="H825" s="94"/>
      <c r="I825" s="81"/>
      <c r="J825" s="35"/>
      <c r="K825" s="36"/>
      <c r="L825" s="36"/>
      <c r="M825" s="36"/>
      <c r="N825" s="36"/>
      <c r="O825" s="36"/>
      <c r="P825" s="36"/>
      <c r="Q825" s="36"/>
      <c r="R825" s="36"/>
      <c r="S825" s="36"/>
      <c r="T825" s="36"/>
      <c r="U825" s="36"/>
      <c r="V825" s="36"/>
      <c r="W825" s="36"/>
      <c r="X825" s="36"/>
      <c r="Y825" s="36"/>
      <c r="Z825" s="36"/>
      <c r="AA825" s="36"/>
      <c r="AB825" s="36"/>
      <c r="AC825" s="36"/>
    </row>
    <row r="826" spans="1:29" ht="132" customHeight="1">
      <c r="A826" s="476"/>
      <c r="B826" s="81"/>
      <c r="C826" s="100"/>
      <c r="D826" s="100"/>
      <c r="E826" s="627"/>
      <c r="F826" s="627"/>
      <c r="G826" s="627"/>
      <c r="H826" s="463"/>
      <c r="I826" s="81"/>
      <c r="J826" s="35"/>
      <c r="K826" s="36"/>
      <c r="L826" s="36"/>
      <c r="M826" s="36"/>
      <c r="N826" s="36"/>
      <c r="O826" s="36"/>
      <c r="P826" s="36"/>
      <c r="Q826" s="36"/>
      <c r="R826" s="36"/>
      <c r="S826" s="36"/>
      <c r="T826" s="36"/>
      <c r="U826" s="36"/>
      <c r="V826" s="36"/>
      <c r="W826" s="36"/>
      <c r="X826" s="36"/>
      <c r="Y826" s="36"/>
      <c r="Z826" s="36"/>
      <c r="AA826" s="36"/>
      <c r="AB826" s="36"/>
      <c r="AC826" s="36"/>
    </row>
    <row r="827" spans="1:29" ht="409.5" customHeight="1">
      <c r="A827" s="81"/>
      <c r="B827" s="94"/>
      <c r="C827" s="81"/>
      <c r="D827" s="81"/>
      <c r="E827" s="620"/>
      <c r="F827" s="620"/>
      <c r="G827" s="620"/>
      <c r="H827" s="94"/>
      <c r="I827" s="81"/>
      <c r="J827" s="35"/>
      <c r="K827" s="36"/>
      <c r="L827" s="36"/>
      <c r="M827" s="36"/>
      <c r="N827" s="36"/>
      <c r="O827" s="36"/>
      <c r="P827" s="36"/>
      <c r="Q827" s="36"/>
      <c r="R827" s="36"/>
      <c r="S827" s="36"/>
      <c r="T827" s="36"/>
      <c r="U827" s="36"/>
      <c r="V827" s="36"/>
      <c r="W827" s="36"/>
      <c r="X827" s="36"/>
      <c r="Y827" s="36"/>
      <c r="Z827" s="36"/>
      <c r="AA827" s="36"/>
      <c r="AB827" s="36"/>
      <c r="AC827" s="36"/>
    </row>
    <row r="828" spans="1:29" ht="36" customHeight="1">
      <c r="A828" s="81"/>
      <c r="B828" s="81"/>
      <c r="C828" s="81"/>
      <c r="D828" s="81"/>
      <c r="E828" s="620"/>
      <c r="F828" s="620"/>
      <c r="G828" s="620"/>
      <c r="H828" s="94"/>
      <c r="I828" s="81"/>
      <c r="J828" s="35"/>
      <c r="K828" s="36"/>
      <c r="L828" s="36"/>
      <c r="M828" s="36"/>
      <c r="N828" s="36"/>
      <c r="O828" s="36"/>
      <c r="P828" s="36"/>
      <c r="Q828" s="36"/>
      <c r="R828" s="36"/>
      <c r="S828" s="36"/>
      <c r="T828" s="36"/>
      <c r="U828" s="36"/>
      <c r="V828" s="36"/>
      <c r="W828" s="36"/>
      <c r="X828" s="36"/>
      <c r="Y828" s="36"/>
      <c r="Z828" s="36"/>
      <c r="AA828" s="36"/>
      <c r="AB828" s="36"/>
      <c r="AC828" s="36"/>
    </row>
    <row r="829" spans="1:29" ht="119.25" customHeight="1">
      <c r="A829" s="81"/>
      <c r="B829" s="81"/>
      <c r="C829" s="100"/>
      <c r="D829" s="100"/>
      <c r="E829" s="627"/>
      <c r="F829" s="627"/>
      <c r="G829" s="620"/>
      <c r="H829" s="94"/>
      <c r="I829" s="81"/>
      <c r="J829" s="35"/>
      <c r="K829" s="36"/>
      <c r="L829" s="36"/>
      <c r="M829" s="36"/>
      <c r="N829" s="36"/>
      <c r="O829" s="36"/>
      <c r="P829" s="36"/>
      <c r="Q829" s="36"/>
      <c r="R829" s="36"/>
      <c r="S829" s="36"/>
      <c r="T829" s="36"/>
      <c r="U829" s="36"/>
      <c r="V829" s="36"/>
      <c r="W829" s="36"/>
      <c r="X829" s="36"/>
      <c r="Y829" s="36"/>
      <c r="Z829" s="36"/>
      <c r="AA829" s="36"/>
      <c r="AB829" s="36"/>
      <c r="AC829" s="36"/>
    </row>
    <row r="830" spans="1:29" ht="84" customHeight="1">
      <c r="A830" s="81"/>
      <c r="B830" s="81"/>
      <c r="C830" s="81"/>
      <c r="D830" s="81"/>
      <c r="E830" s="620"/>
      <c r="F830" s="620"/>
      <c r="G830" s="620"/>
      <c r="H830" s="94"/>
      <c r="I830" s="81"/>
      <c r="J830" s="35"/>
      <c r="K830" s="36"/>
      <c r="L830" s="36"/>
      <c r="M830" s="36"/>
      <c r="N830" s="36"/>
      <c r="O830" s="36"/>
      <c r="P830" s="36"/>
      <c r="Q830" s="36"/>
      <c r="R830" s="36"/>
      <c r="S830" s="36"/>
      <c r="T830" s="36"/>
      <c r="U830" s="36"/>
      <c r="V830" s="36"/>
      <c r="W830" s="36"/>
      <c r="X830" s="36"/>
      <c r="Y830" s="36"/>
      <c r="Z830" s="36"/>
      <c r="AA830" s="36"/>
      <c r="AB830" s="36"/>
      <c r="AC830" s="36"/>
    </row>
    <row r="831" spans="1:29" ht="264" customHeight="1">
      <c r="A831" s="81"/>
      <c r="B831" s="81"/>
      <c r="C831" s="81"/>
      <c r="D831" s="81"/>
      <c r="E831" s="620"/>
      <c r="F831" s="620"/>
      <c r="G831" s="620"/>
      <c r="H831" s="94"/>
      <c r="I831" s="81"/>
      <c r="J831" s="35"/>
      <c r="K831" s="36"/>
      <c r="L831" s="36"/>
      <c r="M831" s="36"/>
      <c r="N831" s="36"/>
      <c r="O831" s="36"/>
      <c r="P831" s="36"/>
      <c r="Q831" s="36"/>
      <c r="R831" s="36"/>
      <c r="S831" s="36"/>
      <c r="T831" s="36"/>
      <c r="U831" s="36"/>
      <c r="V831" s="36"/>
      <c r="W831" s="36"/>
      <c r="X831" s="36"/>
      <c r="Y831" s="36"/>
      <c r="Z831" s="36"/>
      <c r="AA831" s="36"/>
      <c r="AB831" s="36"/>
      <c r="AC831" s="36"/>
    </row>
    <row r="832" spans="1:29" ht="276" customHeight="1">
      <c r="A832" s="81"/>
      <c r="B832" s="81"/>
      <c r="C832" s="81"/>
      <c r="D832" s="81"/>
      <c r="E832" s="620"/>
      <c r="F832" s="620"/>
      <c r="G832" s="620"/>
      <c r="H832" s="94"/>
      <c r="I832" s="81"/>
      <c r="J832" s="35"/>
      <c r="K832" s="36"/>
      <c r="L832" s="36"/>
      <c r="M832" s="36"/>
      <c r="N832" s="36"/>
      <c r="O832" s="36"/>
      <c r="P832" s="36"/>
      <c r="Q832" s="36"/>
      <c r="R832" s="36"/>
      <c r="S832" s="36"/>
      <c r="T832" s="36"/>
      <c r="U832" s="36"/>
      <c r="V832" s="36"/>
      <c r="W832" s="36"/>
      <c r="X832" s="36"/>
      <c r="Y832" s="36"/>
      <c r="Z832" s="36"/>
      <c r="AA832" s="36"/>
      <c r="AB832" s="36"/>
      <c r="AC832" s="36"/>
    </row>
    <row r="833" spans="1:29" ht="24" customHeight="1">
      <c r="A833" s="81"/>
      <c r="B833" s="81"/>
      <c r="C833" s="81"/>
      <c r="D833" s="81"/>
      <c r="E833" s="620"/>
      <c r="F833" s="620"/>
      <c r="G833" s="620"/>
      <c r="H833" s="94"/>
      <c r="I833" s="81"/>
      <c r="J833" s="35"/>
      <c r="K833" s="36"/>
      <c r="L833" s="36"/>
      <c r="M833" s="36"/>
      <c r="N833" s="36"/>
      <c r="O833" s="36"/>
      <c r="P833" s="36"/>
      <c r="Q833" s="36"/>
      <c r="R833" s="36"/>
      <c r="S833" s="36"/>
      <c r="T833" s="36"/>
      <c r="U833" s="36"/>
      <c r="V833" s="36"/>
      <c r="W833" s="36"/>
      <c r="X833" s="36"/>
      <c r="Y833" s="36"/>
      <c r="Z833" s="36"/>
      <c r="AA833" s="36"/>
      <c r="AB833" s="36"/>
      <c r="AC833" s="36"/>
    </row>
    <row r="834" spans="1:29" ht="180" customHeight="1">
      <c r="A834" s="81"/>
      <c r="B834" s="94"/>
      <c r="C834" s="100"/>
      <c r="D834" s="100"/>
      <c r="E834" s="627"/>
      <c r="F834" s="627"/>
      <c r="G834" s="620"/>
      <c r="H834" s="100"/>
      <c r="I834" s="81"/>
      <c r="J834" s="35"/>
      <c r="K834" s="36"/>
      <c r="L834" s="36"/>
      <c r="M834" s="36"/>
      <c r="N834" s="36"/>
      <c r="O834" s="36"/>
      <c r="P834" s="36"/>
      <c r="Q834" s="36"/>
      <c r="R834" s="36"/>
      <c r="S834" s="36"/>
      <c r="T834" s="36"/>
      <c r="U834" s="36"/>
      <c r="V834" s="36"/>
      <c r="W834" s="36"/>
      <c r="X834" s="36"/>
      <c r="Y834" s="36"/>
      <c r="Z834" s="36"/>
      <c r="AA834" s="36"/>
      <c r="AB834" s="36"/>
      <c r="AC834" s="36"/>
    </row>
    <row r="835" spans="1:29" ht="96" customHeight="1">
      <c r="A835" s="81"/>
      <c r="B835" s="94"/>
      <c r="C835" s="100"/>
      <c r="D835" s="100"/>
      <c r="E835" s="627"/>
      <c r="F835" s="627"/>
      <c r="G835" s="620"/>
      <c r="H835" s="100"/>
      <c r="I835" s="81"/>
      <c r="J835" s="35"/>
      <c r="K835" s="36"/>
      <c r="L835" s="36"/>
      <c r="M835" s="36"/>
      <c r="N835" s="36"/>
      <c r="O835" s="36"/>
      <c r="P835" s="36"/>
      <c r="Q835" s="36"/>
      <c r="R835" s="36"/>
      <c r="S835" s="36"/>
      <c r="T835" s="36"/>
      <c r="U835" s="36"/>
      <c r="V835" s="36"/>
      <c r="W835" s="36"/>
      <c r="X835" s="36"/>
      <c r="Y835" s="36"/>
      <c r="Z835" s="36"/>
      <c r="AA835" s="36"/>
      <c r="AB835" s="36"/>
      <c r="AC835" s="36"/>
    </row>
    <row r="836" spans="1:29" ht="108" customHeight="1">
      <c r="A836" s="81"/>
      <c r="B836" s="81"/>
      <c r="C836" s="81"/>
      <c r="D836" s="81"/>
      <c r="E836" s="620"/>
      <c r="F836" s="620"/>
      <c r="G836" s="620"/>
      <c r="H836" s="94"/>
      <c r="I836" s="81"/>
      <c r="J836" s="35"/>
      <c r="K836" s="36"/>
      <c r="L836" s="36"/>
      <c r="M836" s="36"/>
      <c r="N836" s="36"/>
      <c r="O836" s="36"/>
      <c r="P836" s="36"/>
      <c r="Q836" s="36"/>
      <c r="R836" s="36"/>
      <c r="S836" s="36"/>
      <c r="T836" s="36"/>
      <c r="U836" s="36"/>
      <c r="V836" s="36"/>
      <c r="W836" s="36"/>
      <c r="X836" s="36"/>
      <c r="Y836" s="36"/>
      <c r="Z836" s="36"/>
      <c r="AA836" s="36"/>
      <c r="AB836" s="36"/>
      <c r="AC836" s="36"/>
    </row>
    <row r="837" spans="1:29" ht="84" customHeight="1">
      <c r="A837" s="81"/>
      <c r="B837" s="81"/>
      <c r="C837" s="81"/>
      <c r="D837" s="81"/>
      <c r="E837" s="620"/>
      <c r="F837" s="620"/>
      <c r="G837" s="620"/>
      <c r="H837" s="94"/>
      <c r="I837" s="81"/>
      <c r="J837" s="35"/>
      <c r="K837" s="36"/>
      <c r="L837" s="36"/>
      <c r="M837" s="36"/>
      <c r="N837" s="36"/>
      <c r="O837" s="36"/>
      <c r="P837" s="36"/>
      <c r="Q837" s="36"/>
      <c r="R837" s="36"/>
      <c r="S837" s="36"/>
      <c r="T837" s="36"/>
      <c r="U837" s="36"/>
      <c r="V837" s="36"/>
      <c r="W837" s="36"/>
      <c r="X837" s="36"/>
      <c r="Y837" s="36"/>
      <c r="Z837" s="36"/>
      <c r="AA837" s="36"/>
      <c r="AB837" s="36"/>
      <c r="AC837" s="36"/>
    </row>
    <row r="838" spans="1:29" ht="72" customHeight="1">
      <c r="A838" s="81"/>
      <c r="B838" s="81"/>
      <c r="C838" s="81"/>
      <c r="D838" s="81"/>
      <c r="E838" s="620"/>
      <c r="F838" s="620"/>
      <c r="G838" s="620"/>
      <c r="H838" s="94"/>
      <c r="I838" s="81"/>
      <c r="J838" s="35"/>
      <c r="K838" s="36"/>
      <c r="L838" s="36"/>
      <c r="M838" s="36"/>
      <c r="N838" s="36"/>
      <c r="O838" s="36"/>
      <c r="P838" s="36"/>
      <c r="Q838" s="36"/>
      <c r="R838" s="36"/>
      <c r="S838" s="36"/>
      <c r="T838" s="36"/>
      <c r="U838" s="36"/>
      <c r="V838" s="36"/>
      <c r="W838" s="36"/>
      <c r="X838" s="36"/>
      <c r="Y838" s="36"/>
      <c r="Z838" s="36"/>
      <c r="AA838" s="36"/>
      <c r="AB838" s="36"/>
      <c r="AC838" s="36"/>
    </row>
    <row r="839" spans="1:29" ht="180" customHeight="1">
      <c r="A839" s="81"/>
      <c r="B839" s="81"/>
      <c r="C839" s="81"/>
      <c r="D839" s="81"/>
      <c r="E839" s="620"/>
      <c r="F839" s="620"/>
      <c r="G839" s="620"/>
      <c r="H839" s="94"/>
      <c r="I839" s="81"/>
      <c r="J839" s="35"/>
      <c r="K839" s="36"/>
      <c r="L839" s="36"/>
      <c r="M839" s="36"/>
      <c r="N839" s="36"/>
      <c r="O839" s="36"/>
      <c r="P839" s="36"/>
      <c r="Q839" s="36"/>
      <c r="R839" s="36"/>
      <c r="S839" s="36"/>
      <c r="T839" s="36"/>
      <c r="U839" s="36"/>
      <c r="V839" s="36"/>
      <c r="W839" s="36"/>
      <c r="X839" s="36"/>
      <c r="Y839" s="36"/>
      <c r="Z839" s="36"/>
      <c r="AA839" s="36"/>
      <c r="AB839" s="36"/>
      <c r="AC839" s="36"/>
    </row>
    <row r="840" spans="1:29" ht="72" customHeight="1">
      <c r="A840" s="619"/>
      <c r="B840" s="81"/>
      <c r="C840" s="81"/>
      <c r="D840" s="81"/>
      <c r="E840" s="620"/>
      <c r="F840" s="620"/>
      <c r="G840" s="620"/>
      <c r="H840" s="94"/>
      <c r="I840" s="81"/>
      <c r="J840" s="35"/>
      <c r="K840" s="36"/>
      <c r="L840" s="36"/>
      <c r="M840" s="36"/>
      <c r="N840" s="36"/>
      <c r="O840" s="36"/>
      <c r="P840" s="36"/>
      <c r="Q840" s="36"/>
      <c r="R840" s="36"/>
      <c r="S840" s="36"/>
      <c r="T840" s="36"/>
      <c r="U840" s="36"/>
      <c r="V840" s="36"/>
      <c r="W840" s="36"/>
      <c r="X840" s="36"/>
      <c r="Y840" s="36"/>
      <c r="Z840" s="36"/>
      <c r="AA840" s="36"/>
      <c r="AB840" s="36"/>
      <c r="AC840" s="36"/>
    </row>
    <row r="841" spans="1:29" ht="192" customHeight="1">
      <c r="A841" s="619"/>
      <c r="B841" s="81"/>
      <c r="C841" s="81"/>
      <c r="D841" s="81"/>
      <c r="E841" s="620"/>
      <c r="F841" s="620"/>
      <c r="G841" s="620"/>
      <c r="H841" s="94"/>
      <c r="I841" s="81"/>
      <c r="J841" s="35"/>
      <c r="K841" s="36"/>
      <c r="L841" s="36"/>
      <c r="M841" s="36"/>
      <c r="N841" s="36"/>
      <c r="O841" s="36"/>
      <c r="P841" s="36"/>
      <c r="Q841" s="36"/>
      <c r="R841" s="36"/>
      <c r="S841" s="36"/>
      <c r="T841" s="36"/>
      <c r="U841" s="36"/>
      <c r="V841" s="36"/>
      <c r="W841" s="36"/>
      <c r="X841" s="36"/>
      <c r="Y841" s="36"/>
      <c r="Z841" s="36"/>
      <c r="AA841" s="36"/>
      <c r="AB841" s="36"/>
      <c r="AC841" s="36"/>
    </row>
    <row r="842" spans="1:29" ht="60" customHeight="1">
      <c r="A842" s="619"/>
      <c r="B842" s="81"/>
      <c r="C842" s="81"/>
      <c r="D842" s="81"/>
      <c r="E842" s="620"/>
      <c r="F842" s="620"/>
      <c r="G842" s="620"/>
      <c r="H842" s="94"/>
      <c r="I842" s="81"/>
      <c r="J842" s="35"/>
      <c r="K842" s="36"/>
      <c r="L842" s="36"/>
      <c r="M842" s="36"/>
      <c r="N842" s="36"/>
      <c r="O842" s="36"/>
      <c r="P842" s="36"/>
      <c r="Q842" s="36"/>
      <c r="R842" s="36"/>
      <c r="S842" s="36"/>
      <c r="T842" s="36"/>
      <c r="U842" s="36"/>
      <c r="V842" s="36"/>
      <c r="W842" s="36"/>
      <c r="X842" s="36"/>
      <c r="Y842" s="36"/>
      <c r="Z842" s="36"/>
      <c r="AA842" s="36"/>
      <c r="AB842" s="36"/>
      <c r="AC842" s="36"/>
    </row>
    <row r="843" spans="1:29" ht="84" customHeight="1">
      <c r="A843" s="619"/>
      <c r="B843" s="81"/>
      <c r="C843" s="81"/>
      <c r="D843" s="81"/>
      <c r="E843" s="620"/>
      <c r="F843" s="620"/>
      <c r="G843" s="620"/>
      <c r="H843" s="94"/>
      <c r="I843" s="81"/>
      <c r="J843" s="35"/>
      <c r="K843" s="36"/>
      <c r="L843" s="36"/>
      <c r="M843" s="36"/>
      <c r="N843" s="36"/>
      <c r="O843" s="36"/>
      <c r="P843" s="36"/>
      <c r="Q843" s="36"/>
      <c r="R843" s="36"/>
      <c r="S843" s="36"/>
      <c r="T843" s="36"/>
      <c r="U843" s="36"/>
      <c r="V843" s="36"/>
      <c r="W843" s="36"/>
      <c r="X843" s="36"/>
      <c r="Y843" s="36"/>
      <c r="Z843" s="36"/>
      <c r="AA843" s="36"/>
      <c r="AB843" s="36"/>
      <c r="AC843" s="36"/>
    </row>
    <row r="844" spans="1:29" ht="228" customHeight="1">
      <c r="A844" s="619"/>
      <c r="B844" s="81"/>
      <c r="C844" s="100"/>
      <c r="D844" s="100"/>
      <c r="E844" s="627"/>
      <c r="F844" s="627"/>
      <c r="G844" s="620"/>
      <c r="H844" s="100"/>
      <c r="I844" s="81"/>
      <c r="J844" s="35"/>
      <c r="K844" s="36"/>
      <c r="L844" s="36"/>
      <c r="M844" s="36"/>
      <c r="N844" s="36"/>
      <c r="O844" s="36"/>
      <c r="P844" s="36"/>
      <c r="Q844" s="36"/>
      <c r="R844" s="36"/>
      <c r="S844" s="36"/>
      <c r="T844" s="36"/>
      <c r="U844" s="36"/>
      <c r="V844" s="36"/>
      <c r="W844" s="36"/>
      <c r="X844" s="36"/>
      <c r="Y844" s="36"/>
      <c r="Z844" s="36"/>
      <c r="AA844" s="36"/>
      <c r="AB844" s="36"/>
      <c r="AC844" s="36"/>
    </row>
    <row r="845" spans="1:29" ht="84" customHeight="1">
      <c r="A845" s="619"/>
      <c r="B845" s="81"/>
      <c r="C845" s="81"/>
      <c r="D845" s="81"/>
      <c r="E845" s="620"/>
      <c r="F845" s="620"/>
      <c r="G845" s="620"/>
      <c r="H845" s="94"/>
      <c r="I845" s="81"/>
      <c r="J845" s="35"/>
      <c r="K845" s="36"/>
      <c r="L845" s="36"/>
      <c r="M845" s="36"/>
      <c r="N845" s="36"/>
      <c r="O845" s="36"/>
      <c r="P845" s="36"/>
      <c r="Q845" s="36"/>
      <c r="R845" s="36"/>
      <c r="S845" s="36"/>
      <c r="T845" s="36"/>
      <c r="U845" s="36"/>
      <c r="V845" s="36"/>
      <c r="W845" s="36"/>
      <c r="X845" s="36"/>
      <c r="Y845" s="36"/>
      <c r="Z845" s="36"/>
      <c r="AA845" s="36"/>
      <c r="AB845" s="36"/>
      <c r="AC845" s="36"/>
    </row>
    <row r="846" spans="1:29" ht="144" customHeight="1">
      <c r="A846" s="619"/>
      <c r="B846" s="81"/>
      <c r="C846" s="81"/>
      <c r="D846" s="81"/>
      <c r="E846" s="620"/>
      <c r="F846" s="620"/>
      <c r="G846" s="620"/>
      <c r="H846" s="94"/>
      <c r="I846" s="81"/>
      <c r="J846" s="35"/>
      <c r="K846" s="36"/>
      <c r="L846" s="36"/>
      <c r="M846" s="36"/>
      <c r="N846" s="36"/>
      <c r="O846" s="36"/>
      <c r="P846" s="36"/>
      <c r="Q846" s="36"/>
      <c r="R846" s="36"/>
      <c r="S846" s="36"/>
      <c r="T846" s="36"/>
      <c r="U846" s="36"/>
      <c r="V846" s="36"/>
      <c r="W846" s="36"/>
      <c r="X846" s="36"/>
      <c r="Y846" s="36"/>
      <c r="Z846" s="36"/>
      <c r="AA846" s="36"/>
      <c r="AB846" s="36"/>
      <c r="AC846" s="36"/>
    </row>
    <row r="847" spans="1:29" ht="409.5" customHeight="1">
      <c r="A847" s="619"/>
      <c r="B847" s="81"/>
      <c r="C847" s="81"/>
      <c r="D847" s="81"/>
      <c r="E847" s="620"/>
      <c r="F847" s="620"/>
      <c r="G847" s="620"/>
      <c r="H847" s="94"/>
      <c r="I847" s="81"/>
      <c r="J847" s="35"/>
      <c r="K847" s="36"/>
      <c r="L847" s="36"/>
      <c r="M847" s="36"/>
      <c r="N847" s="36"/>
      <c r="O847" s="36"/>
      <c r="P847" s="36"/>
      <c r="Q847" s="36"/>
      <c r="R847" s="36"/>
      <c r="S847" s="36"/>
      <c r="T847" s="36"/>
      <c r="U847" s="36"/>
      <c r="V847" s="36"/>
      <c r="W847" s="36"/>
      <c r="X847" s="36"/>
      <c r="Y847" s="36"/>
      <c r="Z847" s="36"/>
      <c r="AA847" s="36"/>
      <c r="AB847" s="36"/>
      <c r="AC847" s="36"/>
    </row>
    <row r="848" spans="1:29" ht="96" customHeight="1">
      <c r="A848" s="619"/>
      <c r="B848" s="81"/>
      <c r="C848" s="81"/>
      <c r="D848" s="81"/>
      <c r="E848" s="620"/>
      <c r="F848" s="620"/>
      <c r="G848" s="620"/>
      <c r="H848" s="94"/>
      <c r="I848" s="81"/>
      <c r="J848" s="35"/>
      <c r="K848" s="36"/>
      <c r="L848" s="36"/>
      <c r="M848" s="36"/>
      <c r="N848" s="36"/>
      <c r="O848" s="36"/>
      <c r="P848" s="36"/>
      <c r="Q848" s="36"/>
      <c r="R848" s="36"/>
      <c r="S848" s="36"/>
      <c r="T848" s="36"/>
      <c r="U848" s="36"/>
      <c r="V848" s="36"/>
      <c r="W848" s="36"/>
      <c r="X848" s="36"/>
      <c r="Y848" s="36"/>
      <c r="Z848" s="36"/>
      <c r="AA848" s="36"/>
      <c r="AB848" s="36"/>
      <c r="AC848" s="36"/>
    </row>
    <row r="849" spans="1:29" ht="180" customHeight="1">
      <c r="A849" s="619"/>
      <c r="B849" s="81"/>
      <c r="C849" s="81"/>
      <c r="D849" s="81"/>
      <c r="E849" s="620"/>
      <c r="F849" s="620"/>
      <c r="G849" s="620"/>
      <c r="H849" s="94"/>
      <c r="I849" s="81"/>
      <c r="J849" s="35"/>
      <c r="K849" s="36"/>
      <c r="L849" s="36"/>
      <c r="M849" s="36"/>
      <c r="N849" s="36"/>
      <c r="O849" s="36"/>
      <c r="P849" s="36"/>
      <c r="Q849" s="36"/>
      <c r="R849" s="36"/>
      <c r="S849" s="36"/>
      <c r="T849" s="36"/>
      <c r="U849" s="36"/>
      <c r="V849" s="36"/>
      <c r="W849" s="36"/>
      <c r="X849" s="36"/>
      <c r="Y849" s="36"/>
      <c r="Z849" s="36"/>
      <c r="AA849" s="36"/>
      <c r="AB849" s="36"/>
      <c r="AC849" s="36"/>
    </row>
    <row r="850" spans="1:29" ht="156" customHeight="1">
      <c r="A850" s="619"/>
      <c r="B850" s="81"/>
      <c r="C850" s="100"/>
      <c r="D850" s="100"/>
      <c r="E850" s="627"/>
      <c r="F850" s="627"/>
      <c r="G850" s="627"/>
      <c r="H850" s="463"/>
      <c r="I850" s="100"/>
      <c r="J850" s="35"/>
      <c r="K850" s="36"/>
      <c r="L850" s="36"/>
      <c r="M850" s="36"/>
      <c r="N850" s="36"/>
      <c r="O850" s="36"/>
      <c r="P850" s="36"/>
      <c r="Q850" s="36"/>
      <c r="R850" s="36"/>
      <c r="S850" s="36"/>
      <c r="T850" s="36"/>
      <c r="U850" s="36"/>
      <c r="V850" s="36"/>
      <c r="W850" s="36"/>
      <c r="X850" s="36"/>
      <c r="Y850" s="36"/>
      <c r="Z850" s="36"/>
      <c r="AA850" s="36"/>
      <c r="AB850" s="36"/>
      <c r="AC850" s="36"/>
    </row>
    <row r="851" spans="1:29" ht="144" customHeight="1">
      <c r="A851" s="81"/>
      <c r="B851" s="81"/>
      <c r="C851" s="81"/>
      <c r="D851" s="81"/>
      <c r="E851" s="620"/>
      <c r="F851" s="620"/>
      <c r="G851" s="620"/>
      <c r="H851" s="94"/>
      <c r="I851" s="81"/>
      <c r="J851" s="35"/>
      <c r="K851" s="36"/>
      <c r="L851" s="36"/>
      <c r="M851" s="36"/>
      <c r="N851" s="36"/>
      <c r="O851" s="36"/>
      <c r="P851" s="36"/>
      <c r="Q851" s="36"/>
      <c r="R851" s="36"/>
      <c r="S851" s="36"/>
      <c r="T851" s="36"/>
      <c r="U851" s="36"/>
      <c r="V851" s="36"/>
      <c r="W851" s="36"/>
      <c r="X851" s="36"/>
      <c r="Y851" s="36"/>
      <c r="Z851" s="36"/>
      <c r="AA851" s="36"/>
      <c r="AB851" s="36"/>
      <c r="AC851" s="36"/>
    </row>
    <row r="852" spans="1:29" ht="228" customHeight="1">
      <c r="A852" s="81"/>
      <c r="B852" s="81"/>
      <c r="C852" s="100"/>
      <c r="D852" s="100"/>
      <c r="E852" s="627"/>
      <c r="F852" s="627"/>
      <c r="G852" s="620"/>
      <c r="H852" s="94"/>
      <c r="I852" s="81"/>
      <c r="J852" s="35"/>
      <c r="K852" s="36"/>
      <c r="L852" s="36"/>
      <c r="M852" s="36"/>
      <c r="N852" s="36"/>
      <c r="O852" s="36"/>
      <c r="P852" s="36"/>
      <c r="Q852" s="36"/>
      <c r="R852" s="36"/>
      <c r="S852" s="36"/>
      <c r="T852" s="36"/>
      <c r="U852" s="36"/>
      <c r="V852" s="36"/>
      <c r="W852" s="36"/>
      <c r="X852" s="36"/>
      <c r="Y852" s="36"/>
      <c r="Z852" s="36"/>
      <c r="AA852" s="36"/>
      <c r="AB852" s="36"/>
      <c r="AC852" s="36"/>
    </row>
    <row r="853" spans="1:29" ht="204" customHeight="1">
      <c r="A853" s="81"/>
      <c r="B853" s="81"/>
      <c r="C853" s="81"/>
      <c r="D853" s="81"/>
      <c r="E853" s="620"/>
      <c r="F853" s="620"/>
      <c r="G853" s="620"/>
      <c r="H853" s="94"/>
      <c r="I853" s="81"/>
      <c r="J853" s="35"/>
      <c r="K853" s="36"/>
      <c r="L853" s="36"/>
      <c r="M853" s="36"/>
      <c r="N853" s="36"/>
      <c r="O853" s="36"/>
      <c r="P853" s="36"/>
      <c r="Q853" s="36"/>
      <c r="R853" s="36"/>
      <c r="S853" s="36"/>
      <c r="T853" s="36"/>
      <c r="U853" s="36"/>
      <c r="V853" s="36"/>
      <c r="W853" s="36"/>
      <c r="X853" s="36"/>
      <c r="Y853" s="36"/>
      <c r="Z853" s="36"/>
      <c r="AA853" s="36"/>
      <c r="AB853" s="36"/>
      <c r="AC853" s="36"/>
    </row>
    <row r="854" spans="1:29" ht="168" customHeight="1">
      <c r="A854" s="81"/>
      <c r="B854" s="81"/>
      <c r="C854" s="81"/>
      <c r="D854" s="81"/>
      <c r="E854" s="620"/>
      <c r="F854" s="620"/>
      <c r="G854" s="620"/>
      <c r="H854" s="94"/>
      <c r="I854" s="81"/>
      <c r="J854" s="35"/>
      <c r="K854" s="36"/>
      <c r="L854" s="36"/>
      <c r="M854" s="36"/>
      <c r="N854" s="36"/>
      <c r="O854" s="36"/>
      <c r="P854" s="36"/>
      <c r="Q854" s="36"/>
      <c r="R854" s="36"/>
      <c r="S854" s="36"/>
      <c r="T854" s="36"/>
      <c r="U854" s="36"/>
      <c r="V854" s="36"/>
      <c r="W854" s="36"/>
      <c r="X854" s="36"/>
      <c r="Y854" s="36"/>
      <c r="Z854" s="36"/>
      <c r="AA854" s="36"/>
      <c r="AB854" s="36"/>
      <c r="AC854" s="36"/>
    </row>
    <row r="855" spans="1:29" ht="240" customHeight="1">
      <c r="A855" s="81"/>
      <c r="B855" s="81"/>
      <c r="C855" s="81"/>
      <c r="D855" s="81"/>
      <c r="E855" s="620"/>
      <c r="F855" s="620"/>
      <c r="G855" s="620"/>
      <c r="H855" s="94"/>
      <c r="I855" s="81"/>
      <c r="J855" s="35"/>
      <c r="K855" s="36"/>
      <c r="L855" s="36"/>
      <c r="M855" s="36"/>
      <c r="N855" s="36"/>
      <c r="O855" s="36"/>
      <c r="P855" s="36"/>
      <c r="Q855" s="36"/>
      <c r="R855" s="36"/>
      <c r="S855" s="36"/>
      <c r="T855" s="36"/>
      <c r="U855" s="36"/>
      <c r="V855" s="36"/>
      <c r="W855" s="36"/>
      <c r="X855" s="36"/>
      <c r="Y855" s="36"/>
      <c r="Z855" s="36"/>
      <c r="AA855" s="36"/>
      <c r="AB855" s="36"/>
      <c r="AC855" s="36"/>
    </row>
    <row r="856" spans="1:29" ht="204" customHeight="1">
      <c r="A856" s="81"/>
      <c r="B856" s="81"/>
      <c r="C856" s="81"/>
      <c r="D856" s="81"/>
      <c r="E856" s="620"/>
      <c r="F856" s="620"/>
      <c r="G856" s="620"/>
      <c r="H856" s="94"/>
      <c r="I856" s="81"/>
      <c r="J856" s="35"/>
      <c r="K856" s="36"/>
      <c r="L856" s="36"/>
      <c r="M856" s="36"/>
      <c r="N856" s="36"/>
      <c r="O856" s="36"/>
      <c r="P856" s="36"/>
      <c r="Q856" s="36"/>
      <c r="R856" s="36"/>
      <c r="S856" s="36"/>
      <c r="T856" s="36"/>
      <c r="U856" s="36"/>
      <c r="V856" s="36"/>
      <c r="W856" s="36"/>
      <c r="X856" s="36"/>
      <c r="Y856" s="36"/>
      <c r="Z856" s="36"/>
      <c r="AA856" s="36"/>
      <c r="AB856" s="36"/>
      <c r="AC856" s="36"/>
    </row>
    <row r="857" spans="1:29" ht="264" customHeight="1">
      <c r="A857" s="81"/>
      <c r="B857" s="81"/>
      <c r="C857" s="81"/>
      <c r="D857" s="81"/>
      <c r="E857" s="620"/>
      <c r="F857" s="620"/>
      <c r="G857" s="620"/>
      <c r="H857" s="94"/>
      <c r="I857" s="81"/>
      <c r="J857" s="35"/>
      <c r="K857" s="36"/>
      <c r="L857" s="36"/>
      <c r="M857" s="36"/>
      <c r="N857" s="36"/>
      <c r="O857" s="36"/>
      <c r="P857" s="36"/>
      <c r="Q857" s="36"/>
      <c r="R857" s="36"/>
      <c r="S857" s="36"/>
      <c r="T857" s="36"/>
      <c r="U857" s="36"/>
      <c r="V857" s="36"/>
      <c r="W857" s="36"/>
      <c r="X857" s="36"/>
      <c r="Y857" s="36"/>
      <c r="Z857" s="36"/>
      <c r="AA857" s="36"/>
      <c r="AB857" s="36"/>
      <c r="AC857" s="36"/>
    </row>
    <row r="858" spans="1:29" ht="60" customHeight="1">
      <c r="A858" s="81"/>
      <c r="B858" s="81"/>
      <c r="C858" s="81"/>
      <c r="D858" s="81"/>
      <c r="E858" s="620"/>
      <c r="F858" s="620"/>
      <c r="G858" s="620"/>
      <c r="H858" s="94"/>
      <c r="I858" s="81"/>
      <c r="J858" s="35"/>
      <c r="K858" s="36"/>
      <c r="L858" s="36"/>
      <c r="M858" s="36"/>
      <c r="N858" s="36"/>
      <c r="O858" s="36"/>
      <c r="P858" s="36"/>
      <c r="Q858" s="36"/>
      <c r="R858" s="36"/>
      <c r="S858" s="36"/>
      <c r="T858" s="36"/>
      <c r="U858" s="36"/>
      <c r="V858" s="36"/>
      <c r="W858" s="36"/>
      <c r="X858" s="36"/>
      <c r="Y858" s="36"/>
      <c r="Z858" s="36"/>
      <c r="AA858" s="36"/>
      <c r="AB858" s="36"/>
      <c r="AC858" s="36"/>
    </row>
    <row r="859" spans="1:29" ht="36" customHeight="1">
      <c r="A859" s="81"/>
      <c r="B859" s="81"/>
      <c r="C859" s="81"/>
      <c r="D859" s="81"/>
      <c r="E859" s="620"/>
      <c r="F859" s="620"/>
      <c r="G859" s="620"/>
      <c r="H859" s="94"/>
      <c r="I859" s="81"/>
      <c r="J859" s="35"/>
      <c r="K859" s="36"/>
      <c r="L859" s="36"/>
      <c r="M859" s="36"/>
      <c r="N859" s="36"/>
      <c r="O859" s="36"/>
      <c r="P859" s="36"/>
      <c r="Q859" s="36"/>
      <c r="R859" s="36"/>
      <c r="S859" s="36"/>
      <c r="T859" s="36"/>
      <c r="U859" s="36"/>
      <c r="V859" s="36"/>
      <c r="W859" s="36"/>
      <c r="X859" s="36"/>
      <c r="Y859" s="36"/>
      <c r="Z859" s="36"/>
      <c r="AA859" s="36"/>
      <c r="AB859" s="36"/>
      <c r="AC859" s="36"/>
    </row>
    <row r="860" spans="1:29" ht="216" customHeight="1">
      <c r="A860" s="81"/>
      <c r="B860" s="81"/>
      <c r="C860" s="100"/>
      <c r="D860" s="100"/>
      <c r="E860" s="627"/>
      <c r="F860" s="627"/>
      <c r="G860" s="620"/>
      <c r="H860" s="100"/>
      <c r="I860" s="81"/>
      <c r="J860" s="35"/>
      <c r="K860" s="36"/>
      <c r="L860" s="36"/>
      <c r="M860" s="36"/>
      <c r="N860" s="36"/>
      <c r="O860" s="36"/>
      <c r="P860" s="36"/>
      <c r="Q860" s="36"/>
      <c r="R860" s="36"/>
      <c r="S860" s="36"/>
      <c r="T860" s="36"/>
      <c r="U860" s="36"/>
      <c r="V860" s="36"/>
      <c r="W860" s="36"/>
      <c r="X860" s="36"/>
      <c r="Y860" s="36"/>
      <c r="Z860" s="36"/>
      <c r="AA860" s="36"/>
      <c r="AB860" s="36"/>
      <c r="AC860" s="36"/>
    </row>
    <row r="861" spans="1:29" ht="72" customHeight="1">
      <c r="A861" s="81"/>
      <c r="B861" s="81"/>
      <c r="C861" s="81"/>
      <c r="D861" s="81"/>
      <c r="E861" s="620"/>
      <c r="F861" s="620"/>
      <c r="G861" s="620"/>
      <c r="H861" s="94"/>
      <c r="I861" s="81"/>
      <c r="J861" s="35"/>
      <c r="K861" s="36"/>
      <c r="L861" s="36"/>
      <c r="M861" s="36"/>
      <c r="N861" s="36"/>
      <c r="O861" s="36"/>
      <c r="P861" s="36"/>
      <c r="Q861" s="36"/>
      <c r="R861" s="36"/>
      <c r="S861" s="36"/>
      <c r="T861" s="36"/>
      <c r="U861" s="36"/>
      <c r="V861" s="36"/>
      <c r="W861" s="36"/>
      <c r="X861" s="36"/>
      <c r="Y861" s="36"/>
      <c r="Z861" s="36"/>
      <c r="AA861" s="36"/>
      <c r="AB861" s="36"/>
      <c r="AC861" s="36"/>
    </row>
    <row r="862" spans="1:29" ht="72" customHeight="1">
      <c r="A862" s="81"/>
      <c r="B862" s="81"/>
      <c r="C862" s="81"/>
      <c r="D862" s="81"/>
      <c r="E862" s="620"/>
      <c r="F862" s="620"/>
      <c r="G862" s="620"/>
      <c r="H862" s="94"/>
      <c r="I862" s="81"/>
      <c r="J862" s="35"/>
      <c r="K862" s="36"/>
      <c r="L862" s="36"/>
      <c r="M862" s="36"/>
      <c r="N862" s="36"/>
      <c r="O862" s="36"/>
      <c r="P862" s="36"/>
      <c r="Q862" s="36"/>
      <c r="R862" s="36"/>
      <c r="S862" s="36"/>
      <c r="T862" s="36"/>
      <c r="U862" s="36"/>
      <c r="V862" s="36"/>
      <c r="W862" s="36"/>
      <c r="X862" s="36"/>
      <c r="Y862" s="36"/>
      <c r="Z862" s="36"/>
      <c r="AA862" s="36"/>
      <c r="AB862" s="36"/>
      <c r="AC862" s="36"/>
    </row>
    <row r="863" spans="1:29" ht="48" customHeight="1">
      <c r="A863" s="81"/>
      <c r="B863" s="81"/>
      <c r="C863" s="81"/>
      <c r="D863" s="81"/>
      <c r="E863" s="620"/>
      <c r="F863" s="620"/>
      <c r="G863" s="620"/>
      <c r="H863" s="94"/>
      <c r="I863" s="81"/>
      <c r="J863" s="35"/>
      <c r="K863" s="36"/>
      <c r="L863" s="36"/>
      <c r="M863" s="36"/>
      <c r="N863" s="36"/>
      <c r="O863" s="36"/>
      <c r="P863" s="36"/>
      <c r="Q863" s="36"/>
      <c r="R863" s="36"/>
      <c r="S863" s="36"/>
      <c r="T863" s="36"/>
      <c r="U863" s="36"/>
      <c r="V863" s="36"/>
      <c r="W863" s="36"/>
      <c r="X863" s="36"/>
      <c r="Y863" s="36"/>
      <c r="Z863" s="36"/>
      <c r="AA863" s="36"/>
      <c r="AB863" s="36"/>
      <c r="AC863" s="36"/>
    </row>
    <row r="864" spans="1:29" ht="24" customHeight="1">
      <c r="A864" s="81"/>
      <c r="B864" s="81"/>
      <c r="C864" s="81"/>
      <c r="D864" s="81"/>
      <c r="E864" s="620"/>
      <c r="F864" s="620"/>
      <c r="G864" s="620"/>
      <c r="H864" s="94"/>
      <c r="I864" s="81"/>
      <c r="J864" s="35"/>
      <c r="K864" s="36"/>
      <c r="L864" s="36"/>
      <c r="M864" s="36"/>
      <c r="N864" s="36"/>
      <c r="O864" s="36"/>
      <c r="P864" s="36"/>
      <c r="Q864" s="36"/>
      <c r="R864" s="36"/>
      <c r="S864" s="36"/>
      <c r="T864" s="36"/>
      <c r="U864" s="36"/>
      <c r="V864" s="36"/>
      <c r="W864" s="36"/>
      <c r="X864" s="36"/>
      <c r="Y864" s="36"/>
      <c r="Z864" s="36"/>
      <c r="AA864" s="36"/>
      <c r="AB864" s="36"/>
      <c r="AC864" s="36"/>
    </row>
    <row r="865" spans="1:29" ht="216" customHeight="1">
      <c r="A865" s="81"/>
      <c r="B865" s="81"/>
      <c r="C865" s="81"/>
      <c r="D865" s="81"/>
      <c r="E865" s="620"/>
      <c r="F865" s="620"/>
      <c r="G865" s="620"/>
      <c r="H865" s="94"/>
      <c r="I865" s="81"/>
      <c r="J865" s="35"/>
      <c r="K865" s="36"/>
      <c r="L865" s="36"/>
      <c r="M865" s="36"/>
      <c r="N865" s="36"/>
      <c r="O865" s="36"/>
      <c r="P865" s="36"/>
      <c r="Q865" s="36"/>
      <c r="R865" s="36"/>
      <c r="S865" s="36"/>
      <c r="T865" s="36"/>
      <c r="U865" s="36"/>
      <c r="V865" s="36"/>
      <c r="W865" s="36"/>
      <c r="X865" s="36"/>
      <c r="Y865" s="36"/>
      <c r="Z865" s="36"/>
      <c r="AA865" s="36"/>
      <c r="AB865" s="36"/>
      <c r="AC865" s="36"/>
    </row>
    <row r="866" spans="1:29" ht="276" customHeight="1">
      <c r="A866" s="81"/>
      <c r="B866" s="81"/>
      <c r="C866" s="81"/>
      <c r="D866" s="81"/>
      <c r="E866" s="620"/>
      <c r="F866" s="620"/>
      <c r="G866" s="620"/>
      <c r="H866" s="94"/>
      <c r="I866" s="81"/>
      <c r="J866" s="35"/>
      <c r="K866" s="36"/>
      <c r="L866" s="36"/>
      <c r="M866" s="36"/>
      <c r="N866" s="36"/>
      <c r="O866" s="36"/>
      <c r="P866" s="36"/>
      <c r="Q866" s="36"/>
      <c r="R866" s="36"/>
      <c r="S866" s="36"/>
      <c r="T866" s="36"/>
      <c r="U866" s="36"/>
      <c r="V866" s="36"/>
      <c r="W866" s="36"/>
      <c r="X866" s="36"/>
      <c r="Y866" s="36"/>
      <c r="Z866" s="36"/>
      <c r="AA866" s="36"/>
      <c r="AB866" s="36"/>
      <c r="AC866" s="36"/>
    </row>
    <row r="867" spans="1:29" ht="132" customHeight="1">
      <c r="A867" s="81"/>
      <c r="B867" s="81"/>
      <c r="C867" s="100"/>
      <c r="D867" s="100"/>
      <c r="E867" s="627"/>
      <c r="F867" s="627"/>
      <c r="G867" s="627"/>
      <c r="H867" s="463"/>
      <c r="I867" s="81"/>
      <c r="J867" s="35"/>
      <c r="K867" s="36"/>
      <c r="L867" s="36"/>
      <c r="M867" s="36"/>
      <c r="N867" s="36"/>
      <c r="O867" s="36"/>
      <c r="P867" s="36"/>
      <c r="Q867" s="36"/>
      <c r="R867" s="36"/>
      <c r="S867" s="36"/>
      <c r="T867" s="36"/>
      <c r="U867" s="36"/>
      <c r="V867" s="36"/>
      <c r="W867" s="36"/>
      <c r="X867" s="36"/>
      <c r="Y867" s="36"/>
      <c r="Z867" s="36"/>
      <c r="AA867" s="36"/>
      <c r="AB867" s="36"/>
      <c r="AC867" s="36"/>
    </row>
    <row r="868" spans="1:29" ht="60" customHeight="1">
      <c r="A868" s="81"/>
      <c r="B868" s="81"/>
      <c r="C868" s="100"/>
      <c r="D868" s="100"/>
      <c r="E868" s="627"/>
      <c r="F868" s="627"/>
      <c r="G868" s="620"/>
      <c r="H868" s="94"/>
      <c r="I868" s="81"/>
      <c r="J868" s="35"/>
      <c r="K868" s="36"/>
      <c r="L868" s="36"/>
      <c r="M868" s="36"/>
      <c r="N868" s="36"/>
      <c r="O868" s="36"/>
      <c r="P868" s="36"/>
      <c r="Q868" s="36"/>
      <c r="R868" s="36"/>
      <c r="S868" s="36"/>
      <c r="T868" s="36"/>
      <c r="U868" s="36"/>
      <c r="V868" s="36"/>
      <c r="W868" s="36"/>
      <c r="X868" s="36"/>
      <c r="Y868" s="36"/>
      <c r="Z868" s="36"/>
      <c r="AA868" s="36"/>
      <c r="AB868" s="36"/>
      <c r="AC868" s="36"/>
    </row>
    <row r="869" spans="1:29" ht="96" customHeight="1">
      <c r="A869" s="81"/>
      <c r="B869" s="81"/>
      <c r="C869" s="81"/>
      <c r="D869" s="81"/>
      <c r="E869" s="620"/>
      <c r="F869" s="620"/>
      <c r="G869" s="620"/>
      <c r="H869" s="94"/>
      <c r="I869" s="81"/>
      <c r="J869" s="35"/>
      <c r="K869" s="36"/>
      <c r="L869" s="36"/>
      <c r="M869" s="36"/>
      <c r="N869" s="36"/>
      <c r="O869" s="36"/>
      <c r="P869" s="36"/>
      <c r="Q869" s="36"/>
      <c r="R869" s="36"/>
      <c r="S869" s="36"/>
      <c r="T869" s="36"/>
      <c r="U869" s="36"/>
      <c r="V869" s="36"/>
      <c r="W869" s="36"/>
      <c r="X869" s="36"/>
      <c r="Y869" s="36"/>
      <c r="Z869" s="36"/>
      <c r="AA869" s="36"/>
      <c r="AB869" s="36"/>
      <c r="AC869" s="36"/>
    </row>
    <row r="870" spans="1:29" ht="108" customHeight="1">
      <c r="A870" s="81"/>
      <c r="B870" s="81"/>
      <c r="C870" s="81"/>
      <c r="D870" s="81"/>
      <c r="E870" s="620"/>
      <c r="F870" s="620"/>
      <c r="G870" s="620"/>
      <c r="H870" s="94"/>
      <c r="I870" s="81"/>
      <c r="J870" s="35"/>
      <c r="K870" s="36"/>
      <c r="L870" s="36"/>
      <c r="M870" s="36"/>
      <c r="N870" s="36"/>
      <c r="O870" s="36"/>
      <c r="P870" s="36"/>
      <c r="Q870" s="36"/>
      <c r="R870" s="36"/>
      <c r="S870" s="36"/>
      <c r="T870" s="36"/>
      <c r="U870" s="36"/>
      <c r="V870" s="36"/>
      <c r="W870" s="36"/>
      <c r="X870" s="36"/>
      <c r="Y870" s="36"/>
      <c r="Z870" s="36"/>
      <c r="AA870" s="36"/>
      <c r="AB870" s="36"/>
      <c r="AC870" s="36"/>
    </row>
    <row r="871" spans="1:29" ht="164.25" customHeight="1">
      <c r="A871" s="81"/>
      <c r="B871" s="81"/>
      <c r="C871" s="81"/>
      <c r="D871" s="81"/>
      <c r="E871" s="620"/>
      <c r="F871" s="620"/>
      <c r="G871" s="620"/>
      <c r="H871" s="94"/>
      <c r="I871" s="81"/>
      <c r="J871" s="35"/>
      <c r="K871" s="36"/>
      <c r="L871" s="36"/>
      <c r="M871" s="36"/>
      <c r="N871" s="36"/>
      <c r="O871" s="36"/>
      <c r="P871" s="36"/>
      <c r="Q871" s="36"/>
      <c r="R871" s="36"/>
      <c r="S871" s="36"/>
      <c r="T871" s="36"/>
      <c r="U871" s="36"/>
      <c r="V871" s="36"/>
      <c r="W871" s="36"/>
      <c r="X871" s="36"/>
      <c r="Y871" s="36"/>
      <c r="Z871" s="36"/>
      <c r="AA871" s="36"/>
      <c r="AB871" s="36"/>
      <c r="AC871" s="36"/>
    </row>
    <row r="872" spans="1:29" ht="132" customHeight="1">
      <c r="A872" s="81"/>
      <c r="B872" s="81"/>
      <c r="C872" s="81"/>
      <c r="D872" s="81"/>
      <c r="E872" s="620"/>
      <c r="F872" s="620"/>
      <c r="G872" s="620"/>
      <c r="H872" s="94"/>
      <c r="I872" s="81"/>
      <c r="J872" s="35"/>
      <c r="K872" s="36"/>
      <c r="L872" s="36"/>
      <c r="M872" s="36"/>
      <c r="N872" s="36"/>
      <c r="O872" s="36"/>
      <c r="P872" s="36"/>
      <c r="Q872" s="36"/>
      <c r="R872" s="36"/>
      <c r="S872" s="36"/>
      <c r="T872" s="36"/>
      <c r="U872" s="36"/>
      <c r="V872" s="36"/>
      <c r="W872" s="36"/>
      <c r="X872" s="36"/>
      <c r="Y872" s="36"/>
      <c r="Z872" s="36"/>
      <c r="AA872" s="36"/>
      <c r="AB872" s="36"/>
      <c r="AC872" s="36"/>
    </row>
    <row r="873" spans="1:29" ht="96" customHeight="1">
      <c r="A873" s="81"/>
      <c r="B873" s="81"/>
      <c r="C873" s="81"/>
      <c r="D873" s="81"/>
      <c r="E873" s="620"/>
      <c r="F873" s="620"/>
      <c r="G873" s="620"/>
      <c r="H873" s="94"/>
      <c r="I873" s="81"/>
      <c r="J873" s="35"/>
      <c r="K873" s="36"/>
      <c r="L873" s="36"/>
      <c r="M873" s="36"/>
      <c r="N873" s="36"/>
      <c r="O873" s="36"/>
      <c r="P873" s="36"/>
      <c r="Q873" s="36"/>
      <c r="R873" s="36"/>
      <c r="S873" s="36"/>
      <c r="T873" s="36"/>
      <c r="U873" s="36"/>
      <c r="V873" s="36"/>
      <c r="W873" s="36"/>
      <c r="X873" s="36"/>
      <c r="Y873" s="36"/>
      <c r="Z873" s="36"/>
      <c r="AA873" s="36"/>
      <c r="AB873" s="36"/>
      <c r="AC873" s="36"/>
    </row>
    <row r="874" spans="1:29" ht="108" customHeight="1">
      <c r="A874" s="81"/>
      <c r="B874" s="81"/>
      <c r="C874" s="81"/>
      <c r="D874" s="81"/>
      <c r="E874" s="620"/>
      <c r="F874" s="620"/>
      <c r="G874" s="620"/>
      <c r="H874" s="94"/>
      <c r="I874" s="81"/>
      <c r="J874" s="35"/>
      <c r="K874" s="36"/>
      <c r="L874" s="36"/>
      <c r="M874" s="36"/>
      <c r="N874" s="36"/>
      <c r="O874" s="36"/>
      <c r="P874" s="36"/>
      <c r="Q874" s="36"/>
      <c r="R874" s="36"/>
      <c r="S874" s="36"/>
      <c r="T874" s="36"/>
      <c r="U874" s="36"/>
      <c r="V874" s="36"/>
      <c r="W874" s="36"/>
      <c r="X874" s="36"/>
      <c r="Y874" s="36"/>
      <c r="Z874" s="36"/>
      <c r="AA874" s="36"/>
      <c r="AB874" s="36"/>
      <c r="AC874" s="36"/>
    </row>
    <row r="875" spans="1:29" ht="99.75" customHeight="1">
      <c r="A875" s="81"/>
      <c r="B875" s="81"/>
      <c r="C875" s="81"/>
      <c r="D875" s="81"/>
      <c r="E875" s="620"/>
      <c r="F875" s="620"/>
      <c r="G875" s="620"/>
      <c r="H875" s="94"/>
      <c r="I875" s="81"/>
      <c r="J875" s="35"/>
      <c r="K875" s="36"/>
      <c r="L875" s="36"/>
      <c r="M875" s="36"/>
      <c r="N875" s="36"/>
      <c r="O875" s="36"/>
      <c r="P875" s="36"/>
      <c r="Q875" s="36"/>
      <c r="R875" s="36"/>
      <c r="S875" s="36"/>
      <c r="T875" s="36"/>
      <c r="U875" s="36"/>
      <c r="V875" s="36"/>
      <c r="W875" s="36"/>
      <c r="X875" s="36"/>
      <c r="Y875" s="36"/>
      <c r="Z875" s="36"/>
      <c r="AA875" s="36"/>
      <c r="AB875" s="36"/>
      <c r="AC875" s="36"/>
    </row>
    <row r="876" spans="1:29" ht="204" customHeight="1">
      <c r="A876" s="81"/>
      <c r="B876" s="81"/>
      <c r="C876" s="100"/>
      <c r="D876" s="100"/>
      <c r="E876" s="627"/>
      <c r="F876" s="627"/>
      <c r="G876" s="620"/>
      <c r="H876" s="94"/>
      <c r="I876" s="81"/>
      <c r="J876" s="35"/>
      <c r="K876" s="36"/>
      <c r="L876" s="36"/>
      <c r="M876" s="36"/>
      <c r="N876" s="36"/>
      <c r="O876" s="36"/>
      <c r="P876" s="36"/>
      <c r="Q876" s="36"/>
      <c r="R876" s="36"/>
      <c r="S876" s="36"/>
      <c r="T876" s="36"/>
      <c r="U876" s="36"/>
      <c r="V876" s="36"/>
      <c r="W876" s="36"/>
      <c r="X876" s="36"/>
      <c r="Y876" s="36"/>
      <c r="Z876" s="36"/>
      <c r="AA876" s="36"/>
      <c r="AB876" s="36"/>
      <c r="AC876" s="36"/>
    </row>
    <row r="877" spans="1:29" ht="12" customHeight="1">
      <c r="A877" s="81"/>
      <c r="B877" s="81"/>
      <c r="C877" s="100"/>
      <c r="D877" s="100"/>
      <c r="E877" s="627"/>
      <c r="F877" s="627"/>
      <c r="G877" s="620"/>
      <c r="H877" s="94"/>
      <c r="I877" s="81"/>
      <c r="J877" s="35"/>
      <c r="K877" s="36"/>
      <c r="L877" s="36"/>
      <c r="M877" s="36"/>
      <c r="N877" s="36"/>
      <c r="O877" s="36"/>
      <c r="P877" s="36"/>
      <c r="Q877" s="36"/>
      <c r="R877" s="36"/>
      <c r="S877" s="36"/>
      <c r="T877" s="36"/>
      <c r="U877" s="36"/>
      <c r="V877" s="36"/>
      <c r="W877" s="36"/>
      <c r="X877" s="36"/>
      <c r="Y877" s="36"/>
      <c r="Z877" s="36"/>
      <c r="AA877" s="36"/>
      <c r="AB877" s="36"/>
      <c r="AC877" s="36"/>
    </row>
    <row r="878" spans="1:29" ht="48" customHeight="1">
      <c r="A878" s="81"/>
      <c r="B878" s="81"/>
      <c r="C878" s="100"/>
      <c r="D878" s="100"/>
      <c r="E878" s="627"/>
      <c r="F878" s="627"/>
      <c r="G878" s="620"/>
      <c r="H878" s="100"/>
      <c r="I878" s="81"/>
      <c r="J878" s="246"/>
      <c r="K878" s="36"/>
      <c r="L878" s="36"/>
      <c r="M878" s="36"/>
      <c r="N878" s="36"/>
      <c r="O878" s="36"/>
      <c r="P878" s="36"/>
      <c r="Q878" s="36"/>
      <c r="R878" s="36"/>
      <c r="S878" s="36"/>
      <c r="T878" s="36"/>
      <c r="U878" s="36"/>
      <c r="V878" s="36"/>
      <c r="W878" s="36"/>
      <c r="X878" s="36"/>
      <c r="Y878" s="36"/>
      <c r="Z878" s="36"/>
      <c r="AA878" s="36"/>
      <c r="AB878" s="36"/>
      <c r="AC878" s="36"/>
    </row>
    <row r="879" spans="1:29" ht="24" customHeight="1">
      <c r="A879" s="81"/>
      <c r="B879" s="81"/>
      <c r="C879" s="100"/>
      <c r="D879" s="100"/>
      <c r="E879" s="627"/>
      <c r="F879" s="627"/>
      <c r="G879" s="620"/>
      <c r="H879" s="100"/>
      <c r="I879" s="81"/>
      <c r="J879" s="35"/>
      <c r="K879" s="36"/>
      <c r="L879" s="36"/>
      <c r="M879" s="36"/>
      <c r="N879" s="36"/>
      <c r="O879" s="36"/>
      <c r="P879" s="36"/>
      <c r="Q879" s="36"/>
      <c r="R879" s="36"/>
      <c r="S879" s="36"/>
      <c r="T879" s="36"/>
      <c r="U879" s="36"/>
      <c r="V879" s="36"/>
      <c r="W879" s="36"/>
      <c r="X879" s="36"/>
      <c r="Y879" s="36"/>
      <c r="Z879" s="36"/>
      <c r="AA879" s="36"/>
      <c r="AB879" s="36"/>
      <c r="AC879" s="36"/>
    </row>
    <row r="880" spans="1:29" ht="12" customHeight="1">
      <c r="A880" s="81"/>
      <c r="B880" s="94"/>
      <c r="C880" s="100"/>
      <c r="D880" s="100"/>
      <c r="E880" s="627"/>
      <c r="F880" s="627"/>
      <c r="G880" s="620"/>
      <c r="H880" s="100"/>
      <c r="I880" s="81"/>
      <c r="J880" s="35"/>
      <c r="K880" s="36"/>
      <c r="L880" s="36"/>
      <c r="M880" s="36"/>
      <c r="N880" s="36"/>
      <c r="O880" s="36"/>
      <c r="P880" s="36"/>
      <c r="Q880" s="36"/>
      <c r="R880" s="36"/>
      <c r="S880" s="36"/>
      <c r="T880" s="36"/>
      <c r="U880" s="36"/>
      <c r="V880" s="36"/>
      <c r="W880" s="36"/>
      <c r="X880" s="36"/>
      <c r="Y880" s="36"/>
      <c r="Z880" s="36"/>
      <c r="AA880" s="36"/>
      <c r="AB880" s="36"/>
      <c r="AC880" s="36"/>
    </row>
    <row r="881" spans="1:29" ht="36" customHeight="1">
      <c r="A881" s="81"/>
      <c r="B881" s="81"/>
      <c r="C881" s="100"/>
      <c r="D881" s="100"/>
      <c r="E881" s="627"/>
      <c r="F881" s="627"/>
      <c r="G881" s="620"/>
      <c r="H881" s="100"/>
      <c r="I881" s="81"/>
      <c r="J881" s="35"/>
      <c r="K881" s="36"/>
      <c r="L881" s="36"/>
      <c r="M881" s="36"/>
      <c r="N881" s="36"/>
      <c r="O881" s="36"/>
      <c r="P881" s="36"/>
      <c r="Q881" s="36"/>
      <c r="R881" s="36"/>
      <c r="S881" s="36"/>
      <c r="T881" s="36"/>
      <c r="U881" s="36"/>
      <c r="V881" s="36"/>
      <c r="W881" s="36"/>
      <c r="X881" s="36"/>
      <c r="Y881" s="36"/>
      <c r="Z881" s="36"/>
      <c r="AA881" s="36"/>
      <c r="AB881" s="36"/>
      <c r="AC881" s="36"/>
    </row>
    <row r="882" spans="1:29" ht="12" customHeight="1">
      <c r="A882" s="625"/>
      <c r="B882" s="94"/>
      <c r="C882" s="81"/>
      <c r="D882" s="81"/>
      <c r="E882" s="620"/>
      <c r="F882" s="620"/>
      <c r="G882" s="620"/>
      <c r="H882" s="94"/>
      <c r="I882" s="81"/>
      <c r="J882" s="35"/>
      <c r="K882" s="36"/>
      <c r="L882" s="36"/>
      <c r="M882" s="36"/>
      <c r="N882" s="36"/>
      <c r="O882" s="36"/>
      <c r="P882" s="36"/>
      <c r="Q882" s="36"/>
      <c r="R882" s="36"/>
      <c r="S882" s="36"/>
      <c r="T882" s="36"/>
      <c r="U882" s="36"/>
      <c r="V882" s="36"/>
      <c r="W882" s="36"/>
      <c r="X882" s="36"/>
      <c r="Y882" s="36"/>
      <c r="Z882" s="36"/>
      <c r="AA882" s="36"/>
      <c r="AB882" s="36"/>
      <c r="AC882" s="36"/>
    </row>
    <row r="883" spans="1:29" ht="24" customHeight="1">
      <c r="A883" s="81"/>
      <c r="B883" s="81"/>
      <c r="C883" s="81"/>
      <c r="D883" s="81"/>
      <c r="E883" s="620"/>
      <c r="F883" s="620"/>
      <c r="G883" s="620"/>
      <c r="H883" s="94"/>
      <c r="I883" s="81"/>
      <c r="J883" s="35"/>
      <c r="K883" s="36"/>
      <c r="L883" s="36"/>
      <c r="M883" s="36"/>
      <c r="N883" s="36"/>
      <c r="O883" s="36"/>
      <c r="P883" s="36"/>
      <c r="Q883" s="36"/>
      <c r="R883" s="36"/>
      <c r="S883" s="36"/>
      <c r="T883" s="36"/>
      <c r="U883" s="36"/>
      <c r="V883" s="36"/>
      <c r="W883" s="36"/>
      <c r="X883" s="36"/>
      <c r="Y883" s="36"/>
      <c r="Z883" s="36"/>
      <c r="AA883" s="36"/>
      <c r="AB883" s="36"/>
      <c r="AC883" s="36"/>
    </row>
    <row r="884" spans="1:29" ht="72" customHeight="1">
      <c r="A884" s="81"/>
      <c r="B884" s="81"/>
      <c r="C884" s="81"/>
      <c r="D884" s="81"/>
      <c r="E884" s="620"/>
      <c r="F884" s="620"/>
      <c r="G884" s="620"/>
      <c r="H884" s="94"/>
      <c r="I884" s="81"/>
      <c r="J884" s="35"/>
      <c r="K884" s="36"/>
      <c r="L884" s="36"/>
      <c r="M884" s="36"/>
      <c r="N884" s="36"/>
      <c r="O884" s="36"/>
      <c r="P884" s="36"/>
      <c r="Q884" s="36"/>
      <c r="R884" s="36"/>
      <c r="S884" s="36"/>
      <c r="T884" s="36"/>
      <c r="U884" s="36"/>
      <c r="V884" s="36"/>
      <c r="W884" s="36"/>
      <c r="X884" s="36"/>
      <c r="Y884" s="36"/>
      <c r="Z884" s="36"/>
      <c r="AA884" s="36"/>
      <c r="AB884" s="36"/>
      <c r="AC884" s="36"/>
    </row>
    <row r="885" spans="1:29" ht="24" customHeight="1">
      <c r="A885" s="81"/>
      <c r="B885" s="81"/>
      <c r="C885" s="81"/>
      <c r="D885" s="81"/>
      <c r="E885" s="620"/>
      <c r="F885" s="620"/>
      <c r="G885" s="620"/>
      <c r="H885" s="94"/>
      <c r="I885" s="81"/>
      <c r="J885" s="35"/>
      <c r="K885" s="36"/>
      <c r="L885" s="36"/>
      <c r="M885" s="36"/>
      <c r="N885" s="36"/>
      <c r="O885" s="36"/>
      <c r="P885" s="36"/>
      <c r="Q885" s="36"/>
      <c r="R885" s="36"/>
      <c r="S885" s="36"/>
      <c r="T885" s="36"/>
      <c r="U885" s="36"/>
      <c r="V885" s="36"/>
      <c r="W885" s="36"/>
      <c r="X885" s="36"/>
      <c r="Y885" s="36"/>
      <c r="Z885" s="36"/>
      <c r="AA885" s="36"/>
      <c r="AB885" s="36"/>
      <c r="AC885" s="36"/>
    </row>
    <row r="886" spans="1:29" ht="84" customHeight="1">
      <c r="A886" s="81"/>
      <c r="B886" s="81"/>
      <c r="C886" s="81"/>
      <c r="D886" s="81"/>
      <c r="E886" s="620"/>
      <c r="F886" s="620"/>
      <c r="G886" s="620"/>
      <c r="H886" s="94"/>
      <c r="I886" s="81"/>
      <c r="J886" s="246"/>
      <c r="K886" s="36"/>
      <c r="L886" s="36"/>
      <c r="M886" s="36"/>
      <c r="N886" s="36"/>
      <c r="O886" s="36"/>
      <c r="P886" s="36"/>
      <c r="Q886" s="36"/>
      <c r="R886" s="36"/>
      <c r="S886" s="36"/>
      <c r="T886" s="36"/>
      <c r="U886" s="36"/>
      <c r="V886" s="36"/>
      <c r="W886" s="36"/>
      <c r="X886" s="36"/>
      <c r="Y886" s="36"/>
      <c r="Z886" s="36"/>
      <c r="AA886" s="36"/>
      <c r="AB886" s="36"/>
      <c r="AC886" s="36"/>
    </row>
    <row r="887" spans="1:29" ht="60" customHeight="1">
      <c r="A887" s="81"/>
      <c r="B887" s="81"/>
      <c r="C887" s="81"/>
      <c r="D887" s="81"/>
      <c r="E887" s="620"/>
      <c r="F887" s="620"/>
      <c r="G887" s="620"/>
      <c r="H887" s="94"/>
      <c r="I887" s="81"/>
      <c r="J887" s="248"/>
      <c r="K887" s="36"/>
      <c r="L887" s="36"/>
      <c r="M887" s="36"/>
      <c r="N887" s="36"/>
      <c r="O887" s="36"/>
      <c r="P887" s="36"/>
      <c r="Q887" s="36"/>
      <c r="R887" s="36"/>
      <c r="S887" s="36"/>
      <c r="T887" s="36"/>
      <c r="U887" s="36"/>
      <c r="V887" s="36"/>
      <c r="W887" s="36"/>
      <c r="X887" s="36"/>
      <c r="Y887" s="36"/>
      <c r="Z887" s="36"/>
      <c r="AA887" s="36"/>
      <c r="AB887" s="36"/>
      <c r="AC887" s="36"/>
    </row>
    <row r="888" spans="1:29" ht="12" customHeight="1">
      <c r="A888" s="81"/>
      <c r="B888" s="81"/>
      <c r="C888" s="81"/>
      <c r="D888" s="81"/>
      <c r="E888" s="620"/>
      <c r="F888" s="620"/>
      <c r="G888" s="620"/>
      <c r="H888" s="94"/>
      <c r="I888" s="81"/>
      <c r="J888" s="35"/>
      <c r="K888" s="36"/>
      <c r="L888" s="36"/>
      <c r="M888" s="36"/>
      <c r="N888" s="36"/>
      <c r="O888" s="36"/>
      <c r="P888" s="36"/>
      <c r="Q888" s="36"/>
      <c r="R888" s="36"/>
      <c r="S888" s="36"/>
      <c r="T888" s="36"/>
      <c r="U888" s="36"/>
      <c r="V888" s="36"/>
      <c r="W888" s="36"/>
      <c r="X888" s="36"/>
      <c r="Y888" s="36"/>
      <c r="Z888" s="36"/>
      <c r="AA888" s="36"/>
      <c r="AB888" s="36"/>
      <c r="AC888" s="36"/>
    </row>
    <row r="889" spans="1:29" ht="48" customHeight="1">
      <c r="A889" s="81"/>
      <c r="B889" s="81"/>
      <c r="C889" s="81"/>
      <c r="D889" s="81"/>
      <c r="E889" s="620"/>
      <c r="F889" s="620"/>
      <c r="G889" s="620"/>
      <c r="H889" s="94"/>
      <c r="I889" s="81"/>
      <c r="J889" s="35"/>
      <c r="K889" s="36"/>
      <c r="L889" s="36"/>
      <c r="M889" s="36"/>
      <c r="N889" s="36"/>
      <c r="O889" s="36"/>
      <c r="P889" s="36"/>
      <c r="Q889" s="36"/>
      <c r="R889" s="36"/>
      <c r="S889" s="36"/>
      <c r="T889" s="36"/>
      <c r="U889" s="36"/>
      <c r="V889" s="36"/>
      <c r="W889" s="36"/>
      <c r="X889" s="36"/>
      <c r="Y889" s="36"/>
      <c r="Z889" s="36"/>
      <c r="AA889" s="36"/>
      <c r="AB889" s="36"/>
      <c r="AC889" s="36"/>
    </row>
    <row r="890" spans="1:29" ht="12" customHeight="1">
      <c r="A890" s="81"/>
      <c r="B890" s="81"/>
      <c r="C890" s="81"/>
      <c r="D890" s="81"/>
      <c r="E890" s="620"/>
      <c r="F890" s="620"/>
      <c r="G890" s="620"/>
      <c r="H890" s="94"/>
      <c r="I890" s="81"/>
      <c r="J890" s="35"/>
      <c r="K890" s="36"/>
      <c r="L890" s="36"/>
      <c r="M890" s="36"/>
      <c r="N890" s="36"/>
      <c r="O890" s="36"/>
      <c r="P890" s="36"/>
      <c r="Q890" s="36"/>
      <c r="R890" s="36"/>
      <c r="S890" s="36"/>
      <c r="T890" s="36"/>
      <c r="U890" s="36"/>
      <c r="V890" s="36"/>
      <c r="W890" s="36"/>
      <c r="X890" s="36"/>
      <c r="Y890" s="36"/>
      <c r="Z890" s="36"/>
      <c r="AA890" s="36"/>
      <c r="AB890" s="36"/>
      <c r="AC890" s="36"/>
    </row>
    <row r="891" spans="1:29" ht="12" customHeight="1">
      <c r="A891" s="81"/>
      <c r="B891" s="81"/>
      <c r="C891" s="81"/>
      <c r="D891" s="81"/>
      <c r="E891" s="620"/>
      <c r="F891" s="620"/>
      <c r="G891" s="620"/>
      <c r="H891" s="94"/>
      <c r="I891" s="81"/>
      <c r="J891" s="35"/>
      <c r="K891" s="36"/>
      <c r="L891" s="36"/>
      <c r="M891" s="36"/>
      <c r="N891" s="36"/>
      <c r="O891" s="36"/>
      <c r="P891" s="36"/>
      <c r="Q891" s="36"/>
      <c r="R891" s="36"/>
      <c r="S891" s="36"/>
      <c r="T891" s="36"/>
      <c r="U891" s="36"/>
      <c r="V891" s="36"/>
      <c r="W891" s="36"/>
      <c r="X891" s="36"/>
      <c r="Y891" s="36"/>
      <c r="Z891" s="36"/>
      <c r="AA891" s="36"/>
      <c r="AB891" s="36"/>
      <c r="AC891" s="36"/>
    </row>
    <row r="892" spans="1:29" ht="36" customHeight="1">
      <c r="A892" s="81"/>
      <c r="B892" s="81"/>
      <c r="C892" s="81"/>
      <c r="D892" s="81"/>
      <c r="E892" s="620"/>
      <c r="F892" s="620"/>
      <c r="G892" s="620"/>
      <c r="H892" s="94"/>
      <c r="I892" s="81"/>
      <c r="J892" s="35"/>
      <c r="K892" s="36"/>
      <c r="L892" s="36"/>
      <c r="M892" s="36"/>
      <c r="N892" s="36"/>
      <c r="O892" s="36"/>
      <c r="P892" s="36"/>
      <c r="Q892" s="36"/>
      <c r="R892" s="36"/>
      <c r="S892" s="36"/>
      <c r="T892" s="36"/>
      <c r="U892" s="36"/>
      <c r="V892" s="36"/>
      <c r="W892" s="36"/>
      <c r="X892" s="36"/>
      <c r="Y892" s="36"/>
      <c r="Z892" s="36"/>
      <c r="AA892" s="36"/>
      <c r="AB892" s="36"/>
      <c r="AC892" s="36"/>
    </row>
    <row r="893" spans="1:29" ht="60" customHeight="1">
      <c r="A893" s="81"/>
      <c r="B893" s="81"/>
      <c r="C893" s="81"/>
      <c r="D893" s="81"/>
      <c r="E893" s="620"/>
      <c r="F893" s="620"/>
      <c r="G893" s="620"/>
      <c r="H893" s="94"/>
      <c r="I893" s="81"/>
      <c r="J893" s="35"/>
      <c r="K893" s="36"/>
      <c r="L893" s="36"/>
      <c r="M893" s="36"/>
      <c r="N893" s="36"/>
      <c r="O893" s="36"/>
      <c r="P893" s="36"/>
      <c r="Q893" s="36"/>
      <c r="R893" s="36"/>
      <c r="S893" s="36"/>
      <c r="T893" s="36"/>
      <c r="U893" s="36"/>
      <c r="V893" s="36"/>
      <c r="W893" s="36"/>
      <c r="X893" s="36"/>
      <c r="Y893" s="36"/>
      <c r="Z893" s="36"/>
      <c r="AA893" s="36"/>
      <c r="AB893" s="36"/>
      <c r="AC893" s="36"/>
    </row>
    <row r="894" spans="1:29" ht="84" customHeight="1">
      <c r="A894" s="81"/>
      <c r="B894" s="81"/>
      <c r="C894" s="81"/>
      <c r="D894" s="81"/>
      <c r="E894" s="620"/>
      <c r="F894" s="620"/>
      <c r="G894" s="620"/>
      <c r="H894" s="94"/>
      <c r="I894" s="81"/>
      <c r="J894" s="35"/>
      <c r="K894" s="36"/>
      <c r="L894" s="36"/>
      <c r="M894" s="36"/>
      <c r="N894" s="36"/>
      <c r="O894" s="36"/>
      <c r="P894" s="36"/>
      <c r="Q894" s="36"/>
      <c r="R894" s="36"/>
      <c r="S894" s="36"/>
      <c r="T894" s="36"/>
      <c r="U894" s="36"/>
      <c r="V894" s="36"/>
      <c r="W894" s="36"/>
      <c r="X894" s="36"/>
      <c r="Y894" s="36"/>
      <c r="Z894" s="36"/>
      <c r="AA894" s="36"/>
      <c r="AB894" s="36"/>
      <c r="AC894" s="36"/>
    </row>
    <row r="895" spans="1:29" ht="84" customHeight="1">
      <c r="A895" s="81"/>
      <c r="B895" s="81"/>
      <c r="C895" s="81"/>
      <c r="D895" s="81"/>
      <c r="E895" s="620"/>
      <c r="F895" s="620"/>
      <c r="G895" s="620"/>
      <c r="H895" s="94"/>
      <c r="I895" s="81"/>
      <c r="J895" s="35"/>
      <c r="K895" s="36"/>
      <c r="L895" s="36"/>
      <c r="M895" s="36"/>
      <c r="N895" s="36"/>
      <c r="O895" s="36"/>
      <c r="P895" s="36"/>
      <c r="Q895" s="36"/>
      <c r="R895" s="36"/>
      <c r="S895" s="36"/>
      <c r="T895" s="36"/>
      <c r="U895" s="36"/>
      <c r="V895" s="36"/>
      <c r="W895" s="36"/>
      <c r="X895" s="36"/>
      <c r="Y895" s="36"/>
      <c r="Z895" s="36"/>
      <c r="AA895" s="36"/>
      <c r="AB895" s="36"/>
      <c r="AC895" s="36"/>
    </row>
    <row r="896" spans="1:29" ht="24" customHeight="1">
      <c r="A896" s="81"/>
      <c r="B896" s="81"/>
      <c r="C896" s="81"/>
      <c r="D896" s="81"/>
      <c r="E896" s="620"/>
      <c r="F896" s="620"/>
      <c r="G896" s="620"/>
      <c r="H896" s="94"/>
      <c r="I896" s="81"/>
      <c r="J896" s="35"/>
      <c r="K896" s="36"/>
      <c r="L896" s="36"/>
      <c r="M896" s="36"/>
      <c r="N896" s="36"/>
      <c r="O896" s="36"/>
      <c r="P896" s="36"/>
      <c r="Q896" s="36"/>
      <c r="R896" s="36"/>
      <c r="S896" s="36"/>
      <c r="T896" s="36"/>
      <c r="U896" s="36"/>
      <c r="V896" s="36"/>
      <c r="W896" s="36"/>
      <c r="X896" s="36"/>
      <c r="Y896" s="36"/>
      <c r="Z896" s="36"/>
      <c r="AA896" s="36"/>
      <c r="AB896" s="36"/>
      <c r="AC896" s="36"/>
    </row>
    <row r="897" spans="1:29" ht="48" customHeight="1">
      <c r="A897" s="81"/>
      <c r="B897" s="94"/>
      <c r="C897" s="81"/>
      <c r="D897" s="81"/>
      <c r="E897" s="620"/>
      <c r="F897" s="620"/>
      <c r="G897" s="620"/>
      <c r="H897" s="94"/>
      <c r="I897" s="81"/>
      <c r="J897" s="35"/>
      <c r="K897" s="36"/>
      <c r="L897" s="36"/>
      <c r="M897" s="36"/>
      <c r="N897" s="36"/>
      <c r="O897" s="36"/>
      <c r="P897" s="36"/>
      <c r="Q897" s="36"/>
      <c r="R897" s="36"/>
      <c r="S897" s="36"/>
      <c r="T897" s="36"/>
      <c r="U897" s="36"/>
      <c r="V897" s="36"/>
      <c r="W897" s="36"/>
      <c r="X897" s="36"/>
      <c r="Y897" s="36"/>
      <c r="Z897" s="36"/>
      <c r="AA897" s="36"/>
      <c r="AB897" s="36"/>
      <c r="AC897" s="36"/>
    </row>
    <row r="898" spans="1:29" ht="24" customHeight="1">
      <c r="A898" s="81"/>
      <c r="B898" s="81"/>
      <c r="C898" s="81"/>
      <c r="D898" s="81"/>
      <c r="E898" s="620"/>
      <c r="F898" s="620"/>
      <c r="G898" s="620"/>
      <c r="H898" s="94"/>
      <c r="I898" s="81"/>
      <c r="J898" s="35"/>
      <c r="K898" s="36"/>
      <c r="L898" s="36"/>
      <c r="M898" s="36"/>
      <c r="N898" s="36"/>
      <c r="O898" s="36"/>
      <c r="P898" s="36"/>
      <c r="Q898" s="36"/>
      <c r="R898" s="36"/>
      <c r="S898" s="36"/>
      <c r="T898" s="36"/>
      <c r="U898" s="36"/>
      <c r="V898" s="36"/>
      <c r="W898" s="36"/>
      <c r="X898" s="36"/>
      <c r="Y898" s="36"/>
      <c r="Z898" s="36"/>
      <c r="AA898" s="36"/>
      <c r="AB898" s="36"/>
      <c r="AC898" s="36"/>
    </row>
    <row r="899" spans="1:29" ht="24" customHeight="1">
      <c r="A899" s="81"/>
      <c r="B899" s="81"/>
      <c r="C899" s="81"/>
      <c r="D899" s="81"/>
      <c r="E899" s="620"/>
      <c r="F899" s="620"/>
      <c r="G899" s="620"/>
      <c r="H899" s="94"/>
      <c r="I899" s="81"/>
      <c r="J899" s="35"/>
      <c r="K899" s="36"/>
      <c r="L899" s="36"/>
      <c r="M899" s="36"/>
      <c r="N899" s="36"/>
      <c r="O899" s="36"/>
      <c r="P899" s="36"/>
      <c r="Q899" s="36"/>
      <c r="R899" s="36"/>
      <c r="S899" s="36"/>
      <c r="T899" s="36"/>
      <c r="U899" s="36"/>
      <c r="V899" s="36"/>
      <c r="W899" s="36"/>
      <c r="X899" s="36"/>
      <c r="Y899" s="36"/>
      <c r="Z899" s="36"/>
      <c r="AA899" s="36"/>
      <c r="AB899" s="36"/>
      <c r="AC899" s="36"/>
    </row>
    <row r="900" spans="1:29" ht="60" customHeight="1">
      <c r="A900" s="81"/>
      <c r="B900" s="81"/>
      <c r="C900" s="81"/>
      <c r="D900" s="81"/>
      <c r="E900" s="620"/>
      <c r="F900" s="620"/>
      <c r="G900" s="620"/>
      <c r="H900" s="94"/>
      <c r="I900" s="81"/>
      <c r="J900" s="35"/>
      <c r="K900" s="36"/>
      <c r="L900" s="36"/>
      <c r="M900" s="36"/>
      <c r="N900" s="36"/>
      <c r="O900" s="36"/>
      <c r="P900" s="36"/>
      <c r="Q900" s="36"/>
      <c r="R900" s="36"/>
      <c r="S900" s="36"/>
      <c r="T900" s="36"/>
      <c r="U900" s="36"/>
      <c r="V900" s="36"/>
      <c r="W900" s="36"/>
      <c r="X900" s="36"/>
      <c r="Y900" s="36"/>
      <c r="Z900" s="36"/>
      <c r="AA900" s="36"/>
      <c r="AB900" s="36"/>
      <c r="AC900" s="36"/>
    </row>
    <row r="901" spans="1:29" ht="60" customHeight="1">
      <c r="A901" s="81"/>
      <c r="B901" s="81"/>
      <c r="C901" s="81"/>
      <c r="D901" s="81"/>
      <c r="E901" s="620"/>
      <c r="F901" s="620"/>
      <c r="G901" s="620"/>
      <c r="H901" s="94"/>
      <c r="I901" s="81"/>
      <c r="J901" s="35"/>
      <c r="K901" s="36"/>
      <c r="L901" s="36"/>
      <c r="M901" s="36"/>
      <c r="N901" s="36"/>
      <c r="O901" s="36"/>
      <c r="P901" s="36"/>
      <c r="Q901" s="36"/>
      <c r="R901" s="36"/>
      <c r="S901" s="36"/>
      <c r="T901" s="36"/>
      <c r="U901" s="36"/>
      <c r="V901" s="36"/>
      <c r="W901" s="36"/>
      <c r="X901" s="36"/>
      <c r="Y901" s="36"/>
      <c r="Z901" s="36"/>
      <c r="AA901" s="36"/>
      <c r="AB901" s="36"/>
      <c r="AC901" s="36"/>
    </row>
    <row r="902" spans="1:29" ht="24" customHeight="1">
      <c r="A902" s="81"/>
      <c r="B902" s="81"/>
      <c r="C902" s="81"/>
      <c r="D902" s="81"/>
      <c r="E902" s="620"/>
      <c r="F902" s="620"/>
      <c r="G902" s="620"/>
      <c r="H902" s="94"/>
      <c r="I902" s="81"/>
      <c r="J902" s="35"/>
      <c r="K902" s="36"/>
      <c r="L902" s="36"/>
      <c r="M902" s="36"/>
      <c r="N902" s="36"/>
      <c r="O902" s="36"/>
      <c r="P902" s="36"/>
      <c r="Q902" s="36"/>
      <c r="R902" s="36"/>
      <c r="S902" s="36"/>
      <c r="T902" s="36"/>
      <c r="U902" s="36"/>
      <c r="V902" s="36"/>
      <c r="W902" s="36"/>
      <c r="X902" s="36"/>
      <c r="Y902" s="36"/>
      <c r="Z902" s="36"/>
      <c r="AA902" s="36"/>
      <c r="AB902" s="36"/>
      <c r="AC902" s="36"/>
    </row>
    <row r="903" spans="1:29" ht="19.5" customHeight="1">
      <c r="A903" s="81"/>
      <c r="B903" s="81"/>
      <c r="C903" s="81"/>
      <c r="D903" s="81"/>
      <c r="E903" s="620"/>
      <c r="F903" s="620"/>
      <c r="G903" s="620"/>
      <c r="H903" s="94"/>
      <c r="I903" s="81"/>
      <c r="J903" s="36"/>
      <c r="K903" s="36"/>
      <c r="L903" s="36"/>
      <c r="M903" s="36"/>
      <c r="N903" s="36"/>
      <c r="O903" s="36"/>
      <c r="P903" s="36"/>
      <c r="Q903" s="36"/>
      <c r="R903" s="36"/>
      <c r="S903" s="36"/>
      <c r="T903" s="36"/>
      <c r="U903" s="36"/>
      <c r="V903" s="36"/>
      <c r="W903" s="36"/>
      <c r="X903" s="36"/>
      <c r="Y903" s="36"/>
      <c r="Z903" s="36"/>
      <c r="AA903" s="36"/>
      <c r="AB903" s="36"/>
      <c r="AC903" s="36"/>
    </row>
    <row r="904" spans="1:29" ht="30" customHeight="1">
      <c r="A904" s="81"/>
      <c r="B904" s="81"/>
      <c r="C904" s="81"/>
      <c r="D904" s="81"/>
      <c r="E904" s="620"/>
      <c r="F904" s="620"/>
      <c r="G904" s="620"/>
      <c r="H904" s="94"/>
      <c r="I904" s="81"/>
      <c r="J904" s="36"/>
      <c r="K904" s="36"/>
      <c r="L904" s="36"/>
      <c r="M904" s="36"/>
      <c r="N904" s="36"/>
      <c r="O904" s="36"/>
      <c r="P904" s="36"/>
      <c r="Q904" s="36"/>
      <c r="R904" s="36"/>
      <c r="S904" s="36"/>
      <c r="T904" s="36"/>
      <c r="U904" s="36"/>
      <c r="V904" s="36"/>
      <c r="W904" s="36"/>
      <c r="X904" s="36"/>
      <c r="Y904" s="36"/>
      <c r="Z904" s="36"/>
      <c r="AA904" s="36"/>
      <c r="AB904" s="36"/>
      <c r="AC904" s="36"/>
    </row>
    <row r="905" spans="1:29" ht="24" customHeight="1">
      <c r="A905" s="81"/>
      <c r="B905" s="81"/>
      <c r="C905" s="81"/>
      <c r="D905" s="81"/>
      <c r="E905" s="620"/>
      <c r="F905" s="620"/>
      <c r="G905" s="620"/>
      <c r="H905" s="94"/>
      <c r="I905" s="81"/>
      <c r="J905" s="35"/>
      <c r="K905" s="36"/>
      <c r="L905" s="36"/>
      <c r="M905" s="36"/>
      <c r="N905" s="36"/>
      <c r="O905" s="36"/>
      <c r="P905" s="36"/>
      <c r="Q905" s="36"/>
      <c r="R905" s="36"/>
      <c r="S905" s="36"/>
      <c r="T905" s="36"/>
      <c r="U905" s="36"/>
      <c r="V905" s="36"/>
      <c r="W905" s="36"/>
      <c r="X905" s="36"/>
      <c r="Y905" s="36"/>
      <c r="Z905" s="36"/>
      <c r="AA905" s="36"/>
      <c r="AB905" s="36"/>
      <c r="AC905" s="36"/>
    </row>
    <row r="906" spans="1:29" ht="36" customHeight="1">
      <c r="A906" s="81"/>
      <c r="B906" s="81"/>
      <c r="C906" s="81"/>
      <c r="D906" s="81"/>
      <c r="E906" s="620"/>
      <c r="F906" s="620"/>
      <c r="G906" s="620"/>
      <c r="H906" s="94"/>
      <c r="I906" s="81"/>
      <c r="J906" s="35"/>
      <c r="K906" s="36"/>
      <c r="L906" s="36"/>
      <c r="M906" s="36"/>
      <c r="N906" s="36"/>
      <c r="O906" s="36"/>
      <c r="P906" s="36"/>
      <c r="Q906" s="36"/>
      <c r="R906" s="36"/>
      <c r="S906" s="36"/>
      <c r="T906" s="36"/>
      <c r="U906" s="36"/>
      <c r="V906" s="36"/>
      <c r="W906" s="36"/>
      <c r="X906" s="36"/>
      <c r="Y906" s="36"/>
      <c r="Z906" s="36"/>
      <c r="AA906" s="36"/>
      <c r="AB906" s="36"/>
      <c r="AC906" s="36"/>
    </row>
    <row r="907" spans="1:29" ht="12" customHeight="1">
      <c r="A907" s="81"/>
      <c r="B907" s="81"/>
      <c r="C907" s="81"/>
      <c r="D907" s="81"/>
      <c r="E907" s="620"/>
      <c r="F907" s="620"/>
      <c r="G907" s="620"/>
      <c r="H907" s="94"/>
      <c r="I907" s="81"/>
      <c r="J907" s="35"/>
      <c r="K907" s="36"/>
      <c r="L907" s="36"/>
      <c r="M907" s="36"/>
      <c r="N907" s="36"/>
      <c r="O907" s="36"/>
      <c r="P907" s="36"/>
      <c r="Q907" s="36"/>
      <c r="R907" s="36"/>
      <c r="S907" s="36"/>
      <c r="T907" s="36"/>
      <c r="U907" s="36"/>
      <c r="V907" s="36"/>
      <c r="W907" s="36"/>
      <c r="X907" s="36"/>
      <c r="Y907" s="36"/>
      <c r="Z907" s="36"/>
      <c r="AA907" s="36"/>
      <c r="AB907" s="36"/>
      <c r="AC907" s="36"/>
    </row>
    <row r="908" spans="1:29" ht="24" customHeight="1">
      <c r="A908" s="81"/>
      <c r="B908" s="81"/>
      <c r="C908" s="81"/>
      <c r="D908" s="81"/>
      <c r="E908" s="620"/>
      <c r="F908" s="620"/>
      <c r="G908" s="620"/>
      <c r="H908" s="94"/>
      <c r="I908" s="81"/>
      <c r="J908" s="35"/>
      <c r="K908" s="36"/>
      <c r="L908" s="36"/>
      <c r="M908" s="36"/>
      <c r="N908" s="36"/>
      <c r="O908" s="36"/>
      <c r="P908" s="36"/>
      <c r="Q908" s="36"/>
      <c r="R908" s="36"/>
      <c r="S908" s="36"/>
      <c r="T908" s="36"/>
      <c r="U908" s="36"/>
      <c r="V908" s="36"/>
      <c r="W908" s="36"/>
      <c r="X908" s="36"/>
      <c r="Y908" s="36"/>
      <c r="Z908" s="36"/>
      <c r="AA908" s="36"/>
      <c r="AB908" s="36"/>
      <c r="AC908" s="36"/>
    </row>
    <row r="909" spans="1:29" ht="24" customHeight="1">
      <c r="A909" s="81"/>
      <c r="B909" s="81"/>
      <c r="C909" s="81"/>
      <c r="D909" s="81"/>
      <c r="E909" s="620"/>
      <c r="F909" s="620"/>
      <c r="G909" s="620"/>
      <c r="H909" s="94"/>
      <c r="I909" s="81"/>
      <c r="J909" s="35"/>
      <c r="K909" s="36"/>
      <c r="L909" s="36"/>
      <c r="M909" s="36"/>
      <c r="N909" s="36"/>
      <c r="O909" s="36"/>
      <c r="P909" s="36"/>
      <c r="Q909" s="36"/>
      <c r="R909" s="36"/>
      <c r="S909" s="36"/>
      <c r="T909" s="36"/>
      <c r="U909" s="36"/>
      <c r="V909" s="36"/>
      <c r="W909" s="36"/>
      <c r="X909" s="36"/>
      <c r="Y909" s="36"/>
      <c r="Z909" s="36"/>
      <c r="AA909" s="36"/>
      <c r="AB909" s="36"/>
      <c r="AC909" s="36"/>
    </row>
    <row r="910" spans="1:29" ht="24" customHeight="1">
      <c r="A910" s="81"/>
      <c r="B910" s="81"/>
      <c r="C910" s="81"/>
      <c r="D910" s="81"/>
      <c r="E910" s="620"/>
      <c r="F910" s="620"/>
      <c r="G910" s="620"/>
      <c r="H910" s="94"/>
      <c r="I910" s="81"/>
      <c r="J910" s="35"/>
      <c r="K910" s="36"/>
      <c r="L910" s="36"/>
      <c r="M910" s="36"/>
      <c r="N910" s="36"/>
      <c r="O910" s="36"/>
      <c r="P910" s="36"/>
      <c r="Q910" s="36"/>
      <c r="R910" s="36"/>
      <c r="S910" s="36"/>
      <c r="T910" s="36"/>
      <c r="U910" s="36"/>
      <c r="V910" s="36"/>
      <c r="W910" s="36"/>
      <c r="X910" s="36"/>
      <c r="Y910" s="36"/>
      <c r="Z910" s="36"/>
      <c r="AA910" s="36"/>
      <c r="AB910" s="36"/>
      <c r="AC910" s="36"/>
    </row>
    <row r="911" spans="1:29" ht="48" customHeight="1">
      <c r="A911" s="81"/>
      <c r="B911" s="81"/>
      <c r="C911" s="81"/>
      <c r="D911" s="81"/>
      <c r="E911" s="620"/>
      <c r="F911" s="620"/>
      <c r="G911" s="620"/>
      <c r="H911" s="94"/>
      <c r="I911" s="81"/>
      <c r="J911" s="35"/>
      <c r="K911" s="36"/>
      <c r="L911" s="36"/>
      <c r="M911" s="36"/>
      <c r="N911" s="36"/>
      <c r="O911" s="36"/>
      <c r="P911" s="36"/>
      <c r="Q911" s="36"/>
      <c r="R911" s="36"/>
      <c r="S911" s="36"/>
      <c r="T911" s="36"/>
      <c r="U911" s="36"/>
      <c r="V911" s="36"/>
      <c r="W911" s="36"/>
      <c r="X911" s="36"/>
      <c r="Y911" s="36"/>
      <c r="Z911" s="36"/>
      <c r="AA911" s="36"/>
      <c r="AB911" s="36"/>
      <c r="AC911" s="36"/>
    </row>
    <row r="912" spans="1:29" ht="24" customHeight="1">
      <c r="A912" s="81"/>
      <c r="B912" s="81"/>
      <c r="C912" s="81"/>
      <c r="D912" s="81"/>
      <c r="E912" s="620"/>
      <c r="F912" s="620"/>
      <c r="G912" s="620"/>
      <c r="H912" s="94"/>
      <c r="I912" s="81"/>
      <c r="J912" s="35"/>
      <c r="K912" s="36"/>
      <c r="L912" s="36"/>
      <c r="M912" s="36"/>
      <c r="N912" s="36"/>
      <c r="O912" s="36"/>
      <c r="P912" s="36"/>
      <c r="Q912" s="36"/>
      <c r="R912" s="36"/>
      <c r="S912" s="36"/>
      <c r="T912" s="36"/>
      <c r="U912" s="36"/>
      <c r="V912" s="36"/>
      <c r="W912" s="36"/>
      <c r="X912" s="36"/>
      <c r="Y912" s="36"/>
      <c r="Z912" s="36"/>
      <c r="AA912" s="36"/>
      <c r="AB912" s="36"/>
      <c r="AC912" s="36"/>
    </row>
    <row r="913" spans="1:29" ht="36" customHeight="1">
      <c r="A913" s="81"/>
      <c r="B913" s="81"/>
      <c r="C913" s="81"/>
      <c r="D913" s="81"/>
      <c r="E913" s="620"/>
      <c r="F913" s="620"/>
      <c r="G913" s="620"/>
      <c r="H913" s="94"/>
      <c r="I913" s="81"/>
      <c r="J913" s="35"/>
      <c r="K913" s="36"/>
      <c r="L913" s="36"/>
      <c r="M913" s="36"/>
      <c r="N913" s="36"/>
      <c r="O913" s="36"/>
      <c r="P913" s="36"/>
      <c r="Q913" s="36"/>
      <c r="R913" s="36"/>
      <c r="S913" s="36"/>
      <c r="T913" s="36"/>
      <c r="U913" s="36"/>
      <c r="V913" s="36"/>
      <c r="W913" s="36"/>
      <c r="X913" s="36"/>
      <c r="Y913" s="36"/>
      <c r="Z913" s="36"/>
      <c r="AA913" s="36"/>
      <c r="AB913" s="36"/>
      <c r="AC913" s="36"/>
    </row>
    <row r="914" spans="1:29" ht="120" customHeight="1">
      <c r="A914" s="81"/>
      <c r="B914" s="81"/>
      <c r="C914" s="81"/>
      <c r="D914" s="81"/>
      <c r="E914" s="620"/>
      <c r="F914" s="620"/>
      <c r="G914" s="620"/>
      <c r="H914" s="94"/>
      <c r="I914" s="81"/>
      <c r="J914" s="35"/>
      <c r="K914" s="36"/>
      <c r="L914" s="36"/>
      <c r="M914" s="36"/>
      <c r="N914" s="36"/>
      <c r="O914" s="36"/>
      <c r="P914" s="36"/>
      <c r="Q914" s="36"/>
      <c r="R914" s="36"/>
      <c r="S914" s="36"/>
      <c r="T914" s="36"/>
      <c r="U914" s="36"/>
      <c r="V914" s="36"/>
      <c r="W914" s="36"/>
      <c r="X914" s="36"/>
      <c r="Y914" s="36"/>
      <c r="Z914" s="36"/>
      <c r="AA914" s="36"/>
      <c r="AB914" s="36"/>
      <c r="AC914" s="36"/>
    </row>
    <row r="915" spans="1:29" ht="48" customHeight="1">
      <c r="A915" s="81"/>
      <c r="B915" s="81"/>
      <c r="C915" s="81"/>
      <c r="D915" s="81"/>
      <c r="E915" s="620"/>
      <c r="F915" s="620"/>
      <c r="G915" s="620"/>
      <c r="H915" s="94"/>
      <c r="I915" s="81"/>
      <c r="J915" s="35"/>
      <c r="K915" s="36"/>
      <c r="L915" s="36"/>
      <c r="M915" s="36"/>
      <c r="N915" s="36"/>
      <c r="O915" s="36"/>
      <c r="P915" s="36"/>
      <c r="Q915" s="36"/>
      <c r="R915" s="36"/>
      <c r="S915" s="36"/>
      <c r="T915" s="36"/>
      <c r="U915" s="36"/>
      <c r="V915" s="36"/>
      <c r="W915" s="36"/>
      <c r="X915" s="36"/>
      <c r="Y915" s="36"/>
      <c r="Z915" s="36"/>
      <c r="AA915" s="36"/>
      <c r="AB915" s="36"/>
      <c r="AC915" s="36"/>
    </row>
    <row r="916" spans="1:29" ht="24" customHeight="1">
      <c r="A916" s="81"/>
      <c r="B916" s="94"/>
      <c r="C916" s="81"/>
      <c r="D916" s="81"/>
      <c r="E916" s="620"/>
      <c r="F916" s="620"/>
      <c r="G916" s="620"/>
      <c r="H916" s="94"/>
      <c r="I916" s="81"/>
      <c r="J916" s="248"/>
      <c r="K916" s="36"/>
      <c r="L916" s="36"/>
      <c r="M916" s="36"/>
      <c r="N916" s="36"/>
      <c r="O916" s="36"/>
      <c r="P916" s="36"/>
      <c r="Q916" s="36"/>
      <c r="R916" s="36"/>
      <c r="S916" s="36"/>
      <c r="T916" s="36"/>
      <c r="U916" s="36"/>
      <c r="V916" s="36"/>
      <c r="W916" s="36"/>
      <c r="X916" s="36"/>
      <c r="Y916" s="36"/>
      <c r="Z916" s="36"/>
      <c r="AA916" s="36"/>
      <c r="AB916" s="36"/>
      <c r="AC916" s="36"/>
    </row>
    <row r="917" spans="1:29" ht="24" customHeight="1">
      <c r="A917" s="81"/>
      <c r="B917" s="81"/>
      <c r="C917" s="81"/>
      <c r="D917" s="81"/>
      <c r="E917" s="620"/>
      <c r="F917" s="620"/>
      <c r="G917" s="620"/>
      <c r="H917" s="94"/>
      <c r="I917" s="81"/>
      <c r="J917" s="35"/>
      <c r="K917" s="36"/>
      <c r="L917" s="36"/>
      <c r="M917" s="36"/>
      <c r="N917" s="36"/>
      <c r="O917" s="36"/>
      <c r="P917" s="36"/>
      <c r="Q917" s="36"/>
      <c r="R917" s="36"/>
      <c r="S917" s="36"/>
      <c r="T917" s="36"/>
      <c r="U917" s="36"/>
      <c r="V917" s="36"/>
      <c r="W917" s="36"/>
      <c r="X917" s="36"/>
      <c r="Y917" s="36"/>
      <c r="Z917" s="36"/>
      <c r="AA917" s="36"/>
      <c r="AB917" s="36"/>
      <c r="AC917" s="36"/>
    </row>
    <row r="918" spans="1:29" ht="24" customHeight="1">
      <c r="A918" s="81"/>
      <c r="B918" s="81"/>
      <c r="C918" s="81"/>
      <c r="D918" s="81"/>
      <c r="E918" s="620"/>
      <c r="F918" s="620"/>
      <c r="G918" s="620"/>
      <c r="H918" s="94"/>
      <c r="I918" s="81"/>
      <c r="J918" s="35"/>
      <c r="K918" s="36"/>
      <c r="L918" s="36"/>
      <c r="M918" s="36"/>
      <c r="N918" s="36"/>
      <c r="O918" s="36"/>
      <c r="P918" s="36"/>
      <c r="Q918" s="36"/>
      <c r="R918" s="36"/>
      <c r="S918" s="36"/>
      <c r="T918" s="36"/>
      <c r="U918" s="36"/>
      <c r="V918" s="36"/>
      <c r="W918" s="36"/>
      <c r="X918" s="36"/>
      <c r="Y918" s="36"/>
      <c r="Z918" s="36"/>
      <c r="AA918" s="36"/>
      <c r="AB918" s="36"/>
      <c r="AC918" s="36"/>
    </row>
    <row r="919" spans="1:29" ht="36" customHeight="1">
      <c r="A919" s="81"/>
      <c r="B919" s="81"/>
      <c r="C919" s="81"/>
      <c r="D919" s="81"/>
      <c r="E919" s="620"/>
      <c r="F919" s="620"/>
      <c r="G919" s="620"/>
      <c r="H919" s="94"/>
      <c r="I919" s="81"/>
      <c r="J919" s="35"/>
      <c r="K919" s="36"/>
      <c r="L919" s="36"/>
      <c r="M919" s="36"/>
      <c r="N919" s="36"/>
      <c r="O919" s="36"/>
      <c r="P919" s="36"/>
      <c r="Q919" s="36"/>
      <c r="R919" s="36"/>
      <c r="S919" s="36"/>
      <c r="T919" s="36"/>
      <c r="U919" s="36"/>
      <c r="V919" s="36"/>
      <c r="W919" s="36"/>
      <c r="X919" s="36"/>
      <c r="Y919" s="36"/>
      <c r="Z919" s="36"/>
      <c r="AA919" s="36"/>
      <c r="AB919" s="36"/>
      <c r="AC919" s="36"/>
    </row>
    <row r="920" spans="1:29" ht="24" customHeight="1">
      <c r="A920" s="81"/>
      <c r="B920" s="94"/>
      <c r="C920" s="81"/>
      <c r="D920" s="81"/>
      <c r="E920" s="620"/>
      <c r="F920" s="620"/>
      <c r="G920" s="620"/>
      <c r="H920" s="94"/>
      <c r="I920" s="81"/>
      <c r="J920" s="35"/>
      <c r="K920" s="36"/>
      <c r="L920" s="36"/>
      <c r="M920" s="36"/>
      <c r="N920" s="36"/>
      <c r="O920" s="36"/>
      <c r="P920" s="36"/>
      <c r="Q920" s="36"/>
      <c r="R920" s="36"/>
      <c r="S920" s="36"/>
      <c r="T920" s="36"/>
      <c r="U920" s="36"/>
      <c r="V920" s="36"/>
      <c r="W920" s="36"/>
      <c r="X920" s="36"/>
      <c r="Y920" s="36"/>
      <c r="Z920" s="36"/>
      <c r="AA920" s="36"/>
      <c r="AB920" s="36"/>
      <c r="AC920" s="36"/>
    </row>
    <row r="921" spans="1:29" ht="36" customHeight="1">
      <c r="A921" s="81"/>
      <c r="B921" s="81"/>
      <c r="C921" s="81"/>
      <c r="D921" s="81"/>
      <c r="E921" s="620"/>
      <c r="F921" s="620"/>
      <c r="G921" s="620"/>
      <c r="H921" s="94"/>
      <c r="I921" s="81"/>
      <c r="J921" s="35"/>
      <c r="K921" s="36"/>
      <c r="L921" s="36"/>
      <c r="M921" s="36"/>
      <c r="N921" s="36"/>
      <c r="O921" s="36"/>
      <c r="P921" s="36"/>
      <c r="Q921" s="36"/>
      <c r="R921" s="36"/>
      <c r="S921" s="36"/>
      <c r="T921" s="36"/>
      <c r="U921" s="36"/>
      <c r="V921" s="36"/>
      <c r="W921" s="36"/>
      <c r="X921" s="36"/>
      <c r="Y921" s="36"/>
      <c r="Z921" s="36"/>
      <c r="AA921" s="36"/>
      <c r="AB921" s="36"/>
      <c r="AC921" s="36"/>
    </row>
    <row r="922" spans="1:29" ht="36" customHeight="1">
      <c r="A922" s="81"/>
      <c r="B922" s="81"/>
      <c r="C922" s="81"/>
      <c r="D922" s="81"/>
      <c r="E922" s="620"/>
      <c r="F922" s="620"/>
      <c r="G922" s="620"/>
      <c r="H922" s="94"/>
      <c r="I922" s="81"/>
      <c r="J922" s="35"/>
      <c r="K922" s="36"/>
      <c r="L922" s="36"/>
      <c r="M922" s="36"/>
      <c r="N922" s="36"/>
      <c r="O922" s="36"/>
      <c r="P922" s="36"/>
      <c r="Q922" s="36"/>
      <c r="R922" s="36"/>
      <c r="S922" s="36"/>
      <c r="T922" s="36"/>
      <c r="U922" s="36"/>
      <c r="V922" s="36"/>
      <c r="W922" s="36"/>
      <c r="X922" s="36"/>
      <c r="Y922" s="36"/>
      <c r="Z922" s="36"/>
      <c r="AA922" s="36"/>
      <c r="AB922" s="36"/>
      <c r="AC922" s="36"/>
    </row>
    <row r="923" spans="1:29" ht="36" customHeight="1">
      <c r="A923" s="81"/>
      <c r="B923" s="81"/>
      <c r="C923" s="81"/>
      <c r="D923" s="81"/>
      <c r="E923" s="620"/>
      <c r="F923" s="620"/>
      <c r="G923" s="620"/>
      <c r="H923" s="94"/>
      <c r="I923" s="81"/>
      <c r="J923" s="35"/>
      <c r="K923" s="36"/>
      <c r="L923" s="36"/>
      <c r="M923" s="36"/>
      <c r="N923" s="36"/>
      <c r="O923" s="36"/>
      <c r="P923" s="36"/>
      <c r="Q923" s="36"/>
      <c r="R923" s="36"/>
      <c r="S923" s="36"/>
      <c r="T923" s="36"/>
      <c r="U923" s="36"/>
      <c r="V923" s="36"/>
      <c r="W923" s="36"/>
      <c r="X923" s="36"/>
      <c r="Y923" s="36"/>
      <c r="Z923" s="36"/>
      <c r="AA923" s="36"/>
      <c r="AB923" s="36"/>
      <c r="AC923" s="36"/>
    </row>
    <row r="924" spans="1:29" ht="24" customHeight="1">
      <c r="A924" s="81"/>
      <c r="B924" s="94"/>
      <c r="C924" s="81"/>
      <c r="D924" s="81"/>
      <c r="E924" s="620"/>
      <c r="F924" s="620"/>
      <c r="G924" s="620"/>
      <c r="H924" s="94"/>
      <c r="I924" s="81"/>
      <c r="J924" s="35"/>
      <c r="K924" s="36"/>
      <c r="L924" s="36"/>
      <c r="M924" s="36"/>
      <c r="N924" s="36"/>
      <c r="O924" s="36"/>
      <c r="P924" s="36"/>
      <c r="Q924" s="36"/>
      <c r="R924" s="36"/>
      <c r="S924" s="36"/>
      <c r="T924" s="36"/>
      <c r="U924" s="36"/>
      <c r="V924" s="36"/>
      <c r="W924" s="36"/>
      <c r="X924" s="36"/>
      <c r="Y924" s="36"/>
      <c r="Z924" s="36"/>
      <c r="AA924" s="36"/>
      <c r="AB924" s="36"/>
      <c r="AC924" s="36"/>
    </row>
    <row r="925" spans="1:29" ht="24" customHeight="1">
      <c r="A925" s="81"/>
      <c r="B925" s="94"/>
      <c r="C925" s="81"/>
      <c r="D925" s="81"/>
      <c r="E925" s="620"/>
      <c r="F925" s="620"/>
      <c r="G925" s="620"/>
      <c r="H925" s="94"/>
      <c r="I925" s="81"/>
      <c r="J925" s="35"/>
      <c r="K925" s="36"/>
      <c r="L925" s="36"/>
      <c r="M925" s="36"/>
      <c r="N925" s="36"/>
      <c r="O925" s="36"/>
      <c r="P925" s="36"/>
      <c r="Q925" s="36"/>
      <c r="R925" s="36"/>
      <c r="S925" s="36"/>
      <c r="T925" s="36"/>
      <c r="U925" s="36"/>
      <c r="V925" s="36"/>
      <c r="W925" s="36"/>
      <c r="X925" s="36"/>
      <c r="Y925" s="36"/>
      <c r="Z925" s="36"/>
      <c r="AA925" s="36"/>
      <c r="AB925" s="36"/>
      <c r="AC925" s="36"/>
    </row>
    <row r="926" spans="1:29" ht="24" customHeight="1">
      <c r="A926" s="81"/>
      <c r="B926" s="94"/>
      <c r="C926" s="81"/>
      <c r="D926" s="81"/>
      <c r="E926" s="620"/>
      <c r="F926" s="620"/>
      <c r="G926" s="620"/>
      <c r="H926" s="94"/>
      <c r="I926" s="81"/>
      <c r="J926" s="35"/>
      <c r="K926" s="36"/>
      <c r="L926" s="36"/>
      <c r="M926" s="36"/>
      <c r="N926" s="36"/>
      <c r="O926" s="36"/>
      <c r="P926" s="36"/>
      <c r="Q926" s="36"/>
      <c r="R926" s="36"/>
      <c r="S926" s="36"/>
      <c r="T926" s="36"/>
      <c r="U926" s="36"/>
      <c r="V926" s="36"/>
      <c r="W926" s="36"/>
      <c r="X926" s="36"/>
      <c r="Y926" s="36"/>
      <c r="Z926" s="36"/>
      <c r="AA926" s="36"/>
      <c r="AB926" s="36"/>
      <c r="AC926" s="36"/>
    </row>
    <row r="927" spans="1:29" ht="24" customHeight="1">
      <c r="A927" s="81"/>
      <c r="B927" s="94"/>
      <c r="C927" s="81"/>
      <c r="D927" s="81"/>
      <c r="E927" s="620"/>
      <c r="F927" s="620"/>
      <c r="G927" s="620"/>
      <c r="H927" s="94"/>
      <c r="I927" s="81"/>
      <c r="J927" s="35"/>
      <c r="K927" s="36"/>
      <c r="L927" s="36"/>
      <c r="M927" s="36"/>
      <c r="N927" s="36"/>
      <c r="O927" s="36"/>
      <c r="P927" s="36"/>
      <c r="Q927" s="36"/>
      <c r="R927" s="36"/>
      <c r="S927" s="36"/>
      <c r="T927" s="36"/>
      <c r="U927" s="36"/>
      <c r="V927" s="36"/>
      <c r="W927" s="36"/>
      <c r="X927" s="36"/>
      <c r="Y927" s="36"/>
      <c r="Z927" s="36"/>
      <c r="AA927" s="36"/>
      <c r="AB927" s="36"/>
      <c r="AC927" s="36"/>
    </row>
    <row r="928" spans="1:29" ht="24" customHeight="1">
      <c r="A928" s="81"/>
      <c r="B928" s="81"/>
      <c r="C928" s="81"/>
      <c r="D928" s="81"/>
      <c r="E928" s="620"/>
      <c r="F928" s="620"/>
      <c r="G928" s="620"/>
      <c r="H928" s="94"/>
      <c r="I928" s="81"/>
      <c r="J928" s="35"/>
      <c r="K928" s="36"/>
      <c r="L928" s="36"/>
      <c r="M928" s="36"/>
      <c r="N928" s="36"/>
      <c r="O928" s="36"/>
      <c r="P928" s="36"/>
      <c r="Q928" s="36"/>
      <c r="R928" s="36"/>
      <c r="S928" s="36"/>
      <c r="T928" s="36"/>
      <c r="U928" s="36"/>
      <c r="V928" s="36"/>
      <c r="W928" s="36"/>
      <c r="X928" s="36"/>
      <c r="Y928" s="36"/>
      <c r="Z928" s="36"/>
      <c r="AA928" s="36"/>
      <c r="AB928" s="36"/>
      <c r="AC928" s="36"/>
    </row>
    <row r="929" spans="1:29" ht="36" customHeight="1">
      <c r="A929" s="81"/>
      <c r="B929" s="81"/>
      <c r="C929" s="81"/>
      <c r="D929" s="81"/>
      <c r="E929" s="620"/>
      <c r="F929" s="620"/>
      <c r="G929" s="620"/>
      <c r="H929" s="94"/>
      <c r="I929" s="81"/>
      <c r="J929" s="35"/>
      <c r="K929" s="36"/>
      <c r="L929" s="36"/>
      <c r="M929" s="36"/>
      <c r="N929" s="36"/>
      <c r="O929" s="36"/>
      <c r="P929" s="36"/>
      <c r="Q929" s="36"/>
      <c r="R929" s="36"/>
      <c r="S929" s="36"/>
      <c r="T929" s="36"/>
      <c r="U929" s="36"/>
      <c r="V929" s="36"/>
      <c r="W929" s="36"/>
      <c r="X929" s="36"/>
      <c r="Y929" s="36"/>
      <c r="Z929" s="36"/>
      <c r="AA929" s="36"/>
      <c r="AB929" s="36"/>
      <c r="AC929" s="36"/>
    </row>
    <row r="930" spans="1:29" ht="48" customHeight="1">
      <c r="A930" s="81"/>
      <c r="B930" s="81"/>
      <c r="C930" s="81"/>
      <c r="D930" s="81"/>
      <c r="E930" s="620"/>
      <c r="F930" s="620"/>
      <c r="G930" s="620"/>
      <c r="H930" s="94"/>
      <c r="I930" s="81"/>
      <c r="J930" s="35"/>
      <c r="K930" s="36"/>
      <c r="L930" s="36"/>
      <c r="M930" s="36"/>
      <c r="N930" s="36"/>
      <c r="O930" s="36"/>
      <c r="P930" s="36"/>
      <c r="Q930" s="36"/>
      <c r="R930" s="36"/>
      <c r="S930" s="36"/>
      <c r="T930" s="36"/>
      <c r="U930" s="36"/>
      <c r="V930" s="36"/>
      <c r="W930" s="36"/>
      <c r="X930" s="36"/>
      <c r="Y930" s="36"/>
      <c r="Z930" s="36"/>
      <c r="AA930" s="36"/>
      <c r="AB930" s="36"/>
      <c r="AC930" s="36"/>
    </row>
    <row r="931" spans="1:29" ht="24" customHeight="1">
      <c r="A931" s="81"/>
      <c r="B931" s="81"/>
      <c r="C931" s="81"/>
      <c r="D931" s="81"/>
      <c r="E931" s="620"/>
      <c r="F931" s="620"/>
      <c r="G931" s="620"/>
      <c r="H931" s="94"/>
      <c r="I931" s="81"/>
      <c r="J931" s="35"/>
      <c r="K931" s="36"/>
      <c r="L931" s="36"/>
      <c r="M931" s="36"/>
      <c r="N931" s="36"/>
      <c r="O931" s="36"/>
      <c r="P931" s="36"/>
      <c r="Q931" s="36"/>
      <c r="R931" s="36"/>
      <c r="S931" s="36"/>
      <c r="T931" s="36"/>
      <c r="U931" s="36"/>
      <c r="V931" s="36"/>
      <c r="W931" s="36"/>
      <c r="X931" s="36"/>
      <c r="Y931" s="36"/>
      <c r="Z931" s="36"/>
      <c r="AA931" s="36"/>
      <c r="AB931" s="36"/>
      <c r="AC931" s="36"/>
    </row>
    <row r="932" spans="1:29" ht="24" customHeight="1">
      <c r="A932" s="81"/>
      <c r="B932" s="81"/>
      <c r="C932" s="81"/>
      <c r="D932" s="81"/>
      <c r="E932" s="620"/>
      <c r="F932" s="620"/>
      <c r="G932" s="620"/>
      <c r="H932" s="94"/>
      <c r="I932" s="81"/>
      <c r="J932" s="35"/>
      <c r="K932" s="36"/>
      <c r="L932" s="36"/>
      <c r="M932" s="36"/>
      <c r="N932" s="36"/>
      <c r="O932" s="36"/>
      <c r="P932" s="36"/>
      <c r="Q932" s="36"/>
      <c r="R932" s="36"/>
      <c r="S932" s="36"/>
      <c r="T932" s="36"/>
      <c r="U932" s="36"/>
      <c r="V932" s="36"/>
      <c r="W932" s="36"/>
      <c r="X932" s="36"/>
      <c r="Y932" s="36"/>
      <c r="Z932" s="36"/>
      <c r="AA932" s="36"/>
      <c r="AB932" s="36"/>
      <c r="AC932" s="36"/>
    </row>
    <row r="933" spans="1:29" ht="60" customHeight="1">
      <c r="A933" s="81"/>
      <c r="B933" s="81"/>
      <c r="C933" s="81"/>
      <c r="D933" s="81"/>
      <c r="E933" s="620"/>
      <c r="F933" s="620"/>
      <c r="G933" s="620"/>
      <c r="H933" s="94"/>
      <c r="I933" s="81"/>
      <c r="J933" s="35"/>
      <c r="K933" s="36"/>
      <c r="L933" s="36"/>
      <c r="M933" s="36"/>
      <c r="N933" s="36"/>
      <c r="O933" s="36"/>
      <c r="P933" s="36"/>
      <c r="Q933" s="36"/>
      <c r="R933" s="36"/>
      <c r="S933" s="36"/>
      <c r="T933" s="36"/>
      <c r="U933" s="36"/>
      <c r="V933" s="36"/>
      <c r="W933" s="36"/>
      <c r="X933" s="36"/>
      <c r="Y933" s="36"/>
      <c r="Z933" s="36"/>
      <c r="AA933" s="36"/>
      <c r="AB933" s="36"/>
      <c r="AC933" s="36"/>
    </row>
    <row r="934" spans="1:29" ht="36" customHeight="1">
      <c r="A934" s="81"/>
      <c r="B934" s="81"/>
      <c r="C934" s="81"/>
      <c r="D934" s="81"/>
      <c r="E934" s="620"/>
      <c r="F934" s="620"/>
      <c r="G934" s="620"/>
      <c r="H934" s="94"/>
      <c r="I934" s="81"/>
      <c r="J934" s="35"/>
      <c r="K934" s="36"/>
      <c r="L934" s="36"/>
      <c r="M934" s="36"/>
      <c r="N934" s="36"/>
      <c r="O934" s="36"/>
      <c r="P934" s="36"/>
      <c r="Q934" s="36"/>
      <c r="R934" s="36"/>
      <c r="S934" s="36"/>
      <c r="T934" s="36"/>
      <c r="U934" s="36"/>
      <c r="V934" s="36"/>
      <c r="W934" s="36"/>
      <c r="X934" s="36"/>
      <c r="Y934" s="36"/>
      <c r="Z934" s="36"/>
      <c r="AA934" s="36"/>
      <c r="AB934" s="36"/>
      <c r="AC934" s="36"/>
    </row>
    <row r="935" spans="1:29" ht="24" customHeight="1">
      <c r="A935" s="81"/>
      <c r="B935" s="81"/>
      <c r="C935" s="81"/>
      <c r="D935" s="81"/>
      <c r="E935" s="620"/>
      <c r="F935" s="620"/>
      <c r="G935" s="620"/>
      <c r="H935" s="94"/>
      <c r="I935" s="81"/>
      <c r="J935" s="36"/>
      <c r="K935" s="36"/>
      <c r="L935" s="36"/>
      <c r="M935" s="36"/>
      <c r="N935" s="36"/>
      <c r="O935" s="36"/>
      <c r="P935" s="36"/>
      <c r="Q935" s="36"/>
      <c r="R935" s="36"/>
      <c r="S935" s="36"/>
      <c r="T935" s="36"/>
      <c r="U935" s="36"/>
      <c r="V935" s="36"/>
      <c r="W935" s="36"/>
      <c r="X935" s="36"/>
      <c r="Y935" s="36"/>
      <c r="Z935" s="36"/>
      <c r="AA935" s="36"/>
      <c r="AB935" s="36"/>
      <c r="AC935" s="36"/>
    </row>
    <row r="936" spans="1:29" ht="24" customHeight="1">
      <c r="A936" s="81"/>
      <c r="B936" s="81"/>
      <c r="C936" s="81"/>
      <c r="D936" s="81"/>
      <c r="E936" s="620"/>
      <c r="F936" s="620"/>
      <c r="G936" s="620"/>
      <c r="H936" s="94"/>
      <c r="I936" s="81"/>
      <c r="J936" s="36"/>
      <c r="K936" s="36"/>
      <c r="L936" s="36"/>
      <c r="M936" s="36"/>
      <c r="N936" s="36"/>
      <c r="O936" s="36"/>
      <c r="P936" s="36"/>
      <c r="Q936" s="36"/>
      <c r="R936" s="36"/>
      <c r="S936" s="36"/>
      <c r="T936" s="36"/>
      <c r="U936" s="36"/>
      <c r="V936" s="36"/>
      <c r="W936" s="36"/>
      <c r="X936" s="36"/>
      <c r="Y936" s="36"/>
      <c r="Z936" s="36"/>
      <c r="AA936" s="36"/>
      <c r="AB936" s="36"/>
      <c r="AC936" s="36"/>
    </row>
    <row r="937" spans="1:29" ht="48" customHeight="1">
      <c r="A937" s="81"/>
      <c r="B937" s="81"/>
      <c r="C937" s="81"/>
      <c r="D937" s="81"/>
      <c r="E937" s="620"/>
      <c r="F937" s="620"/>
      <c r="G937" s="620"/>
      <c r="H937" s="94"/>
      <c r="I937" s="81"/>
      <c r="J937" s="36"/>
      <c r="K937" s="36"/>
      <c r="L937" s="36"/>
      <c r="M937" s="36"/>
      <c r="N937" s="36"/>
      <c r="O937" s="36"/>
      <c r="P937" s="36"/>
      <c r="Q937" s="36"/>
      <c r="R937" s="36"/>
      <c r="S937" s="36"/>
      <c r="T937" s="36"/>
      <c r="U937" s="36"/>
      <c r="V937" s="36"/>
      <c r="W937" s="36"/>
      <c r="X937" s="36"/>
      <c r="Y937" s="36"/>
      <c r="Z937" s="36"/>
      <c r="AA937" s="36"/>
      <c r="AB937" s="36"/>
      <c r="AC937" s="36"/>
    </row>
    <row r="938" spans="1:29" ht="24" customHeight="1">
      <c r="A938" s="81"/>
      <c r="B938" s="81"/>
      <c r="C938" s="81"/>
      <c r="D938" s="81"/>
      <c r="E938" s="620"/>
      <c r="F938" s="620"/>
      <c r="G938" s="620"/>
      <c r="H938" s="94"/>
      <c r="I938" s="81"/>
      <c r="J938" s="36"/>
      <c r="K938" s="36"/>
      <c r="L938" s="36"/>
      <c r="M938" s="36"/>
      <c r="N938" s="36"/>
      <c r="O938" s="36"/>
      <c r="P938" s="36"/>
      <c r="Q938" s="36"/>
      <c r="R938" s="36"/>
      <c r="S938" s="36"/>
      <c r="T938" s="36"/>
      <c r="U938" s="36"/>
      <c r="V938" s="36"/>
      <c r="W938" s="36"/>
      <c r="X938" s="36"/>
      <c r="Y938" s="36"/>
      <c r="Z938" s="36"/>
      <c r="AA938" s="36"/>
      <c r="AB938" s="36"/>
      <c r="AC938" s="36"/>
    </row>
    <row r="939" spans="1:29" ht="42.75" customHeight="1">
      <c r="A939" s="81"/>
      <c r="B939" s="81"/>
      <c r="C939" s="81"/>
      <c r="D939" s="81"/>
      <c r="E939" s="620"/>
      <c r="F939" s="620"/>
      <c r="G939" s="620"/>
      <c r="H939" s="94"/>
      <c r="I939" s="81"/>
      <c r="J939" s="36"/>
      <c r="K939" s="36"/>
      <c r="L939" s="36"/>
      <c r="M939" s="36"/>
      <c r="N939" s="36"/>
      <c r="O939" s="36"/>
      <c r="P939" s="36"/>
      <c r="Q939" s="36"/>
      <c r="R939" s="36"/>
      <c r="S939" s="36"/>
      <c r="T939" s="36"/>
      <c r="U939" s="36"/>
      <c r="V939" s="36"/>
      <c r="W939" s="36"/>
      <c r="X939" s="36"/>
      <c r="Y939" s="36"/>
      <c r="Z939" s="36"/>
      <c r="AA939" s="36"/>
      <c r="AB939" s="36"/>
      <c r="AC939" s="36"/>
    </row>
    <row r="940" spans="1:29" ht="24" customHeight="1">
      <c r="A940" s="81"/>
      <c r="B940" s="94"/>
      <c r="C940" s="81"/>
      <c r="D940" s="81"/>
      <c r="E940" s="620"/>
      <c r="F940" s="620"/>
      <c r="G940" s="620"/>
      <c r="H940" s="94"/>
      <c r="I940" s="81"/>
      <c r="J940" s="36"/>
      <c r="K940" s="36"/>
      <c r="L940" s="36"/>
      <c r="M940" s="36"/>
      <c r="N940" s="36"/>
      <c r="O940" s="36"/>
      <c r="P940" s="36"/>
      <c r="Q940" s="36"/>
      <c r="R940" s="36"/>
      <c r="S940" s="36"/>
      <c r="T940" s="36"/>
      <c r="U940" s="36"/>
      <c r="V940" s="36"/>
      <c r="W940" s="36"/>
      <c r="X940" s="36"/>
      <c r="Y940" s="36"/>
      <c r="Z940" s="36"/>
      <c r="AA940" s="36"/>
      <c r="AB940" s="36"/>
      <c r="AC940" s="36"/>
    </row>
    <row r="941" spans="1:29" ht="24" customHeight="1">
      <c r="A941" s="81"/>
      <c r="B941" s="81"/>
      <c r="C941" s="81"/>
      <c r="D941" s="81"/>
      <c r="E941" s="620"/>
      <c r="F941" s="620"/>
      <c r="G941" s="620"/>
      <c r="H941" s="94"/>
      <c r="I941" s="81"/>
      <c r="J941" s="36"/>
      <c r="K941" s="36"/>
      <c r="L941" s="36"/>
      <c r="M941" s="36"/>
      <c r="N941" s="36"/>
      <c r="O941" s="36"/>
      <c r="P941" s="36"/>
      <c r="Q941" s="36"/>
      <c r="R941" s="36"/>
      <c r="S941" s="36"/>
      <c r="T941" s="36"/>
      <c r="U941" s="36"/>
      <c r="V941" s="36"/>
      <c r="W941" s="36"/>
      <c r="X941" s="36"/>
      <c r="Y941" s="36"/>
      <c r="Z941" s="36"/>
      <c r="AA941" s="36"/>
      <c r="AB941" s="36"/>
      <c r="AC941" s="36"/>
    </row>
    <row r="942" spans="1:29" ht="36" customHeight="1">
      <c r="A942" s="81"/>
      <c r="B942" s="81"/>
      <c r="C942" s="81"/>
      <c r="D942" s="81"/>
      <c r="E942" s="620"/>
      <c r="F942" s="620"/>
      <c r="G942" s="620"/>
      <c r="H942" s="94"/>
      <c r="I942" s="81"/>
      <c r="J942" s="36"/>
      <c r="K942" s="36"/>
      <c r="L942" s="36"/>
      <c r="M942" s="36"/>
      <c r="N942" s="36"/>
      <c r="O942" s="36"/>
      <c r="P942" s="36"/>
      <c r="Q942" s="36"/>
      <c r="R942" s="36"/>
      <c r="S942" s="36"/>
      <c r="T942" s="36"/>
      <c r="U942" s="36"/>
      <c r="V942" s="36"/>
      <c r="W942" s="36"/>
      <c r="X942" s="36"/>
      <c r="Y942" s="36"/>
      <c r="Z942" s="36"/>
      <c r="AA942" s="36"/>
      <c r="AB942" s="36"/>
      <c r="AC942" s="36"/>
    </row>
    <row r="943" spans="1:29" ht="24" customHeight="1">
      <c r="A943" s="81"/>
      <c r="B943" s="81"/>
      <c r="C943" s="81"/>
      <c r="D943" s="81"/>
      <c r="E943" s="620"/>
      <c r="F943" s="620"/>
      <c r="G943" s="620"/>
      <c r="H943" s="94"/>
      <c r="I943" s="81"/>
      <c r="J943" s="36"/>
      <c r="K943" s="36"/>
      <c r="L943" s="36"/>
      <c r="M943" s="36"/>
      <c r="N943" s="36"/>
      <c r="O943" s="36"/>
      <c r="P943" s="36"/>
      <c r="Q943" s="36"/>
      <c r="R943" s="36"/>
      <c r="S943" s="36"/>
      <c r="T943" s="36"/>
      <c r="U943" s="36"/>
      <c r="V943" s="36"/>
      <c r="W943" s="36"/>
      <c r="X943" s="36"/>
      <c r="Y943" s="36"/>
      <c r="Z943" s="36"/>
      <c r="AA943" s="36"/>
      <c r="AB943" s="36"/>
      <c r="AC943" s="36"/>
    </row>
    <row r="944" spans="1:29" ht="24" customHeight="1">
      <c r="A944" s="81"/>
      <c r="B944" s="94"/>
      <c r="C944" s="81"/>
      <c r="D944" s="81"/>
      <c r="E944" s="620"/>
      <c r="F944" s="620"/>
      <c r="G944" s="620"/>
      <c r="H944" s="94"/>
      <c r="I944" s="81"/>
      <c r="J944" s="36"/>
      <c r="K944" s="36"/>
      <c r="L944" s="36"/>
      <c r="M944" s="36"/>
      <c r="N944" s="36"/>
      <c r="O944" s="36"/>
      <c r="P944" s="36"/>
      <c r="Q944" s="36"/>
      <c r="R944" s="36"/>
      <c r="S944" s="36"/>
      <c r="T944" s="36"/>
      <c r="U944" s="36"/>
      <c r="V944" s="36"/>
      <c r="W944" s="36"/>
      <c r="X944" s="36"/>
      <c r="Y944" s="36"/>
      <c r="Z944" s="36"/>
      <c r="AA944" s="36"/>
      <c r="AB944" s="36"/>
      <c r="AC944" s="36"/>
    </row>
    <row r="945" spans="1:29" ht="15" customHeight="1">
      <c r="A945" s="81"/>
      <c r="B945" s="81"/>
      <c r="C945" s="81"/>
      <c r="D945" s="81"/>
      <c r="E945" s="620"/>
      <c r="F945" s="620"/>
      <c r="G945" s="620"/>
      <c r="H945" s="94"/>
      <c r="I945" s="81"/>
      <c r="J945" s="35"/>
      <c r="K945" s="36"/>
      <c r="L945" s="36"/>
      <c r="M945" s="36"/>
      <c r="N945" s="36"/>
      <c r="O945" s="36"/>
      <c r="P945" s="36"/>
      <c r="Q945" s="36"/>
      <c r="R945" s="36"/>
      <c r="S945" s="36"/>
      <c r="T945" s="36"/>
      <c r="U945" s="36"/>
      <c r="V945" s="36"/>
      <c r="W945" s="36"/>
      <c r="X945" s="36"/>
      <c r="Y945" s="36"/>
      <c r="Z945" s="36"/>
      <c r="AA945" s="36"/>
      <c r="AB945" s="36"/>
      <c r="AC945" s="36"/>
    </row>
    <row r="946" spans="1:29" ht="15" customHeight="1">
      <c r="A946" s="81"/>
      <c r="B946" s="81"/>
      <c r="C946" s="81"/>
      <c r="D946" s="81"/>
      <c r="E946" s="620"/>
      <c r="F946" s="620"/>
      <c r="G946" s="620"/>
      <c r="H946" s="94"/>
      <c r="I946" s="81"/>
      <c r="J946" s="35"/>
      <c r="K946" s="36"/>
      <c r="L946" s="36"/>
      <c r="M946" s="36"/>
      <c r="N946" s="36"/>
      <c r="O946" s="36"/>
      <c r="P946" s="36"/>
      <c r="Q946" s="36"/>
      <c r="R946" s="36"/>
      <c r="S946" s="36"/>
      <c r="T946" s="36"/>
      <c r="U946" s="36"/>
      <c r="V946" s="36"/>
      <c r="W946" s="36"/>
      <c r="X946" s="36"/>
      <c r="Y946" s="36"/>
      <c r="Z946" s="36"/>
      <c r="AA946" s="36"/>
      <c r="AB946" s="36"/>
      <c r="AC946" s="36"/>
    </row>
    <row r="947" spans="1:29" ht="46.5" customHeight="1">
      <c r="A947" s="81"/>
      <c r="B947" s="81"/>
      <c r="C947" s="81"/>
      <c r="D947" s="81"/>
      <c r="E947" s="620"/>
      <c r="F947" s="620"/>
      <c r="G947" s="620"/>
      <c r="H947" s="94"/>
      <c r="I947" s="81"/>
      <c r="J947" s="35"/>
      <c r="K947" s="36"/>
      <c r="L947" s="36"/>
      <c r="M947" s="36"/>
      <c r="N947" s="36"/>
      <c r="O947" s="36"/>
      <c r="P947" s="36"/>
      <c r="Q947" s="36"/>
      <c r="R947" s="36"/>
      <c r="S947" s="36"/>
      <c r="T947" s="36"/>
      <c r="U947" s="36"/>
      <c r="V947" s="36"/>
      <c r="W947" s="36"/>
      <c r="X947" s="36"/>
      <c r="Y947" s="36"/>
      <c r="Z947" s="36"/>
      <c r="AA947" s="36"/>
      <c r="AB947" s="36"/>
      <c r="AC947" s="36"/>
    </row>
    <row r="948" spans="1:29" ht="34.5" customHeight="1">
      <c r="A948" s="81"/>
      <c r="B948" s="81"/>
      <c r="C948" s="81"/>
      <c r="D948" s="81"/>
      <c r="E948" s="620"/>
      <c r="F948" s="620"/>
      <c r="G948" s="620"/>
      <c r="H948" s="94"/>
      <c r="I948" s="81"/>
      <c r="J948" s="35"/>
      <c r="K948" s="36"/>
      <c r="L948" s="36"/>
      <c r="M948" s="36"/>
      <c r="N948" s="36"/>
      <c r="O948" s="36"/>
      <c r="P948" s="36"/>
      <c r="Q948" s="36"/>
      <c r="R948" s="36"/>
      <c r="S948" s="36"/>
      <c r="T948" s="36"/>
      <c r="U948" s="36"/>
      <c r="V948" s="36"/>
      <c r="W948" s="36"/>
      <c r="X948" s="36"/>
      <c r="Y948" s="36"/>
      <c r="Z948" s="36"/>
      <c r="AA948" s="36"/>
      <c r="AB948" s="36"/>
      <c r="AC948" s="36"/>
    </row>
    <row r="949" spans="1:29" ht="60" customHeight="1">
      <c r="A949" s="81"/>
      <c r="B949" s="81"/>
      <c r="C949" s="81"/>
      <c r="D949" s="81"/>
      <c r="E949" s="620"/>
      <c r="F949" s="620"/>
      <c r="G949" s="620"/>
      <c r="H949" s="94"/>
      <c r="I949" s="81"/>
      <c r="J949" s="35"/>
      <c r="K949" s="36"/>
      <c r="L949" s="36"/>
      <c r="M949" s="36"/>
      <c r="N949" s="36"/>
      <c r="O949" s="36"/>
      <c r="P949" s="36"/>
      <c r="Q949" s="36"/>
      <c r="R949" s="36"/>
      <c r="S949" s="36"/>
      <c r="T949" s="36"/>
      <c r="U949" s="36"/>
      <c r="V949" s="36"/>
      <c r="W949" s="36"/>
      <c r="X949" s="36"/>
      <c r="Y949" s="36"/>
      <c r="Z949" s="36"/>
      <c r="AA949" s="36"/>
      <c r="AB949" s="36"/>
      <c r="AC949" s="36"/>
    </row>
    <row r="950" spans="1:29" ht="24" customHeight="1">
      <c r="A950" s="81"/>
      <c r="B950" s="81"/>
      <c r="C950" s="81"/>
      <c r="D950" s="81"/>
      <c r="E950" s="620"/>
      <c r="F950" s="620"/>
      <c r="G950" s="620"/>
      <c r="H950" s="94"/>
      <c r="I950" s="81"/>
      <c r="J950" s="35"/>
      <c r="K950" s="36"/>
      <c r="L950" s="36"/>
      <c r="M950" s="36"/>
      <c r="N950" s="36"/>
      <c r="O950" s="36"/>
      <c r="P950" s="36"/>
      <c r="Q950" s="36"/>
      <c r="R950" s="36"/>
      <c r="S950" s="36"/>
      <c r="T950" s="36"/>
      <c r="U950" s="36"/>
      <c r="V950" s="36"/>
      <c r="W950" s="36"/>
      <c r="X950" s="36"/>
      <c r="Y950" s="36"/>
      <c r="Z950" s="36"/>
      <c r="AA950" s="36"/>
      <c r="AB950" s="36"/>
      <c r="AC950" s="36"/>
    </row>
    <row r="951" spans="1:29" ht="48" customHeight="1">
      <c r="A951" s="81"/>
      <c r="B951" s="81"/>
      <c r="C951" s="81"/>
      <c r="D951" s="81"/>
      <c r="E951" s="620"/>
      <c r="F951" s="620"/>
      <c r="G951" s="620"/>
      <c r="H951" s="94"/>
      <c r="I951" s="81"/>
      <c r="J951" s="35"/>
      <c r="K951" s="36"/>
      <c r="L951" s="36"/>
      <c r="M951" s="36"/>
      <c r="N951" s="36"/>
      <c r="O951" s="36"/>
      <c r="P951" s="36"/>
      <c r="Q951" s="36"/>
      <c r="R951" s="36"/>
      <c r="S951" s="36"/>
      <c r="T951" s="36"/>
      <c r="U951" s="36"/>
      <c r="V951" s="36"/>
      <c r="W951" s="36"/>
      <c r="X951" s="36"/>
      <c r="Y951" s="36"/>
      <c r="Z951" s="36"/>
      <c r="AA951" s="36"/>
      <c r="AB951" s="36"/>
      <c r="AC951" s="36"/>
    </row>
    <row r="952" spans="1:29" ht="36" customHeight="1">
      <c r="A952" s="81"/>
      <c r="B952" s="81"/>
      <c r="C952" s="81"/>
      <c r="D952" s="81"/>
      <c r="E952" s="620"/>
      <c r="F952" s="620"/>
      <c r="G952" s="620"/>
      <c r="H952" s="94"/>
      <c r="I952" s="81"/>
      <c r="J952" s="35"/>
      <c r="K952" s="36"/>
      <c r="L952" s="36"/>
      <c r="M952" s="36"/>
      <c r="N952" s="36"/>
      <c r="O952" s="36"/>
      <c r="P952" s="36"/>
      <c r="Q952" s="36"/>
      <c r="R952" s="36"/>
      <c r="S952" s="36"/>
      <c r="T952" s="36"/>
      <c r="U952" s="36"/>
      <c r="V952" s="36"/>
      <c r="W952" s="36"/>
      <c r="X952" s="36"/>
      <c r="Y952" s="36"/>
      <c r="Z952" s="36"/>
      <c r="AA952" s="36"/>
      <c r="AB952" s="36"/>
      <c r="AC952" s="36"/>
    </row>
    <row r="953" spans="1:29" ht="24" customHeight="1">
      <c r="A953" s="81"/>
      <c r="B953" s="81"/>
      <c r="C953" s="81"/>
      <c r="D953" s="81"/>
      <c r="E953" s="620"/>
      <c r="F953" s="620"/>
      <c r="G953" s="620"/>
      <c r="H953" s="94"/>
      <c r="I953" s="81"/>
      <c r="J953" s="35"/>
      <c r="K953" s="36"/>
      <c r="L953" s="36"/>
      <c r="M953" s="36"/>
      <c r="N953" s="36"/>
      <c r="O953" s="36"/>
      <c r="P953" s="36"/>
      <c r="Q953" s="36"/>
      <c r="R953" s="36"/>
      <c r="S953" s="36"/>
      <c r="T953" s="36"/>
      <c r="U953" s="36"/>
      <c r="V953" s="36"/>
      <c r="W953" s="36"/>
      <c r="X953" s="36"/>
      <c r="Y953" s="36"/>
      <c r="Z953" s="36"/>
      <c r="AA953" s="36"/>
      <c r="AB953" s="36"/>
      <c r="AC953" s="36"/>
    </row>
    <row r="954" spans="1:29" ht="24" customHeight="1">
      <c r="A954" s="81"/>
      <c r="B954" s="81"/>
      <c r="C954" s="81"/>
      <c r="D954" s="81"/>
      <c r="E954" s="620"/>
      <c r="F954" s="620"/>
      <c r="G954" s="620"/>
      <c r="H954" s="94"/>
      <c r="I954" s="81"/>
      <c r="J954" s="35"/>
      <c r="K954" s="36"/>
      <c r="L954" s="36"/>
      <c r="M954" s="36"/>
      <c r="N954" s="36"/>
      <c r="O954" s="36"/>
      <c r="P954" s="36"/>
      <c r="Q954" s="36"/>
      <c r="R954" s="36"/>
      <c r="S954" s="36"/>
      <c r="T954" s="36"/>
      <c r="U954" s="36"/>
      <c r="V954" s="36"/>
      <c r="W954" s="36"/>
      <c r="X954" s="36"/>
      <c r="Y954" s="36"/>
      <c r="Z954" s="36"/>
      <c r="AA954" s="36"/>
      <c r="AB954" s="36"/>
      <c r="AC954" s="36"/>
    </row>
    <row r="955" spans="1:29" ht="24" customHeight="1">
      <c r="A955" s="81"/>
      <c r="B955" s="81"/>
      <c r="C955" s="81"/>
      <c r="D955" s="81"/>
      <c r="E955" s="620"/>
      <c r="F955" s="620"/>
      <c r="G955" s="620"/>
      <c r="H955" s="94"/>
      <c r="I955" s="81"/>
      <c r="J955" s="35"/>
      <c r="K955" s="36"/>
      <c r="L955" s="36"/>
      <c r="M955" s="36"/>
      <c r="N955" s="36"/>
      <c r="O955" s="36"/>
      <c r="P955" s="36"/>
      <c r="Q955" s="36"/>
      <c r="R955" s="36"/>
      <c r="S955" s="36"/>
      <c r="T955" s="36"/>
      <c r="U955" s="36"/>
      <c r="V955" s="36"/>
      <c r="W955" s="36"/>
      <c r="X955" s="36"/>
      <c r="Y955" s="36"/>
      <c r="Z955" s="36"/>
      <c r="AA955" s="36"/>
      <c r="AB955" s="36"/>
      <c r="AC955" s="36"/>
    </row>
    <row r="956" spans="1:29" ht="24" customHeight="1">
      <c r="A956" s="81"/>
      <c r="B956" s="81"/>
      <c r="C956" s="81"/>
      <c r="D956" s="81"/>
      <c r="E956" s="620"/>
      <c r="F956" s="620"/>
      <c r="G956" s="620"/>
      <c r="H956" s="94"/>
      <c r="I956" s="81"/>
      <c r="J956" s="35"/>
      <c r="K956" s="36"/>
      <c r="L956" s="36"/>
      <c r="M956" s="36"/>
      <c r="N956" s="36"/>
      <c r="O956" s="36"/>
      <c r="P956" s="36"/>
      <c r="Q956" s="36"/>
      <c r="R956" s="36"/>
      <c r="S956" s="36"/>
      <c r="T956" s="36"/>
      <c r="U956" s="36"/>
      <c r="V956" s="36"/>
      <c r="W956" s="36"/>
      <c r="X956" s="36"/>
      <c r="Y956" s="36"/>
      <c r="Z956" s="36"/>
      <c r="AA956" s="36"/>
      <c r="AB956" s="36"/>
      <c r="AC956" s="36"/>
    </row>
    <row r="957" spans="1:29" ht="24" customHeight="1">
      <c r="A957" s="81"/>
      <c r="B957" s="81"/>
      <c r="C957" s="81"/>
      <c r="D957" s="81"/>
      <c r="E957" s="620"/>
      <c r="F957" s="620"/>
      <c r="G957" s="620"/>
      <c r="H957" s="94"/>
      <c r="I957" s="81"/>
      <c r="J957" s="35"/>
      <c r="K957" s="36"/>
      <c r="L957" s="36"/>
      <c r="M957" s="36"/>
      <c r="N957" s="36"/>
      <c r="O957" s="36"/>
      <c r="P957" s="36"/>
      <c r="Q957" s="36"/>
      <c r="R957" s="36"/>
      <c r="S957" s="36"/>
      <c r="T957" s="36"/>
      <c r="U957" s="36"/>
      <c r="V957" s="36"/>
      <c r="W957" s="36"/>
      <c r="X957" s="36"/>
      <c r="Y957" s="36"/>
      <c r="Z957" s="36"/>
      <c r="AA957" s="36"/>
      <c r="AB957" s="36"/>
      <c r="AC957" s="36"/>
    </row>
    <row r="958" spans="1:29" ht="24" customHeight="1">
      <c r="A958" s="81"/>
      <c r="B958" s="81"/>
      <c r="C958" s="81"/>
      <c r="D958" s="81"/>
      <c r="E958" s="620"/>
      <c r="F958" s="620"/>
      <c r="G958" s="620"/>
      <c r="H958" s="94"/>
      <c r="I958" s="81"/>
      <c r="J958" s="35"/>
      <c r="K958" s="36"/>
      <c r="L958" s="36"/>
      <c r="M958" s="36"/>
      <c r="N958" s="36"/>
      <c r="O958" s="36"/>
      <c r="P958" s="36"/>
      <c r="Q958" s="36"/>
      <c r="R958" s="36"/>
      <c r="S958" s="36"/>
      <c r="T958" s="36"/>
      <c r="U958" s="36"/>
      <c r="V958" s="36"/>
      <c r="W958" s="36"/>
      <c r="X958" s="36"/>
      <c r="Y958" s="36"/>
      <c r="Z958" s="36"/>
      <c r="AA958" s="36"/>
      <c r="AB958" s="36"/>
      <c r="AC958" s="36"/>
    </row>
    <row r="959" spans="1:29" ht="24" customHeight="1">
      <c r="A959" s="81"/>
      <c r="B959" s="81"/>
      <c r="C959" s="81"/>
      <c r="D959" s="81"/>
      <c r="E959" s="620"/>
      <c r="F959" s="620"/>
      <c r="G959" s="620"/>
      <c r="H959" s="94"/>
      <c r="I959" s="81"/>
      <c r="J959" s="35"/>
      <c r="K959" s="36"/>
      <c r="L959" s="36"/>
      <c r="M959" s="36"/>
      <c r="N959" s="36"/>
      <c r="O959" s="36"/>
      <c r="P959" s="36"/>
      <c r="Q959" s="36"/>
      <c r="R959" s="36"/>
      <c r="S959" s="36"/>
      <c r="T959" s="36"/>
      <c r="U959" s="36"/>
      <c r="V959" s="36"/>
      <c r="W959" s="36"/>
      <c r="X959" s="36"/>
      <c r="Y959" s="36"/>
      <c r="Z959" s="36"/>
      <c r="AA959" s="36"/>
      <c r="AB959" s="36"/>
      <c r="AC959" s="36"/>
    </row>
    <row r="960" spans="1:29" ht="24" customHeight="1">
      <c r="A960" s="81"/>
      <c r="B960" s="81"/>
      <c r="C960" s="81"/>
      <c r="D960" s="81"/>
      <c r="E960" s="620"/>
      <c r="F960" s="620"/>
      <c r="G960" s="620"/>
      <c r="H960" s="94"/>
      <c r="I960" s="81"/>
      <c r="J960" s="35"/>
      <c r="K960" s="36"/>
      <c r="L960" s="36"/>
      <c r="M960" s="36"/>
      <c r="N960" s="36"/>
      <c r="O960" s="36"/>
      <c r="P960" s="36"/>
      <c r="Q960" s="36"/>
      <c r="R960" s="36"/>
      <c r="S960" s="36"/>
      <c r="T960" s="36"/>
      <c r="U960" s="36"/>
      <c r="V960" s="36"/>
      <c r="W960" s="36"/>
      <c r="X960" s="36"/>
      <c r="Y960" s="36"/>
      <c r="Z960" s="36"/>
      <c r="AA960" s="36"/>
      <c r="AB960" s="36"/>
      <c r="AC960" s="36"/>
    </row>
    <row r="961" spans="1:29" ht="24" customHeight="1">
      <c r="A961" s="81"/>
      <c r="B961" s="81"/>
      <c r="C961" s="81"/>
      <c r="D961" s="81"/>
      <c r="E961" s="620"/>
      <c r="F961" s="620"/>
      <c r="G961" s="620"/>
      <c r="H961" s="94"/>
      <c r="I961" s="81"/>
      <c r="J961" s="35"/>
      <c r="K961" s="36"/>
      <c r="L961" s="36"/>
      <c r="M961" s="36"/>
      <c r="N961" s="36"/>
      <c r="O961" s="36"/>
      <c r="P961" s="36"/>
      <c r="Q961" s="36"/>
      <c r="R961" s="36"/>
      <c r="S961" s="36"/>
      <c r="T961" s="36"/>
      <c r="U961" s="36"/>
      <c r="V961" s="36"/>
      <c r="W961" s="36"/>
      <c r="X961" s="36"/>
      <c r="Y961" s="36"/>
      <c r="Z961" s="36"/>
      <c r="AA961" s="36"/>
      <c r="AB961" s="36"/>
      <c r="AC961" s="36"/>
    </row>
    <row r="962" spans="1:29" ht="36" customHeight="1">
      <c r="A962" s="81"/>
      <c r="B962" s="81"/>
      <c r="C962" s="81"/>
      <c r="D962" s="81"/>
      <c r="E962" s="620"/>
      <c r="F962" s="620"/>
      <c r="G962" s="620"/>
      <c r="H962" s="94"/>
      <c r="I962" s="81"/>
      <c r="J962" s="35"/>
      <c r="K962" s="36"/>
      <c r="L962" s="36"/>
      <c r="M962" s="36"/>
      <c r="N962" s="36"/>
      <c r="O962" s="36"/>
      <c r="P962" s="36"/>
      <c r="Q962" s="36"/>
      <c r="R962" s="36"/>
      <c r="S962" s="36"/>
      <c r="T962" s="36"/>
      <c r="U962" s="36"/>
      <c r="V962" s="36"/>
      <c r="W962" s="36"/>
      <c r="X962" s="36"/>
      <c r="Y962" s="36"/>
      <c r="Z962" s="36"/>
      <c r="AA962" s="36"/>
      <c r="AB962" s="36"/>
      <c r="AC962" s="36"/>
    </row>
    <row r="963" spans="1:29" ht="48" customHeight="1">
      <c r="A963" s="81"/>
      <c r="B963" s="81"/>
      <c r="C963" s="81"/>
      <c r="D963" s="81"/>
      <c r="E963" s="620"/>
      <c r="F963" s="620"/>
      <c r="G963" s="620"/>
      <c r="H963" s="94"/>
      <c r="I963" s="81"/>
      <c r="J963" s="35"/>
      <c r="K963" s="36"/>
      <c r="L963" s="36"/>
      <c r="M963" s="36"/>
      <c r="N963" s="36"/>
      <c r="O963" s="36"/>
      <c r="P963" s="36"/>
      <c r="Q963" s="36"/>
      <c r="R963" s="36"/>
      <c r="S963" s="36"/>
      <c r="T963" s="36"/>
      <c r="U963" s="36"/>
      <c r="V963" s="36"/>
      <c r="W963" s="36"/>
      <c r="X963" s="36"/>
      <c r="Y963" s="36"/>
      <c r="Z963" s="36"/>
      <c r="AA963" s="36"/>
      <c r="AB963" s="36"/>
      <c r="AC963" s="36"/>
    </row>
    <row r="964" spans="1:29" ht="12" customHeight="1">
      <c r="A964" s="81"/>
      <c r="B964" s="81"/>
      <c r="C964" s="81"/>
      <c r="D964" s="81"/>
      <c r="E964" s="620"/>
      <c r="F964" s="620"/>
      <c r="G964" s="620"/>
      <c r="H964" s="94"/>
      <c r="I964" s="81"/>
      <c r="J964" s="35"/>
      <c r="K964" s="36"/>
      <c r="L964" s="36"/>
      <c r="M964" s="36"/>
      <c r="N964" s="36"/>
      <c r="O964" s="36"/>
      <c r="P964" s="36"/>
      <c r="Q964" s="36"/>
      <c r="R964" s="36"/>
      <c r="S964" s="36"/>
      <c r="T964" s="36"/>
      <c r="U964" s="36"/>
      <c r="V964" s="36"/>
      <c r="W964" s="36"/>
      <c r="X964" s="36"/>
      <c r="Y964" s="36"/>
      <c r="Z964" s="36"/>
      <c r="AA964" s="36"/>
      <c r="AB964" s="36"/>
      <c r="AC964" s="36"/>
    </row>
    <row r="965" spans="1:29" ht="12" customHeight="1">
      <c r="A965" s="81"/>
      <c r="B965" s="81"/>
      <c r="C965" s="81"/>
      <c r="D965" s="81"/>
      <c r="E965" s="620"/>
      <c r="F965" s="620"/>
      <c r="G965" s="620"/>
      <c r="H965" s="94"/>
      <c r="I965" s="81"/>
      <c r="J965" s="35"/>
      <c r="K965" s="36"/>
      <c r="L965" s="36"/>
      <c r="M965" s="36"/>
      <c r="N965" s="36"/>
      <c r="O965" s="36"/>
      <c r="P965" s="36"/>
      <c r="Q965" s="36"/>
      <c r="R965" s="36"/>
      <c r="S965" s="36"/>
      <c r="T965" s="36"/>
      <c r="U965" s="36"/>
      <c r="V965" s="36"/>
      <c r="W965" s="36"/>
      <c r="X965" s="36"/>
      <c r="Y965" s="36"/>
      <c r="Z965" s="36"/>
      <c r="AA965" s="36"/>
      <c r="AB965" s="36"/>
      <c r="AC965" s="36"/>
    </row>
    <row r="966" spans="1:29" ht="36" customHeight="1">
      <c r="A966" s="81"/>
      <c r="B966" s="81"/>
      <c r="C966" s="81"/>
      <c r="D966" s="81"/>
      <c r="E966" s="620"/>
      <c r="F966" s="620"/>
      <c r="G966" s="620"/>
      <c r="H966" s="94"/>
      <c r="I966" s="81"/>
      <c r="J966" s="35"/>
      <c r="K966" s="36"/>
      <c r="L966" s="36"/>
      <c r="M966" s="36"/>
      <c r="N966" s="36"/>
      <c r="O966" s="36"/>
      <c r="P966" s="36"/>
      <c r="Q966" s="36"/>
      <c r="R966" s="36"/>
      <c r="S966" s="36"/>
      <c r="T966" s="36"/>
      <c r="U966" s="36"/>
      <c r="V966" s="36"/>
      <c r="W966" s="36"/>
      <c r="X966" s="36"/>
      <c r="Y966" s="36"/>
      <c r="Z966" s="36"/>
      <c r="AA966" s="36"/>
      <c r="AB966" s="36"/>
      <c r="AC966" s="36"/>
    </row>
    <row r="967" spans="1:29" ht="36" customHeight="1">
      <c r="A967" s="81"/>
      <c r="B967" s="81"/>
      <c r="C967" s="81"/>
      <c r="D967" s="81"/>
      <c r="E967" s="620"/>
      <c r="F967" s="620"/>
      <c r="G967" s="620"/>
      <c r="H967" s="94"/>
      <c r="I967" s="81"/>
      <c r="J967" s="35"/>
      <c r="K967" s="36"/>
      <c r="L967" s="36"/>
      <c r="M967" s="36"/>
      <c r="N967" s="36"/>
      <c r="O967" s="36"/>
      <c r="P967" s="36"/>
      <c r="Q967" s="36"/>
      <c r="R967" s="36"/>
      <c r="S967" s="36"/>
      <c r="T967" s="36"/>
      <c r="U967" s="36"/>
      <c r="V967" s="36"/>
      <c r="W967" s="36"/>
      <c r="X967" s="36"/>
      <c r="Y967" s="36"/>
      <c r="Z967" s="36"/>
      <c r="AA967" s="36"/>
      <c r="AB967" s="36"/>
      <c r="AC967" s="36"/>
    </row>
    <row r="968" spans="1:29" ht="36" customHeight="1">
      <c r="A968" s="81"/>
      <c r="B968" s="81"/>
      <c r="C968" s="81"/>
      <c r="D968" s="81"/>
      <c r="E968" s="620"/>
      <c r="F968" s="620"/>
      <c r="G968" s="620"/>
      <c r="H968" s="94"/>
      <c r="I968" s="81"/>
      <c r="J968" s="35"/>
      <c r="K968" s="36"/>
      <c r="L968" s="36"/>
      <c r="M968" s="36"/>
      <c r="N968" s="36"/>
      <c r="O968" s="36"/>
      <c r="P968" s="36"/>
      <c r="Q968" s="36"/>
      <c r="R968" s="36"/>
      <c r="S968" s="36"/>
      <c r="T968" s="36"/>
      <c r="U968" s="36"/>
      <c r="V968" s="36"/>
      <c r="W968" s="36"/>
      <c r="X968" s="36"/>
      <c r="Y968" s="36"/>
      <c r="Z968" s="36"/>
      <c r="AA968" s="36"/>
      <c r="AB968" s="36"/>
      <c r="AC968" s="36"/>
    </row>
    <row r="969" spans="1:29" ht="36" customHeight="1">
      <c r="A969" s="81"/>
      <c r="B969" s="81"/>
      <c r="C969" s="81"/>
      <c r="D969" s="81"/>
      <c r="E969" s="620"/>
      <c r="F969" s="620"/>
      <c r="G969" s="620"/>
      <c r="H969" s="94"/>
      <c r="I969" s="81"/>
      <c r="J969" s="35"/>
      <c r="K969" s="36"/>
      <c r="L969" s="36"/>
      <c r="M969" s="36"/>
      <c r="N969" s="36"/>
      <c r="O969" s="36"/>
      <c r="P969" s="36"/>
      <c r="Q969" s="36"/>
      <c r="R969" s="36"/>
      <c r="S969" s="36"/>
      <c r="T969" s="36"/>
      <c r="U969" s="36"/>
      <c r="V969" s="36"/>
      <c r="W969" s="36"/>
      <c r="X969" s="36"/>
      <c r="Y969" s="36"/>
      <c r="Z969" s="36"/>
      <c r="AA969" s="36"/>
      <c r="AB969" s="36"/>
      <c r="AC969" s="36"/>
    </row>
    <row r="970" spans="1:29" ht="24" customHeight="1">
      <c r="A970" s="81"/>
      <c r="B970" s="81"/>
      <c r="C970" s="81"/>
      <c r="D970" s="81"/>
      <c r="E970" s="620"/>
      <c r="F970" s="620"/>
      <c r="G970" s="620"/>
      <c r="H970" s="94"/>
      <c r="I970" s="81"/>
      <c r="J970" s="35"/>
      <c r="K970" s="36"/>
      <c r="L970" s="36"/>
      <c r="M970" s="36"/>
      <c r="N970" s="36"/>
      <c r="O970" s="36"/>
      <c r="P970" s="36"/>
      <c r="Q970" s="36"/>
      <c r="R970" s="36"/>
      <c r="S970" s="36"/>
      <c r="T970" s="36"/>
      <c r="U970" s="36"/>
      <c r="V970" s="36"/>
      <c r="W970" s="36"/>
      <c r="X970" s="36"/>
      <c r="Y970" s="36"/>
      <c r="Z970" s="36"/>
      <c r="AA970" s="36"/>
      <c r="AB970" s="36"/>
      <c r="AC970" s="36"/>
    </row>
    <row r="971" spans="1:29" ht="24" customHeight="1">
      <c r="A971" s="81"/>
      <c r="B971" s="81"/>
      <c r="C971" s="81"/>
      <c r="D971" s="81"/>
      <c r="E971" s="620"/>
      <c r="F971" s="620"/>
      <c r="G971" s="620"/>
      <c r="H971" s="94"/>
      <c r="I971" s="81"/>
      <c r="J971" s="35"/>
      <c r="K971" s="36"/>
      <c r="L971" s="36"/>
      <c r="M971" s="36"/>
      <c r="N971" s="36"/>
      <c r="O971" s="36"/>
      <c r="P971" s="36"/>
      <c r="Q971" s="36"/>
      <c r="R971" s="36"/>
      <c r="S971" s="36"/>
      <c r="T971" s="36"/>
      <c r="U971" s="36"/>
      <c r="V971" s="36"/>
      <c r="W971" s="36"/>
      <c r="X971" s="36"/>
      <c r="Y971" s="36"/>
      <c r="Z971" s="36"/>
      <c r="AA971" s="36"/>
      <c r="AB971" s="36"/>
      <c r="AC971" s="36"/>
    </row>
    <row r="972" spans="1:29" ht="24" customHeight="1">
      <c r="A972" s="81"/>
      <c r="B972" s="81"/>
      <c r="C972" s="81"/>
      <c r="D972" s="81"/>
      <c r="E972" s="620"/>
      <c r="F972" s="620"/>
      <c r="G972" s="620"/>
      <c r="H972" s="94"/>
      <c r="I972" s="81"/>
      <c r="J972" s="35"/>
      <c r="K972" s="36"/>
      <c r="L972" s="36"/>
      <c r="M972" s="36"/>
      <c r="N972" s="36"/>
      <c r="O972" s="36"/>
      <c r="P972" s="36"/>
      <c r="Q972" s="36"/>
      <c r="R972" s="36"/>
      <c r="S972" s="36"/>
      <c r="T972" s="36"/>
      <c r="U972" s="36"/>
      <c r="V972" s="36"/>
      <c r="W972" s="36"/>
      <c r="X972" s="36"/>
      <c r="Y972" s="36"/>
      <c r="Z972" s="36"/>
      <c r="AA972" s="36"/>
      <c r="AB972" s="36"/>
      <c r="AC972" s="36"/>
    </row>
    <row r="973" spans="1:29" ht="24" customHeight="1">
      <c r="A973" s="81"/>
      <c r="B973" s="81"/>
      <c r="C973" s="81"/>
      <c r="D973" s="81"/>
      <c r="E973" s="620"/>
      <c r="F973" s="620"/>
      <c r="G973" s="620"/>
      <c r="H973" s="94"/>
      <c r="I973" s="81"/>
      <c r="J973" s="35"/>
      <c r="K973" s="36"/>
      <c r="L973" s="36"/>
      <c r="M973" s="36"/>
      <c r="N973" s="36"/>
      <c r="O973" s="36"/>
      <c r="P973" s="36"/>
      <c r="Q973" s="36"/>
      <c r="R973" s="36"/>
      <c r="S973" s="36"/>
      <c r="T973" s="36"/>
      <c r="U973" s="36"/>
      <c r="V973" s="36"/>
      <c r="W973" s="36"/>
      <c r="X973" s="36"/>
      <c r="Y973" s="36"/>
      <c r="Z973" s="36"/>
      <c r="AA973" s="36"/>
      <c r="AB973" s="36"/>
      <c r="AC973" s="36"/>
    </row>
    <row r="974" spans="1:29" ht="36" customHeight="1">
      <c r="A974" s="81"/>
      <c r="B974" s="81"/>
      <c r="C974" s="81"/>
      <c r="D974" s="81"/>
      <c r="E974" s="620"/>
      <c r="F974" s="620"/>
      <c r="G974" s="620"/>
      <c r="H974" s="94"/>
      <c r="I974" s="81"/>
      <c r="J974" s="35"/>
      <c r="K974" s="36"/>
      <c r="L974" s="36"/>
      <c r="M974" s="36"/>
      <c r="N974" s="36"/>
      <c r="O974" s="36"/>
      <c r="P974" s="36"/>
      <c r="Q974" s="36"/>
      <c r="R974" s="36"/>
      <c r="S974" s="36"/>
      <c r="T974" s="36"/>
      <c r="U974" s="36"/>
      <c r="V974" s="36"/>
      <c r="W974" s="36"/>
      <c r="X974" s="36"/>
      <c r="Y974" s="36"/>
      <c r="Z974" s="36"/>
      <c r="AA974" s="36"/>
      <c r="AB974" s="36"/>
      <c r="AC974" s="36"/>
    </row>
    <row r="975" spans="1:29" ht="24" customHeight="1">
      <c r="A975" s="81"/>
      <c r="B975" s="81"/>
      <c r="C975" s="81"/>
      <c r="D975" s="81"/>
      <c r="E975" s="620"/>
      <c r="F975" s="620"/>
      <c r="G975" s="620"/>
      <c r="H975" s="94"/>
      <c r="I975" s="81"/>
      <c r="J975" s="35"/>
      <c r="K975" s="36"/>
      <c r="L975" s="36"/>
      <c r="M975" s="36"/>
      <c r="N975" s="36"/>
      <c r="O975" s="36"/>
      <c r="P975" s="36"/>
      <c r="Q975" s="36"/>
      <c r="R975" s="36"/>
      <c r="S975" s="36"/>
      <c r="T975" s="36"/>
      <c r="U975" s="36"/>
      <c r="V975" s="36"/>
      <c r="W975" s="36"/>
      <c r="X975" s="36"/>
      <c r="Y975" s="36"/>
      <c r="Z975" s="36"/>
      <c r="AA975" s="36"/>
      <c r="AB975" s="36"/>
      <c r="AC975" s="36"/>
    </row>
    <row r="976" spans="1:29" ht="48" customHeight="1">
      <c r="A976" s="81"/>
      <c r="B976" s="94"/>
      <c r="C976" s="81"/>
      <c r="D976" s="81"/>
      <c r="E976" s="620"/>
      <c r="F976" s="620"/>
      <c r="G976" s="620"/>
      <c r="H976" s="94"/>
      <c r="I976" s="81"/>
      <c r="J976" s="35"/>
      <c r="K976" s="36"/>
      <c r="L976" s="36"/>
      <c r="M976" s="36"/>
      <c r="N976" s="36"/>
      <c r="O976" s="36"/>
      <c r="P976" s="36"/>
      <c r="Q976" s="36"/>
      <c r="R976" s="36"/>
      <c r="S976" s="36"/>
      <c r="T976" s="36"/>
      <c r="U976" s="36"/>
      <c r="V976" s="36"/>
      <c r="W976" s="36"/>
      <c r="X976" s="36"/>
      <c r="Y976" s="36"/>
      <c r="Z976" s="36"/>
      <c r="AA976" s="36"/>
      <c r="AB976" s="36"/>
      <c r="AC976" s="36"/>
    </row>
    <row r="977" spans="1:29" ht="24" customHeight="1">
      <c r="A977" s="81"/>
      <c r="B977" s="81"/>
      <c r="C977" s="81"/>
      <c r="D977" s="81"/>
      <c r="E977" s="620"/>
      <c r="F977" s="620"/>
      <c r="G977" s="620"/>
      <c r="H977" s="94"/>
      <c r="I977" s="81"/>
      <c r="J977" s="35"/>
      <c r="K977" s="36"/>
      <c r="L977" s="36"/>
      <c r="M977" s="36"/>
      <c r="N977" s="36"/>
      <c r="O977" s="36"/>
      <c r="P977" s="36"/>
      <c r="Q977" s="36"/>
      <c r="R977" s="36"/>
      <c r="S977" s="36"/>
      <c r="T977" s="36"/>
      <c r="U977" s="36"/>
      <c r="V977" s="36"/>
      <c r="W977" s="36"/>
      <c r="X977" s="36"/>
      <c r="Y977" s="36"/>
      <c r="Z977" s="36"/>
      <c r="AA977" s="36"/>
      <c r="AB977" s="36"/>
      <c r="AC977" s="36"/>
    </row>
    <row r="978" spans="1:29" ht="12" customHeight="1">
      <c r="A978" s="81"/>
      <c r="B978" s="81"/>
      <c r="C978" s="81"/>
      <c r="D978" s="81"/>
      <c r="E978" s="620"/>
      <c r="F978" s="620"/>
      <c r="G978" s="620"/>
      <c r="H978" s="94"/>
      <c r="I978" s="81"/>
      <c r="J978" s="35"/>
      <c r="K978" s="36"/>
      <c r="L978" s="36"/>
      <c r="M978" s="36"/>
      <c r="N978" s="36"/>
      <c r="O978" s="36"/>
      <c r="P978" s="36"/>
      <c r="Q978" s="36"/>
      <c r="R978" s="36"/>
      <c r="S978" s="36"/>
      <c r="T978" s="36"/>
      <c r="U978" s="36"/>
      <c r="V978" s="36"/>
      <c r="W978" s="36"/>
      <c r="X978" s="36"/>
      <c r="Y978" s="36"/>
      <c r="Z978" s="36"/>
      <c r="AA978" s="36"/>
      <c r="AB978" s="36"/>
      <c r="AC978" s="36"/>
    </row>
    <row r="979" spans="1:29" ht="24" customHeight="1">
      <c r="A979" s="81"/>
      <c r="B979" s="81"/>
      <c r="C979" s="81"/>
      <c r="D979" s="81"/>
      <c r="E979" s="620"/>
      <c r="F979" s="620"/>
      <c r="G979" s="620"/>
      <c r="H979" s="94"/>
      <c r="I979" s="81"/>
      <c r="J979" s="35"/>
      <c r="K979" s="36"/>
      <c r="L979" s="36"/>
      <c r="M979" s="36"/>
      <c r="N979" s="36"/>
      <c r="O979" s="36"/>
      <c r="P979" s="36"/>
      <c r="Q979" s="36"/>
      <c r="R979" s="36"/>
      <c r="S979" s="36"/>
      <c r="T979" s="36"/>
      <c r="U979" s="36"/>
      <c r="V979" s="36"/>
      <c r="W979" s="36"/>
      <c r="X979" s="36"/>
      <c r="Y979" s="36"/>
      <c r="Z979" s="36"/>
      <c r="AA979" s="36"/>
      <c r="AB979" s="36"/>
      <c r="AC979" s="36"/>
    </row>
    <row r="980" spans="1:29" ht="36" customHeight="1">
      <c r="A980" s="81"/>
      <c r="B980" s="81"/>
      <c r="C980" s="81"/>
      <c r="D980" s="81"/>
      <c r="E980" s="620"/>
      <c r="F980" s="620"/>
      <c r="G980" s="620"/>
      <c r="H980" s="94"/>
      <c r="I980" s="81"/>
      <c r="J980" s="35"/>
      <c r="K980" s="36"/>
      <c r="L980" s="36"/>
      <c r="M980" s="36"/>
      <c r="N980" s="36"/>
      <c r="O980" s="36"/>
      <c r="P980" s="36"/>
      <c r="Q980" s="36"/>
      <c r="R980" s="36"/>
      <c r="S980" s="36"/>
      <c r="T980" s="36"/>
      <c r="U980" s="36"/>
      <c r="V980" s="36"/>
      <c r="W980" s="36"/>
      <c r="X980" s="36"/>
      <c r="Y980" s="36"/>
      <c r="Z980" s="36"/>
      <c r="AA980" s="36"/>
      <c r="AB980" s="36"/>
      <c r="AC980" s="36"/>
    </row>
    <row r="981" spans="1:29" ht="36" customHeight="1">
      <c r="A981" s="81"/>
      <c r="B981" s="81"/>
      <c r="C981" s="81"/>
      <c r="D981" s="81"/>
      <c r="E981" s="620"/>
      <c r="F981" s="620"/>
      <c r="G981" s="620"/>
      <c r="H981" s="94"/>
      <c r="I981" s="81"/>
      <c r="J981" s="35"/>
      <c r="K981" s="36"/>
      <c r="L981" s="36"/>
      <c r="M981" s="36"/>
      <c r="N981" s="36"/>
      <c r="O981" s="36"/>
      <c r="P981" s="36"/>
      <c r="Q981" s="36"/>
      <c r="R981" s="36"/>
      <c r="S981" s="36"/>
      <c r="T981" s="36"/>
      <c r="U981" s="36"/>
      <c r="V981" s="36"/>
      <c r="W981" s="36"/>
      <c r="X981" s="36"/>
      <c r="Y981" s="36"/>
      <c r="Z981" s="36"/>
      <c r="AA981" s="36"/>
      <c r="AB981" s="36"/>
      <c r="AC981" s="36"/>
    </row>
    <row r="982" spans="1:29" ht="36" customHeight="1">
      <c r="A982" s="81"/>
      <c r="B982" s="81"/>
      <c r="C982" s="81"/>
      <c r="D982" s="81"/>
      <c r="E982" s="620"/>
      <c r="F982" s="620"/>
      <c r="G982" s="620"/>
      <c r="H982" s="94"/>
      <c r="I982" s="81"/>
      <c r="J982" s="35"/>
      <c r="K982" s="36"/>
      <c r="L982" s="36"/>
      <c r="M982" s="36"/>
      <c r="N982" s="36"/>
      <c r="O982" s="36"/>
      <c r="P982" s="36"/>
      <c r="Q982" s="36"/>
      <c r="R982" s="36"/>
      <c r="S982" s="36"/>
      <c r="T982" s="36"/>
      <c r="U982" s="36"/>
      <c r="V982" s="36"/>
      <c r="W982" s="36"/>
      <c r="X982" s="36"/>
      <c r="Y982" s="36"/>
      <c r="Z982" s="36"/>
      <c r="AA982" s="36"/>
      <c r="AB982" s="36"/>
      <c r="AC982" s="36"/>
    </row>
    <row r="983" spans="1:29" ht="36" customHeight="1">
      <c r="A983" s="81"/>
      <c r="B983" s="81"/>
      <c r="C983" s="81"/>
      <c r="D983" s="81"/>
      <c r="E983" s="620"/>
      <c r="F983" s="620"/>
      <c r="G983" s="620"/>
      <c r="H983" s="94"/>
      <c r="I983" s="81"/>
      <c r="J983" s="35"/>
      <c r="K983" s="36"/>
      <c r="L983" s="36"/>
      <c r="M983" s="36"/>
      <c r="N983" s="36"/>
      <c r="O983" s="36"/>
      <c r="P983" s="36"/>
      <c r="Q983" s="36"/>
      <c r="R983" s="36"/>
      <c r="S983" s="36"/>
      <c r="T983" s="36"/>
      <c r="U983" s="36"/>
      <c r="V983" s="36"/>
      <c r="W983" s="36"/>
      <c r="X983" s="36"/>
      <c r="Y983" s="36"/>
      <c r="Z983" s="36"/>
      <c r="AA983" s="36"/>
      <c r="AB983" s="36"/>
      <c r="AC983" s="36"/>
    </row>
    <row r="984" spans="1:29" ht="36" customHeight="1">
      <c r="A984" s="81"/>
      <c r="B984" s="81"/>
      <c r="C984" s="81"/>
      <c r="D984" s="81"/>
      <c r="E984" s="620"/>
      <c r="F984" s="620"/>
      <c r="G984" s="620"/>
      <c r="H984" s="94"/>
      <c r="I984" s="81"/>
      <c r="J984" s="36"/>
      <c r="K984" s="36"/>
      <c r="L984" s="36"/>
      <c r="M984" s="36"/>
      <c r="N984" s="36"/>
      <c r="O984" s="36"/>
      <c r="P984" s="36"/>
      <c r="Q984" s="36"/>
      <c r="R984" s="36"/>
      <c r="S984" s="36"/>
      <c r="T984" s="36"/>
      <c r="U984" s="36"/>
      <c r="V984" s="36"/>
      <c r="W984" s="36"/>
      <c r="X984" s="36"/>
      <c r="Y984" s="36"/>
      <c r="Z984" s="36"/>
      <c r="AA984" s="36"/>
      <c r="AB984" s="36"/>
      <c r="AC984" s="36"/>
    </row>
    <row r="985" spans="1:29" ht="36" customHeight="1">
      <c r="A985" s="81"/>
      <c r="B985" s="81"/>
      <c r="C985" s="81"/>
      <c r="D985" s="81"/>
      <c r="E985" s="620"/>
      <c r="F985" s="620"/>
      <c r="G985" s="620"/>
      <c r="H985" s="94"/>
      <c r="I985" s="81"/>
      <c r="J985" s="35"/>
      <c r="K985" s="36"/>
      <c r="L985" s="36"/>
      <c r="M985" s="36"/>
      <c r="N985" s="36"/>
      <c r="O985" s="36"/>
      <c r="P985" s="36"/>
      <c r="Q985" s="36"/>
      <c r="R985" s="36"/>
      <c r="S985" s="36"/>
      <c r="T985" s="36"/>
      <c r="U985" s="36"/>
      <c r="V985" s="36"/>
      <c r="W985" s="36"/>
      <c r="X985" s="36"/>
      <c r="Y985" s="36"/>
      <c r="Z985" s="36"/>
      <c r="AA985" s="36"/>
      <c r="AB985" s="36"/>
      <c r="AC985" s="36"/>
    </row>
    <row r="986" spans="1:29" ht="180" customHeight="1">
      <c r="A986" s="81"/>
      <c r="B986" s="81"/>
      <c r="C986" s="81"/>
      <c r="D986" s="81"/>
      <c r="E986" s="620"/>
      <c r="F986" s="620"/>
      <c r="G986" s="620"/>
      <c r="H986" s="94"/>
      <c r="I986" s="81"/>
      <c r="J986" s="35"/>
      <c r="K986" s="36"/>
      <c r="L986" s="36"/>
      <c r="M986" s="36"/>
      <c r="N986" s="36"/>
      <c r="O986" s="36"/>
      <c r="P986" s="36"/>
      <c r="Q986" s="36"/>
      <c r="R986" s="36"/>
      <c r="S986" s="36"/>
      <c r="T986" s="36"/>
      <c r="U986" s="36"/>
      <c r="V986" s="36"/>
      <c r="W986" s="36"/>
      <c r="X986" s="36"/>
      <c r="Y986" s="36"/>
      <c r="Z986" s="36"/>
      <c r="AA986" s="36"/>
      <c r="AB986" s="36"/>
      <c r="AC986" s="36"/>
    </row>
    <row r="987" spans="1:29" ht="24" customHeight="1">
      <c r="A987" s="81"/>
      <c r="B987" s="81"/>
      <c r="C987" s="81"/>
      <c r="D987" s="81"/>
      <c r="E987" s="620"/>
      <c r="F987" s="620"/>
      <c r="G987" s="620"/>
      <c r="H987" s="94"/>
      <c r="I987" s="81"/>
      <c r="J987" s="35"/>
      <c r="K987" s="36"/>
      <c r="L987" s="36"/>
      <c r="M987" s="36"/>
      <c r="N987" s="36"/>
      <c r="O987" s="36"/>
      <c r="P987" s="36"/>
      <c r="Q987" s="36"/>
      <c r="R987" s="36"/>
      <c r="S987" s="36"/>
      <c r="T987" s="36"/>
      <c r="U987" s="36"/>
      <c r="V987" s="36"/>
      <c r="W987" s="36"/>
      <c r="X987" s="36"/>
      <c r="Y987" s="36"/>
      <c r="Z987" s="36"/>
      <c r="AA987" s="36"/>
      <c r="AB987" s="36"/>
      <c r="AC987" s="36"/>
    </row>
    <row r="988" spans="1:29" ht="48" customHeight="1">
      <c r="A988" s="81"/>
      <c r="B988" s="81"/>
      <c r="C988" s="81"/>
      <c r="D988" s="81"/>
      <c r="E988" s="620"/>
      <c r="F988" s="620"/>
      <c r="G988" s="620"/>
      <c r="H988" s="94"/>
      <c r="I988" s="81"/>
      <c r="J988" s="35"/>
      <c r="K988" s="36"/>
      <c r="L988" s="36"/>
      <c r="M988" s="36"/>
      <c r="N988" s="36"/>
      <c r="O988" s="36"/>
      <c r="P988" s="36"/>
      <c r="Q988" s="36"/>
      <c r="R988" s="36"/>
      <c r="S988" s="36"/>
      <c r="T988" s="36"/>
      <c r="U988" s="36"/>
      <c r="V988" s="36"/>
      <c r="W988" s="36"/>
      <c r="X988" s="36"/>
      <c r="Y988" s="36"/>
      <c r="Z988" s="36"/>
      <c r="AA988" s="36"/>
      <c r="AB988" s="36"/>
      <c r="AC988" s="36"/>
    </row>
    <row r="989" spans="1:29" ht="24" customHeight="1">
      <c r="A989" s="81"/>
      <c r="B989" s="81"/>
      <c r="C989" s="81"/>
      <c r="D989" s="81"/>
      <c r="E989" s="620"/>
      <c r="F989" s="620"/>
      <c r="G989" s="620"/>
      <c r="H989" s="94"/>
      <c r="I989" s="81"/>
      <c r="J989" s="35"/>
      <c r="K989" s="36"/>
      <c r="L989" s="36"/>
      <c r="M989" s="36"/>
      <c r="N989" s="36"/>
      <c r="O989" s="36"/>
      <c r="P989" s="36"/>
      <c r="Q989" s="36"/>
      <c r="R989" s="36"/>
      <c r="S989" s="36"/>
      <c r="T989" s="36"/>
      <c r="U989" s="36"/>
      <c r="V989" s="36"/>
      <c r="W989" s="36"/>
      <c r="X989" s="36"/>
      <c r="Y989" s="36"/>
      <c r="Z989" s="36"/>
      <c r="AA989" s="36"/>
      <c r="AB989" s="36"/>
      <c r="AC989" s="36"/>
    </row>
    <row r="990" spans="1:29" ht="24" customHeight="1">
      <c r="A990" s="81"/>
      <c r="B990" s="463"/>
      <c r="C990" s="100"/>
      <c r="D990" s="81"/>
      <c r="E990" s="620"/>
      <c r="F990" s="620"/>
      <c r="G990" s="620"/>
      <c r="H990" s="94"/>
      <c r="I990" s="81"/>
      <c r="J990" s="35"/>
      <c r="K990" s="36"/>
      <c r="L990" s="36"/>
      <c r="M990" s="36"/>
      <c r="N990" s="36"/>
      <c r="O990" s="36"/>
      <c r="P990" s="36"/>
      <c r="Q990" s="36"/>
      <c r="R990" s="36"/>
      <c r="S990" s="36"/>
      <c r="T990" s="36"/>
      <c r="U990" s="36"/>
      <c r="V990" s="36"/>
      <c r="W990" s="36"/>
      <c r="X990" s="36"/>
      <c r="Y990" s="36"/>
      <c r="Z990" s="36"/>
      <c r="AA990" s="36"/>
      <c r="AB990" s="36"/>
      <c r="AC990" s="36"/>
    </row>
    <row r="991" spans="1:29" ht="36" customHeight="1">
      <c r="A991" s="100"/>
      <c r="B991" s="100"/>
      <c r="C991" s="100"/>
      <c r="D991" s="81"/>
      <c r="E991" s="620"/>
      <c r="F991" s="620"/>
      <c r="G991" s="620"/>
      <c r="H991" s="94"/>
      <c r="I991" s="81"/>
      <c r="J991" s="35"/>
      <c r="K991" s="36"/>
      <c r="L991" s="36"/>
      <c r="M991" s="36"/>
      <c r="N991" s="36"/>
      <c r="O991" s="36"/>
      <c r="P991" s="36"/>
      <c r="Q991" s="36"/>
      <c r="R991" s="36"/>
      <c r="S991" s="36"/>
      <c r="T991" s="36"/>
      <c r="U991" s="36"/>
      <c r="V991" s="36"/>
      <c r="W991" s="36"/>
      <c r="X991" s="36"/>
      <c r="Y991" s="36"/>
      <c r="Z991" s="36"/>
      <c r="AA991" s="36"/>
      <c r="AB991" s="36"/>
      <c r="AC991" s="36"/>
    </row>
    <row r="992" spans="1:29" ht="24" customHeight="1">
      <c r="A992" s="100"/>
      <c r="B992" s="100"/>
      <c r="C992" s="100"/>
      <c r="D992" s="81"/>
      <c r="E992" s="620"/>
      <c r="F992" s="620"/>
      <c r="G992" s="620"/>
      <c r="H992" s="94"/>
      <c r="I992" s="81"/>
      <c r="J992" s="35"/>
      <c r="K992" s="36"/>
      <c r="L992" s="36"/>
      <c r="M992" s="36"/>
      <c r="N992" s="36"/>
      <c r="O992" s="36"/>
      <c r="P992" s="36"/>
      <c r="Q992" s="36"/>
      <c r="R992" s="36"/>
      <c r="S992" s="36"/>
      <c r="T992" s="36"/>
      <c r="U992" s="36"/>
      <c r="V992" s="36"/>
      <c r="W992" s="36"/>
      <c r="X992" s="36"/>
      <c r="Y992" s="36"/>
      <c r="Z992" s="36"/>
      <c r="AA992" s="36"/>
      <c r="AB992" s="36"/>
      <c r="AC992" s="36"/>
    </row>
    <row r="993" spans="1:29" ht="48" customHeight="1">
      <c r="A993" s="100"/>
      <c r="B993" s="100"/>
      <c r="C993" s="100"/>
      <c r="D993" s="81"/>
      <c r="E993" s="620"/>
      <c r="F993" s="620"/>
      <c r="G993" s="620"/>
      <c r="H993" s="94"/>
      <c r="I993" s="81"/>
      <c r="J993" s="35"/>
      <c r="K993" s="36"/>
      <c r="L993" s="36"/>
      <c r="M993" s="36"/>
      <c r="N993" s="36"/>
      <c r="O993" s="36"/>
      <c r="P993" s="36"/>
      <c r="Q993" s="36"/>
      <c r="R993" s="36"/>
      <c r="S993" s="36"/>
      <c r="T993" s="36"/>
      <c r="U993" s="36"/>
      <c r="V993" s="36"/>
      <c r="W993" s="36"/>
      <c r="X993" s="36"/>
      <c r="Y993" s="36"/>
      <c r="Z993" s="36"/>
      <c r="AA993" s="36"/>
      <c r="AB993" s="36"/>
      <c r="AC993" s="36"/>
    </row>
    <row r="994" spans="1:29" ht="24" customHeight="1">
      <c r="A994" s="100"/>
      <c r="B994" s="463"/>
      <c r="C994" s="100"/>
      <c r="D994" s="81"/>
      <c r="E994" s="620"/>
      <c r="F994" s="620"/>
      <c r="G994" s="620"/>
      <c r="H994" s="94"/>
      <c r="I994" s="81"/>
      <c r="J994" s="35"/>
      <c r="K994" s="36"/>
      <c r="L994" s="36"/>
      <c r="M994" s="36"/>
      <c r="N994" s="36"/>
      <c r="O994" s="36"/>
      <c r="P994" s="36"/>
      <c r="Q994" s="36"/>
      <c r="R994" s="36"/>
      <c r="S994" s="36"/>
      <c r="T994" s="36"/>
      <c r="U994" s="36"/>
      <c r="V994" s="36"/>
      <c r="W994" s="36"/>
      <c r="X994" s="36"/>
      <c r="Y994" s="36"/>
      <c r="Z994" s="36"/>
      <c r="AA994" s="36"/>
      <c r="AB994" s="36"/>
      <c r="AC994" s="36"/>
    </row>
    <row r="995" spans="1:29" ht="48" customHeight="1">
      <c r="A995" s="100"/>
      <c r="B995" s="100"/>
      <c r="C995" s="100"/>
      <c r="D995" s="81"/>
      <c r="E995" s="620"/>
      <c r="F995" s="620"/>
      <c r="G995" s="620"/>
      <c r="H995" s="94"/>
      <c r="I995" s="81"/>
      <c r="J995" s="35"/>
      <c r="K995" s="36"/>
      <c r="L995" s="36"/>
      <c r="M995" s="36"/>
      <c r="N995" s="36"/>
      <c r="O995" s="36"/>
      <c r="P995" s="36"/>
      <c r="Q995" s="36"/>
      <c r="R995" s="36"/>
      <c r="S995" s="36"/>
      <c r="T995" s="36"/>
      <c r="U995" s="36"/>
      <c r="V995" s="36"/>
      <c r="W995" s="36"/>
      <c r="X995" s="36"/>
      <c r="Y995" s="36"/>
      <c r="Z995" s="36"/>
      <c r="AA995" s="36"/>
      <c r="AB995" s="36"/>
      <c r="AC995" s="36"/>
    </row>
    <row r="996" spans="1:29" ht="60" customHeight="1">
      <c r="A996" s="100"/>
      <c r="B996" s="100"/>
      <c r="C996" s="100"/>
      <c r="D996" s="81"/>
      <c r="E996" s="620"/>
      <c r="F996" s="620"/>
      <c r="G996" s="620"/>
      <c r="H996" s="94"/>
      <c r="I996" s="81"/>
      <c r="J996" s="35"/>
      <c r="K996" s="36"/>
      <c r="L996" s="36"/>
      <c r="M996" s="36"/>
      <c r="N996" s="36"/>
      <c r="O996" s="36"/>
      <c r="P996" s="36"/>
      <c r="Q996" s="36"/>
      <c r="R996" s="36"/>
      <c r="S996" s="36"/>
      <c r="T996" s="36"/>
      <c r="U996" s="36"/>
      <c r="V996" s="36"/>
      <c r="W996" s="36"/>
      <c r="X996" s="36"/>
      <c r="Y996" s="36"/>
      <c r="Z996" s="36"/>
      <c r="AA996" s="36"/>
      <c r="AB996" s="36"/>
      <c r="AC996" s="36"/>
    </row>
    <row r="997" spans="1:29" ht="48" customHeight="1">
      <c r="A997" s="100"/>
      <c r="B997" s="100"/>
      <c r="C997" s="100"/>
      <c r="D997" s="81"/>
      <c r="E997" s="620"/>
      <c r="F997" s="620"/>
      <c r="G997" s="620"/>
      <c r="H997" s="94"/>
      <c r="I997" s="81"/>
      <c r="J997" s="35"/>
      <c r="K997" s="36"/>
      <c r="L997" s="36"/>
      <c r="M997" s="36"/>
      <c r="N997" s="36"/>
      <c r="O997" s="36"/>
      <c r="P997" s="36"/>
      <c r="Q997" s="36"/>
      <c r="R997" s="36"/>
      <c r="S997" s="36"/>
      <c r="T997" s="36"/>
      <c r="U997" s="36"/>
      <c r="V997" s="36"/>
      <c r="W997" s="36"/>
      <c r="X997" s="36"/>
      <c r="Y997" s="36"/>
      <c r="Z997" s="36"/>
      <c r="AA997" s="36"/>
      <c r="AB997" s="36"/>
      <c r="AC997" s="36"/>
    </row>
    <row r="998" spans="1:29" ht="24" customHeight="1">
      <c r="A998" s="100"/>
      <c r="B998" s="100"/>
      <c r="C998" s="100"/>
      <c r="D998" s="81"/>
      <c r="E998" s="620"/>
      <c r="F998" s="620"/>
      <c r="G998" s="620"/>
      <c r="H998" s="94"/>
      <c r="I998" s="81"/>
      <c r="J998" s="35"/>
      <c r="K998" s="36"/>
      <c r="L998" s="36"/>
      <c r="M998" s="36"/>
      <c r="N998" s="36"/>
      <c r="O998" s="36"/>
      <c r="P998" s="36"/>
      <c r="Q998" s="36"/>
      <c r="R998" s="36"/>
      <c r="S998" s="36"/>
      <c r="T998" s="36"/>
      <c r="U998" s="36"/>
      <c r="V998" s="36"/>
      <c r="W998" s="36"/>
      <c r="X998" s="36"/>
      <c r="Y998" s="36"/>
      <c r="Z998" s="36"/>
      <c r="AA998" s="36"/>
      <c r="AB998" s="36"/>
      <c r="AC998" s="36"/>
    </row>
    <row r="999" spans="1:29" ht="24" customHeight="1">
      <c r="A999" s="100"/>
      <c r="B999" s="100"/>
      <c r="C999" s="100"/>
      <c r="D999" s="81"/>
      <c r="E999" s="620"/>
      <c r="F999" s="620"/>
      <c r="G999" s="620"/>
      <c r="H999" s="94"/>
      <c r="I999" s="81"/>
      <c r="J999" s="35"/>
      <c r="K999" s="36"/>
      <c r="L999" s="36"/>
      <c r="M999" s="36"/>
      <c r="N999" s="36"/>
      <c r="O999" s="36"/>
      <c r="P999" s="36"/>
      <c r="Q999" s="36"/>
      <c r="R999" s="36"/>
      <c r="S999" s="36"/>
      <c r="T999" s="36"/>
      <c r="U999" s="36"/>
      <c r="V999" s="36"/>
      <c r="W999" s="36"/>
      <c r="X999" s="36"/>
      <c r="Y999" s="36"/>
      <c r="Z999" s="36"/>
      <c r="AA999" s="36"/>
      <c r="AB999" s="36"/>
      <c r="AC999" s="36"/>
    </row>
    <row r="1000" spans="1:29" ht="36" customHeight="1">
      <c r="A1000" s="100"/>
      <c r="B1000" s="100"/>
      <c r="C1000" s="100"/>
      <c r="D1000" s="81"/>
      <c r="E1000" s="620"/>
      <c r="F1000" s="620"/>
      <c r="G1000" s="620"/>
      <c r="H1000" s="94"/>
      <c r="I1000" s="81"/>
      <c r="J1000" s="35"/>
      <c r="K1000" s="36"/>
      <c r="L1000" s="36"/>
      <c r="M1000" s="36"/>
      <c r="N1000" s="36"/>
      <c r="O1000" s="36"/>
      <c r="P1000" s="36"/>
      <c r="Q1000" s="36"/>
      <c r="R1000" s="36"/>
      <c r="S1000" s="36"/>
      <c r="T1000" s="36"/>
      <c r="U1000" s="36"/>
      <c r="V1000" s="36"/>
      <c r="W1000" s="36"/>
      <c r="X1000" s="36"/>
      <c r="Y1000" s="36"/>
      <c r="Z1000" s="36"/>
      <c r="AA1000" s="36"/>
      <c r="AB1000" s="36"/>
      <c r="AC1000" s="36"/>
    </row>
    <row r="1001" spans="1:29" ht="24" customHeight="1">
      <c r="A1001" s="100"/>
      <c r="B1001" s="100"/>
      <c r="C1001" s="100"/>
      <c r="D1001" s="81"/>
      <c r="E1001" s="620"/>
      <c r="F1001" s="620"/>
      <c r="G1001" s="620"/>
      <c r="H1001" s="94"/>
      <c r="I1001" s="81"/>
      <c r="J1001" s="35"/>
      <c r="K1001" s="36"/>
      <c r="L1001" s="36"/>
      <c r="M1001" s="36"/>
      <c r="N1001" s="36"/>
      <c r="O1001" s="36"/>
      <c r="P1001" s="36"/>
      <c r="Q1001" s="36"/>
      <c r="R1001" s="36"/>
      <c r="S1001" s="36"/>
      <c r="T1001" s="36"/>
      <c r="U1001" s="36"/>
      <c r="V1001" s="36"/>
      <c r="W1001" s="36"/>
      <c r="X1001" s="36"/>
      <c r="Y1001" s="36"/>
      <c r="Z1001" s="36"/>
      <c r="AA1001" s="36"/>
      <c r="AB1001" s="36"/>
      <c r="AC1001" s="36"/>
    </row>
    <row r="1002" spans="1:29" ht="24" customHeight="1">
      <c r="A1002" s="100"/>
      <c r="B1002" s="100"/>
      <c r="C1002" s="100"/>
      <c r="D1002" s="81"/>
      <c r="E1002" s="620"/>
      <c r="F1002" s="620"/>
      <c r="G1002" s="620"/>
      <c r="H1002" s="94"/>
      <c r="I1002" s="81"/>
      <c r="J1002" s="35"/>
      <c r="K1002" s="36"/>
      <c r="L1002" s="36"/>
      <c r="M1002" s="36"/>
      <c r="N1002" s="36"/>
      <c r="O1002" s="36"/>
      <c r="P1002" s="36"/>
      <c r="Q1002" s="36"/>
      <c r="R1002" s="36"/>
      <c r="S1002" s="36"/>
      <c r="T1002" s="36"/>
      <c r="U1002" s="36"/>
      <c r="V1002" s="36"/>
      <c r="W1002" s="36"/>
      <c r="X1002" s="36"/>
      <c r="Y1002" s="36"/>
      <c r="Z1002" s="36"/>
      <c r="AA1002" s="36"/>
      <c r="AB1002" s="36"/>
      <c r="AC1002" s="36"/>
    </row>
    <row r="1003" spans="1:29" ht="36" customHeight="1">
      <c r="A1003" s="100"/>
      <c r="B1003" s="100"/>
      <c r="C1003" s="100"/>
      <c r="D1003" s="81"/>
      <c r="E1003" s="620"/>
      <c r="F1003" s="620"/>
      <c r="G1003" s="620"/>
      <c r="H1003" s="94"/>
      <c r="I1003" s="81"/>
      <c r="J1003" s="35"/>
      <c r="K1003" s="36"/>
      <c r="L1003" s="36"/>
      <c r="M1003" s="36"/>
      <c r="N1003" s="36"/>
      <c r="O1003" s="36"/>
      <c r="P1003" s="36"/>
      <c r="Q1003" s="36"/>
      <c r="R1003" s="36"/>
      <c r="S1003" s="36"/>
      <c r="T1003" s="36"/>
      <c r="U1003" s="36"/>
      <c r="V1003" s="36"/>
      <c r="W1003" s="36"/>
      <c r="X1003" s="36"/>
      <c r="Y1003" s="36"/>
      <c r="Z1003" s="36"/>
      <c r="AA1003" s="36"/>
      <c r="AB1003" s="36"/>
      <c r="AC1003" s="36"/>
    </row>
    <row r="1004" spans="1:29" ht="24" customHeight="1">
      <c r="A1004" s="100"/>
      <c r="B1004" s="100"/>
      <c r="C1004" s="100"/>
      <c r="D1004" s="81"/>
      <c r="E1004" s="620"/>
      <c r="F1004" s="620"/>
      <c r="G1004" s="620"/>
      <c r="H1004" s="94"/>
      <c r="I1004" s="81"/>
      <c r="J1004" s="35"/>
      <c r="K1004" s="36"/>
      <c r="L1004" s="36"/>
      <c r="M1004" s="36"/>
      <c r="N1004" s="36"/>
      <c r="O1004" s="36"/>
      <c r="P1004" s="36"/>
      <c r="Q1004" s="36"/>
      <c r="R1004" s="36"/>
      <c r="S1004" s="36"/>
      <c r="T1004" s="36"/>
      <c r="U1004" s="36"/>
      <c r="V1004" s="36"/>
      <c r="W1004" s="36"/>
      <c r="X1004" s="36"/>
      <c r="Y1004" s="36"/>
      <c r="Z1004" s="36"/>
      <c r="AA1004" s="36"/>
      <c r="AB1004" s="36"/>
      <c r="AC1004" s="36"/>
    </row>
    <row r="1005" spans="1:29" ht="24" customHeight="1">
      <c r="A1005" s="100"/>
      <c r="B1005" s="100"/>
      <c r="C1005" s="100"/>
      <c r="D1005" s="81"/>
      <c r="E1005" s="620"/>
      <c r="F1005" s="620"/>
      <c r="G1005" s="620"/>
      <c r="H1005" s="94"/>
      <c r="I1005" s="81"/>
      <c r="J1005" s="35"/>
      <c r="K1005" s="36"/>
      <c r="L1005" s="36"/>
      <c r="M1005" s="36"/>
      <c r="N1005" s="36"/>
      <c r="O1005" s="36"/>
      <c r="P1005" s="36"/>
      <c r="Q1005" s="36"/>
      <c r="R1005" s="36"/>
      <c r="S1005" s="36"/>
      <c r="T1005" s="36"/>
      <c r="U1005" s="36"/>
      <c r="V1005" s="36"/>
      <c r="W1005" s="36"/>
      <c r="X1005" s="36"/>
      <c r="Y1005" s="36"/>
      <c r="Z1005" s="36"/>
      <c r="AA1005" s="36"/>
      <c r="AB1005" s="36"/>
      <c r="AC1005" s="36"/>
    </row>
    <row r="1006" spans="1:29" ht="36" customHeight="1">
      <c r="A1006" s="100"/>
      <c r="B1006" s="463"/>
      <c r="C1006" s="100"/>
      <c r="D1006" s="81"/>
      <c r="E1006" s="620"/>
      <c r="F1006" s="620"/>
      <c r="G1006" s="620"/>
      <c r="H1006" s="94"/>
      <c r="I1006" s="81"/>
      <c r="J1006" s="35"/>
      <c r="K1006" s="36"/>
      <c r="L1006" s="36"/>
      <c r="M1006" s="36"/>
      <c r="N1006" s="36"/>
      <c r="O1006" s="36"/>
      <c r="P1006" s="36"/>
      <c r="Q1006" s="36"/>
      <c r="R1006" s="36"/>
      <c r="S1006" s="36"/>
      <c r="T1006" s="36"/>
      <c r="U1006" s="36"/>
      <c r="V1006" s="36"/>
      <c r="W1006" s="36"/>
      <c r="X1006" s="36"/>
      <c r="Y1006" s="36"/>
      <c r="Z1006" s="36"/>
      <c r="AA1006" s="36"/>
      <c r="AB1006" s="36"/>
      <c r="AC1006" s="36"/>
    </row>
    <row r="1007" spans="1:29" ht="36" customHeight="1">
      <c r="A1007" s="100"/>
      <c r="B1007" s="100"/>
      <c r="C1007" s="100"/>
      <c r="D1007" s="81"/>
      <c r="E1007" s="620"/>
      <c r="F1007" s="620"/>
      <c r="G1007" s="620"/>
      <c r="H1007" s="94"/>
      <c r="I1007" s="81"/>
      <c r="J1007" s="35"/>
      <c r="K1007" s="36"/>
      <c r="L1007" s="36"/>
      <c r="M1007" s="36"/>
      <c r="N1007" s="36"/>
      <c r="O1007" s="36"/>
      <c r="P1007" s="36"/>
      <c r="Q1007" s="36"/>
      <c r="R1007" s="36"/>
      <c r="S1007" s="36"/>
      <c r="T1007" s="36"/>
      <c r="U1007" s="36"/>
      <c r="V1007" s="36"/>
      <c r="W1007" s="36"/>
      <c r="X1007" s="36"/>
      <c r="Y1007" s="36"/>
      <c r="Z1007" s="36"/>
      <c r="AA1007" s="36"/>
      <c r="AB1007" s="36"/>
      <c r="AC1007" s="36"/>
    </row>
    <row r="1008" spans="1:29" ht="36" customHeight="1">
      <c r="A1008" s="100"/>
      <c r="B1008" s="100"/>
      <c r="C1008" s="100"/>
      <c r="D1008" s="81"/>
      <c r="E1008" s="620"/>
      <c r="F1008" s="620"/>
      <c r="G1008" s="620"/>
      <c r="H1008" s="94"/>
      <c r="I1008" s="81"/>
      <c r="J1008" s="35"/>
      <c r="K1008" s="36"/>
      <c r="L1008" s="36"/>
      <c r="M1008" s="36"/>
      <c r="N1008" s="36"/>
      <c r="O1008" s="36"/>
      <c r="P1008" s="36"/>
      <c r="Q1008" s="36"/>
      <c r="R1008" s="36"/>
      <c r="S1008" s="36"/>
      <c r="T1008" s="36"/>
      <c r="U1008" s="36"/>
      <c r="V1008" s="36"/>
      <c r="W1008" s="36"/>
      <c r="X1008" s="36"/>
      <c r="Y1008" s="36"/>
      <c r="Z1008" s="36"/>
      <c r="AA1008" s="36"/>
      <c r="AB1008" s="36"/>
      <c r="AC1008" s="36"/>
    </row>
    <row r="1009" spans="1:29" ht="36" customHeight="1">
      <c r="A1009" s="100"/>
      <c r="B1009" s="100"/>
      <c r="C1009" s="100"/>
      <c r="D1009" s="81"/>
      <c r="E1009" s="620"/>
      <c r="F1009" s="620"/>
      <c r="G1009" s="620"/>
      <c r="H1009" s="94"/>
      <c r="I1009" s="81"/>
      <c r="J1009" s="35"/>
      <c r="K1009" s="36"/>
      <c r="L1009" s="36"/>
      <c r="M1009" s="36"/>
      <c r="N1009" s="36"/>
      <c r="O1009" s="36"/>
      <c r="P1009" s="36"/>
      <c r="Q1009" s="36"/>
      <c r="R1009" s="36"/>
      <c r="S1009" s="36"/>
      <c r="T1009" s="36"/>
      <c r="U1009" s="36"/>
      <c r="V1009" s="36"/>
      <c r="W1009" s="36"/>
      <c r="X1009" s="36"/>
      <c r="Y1009" s="36"/>
      <c r="Z1009" s="36"/>
      <c r="AA1009" s="36"/>
      <c r="AB1009" s="36"/>
      <c r="AC1009" s="36"/>
    </row>
    <row r="1010" spans="1:29" ht="36" customHeight="1">
      <c r="A1010" s="100"/>
      <c r="B1010" s="463"/>
      <c r="C1010" s="100"/>
      <c r="D1010" s="81"/>
      <c r="E1010" s="620"/>
      <c r="F1010" s="620"/>
      <c r="G1010" s="620"/>
      <c r="H1010" s="94"/>
      <c r="I1010" s="81"/>
      <c r="J1010" s="35"/>
      <c r="K1010" s="36"/>
      <c r="L1010" s="36"/>
      <c r="M1010" s="36"/>
      <c r="N1010" s="36"/>
      <c r="O1010" s="36"/>
      <c r="P1010" s="36"/>
      <c r="Q1010" s="36"/>
      <c r="R1010" s="36"/>
      <c r="S1010" s="36"/>
      <c r="T1010" s="36"/>
      <c r="U1010" s="36"/>
      <c r="V1010" s="36"/>
      <c r="W1010" s="36"/>
      <c r="X1010" s="36"/>
      <c r="Y1010" s="36"/>
      <c r="Z1010" s="36"/>
      <c r="AA1010" s="36"/>
      <c r="AB1010" s="36"/>
      <c r="AC1010" s="36"/>
    </row>
    <row r="1011" spans="1:29" ht="24" customHeight="1">
      <c r="A1011" s="100"/>
      <c r="B1011" s="100"/>
      <c r="C1011" s="100"/>
      <c r="D1011" s="81"/>
      <c r="E1011" s="620"/>
      <c r="F1011" s="620"/>
      <c r="G1011" s="620"/>
      <c r="H1011" s="94"/>
      <c r="I1011" s="81"/>
      <c r="J1011" s="35"/>
      <c r="K1011" s="36"/>
      <c r="L1011" s="36"/>
      <c r="M1011" s="36"/>
      <c r="N1011" s="36"/>
      <c r="O1011" s="36"/>
      <c r="P1011" s="36"/>
      <c r="Q1011" s="36"/>
      <c r="R1011" s="36"/>
      <c r="S1011" s="36"/>
      <c r="T1011" s="36"/>
      <c r="U1011" s="36"/>
      <c r="V1011" s="36"/>
      <c r="W1011" s="36"/>
      <c r="X1011" s="36"/>
      <c r="Y1011" s="36"/>
      <c r="Z1011" s="36"/>
      <c r="AA1011" s="36"/>
      <c r="AB1011" s="36"/>
      <c r="AC1011" s="36"/>
    </row>
    <row r="1012" spans="1:29" ht="36" customHeight="1">
      <c r="A1012" s="100"/>
      <c r="B1012" s="100"/>
      <c r="C1012" s="100"/>
      <c r="D1012" s="81"/>
      <c r="E1012" s="620"/>
      <c r="F1012" s="620"/>
      <c r="G1012" s="620"/>
      <c r="H1012" s="94"/>
      <c r="I1012" s="81"/>
      <c r="J1012" s="35"/>
      <c r="K1012" s="36"/>
      <c r="L1012" s="36"/>
      <c r="M1012" s="36"/>
      <c r="N1012" s="36"/>
      <c r="O1012" s="36"/>
      <c r="P1012" s="36"/>
      <c r="Q1012" s="36"/>
      <c r="R1012" s="36"/>
      <c r="S1012" s="36"/>
      <c r="T1012" s="36"/>
      <c r="U1012" s="36"/>
      <c r="V1012" s="36"/>
      <c r="W1012" s="36"/>
      <c r="X1012" s="36"/>
      <c r="Y1012" s="36"/>
      <c r="Z1012" s="36"/>
      <c r="AA1012" s="36"/>
      <c r="AB1012" s="36"/>
      <c r="AC1012" s="36"/>
    </row>
    <row r="1013" spans="1:29" ht="24" customHeight="1">
      <c r="A1013" s="100"/>
      <c r="B1013" s="100"/>
      <c r="C1013" s="100"/>
      <c r="D1013" s="81"/>
      <c r="E1013" s="620"/>
      <c r="F1013" s="620"/>
      <c r="G1013" s="620"/>
      <c r="H1013" s="94"/>
      <c r="I1013" s="81"/>
      <c r="J1013" s="35"/>
      <c r="K1013" s="36"/>
      <c r="L1013" s="36"/>
      <c r="M1013" s="36"/>
      <c r="N1013" s="36"/>
      <c r="O1013" s="36"/>
      <c r="P1013" s="36"/>
      <c r="Q1013" s="36"/>
      <c r="R1013" s="36"/>
      <c r="S1013" s="36"/>
      <c r="T1013" s="36"/>
      <c r="U1013" s="36"/>
      <c r="V1013" s="36"/>
      <c r="W1013" s="36"/>
      <c r="X1013" s="36"/>
      <c r="Y1013" s="36"/>
      <c r="Z1013" s="36"/>
      <c r="AA1013" s="36"/>
      <c r="AB1013" s="36"/>
      <c r="AC1013" s="36"/>
    </row>
    <row r="1014" spans="1:29" ht="24" customHeight="1">
      <c r="A1014" s="100"/>
      <c r="B1014" s="100"/>
      <c r="C1014" s="100"/>
      <c r="D1014" s="81"/>
      <c r="E1014" s="620"/>
      <c r="F1014" s="620"/>
      <c r="G1014" s="620"/>
      <c r="H1014" s="94"/>
      <c r="I1014" s="81"/>
      <c r="J1014" s="35"/>
      <c r="K1014" s="36"/>
      <c r="L1014" s="36"/>
      <c r="M1014" s="36"/>
      <c r="N1014" s="36"/>
      <c r="O1014" s="36"/>
      <c r="P1014" s="36"/>
      <c r="Q1014" s="36"/>
      <c r="R1014" s="36"/>
      <c r="S1014" s="36"/>
      <c r="T1014" s="36"/>
      <c r="U1014" s="36"/>
      <c r="V1014" s="36"/>
      <c r="W1014" s="36"/>
      <c r="X1014" s="36"/>
      <c r="Y1014" s="36"/>
      <c r="Z1014" s="36"/>
      <c r="AA1014" s="36"/>
      <c r="AB1014" s="36"/>
      <c r="AC1014" s="36"/>
    </row>
    <row r="1015" spans="1:29" ht="24" customHeight="1">
      <c r="A1015" s="100"/>
      <c r="B1015" s="463"/>
      <c r="C1015" s="100"/>
      <c r="D1015" s="81"/>
      <c r="E1015" s="620"/>
      <c r="F1015" s="620"/>
      <c r="G1015" s="620"/>
      <c r="H1015" s="94"/>
      <c r="I1015" s="81"/>
      <c r="J1015" s="35"/>
      <c r="K1015" s="36"/>
      <c r="L1015" s="36"/>
      <c r="M1015" s="36"/>
      <c r="N1015" s="36"/>
      <c r="O1015" s="36"/>
      <c r="P1015" s="36"/>
      <c r="Q1015" s="36"/>
      <c r="R1015" s="36"/>
      <c r="S1015" s="36"/>
      <c r="T1015" s="36"/>
      <c r="U1015" s="36"/>
      <c r="V1015" s="36"/>
      <c r="W1015" s="36"/>
      <c r="X1015" s="36"/>
      <c r="Y1015" s="36"/>
      <c r="Z1015" s="36"/>
      <c r="AA1015" s="36"/>
      <c r="AB1015" s="36"/>
      <c r="AC1015" s="36"/>
    </row>
    <row r="1016" spans="1:29" ht="24" customHeight="1">
      <c r="A1016" s="100"/>
      <c r="B1016" s="100"/>
      <c r="C1016" s="100"/>
      <c r="D1016" s="81"/>
      <c r="E1016" s="620"/>
      <c r="F1016" s="620"/>
      <c r="G1016" s="620"/>
      <c r="H1016" s="94"/>
      <c r="I1016" s="81"/>
      <c r="J1016" s="35"/>
      <c r="K1016" s="36"/>
      <c r="L1016" s="36"/>
      <c r="M1016" s="36"/>
      <c r="N1016" s="36"/>
      <c r="O1016" s="36"/>
      <c r="P1016" s="36"/>
      <c r="Q1016" s="36"/>
      <c r="R1016" s="36"/>
      <c r="S1016" s="36"/>
      <c r="T1016" s="36"/>
      <c r="U1016" s="36"/>
      <c r="V1016" s="36"/>
      <c r="W1016" s="36"/>
      <c r="X1016" s="36"/>
      <c r="Y1016" s="36"/>
      <c r="Z1016" s="36"/>
      <c r="AA1016" s="36"/>
      <c r="AB1016" s="36"/>
      <c r="AC1016" s="36"/>
    </row>
    <row r="1017" spans="1:29" ht="24" customHeight="1">
      <c r="A1017" s="100"/>
      <c r="B1017" s="100"/>
      <c r="C1017" s="100"/>
      <c r="D1017" s="81"/>
      <c r="E1017" s="620"/>
      <c r="F1017" s="620"/>
      <c r="G1017" s="620"/>
      <c r="H1017" s="94"/>
      <c r="I1017" s="81"/>
      <c r="J1017" s="35"/>
      <c r="K1017" s="36"/>
      <c r="L1017" s="36"/>
      <c r="M1017" s="36"/>
      <c r="N1017" s="36"/>
      <c r="O1017" s="36"/>
      <c r="P1017" s="36"/>
      <c r="Q1017" s="36"/>
      <c r="R1017" s="36"/>
      <c r="S1017" s="36"/>
      <c r="T1017" s="36"/>
      <c r="U1017" s="36"/>
      <c r="V1017" s="36"/>
      <c r="W1017" s="36"/>
      <c r="X1017" s="36"/>
      <c r="Y1017" s="36"/>
      <c r="Z1017" s="36"/>
      <c r="AA1017" s="36"/>
      <c r="AB1017" s="36"/>
      <c r="AC1017" s="36"/>
    </row>
    <row r="1018" spans="1:29" ht="24" customHeight="1">
      <c r="A1018" s="100"/>
      <c r="B1018" s="100"/>
      <c r="C1018" s="100"/>
      <c r="D1018" s="81"/>
      <c r="E1018" s="620"/>
      <c r="F1018" s="620"/>
      <c r="G1018" s="620"/>
      <c r="H1018" s="94"/>
      <c r="I1018" s="81"/>
      <c r="J1018" s="35"/>
      <c r="K1018" s="36"/>
      <c r="L1018" s="36"/>
      <c r="M1018" s="36"/>
      <c r="N1018" s="36"/>
      <c r="O1018" s="36"/>
      <c r="P1018" s="36"/>
      <c r="Q1018" s="36"/>
      <c r="R1018" s="36"/>
      <c r="S1018" s="36"/>
      <c r="T1018" s="36"/>
      <c r="U1018" s="36"/>
      <c r="V1018" s="36"/>
      <c r="W1018" s="36"/>
      <c r="X1018" s="36"/>
      <c r="Y1018" s="36"/>
      <c r="Z1018" s="36"/>
      <c r="AA1018" s="36"/>
      <c r="AB1018" s="36"/>
      <c r="AC1018" s="36"/>
    </row>
    <row r="1019" spans="1:29" ht="36" customHeight="1">
      <c r="A1019" s="100"/>
      <c r="B1019" s="100"/>
      <c r="C1019" s="100"/>
      <c r="D1019" s="81"/>
      <c r="E1019" s="620"/>
      <c r="F1019" s="620"/>
      <c r="G1019" s="620"/>
      <c r="H1019" s="94"/>
      <c r="I1019" s="81"/>
      <c r="J1019" s="35"/>
      <c r="K1019" s="36"/>
      <c r="L1019" s="36"/>
      <c r="M1019" s="36"/>
      <c r="N1019" s="36"/>
      <c r="O1019" s="36"/>
      <c r="P1019" s="36"/>
      <c r="Q1019" s="36"/>
      <c r="R1019" s="36"/>
      <c r="S1019" s="36"/>
      <c r="T1019" s="36"/>
      <c r="U1019" s="36"/>
      <c r="V1019" s="36"/>
      <c r="W1019" s="36"/>
      <c r="X1019" s="36"/>
      <c r="Y1019" s="36"/>
      <c r="Z1019" s="36"/>
      <c r="AA1019" s="36"/>
      <c r="AB1019" s="36"/>
      <c r="AC1019" s="36"/>
    </row>
    <row r="1020" spans="1:29" ht="24" customHeight="1">
      <c r="A1020" s="100"/>
      <c r="B1020" s="463"/>
      <c r="C1020" s="100"/>
      <c r="D1020" s="81"/>
      <c r="E1020" s="620"/>
      <c r="F1020" s="620"/>
      <c r="G1020" s="620"/>
      <c r="H1020" s="94"/>
      <c r="I1020" s="81"/>
      <c r="J1020" s="35"/>
      <c r="K1020" s="36"/>
      <c r="L1020" s="36"/>
      <c r="M1020" s="36"/>
      <c r="N1020" s="36"/>
      <c r="O1020" s="36"/>
      <c r="P1020" s="36"/>
      <c r="Q1020" s="36"/>
      <c r="R1020" s="36"/>
      <c r="S1020" s="36"/>
      <c r="T1020" s="36"/>
      <c r="U1020" s="36"/>
      <c r="V1020" s="36"/>
      <c r="W1020" s="36"/>
      <c r="X1020" s="36"/>
      <c r="Y1020" s="36"/>
      <c r="Z1020" s="36"/>
      <c r="AA1020" s="36"/>
      <c r="AB1020" s="36"/>
      <c r="AC1020" s="36"/>
    </row>
    <row r="1021" spans="1:29" ht="24" customHeight="1">
      <c r="A1021" s="100"/>
      <c r="B1021" s="100"/>
      <c r="C1021" s="100"/>
      <c r="D1021" s="81"/>
      <c r="E1021" s="620"/>
      <c r="F1021" s="620"/>
      <c r="G1021" s="620"/>
      <c r="H1021" s="94"/>
      <c r="I1021" s="81"/>
      <c r="J1021" s="35"/>
      <c r="K1021" s="36"/>
      <c r="L1021" s="36"/>
      <c r="M1021" s="36"/>
      <c r="N1021" s="36"/>
      <c r="O1021" s="36"/>
      <c r="P1021" s="36"/>
      <c r="Q1021" s="36"/>
      <c r="R1021" s="36"/>
      <c r="S1021" s="36"/>
      <c r="T1021" s="36"/>
      <c r="U1021" s="36"/>
      <c r="V1021" s="36"/>
      <c r="W1021" s="36"/>
      <c r="X1021" s="36"/>
      <c r="Y1021" s="36"/>
      <c r="Z1021" s="36"/>
      <c r="AA1021" s="36"/>
      <c r="AB1021" s="36"/>
      <c r="AC1021" s="36"/>
    </row>
    <row r="1022" spans="1:29" ht="24" customHeight="1">
      <c r="A1022" s="100"/>
      <c r="B1022" s="100"/>
      <c r="C1022" s="100"/>
      <c r="D1022" s="81"/>
      <c r="E1022" s="620"/>
      <c r="F1022" s="620"/>
      <c r="G1022" s="620"/>
      <c r="H1022" s="94"/>
      <c r="I1022" s="81"/>
      <c r="J1022" s="35"/>
      <c r="K1022" s="36"/>
      <c r="L1022" s="36"/>
      <c r="M1022" s="36"/>
      <c r="N1022" s="36"/>
      <c r="O1022" s="36"/>
      <c r="P1022" s="36"/>
      <c r="Q1022" s="36"/>
      <c r="R1022" s="36"/>
      <c r="S1022" s="36"/>
      <c r="T1022" s="36"/>
      <c r="U1022" s="36"/>
      <c r="V1022" s="36"/>
      <c r="W1022" s="36"/>
      <c r="X1022" s="36"/>
      <c r="Y1022" s="36"/>
      <c r="Z1022" s="36"/>
      <c r="AA1022" s="36"/>
      <c r="AB1022" s="36"/>
      <c r="AC1022" s="36"/>
    </row>
    <row r="1023" spans="1:29" ht="48" customHeight="1">
      <c r="A1023" s="100"/>
      <c r="B1023" s="463"/>
      <c r="C1023" s="100"/>
      <c r="D1023" s="81"/>
      <c r="E1023" s="620"/>
      <c r="F1023" s="620"/>
      <c r="G1023" s="620"/>
      <c r="H1023" s="94"/>
      <c r="I1023" s="81"/>
      <c r="J1023" s="35"/>
      <c r="K1023" s="36"/>
      <c r="L1023" s="36"/>
      <c r="M1023" s="36"/>
      <c r="N1023" s="36"/>
      <c r="O1023" s="36"/>
      <c r="P1023" s="36"/>
      <c r="Q1023" s="36"/>
      <c r="R1023" s="36"/>
      <c r="S1023" s="36"/>
      <c r="T1023" s="36"/>
      <c r="U1023" s="36"/>
      <c r="V1023" s="36"/>
      <c r="W1023" s="36"/>
      <c r="X1023" s="36"/>
      <c r="Y1023" s="36"/>
      <c r="Z1023" s="36"/>
      <c r="AA1023" s="36"/>
      <c r="AB1023" s="36"/>
      <c r="AC1023" s="36"/>
    </row>
    <row r="1024" spans="1:29" ht="36" customHeight="1">
      <c r="A1024" s="100"/>
      <c r="B1024" s="100"/>
      <c r="C1024" s="100"/>
      <c r="D1024" s="81"/>
      <c r="E1024" s="620"/>
      <c r="F1024" s="620"/>
      <c r="G1024" s="620"/>
      <c r="H1024" s="94"/>
      <c r="I1024" s="81"/>
      <c r="J1024" s="35"/>
      <c r="K1024" s="36"/>
      <c r="L1024" s="36"/>
      <c r="M1024" s="36"/>
      <c r="N1024" s="36"/>
      <c r="O1024" s="36"/>
      <c r="P1024" s="36"/>
      <c r="Q1024" s="36"/>
      <c r="R1024" s="36"/>
      <c r="S1024" s="36"/>
      <c r="T1024" s="36"/>
      <c r="U1024" s="36"/>
      <c r="V1024" s="36"/>
      <c r="W1024" s="36"/>
      <c r="X1024" s="36"/>
      <c r="Y1024" s="36"/>
      <c r="Z1024" s="36"/>
      <c r="AA1024" s="36"/>
      <c r="AB1024" s="36"/>
      <c r="AC1024" s="36"/>
    </row>
    <row r="1025" spans="1:29" ht="36" customHeight="1">
      <c r="A1025" s="100"/>
      <c r="B1025" s="463"/>
      <c r="C1025" s="100"/>
      <c r="D1025" s="81"/>
      <c r="E1025" s="620"/>
      <c r="F1025" s="620"/>
      <c r="G1025" s="620"/>
      <c r="H1025" s="94"/>
      <c r="I1025" s="81"/>
      <c r="J1025" s="35"/>
      <c r="K1025" s="36"/>
      <c r="L1025" s="36"/>
      <c r="M1025" s="36"/>
      <c r="N1025" s="36"/>
      <c r="O1025" s="36"/>
      <c r="P1025" s="36"/>
      <c r="Q1025" s="36"/>
      <c r="R1025" s="36"/>
      <c r="S1025" s="36"/>
      <c r="T1025" s="36"/>
      <c r="U1025" s="36"/>
      <c r="V1025" s="36"/>
      <c r="W1025" s="36"/>
      <c r="X1025" s="36"/>
      <c r="Y1025" s="36"/>
      <c r="Z1025" s="36"/>
      <c r="AA1025" s="36"/>
      <c r="AB1025" s="36"/>
      <c r="AC1025" s="36"/>
    </row>
    <row r="1026" spans="1:29" ht="24" customHeight="1">
      <c r="A1026" s="100"/>
      <c r="B1026" s="100"/>
      <c r="C1026" s="100"/>
      <c r="D1026" s="81"/>
      <c r="E1026" s="620"/>
      <c r="F1026" s="620"/>
      <c r="G1026" s="620"/>
      <c r="H1026" s="94"/>
      <c r="I1026" s="81"/>
      <c r="J1026" s="35"/>
      <c r="K1026" s="36"/>
      <c r="L1026" s="36"/>
      <c r="M1026" s="36"/>
      <c r="N1026" s="36"/>
      <c r="O1026" s="36"/>
      <c r="P1026" s="36"/>
      <c r="Q1026" s="36"/>
      <c r="R1026" s="36"/>
      <c r="S1026" s="36"/>
      <c r="T1026" s="36"/>
      <c r="U1026" s="36"/>
      <c r="V1026" s="36"/>
      <c r="W1026" s="36"/>
      <c r="X1026" s="36"/>
      <c r="Y1026" s="36"/>
      <c r="Z1026" s="36"/>
      <c r="AA1026" s="36"/>
      <c r="AB1026" s="36"/>
      <c r="AC1026" s="36"/>
    </row>
    <row r="1027" spans="1:29" ht="72" customHeight="1">
      <c r="A1027" s="100"/>
      <c r="B1027" s="463"/>
      <c r="C1027" s="100"/>
      <c r="D1027" s="81"/>
      <c r="E1027" s="620"/>
      <c r="F1027" s="620"/>
      <c r="G1027" s="620"/>
      <c r="H1027" s="94"/>
      <c r="I1027" s="81"/>
      <c r="J1027" s="35"/>
      <c r="K1027" s="36"/>
      <c r="L1027" s="36"/>
      <c r="M1027" s="36"/>
      <c r="N1027" s="36"/>
      <c r="O1027" s="36"/>
      <c r="P1027" s="36"/>
      <c r="Q1027" s="36"/>
      <c r="R1027" s="36"/>
      <c r="S1027" s="36"/>
      <c r="T1027" s="36"/>
      <c r="U1027" s="36"/>
      <c r="V1027" s="36"/>
      <c r="W1027" s="36"/>
      <c r="X1027" s="36"/>
      <c r="Y1027" s="36"/>
      <c r="Z1027" s="36"/>
      <c r="AA1027" s="36"/>
      <c r="AB1027" s="36"/>
      <c r="AC1027" s="36"/>
    </row>
    <row r="1028" spans="1:29" ht="72" customHeight="1">
      <c r="A1028" s="619"/>
      <c r="B1028" s="100"/>
      <c r="C1028" s="100"/>
      <c r="D1028" s="81"/>
      <c r="E1028" s="620"/>
      <c r="F1028" s="620"/>
      <c r="G1028" s="620"/>
      <c r="H1028" s="94"/>
      <c r="I1028" s="81"/>
      <c r="J1028" s="35"/>
      <c r="K1028" s="36"/>
      <c r="L1028" s="36"/>
      <c r="M1028" s="36"/>
      <c r="N1028" s="36"/>
      <c r="O1028" s="36"/>
      <c r="P1028" s="36"/>
      <c r="Q1028" s="36"/>
      <c r="R1028" s="36"/>
      <c r="S1028" s="36"/>
      <c r="T1028" s="36"/>
      <c r="U1028" s="36"/>
      <c r="V1028" s="36"/>
      <c r="W1028" s="36"/>
      <c r="X1028" s="36"/>
      <c r="Y1028" s="36"/>
      <c r="Z1028" s="36"/>
      <c r="AA1028" s="36"/>
      <c r="AB1028" s="36"/>
      <c r="AC1028" s="36"/>
    </row>
    <row r="1029" spans="1:29" ht="36" customHeight="1">
      <c r="A1029" s="619"/>
      <c r="B1029" s="100"/>
      <c r="C1029" s="100"/>
      <c r="D1029" s="81"/>
      <c r="E1029" s="620"/>
      <c r="F1029" s="620"/>
      <c r="G1029" s="620"/>
      <c r="H1029" s="94"/>
      <c r="I1029" s="81"/>
      <c r="J1029" s="35"/>
      <c r="K1029" s="36"/>
      <c r="L1029" s="36"/>
      <c r="M1029" s="36"/>
      <c r="N1029" s="36"/>
      <c r="O1029" s="36"/>
      <c r="P1029" s="36"/>
      <c r="Q1029" s="36"/>
      <c r="R1029" s="36"/>
      <c r="S1029" s="36"/>
      <c r="T1029" s="36"/>
      <c r="U1029" s="36"/>
      <c r="V1029" s="36"/>
      <c r="W1029" s="36"/>
      <c r="X1029" s="36"/>
      <c r="Y1029" s="36"/>
      <c r="Z1029" s="36"/>
      <c r="AA1029" s="36"/>
      <c r="AB1029" s="36"/>
      <c r="AC1029" s="36"/>
    </row>
    <row r="1030" spans="1:29" ht="24" customHeight="1">
      <c r="A1030" s="619"/>
      <c r="B1030" s="100"/>
      <c r="C1030" s="100"/>
      <c r="D1030" s="81"/>
      <c r="E1030" s="620"/>
      <c r="F1030" s="620"/>
      <c r="G1030" s="620"/>
      <c r="H1030" s="94"/>
      <c r="I1030" s="81"/>
      <c r="J1030" s="35"/>
      <c r="K1030" s="36"/>
      <c r="L1030" s="36"/>
      <c r="M1030" s="36"/>
      <c r="N1030" s="36"/>
      <c r="O1030" s="36"/>
      <c r="P1030" s="36"/>
      <c r="Q1030" s="36"/>
      <c r="R1030" s="36"/>
      <c r="S1030" s="36"/>
      <c r="T1030" s="36"/>
      <c r="U1030" s="36"/>
      <c r="V1030" s="36"/>
      <c r="W1030" s="36"/>
      <c r="X1030" s="36"/>
      <c r="Y1030" s="36"/>
      <c r="Z1030" s="36"/>
      <c r="AA1030" s="36"/>
      <c r="AB1030" s="36"/>
      <c r="AC1030" s="36"/>
    </row>
    <row r="1031" spans="1:29" ht="36" customHeight="1">
      <c r="A1031" s="619"/>
      <c r="B1031" s="100"/>
      <c r="C1031" s="100"/>
      <c r="D1031" s="81"/>
      <c r="E1031" s="620"/>
      <c r="F1031" s="620"/>
      <c r="G1031" s="620"/>
      <c r="H1031" s="94"/>
      <c r="I1031" s="81"/>
      <c r="J1031" s="35"/>
      <c r="K1031" s="36"/>
      <c r="L1031" s="36"/>
      <c r="M1031" s="36"/>
      <c r="N1031" s="36"/>
      <c r="O1031" s="36"/>
      <c r="P1031" s="36"/>
      <c r="Q1031" s="36"/>
      <c r="R1031" s="36"/>
      <c r="S1031" s="36"/>
      <c r="T1031" s="36"/>
      <c r="U1031" s="36"/>
      <c r="V1031" s="36"/>
      <c r="W1031" s="36"/>
      <c r="X1031" s="36"/>
      <c r="Y1031" s="36"/>
      <c r="Z1031" s="36"/>
      <c r="AA1031" s="36"/>
      <c r="AB1031" s="36"/>
      <c r="AC1031" s="36"/>
    </row>
    <row r="1032" spans="1:29" ht="24" customHeight="1">
      <c r="A1032" s="100"/>
      <c r="B1032" s="100"/>
      <c r="C1032" s="100"/>
      <c r="D1032" s="81"/>
      <c r="E1032" s="620"/>
      <c r="F1032" s="620"/>
      <c r="G1032" s="620"/>
      <c r="H1032" s="94"/>
      <c r="I1032" s="81"/>
      <c r="J1032" s="35"/>
      <c r="K1032" s="36"/>
      <c r="L1032" s="36"/>
      <c r="M1032" s="36"/>
      <c r="N1032" s="36"/>
      <c r="O1032" s="36"/>
      <c r="P1032" s="36"/>
      <c r="Q1032" s="36"/>
      <c r="R1032" s="36"/>
      <c r="S1032" s="36"/>
      <c r="T1032" s="36"/>
      <c r="U1032" s="36"/>
      <c r="V1032" s="36"/>
      <c r="W1032" s="36"/>
      <c r="X1032" s="36"/>
      <c r="Y1032" s="36"/>
      <c r="Z1032" s="36"/>
      <c r="AA1032" s="36"/>
      <c r="AB1032" s="36"/>
      <c r="AC1032" s="36"/>
    </row>
    <row r="1033" spans="1:29" ht="60" customHeight="1">
      <c r="A1033" s="100"/>
      <c r="B1033" s="100"/>
      <c r="C1033" s="100"/>
      <c r="D1033" s="81"/>
      <c r="E1033" s="620"/>
      <c r="F1033" s="620"/>
      <c r="G1033" s="620"/>
      <c r="H1033" s="94"/>
      <c r="I1033" s="81"/>
      <c r="J1033" s="35"/>
      <c r="K1033" s="36"/>
      <c r="L1033" s="36"/>
      <c r="M1033" s="36"/>
      <c r="N1033" s="36"/>
      <c r="O1033" s="36"/>
      <c r="P1033" s="36"/>
      <c r="Q1033" s="36"/>
      <c r="R1033" s="36"/>
      <c r="S1033" s="36"/>
      <c r="T1033" s="36"/>
      <c r="U1033" s="36"/>
      <c r="V1033" s="36"/>
      <c r="W1033" s="36"/>
      <c r="X1033" s="36"/>
      <c r="Y1033" s="36"/>
      <c r="Z1033" s="36"/>
      <c r="AA1033" s="36"/>
      <c r="AB1033" s="36"/>
      <c r="AC1033" s="36"/>
    </row>
    <row r="1034" spans="1:29" ht="36" customHeight="1">
      <c r="A1034" s="100"/>
      <c r="B1034" s="100"/>
      <c r="C1034" s="100"/>
      <c r="D1034" s="81"/>
      <c r="E1034" s="620"/>
      <c r="F1034" s="620"/>
      <c r="G1034" s="620"/>
      <c r="H1034" s="94"/>
      <c r="I1034" s="81"/>
      <c r="J1034" s="35"/>
      <c r="K1034" s="36"/>
      <c r="L1034" s="36"/>
      <c r="M1034" s="36"/>
      <c r="N1034" s="36"/>
      <c r="O1034" s="36"/>
      <c r="P1034" s="36"/>
      <c r="Q1034" s="36"/>
      <c r="R1034" s="36"/>
      <c r="S1034" s="36"/>
      <c r="T1034" s="36"/>
      <c r="U1034" s="36"/>
      <c r="V1034" s="36"/>
      <c r="W1034" s="36"/>
      <c r="X1034" s="36"/>
      <c r="Y1034" s="36"/>
      <c r="Z1034" s="36"/>
      <c r="AA1034" s="36"/>
      <c r="AB1034" s="36"/>
      <c r="AC1034" s="36"/>
    </row>
    <row r="1035" spans="1:29" ht="24" customHeight="1">
      <c r="A1035" s="100"/>
      <c r="B1035" s="100"/>
      <c r="C1035" s="100"/>
      <c r="D1035" s="81"/>
      <c r="E1035" s="620"/>
      <c r="F1035" s="620"/>
      <c r="G1035" s="620"/>
      <c r="H1035" s="94"/>
      <c r="I1035" s="81"/>
      <c r="J1035" s="35"/>
      <c r="K1035" s="36"/>
      <c r="L1035" s="36"/>
      <c r="M1035" s="36"/>
      <c r="N1035" s="36"/>
      <c r="O1035" s="36"/>
      <c r="P1035" s="36"/>
      <c r="Q1035" s="36"/>
      <c r="R1035" s="36"/>
      <c r="S1035" s="36"/>
      <c r="T1035" s="36"/>
      <c r="U1035" s="36"/>
      <c r="V1035" s="36"/>
      <c r="W1035" s="36"/>
      <c r="X1035" s="36"/>
      <c r="Y1035" s="36"/>
      <c r="Z1035" s="36"/>
      <c r="AA1035" s="36"/>
      <c r="AB1035" s="36"/>
      <c r="AC1035" s="36"/>
    </row>
    <row r="1036" spans="1:29" ht="36" customHeight="1">
      <c r="A1036" s="100"/>
      <c r="B1036" s="463"/>
      <c r="C1036" s="100"/>
      <c r="D1036" s="81"/>
      <c r="E1036" s="620"/>
      <c r="F1036" s="620"/>
      <c r="G1036" s="620"/>
      <c r="H1036" s="94"/>
      <c r="I1036" s="81"/>
      <c r="J1036" s="35"/>
      <c r="K1036" s="36"/>
      <c r="L1036" s="36"/>
      <c r="M1036" s="36"/>
      <c r="N1036" s="36"/>
      <c r="O1036" s="36"/>
      <c r="P1036" s="36"/>
      <c r="Q1036" s="36"/>
      <c r="R1036" s="36"/>
      <c r="S1036" s="36"/>
      <c r="T1036" s="36"/>
      <c r="U1036" s="36"/>
      <c r="V1036" s="36"/>
      <c r="W1036" s="36"/>
      <c r="X1036" s="36"/>
      <c r="Y1036" s="36"/>
      <c r="Z1036" s="36"/>
      <c r="AA1036" s="36"/>
      <c r="AB1036" s="36"/>
      <c r="AC1036" s="36"/>
    </row>
    <row r="1037" spans="1:29" ht="36" customHeight="1">
      <c r="A1037" s="100"/>
      <c r="B1037" s="100"/>
      <c r="C1037" s="100"/>
      <c r="D1037" s="81"/>
      <c r="E1037" s="620"/>
      <c r="F1037" s="620"/>
      <c r="G1037" s="620"/>
      <c r="H1037" s="94"/>
      <c r="I1037" s="81"/>
      <c r="J1037" s="35"/>
      <c r="K1037" s="36"/>
      <c r="L1037" s="36"/>
      <c r="M1037" s="36"/>
      <c r="N1037" s="36"/>
      <c r="O1037" s="36"/>
      <c r="P1037" s="36"/>
      <c r="Q1037" s="36"/>
      <c r="R1037" s="36"/>
      <c r="S1037" s="36"/>
      <c r="T1037" s="36"/>
      <c r="U1037" s="36"/>
      <c r="V1037" s="36"/>
      <c r="W1037" s="36"/>
      <c r="X1037" s="36"/>
      <c r="Y1037" s="36"/>
      <c r="Z1037" s="36"/>
      <c r="AA1037" s="36"/>
      <c r="AB1037" s="36"/>
      <c r="AC1037" s="36"/>
    </row>
    <row r="1038" spans="1:29" ht="60" customHeight="1">
      <c r="A1038" s="100"/>
      <c r="B1038" s="100"/>
      <c r="C1038" s="100"/>
      <c r="D1038" s="81"/>
      <c r="E1038" s="620"/>
      <c r="F1038" s="620"/>
      <c r="G1038" s="620"/>
      <c r="H1038" s="94"/>
      <c r="I1038" s="81"/>
      <c r="J1038" s="35"/>
      <c r="K1038" s="36"/>
      <c r="L1038" s="36"/>
      <c r="M1038" s="36"/>
      <c r="N1038" s="36"/>
      <c r="O1038" s="36"/>
      <c r="P1038" s="36"/>
      <c r="Q1038" s="36"/>
      <c r="R1038" s="36"/>
      <c r="S1038" s="36"/>
      <c r="T1038" s="36"/>
      <c r="U1038" s="36"/>
      <c r="V1038" s="36"/>
      <c r="W1038" s="36"/>
      <c r="X1038" s="36"/>
      <c r="Y1038" s="36"/>
      <c r="Z1038" s="36"/>
      <c r="AA1038" s="36"/>
      <c r="AB1038" s="36"/>
      <c r="AC1038" s="36"/>
    </row>
    <row r="1039" spans="1:29" ht="24" customHeight="1">
      <c r="A1039" s="100"/>
      <c r="B1039" s="100"/>
      <c r="C1039" s="100"/>
      <c r="D1039" s="81"/>
      <c r="E1039" s="620"/>
      <c r="F1039" s="620"/>
      <c r="G1039" s="620"/>
      <c r="H1039" s="94"/>
      <c r="I1039" s="81"/>
      <c r="J1039" s="35"/>
      <c r="K1039" s="36"/>
      <c r="L1039" s="36"/>
      <c r="M1039" s="36"/>
      <c r="N1039" s="36"/>
      <c r="O1039" s="36"/>
      <c r="P1039" s="36"/>
      <c r="Q1039" s="36"/>
      <c r="R1039" s="36"/>
      <c r="S1039" s="36"/>
      <c r="T1039" s="36"/>
      <c r="U1039" s="36"/>
      <c r="V1039" s="36"/>
      <c r="W1039" s="36"/>
      <c r="X1039" s="36"/>
      <c r="Y1039" s="36"/>
      <c r="Z1039" s="36"/>
      <c r="AA1039" s="36"/>
      <c r="AB1039" s="36"/>
      <c r="AC1039" s="36"/>
    </row>
    <row r="1040" spans="1:29" ht="24" customHeight="1">
      <c r="A1040" s="100"/>
      <c r="B1040" s="100"/>
      <c r="C1040" s="100"/>
      <c r="D1040" s="81"/>
      <c r="E1040" s="620"/>
      <c r="F1040" s="620"/>
      <c r="G1040" s="620"/>
      <c r="H1040" s="94"/>
      <c r="I1040" s="81"/>
      <c r="J1040" s="35"/>
      <c r="K1040" s="36"/>
      <c r="L1040" s="36"/>
      <c r="M1040" s="36"/>
      <c r="N1040" s="36"/>
      <c r="O1040" s="36"/>
      <c r="P1040" s="36"/>
      <c r="Q1040" s="36"/>
      <c r="R1040" s="36"/>
      <c r="S1040" s="36"/>
      <c r="T1040" s="36"/>
      <c r="U1040" s="36"/>
      <c r="V1040" s="36"/>
      <c r="W1040" s="36"/>
      <c r="X1040" s="36"/>
      <c r="Y1040" s="36"/>
      <c r="Z1040" s="36"/>
      <c r="AA1040" s="36"/>
      <c r="AB1040" s="36"/>
      <c r="AC1040" s="36"/>
    </row>
    <row r="1041" spans="1:29" ht="24" customHeight="1">
      <c r="A1041" s="100"/>
      <c r="B1041" s="100"/>
      <c r="C1041" s="100"/>
      <c r="D1041" s="81"/>
      <c r="E1041" s="620"/>
      <c r="F1041" s="620"/>
      <c r="G1041" s="620"/>
      <c r="H1041" s="94"/>
      <c r="I1041" s="81"/>
      <c r="J1041" s="35"/>
      <c r="K1041" s="36"/>
      <c r="L1041" s="36"/>
      <c r="M1041" s="36"/>
      <c r="N1041" s="36"/>
      <c r="O1041" s="36"/>
      <c r="P1041" s="36"/>
      <c r="Q1041" s="36"/>
      <c r="R1041" s="36"/>
      <c r="S1041" s="36"/>
      <c r="T1041" s="36"/>
      <c r="U1041" s="36"/>
      <c r="V1041" s="36"/>
      <c r="W1041" s="36"/>
      <c r="X1041" s="36"/>
      <c r="Y1041" s="36"/>
      <c r="Z1041" s="36"/>
      <c r="AA1041" s="36"/>
      <c r="AB1041" s="36"/>
      <c r="AC1041" s="36"/>
    </row>
    <row r="1042" spans="1:29" ht="24" customHeight="1">
      <c r="A1042" s="100"/>
      <c r="B1042" s="463"/>
      <c r="C1042" s="100"/>
      <c r="D1042" s="81"/>
      <c r="E1042" s="620"/>
      <c r="F1042" s="620"/>
      <c r="G1042" s="620"/>
      <c r="H1042" s="94"/>
      <c r="I1042" s="81"/>
      <c r="J1042" s="35"/>
      <c r="K1042" s="36"/>
      <c r="L1042" s="36"/>
      <c r="M1042" s="36"/>
      <c r="N1042" s="36"/>
      <c r="O1042" s="36"/>
      <c r="P1042" s="36"/>
      <c r="Q1042" s="36"/>
      <c r="R1042" s="36"/>
      <c r="S1042" s="36"/>
      <c r="T1042" s="36"/>
      <c r="U1042" s="36"/>
      <c r="V1042" s="36"/>
      <c r="W1042" s="36"/>
      <c r="X1042" s="36"/>
      <c r="Y1042" s="36"/>
      <c r="Z1042" s="36"/>
      <c r="AA1042" s="36"/>
      <c r="AB1042" s="36"/>
      <c r="AC1042" s="36"/>
    </row>
    <row r="1043" spans="1:29" ht="24" customHeight="1">
      <c r="A1043" s="100"/>
      <c r="B1043" s="100"/>
      <c r="C1043" s="100"/>
      <c r="D1043" s="81"/>
      <c r="E1043" s="620"/>
      <c r="F1043" s="620"/>
      <c r="G1043" s="620"/>
      <c r="H1043" s="94"/>
      <c r="I1043" s="81"/>
      <c r="J1043" s="35"/>
      <c r="K1043" s="36"/>
      <c r="L1043" s="36"/>
      <c r="M1043" s="36"/>
      <c r="N1043" s="36"/>
      <c r="O1043" s="36"/>
      <c r="P1043" s="36"/>
      <c r="Q1043" s="36"/>
      <c r="R1043" s="36"/>
      <c r="S1043" s="36"/>
      <c r="T1043" s="36"/>
      <c r="U1043" s="36"/>
      <c r="V1043" s="36"/>
      <c r="W1043" s="36"/>
      <c r="X1043" s="36"/>
      <c r="Y1043" s="36"/>
      <c r="Z1043" s="36"/>
      <c r="AA1043" s="36"/>
      <c r="AB1043" s="36"/>
      <c r="AC1043" s="36"/>
    </row>
    <row r="1044" spans="1:29" ht="36" customHeight="1">
      <c r="A1044" s="100"/>
      <c r="B1044" s="100"/>
      <c r="C1044" s="100"/>
      <c r="D1044" s="81"/>
      <c r="E1044" s="620"/>
      <c r="F1044" s="620"/>
      <c r="G1044" s="620"/>
      <c r="H1044" s="94"/>
      <c r="I1044" s="81"/>
      <c r="J1044" s="35"/>
      <c r="K1044" s="36"/>
      <c r="L1044" s="36"/>
      <c r="M1044" s="36"/>
      <c r="N1044" s="36"/>
      <c r="O1044" s="36"/>
      <c r="P1044" s="36"/>
      <c r="Q1044" s="36"/>
      <c r="R1044" s="36"/>
      <c r="S1044" s="36"/>
      <c r="T1044" s="36"/>
      <c r="U1044" s="36"/>
      <c r="V1044" s="36"/>
      <c r="W1044" s="36"/>
      <c r="X1044" s="36"/>
      <c r="Y1044" s="36"/>
      <c r="Z1044" s="36"/>
      <c r="AA1044" s="36"/>
      <c r="AB1044" s="36"/>
      <c r="AC1044" s="36"/>
    </row>
    <row r="1045" spans="1:29" ht="24" customHeight="1">
      <c r="A1045" s="100"/>
      <c r="B1045" s="100"/>
      <c r="C1045" s="100"/>
      <c r="D1045" s="81"/>
      <c r="E1045" s="620"/>
      <c r="F1045" s="620"/>
      <c r="G1045" s="620"/>
      <c r="H1045" s="94"/>
      <c r="I1045" s="81"/>
      <c r="J1045" s="35"/>
      <c r="K1045" s="36"/>
      <c r="L1045" s="36"/>
      <c r="M1045" s="36"/>
      <c r="N1045" s="36"/>
      <c r="O1045" s="36"/>
      <c r="P1045" s="36"/>
      <c r="Q1045" s="36"/>
      <c r="R1045" s="36"/>
      <c r="S1045" s="36"/>
      <c r="T1045" s="36"/>
      <c r="U1045" s="36"/>
      <c r="V1045" s="36"/>
      <c r="W1045" s="36"/>
      <c r="X1045" s="36"/>
      <c r="Y1045" s="36"/>
      <c r="Z1045" s="36"/>
      <c r="AA1045" s="36"/>
      <c r="AB1045" s="36"/>
      <c r="AC1045" s="36"/>
    </row>
    <row r="1046" spans="1:29" ht="24" customHeight="1">
      <c r="A1046" s="100"/>
      <c r="B1046" s="100"/>
      <c r="C1046" s="100"/>
      <c r="D1046" s="81"/>
      <c r="E1046" s="620"/>
      <c r="F1046" s="620"/>
      <c r="G1046" s="620"/>
      <c r="H1046" s="94"/>
      <c r="I1046" s="81"/>
      <c r="J1046" s="35"/>
      <c r="K1046" s="36"/>
      <c r="L1046" s="36"/>
      <c r="M1046" s="36"/>
      <c r="N1046" s="36"/>
      <c r="O1046" s="36"/>
      <c r="P1046" s="36"/>
      <c r="Q1046" s="36"/>
      <c r="R1046" s="36"/>
      <c r="S1046" s="36"/>
      <c r="T1046" s="36"/>
      <c r="U1046" s="36"/>
      <c r="V1046" s="36"/>
      <c r="W1046" s="36"/>
      <c r="X1046" s="36"/>
      <c r="Y1046" s="36"/>
      <c r="Z1046" s="36"/>
      <c r="AA1046" s="36"/>
      <c r="AB1046" s="36"/>
      <c r="AC1046" s="36"/>
    </row>
    <row r="1047" spans="1:29" ht="24" customHeight="1">
      <c r="A1047" s="100"/>
      <c r="B1047" s="463"/>
      <c r="C1047" s="100"/>
      <c r="D1047" s="81"/>
      <c r="E1047" s="620"/>
      <c r="F1047" s="620"/>
      <c r="G1047" s="620"/>
      <c r="H1047" s="94"/>
      <c r="I1047" s="81"/>
      <c r="J1047" s="35"/>
      <c r="K1047" s="36"/>
      <c r="L1047" s="36"/>
      <c r="M1047" s="36"/>
      <c r="N1047" s="36"/>
      <c r="O1047" s="36"/>
      <c r="P1047" s="36"/>
      <c r="Q1047" s="36"/>
      <c r="R1047" s="36"/>
      <c r="S1047" s="36"/>
      <c r="T1047" s="36"/>
      <c r="U1047" s="36"/>
      <c r="V1047" s="36"/>
      <c r="W1047" s="36"/>
      <c r="X1047" s="36"/>
      <c r="Y1047" s="36"/>
      <c r="Z1047" s="36"/>
      <c r="AA1047" s="36"/>
      <c r="AB1047" s="36"/>
      <c r="AC1047" s="36"/>
    </row>
    <row r="1048" spans="1:29" ht="36" customHeight="1">
      <c r="A1048" s="100"/>
      <c r="B1048" s="463"/>
      <c r="C1048" s="100"/>
      <c r="D1048" s="81"/>
      <c r="E1048" s="620"/>
      <c r="F1048" s="620"/>
      <c r="G1048" s="620"/>
      <c r="H1048" s="94"/>
      <c r="I1048" s="81"/>
      <c r="J1048" s="35"/>
      <c r="K1048" s="36"/>
      <c r="L1048" s="36"/>
      <c r="M1048" s="36"/>
      <c r="N1048" s="36"/>
      <c r="O1048" s="36"/>
      <c r="P1048" s="36"/>
      <c r="Q1048" s="36"/>
      <c r="R1048" s="36"/>
      <c r="S1048" s="36"/>
      <c r="T1048" s="36"/>
      <c r="U1048" s="36"/>
      <c r="V1048" s="36"/>
      <c r="W1048" s="36"/>
      <c r="X1048" s="36"/>
      <c r="Y1048" s="36"/>
      <c r="Z1048" s="36"/>
      <c r="AA1048" s="36"/>
      <c r="AB1048" s="36"/>
      <c r="AC1048" s="36"/>
    </row>
    <row r="1049" spans="1:29" ht="24" customHeight="1">
      <c r="A1049" s="100"/>
      <c r="B1049" s="100"/>
      <c r="C1049" s="100"/>
      <c r="D1049" s="81"/>
      <c r="E1049" s="620"/>
      <c r="F1049" s="620"/>
      <c r="G1049" s="620"/>
      <c r="H1049" s="94"/>
      <c r="I1049" s="81"/>
      <c r="J1049" s="35"/>
      <c r="K1049" s="36"/>
      <c r="L1049" s="36"/>
      <c r="M1049" s="36"/>
      <c r="N1049" s="36"/>
      <c r="O1049" s="36"/>
      <c r="P1049" s="36"/>
      <c r="Q1049" s="36"/>
      <c r="R1049" s="36"/>
      <c r="S1049" s="36"/>
      <c r="T1049" s="36"/>
      <c r="U1049" s="36"/>
      <c r="V1049" s="36"/>
      <c r="W1049" s="36"/>
      <c r="X1049" s="36"/>
      <c r="Y1049" s="36"/>
      <c r="Z1049" s="36"/>
      <c r="AA1049" s="36"/>
      <c r="AB1049" s="36"/>
      <c r="AC1049" s="36"/>
    </row>
    <row r="1050" spans="1:29" ht="24" customHeight="1">
      <c r="A1050" s="100"/>
      <c r="B1050" s="100"/>
      <c r="C1050" s="100"/>
      <c r="D1050" s="81"/>
      <c r="E1050" s="620"/>
      <c r="F1050" s="620"/>
      <c r="G1050" s="620"/>
      <c r="H1050" s="94"/>
      <c r="I1050" s="81"/>
      <c r="J1050" s="35"/>
      <c r="K1050" s="36"/>
      <c r="L1050" s="36"/>
      <c r="M1050" s="36"/>
      <c r="N1050" s="36"/>
      <c r="O1050" s="36"/>
      <c r="P1050" s="36"/>
      <c r="Q1050" s="36"/>
      <c r="R1050" s="36"/>
      <c r="S1050" s="36"/>
      <c r="T1050" s="36"/>
      <c r="U1050" s="36"/>
      <c r="V1050" s="36"/>
      <c r="W1050" s="36"/>
      <c r="X1050" s="36"/>
      <c r="Y1050" s="36"/>
      <c r="Z1050" s="36"/>
      <c r="AA1050" s="36"/>
      <c r="AB1050" s="36"/>
      <c r="AC1050" s="36"/>
    </row>
    <row r="1051" spans="1:29" ht="36" customHeight="1">
      <c r="A1051" s="100"/>
      <c r="B1051" s="100"/>
      <c r="C1051" s="100"/>
      <c r="D1051" s="81"/>
      <c r="E1051" s="620"/>
      <c r="F1051" s="620"/>
      <c r="G1051" s="620"/>
      <c r="H1051" s="94"/>
      <c r="I1051" s="81"/>
      <c r="J1051" s="35"/>
      <c r="K1051" s="36"/>
      <c r="L1051" s="36"/>
      <c r="M1051" s="36"/>
      <c r="N1051" s="36"/>
      <c r="O1051" s="36"/>
      <c r="P1051" s="36"/>
      <c r="Q1051" s="36"/>
      <c r="R1051" s="36"/>
      <c r="S1051" s="36"/>
      <c r="T1051" s="36"/>
      <c r="U1051" s="36"/>
      <c r="V1051" s="36"/>
      <c r="W1051" s="36"/>
      <c r="X1051" s="36"/>
      <c r="Y1051" s="36"/>
      <c r="Z1051" s="36"/>
      <c r="AA1051" s="36"/>
      <c r="AB1051" s="36"/>
      <c r="AC1051" s="36"/>
    </row>
    <row r="1052" spans="1:29" ht="24" customHeight="1">
      <c r="A1052" s="100"/>
      <c r="B1052" s="100"/>
      <c r="C1052" s="100"/>
      <c r="D1052" s="81"/>
      <c r="E1052" s="620"/>
      <c r="F1052" s="620"/>
      <c r="G1052" s="620"/>
      <c r="H1052" s="94"/>
      <c r="I1052" s="81"/>
      <c r="J1052" s="35"/>
      <c r="K1052" s="36"/>
      <c r="L1052" s="36"/>
      <c r="M1052" s="36"/>
      <c r="N1052" s="36"/>
      <c r="O1052" s="36"/>
      <c r="P1052" s="36"/>
      <c r="Q1052" s="36"/>
      <c r="R1052" s="36"/>
      <c r="S1052" s="36"/>
      <c r="T1052" s="36"/>
      <c r="U1052" s="36"/>
      <c r="V1052" s="36"/>
      <c r="W1052" s="36"/>
      <c r="X1052" s="36"/>
      <c r="Y1052" s="36"/>
      <c r="Z1052" s="36"/>
      <c r="AA1052" s="36"/>
      <c r="AB1052" s="36"/>
      <c r="AC1052" s="36"/>
    </row>
    <row r="1053" spans="1:29" ht="24" customHeight="1">
      <c r="A1053" s="100"/>
      <c r="B1053" s="100"/>
      <c r="C1053" s="100"/>
      <c r="D1053" s="81"/>
      <c r="E1053" s="620"/>
      <c r="F1053" s="620"/>
      <c r="G1053" s="620"/>
      <c r="H1053" s="94"/>
      <c r="I1053" s="81"/>
      <c r="J1053" s="35"/>
      <c r="K1053" s="36"/>
      <c r="L1053" s="36"/>
      <c r="M1053" s="36"/>
      <c r="N1053" s="36"/>
      <c r="O1053" s="36"/>
      <c r="P1053" s="36"/>
      <c r="Q1053" s="36"/>
      <c r="R1053" s="36"/>
      <c r="S1053" s="36"/>
      <c r="T1053" s="36"/>
      <c r="U1053" s="36"/>
      <c r="V1053" s="36"/>
      <c r="W1053" s="36"/>
      <c r="X1053" s="36"/>
      <c r="Y1053" s="36"/>
      <c r="Z1053" s="36"/>
      <c r="AA1053" s="36"/>
      <c r="AB1053" s="36"/>
      <c r="AC1053" s="36"/>
    </row>
    <row r="1054" spans="1:29" ht="24" customHeight="1">
      <c r="A1054" s="100"/>
      <c r="B1054" s="100"/>
      <c r="C1054" s="100"/>
      <c r="D1054" s="81"/>
      <c r="E1054" s="620"/>
      <c r="F1054" s="620"/>
      <c r="G1054" s="620"/>
      <c r="H1054" s="94"/>
      <c r="I1054" s="81"/>
      <c r="J1054" s="35"/>
      <c r="K1054" s="36"/>
      <c r="L1054" s="36"/>
      <c r="M1054" s="36"/>
      <c r="N1054" s="36"/>
      <c r="O1054" s="36"/>
      <c r="P1054" s="36"/>
      <c r="Q1054" s="36"/>
      <c r="R1054" s="36"/>
      <c r="S1054" s="36"/>
      <c r="T1054" s="36"/>
      <c r="U1054" s="36"/>
      <c r="V1054" s="36"/>
      <c r="W1054" s="36"/>
      <c r="X1054" s="36"/>
      <c r="Y1054" s="36"/>
      <c r="Z1054" s="36"/>
      <c r="AA1054" s="36"/>
      <c r="AB1054" s="36"/>
      <c r="AC1054" s="36"/>
    </row>
    <row r="1055" spans="1:29" ht="24" customHeight="1">
      <c r="A1055" s="100"/>
      <c r="B1055" s="91"/>
      <c r="C1055" s="100"/>
      <c r="D1055" s="81"/>
      <c r="E1055" s="620"/>
      <c r="F1055" s="620"/>
      <c r="G1055" s="620"/>
      <c r="H1055" s="94"/>
      <c r="I1055" s="81"/>
      <c r="J1055" s="35"/>
      <c r="K1055" s="36"/>
      <c r="L1055" s="36"/>
      <c r="M1055" s="36"/>
      <c r="N1055" s="36"/>
      <c r="O1055" s="36"/>
      <c r="P1055" s="36"/>
      <c r="Q1055" s="36"/>
      <c r="R1055" s="36"/>
      <c r="S1055" s="36"/>
      <c r="T1055" s="36"/>
      <c r="U1055" s="36"/>
      <c r="V1055" s="36"/>
      <c r="W1055" s="36"/>
      <c r="X1055" s="36"/>
      <c r="Y1055" s="36"/>
      <c r="Z1055" s="36"/>
      <c r="AA1055" s="36"/>
      <c r="AB1055" s="36"/>
      <c r="AC1055" s="36"/>
    </row>
    <row r="1056" spans="1:29" ht="24" customHeight="1">
      <c r="A1056" s="100"/>
      <c r="B1056" s="100"/>
      <c r="C1056" s="100"/>
      <c r="D1056" s="81"/>
      <c r="E1056" s="620"/>
      <c r="F1056" s="620"/>
      <c r="G1056" s="620"/>
      <c r="H1056" s="94"/>
      <c r="I1056" s="81"/>
      <c r="J1056" s="35"/>
      <c r="K1056" s="36"/>
      <c r="L1056" s="36"/>
      <c r="M1056" s="36"/>
      <c r="N1056" s="36"/>
      <c r="O1056" s="36"/>
      <c r="P1056" s="36"/>
      <c r="Q1056" s="36"/>
      <c r="R1056" s="36"/>
      <c r="S1056" s="36"/>
      <c r="T1056" s="36"/>
      <c r="U1056" s="36"/>
      <c r="V1056" s="36"/>
      <c r="W1056" s="36"/>
      <c r="X1056" s="36"/>
      <c r="Y1056" s="36"/>
      <c r="Z1056" s="36"/>
      <c r="AA1056" s="36"/>
      <c r="AB1056" s="36"/>
      <c r="AC1056" s="36"/>
    </row>
    <row r="1057" spans="1:29" ht="24" customHeight="1">
      <c r="A1057" s="100"/>
      <c r="B1057" s="100"/>
      <c r="C1057" s="100"/>
      <c r="D1057" s="81"/>
      <c r="E1057" s="620"/>
      <c r="F1057" s="620"/>
      <c r="G1057" s="620"/>
      <c r="H1057" s="94"/>
      <c r="I1057" s="81"/>
      <c r="J1057" s="35"/>
      <c r="K1057" s="36"/>
      <c r="L1057" s="36"/>
      <c r="M1057" s="36"/>
      <c r="N1057" s="36"/>
      <c r="O1057" s="36"/>
      <c r="P1057" s="36"/>
      <c r="Q1057" s="36"/>
      <c r="R1057" s="36"/>
      <c r="S1057" s="36"/>
      <c r="T1057" s="36"/>
      <c r="U1057" s="36"/>
      <c r="V1057" s="36"/>
      <c r="W1057" s="36"/>
      <c r="X1057" s="36"/>
      <c r="Y1057" s="36"/>
      <c r="Z1057" s="36"/>
      <c r="AA1057" s="36"/>
      <c r="AB1057" s="36"/>
      <c r="AC1057" s="36"/>
    </row>
    <row r="1058" spans="1:29" ht="24" customHeight="1">
      <c r="A1058" s="100"/>
      <c r="B1058" s="100"/>
      <c r="C1058" s="100"/>
      <c r="D1058" s="81"/>
      <c r="E1058" s="620"/>
      <c r="F1058" s="620"/>
      <c r="G1058" s="620"/>
      <c r="H1058" s="94"/>
      <c r="I1058" s="81"/>
      <c r="J1058" s="35"/>
      <c r="K1058" s="36"/>
      <c r="L1058" s="36"/>
      <c r="M1058" s="36"/>
      <c r="N1058" s="36"/>
      <c r="O1058" s="36"/>
      <c r="P1058" s="36"/>
      <c r="Q1058" s="36"/>
      <c r="R1058" s="36"/>
      <c r="S1058" s="36"/>
      <c r="T1058" s="36"/>
      <c r="U1058" s="36"/>
      <c r="V1058" s="36"/>
      <c r="W1058" s="36"/>
      <c r="X1058" s="36"/>
      <c r="Y1058" s="36"/>
      <c r="Z1058" s="36"/>
      <c r="AA1058" s="36"/>
      <c r="AB1058" s="36"/>
      <c r="AC1058" s="36"/>
    </row>
    <row r="1059" spans="1:29" ht="24" customHeight="1">
      <c r="A1059" s="100"/>
      <c r="B1059" s="100"/>
      <c r="C1059" s="100"/>
      <c r="D1059" s="81"/>
      <c r="E1059" s="620"/>
      <c r="F1059" s="620"/>
      <c r="G1059" s="620"/>
      <c r="H1059" s="94"/>
      <c r="I1059" s="81"/>
      <c r="J1059" s="35"/>
      <c r="K1059" s="36"/>
      <c r="L1059" s="36"/>
      <c r="M1059" s="36"/>
      <c r="N1059" s="36"/>
      <c r="O1059" s="36"/>
      <c r="P1059" s="36"/>
      <c r="Q1059" s="36"/>
      <c r="R1059" s="36"/>
      <c r="S1059" s="36"/>
      <c r="T1059" s="36"/>
      <c r="U1059" s="36"/>
      <c r="V1059" s="36"/>
      <c r="W1059" s="36"/>
      <c r="X1059" s="36"/>
      <c r="Y1059" s="36"/>
      <c r="Z1059" s="36"/>
      <c r="AA1059" s="36"/>
      <c r="AB1059" s="36"/>
      <c r="AC1059" s="36"/>
    </row>
    <row r="1060" spans="1:29" ht="72" customHeight="1">
      <c r="A1060" s="100"/>
      <c r="B1060" s="100"/>
      <c r="C1060" s="100"/>
      <c r="D1060" s="81"/>
      <c r="E1060" s="620"/>
      <c r="F1060" s="620"/>
      <c r="G1060" s="620"/>
      <c r="H1060" s="94"/>
      <c r="I1060" s="81"/>
      <c r="J1060" s="35"/>
      <c r="K1060" s="36"/>
      <c r="L1060" s="36"/>
      <c r="M1060" s="36"/>
      <c r="N1060" s="36"/>
      <c r="O1060" s="36"/>
      <c r="P1060" s="36"/>
      <c r="Q1060" s="36"/>
      <c r="R1060" s="36"/>
      <c r="S1060" s="36"/>
      <c r="T1060" s="36"/>
      <c r="U1060" s="36"/>
      <c r="V1060" s="36"/>
      <c r="W1060" s="36"/>
      <c r="X1060" s="36"/>
      <c r="Y1060" s="36"/>
      <c r="Z1060" s="36"/>
      <c r="AA1060" s="36"/>
      <c r="AB1060" s="36"/>
      <c r="AC1060" s="36"/>
    </row>
    <row r="1061" spans="1:29" ht="48" customHeight="1">
      <c r="A1061" s="100"/>
      <c r="B1061" s="100"/>
      <c r="C1061" s="100"/>
      <c r="D1061" s="81"/>
      <c r="E1061" s="620"/>
      <c r="F1061" s="620"/>
      <c r="G1061" s="620"/>
      <c r="H1061" s="94"/>
      <c r="I1061" s="81"/>
      <c r="J1061" s="35"/>
      <c r="K1061" s="36"/>
      <c r="L1061" s="36"/>
      <c r="M1061" s="36"/>
      <c r="N1061" s="36"/>
      <c r="O1061" s="36"/>
      <c r="P1061" s="36"/>
      <c r="Q1061" s="36"/>
      <c r="R1061" s="36"/>
      <c r="S1061" s="36"/>
      <c r="T1061" s="36"/>
      <c r="U1061" s="36"/>
      <c r="V1061" s="36"/>
      <c r="W1061" s="36"/>
      <c r="X1061" s="36"/>
      <c r="Y1061" s="36"/>
      <c r="Z1061" s="36"/>
      <c r="AA1061" s="36"/>
      <c r="AB1061" s="36"/>
      <c r="AC1061" s="36"/>
    </row>
    <row r="1062" spans="1:29" ht="24" customHeight="1">
      <c r="A1062" s="100"/>
      <c r="B1062" s="100"/>
      <c r="C1062" s="100"/>
      <c r="D1062" s="100"/>
      <c r="E1062" s="620"/>
      <c r="F1062" s="620"/>
      <c r="G1062" s="620"/>
      <c r="H1062" s="94"/>
      <c r="I1062" s="81"/>
      <c r="J1062" s="35"/>
      <c r="K1062" s="36"/>
      <c r="L1062" s="36"/>
      <c r="M1062" s="36"/>
      <c r="N1062" s="36"/>
      <c r="O1062" s="36"/>
      <c r="P1062" s="36"/>
      <c r="Q1062" s="36"/>
      <c r="R1062" s="36"/>
      <c r="S1062" s="36"/>
      <c r="T1062" s="36"/>
      <c r="U1062" s="36"/>
      <c r="V1062" s="36"/>
      <c r="W1062" s="36"/>
      <c r="X1062" s="36"/>
      <c r="Y1062" s="36"/>
      <c r="Z1062" s="36"/>
      <c r="AA1062" s="36"/>
      <c r="AB1062" s="36"/>
      <c r="AC1062" s="36"/>
    </row>
    <row r="1063" spans="1:29" ht="24" customHeight="1">
      <c r="A1063" s="100"/>
      <c r="B1063" s="100"/>
      <c r="C1063" s="100"/>
      <c r="D1063" s="100"/>
      <c r="E1063" s="620"/>
      <c r="F1063" s="620"/>
      <c r="G1063" s="620"/>
      <c r="H1063" s="94"/>
      <c r="I1063" s="81"/>
      <c r="J1063" s="35"/>
      <c r="K1063" s="36"/>
      <c r="L1063" s="36"/>
      <c r="M1063" s="36"/>
      <c r="N1063" s="36"/>
      <c r="O1063" s="36"/>
      <c r="P1063" s="36"/>
      <c r="Q1063" s="36"/>
      <c r="R1063" s="36"/>
      <c r="S1063" s="36"/>
      <c r="T1063" s="36"/>
      <c r="U1063" s="36"/>
      <c r="V1063" s="36"/>
      <c r="W1063" s="36"/>
      <c r="X1063" s="36"/>
      <c r="Y1063" s="36"/>
      <c r="Z1063" s="36"/>
      <c r="AA1063" s="36"/>
      <c r="AB1063" s="36"/>
      <c r="AC1063" s="36"/>
    </row>
    <row r="1064" spans="1:29" ht="36" customHeight="1">
      <c r="A1064" s="619"/>
      <c r="B1064" s="100"/>
      <c r="C1064" s="100"/>
      <c r="D1064" s="100"/>
      <c r="E1064" s="627"/>
      <c r="F1064" s="620"/>
      <c r="G1064" s="620"/>
      <c r="H1064" s="94"/>
      <c r="I1064" s="81"/>
      <c r="J1064" s="35"/>
      <c r="K1064" s="36"/>
      <c r="L1064" s="36"/>
      <c r="M1064" s="36"/>
      <c r="N1064" s="36"/>
      <c r="O1064" s="36"/>
      <c r="P1064" s="36"/>
      <c r="Q1064" s="36"/>
      <c r="R1064" s="36"/>
      <c r="S1064" s="36"/>
      <c r="T1064" s="36"/>
      <c r="U1064" s="36"/>
      <c r="V1064" s="36"/>
      <c r="W1064" s="36"/>
      <c r="X1064" s="36"/>
      <c r="Y1064" s="36"/>
      <c r="Z1064" s="36"/>
      <c r="AA1064" s="36"/>
      <c r="AB1064" s="36"/>
      <c r="AC1064" s="36"/>
    </row>
    <row r="1065" spans="1:29" ht="24" customHeight="1">
      <c r="A1065" s="100"/>
      <c r="B1065" s="100"/>
      <c r="C1065" s="100"/>
      <c r="D1065" s="100"/>
      <c r="E1065" s="627"/>
      <c r="F1065" s="620"/>
      <c r="G1065" s="620"/>
      <c r="H1065" s="94"/>
      <c r="I1065" s="81"/>
      <c r="J1065" s="35"/>
      <c r="K1065" s="36"/>
      <c r="L1065" s="36"/>
      <c r="M1065" s="36"/>
      <c r="N1065" s="36"/>
      <c r="O1065" s="36"/>
      <c r="P1065" s="36"/>
      <c r="Q1065" s="36"/>
      <c r="R1065" s="36"/>
      <c r="S1065" s="36"/>
      <c r="T1065" s="36"/>
      <c r="U1065" s="36"/>
      <c r="V1065" s="36"/>
      <c r="W1065" s="36"/>
      <c r="X1065" s="36"/>
      <c r="Y1065" s="36"/>
      <c r="Z1065" s="36"/>
      <c r="AA1065" s="36"/>
      <c r="AB1065" s="36"/>
      <c r="AC1065" s="36"/>
    </row>
    <row r="1066" spans="1:29" ht="24" customHeight="1">
      <c r="A1066" s="635"/>
      <c r="B1066" s="100"/>
      <c r="C1066" s="100"/>
      <c r="D1066" s="100"/>
      <c r="E1066" s="627"/>
      <c r="F1066" s="620"/>
      <c r="G1066" s="620"/>
      <c r="H1066" s="94"/>
      <c r="I1066" s="81"/>
      <c r="J1066" s="35"/>
      <c r="K1066" s="36"/>
      <c r="L1066" s="36"/>
      <c r="M1066" s="36"/>
      <c r="N1066" s="36"/>
      <c r="O1066" s="36"/>
      <c r="P1066" s="36"/>
      <c r="Q1066" s="36"/>
      <c r="R1066" s="36"/>
      <c r="S1066" s="36"/>
      <c r="T1066" s="36"/>
      <c r="U1066" s="36"/>
      <c r="V1066" s="36"/>
      <c r="W1066" s="36"/>
      <c r="X1066" s="36"/>
      <c r="Y1066" s="36"/>
      <c r="Z1066" s="36"/>
      <c r="AA1066" s="36"/>
      <c r="AB1066" s="36"/>
      <c r="AC1066" s="36"/>
    </row>
    <row r="1067" spans="1:29" ht="24" customHeight="1">
      <c r="A1067" s="100"/>
      <c r="B1067" s="100"/>
      <c r="C1067" s="100"/>
      <c r="D1067" s="100"/>
      <c r="E1067" s="627"/>
      <c r="F1067" s="620"/>
      <c r="G1067" s="620"/>
      <c r="H1067" s="94"/>
      <c r="I1067" s="81"/>
      <c r="J1067" s="35"/>
      <c r="K1067" s="36"/>
      <c r="L1067" s="36"/>
      <c r="M1067" s="36"/>
      <c r="N1067" s="36"/>
      <c r="O1067" s="36"/>
      <c r="P1067" s="36"/>
      <c r="Q1067" s="36"/>
      <c r="R1067" s="36"/>
      <c r="S1067" s="36"/>
      <c r="T1067" s="36"/>
      <c r="U1067" s="36"/>
      <c r="V1067" s="36"/>
      <c r="W1067" s="36"/>
      <c r="X1067" s="36"/>
      <c r="Y1067" s="36"/>
      <c r="Z1067" s="36"/>
      <c r="AA1067" s="36"/>
      <c r="AB1067" s="36"/>
      <c r="AC1067" s="36"/>
    </row>
    <row r="1068" spans="1:29" ht="15" customHeight="1">
      <c r="A1068" s="100"/>
      <c r="B1068" s="100"/>
      <c r="C1068" s="100"/>
      <c r="D1068" s="100"/>
      <c r="E1068" s="627"/>
      <c r="F1068" s="620"/>
      <c r="G1068" s="620"/>
      <c r="H1068" s="94"/>
      <c r="I1068" s="81"/>
      <c r="J1068" s="35"/>
      <c r="K1068" s="36"/>
      <c r="L1068" s="36"/>
      <c r="M1068" s="36"/>
      <c r="N1068" s="36"/>
      <c r="O1068" s="36"/>
      <c r="P1068" s="36"/>
      <c r="Q1068" s="36"/>
      <c r="R1068" s="36"/>
      <c r="S1068" s="36"/>
      <c r="T1068" s="36"/>
      <c r="U1068" s="36"/>
      <c r="V1068" s="36"/>
      <c r="W1068" s="36"/>
      <c r="X1068" s="36"/>
      <c r="Y1068" s="36"/>
      <c r="Z1068" s="36"/>
      <c r="AA1068" s="36"/>
      <c r="AB1068" s="36"/>
      <c r="AC1068" s="36"/>
    </row>
    <row r="1069" spans="1:29" ht="372" customHeight="1">
      <c r="A1069" s="100"/>
      <c r="B1069" s="463"/>
      <c r="C1069" s="100"/>
      <c r="D1069" s="463"/>
      <c r="E1069" s="627"/>
      <c r="F1069" s="620"/>
      <c r="G1069" s="620"/>
      <c r="H1069" s="94"/>
      <c r="I1069" s="81"/>
      <c r="J1069" s="35"/>
      <c r="K1069" s="36"/>
      <c r="L1069" s="36"/>
      <c r="M1069" s="36"/>
      <c r="N1069" s="36"/>
      <c r="O1069" s="36"/>
      <c r="P1069" s="36"/>
      <c r="Q1069" s="36"/>
      <c r="R1069" s="36"/>
      <c r="S1069" s="36"/>
      <c r="T1069" s="36"/>
      <c r="U1069" s="36"/>
      <c r="V1069" s="36"/>
      <c r="W1069" s="36"/>
      <c r="X1069" s="36"/>
      <c r="Y1069" s="36"/>
      <c r="Z1069" s="36"/>
      <c r="AA1069" s="36"/>
      <c r="AB1069" s="36"/>
      <c r="AC1069" s="36"/>
    </row>
    <row r="1070" spans="1:29" ht="24" customHeight="1">
      <c r="A1070" s="100"/>
      <c r="B1070" s="463"/>
      <c r="C1070" s="100"/>
      <c r="D1070" s="463"/>
      <c r="E1070" s="627"/>
      <c r="F1070" s="620"/>
      <c r="G1070" s="620"/>
      <c r="H1070" s="94"/>
      <c r="I1070" s="81"/>
      <c r="J1070" s="35"/>
      <c r="K1070" s="36"/>
      <c r="L1070" s="36"/>
      <c r="M1070" s="36"/>
      <c r="N1070" s="36"/>
      <c r="O1070" s="36"/>
      <c r="P1070" s="36"/>
      <c r="Q1070" s="36"/>
      <c r="R1070" s="36"/>
      <c r="S1070" s="36"/>
      <c r="T1070" s="36"/>
      <c r="U1070" s="36"/>
      <c r="V1070" s="36"/>
      <c r="W1070" s="36"/>
      <c r="X1070" s="36"/>
      <c r="Y1070" s="36"/>
      <c r="Z1070" s="36"/>
      <c r="AA1070" s="36"/>
      <c r="AB1070" s="36"/>
      <c r="AC1070" s="36"/>
    </row>
    <row r="1071" spans="1:29" ht="12" customHeight="1">
      <c r="A1071" s="100"/>
      <c r="B1071" s="463"/>
      <c r="C1071" s="632"/>
      <c r="D1071" s="100"/>
      <c r="E1071" s="627"/>
      <c r="F1071" s="620"/>
      <c r="G1071" s="620"/>
      <c r="H1071" s="94"/>
      <c r="I1071" s="81"/>
      <c r="J1071" s="35"/>
      <c r="K1071" s="36"/>
      <c r="L1071" s="36"/>
      <c r="M1071" s="36"/>
      <c r="N1071" s="36"/>
      <c r="O1071" s="36"/>
      <c r="P1071" s="36"/>
      <c r="Q1071" s="36"/>
      <c r="R1071" s="36"/>
      <c r="S1071" s="36"/>
      <c r="T1071" s="36"/>
      <c r="U1071" s="36"/>
      <c r="V1071" s="36"/>
      <c r="W1071" s="36"/>
      <c r="X1071" s="36"/>
      <c r="Y1071" s="36"/>
      <c r="Z1071" s="36"/>
      <c r="AA1071" s="36"/>
      <c r="AB1071" s="36"/>
      <c r="AC1071" s="36"/>
    </row>
    <row r="1072" spans="1:29" ht="12" customHeight="1">
      <c r="A1072" s="619"/>
      <c r="B1072" s="94"/>
      <c r="C1072" s="81"/>
      <c r="D1072" s="81"/>
      <c r="E1072" s="620"/>
      <c r="F1072" s="620"/>
      <c r="G1072" s="620"/>
      <c r="H1072" s="94"/>
      <c r="I1072" s="81"/>
      <c r="J1072" s="35"/>
      <c r="K1072" s="36"/>
      <c r="L1072" s="36"/>
      <c r="M1072" s="36"/>
      <c r="N1072" s="36"/>
      <c r="O1072" s="36"/>
      <c r="P1072" s="36"/>
      <c r="Q1072" s="36"/>
      <c r="R1072" s="36"/>
      <c r="S1072" s="36"/>
      <c r="T1072" s="36"/>
      <c r="U1072" s="36"/>
      <c r="V1072" s="36"/>
      <c r="W1072" s="36"/>
      <c r="X1072" s="36"/>
      <c r="Y1072" s="36"/>
      <c r="Z1072" s="36"/>
      <c r="AA1072" s="36"/>
      <c r="AB1072" s="36"/>
      <c r="AC1072" s="36"/>
    </row>
    <row r="1073" spans="1:29" ht="12" customHeight="1">
      <c r="A1073" s="81"/>
      <c r="B1073" s="81"/>
      <c r="C1073" s="81"/>
      <c r="D1073" s="81"/>
      <c r="E1073" s="620"/>
      <c r="F1073" s="620"/>
      <c r="G1073" s="620"/>
      <c r="H1073" s="94"/>
      <c r="I1073" s="81"/>
      <c r="J1073" s="35"/>
      <c r="K1073" s="36"/>
      <c r="L1073" s="36"/>
      <c r="M1073" s="36"/>
      <c r="N1073" s="36"/>
      <c r="O1073" s="36"/>
      <c r="P1073" s="36"/>
      <c r="Q1073" s="36"/>
      <c r="R1073" s="36"/>
      <c r="S1073" s="36"/>
      <c r="T1073" s="36"/>
      <c r="U1073" s="36"/>
      <c r="V1073" s="36"/>
      <c r="W1073" s="36"/>
      <c r="X1073" s="36"/>
      <c r="Y1073" s="36"/>
      <c r="Z1073" s="36"/>
      <c r="AA1073" s="36"/>
      <c r="AB1073" s="36"/>
      <c r="AC1073" s="36"/>
    </row>
    <row r="1074" spans="1:29" ht="24" customHeight="1">
      <c r="A1074" s="81"/>
      <c r="B1074" s="81"/>
      <c r="C1074" s="81"/>
      <c r="D1074" s="81"/>
      <c r="E1074" s="620"/>
      <c r="F1074" s="620"/>
      <c r="G1074" s="620"/>
      <c r="H1074" s="94"/>
      <c r="I1074" s="81"/>
      <c r="J1074" s="35"/>
      <c r="K1074" s="36"/>
      <c r="L1074" s="36"/>
      <c r="M1074" s="36"/>
      <c r="N1074" s="36"/>
      <c r="O1074" s="36"/>
      <c r="P1074" s="36"/>
      <c r="Q1074" s="36"/>
      <c r="R1074" s="36"/>
      <c r="S1074" s="36"/>
      <c r="T1074" s="36"/>
      <c r="U1074" s="36"/>
      <c r="V1074" s="36"/>
      <c r="W1074" s="36"/>
      <c r="X1074" s="36"/>
      <c r="Y1074" s="36"/>
      <c r="Z1074" s="36"/>
      <c r="AA1074" s="36"/>
      <c r="AB1074" s="36"/>
      <c r="AC1074" s="36"/>
    </row>
    <row r="1075" spans="1:29" ht="36" customHeight="1">
      <c r="A1075" s="81"/>
      <c r="B1075" s="81"/>
      <c r="C1075" s="81"/>
      <c r="D1075" s="81"/>
      <c r="E1075" s="620"/>
      <c r="F1075" s="620"/>
      <c r="G1075" s="620"/>
      <c r="H1075" s="94"/>
      <c r="I1075" s="81"/>
      <c r="J1075" s="35"/>
      <c r="K1075" s="36"/>
      <c r="L1075" s="36"/>
      <c r="M1075" s="36"/>
      <c r="N1075" s="36"/>
      <c r="O1075" s="36"/>
      <c r="P1075" s="36"/>
      <c r="Q1075" s="36"/>
      <c r="R1075" s="36"/>
      <c r="S1075" s="36"/>
      <c r="T1075" s="36"/>
      <c r="U1075" s="36"/>
      <c r="V1075" s="36"/>
      <c r="W1075" s="36"/>
      <c r="X1075" s="36"/>
      <c r="Y1075" s="36"/>
      <c r="Z1075" s="36"/>
      <c r="AA1075" s="36"/>
      <c r="AB1075" s="36"/>
      <c r="AC1075" s="36"/>
    </row>
    <row r="1076" spans="1:29" ht="48" customHeight="1">
      <c r="A1076" s="81"/>
      <c r="B1076" s="81"/>
      <c r="C1076" s="81"/>
      <c r="D1076" s="81"/>
      <c r="E1076" s="620"/>
      <c r="F1076" s="620"/>
      <c r="G1076" s="620"/>
      <c r="H1076" s="94"/>
      <c r="I1076" s="81"/>
      <c r="J1076" s="35"/>
      <c r="K1076" s="36"/>
      <c r="L1076" s="36"/>
      <c r="M1076" s="36"/>
      <c r="N1076" s="36"/>
      <c r="O1076" s="36"/>
      <c r="P1076" s="36"/>
      <c r="Q1076" s="36"/>
      <c r="R1076" s="36"/>
      <c r="S1076" s="36"/>
      <c r="T1076" s="36"/>
      <c r="U1076" s="36"/>
      <c r="V1076" s="36"/>
      <c r="W1076" s="36"/>
      <c r="X1076" s="36"/>
      <c r="Y1076" s="36"/>
      <c r="Z1076" s="36"/>
      <c r="AA1076" s="36"/>
      <c r="AB1076" s="36"/>
      <c r="AC1076" s="36"/>
    </row>
    <row r="1077" spans="1:29" ht="24" customHeight="1">
      <c r="A1077" s="81"/>
      <c r="B1077" s="81"/>
      <c r="C1077" s="81"/>
      <c r="D1077" s="81"/>
      <c r="E1077" s="620"/>
      <c r="F1077" s="620"/>
      <c r="G1077" s="620"/>
      <c r="H1077" s="94"/>
      <c r="I1077" s="81"/>
      <c r="J1077" s="35"/>
      <c r="K1077" s="36"/>
      <c r="L1077" s="36"/>
      <c r="M1077" s="36"/>
      <c r="N1077" s="36"/>
      <c r="O1077" s="36"/>
      <c r="P1077" s="36"/>
      <c r="Q1077" s="36"/>
      <c r="R1077" s="36"/>
      <c r="S1077" s="36"/>
      <c r="T1077" s="36"/>
      <c r="U1077" s="36"/>
      <c r="V1077" s="36"/>
      <c r="W1077" s="36"/>
      <c r="X1077" s="36"/>
      <c r="Y1077" s="36"/>
      <c r="Z1077" s="36"/>
      <c r="AA1077" s="36"/>
      <c r="AB1077" s="36"/>
      <c r="AC1077" s="36"/>
    </row>
    <row r="1078" spans="1:29" ht="12" customHeight="1">
      <c r="A1078" s="81"/>
      <c r="B1078" s="81"/>
      <c r="C1078" s="81"/>
      <c r="D1078" s="81"/>
      <c r="E1078" s="620"/>
      <c r="F1078" s="620"/>
      <c r="G1078" s="620"/>
      <c r="H1078" s="94"/>
      <c r="I1078" s="81"/>
      <c r="J1078" s="35"/>
      <c r="K1078" s="36"/>
      <c r="L1078" s="36"/>
      <c r="M1078" s="36"/>
      <c r="N1078" s="36"/>
      <c r="O1078" s="36"/>
      <c r="P1078" s="36"/>
      <c r="Q1078" s="36"/>
      <c r="R1078" s="36"/>
      <c r="S1078" s="36"/>
      <c r="T1078" s="36"/>
      <c r="U1078" s="36"/>
      <c r="V1078" s="36"/>
      <c r="W1078" s="36"/>
      <c r="X1078" s="36"/>
      <c r="Y1078" s="36"/>
      <c r="Z1078" s="36"/>
      <c r="AA1078" s="36"/>
      <c r="AB1078" s="36"/>
      <c r="AC1078" s="36"/>
    </row>
    <row r="1079" spans="1:29" ht="24" customHeight="1">
      <c r="A1079" s="81"/>
      <c r="B1079" s="81"/>
      <c r="C1079" s="81"/>
      <c r="D1079" s="81"/>
      <c r="E1079" s="620"/>
      <c r="F1079" s="620"/>
      <c r="G1079" s="620"/>
      <c r="H1079" s="94"/>
      <c r="I1079" s="81"/>
      <c r="J1079" s="35"/>
      <c r="K1079" s="36"/>
      <c r="L1079" s="36"/>
      <c r="M1079" s="36"/>
      <c r="N1079" s="36"/>
      <c r="O1079" s="36"/>
      <c r="P1079" s="36"/>
      <c r="Q1079" s="36"/>
      <c r="R1079" s="36"/>
      <c r="S1079" s="36"/>
      <c r="T1079" s="36"/>
      <c r="U1079" s="36"/>
      <c r="V1079" s="36"/>
      <c r="W1079" s="36"/>
      <c r="X1079" s="36"/>
      <c r="Y1079" s="36"/>
      <c r="Z1079" s="36"/>
      <c r="AA1079" s="36"/>
      <c r="AB1079" s="36"/>
      <c r="AC1079" s="36"/>
    </row>
    <row r="1080" spans="1:29" ht="24" customHeight="1">
      <c r="A1080" s="81"/>
      <c r="B1080" s="81"/>
      <c r="C1080" s="81"/>
      <c r="D1080" s="81"/>
      <c r="E1080" s="620"/>
      <c r="F1080" s="620"/>
      <c r="G1080" s="620"/>
      <c r="H1080" s="94"/>
      <c r="I1080" s="81"/>
      <c r="J1080" s="35"/>
      <c r="K1080" s="36"/>
      <c r="L1080" s="36"/>
      <c r="M1080" s="36"/>
      <c r="N1080" s="36"/>
      <c r="O1080" s="36"/>
      <c r="P1080" s="36"/>
      <c r="Q1080" s="36"/>
      <c r="R1080" s="36"/>
      <c r="S1080" s="36"/>
      <c r="T1080" s="36"/>
      <c r="U1080" s="36"/>
      <c r="V1080" s="36"/>
      <c r="W1080" s="36"/>
      <c r="X1080" s="36"/>
      <c r="Y1080" s="36"/>
      <c r="Z1080" s="36"/>
      <c r="AA1080" s="36"/>
      <c r="AB1080" s="36"/>
      <c r="AC1080" s="36"/>
    </row>
    <row r="1081" spans="1:29" ht="12" customHeight="1">
      <c r="A1081" s="81"/>
      <c r="B1081" s="81"/>
      <c r="C1081" s="81"/>
      <c r="D1081" s="81"/>
      <c r="E1081" s="620"/>
      <c r="F1081" s="620"/>
      <c r="G1081" s="620"/>
      <c r="H1081" s="94"/>
      <c r="I1081" s="81"/>
      <c r="J1081" s="35"/>
      <c r="K1081" s="36"/>
      <c r="L1081" s="36"/>
      <c r="M1081" s="36"/>
      <c r="N1081" s="36"/>
      <c r="O1081" s="36"/>
      <c r="P1081" s="36"/>
      <c r="Q1081" s="36"/>
      <c r="R1081" s="36"/>
      <c r="S1081" s="36"/>
      <c r="T1081" s="36"/>
      <c r="U1081" s="36"/>
      <c r="V1081" s="36"/>
      <c r="W1081" s="36"/>
      <c r="X1081" s="36"/>
      <c r="Y1081" s="36"/>
      <c r="Z1081" s="36"/>
      <c r="AA1081" s="36"/>
      <c r="AB1081" s="36"/>
      <c r="AC1081" s="36"/>
    </row>
    <row r="1082" spans="1:29" ht="48" customHeight="1">
      <c r="A1082" s="81"/>
      <c r="B1082" s="81"/>
      <c r="C1082" s="81"/>
      <c r="D1082" s="81"/>
      <c r="E1082" s="620"/>
      <c r="F1082" s="620"/>
      <c r="G1082" s="620"/>
      <c r="H1082" s="94"/>
      <c r="I1082" s="81"/>
      <c r="J1082" s="35"/>
      <c r="K1082" s="36"/>
      <c r="L1082" s="36"/>
      <c r="M1082" s="36"/>
      <c r="N1082" s="36"/>
      <c r="O1082" s="36"/>
      <c r="P1082" s="36"/>
      <c r="Q1082" s="36"/>
      <c r="R1082" s="36"/>
      <c r="S1082" s="36"/>
      <c r="T1082" s="36"/>
      <c r="U1082" s="36"/>
      <c r="V1082" s="36"/>
      <c r="W1082" s="36"/>
      <c r="X1082" s="36"/>
      <c r="Y1082" s="36"/>
      <c r="Z1082" s="36"/>
      <c r="AA1082" s="36"/>
      <c r="AB1082" s="36"/>
      <c r="AC1082" s="36"/>
    </row>
    <row r="1083" spans="1:29" ht="36" customHeight="1">
      <c r="A1083" s="81"/>
      <c r="B1083" s="81"/>
      <c r="C1083" s="81"/>
      <c r="D1083" s="81"/>
      <c r="E1083" s="620"/>
      <c r="F1083" s="620"/>
      <c r="G1083" s="620"/>
      <c r="H1083" s="94"/>
      <c r="I1083" s="81"/>
      <c r="J1083" s="35"/>
      <c r="K1083" s="36"/>
      <c r="L1083" s="36"/>
      <c r="M1083" s="36"/>
      <c r="N1083" s="36"/>
      <c r="O1083" s="36"/>
      <c r="P1083" s="36"/>
      <c r="Q1083" s="36"/>
      <c r="R1083" s="36"/>
      <c r="S1083" s="36"/>
      <c r="T1083" s="36"/>
      <c r="U1083" s="36"/>
      <c r="V1083" s="36"/>
      <c r="W1083" s="36"/>
      <c r="X1083" s="36"/>
      <c r="Y1083" s="36"/>
      <c r="Z1083" s="36"/>
      <c r="AA1083" s="36"/>
      <c r="AB1083" s="36"/>
      <c r="AC1083" s="36"/>
    </row>
    <row r="1084" spans="1:29" ht="24" customHeight="1">
      <c r="A1084" s="81"/>
      <c r="B1084" s="94"/>
      <c r="C1084" s="81"/>
      <c r="D1084" s="81"/>
      <c r="E1084" s="620"/>
      <c r="F1084" s="620"/>
      <c r="G1084" s="620"/>
      <c r="H1084" s="94"/>
      <c r="I1084" s="81"/>
      <c r="J1084" s="35"/>
      <c r="K1084" s="36"/>
      <c r="L1084" s="36"/>
      <c r="M1084" s="36"/>
      <c r="N1084" s="36"/>
      <c r="O1084" s="36"/>
      <c r="P1084" s="36"/>
      <c r="Q1084" s="36"/>
      <c r="R1084" s="36"/>
      <c r="S1084" s="36"/>
      <c r="T1084" s="36"/>
      <c r="U1084" s="36"/>
      <c r="V1084" s="36"/>
      <c r="W1084" s="36"/>
      <c r="X1084" s="36"/>
      <c r="Y1084" s="36"/>
      <c r="Z1084" s="36"/>
      <c r="AA1084" s="36"/>
      <c r="AB1084" s="36"/>
      <c r="AC1084" s="36"/>
    </row>
    <row r="1085" spans="1:29" ht="60" customHeight="1">
      <c r="A1085" s="81"/>
      <c r="B1085" s="81"/>
      <c r="C1085" s="81"/>
      <c r="D1085" s="81"/>
      <c r="E1085" s="620"/>
      <c r="F1085" s="620"/>
      <c r="G1085" s="620"/>
      <c r="H1085" s="94"/>
      <c r="I1085" s="81"/>
      <c r="J1085" s="35"/>
      <c r="K1085" s="36"/>
      <c r="L1085" s="36"/>
      <c r="M1085" s="36"/>
      <c r="N1085" s="36"/>
      <c r="O1085" s="36"/>
      <c r="P1085" s="36"/>
      <c r="Q1085" s="36"/>
      <c r="R1085" s="36"/>
      <c r="S1085" s="36"/>
      <c r="T1085" s="36"/>
      <c r="U1085" s="36"/>
      <c r="V1085" s="36"/>
      <c r="W1085" s="36"/>
      <c r="X1085" s="36"/>
      <c r="Y1085" s="36"/>
      <c r="Z1085" s="36"/>
      <c r="AA1085" s="36"/>
      <c r="AB1085" s="36"/>
      <c r="AC1085" s="36"/>
    </row>
    <row r="1086" spans="1:29" ht="24" customHeight="1">
      <c r="A1086" s="81"/>
      <c r="B1086" s="81"/>
      <c r="C1086" s="81"/>
      <c r="D1086" s="81"/>
      <c r="E1086" s="620"/>
      <c r="F1086" s="620"/>
      <c r="G1086" s="620"/>
      <c r="H1086" s="94"/>
      <c r="I1086" s="81"/>
      <c r="J1086" s="35"/>
      <c r="K1086" s="36"/>
      <c r="L1086" s="36"/>
      <c r="M1086" s="36"/>
      <c r="N1086" s="36"/>
      <c r="O1086" s="36"/>
      <c r="P1086" s="36"/>
      <c r="Q1086" s="36"/>
      <c r="R1086" s="36"/>
      <c r="S1086" s="36"/>
      <c r="T1086" s="36"/>
      <c r="U1086" s="36"/>
      <c r="V1086" s="36"/>
      <c r="W1086" s="36"/>
      <c r="X1086" s="36"/>
      <c r="Y1086" s="36"/>
      <c r="Z1086" s="36"/>
      <c r="AA1086" s="36"/>
      <c r="AB1086" s="36"/>
      <c r="AC1086" s="36"/>
    </row>
    <row r="1087" spans="1:29" ht="36" customHeight="1">
      <c r="A1087" s="81"/>
      <c r="B1087" s="81"/>
      <c r="C1087" s="81"/>
      <c r="D1087" s="81"/>
      <c r="E1087" s="620"/>
      <c r="F1087" s="620"/>
      <c r="G1087" s="620"/>
      <c r="H1087" s="94"/>
      <c r="I1087" s="81"/>
      <c r="J1087" s="35"/>
      <c r="K1087" s="36"/>
      <c r="L1087" s="36"/>
      <c r="M1087" s="36"/>
      <c r="N1087" s="36"/>
      <c r="O1087" s="36"/>
      <c r="P1087" s="36"/>
      <c r="Q1087" s="36"/>
      <c r="R1087" s="36"/>
      <c r="S1087" s="36"/>
      <c r="T1087" s="36"/>
      <c r="U1087" s="36"/>
      <c r="V1087" s="36"/>
      <c r="W1087" s="36"/>
      <c r="X1087" s="36"/>
      <c r="Y1087" s="36"/>
      <c r="Z1087" s="36"/>
      <c r="AA1087" s="36"/>
      <c r="AB1087" s="36"/>
      <c r="AC1087" s="36"/>
    </row>
    <row r="1088" spans="1:29" ht="24" customHeight="1">
      <c r="A1088" s="81"/>
      <c r="B1088" s="81"/>
      <c r="C1088" s="81"/>
      <c r="D1088" s="81"/>
      <c r="E1088" s="620"/>
      <c r="F1088" s="620"/>
      <c r="G1088" s="620"/>
      <c r="H1088" s="94"/>
      <c r="I1088" s="81"/>
      <c r="J1088" s="35"/>
      <c r="K1088" s="36"/>
      <c r="L1088" s="36"/>
      <c r="M1088" s="36"/>
      <c r="N1088" s="36"/>
      <c r="O1088" s="36"/>
      <c r="P1088" s="36"/>
      <c r="Q1088" s="36"/>
      <c r="R1088" s="36"/>
      <c r="S1088" s="36"/>
      <c r="T1088" s="36"/>
      <c r="U1088" s="36"/>
      <c r="V1088" s="36"/>
      <c r="W1088" s="36"/>
      <c r="X1088" s="36"/>
      <c r="Y1088" s="36"/>
      <c r="Z1088" s="36"/>
      <c r="AA1088" s="36"/>
      <c r="AB1088" s="36"/>
      <c r="AC1088" s="36"/>
    </row>
    <row r="1089" spans="1:29" ht="36" customHeight="1">
      <c r="A1089" s="81"/>
      <c r="B1089" s="81"/>
      <c r="C1089" s="81"/>
      <c r="D1089" s="81"/>
      <c r="E1089" s="620"/>
      <c r="F1089" s="620"/>
      <c r="G1089" s="620"/>
      <c r="H1089" s="94"/>
      <c r="I1089" s="81"/>
      <c r="J1089" s="35"/>
      <c r="K1089" s="36"/>
      <c r="L1089" s="36"/>
      <c r="M1089" s="36"/>
      <c r="N1089" s="36"/>
      <c r="O1089" s="36"/>
      <c r="P1089" s="36"/>
      <c r="Q1089" s="36"/>
      <c r="R1089" s="36"/>
      <c r="S1089" s="36"/>
      <c r="T1089" s="36"/>
      <c r="U1089" s="36"/>
      <c r="V1089" s="36"/>
      <c r="W1089" s="36"/>
      <c r="X1089" s="36"/>
      <c r="Y1089" s="36"/>
      <c r="Z1089" s="36"/>
      <c r="AA1089" s="36"/>
      <c r="AB1089" s="36"/>
      <c r="AC1089" s="36"/>
    </row>
    <row r="1090" spans="1:29" ht="36" customHeight="1">
      <c r="A1090" s="81"/>
      <c r="B1090" s="81"/>
      <c r="C1090" s="81"/>
      <c r="D1090" s="81"/>
      <c r="E1090" s="620"/>
      <c r="F1090" s="620"/>
      <c r="G1090" s="620"/>
      <c r="H1090" s="94"/>
      <c r="I1090" s="81"/>
      <c r="J1090" s="35"/>
      <c r="K1090" s="36"/>
      <c r="L1090" s="36"/>
      <c r="M1090" s="36"/>
      <c r="N1090" s="36"/>
      <c r="O1090" s="36"/>
      <c r="P1090" s="36"/>
      <c r="Q1090" s="36"/>
      <c r="R1090" s="36"/>
      <c r="S1090" s="36"/>
      <c r="T1090" s="36"/>
      <c r="U1090" s="36"/>
      <c r="V1090" s="36"/>
      <c r="W1090" s="36"/>
      <c r="X1090" s="36"/>
      <c r="Y1090" s="36"/>
      <c r="Z1090" s="36"/>
      <c r="AA1090" s="36"/>
      <c r="AB1090" s="36"/>
      <c r="AC1090" s="36"/>
    </row>
    <row r="1091" spans="1:29" ht="24" customHeight="1">
      <c r="A1091" s="81"/>
      <c r="B1091" s="81"/>
      <c r="C1091" s="81"/>
      <c r="D1091" s="81"/>
      <c r="E1091" s="620"/>
      <c r="F1091" s="620"/>
      <c r="G1091" s="620"/>
      <c r="H1091" s="94"/>
      <c r="I1091" s="81"/>
      <c r="J1091" s="36"/>
      <c r="K1091" s="36"/>
      <c r="L1091" s="36"/>
      <c r="M1091" s="36"/>
      <c r="N1091" s="36"/>
      <c r="O1091" s="36"/>
      <c r="P1091" s="36"/>
      <c r="Q1091" s="36"/>
      <c r="R1091" s="36"/>
      <c r="S1091" s="36"/>
      <c r="T1091" s="36"/>
      <c r="U1091" s="36"/>
      <c r="V1091" s="36"/>
      <c r="W1091" s="36"/>
      <c r="X1091" s="36"/>
      <c r="Y1091" s="36"/>
      <c r="Z1091" s="36"/>
      <c r="AA1091" s="36"/>
      <c r="AB1091" s="36"/>
      <c r="AC1091" s="36"/>
    </row>
    <row r="1092" spans="1:29" ht="48" customHeight="1">
      <c r="A1092" s="81"/>
      <c r="B1092" s="81"/>
      <c r="C1092" s="81"/>
      <c r="D1092" s="81"/>
      <c r="E1092" s="620"/>
      <c r="F1092" s="620"/>
      <c r="G1092" s="620"/>
      <c r="H1092" s="94"/>
      <c r="I1092" s="81"/>
      <c r="J1092" s="35"/>
      <c r="K1092" s="36"/>
      <c r="L1092" s="36"/>
      <c r="M1092" s="36"/>
      <c r="N1092" s="36"/>
      <c r="O1092" s="36"/>
      <c r="P1092" s="36"/>
      <c r="Q1092" s="36"/>
      <c r="R1092" s="36"/>
      <c r="S1092" s="36"/>
      <c r="T1092" s="36"/>
      <c r="U1092" s="36"/>
      <c r="V1092" s="36"/>
      <c r="W1092" s="36"/>
      <c r="X1092" s="36"/>
      <c r="Y1092" s="36"/>
      <c r="Z1092" s="36"/>
      <c r="AA1092" s="36"/>
      <c r="AB1092" s="36"/>
      <c r="AC1092" s="36"/>
    </row>
    <row r="1093" spans="1:29" ht="36" customHeight="1">
      <c r="A1093" s="81"/>
      <c r="B1093" s="81"/>
      <c r="C1093" s="81"/>
      <c r="D1093" s="81"/>
      <c r="E1093" s="620"/>
      <c r="F1093" s="620"/>
      <c r="G1093" s="620"/>
      <c r="H1093" s="94"/>
      <c r="I1093" s="81"/>
      <c r="J1093" s="35"/>
      <c r="K1093" s="36"/>
      <c r="L1093" s="36"/>
      <c r="M1093" s="36"/>
      <c r="N1093" s="36"/>
      <c r="O1093" s="36"/>
      <c r="P1093" s="36"/>
      <c r="Q1093" s="36"/>
      <c r="R1093" s="36"/>
      <c r="S1093" s="36"/>
      <c r="T1093" s="36"/>
      <c r="U1093" s="36"/>
      <c r="V1093" s="36"/>
      <c r="W1093" s="36"/>
      <c r="X1093" s="36"/>
      <c r="Y1093" s="36"/>
      <c r="Z1093" s="36"/>
      <c r="AA1093" s="36"/>
      <c r="AB1093" s="36"/>
      <c r="AC1093" s="36"/>
    </row>
    <row r="1094" spans="1:29" ht="36" customHeight="1">
      <c r="A1094" s="81"/>
      <c r="B1094" s="81"/>
      <c r="C1094" s="81"/>
      <c r="D1094" s="81"/>
      <c r="E1094" s="620"/>
      <c r="F1094" s="620"/>
      <c r="G1094" s="620"/>
      <c r="H1094" s="94"/>
      <c r="I1094" s="81"/>
      <c r="J1094" s="35"/>
      <c r="K1094" s="36"/>
      <c r="L1094" s="36"/>
      <c r="M1094" s="36"/>
      <c r="N1094" s="36"/>
      <c r="O1094" s="36"/>
      <c r="P1094" s="36"/>
      <c r="Q1094" s="36"/>
      <c r="R1094" s="36"/>
      <c r="S1094" s="36"/>
      <c r="T1094" s="36"/>
      <c r="U1094" s="36"/>
      <c r="V1094" s="36"/>
      <c r="W1094" s="36"/>
      <c r="X1094" s="36"/>
      <c r="Y1094" s="36"/>
      <c r="Z1094" s="36"/>
      <c r="AA1094" s="36"/>
      <c r="AB1094" s="36"/>
      <c r="AC1094" s="36"/>
    </row>
    <row r="1095" spans="1:29" ht="36" customHeight="1">
      <c r="A1095" s="81"/>
      <c r="B1095" s="81"/>
      <c r="C1095" s="81"/>
      <c r="D1095" s="81"/>
      <c r="E1095" s="628"/>
      <c r="F1095" s="620"/>
      <c r="G1095" s="620"/>
      <c r="H1095" s="94"/>
      <c r="I1095" s="81"/>
      <c r="J1095" s="35"/>
      <c r="K1095" s="36"/>
      <c r="L1095" s="36"/>
      <c r="M1095" s="36"/>
      <c r="N1095" s="36"/>
      <c r="O1095" s="36"/>
      <c r="P1095" s="36"/>
      <c r="Q1095" s="36"/>
      <c r="R1095" s="36"/>
      <c r="S1095" s="36"/>
      <c r="T1095" s="36"/>
      <c r="U1095" s="36"/>
      <c r="V1095" s="36"/>
      <c r="W1095" s="36"/>
      <c r="X1095" s="36"/>
      <c r="Y1095" s="36"/>
      <c r="Z1095" s="36"/>
      <c r="AA1095" s="36"/>
      <c r="AB1095" s="36"/>
      <c r="AC1095" s="36"/>
    </row>
    <row r="1096" spans="1:29" ht="48" customHeight="1">
      <c r="A1096" s="81"/>
      <c r="B1096" s="81"/>
      <c r="C1096" s="81"/>
      <c r="D1096" s="81"/>
      <c r="E1096" s="620"/>
      <c r="F1096" s="620"/>
      <c r="G1096" s="620"/>
      <c r="H1096" s="94"/>
      <c r="I1096" s="81"/>
      <c r="J1096" s="35"/>
      <c r="K1096" s="36"/>
      <c r="L1096" s="36"/>
      <c r="M1096" s="36"/>
      <c r="N1096" s="36"/>
      <c r="O1096" s="36"/>
      <c r="P1096" s="36"/>
      <c r="Q1096" s="36"/>
      <c r="R1096" s="36"/>
      <c r="S1096" s="36"/>
      <c r="T1096" s="36"/>
      <c r="U1096" s="36"/>
      <c r="V1096" s="36"/>
      <c r="W1096" s="36"/>
      <c r="X1096" s="36"/>
      <c r="Y1096" s="36"/>
      <c r="Z1096" s="36"/>
      <c r="AA1096" s="36"/>
      <c r="AB1096" s="36"/>
      <c r="AC1096" s="36"/>
    </row>
    <row r="1097" spans="1:29" ht="24" customHeight="1">
      <c r="A1097" s="81"/>
      <c r="B1097" s="81"/>
      <c r="C1097" s="81"/>
      <c r="D1097" s="81"/>
      <c r="E1097" s="620"/>
      <c r="F1097" s="620"/>
      <c r="G1097" s="620"/>
      <c r="H1097" s="94"/>
      <c r="I1097" s="81"/>
      <c r="J1097" s="35"/>
      <c r="K1097" s="36"/>
      <c r="L1097" s="36"/>
      <c r="M1097" s="36"/>
      <c r="N1097" s="36"/>
      <c r="O1097" s="36"/>
      <c r="P1097" s="36"/>
      <c r="Q1097" s="36"/>
      <c r="R1097" s="36"/>
      <c r="S1097" s="36"/>
      <c r="T1097" s="36"/>
      <c r="U1097" s="36"/>
      <c r="V1097" s="36"/>
      <c r="W1097" s="36"/>
      <c r="X1097" s="36"/>
      <c r="Y1097" s="36"/>
      <c r="Z1097" s="36"/>
      <c r="AA1097" s="36"/>
      <c r="AB1097" s="36"/>
      <c r="AC1097" s="36"/>
    </row>
    <row r="1098" spans="1:29" ht="36" customHeight="1">
      <c r="A1098" s="81"/>
      <c r="B1098" s="81"/>
      <c r="C1098" s="81"/>
      <c r="D1098" s="81"/>
      <c r="E1098" s="620"/>
      <c r="F1098" s="620"/>
      <c r="G1098" s="620"/>
      <c r="H1098" s="94"/>
      <c r="I1098" s="81"/>
      <c r="J1098" s="35"/>
      <c r="K1098" s="36"/>
      <c r="L1098" s="36"/>
      <c r="M1098" s="36"/>
      <c r="N1098" s="36"/>
      <c r="O1098" s="36"/>
      <c r="P1098" s="36"/>
      <c r="Q1098" s="36"/>
      <c r="R1098" s="36"/>
      <c r="S1098" s="36"/>
      <c r="T1098" s="36"/>
      <c r="U1098" s="36"/>
      <c r="V1098" s="36"/>
      <c r="W1098" s="36"/>
      <c r="X1098" s="36"/>
      <c r="Y1098" s="36"/>
      <c r="Z1098" s="36"/>
      <c r="AA1098" s="36"/>
      <c r="AB1098" s="36"/>
      <c r="AC1098" s="36"/>
    </row>
    <row r="1099" spans="1:29" ht="48" customHeight="1">
      <c r="A1099" s="81"/>
      <c r="B1099" s="81"/>
      <c r="C1099" s="81"/>
      <c r="D1099" s="476"/>
      <c r="E1099" s="620"/>
      <c r="F1099" s="620"/>
      <c r="G1099" s="620"/>
      <c r="H1099" s="94"/>
      <c r="I1099" s="81"/>
      <c r="J1099" s="35"/>
      <c r="K1099" s="36"/>
      <c r="L1099" s="36"/>
      <c r="M1099" s="36"/>
      <c r="N1099" s="36"/>
      <c r="O1099" s="36"/>
      <c r="P1099" s="36"/>
      <c r="Q1099" s="36"/>
      <c r="R1099" s="36"/>
      <c r="S1099" s="36"/>
      <c r="T1099" s="36"/>
      <c r="U1099" s="36"/>
      <c r="V1099" s="36"/>
      <c r="W1099" s="36"/>
      <c r="X1099" s="36"/>
      <c r="Y1099" s="36"/>
      <c r="Z1099" s="36"/>
      <c r="AA1099" s="36"/>
      <c r="AB1099" s="36"/>
      <c r="AC1099" s="36"/>
    </row>
    <row r="1100" spans="1:29" ht="48" customHeight="1">
      <c r="A1100" s="81"/>
      <c r="B1100" s="81"/>
      <c r="C1100" s="81"/>
      <c r="D1100" s="81"/>
      <c r="E1100" s="620"/>
      <c r="F1100" s="620"/>
      <c r="G1100" s="620"/>
      <c r="H1100" s="94"/>
      <c r="I1100" s="81"/>
      <c r="J1100" s="35"/>
      <c r="K1100" s="36"/>
      <c r="L1100" s="36"/>
      <c r="M1100" s="36"/>
      <c r="N1100" s="36"/>
      <c r="O1100" s="36"/>
      <c r="P1100" s="36"/>
      <c r="Q1100" s="36"/>
      <c r="R1100" s="36"/>
      <c r="S1100" s="36"/>
      <c r="T1100" s="36"/>
      <c r="U1100" s="36"/>
      <c r="V1100" s="36"/>
      <c r="W1100" s="36"/>
      <c r="X1100" s="36"/>
      <c r="Y1100" s="36"/>
      <c r="Z1100" s="36"/>
      <c r="AA1100" s="36"/>
      <c r="AB1100" s="36"/>
      <c r="AC1100" s="36"/>
    </row>
    <row r="1101" spans="1:29" ht="36" customHeight="1">
      <c r="A1101" s="81"/>
      <c r="B1101" s="81"/>
      <c r="C1101" s="81"/>
      <c r="D1101" s="81"/>
      <c r="E1101" s="620"/>
      <c r="F1101" s="620"/>
      <c r="G1101" s="620"/>
      <c r="H1101" s="94"/>
      <c r="I1101" s="81"/>
      <c r="J1101" s="35"/>
      <c r="K1101" s="36"/>
      <c r="L1101" s="36"/>
      <c r="M1101" s="36"/>
      <c r="N1101" s="36"/>
      <c r="O1101" s="36"/>
      <c r="P1101" s="36"/>
      <c r="Q1101" s="36"/>
      <c r="R1101" s="36"/>
      <c r="S1101" s="36"/>
      <c r="T1101" s="36"/>
      <c r="U1101" s="36"/>
      <c r="V1101" s="36"/>
      <c r="W1101" s="36"/>
      <c r="X1101" s="36"/>
      <c r="Y1101" s="36"/>
      <c r="Z1101" s="36"/>
      <c r="AA1101" s="36"/>
      <c r="AB1101" s="36"/>
      <c r="AC1101" s="36"/>
    </row>
    <row r="1102" spans="1:29" ht="36" customHeight="1">
      <c r="A1102" s="81"/>
      <c r="B1102" s="81"/>
      <c r="C1102" s="81"/>
      <c r="D1102" s="81"/>
      <c r="E1102" s="620"/>
      <c r="F1102" s="620"/>
      <c r="G1102" s="620"/>
      <c r="H1102" s="94"/>
      <c r="I1102" s="81"/>
      <c r="J1102" s="35"/>
      <c r="K1102" s="36"/>
      <c r="L1102" s="36"/>
      <c r="M1102" s="36"/>
      <c r="N1102" s="36"/>
      <c r="O1102" s="36"/>
      <c r="P1102" s="36"/>
      <c r="Q1102" s="36"/>
      <c r="R1102" s="36"/>
      <c r="S1102" s="36"/>
      <c r="T1102" s="36"/>
      <c r="U1102" s="36"/>
      <c r="V1102" s="36"/>
      <c r="W1102" s="36"/>
      <c r="X1102" s="36"/>
      <c r="Y1102" s="36"/>
      <c r="Z1102" s="36"/>
      <c r="AA1102" s="36"/>
      <c r="AB1102" s="36"/>
      <c r="AC1102" s="36"/>
    </row>
    <row r="1103" spans="1:29" ht="60" customHeight="1">
      <c r="A1103" s="81"/>
      <c r="B1103" s="81"/>
      <c r="C1103" s="81"/>
      <c r="D1103" s="81"/>
      <c r="E1103" s="620"/>
      <c r="F1103" s="620"/>
      <c r="G1103" s="620"/>
      <c r="H1103" s="94"/>
      <c r="I1103" s="81"/>
      <c r="J1103" s="36"/>
      <c r="K1103" s="36"/>
      <c r="L1103" s="36"/>
      <c r="M1103" s="36"/>
      <c r="N1103" s="36"/>
      <c r="O1103" s="36"/>
      <c r="P1103" s="36"/>
      <c r="Q1103" s="36"/>
      <c r="R1103" s="36"/>
      <c r="S1103" s="36"/>
      <c r="T1103" s="36"/>
      <c r="U1103" s="36"/>
      <c r="V1103" s="36"/>
      <c r="W1103" s="36"/>
      <c r="X1103" s="36"/>
      <c r="Y1103" s="36"/>
      <c r="Z1103" s="36"/>
      <c r="AA1103" s="36"/>
      <c r="AB1103" s="36"/>
      <c r="AC1103" s="36"/>
    </row>
    <row r="1104" spans="1:29" ht="24" customHeight="1">
      <c r="A1104" s="81"/>
      <c r="B1104" s="81"/>
      <c r="C1104" s="81"/>
      <c r="D1104" s="81"/>
      <c r="E1104" s="620"/>
      <c r="F1104" s="620"/>
      <c r="G1104" s="620"/>
      <c r="H1104" s="94"/>
      <c r="I1104" s="81"/>
      <c r="J1104" s="35"/>
      <c r="K1104" s="36"/>
      <c r="L1104" s="36"/>
      <c r="M1104" s="36"/>
      <c r="N1104" s="36"/>
      <c r="O1104" s="36"/>
      <c r="P1104" s="36"/>
      <c r="Q1104" s="36"/>
      <c r="R1104" s="36"/>
      <c r="S1104" s="36"/>
      <c r="T1104" s="36"/>
      <c r="U1104" s="36"/>
      <c r="V1104" s="36"/>
      <c r="W1104" s="36"/>
      <c r="X1104" s="36"/>
      <c r="Y1104" s="36"/>
      <c r="Z1104" s="36"/>
      <c r="AA1104" s="36"/>
      <c r="AB1104" s="36"/>
      <c r="AC1104" s="36"/>
    </row>
    <row r="1105" spans="1:29" ht="60" customHeight="1">
      <c r="A1105" s="81"/>
      <c r="B1105" s="81"/>
      <c r="C1105" s="81"/>
      <c r="D1105" s="81"/>
      <c r="E1105" s="620"/>
      <c r="F1105" s="620"/>
      <c r="G1105" s="620"/>
      <c r="H1105" s="94"/>
      <c r="I1105" s="81"/>
      <c r="J1105" s="35"/>
      <c r="K1105" s="36"/>
      <c r="L1105" s="36"/>
      <c r="M1105" s="36"/>
      <c r="N1105" s="36"/>
      <c r="O1105" s="36"/>
      <c r="P1105" s="36"/>
      <c r="Q1105" s="36"/>
      <c r="R1105" s="36"/>
      <c r="S1105" s="36"/>
      <c r="T1105" s="36"/>
      <c r="U1105" s="36"/>
      <c r="V1105" s="36"/>
      <c r="W1105" s="36"/>
      <c r="X1105" s="36"/>
      <c r="Y1105" s="36"/>
      <c r="Z1105" s="36"/>
      <c r="AA1105" s="36"/>
      <c r="AB1105" s="36"/>
      <c r="AC1105" s="36"/>
    </row>
    <row r="1106" spans="1:29" ht="48" customHeight="1">
      <c r="A1106" s="81"/>
      <c r="B1106" s="81"/>
      <c r="C1106" s="81"/>
      <c r="D1106" s="81"/>
      <c r="E1106" s="620"/>
      <c r="F1106" s="620"/>
      <c r="G1106" s="620"/>
      <c r="H1106" s="94"/>
      <c r="I1106" s="81"/>
      <c r="J1106" s="35"/>
      <c r="K1106" s="36"/>
      <c r="L1106" s="36"/>
      <c r="M1106" s="36"/>
      <c r="N1106" s="36"/>
      <c r="O1106" s="36"/>
      <c r="P1106" s="36"/>
      <c r="Q1106" s="36"/>
      <c r="R1106" s="36"/>
      <c r="S1106" s="36"/>
      <c r="T1106" s="36"/>
      <c r="U1106" s="36"/>
      <c r="V1106" s="36"/>
      <c r="W1106" s="36"/>
      <c r="X1106" s="36"/>
      <c r="Y1106" s="36"/>
      <c r="Z1106" s="36"/>
      <c r="AA1106" s="36"/>
      <c r="AB1106" s="36"/>
      <c r="AC1106" s="36"/>
    </row>
    <row r="1107" spans="1:29" ht="48" customHeight="1">
      <c r="A1107" s="81"/>
      <c r="B1107" s="81"/>
      <c r="C1107" s="81"/>
      <c r="D1107" s="81"/>
      <c r="E1107" s="620"/>
      <c r="F1107" s="620"/>
      <c r="G1107" s="620"/>
      <c r="H1107" s="94"/>
      <c r="I1107" s="81"/>
      <c r="J1107" s="35"/>
      <c r="K1107" s="36"/>
      <c r="L1107" s="36"/>
      <c r="M1107" s="36"/>
      <c r="N1107" s="36"/>
      <c r="O1107" s="36"/>
      <c r="P1107" s="36"/>
      <c r="Q1107" s="36"/>
      <c r="R1107" s="36"/>
      <c r="S1107" s="36"/>
      <c r="T1107" s="36"/>
      <c r="U1107" s="36"/>
      <c r="V1107" s="36"/>
      <c r="W1107" s="36"/>
      <c r="X1107" s="36"/>
      <c r="Y1107" s="36"/>
      <c r="Z1107" s="36"/>
      <c r="AA1107" s="36"/>
      <c r="AB1107" s="36"/>
      <c r="AC1107" s="36"/>
    </row>
    <row r="1108" spans="1:29" ht="60" customHeight="1">
      <c r="A1108" s="81"/>
      <c r="B1108" s="94"/>
      <c r="C1108" s="81"/>
      <c r="D1108" s="81"/>
      <c r="E1108" s="620"/>
      <c r="F1108" s="620"/>
      <c r="G1108" s="620"/>
      <c r="H1108" s="94"/>
      <c r="I1108" s="81"/>
      <c r="J1108" s="35"/>
      <c r="K1108" s="36"/>
      <c r="L1108" s="36"/>
      <c r="M1108" s="36"/>
      <c r="N1108" s="36"/>
      <c r="O1108" s="36"/>
      <c r="P1108" s="36"/>
      <c r="Q1108" s="36"/>
      <c r="R1108" s="36"/>
      <c r="S1108" s="36"/>
      <c r="T1108" s="36"/>
      <c r="U1108" s="36"/>
      <c r="V1108" s="36"/>
      <c r="W1108" s="36"/>
      <c r="X1108" s="36"/>
      <c r="Y1108" s="36"/>
      <c r="Z1108" s="36"/>
      <c r="AA1108" s="36"/>
      <c r="AB1108" s="36"/>
      <c r="AC1108" s="36"/>
    </row>
    <row r="1109" spans="1:29" ht="48" customHeight="1">
      <c r="A1109" s="81"/>
      <c r="B1109" s="81"/>
      <c r="C1109" s="81"/>
      <c r="D1109" s="81"/>
      <c r="E1109" s="620"/>
      <c r="F1109" s="620"/>
      <c r="G1109" s="620"/>
      <c r="H1109" s="94"/>
      <c r="I1109" s="81"/>
      <c r="J1109" s="35"/>
      <c r="K1109" s="36"/>
      <c r="L1109" s="36"/>
      <c r="M1109" s="36"/>
      <c r="N1109" s="36"/>
      <c r="O1109" s="36"/>
      <c r="P1109" s="36"/>
      <c r="Q1109" s="36"/>
      <c r="R1109" s="36"/>
      <c r="S1109" s="36"/>
      <c r="T1109" s="36"/>
      <c r="U1109" s="36"/>
      <c r="V1109" s="36"/>
      <c r="W1109" s="36"/>
      <c r="X1109" s="36"/>
      <c r="Y1109" s="36"/>
      <c r="Z1109" s="36"/>
      <c r="AA1109" s="36"/>
      <c r="AB1109" s="36"/>
      <c r="AC1109" s="36"/>
    </row>
    <row r="1110" spans="1:29" ht="36" customHeight="1">
      <c r="A1110" s="81"/>
      <c r="B1110" s="81"/>
      <c r="C1110" s="81"/>
      <c r="D1110" s="81"/>
      <c r="E1110" s="620"/>
      <c r="F1110" s="620"/>
      <c r="G1110" s="620"/>
      <c r="H1110" s="94"/>
      <c r="I1110" s="81"/>
      <c r="J1110" s="36"/>
      <c r="K1110" s="36"/>
      <c r="L1110" s="36"/>
      <c r="M1110" s="36"/>
      <c r="N1110" s="36"/>
      <c r="O1110" s="36"/>
      <c r="P1110" s="36"/>
      <c r="Q1110" s="36"/>
      <c r="R1110" s="36"/>
      <c r="S1110" s="36"/>
      <c r="T1110" s="36"/>
      <c r="U1110" s="36"/>
      <c r="V1110" s="36"/>
      <c r="W1110" s="36"/>
      <c r="X1110" s="36"/>
      <c r="Y1110" s="36"/>
      <c r="Z1110" s="36"/>
      <c r="AA1110" s="36"/>
      <c r="AB1110" s="36"/>
      <c r="AC1110" s="36"/>
    </row>
    <row r="1111" spans="1:29" ht="21" customHeight="1">
      <c r="A1111" s="81"/>
      <c r="B1111" s="81"/>
      <c r="C1111" s="81"/>
      <c r="D1111" s="81"/>
      <c r="E1111" s="620"/>
      <c r="F1111" s="620"/>
      <c r="G1111" s="620"/>
      <c r="H1111" s="94"/>
      <c r="I1111" s="81"/>
      <c r="J1111" s="36"/>
      <c r="K1111" s="36"/>
      <c r="L1111" s="36"/>
      <c r="M1111" s="36"/>
      <c r="N1111" s="36"/>
      <c r="O1111" s="36"/>
      <c r="P1111" s="36"/>
      <c r="Q1111" s="36"/>
      <c r="R1111" s="36"/>
      <c r="S1111" s="36"/>
      <c r="T1111" s="36"/>
      <c r="U1111" s="36"/>
      <c r="V1111" s="36"/>
      <c r="W1111" s="36"/>
      <c r="X1111" s="36"/>
      <c r="Y1111" s="36"/>
      <c r="Z1111" s="36"/>
      <c r="AA1111" s="36"/>
      <c r="AB1111" s="36"/>
      <c r="AC1111" s="36"/>
    </row>
    <row r="1112" spans="1:29" ht="24" customHeight="1">
      <c r="A1112" s="81"/>
      <c r="B1112" s="81"/>
      <c r="C1112" s="81"/>
      <c r="D1112" s="81"/>
      <c r="E1112" s="620"/>
      <c r="F1112" s="620"/>
      <c r="G1112" s="620"/>
      <c r="H1112" s="94"/>
      <c r="I1112" s="81"/>
      <c r="J1112" s="35"/>
      <c r="K1112" s="36"/>
      <c r="L1112" s="36"/>
      <c r="M1112" s="36"/>
      <c r="N1112" s="36"/>
      <c r="O1112" s="36"/>
      <c r="P1112" s="36"/>
      <c r="Q1112" s="36"/>
      <c r="R1112" s="36"/>
      <c r="S1112" s="36"/>
      <c r="T1112" s="36"/>
      <c r="U1112" s="36"/>
      <c r="V1112" s="36"/>
      <c r="W1112" s="36"/>
      <c r="X1112" s="36"/>
      <c r="Y1112" s="36"/>
      <c r="Z1112" s="36"/>
      <c r="AA1112" s="36"/>
      <c r="AB1112" s="36"/>
      <c r="AC1112" s="36"/>
    </row>
    <row r="1113" spans="1:29" ht="36" customHeight="1">
      <c r="A1113" s="81"/>
      <c r="B1113" s="81"/>
      <c r="C1113" s="81"/>
      <c r="D1113" s="81"/>
      <c r="E1113" s="620"/>
      <c r="F1113" s="620"/>
      <c r="G1113" s="620"/>
      <c r="H1113" s="94"/>
      <c r="I1113" s="81"/>
      <c r="J1113" s="35"/>
      <c r="K1113" s="36"/>
      <c r="L1113" s="36"/>
      <c r="M1113" s="36"/>
      <c r="N1113" s="36"/>
      <c r="O1113" s="36"/>
      <c r="P1113" s="36"/>
      <c r="Q1113" s="36"/>
      <c r="R1113" s="36"/>
      <c r="S1113" s="36"/>
      <c r="T1113" s="36"/>
      <c r="U1113" s="36"/>
      <c r="V1113" s="36"/>
      <c r="W1113" s="36"/>
      <c r="X1113" s="36"/>
      <c r="Y1113" s="36"/>
      <c r="Z1113" s="36"/>
      <c r="AA1113" s="36"/>
      <c r="AB1113" s="36"/>
      <c r="AC1113" s="36"/>
    </row>
    <row r="1114" spans="1:29" ht="24" customHeight="1">
      <c r="A1114" s="81"/>
      <c r="B1114" s="81"/>
      <c r="C1114" s="81"/>
      <c r="D1114" s="81"/>
      <c r="E1114" s="620"/>
      <c r="F1114" s="620"/>
      <c r="G1114" s="620"/>
      <c r="H1114" s="94"/>
      <c r="I1114" s="81"/>
      <c r="J1114" s="35"/>
      <c r="K1114" s="36"/>
      <c r="L1114" s="36"/>
      <c r="M1114" s="36"/>
      <c r="N1114" s="36"/>
      <c r="O1114" s="36"/>
      <c r="P1114" s="36"/>
      <c r="Q1114" s="36"/>
      <c r="R1114" s="36"/>
      <c r="S1114" s="36"/>
      <c r="T1114" s="36"/>
      <c r="U1114" s="36"/>
      <c r="V1114" s="36"/>
      <c r="W1114" s="36"/>
      <c r="X1114" s="36"/>
      <c r="Y1114" s="36"/>
      <c r="Z1114" s="36"/>
      <c r="AA1114" s="36"/>
      <c r="AB1114" s="36"/>
      <c r="AC1114" s="36"/>
    </row>
    <row r="1115" spans="1:29" ht="36" customHeight="1">
      <c r="A1115" s="81"/>
      <c r="B1115" s="81"/>
      <c r="C1115" s="81"/>
      <c r="D1115" s="81"/>
      <c r="E1115" s="620"/>
      <c r="F1115" s="620"/>
      <c r="G1115" s="620"/>
      <c r="H1115" s="94"/>
      <c r="I1115" s="81"/>
      <c r="J1115" s="35"/>
      <c r="K1115" s="36"/>
      <c r="L1115" s="36"/>
      <c r="M1115" s="36"/>
      <c r="N1115" s="36"/>
      <c r="O1115" s="36"/>
      <c r="P1115" s="36"/>
      <c r="Q1115" s="36"/>
      <c r="R1115" s="36"/>
      <c r="S1115" s="36"/>
      <c r="T1115" s="36"/>
      <c r="U1115" s="36"/>
      <c r="V1115" s="36"/>
      <c r="W1115" s="36"/>
      <c r="X1115" s="36"/>
      <c r="Y1115" s="36"/>
      <c r="Z1115" s="36"/>
      <c r="AA1115" s="36"/>
      <c r="AB1115" s="36"/>
      <c r="AC1115" s="36"/>
    </row>
    <row r="1116" spans="1:29" ht="36" customHeight="1">
      <c r="A1116" s="619"/>
      <c r="B1116" s="81"/>
      <c r="C1116" s="81"/>
      <c r="D1116" s="81"/>
      <c r="E1116" s="620"/>
      <c r="F1116" s="620"/>
      <c r="G1116" s="620"/>
      <c r="H1116" s="94"/>
      <c r="I1116" s="81"/>
      <c r="J1116" s="35"/>
      <c r="K1116" s="36"/>
      <c r="L1116" s="36"/>
      <c r="M1116" s="36"/>
      <c r="N1116" s="36"/>
      <c r="O1116" s="36"/>
      <c r="P1116" s="36"/>
      <c r="Q1116" s="36"/>
      <c r="R1116" s="36"/>
      <c r="S1116" s="36"/>
      <c r="T1116" s="36"/>
      <c r="U1116" s="36"/>
      <c r="V1116" s="36"/>
      <c r="W1116" s="36"/>
      <c r="X1116" s="36"/>
      <c r="Y1116" s="36"/>
      <c r="Z1116" s="36"/>
      <c r="AA1116" s="36"/>
      <c r="AB1116" s="36"/>
      <c r="AC1116" s="36"/>
    </row>
    <row r="1117" spans="1:29" ht="36" customHeight="1">
      <c r="A1117" s="619"/>
      <c r="B1117" s="81"/>
      <c r="C1117" s="81"/>
      <c r="D1117" s="81"/>
      <c r="E1117" s="620"/>
      <c r="F1117" s="620"/>
      <c r="G1117" s="620"/>
      <c r="H1117" s="94"/>
      <c r="I1117" s="81"/>
      <c r="J1117" s="35"/>
      <c r="K1117" s="36"/>
      <c r="L1117" s="36"/>
      <c r="M1117" s="36"/>
      <c r="N1117" s="36"/>
      <c r="O1117" s="36"/>
      <c r="P1117" s="36"/>
      <c r="Q1117" s="36"/>
      <c r="R1117" s="36"/>
      <c r="S1117" s="36"/>
      <c r="T1117" s="36"/>
      <c r="U1117" s="36"/>
      <c r="V1117" s="36"/>
      <c r="W1117" s="36"/>
      <c r="X1117" s="36"/>
      <c r="Y1117" s="36"/>
      <c r="Z1117" s="36"/>
      <c r="AA1117" s="36"/>
      <c r="AB1117" s="36"/>
      <c r="AC1117" s="36"/>
    </row>
    <row r="1118" spans="1:29" ht="36" customHeight="1">
      <c r="A1118" s="619"/>
      <c r="B1118" s="81"/>
      <c r="C1118" s="81"/>
      <c r="D1118" s="81"/>
      <c r="E1118" s="620"/>
      <c r="F1118" s="620"/>
      <c r="G1118" s="620"/>
      <c r="H1118" s="94"/>
      <c r="I1118" s="81"/>
      <c r="J1118" s="35"/>
      <c r="K1118" s="36"/>
      <c r="L1118" s="36"/>
      <c r="M1118" s="36"/>
      <c r="N1118" s="36"/>
      <c r="O1118" s="36"/>
      <c r="P1118" s="36"/>
      <c r="Q1118" s="36"/>
      <c r="R1118" s="36"/>
      <c r="S1118" s="36"/>
      <c r="T1118" s="36"/>
      <c r="U1118" s="36"/>
      <c r="V1118" s="36"/>
      <c r="W1118" s="36"/>
      <c r="X1118" s="36"/>
      <c r="Y1118" s="36"/>
      <c r="Z1118" s="36"/>
      <c r="AA1118" s="36"/>
      <c r="AB1118" s="36"/>
      <c r="AC1118" s="36"/>
    </row>
    <row r="1119" spans="1:29" ht="36" customHeight="1">
      <c r="A1119" s="619"/>
      <c r="B1119" s="81"/>
      <c r="C1119" s="81"/>
      <c r="D1119" s="81"/>
      <c r="E1119" s="620"/>
      <c r="F1119" s="620"/>
      <c r="G1119" s="620"/>
      <c r="H1119" s="94"/>
      <c r="I1119" s="81"/>
      <c r="J1119" s="35"/>
      <c r="K1119" s="36"/>
      <c r="L1119" s="36"/>
      <c r="M1119" s="36"/>
      <c r="N1119" s="36"/>
      <c r="O1119" s="36"/>
      <c r="P1119" s="36"/>
      <c r="Q1119" s="36"/>
      <c r="R1119" s="36"/>
      <c r="S1119" s="36"/>
      <c r="T1119" s="36"/>
      <c r="U1119" s="36"/>
      <c r="V1119" s="36"/>
      <c r="W1119" s="36"/>
      <c r="X1119" s="36"/>
      <c r="Y1119" s="36"/>
      <c r="Z1119" s="36"/>
      <c r="AA1119" s="36"/>
      <c r="AB1119" s="36"/>
      <c r="AC1119" s="36"/>
    </row>
    <row r="1120" spans="1:29" ht="36" customHeight="1">
      <c r="A1120" s="619"/>
      <c r="B1120" s="81"/>
      <c r="C1120" s="81"/>
      <c r="D1120" s="81"/>
      <c r="E1120" s="620"/>
      <c r="F1120" s="620"/>
      <c r="G1120" s="620"/>
      <c r="H1120" s="94"/>
      <c r="I1120" s="81"/>
      <c r="J1120" s="35"/>
      <c r="K1120" s="36"/>
      <c r="L1120" s="36"/>
      <c r="M1120" s="36"/>
      <c r="N1120" s="36"/>
      <c r="O1120" s="36"/>
      <c r="P1120" s="36"/>
      <c r="Q1120" s="36"/>
      <c r="R1120" s="36"/>
      <c r="S1120" s="36"/>
      <c r="T1120" s="36"/>
      <c r="U1120" s="36"/>
      <c r="V1120" s="36"/>
      <c r="W1120" s="36"/>
      <c r="X1120" s="36"/>
      <c r="Y1120" s="36"/>
      <c r="Z1120" s="36"/>
      <c r="AA1120" s="36"/>
      <c r="AB1120" s="36"/>
      <c r="AC1120" s="36"/>
    </row>
    <row r="1121" spans="1:29" ht="24" customHeight="1">
      <c r="A1121" s="619"/>
      <c r="B1121" s="81"/>
      <c r="C1121" s="81"/>
      <c r="D1121" s="81"/>
      <c r="E1121" s="620"/>
      <c r="F1121" s="620"/>
      <c r="G1121" s="620"/>
      <c r="H1121" s="94"/>
      <c r="I1121" s="81"/>
      <c r="J1121" s="35"/>
      <c r="K1121" s="36"/>
      <c r="L1121" s="36"/>
      <c r="M1121" s="36"/>
      <c r="N1121" s="36"/>
      <c r="O1121" s="36"/>
      <c r="P1121" s="36"/>
      <c r="Q1121" s="36"/>
      <c r="R1121" s="36"/>
      <c r="S1121" s="36"/>
      <c r="T1121" s="36"/>
      <c r="U1121" s="36"/>
      <c r="V1121" s="36"/>
      <c r="W1121" s="36"/>
      <c r="X1121" s="36"/>
      <c r="Y1121" s="36"/>
      <c r="Z1121" s="36"/>
      <c r="AA1121" s="36"/>
      <c r="AB1121" s="36"/>
      <c r="AC1121" s="36"/>
    </row>
    <row r="1122" spans="1:29" ht="48" customHeight="1">
      <c r="A1122" s="619"/>
      <c r="B1122" s="81"/>
      <c r="C1122" s="81"/>
      <c r="D1122" s="81"/>
      <c r="E1122" s="620"/>
      <c r="F1122" s="620"/>
      <c r="G1122" s="620"/>
      <c r="H1122" s="94"/>
      <c r="I1122" s="81"/>
      <c r="J1122" s="35"/>
      <c r="K1122" s="36"/>
      <c r="L1122" s="36"/>
      <c r="M1122" s="36"/>
      <c r="N1122" s="36"/>
      <c r="O1122" s="36"/>
      <c r="P1122" s="36"/>
      <c r="Q1122" s="36"/>
      <c r="R1122" s="36"/>
      <c r="S1122" s="36"/>
      <c r="T1122" s="36"/>
      <c r="U1122" s="36"/>
      <c r="V1122" s="36"/>
      <c r="W1122" s="36"/>
      <c r="X1122" s="36"/>
      <c r="Y1122" s="36"/>
      <c r="Z1122" s="36"/>
      <c r="AA1122" s="36"/>
      <c r="AB1122" s="36"/>
      <c r="AC1122" s="36"/>
    </row>
    <row r="1123" spans="1:29" ht="24" customHeight="1">
      <c r="A1123" s="619"/>
      <c r="B1123" s="81"/>
      <c r="C1123" s="81"/>
      <c r="D1123" s="81"/>
      <c r="E1123" s="620"/>
      <c r="F1123" s="620"/>
      <c r="G1123" s="620"/>
      <c r="H1123" s="94"/>
      <c r="I1123" s="81"/>
      <c r="J1123" s="35"/>
      <c r="K1123" s="36"/>
      <c r="L1123" s="36"/>
      <c r="M1123" s="36"/>
      <c r="N1123" s="36"/>
      <c r="O1123" s="36"/>
      <c r="P1123" s="36"/>
      <c r="Q1123" s="36"/>
      <c r="R1123" s="36"/>
      <c r="S1123" s="36"/>
      <c r="T1123" s="36"/>
      <c r="U1123" s="36"/>
      <c r="V1123" s="36"/>
      <c r="W1123" s="36"/>
      <c r="X1123" s="36"/>
      <c r="Y1123" s="36"/>
      <c r="Z1123" s="36"/>
      <c r="AA1123" s="36"/>
      <c r="AB1123" s="36"/>
      <c r="AC1123" s="36"/>
    </row>
    <row r="1124" spans="1:29" ht="48" customHeight="1">
      <c r="A1124" s="619"/>
      <c r="B1124" s="81"/>
      <c r="C1124" s="81"/>
      <c r="D1124" s="81"/>
      <c r="E1124" s="620"/>
      <c r="F1124" s="620"/>
      <c r="G1124" s="620"/>
      <c r="H1124" s="94"/>
      <c r="I1124" s="81"/>
      <c r="J1124" s="35"/>
      <c r="K1124" s="36"/>
      <c r="L1124" s="36"/>
      <c r="M1124" s="36"/>
      <c r="N1124" s="36"/>
      <c r="O1124" s="36"/>
      <c r="P1124" s="36"/>
      <c r="Q1124" s="36"/>
      <c r="R1124" s="36"/>
      <c r="S1124" s="36"/>
      <c r="T1124" s="36"/>
      <c r="U1124" s="36"/>
      <c r="V1124" s="36"/>
      <c r="W1124" s="36"/>
      <c r="X1124" s="36"/>
      <c r="Y1124" s="36"/>
      <c r="Z1124" s="36"/>
      <c r="AA1124" s="36"/>
      <c r="AB1124" s="36"/>
      <c r="AC1124" s="36"/>
    </row>
    <row r="1125" spans="1:29" ht="48" customHeight="1">
      <c r="A1125" s="619"/>
      <c r="B1125" s="81"/>
      <c r="C1125" s="81"/>
      <c r="D1125" s="81"/>
      <c r="E1125" s="620"/>
      <c r="F1125" s="620"/>
      <c r="G1125" s="620"/>
      <c r="H1125" s="94"/>
      <c r="I1125" s="81"/>
      <c r="J1125" s="35"/>
      <c r="K1125" s="36"/>
      <c r="L1125" s="36"/>
      <c r="M1125" s="36"/>
      <c r="N1125" s="36"/>
      <c r="O1125" s="36"/>
      <c r="P1125" s="36"/>
      <c r="Q1125" s="36"/>
      <c r="R1125" s="36"/>
      <c r="S1125" s="36"/>
      <c r="T1125" s="36"/>
      <c r="U1125" s="36"/>
      <c r="V1125" s="36"/>
      <c r="W1125" s="36"/>
      <c r="X1125" s="36"/>
      <c r="Y1125" s="36"/>
      <c r="Z1125" s="36"/>
      <c r="AA1125" s="36"/>
      <c r="AB1125" s="36"/>
      <c r="AC1125" s="36"/>
    </row>
    <row r="1126" spans="1:29" ht="36" customHeight="1">
      <c r="A1126" s="619"/>
      <c r="B1126" s="81"/>
      <c r="C1126" s="81"/>
      <c r="D1126" s="81"/>
      <c r="E1126" s="620"/>
      <c r="F1126" s="620"/>
      <c r="G1126" s="620"/>
      <c r="H1126" s="94"/>
      <c r="I1126" s="81"/>
      <c r="J1126" s="35"/>
      <c r="K1126" s="36"/>
      <c r="L1126" s="36"/>
      <c r="M1126" s="36"/>
      <c r="N1126" s="36"/>
      <c r="O1126" s="36"/>
      <c r="P1126" s="36"/>
      <c r="Q1126" s="36"/>
      <c r="R1126" s="36"/>
      <c r="S1126" s="36"/>
      <c r="T1126" s="36"/>
      <c r="U1126" s="36"/>
      <c r="V1126" s="36"/>
      <c r="W1126" s="36"/>
      <c r="X1126" s="36"/>
      <c r="Y1126" s="36"/>
      <c r="Z1126" s="36"/>
      <c r="AA1126" s="36"/>
      <c r="AB1126" s="36"/>
      <c r="AC1126" s="36"/>
    </row>
    <row r="1127" spans="1:29" ht="24" customHeight="1">
      <c r="A1127" s="619"/>
      <c r="B1127" s="81"/>
      <c r="C1127" s="81"/>
      <c r="D1127" s="81"/>
      <c r="E1127" s="620"/>
      <c r="F1127" s="620"/>
      <c r="G1127" s="620"/>
      <c r="H1127" s="94"/>
      <c r="I1127" s="81"/>
      <c r="J1127" s="35"/>
      <c r="K1127" s="36"/>
      <c r="L1127" s="36"/>
      <c r="M1127" s="36"/>
      <c r="N1127" s="36"/>
      <c r="O1127" s="36"/>
      <c r="P1127" s="36"/>
      <c r="Q1127" s="36"/>
      <c r="R1127" s="36"/>
      <c r="S1127" s="36"/>
      <c r="T1127" s="36"/>
      <c r="U1127" s="36"/>
      <c r="V1127" s="36"/>
      <c r="W1127" s="36"/>
      <c r="X1127" s="36"/>
      <c r="Y1127" s="36"/>
      <c r="Z1127" s="36"/>
      <c r="AA1127" s="36"/>
      <c r="AB1127" s="36"/>
      <c r="AC1127" s="36"/>
    </row>
    <row r="1128" spans="1:29" ht="24" customHeight="1">
      <c r="A1128" s="619"/>
      <c r="B1128" s="81"/>
      <c r="C1128" s="81"/>
      <c r="D1128" s="81"/>
      <c r="E1128" s="620"/>
      <c r="F1128" s="620"/>
      <c r="G1128" s="620"/>
      <c r="H1128" s="94"/>
      <c r="I1128" s="81"/>
      <c r="J1128" s="35"/>
      <c r="K1128" s="36"/>
      <c r="L1128" s="36"/>
      <c r="M1128" s="36"/>
      <c r="N1128" s="36"/>
      <c r="O1128" s="36"/>
      <c r="P1128" s="36"/>
      <c r="Q1128" s="36"/>
      <c r="R1128" s="36"/>
      <c r="S1128" s="36"/>
      <c r="T1128" s="36"/>
      <c r="U1128" s="36"/>
      <c r="V1128" s="36"/>
      <c r="W1128" s="36"/>
      <c r="X1128" s="36"/>
      <c r="Y1128" s="36"/>
      <c r="Z1128" s="36"/>
      <c r="AA1128" s="36"/>
      <c r="AB1128" s="36"/>
      <c r="AC1128" s="36"/>
    </row>
    <row r="1129" spans="1:29" ht="60" customHeight="1">
      <c r="A1129" s="619"/>
      <c r="B1129" s="81"/>
      <c r="C1129" s="81"/>
      <c r="D1129" s="81"/>
      <c r="E1129" s="620"/>
      <c r="F1129" s="620"/>
      <c r="G1129" s="620"/>
      <c r="H1129" s="94"/>
      <c r="I1129" s="81"/>
      <c r="J1129" s="35"/>
      <c r="K1129" s="36"/>
      <c r="L1129" s="36"/>
      <c r="M1129" s="36"/>
      <c r="N1129" s="36"/>
      <c r="O1129" s="36"/>
      <c r="P1129" s="36"/>
      <c r="Q1129" s="36"/>
      <c r="R1129" s="36"/>
      <c r="S1129" s="36"/>
      <c r="T1129" s="36"/>
      <c r="U1129" s="36"/>
      <c r="V1129" s="36"/>
      <c r="W1129" s="36"/>
      <c r="X1129" s="36"/>
      <c r="Y1129" s="36"/>
      <c r="Z1129" s="36"/>
      <c r="AA1129" s="36"/>
      <c r="AB1129" s="36"/>
      <c r="AC1129" s="36"/>
    </row>
    <row r="1130" spans="1:29" ht="72" customHeight="1">
      <c r="A1130" s="619"/>
      <c r="B1130" s="81"/>
      <c r="C1130" s="81"/>
      <c r="D1130" s="81"/>
      <c r="E1130" s="620"/>
      <c r="F1130" s="620"/>
      <c r="G1130" s="620"/>
      <c r="H1130" s="94"/>
      <c r="I1130" s="81"/>
      <c r="J1130" s="35"/>
      <c r="K1130" s="36"/>
      <c r="L1130" s="36"/>
      <c r="M1130" s="36"/>
      <c r="N1130" s="36"/>
      <c r="O1130" s="36"/>
      <c r="P1130" s="36"/>
      <c r="Q1130" s="36"/>
      <c r="R1130" s="36"/>
      <c r="S1130" s="36"/>
      <c r="T1130" s="36"/>
      <c r="U1130" s="36"/>
      <c r="V1130" s="36"/>
      <c r="W1130" s="36"/>
      <c r="X1130" s="36"/>
      <c r="Y1130" s="36"/>
      <c r="Z1130" s="36"/>
      <c r="AA1130" s="36"/>
      <c r="AB1130" s="36"/>
      <c r="AC1130" s="36"/>
    </row>
    <row r="1131" spans="1:29" ht="48" customHeight="1">
      <c r="A1131" s="619"/>
      <c r="B1131" s="81"/>
      <c r="C1131" s="81"/>
      <c r="D1131" s="81"/>
      <c r="E1131" s="620"/>
      <c r="F1131" s="620"/>
      <c r="G1131" s="620"/>
      <c r="H1131" s="94"/>
      <c r="I1131" s="81"/>
      <c r="J1131" s="36"/>
      <c r="K1131" s="36"/>
      <c r="L1131" s="36"/>
      <c r="M1131" s="36"/>
      <c r="N1131" s="36"/>
      <c r="O1131" s="36"/>
      <c r="P1131" s="36"/>
      <c r="Q1131" s="36"/>
      <c r="R1131" s="36"/>
      <c r="S1131" s="36"/>
      <c r="T1131" s="36"/>
      <c r="U1131" s="36"/>
      <c r="V1131" s="36"/>
      <c r="W1131" s="36"/>
      <c r="X1131" s="36"/>
      <c r="Y1131" s="36"/>
      <c r="Z1131" s="36"/>
      <c r="AA1131" s="36"/>
      <c r="AB1131" s="36"/>
      <c r="AC1131" s="36"/>
    </row>
    <row r="1132" spans="1:29" ht="72" customHeight="1">
      <c r="A1132" s="619"/>
      <c r="B1132" s="81"/>
      <c r="C1132" s="81"/>
      <c r="D1132" s="81"/>
      <c r="E1132" s="620"/>
      <c r="F1132" s="620"/>
      <c r="G1132" s="620"/>
      <c r="H1132" s="94"/>
      <c r="I1132" s="81"/>
      <c r="J1132" s="36"/>
      <c r="K1132" s="36"/>
      <c r="L1132" s="36"/>
      <c r="M1132" s="36"/>
      <c r="N1132" s="36"/>
      <c r="O1132" s="36"/>
      <c r="P1132" s="36"/>
      <c r="Q1132" s="36"/>
      <c r="R1132" s="36"/>
      <c r="S1132" s="36"/>
      <c r="T1132" s="36"/>
      <c r="U1132" s="36"/>
      <c r="V1132" s="36"/>
      <c r="W1132" s="36"/>
      <c r="X1132" s="36"/>
      <c r="Y1132" s="36"/>
      <c r="Z1132" s="36"/>
      <c r="AA1132" s="36"/>
      <c r="AB1132" s="36"/>
      <c r="AC1132" s="36"/>
    </row>
    <row r="1133" spans="1:29" ht="36" customHeight="1">
      <c r="A1133" s="619"/>
      <c r="B1133" s="81"/>
      <c r="C1133" s="81"/>
      <c r="D1133" s="81"/>
      <c r="E1133" s="620"/>
      <c r="F1133" s="620"/>
      <c r="G1133" s="620"/>
      <c r="H1133" s="94"/>
      <c r="I1133" s="81"/>
      <c r="J1133" s="36"/>
      <c r="K1133" s="36"/>
      <c r="L1133" s="36"/>
      <c r="M1133" s="36"/>
      <c r="N1133" s="36"/>
      <c r="O1133" s="36"/>
      <c r="P1133" s="36"/>
      <c r="Q1133" s="36"/>
      <c r="R1133" s="36"/>
      <c r="S1133" s="36"/>
      <c r="T1133" s="36"/>
      <c r="U1133" s="36"/>
      <c r="V1133" s="36"/>
      <c r="W1133" s="36"/>
      <c r="X1133" s="36"/>
      <c r="Y1133" s="36"/>
      <c r="Z1133" s="36"/>
      <c r="AA1133" s="36"/>
      <c r="AB1133" s="36"/>
      <c r="AC1133" s="36"/>
    </row>
    <row r="1134" spans="1:29" ht="36" customHeight="1">
      <c r="A1134" s="619"/>
      <c r="B1134" s="81"/>
      <c r="C1134" s="81"/>
      <c r="D1134" s="81"/>
      <c r="E1134" s="620"/>
      <c r="F1134" s="620"/>
      <c r="G1134" s="620"/>
      <c r="H1134" s="94"/>
      <c r="I1134" s="81"/>
      <c r="J1134" s="36"/>
      <c r="K1134" s="36"/>
      <c r="L1134" s="36"/>
      <c r="M1134" s="36"/>
      <c r="N1134" s="36"/>
      <c r="O1134" s="36"/>
      <c r="P1134" s="36"/>
      <c r="Q1134" s="36"/>
      <c r="R1134" s="36"/>
      <c r="S1134" s="36"/>
      <c r="T1134" s="36"/>
      <c r="U1134" s="36"/>
      <c r="V1134" s="36"/>
      <c r="W1134" s="36"/>
      <c r="X1134" s="36"/>
      <c r="Y1134" s="36"/>
      <c r="Z1134" s="36"/>
      <c r="AA1134" s="36"/>
      <c r="AB1134" s="36"/>
      <c r="AC1134" s="36"/>
    </row>
    <row r="1135" spans="1:29" ht="24" customHeight="1">
      <c r="A1135" s="619"/>
      <c r="B1135" s="81"/>
      <c r="C1135" s="81"/>
      <c r="D1135" s="81"/>
      <c r="E1135" s="620"/>
      <c r="F1135" s="620"/>
      <c r="G1135" s="620"/>
      <c r="H1135" s="94"/>
      <c r="I1135" s="81"/>
      <c r="J1135" s="35"/>
      <c r="K1135" s="36"/>
      <c r="L1135" s="36"/>
      <c r="M1135" s="36"/>
      <c r="N1135" s="36"/>
      <c r="O1135" s="36"/>
      <c r="P1135" s="36"/>
      <c r="Q1135" s="36"/>
      <c r="R1135" s="36"/>
      <c r="S1135" s="36"/>
      <c r="T1135" s="36"/>
      <c r="U1135" s="36"/>
      <c r="V1135" s="36"/>
      <c r="W1135" s="36"/>
      <c r="X1135" s="36"/>
      <c r="Y1135" s="36"/>
      <c r="Z1135" s="36"/>
      <c r="AA1135" s="36"/>
      <c r="AB1135" s="36"/>
      <c r="AC1135" s="36"/>
    </row>
    <row r="1136" spans="1:29" ht="36" customHeight="1">
      <c r="A1136" s="619"/>
      <c r="B1136" s="81"/>
      <c r="C1136" s="81"/>
      <c r="D1136" s="81"/>
      <c r="E1136" s="628"/>
      <c r="F1136" s="620"/>
      <c r="G1136" s="620"/>
      <c r="H1136" s="94"/>
      <c r="I1136" s="81"/>
      <c r="J1136" s="35"/>
      <c r="K1136" s="36"/>
      <c r="L1136" s="36"/>
      <c r="M1136" s="36"/>
      <c r="N1136" s="36"/>
      <c r="O1136" s="36"/>
      <c r="P1136" s="36"/>
      <c r="Q1136" s="36"/>
      <c r="R1136" s="36"/>
      <c r="S1136" s="36"/>
      <c r="T1136" s="36"/>
      <c r="U1136" s="36"/>
      <c r="V1136" s="36"/>
      <c r="W1136" s="36"/>
      <c r="X1136" s="36"/>
      <c r="Y1136" s="36"/>
      <c r="Z1136" s="36"/>
      <c r="AA1136" s="36"/>
      <c r="AB1136" s="36"/>
      <c r="AC1136" s="36"/>
    </row>
    <row r="1137" spans="1:29" ht="36" customHeight="1">
      <c r="A1137" s="619"/>
      <c r="B1137" s="81"/>
      <c r="C1137" s="81"/>
      <c r="D1137" s="81"/>
      <c r="E1137" s="620"/>
      <c r="F1137" s="620"/>
      <c r="G1137" s="620"/>
      <c r="H1137" s="94"/>
      <c r="I1137" s="81"/>
      <c r="J1137" s="35"/>
      <c r="K1137" s="36"/>
      <c r="L1137" s="36"/>
      <c r="M1137" s="36"/>
      <c r="N1137" s="36"/>
      <c r="O1137" s="36"/>
      <c r="P1137" s="36"/>
      <c r="Q1137" s="36"/>
      <c r="R1137" s="36"/>
      <c r="S1137" s="36"/>
      <c r="T1137" s="36"/>
      <c r="U1137" s="36"/>
      <c r="V1137" s="36"/>
      <c r="W1137" s="36"/>
      <c r="X1137" s="36"/>
      <c r="Y1137" s="36"/>
      <c r="Z1137" s="36"/>
      <c r="AA1137" s="36"/>
      <c r="AB1137" s="36"/>
      <c r="AC1137" s="36"/>
    </row>
    <row r="1138" spans="1:29" ht="19.5" customHeight="1">
      <c r="A1138" s="619"/>
      <c r="B1138" s="81"/>
      <c r="C1138" s="81"/>
      <c r="D1138" s="81"/>
      <c r="E1138" s="620"/>
      <c r="F1138" s="620"/>
      <c r="G1138" s="620"/>
      <c r="H1138" s="94"/>
      <c r="I1138" s="81"/>
      <c r="J1138" s="35"/>
      <c r="K1138" s="36"/>
      <c r="L1138" s="36"/>
      <c r="M1138" s="36"/>
      <c r="N1138" s="36"/>
      <c r="O1138" s="36"/>
      <c r="P1138" s="36"/>
      <c r="Q1138" s="36"/>
      <c r="R1138" s="36"/>
      <c r="S1138" s="36"/>
      <c r="T1138" s="36"/>
      <c r="U1138" s="36"/>
      <c r="V1138" s="36"/>
      <c r="W1138" s="36"/>
      <c r="X1138" s="36"/>
      <c r="Y1138" s="36"/>
      <c r="Z1138" s="36"/>
      <c r="AA1138" s="36"/>
      <c r="AB1138" s="36"/>
      <c r="AC1138" s="36"/>
    </row>
    <row r="1139" spans="1:29" ht="24" customHeight="1">
      <c r="A1139" s="619"/>
      <c r="B1139" s="81"/>
      <c r="C1139" s="81"/>
      <c r="D1139" s="81"/>
      <c r="E1139" s="620"/>
      <c r="F1139" s="620"/>
      <c r="G1139" s="620"/>
      <c r="H1139" s="94"/>
      <c r="I1139" s="81"/>
      <c r="J1139" s="35"/>
      <c r="K1139" s="36"/>
      <c r="L1139" s="36"/>
      <c r="M1139" s="36"/>
      <c r="N1139" s="36"/>
      <c r="O1139" s="36"/>
      <c r="P1139" s="36"/>
      <c r="Q1139" s="36"/>
      <c r="R1139" s="36"/>
      <c r="S1139" s="36"/>
      <c r="T1139" s="36"/>
      <c r="U1139" s="36"/>
      <c r="V1139" s="36"/>
      <c r="W1139" s="36"/>
      <c r="X1139" s="36"/>
      <c r="Y1139" s="36"/>
      <c r="Z1139" s="36"/>
      <c r="AA1139" s="36"/>
      <c r="AB1139" s="36"/>
      <c r="AC1139" s="36"/>
    </row>
    <row r="1140" spans="1:29" ht="36" customHeight="1">
      <c r="A1140" s="81"/>
      <c r="B1140" s="81"/>
      <c r="C1140" s="81"/>
      <c r="D1140" s="81"/>
      <c r="E1140" s="620"/>
      <c r="F1140" s="620"/>
      <c r="G1140" s="620"/>
      <c r="H1140" s="94"/>
      <c r="I1140" s="81"/>
      <c r="J1140" s="35"/>
      <c r="K1140" s="36"/>
      <c r="L1140" s="36"/>
      <c r="M1140" s="36"/>
      <c r="N1140" s="36"/>
      <c r="O1140" s="36"/>
      <c r="P1140" s="36"/>
      <c r="Q1140" s="36"/>
      <c r="R1140" s="36"/>
      <c r="S1140" s="36"/>
      <c r="T1140" s="36"/>
      <c r="U1140" s="36"/>
      <c r="V1140" s="36"/>
      <c r="W1140" s="36"/>
      <c r="X1140" s="36"/>
      <c r="Y1140" s="36"/>
      <c r="Z1140" s="36"/>
      <c r="AA1140" s="36"/>
      <c r="AB1140" s="36"/>
      <c r="AC1140" s="36"/>
    </row>
    <row r="1141" spans="1:29" ht="24" customHeight="1">
      <c r="A1141" s="81"/>
      <c r="B1141" s="81"/>
      <c r="C1141" s="81"/>
      <c r="D1141" s="81"/>
      <c r="E1141" s="620"/>
      <c r="F1141" s="620"/>
      <c r="G1141" s="620"/>
      <c r="H1141" s="94"/>
      <c r="I1141" s="81"/>
      <c r="J1141" s="35"/>
      <c r="K1141" s="36"/>
      <c r="L1141" s="36"/>
      <c r="M1141" s="36"/>
      <c r="N1141" s="36"/>
      <c r="O1141" s="36"/>
      <c r="P1141" s="36"/>
      <c r="Q1141" s="36"/>
      <c r="R1141" s="36"/>
      <c r="S1141" s="36"/>
      <c r="T1141" s="36"/>
      <c r="U1141" s="36"/>
      <c r="V1141" s="36"/>
      <c r="W1141" s="36"/>
      <c r="X1141" s="36"/>
      <c r="Y1141" s="36"/>
      <c r="Z1141" s="36"/>
      <c r="AA1141" s="36"/>
      <c r="AB1141" s="36"/>
      <c r="AC1141" s="36"/>
    </row>
    <row r="1142" spans="1:29" ht="24" customHeight="1">
      <c r="A1142" s="81"/>
      <c r="B1142" s="81"/>
      <c r="C1142" s="81"/>
      <c r="D1142" s="81"/>
      <c r="E1142" s="620"/>
      <c r="F1142" s="620"/>
      <c r="G1142" s="620"/>
      <c r="H1142" s="94"/>
      <c r="I1142" s="81"/>
      <c r="J1142" s="35"/>
      <c r="K1142" s="36"/>
      <c r="L1142" s="36"/>
      <c r="M1142" s="36"/>
      <c r="N1142" s="36"/>
      <c r="O1142" s="36"/>
      <c r="P1142" s="36"/>
      <c r="Q1142" s="36"/>
      <c r="R1142" s="36"/>
      <c r="S1142" s="36"/>
      <c r="T1142" s="36"/>
      <c r="U1142" s="36"/>
      <c r="V1142" s="36"/>
      <c r="W1142" s="36"/>
      <c r="X1142" s="36"/>
      <c r="Y1142" s="36"/>
      <c r="Z1142" s="36"/>
      <c r="AA1142" s="36"/>
      <c r="AB1142" s="36"/>
      <c r="AC1142" s="36"/>
    </row>
    <row r="1143" spans="1:29" ht="24" customHeight="1">
      <c r="A1143" s="81"/>
      <c r="B1143" s="81"/>
      <c r="C1143" s="81"/>
      <c r="D1143" s="81"/>
      <c r="E1143" s="620"/>
      <c r="F1143" s="620"/>
      <c r="G1143" s="620"/>
      <c r="H1143" s="94"/>
      <c r="I1143" s="81"/>
      <c r="J1143" s="35"/>
      <c r="K1143" s="36"/>
      <c r="L1143" s="36"/>
      <c r="M1143" s="36"/>
      <c r="N1143" s="36"/>
      <c r="O1143" s="36"/>
      <c r="P1143" s="36"/>
      <c r="Q1143" s="36"/>
      <c r="R1143" s="36"/>
      <c r="S1143" s="36"/>
      <c r="T1143" s="36"/>
      <c r="U1143" s="36"/>
      <c r="V1143" s="36"/>
      <c r="W1143" s="36"/>
      <c r="X1143" s="36"/>
      <c r="Y1143" s="36"/>
      <c r="Z1143" s="36"/>
      <c r="AA1143" s="36"/>
      <c r="AB1143" s="36"/>
      <c r="AC1143" s="36"/>
    </row>
    <row r="1144" spans="1:29" ht="36" customHeight="1">
      <c r="A1144" s="81"/>
      <c r="B1144" s="81"/>
      <c r="C1144" s="81"/>
      <c r="D1144" s="81"/>
      <c r="E1144" s="620"/>
      <c r="F1144" s="620"/>
      <c r="G1144" s="620"/>
      <c r="H1144" s="94"/>
      <c r="I1144" s="81"/>
      <c r="J1144" s="35"/>
      <c r="K1144" s="36"/>
      <c r="L1144" s="36"/>
      <c r="M1144" s="36"/>
      <c r="N1144" s="36"/>
      <c r="O1144" s="36"/>
      <c r="P1144" s="36"/>
      <c r="Q1144" s="36"/>
      <c r="R1144" s="36"/>
      <c r="S1144" s="36"/>
      <c r="T1144" s="36"/>
      <c r="U1144" s="36"/>
      <c r="V1144" s="36"/>
      <c r="W1144" s="36"/>
      <c r="X1144" s="36"/>
      <c r="Y1144" s="36"/>
      <c r="Z1144" s="36"/>
      <c r="AA1144" s="36"/>
      <c r="AB1144" s="36"/>
      <c r="AC1144" s="36"/>
    </row>
    <row r="1145" spans="1:29" ht="24" customHeight="1">
      <c r="A1145" s="81"/>
      <c r="B1145" s="81"/>
      <c r="C1145" s="81"/>
      <c r="D1145" s="81"/>
      <c r="E1145" s="620"/>
      <c r="F1145" s="620"/>
      <c r="G1145" s="620"/>
      <c r="H1145" s="94"/>
      <c r="I1145" s="81"/>
      <c r="J1145" s="35"/>
      <c r="K1145" s="36"/>
      <c r="L1145" s="36"/>
      <c r="M1145" s="36"/>
      <c r="N1145" s="36"/>
      <c r="O1145" s="36"/>
      <c r="P1145" s="36"/>
      <c r="Q1145" s="36"/>
      <c r="R1145" s="36"/>
      <c r="S1145" s="36"/>
      <c r="T1145" s="36"/>
      <c r="U1145" s="36"/>
      <c r="V1145" s="36"/>
      <c r="W1145" s="36"/>
      <c r="X1145" s="36"/>
      <c r="Y1145" s="36"/>
      <c r="Z1145" s="36"/>
      <c r="AA1145" s="36"/>
      <c r="AB1145" s="36"/>
      <c r="AC1145" s="36"/>
    </row>
    <row r="1146" spans="1:29" ht="20.25" customHeight="1">
      <c r="A1146" s="81"/>
      <c r="B1146" s="81"/>
      <c r="C1146" s="81"/>
      <c r="D1146" s="81"/>
      <c r="E1146" s="620"/>
      <c r="F1146" s="620"/>
      <c r="G1146" s="620"/>
      <c r="H1146" s="94"/>
      <c r="I1146" s="81"/>
      <c r="J1146" s="35"/>
      <c r="K1146" s="36"/>
      <c r="L1146" s="36"/>
      <c r="M1146" s="36"/>
      <c r="N1146" s="36"/>
      <c r="O1146" s="36"/>
      <c r="P1146" s="36"/>
      <c r="Q1146" s="36"/>
      <c r="R1146" s="36"/>
      <c r="S1146" s="36"/>
      <c r="T1146" s="36"/>
      <c r="U1146" s="36"/>
      <c r="V1146" s="36"/>
      <c r="W1146" s="36"/>
      <c r="X1146" s="36"/>
      <c r="Y1146" s="36"/>
      <c r="Z1146" s="36"/>
      <c r="AA1146" s="36"/>
      <c r="AB1146" s="36"/>
      <c r="AC1146" s="36"/>
    </row>
    <row r="1147" spans="1:29" ht="108" customHeight="1">
      <c r="A1147" s="81"/>
      <c r="B1147" s="81"/>
      <c r="C1147" s="81"/>
      <c r="D1147" s="81"/>
      <c r="E1147" s="620"/>
      <c r="F1147" s="620"/>
      <c r="G1147" s="620"/>
      <c r="H1147" s="94"/>
      <c r="I1147" s="81"/>
      <c r="J1147" s="35"/>
      <c r="K1147" s="36"/>
      <c r="L1147" s="36"/>
      <c r="M1147" s="36"/>
      <c r="N1147" s="36"/>
      <c r="O1147" s="36"/>
      <c r="P1147" s="36"/>
      <c r="Q1147" s="36"/>
      <c r="R1147" s="36"/>
      <c r="S1147" s="36"/>
      <c r="T1147" s="36"/>
      <c r="U1147" s="36"/>
      <c r="V1147" s="36"/>
      <c r="W1147" s="36"/>
      <c r="X1147" s="36"/>
      <c r="Y1147" s="36"/>
      <c r="Z1147" s="36"/>
      <c r="AA1147" s="36"/>
      <c r="AB1147" s="36"/>
      <c r="AC1147" s="36"/>
    </row>
    <row r="1148" spans="1:29" ht="24" customHeight="1">
      <c r="A1148" s="81"/>
      <c r="B1148" s="81"/>
      <c r="C1148" s="81"/>
      <c r="D1148" s="81"/>
      <c r="E1148" s="620"/>
      <c r="F1148" s="620"/>
      <c r="G1148" s="620"/>
      <c r="H1148" s="94"/>
      <c r="I1148" s="81"/>
      <c r="J1148" s="35"/>
      <c r="K1148" s="36"/>
      <c r="L1148" s="36"/>
      <c r="M1148" s="36"/>
      <c r="N1148" s="36"/>
      <c r="O1148" s="36"/>
      <c r="P1148" s="36"/>
      <c r="Q1148" s="36"/>
      <c r="R1148" s="36"/>
      <c r="S1148" s="36"/>
      <c r="T1148" s="36"/>
      <c r="U1148" s="36"/>
      <c r="V1148" s="36"/>
      <c r="W1148" s="36"/>
      <c r="X1148" s="36"/>
      <c r="Y1148" s="36"/>
      <c r="Z1148" s="36"/>
      <c r="AA1148" s="36"/>
      <c r="AB1148" s="36"/>
      <c r="AC1148" s="36"/>
    </row>
    <row r="1149" spans="1:29" ht="24" customHeight="1">
      <c r="A1149" s="81"/>
      <c r="B1149" s="81"/>
      <c r="C1149" s="81"/>
      <c r="D1149" s="81"/>
      <c r="E1149" s="620"/>
      <c r="F1149" s="620"/>
      <c r="G1149" s="620"/>
      <c r="H1149" s="94"/>
      <c r="I1149" s="81"/>
      <c r="J1149" s="35"/>
      <c r="K1149" s="36"/>
      <c r="L1149" s="36"/>
      <c r="M1149" s="36"/>
      <c r="N1149" s="36"/>
      <c r="O1149" s="36"/>
      <c r="P1149" s="36"/>
      <c r="Q1149" s="36"/>
      <c r="R1149" s="36"/>
      <c r="S1149" s="36"/>
      <c r="T1149" s="36"/>
      <c r="U1149" s="36"/>
      <c r="V1149" s="36"/>
      <c r="W1149" s="36"/>
      <c r="X1149" s="36"/>
      <c r="Y1149" s="36"/>
      <c r="Z1149" s="36"/>
      <c r="AA1149" s="36"/>
      <c r="AB1149" s="36"/>
      <c r="AC1149" s="36"/>
    </row>
    <row r="1150" spans="1:29" ht="24" customHeight="1">
      <c r="A1150" s="81"/>
      <c r="B1150" s="81"/>
      <c r="C1150" s="81"/>
      <c r="D1150" s="81"/>
      <c r="E1150" s="620"/>
      <c r="F1150" s="620"/>
      <c r="G1150" s="620"/>
      <c r="H1150" s="94"/>
      <c r="I1150" s="81"/>
      <c r="J1150" s="35"/>
      <c r="K1150" s="36"/>
      <c r="L1150" s="36"/>
      <c r="M1150" s="36"/>
      <c r="N1150" s="36"/>
      <c r="O1150" s="36"/>
      <c r="P1150" s="36"/>
      <c r="Q1150" s="36"/>
      <c r="R1150" s="36"/>
      <c r="S1150" s="36"/>
      <c r="T1150" s="36"/>
      <c r="U1150" s="36"/>
      <c r="V1150" s="36"/>
      <c r="W1150" s="36"/>
      <c r="X1150" s="36"/>
      <c r="Y1150" s="36"/>
      <c r="Z1150" s="36"/>
      <c r="AA1150" s="36"/>
      <c r="AB1150" s="36"/>
      <c r="AC1150" s="36"/>
    </row>
    <row r="1151" spans="1:29" ht="24" customHeight="1">
      <c r="A1151" s="81"/>
      <c r="B1151" s="81"/>
      <c r="C1151" s="81"/>
      <c r="D1151" s="81"/>
      <c r="E1151" s="620"/>
      <c r="F1151" s="620"/>
      <c r="G1151" s="620"/>
      <c r="H1151" s="94"/>
      <c r="I1151" s="81"/>
      <c r="J1151" s="35"/>
      <c r="K1151" s="36"/>
      <c r="L1151" s="36"/>
      <c r="M1151" s="36"/>
      <c r="N1151" s="36"/>
      <c r="O1151" s="36"/>
      <c r="P1151" s="36"/>
      <c r="Q1151" s="36"/>
      <c r="R1151" s="36"/>
      <c r="S1151" s="36"/>
      <c r="T1151" s="36"/>
      <c r="U1151" s="36"/>
      <c r="V1151" s="36"/>
      <c r="W1151" s="36"/>
      <c r="X1151" s="36"/>
      <c r="Y1151" s="36"/>
      <c r="Z1151" s="36"/>
      <c r="AA1151" s="36"/>
      <c r="AB1151" s="36"/>
      <c r="AC1151" s="36"/>
    </row>
    <row r="1152" spans="1:29" ht="24" customHeight="1">
      <c r="A1152" s="81"/>
      <c r="B1152" s="81"/>
      <c r="C1152" s="81"/>
      <c r="D1152" s="81"/>
      <c r="E1152" s="620"/>
      <c r="F1152" s="620"/>
      <c r="G1152" s="620"/>
      <c r="H1152" s="94"/>
      <c r="I1152" s="81"/>
      <c r="J1152" s="35"/>
      <c r="K1152" s="36"/>
      <c r="L1152" s="36"/>
      <c r="M1152" s="36"/>
      <c r="N1152" s="36"/>
      <c r="O1152" s="36"/>
      <c r="P1152" s="36"/>
      <c r="Q1152" s="36"/>
      <c r="R1152" s="36"/>
      <c r="S1152" s="36"/>
      <c r="T1152" s="36"/>
      <c r="U1152" s="36"/>
      <c r="V1152" s="36"/>
      <c r="W1152" s="36"/>
      <c r="X1152" s="36"/>
      <c r="Y1152" s="36"/>
      <c r="Z1152" s="36"/>
      <c r="AA1152" s="36"/>
      <c r="AB1152" s="36"/>
      <c r="AC1152" s="36"/>
    </row>
    <row r="1153" spans="1:29" ht="24" customHeight="1">
      <c r="A1153" s="81"/>
      <c r="B1153" s="81"/>
      <c r="C1153" s="81"/>
      <c r="D1153" s="81"/>
      <c r="E1153" s="620"/>
      <c r="F1153" s="620"/>
      <c r="G1153" s="620"/>
      <c r="H1153" s="94"/>
      <c r="I1153" s="81"/>
      <c r="J1153" s="35"/>
      <c r="K1153" s="36"/>
      <c r="L1153" s="36"/>
      <c r="M1153" s="36"/>
      <c r="N1153" s="36"/>
      <c r="O1153" s="36"/>
      <c r="P1153" s="36"/>
      <c r="Q1153" s="36"/>
      <c r="R1153" s="36"/>
      <c r="S1153" s="36"/>
      <c r="T1153" s="36"/>
      <c r="U1153" s="36"/>
      <c r="V1153" s="36"/>
      <c r="W1153" s="36"/>
      <c r="X1153" s="36"/>
      <c r="Y1153" s="36"/>
      <c r="Z1153" s="36"/>
      <c r="AA1153" s="36"/>
      <c r="AB1153" s="36"/>
      <c r="AC1153" s="36"/>
    </row>
    <row r="1154" spans="1:29" ht="36" customHeight="1">
      <c r="A1154" s="81"/>
      <c r="B1154" s="81"/>
      <c r="C1154" s="81"/>
      <c r="D1154" s="81"/>
      <c r="E1154" s="620"/>
      <c r="F1154" s="620"/>
      <c r="G1154" s="620"/>
      <c r="H1154" s="94"/>
      <c r="I1154" s="81"/>
      <c r="J1154" s="35"/>
      <c r="K1154" s="36"/>
      <c r="L1154" s="36"/>
      <c r="M1154" s="36"/>
      <c r="N1154" s="36"/>
      <c r="O1154" s="36"/>
      <c r="P1154" s="36"/>
      <c r="Q1154" s="36"/>
      <c r="R1154" s="36"/>
      <c r="S1154" s="36"/>
      <c r="T1154" s="36"/>
      <c r="U1154" s="36"/>
      <c r="V1154" s="36"/>
      <c r="W1154" s="36"/>
      <c r="X1154" s="36"/>
      <c r="Y1154" s="36"/>
      <c r="Z1154" s="36"/>
      <c r="AA1154" s="36"/>
      <c r="AB1154" s="36"/>
      <c r="AC1154" s="36"/>
    </row>
    <row r="1155" spans="1:29" ht="24" customHeight="1">
      <c r="A1155" s="81"/>
      <c r="B1155" s="81"/>
      <c r="C1155" s="81"/>
      <c r="D1155" s="81"/>
      <c r="E1155" s="620"/>
      <c r="F1155" s="620"/>
      <c r="G1155" s="620"/>
      <c r="H1155" s="94"/>
      <c r="I1155" s="81"/>
      <c r="J1155" s="35"/>
      <c r="K1155" s="36"/>
      <c r="L1155" s="36"/>
      <c r="M1155" s="36"/>
      <c r="N1155" s="36"/>
      <c r="O1155" s="36"/>
      <c r="P1155" s="36"/>
      <c r="Q1155" s="36"/>
      <c r="R1155" s="36"/>
      <c r="S1155" s="36"/>
      <c r="T1155" s="36"/>
      <c r="U1155" s="36"/>
      <c r="V1155" s="36"/>
      <c r="W1155" s="36"/>
      <c r="X1155" s="36"/>
      <c r="Y1155" s="36"/>
      <c r="Z1155" s="36"/>
      <c r="AA1155" s="36"/>
      <c r="AB1155" s="36"/>
      <c r="AC1155" s="36"/>
    </row>
    <row r="1156" spans="1:29" ht="24" customHeight="1">
      <c r="A1156" s="81"/>
      <c r="B1156" s="81"/>
      <c r="C1156" s="81"/>
      <c r="D1156" s="81"/>
      <c r="E1156" s="620"/>
      <c r="F1156" s="620"/>
      <c r="G1156" s="620"/>
      <c r="H1156" s="94"/>
      <c r="I1156" s="81"/>
      <c r="J1156" s="35"/>
      <c r="K1156" s="36"/>
      <c r="L1156" s="36"/>
      <c r="M1156" s="36"/>
      <c r="N1156" s="36"/>
      <c r="O1156" s="36"/>
      <c r="P1156" s="36"/>
      <c r="Q1156" s="36"/>
      <c r="R1156" s="36"/>
      <c r="S1156" s="36"/>
      <c r="T1156" s="36"/>
      <c r="U1156" s="36"/>
      <c r="V1156" s="36"/>
      <c r="W1156" s="36"/>
      <c r="X1156" s="36"/>
      <c r="Y1156" s="36"/>
      <c r="Z1156" s="36"/>
      <c r="AA1156" s="36"/>
      <c r="AB1156" s="36"/>
      <c r="AC1156" s="36"/>
    </row>
    <row r="1157" spans="1:29" ht="36" customHeight="1">
      <c r="A1157" s="81"/>
      <c r="B1157" s="81"/>
      <c r="C1157" s="81"/>
      <c r="D1157" s="81"/>
      <c r="E1157" s="620"/>
      <c r="F1157" s="620"/>
      <c r="G1157" s="620"/>
      <c r="H1157" s="94"/>
      <c r="I1157" s="81"/>
      <c r="J1157" s="35"/>
      <c r="K1157" s="36"/>
      <c r="L1157" s="36"/>
      <c r="M1157" s="36"/>
      <c r="N1157" s="36"/>
      <c r="O1157" s="36"/>
      <c r="P1157" s="36"/>
      <c r="Q1157" s="36"/>
      <c r="R1157" s="36"/>
      <c r="S1157" s="36"/>
      <c r="T1157" s="36"/>
      <c r="U1157" s="36"/>
      <c r="V1157" s="36"/>
      <c r="W1157" s="36"/>
      <c r="X1157" s="36"/>
      <c r="Y1157" s="36"/>
      <c r="Z1157" s="36"/>
      <c r="AA1157" s="36"/>
      <c r="AB1157" s="36"/>
      <c r="AC1157" s="36"/>
    </row>
    <row r="1158" spans="1:29" ht="24" customHeight="1">
      <c r="A1158" s="81"/>
      <c r="B1158" s="81"/>
      <c r="C1158" s="81"/>
      <c r="D1158" s="81"/>
      <c r="E1158" s="620"/>
      <c r="F1158" s="620"/>
      <c r="G1158" s="620"/>
      <c r="H1158" s="94"/>
      <c r="I1158" s="81"/>
      <c r="J1158" s="35"/>
      <c r="K1158" s="36"/>
      <c r="L1158" s="36"/>
      <c r="M1158" s="36"/>
      <c r="N1158" s="36"/>
      <c r="O1158" s="36"/>
      <c r="P1158" s="36"/>
      <c r="Q1158" s="36"/>
      <c r="R1158" s="36"/>
      <c r="S1158" s="36"/>
      <c r="T1158" s="36"/>
      <c r="U1158" s="36"/>
      <c r="V1158" s="36"/>
      <c r="W1158" s="36"/>
      <c r="X1158" s="36"/>
      <c r="Y1158" s="36"/>
      <c r="Z1158" s="36"/>
      <c r="AA1158" s="36"/>
      <c r="AB1158" s="36"/>
      <c r="AC1158" s="36"/>
    </row>
    <row r="1159" spans="1:29" ht="24" customHeight="1">
      <c r="A1159" s="81"/>
      <c r="B1159" s="81"/>
      <c r="C1159" s="81"/>
      <c r="D1159" s="81"/>
      <c r="E1159" s="620"/>
      <c r="F1159" s="620"/>
      <c r="G1159" s="620"/>
      <c r="H1159" s="94"/>
      <c r="I1159" s="81"/>
      <c r="J1159" s="35"/>
      <c r="K1159" s="36"/>
      <c r="L1159" s="36"/>
      <c r="M1159" s="36"/>
      <c r="N1159" s="36"/>
      <c r="O1159" s="36"/>
      <c r="P1159" s="36"/>
      <c r="Q1159" s="36"/>
      <c r="R1159" s="36"/>
      <c r="S1159" s="36"/>
      <c r="T1159" s="36"/>
      <c r="U1159" s="36"/>
      <c r="V1159" s="36"/>
      <c r="W1159" s="36"/>
      <c r="X1159" s="36"/>
      <c r="Y1159" s="36"/>
      <c r="Z1159" s="36"/>
      <c r="AA1159" s="36"/>
      <c r="AB1159" s="36"/>
      <c r="AC1159" s="36"/>
    </row>
    <row r="1160" spans="1:29" ht="96" customHeight="1">
      <c r="A1160" s="81"/>
      <c r="B1160" s="81"/>
      <c r="C1160" s="81"/>
      <c r="D1160" s="81"/>
      <c r="E1160" s="620"/>
      <c r="F1160" s="620"/>
      <c r="G1160" s="620"/>
      <c r="H1160" s="94"/>
      <c r="I1160" s="81"/>
      <c r="J1160" s="35"/>
      <c r="K1160" s="36"/>
      <c r="L1160" s="36"/>
      <c r="M1160" s="36"/>
      <c r="N1160" s="36"/>
      <c r="O1160" s="36"/>
      <c r="P1160" s="36"/>
      <c r="Q1160" s="36"/>
      <c r="R1160" s="36"/>
      <c r="S1160" s="36"/>
      <c r="T1160" s="36"/>
      <c r="U1160" s="36"/>
      <c r="V1160" s="36"/>
      <c r="W1160" s="36"/>
      <c r="X1160" s="36"/>
      <c r="Y1160" s="36"/>
      <c r="Z1160" s="36"/>
      <c r="AA1160" s="36"/>
      <c r="AB1160" s="36"/>
      <c r="AC1160" s="36"/>
    </row>
    <row r="1161" spans="1:29" ht="15" customHeight="1">
      <c r="A1161" s="81"/>
      <c r="B1161" s="81"/>
      <c r="C1161" s="81"/>
      <c r="D1161" s="81"/>
      <c r="E1161" s="620"/>
      <c r="F1161" s="620"/>
      <c r="G1161" s="620"/>
      <c r="H1161" s="94"/>
      <c r="I1161" s="81"/>
      <c r="J1161" s="35"/>
      <c r="K1161" s="36"/>
      <c r="L1161" s="36"/>
      <c r="M1161" s="36"/>
      <c r="N1161" s="36"/>
      <c r="O1161" s="36"/>
      <c r="P1161" s="36"/>
      <c r="Q1161" s="36"/>
      <c r="R1161" s="36"/>
      <c r="S1161" s="36"/>
      <c r="T1161" s="36"/>
      <c r="U1161" s="36"/>
      <c r="V1161" s="36"/>
      <c r="W1161" s="36"/>
      <c r="X1161" s="36"/>
      <c r="Y1161" s="36"/>
      <c r="Z1161" s="36"/>
      <c r="AA1161" s="36"/>
      <c r="AB1161" s="36"/>
      <c r="AC1161" s="36"/>
    </row>
    <row r="1162" spans="1:29" ht="24" customHeight="1">
      <c r="A1162" s="81"/>
      <c r="B1162" s="81"/>
      <c r="C1162" s="81"/>
      <c r="D1162" s="81"/>
      <c r="E1162" s="620"/>
      <c r="F1162" s="620"/>
      <c r="G1162" s="620"/>
      <c r="H1162" s="94"/>
      <c r="I1162" s="81"/>
      <c r="J1162" s="35"/>
      <c r="K1162" s="36"/>
      <c r="L1162" s="36"/>
      <c r="M1162" s="36"/>
      <c r="N1162" s="36"/>
      <c r="O1162" s="36"/>
      <c r="P1162" s="36"/>
      <c r="Q1162" s="36"/>
      <c r="R1162" s="36"/>
      <c r="S1162" s="36"/>
      <c r="T1162" s="36"/>
      <c r="U1162" s="36"/>
      <c r="V1162" s="36"/>
      <c r="W1162" s="36"/>
      <c r="X1162" s="36"/>
      <c r="Y1162" s="36"/>
      <c r="Z1162" s="36"/>
      <c r="AA1162" s="36"/>
      <c r="AB1162" s="36"/>
      <c r="AC1162" s="36"/>
    </row>
    <row r="1163" spans="1:29" ht="36" customHeight="1">
      <c r="A1163" s="476"/>
      <c r="B1163" s="476"/>
      <c r="C1163" s="476"/>
      <c r="D1163" s="476"/>
      <c r="E1163" s="387"/>
      <c r="F1163" s="387"/>
      <c r="G1163" s="387"/>
      <c r="H1163" s="477"/>
      <c r="I1163" s="476"/>
      <c r="J1163" s="35"/>
      <c r="K1163" s="36"/>
      <c r="L1163" s="36"/>
      <c r="M1163" s="36"/>
      <c r="N1163" s="36"/>
      <c r="O1163" s="36"/>
      <c r="P1163" s="36"/>
      <c r="Q1163" s="36"/>
      <c r="R1163" s="36"/>
      <c r="S1163" s="36"/>
      <c r="T1163" s="36"/>
      <c r="U1163" s="36"/>
      <c r="V1163" s="36"/>
      <c r="W1163" s="36"/>
      <c r="X1163" s="36"/>
      <c r="Y1163" s="36"/>
      <c r="Z1163" s="36"/>
      <c r="AA1163" s="36"/>
      <c r="AB1163" s="36"/>
      <c r="AC1163" s="36"/>
    </row>
    <row r="1164" spans="1:29" ht="12" customHeight="1">
      <c r="A1164" s="81"/>
      <c r="B1164" s="81"/>
      <c r="C1164" s="81"/>
      <c r="D1164" s="81"/>
      <c r="E1164" s="620"/>
      <c r="F1164" s="620"/>
      <c r="G1164" s="620"/>
      <c r="H1164" s="94"/>
      <c r="I1164" s="81"/>
      <c r="J1164" s="35"/>
      <c r="K1164" s="36"/>
      <c r="L1164" s="36"/>
      <c r="M1164" s="36"/>
      <c r="N1164" s="36"/>
      <c r="O1164" s="36"/>
      <c r="P1164" s="36"/>
      <c r="Q1164" s="36"/>
      <c r="R1164" s="36"/>
      <c r="S1164" s="36"/>
      <c r="T1164" s="36"/>
      <c r="U1164" s="36"/>
      <c r="V1164" s="36"/>
      <c r="W1164" s="36"/>
      <c r="X1164" s="36"/>
      <c r="Y1164" s="36"/>
      <c r="Z1164" s="36"/>
      <c r="AA1164" s="36"/>
      <c r="AB1164" s="36"/>
      <c r="AC1164" s="36"/>
    </row>
    <row r="1165" spans="1:29" ht="48" customHeight="1">
      <c r="A1165" s="476"/>
      <c r="B1165" s="476"/>
      <c r="C1165" s="476"/>
      <c r="D1165" s="476"/>
      <c r="E1165" s="387"/>
      <c r="F1165" s="387"/>
      <c r="G1165" s="387"/>
      <c r="H1165" s="477"/>
      <c r="I1165" s="476"/>
      <c r="J1165" s="35"/>
      <c r="K1165" s="36"/>
      <c r="L1165" s="36"/>
      <c r="M1165" s="36"/>
      <c r="N1165" s="36"/>
      <c r="O1165" s="36"/>
      <c r="P1165" s="36"/>
      <c r="Q1165" s="36"/>
      <c r="R1165" s="36"/>
      <c r="S1165" s="36"/>
      <c r="T1165" s="36"/>
      <c r="U1165" s="36"/>
      <c r="V1165" s="36"/>
      <c r="W1165" s="36"/>
      <c r="X1165" s="36"/>
      <c r="Y1165" s="36"/>
      <c r="Z1165" s="36"/>
      <c r="AA1165" s="36"/>
      <c r="AB1165" s="36"/>
      <c r="AC1165" s="36"/>
    </row>
    <row r="1166" spans="1:29" ht="24" customHeight="1">
      <c r="A1166" s="619"/>
      <c r="B1166" s="94"/>
      <c r="C1166" s="81"/>
      <c r="D1166" s="81"/>
      <c r="E1166" s="620"/>
      <c r="F1166" s="620"/>
      <c r="G1166" s="620"/>
      <c r="H1166" s="94"/>
      <c r="I1166" s="81"/>
      <c r="J1166" s="35"/>
      <c r="K1166" s="36"/>
      <c r="L1166" s="36"/>
      <c r="M1166" s="36"/>
      <c r="N1166" s="36"/>
      <c r="O1166" s="36"/>
      <c r="P1166" s="36"/>
      <c r="Q1166" s="36"/>
      <c r="R1166" s="36"/>
      <c r="S1166" s="36"/>
      <c r="T1166" s="36"/>
      <c r="U1166" s="36"/>
      <c r="V1166" s="36"/>
      <c r="W1166" s="36"/>
      <c r="X1166" s="36"/>
      <c r="Y1166" s="36"/>
      <c r="Z1166" s="36"/>
      <c r="AA1166" s="36"/>
      <c r="AB1166" s="36"/>
      <c r="AC1166" s="36"/>
    </row>
    <row r="1167" spans="1:29" ht="36" customHeight="1">
      <c r="A1167" s="81"/>
      <c r="B1167" s="94"/>
      <c r="C1167" s="81"/>
      <c r="D1167" s="81"/>
      <c r="E1167" s="620"/>
      <c r="F1167" s="620"/>
      <c r="G1167" s="620"/>
      <c r="H1167" s="94"/>
      <c r="I1167" s="81"/>
      <c r="J1167" s="35"/>
      <c r="K1167" s="36"/>
      <c r="L1167" s="36"/>
      <c r="M1167" s="36"/>
      <c r="N1167" s="36"/>
      <c r="O1167" s="36"/>
      <c r="P1167" s="36"/>
      <c r="Q1167" s="36"/>
      <c r="R1167" s="36"/>
      <c r="S1167" s="36"/>
      <c r="T1167" s="36"/>
      <c r="U1167" s="36"/>
      <c r="V1167" s="36"/>
      <c r="W1167" s="36"/>
      <c r="X1167" s="36"/>
      <c r="Y1167" s="36"/>
      <c r="Z1167" s="36"/>
      <c r="AA1167" s="36"/>
      <c r="AB1167" s="36"/>
      <c r="AC1167" s="36"/>
    </row>
    <row r="1168" spans="1:29" ht="36" customHeight="1">
      <c r="A1168" s="81"/>
      <c r="B1168" s="81"/>
      <c r="C1168" s="81"/>
      <c r="D1168" s="81"/>
      <c r="E1168" s="620"/>
      <c r="F1168" s="620"/>
      <c r="G1168" s="620"/>
      <c r="H1168" s="94"/>
      <c r="I1168" s="81"/>
      <c r="J1168" s="35"/>
      <c r="K1168" s="36"/>
      <c r="L1168" s="36"/>
      <c r="M1168" s="36"/>
      <c r="N1168" s="36"/>
      <c r="O1168" s="36"/>
      <c r="P1168" s="36"/>
      <c r="Q1168" s="36"/>
      <c r="R1168" s="36"/>
      <c r="S1168" s="36"/>
      <c r="T1168" s="36"/>
      <c r="U1168" s="36"/>
      <c r="V1168" s="36"/>
      <c r="W1168" s="36"/>
      <c r="X1168" s="36"/>
      <c r="Y1168" s="36"/>
      <c r="Z1168" s="36"/>
      <c r="AA1168" s="36"/>
      <c r="AB1168" s="36"/>
      <c r="AC1168" s="36"/>
    </row>
    <row r="1169" spans="1:29" ht="36" customHeight="1">
      <c r="A1169" s="81"/>
      <c r="B1169" s="94"/>
      <c r="C1169" s="81"/>
      <c r="D1169" s="81"/>
      <c r="E1169" s="620"/>
      <c r="F1169" s="620"/>
      <c r="G1169" s="620"/>
      <c r="H1169" s="94"/>
      <c r="I1169" s="81"/>
      <c r="J1169" s="35"/>
      <c r="K1169" s="36"/>
      <c r="L1169" s="36"/>
      <c r="M1169" s="36"/>
      <c r="N1169" s="36"/>
      <c r="O1169" s="36"/>
      <c r="P1169" s="36"/>
      <c r="Q1169" s="36"/>
      <c r="R1169" s="36"/>
      <c r="S1169" s="36"/>
      <c r="T1169" s="36"/>
      <c r="U1169" s="36"/>
      <c r="V1169" s="36"/>
      <c r="W1169" s="36"/>
      <c r="X1169" s="36"/>
      <c r="Y1169" s="36"/>
      <c r="Z1169" s="36"/>
      <c r="AA1169" s="36"/>
      <c r="AB1169" s="36"/>
      <c r="AC1169" s="36"/>
    </row>
    <row r="1170" spans="1:29" ht="36" customHeight="1">
      <c r="A1170" s="81"/>
      <c r="B1170" s="81"/>
      <c r="C1170" s="81"/>
      <c r="D1170" s="81"/>
      <c r="E1170" s="620"/>
      <c r="F1170" s="620"/>
      <c r="G1170" s="620"/>
      <c r="H1170" s="94"/>
      <c r="I1170" s="81"/>
      <c r="J1170" s="35"/>
      <c r="K1170" s="36"/>
      <c r="L1170" s="36"/>
      <c r="M1170" s="36"/>
      <c r="N1170" s="36"/>
      <c r="O1170" s="36"/>
      <c r="P1170" s="36"/>
      <c r="Q1170" s="36"/>
      <c r="R1170" s="36"/>
      <c r="S1170" s="36"/>
      <c r="T1170" s="36"/>
      <c r="U1170" s="36"/>
      <c r="V1170" s="36"/>
      <c r="W1170" s="36"/>
      <c r="X1170" s="36"/>
      <c r="Y1170" s="36"/>
      <c r="Z1170" s="36"/>
      <c r="AA1170" s="36"/>
      <c r="AB1170" s="36"/>
      <c r="AC1170" s="36"/>
    </row>
    <row r="1171" spans="1:29" ht="36" customHeight="1">
      <c r="A1171" s="81"/>
      <c r="B1171" s="81"/>
      <c r="C1171" s="81"/>
      <c r="D1171" s="81"/>
      <c r="E1171" s="620"/>
      <c r="F1171" s="620"/>
      <c r="G1171" s="620"/>
      <c r="H1171" s="94"/>
      <c r="I1171" s="81"/>
      <c r="J1171" s="35"/>
      <c r="K1171" s="36"/>
      <c r="L1171" s="36"/>
      <c r="M1171" s="36"/>
      <c r="N1171" s="36"/>
      <c r="O1171" s="36"/>
      <c r="P1171" s="36"/>
      <c r="Q1171" s="36"/>
      <c r="R1171" s="36"/>
      <c r="S1171" s="36"/>
      <c r="T1171" s="36"/>
      <c r="U1171" s="36"/>
      <c r="V1171" s="36"/>
      <c r="W1171" s="36"/>
      <c r="X1171" s="36"/>
      <c r="Y1171" s="36"/>
      <c r="Z1171" s="36"/>
      <c r="AA1171" s="36"/>
      <c r="AB1171" s="36"/>
      <c r="AC1171" s="36"/>
    </row>
    <row r="1172" spans="1:29" ht="24" customHeight="1">
      <c r="A1172" s="81"/>
      <c r="B1172" s="81"/>
      <c r="C1172" s="81"/>
      <c r="D1172" s="81"/>
      <c r="E1172" s="620"/>
      <c r="F1172" s="620"/>
      <c r="G1172" s="620"/>
      <c r="H1172" s="94"/>
      <c r="I1172" s="81"/>
      <c r="J1172" s="35"/>
      <c r="K1172" s="36"/>
      <c r="L1172" s="36"/>
      <c r="M1172" s="36"/>
      <c r="N1172" s="36"/>
      <c r="O1172" s="36"/>
      <c r="P1172" s="36"/>
      <c r="Q1172" s="36"/>
      <c r="R1172" s="36"/>
      <c r="S1172" s="36"/>
      <c r="T1172" s="36"/>
      <c r="U1172" s="36"/>
      <c r="V1172" s="36"/>
      <c r="W1172" s="36"/>
      <c r="X1172" s="36"/>
      <c r="Y1172" s="36"/>
      <c r="Z1172" s="36"/>
      <c r="AA1172" s="36"/>
      <c r="AB1172" s="36"/>
      <c r="AC1172" s="36"/>
    </row>
    <row r="1173" spans="1:29" ht="36" customHeight="1">
      <c r="A1173" s="81"/>
      <c r="B1173" s="81"/>
      <c r="C1173" s="81"/>
      <c r="D1173" s="81"/>
      <c r="E1173" s="620"/>
      <c r="F1173" s="620"/>
      <c r="G1173" s="620"/>
      <c r="H1173" s="94"/>
      <c r="I1173" s="81"/>
      <c r="J1173" s="35"/>
      <c r="K1173" s="36"/>
      <c r="L1173" s="36"/>
      <c r="M1173" s="36"/>
      <c r="N1173" s="36"/>
      <c r="O1173" s="36"/>
      <c r="P1173" s="36"/>
      <c r="Q1173" s="36"/>
      <c r="R1173" s="36"/>
      <c r="S1173" s="36"/>
      <c r="T1173" s="36"/>
      <c r="U1173" s="36"/>
      <c r="V1173" s="36"/>
      <c r="W1173" s="36"/>
      <c r="X1173" s="36"/>
      <c r="Y1173" s="36"/>
      <c r="Z1173" s="36"/>
      <c r="AA1173" s="36"/>
      <c r="AB1173" s="36"/>
      <c r="AC1173" s="36"/>
    </row>
    <row r="1174" spans="1:29" ht="24" customHeight="1">
      <c r="A1174" s="81"/>
      <c r="B1174" s="81"/>
      <c r="C1174" s="81"/>
      <c r="D1174" s="81"/>
      <c r="E1174" s="620"/>
      <c r="F1174" s="620"/>
      <c r="G1174" s="620"/>
      <c r="H1174" s="94"/>
      <c r="I1174" s="81"/>
      <c r="J1174" s="35"/>
      <c r="K1174" s="36"/>
      <c r="L1174" s="36"/>
      <c r="M1174" s="36"/>
      <c r="N1174" s="36"/>
      <c r="O1174" s="36"/>
      <c r="P1174" s="36"/>
      <c r="Q1174" s="36"/>
      <c r="R1174" s="36"/>
      <c r="S1174" s="36"/>
      <c r="T1174" s="36"/>
      <c r="U1174" s="36"/>
      <c r="V1174" s="36"/>
      <c r="W1174" s="36"/>
      <c r="X1174" s="36"/>
      <c r="Y1174" s="36"/>
      <c r="Z1174" s="36"/>
      <c r="AA1174" s="36"/>
      <c r="AB1174" s="36"/>
      <c r="AC1174" s="36"/>
    </row>
    <row r="1175" spans="1:29" ht="24" customHeight="1">
      <c r="A1175" s="81"/>
      <c r="B1175" s="81"/>
      <c r="C1175" s="81"/>
      <c r="D1175" s="81"/>
      <c r="E1175" s="620"/>
      <c r="F1175" s="620"/>
      <c r="G1175" s="620"/>
      <c r="H1175" s="94"/>
      <c r="I1175" s="81"/>
      <c r="J1175" s="35"/>
      <c r="K1175" s="36"/>
      <c r="L1175" s="36"/>
      <c r="M1175" s="36"/>
      <c r="N1175" s="36"/>
      <c r="O1175" s="36"/>
      <c r="P1175" s="36"/>
      <c r="Q1175" s="36"/>
      <c r="R1175" s="36"/>
      <c r="S1175" s="36"/>
      <c r="T1175" s="36"/>
      <c r="U1175" s="36"/>
      <c r="V1175" s="36"/>
      <c r="W1175" s="36"/>
      <c r="X1175" s="36"/>
      <c r="Y1175" s="36"/>
      <c r="Z1175" s="36"/>
      <c r="AA1175" s="36"/>
      <c r="AB1175" s="36"/>
      <c r="AC1175" s="36"/>
    </row>
    <row r="1176" spans="1:29" ht="36" customHeight="1">
      <c r="A1176" s="81"/>
      <c r="B1176" s="94"/>
      <c r="C1176" s="81"/>
      <c r="D1176" s="81"/>
      <c r="E1176" s="620"/>
      <c r="F1176" s="620"/>
      <c r="G1176" s="620"/>
      <c r="H1176" s="94"/>
      <c r="I1176" s="81"/>
      <c r="J1176" s="35"/>
      <c r="K1176" s="36"/>
      <c r="L1176" s="36"/>
      <c r="M1176" s="36"/>
      <c r="N1176" s="36"/>
      <c r="O1176" s="36"/>
      <c r="P1176" s="36"/>
      <c r="Q1176" s="36"/>
      <c r="R1176" s="36"/>
      <c r="S1176" s="36"/>
      <c r="T1176" s="36"/>
      <c r="U1176" s="36"/>
      <c r="V1176" s="36"/>
      <c r="W1176" s="36"/>
      <c r="X1176" s="36"/>
      <c r="Y1176" s="36"/>
      <c r="Z1176" s="36"/>
      <c r="AA1176" s="36"/>
      <c r="AB1176" s="36"/>
      <c r="AC1176" s="36"/>
    </row>
    <row r="1177" spans="1:29" ht="48" customHeight="1">
      <c r="A1177" s="81"/>
      <c r="B1177" s="81"/>
      <c r="C1177" s="81"/>
      <c r="D1177" s="81"/>
      <c r="E1177" s="620"/>
      <c r="F1177" s="620"/>
      <c r="G1177" s="620"/>
      <c r="H1177" s="94"/>
      <c r="I1177" s="81"/>
      <c r="J1177" s="35"/>
      <c r="K1177" s="36"/>
      <c r="L1177" s="36"/>
      <c r="M1177" s="36"/>
      <c r="N1177" s="36"/>
      <c r="O1177" s="36"/>
      <c r="P1177" s="36"/>
      <c r="Q1177" s="36"/>
      <c r="R1177" s="36"/>
      <c r="S1177" s="36"/>
      <c r="T1177" s="36"/>
      <c r="U1177" s="36"/>
      <c r="V1177" s="36"/>
      <c r="W1177" s="36"/>
      <c r="X1177" s="36"/>
      <c r="Y1177" s="36"/>
      <c r="Z1177" s="36"/>
      <c r="AA1177" s="36"/>
      <c r="AB1177" s="36"/>
      <c r="AC1177" s="36"/>
    </row>
    <row r="1178" spans="1:29" ht="48" customHeight="1">
      <c r="A1178" s="81"/>
      <c r="B1178" s="94"/>
      <c r="C1178" s="81"/>
      <c r="D1178" s="81"/>
      <c r="E1178" s="620"/>
      <c r="F1178" s="620"/>
      <c r="G1178" s="620"/>
      <c r="H1178" s="94"/>
      <c r="I1178" s="81"/>
      <c r="J1178" s="35"/>
      <c r="K1178" s="36"/>
      <c r="L1178" s="36"/>
      <c r="M1178" s="36"/>
      <c r="N1178" s="36"/>
      <c r="O1178" s="36"/>
      <c r="P1178" s="36"/>
      <c r="Q1178" s="36"/>
      <c r="R1178" s="36"/>
      <c r="S1178" s="36"/>
      <c r="T1178" s="36"/>
      <c r="U1178" s="36"/>
      <c r="V1178" s="36"/>
      <c r="W1178" s="36"/>
      <c r="X1178" s="36"/>
      <c r="Y1178" s="36"/>
      <c r="Z1178" s="36"/>
      <c r="AA1178" s="36"/>
      <c r="AB1178" s="36"/>
      <c r="AC1178" s="36"/>
    </row>
    <row r="1179" spans="1:29" ht="36" customHeight="1">
      <c r="A1179" s="81"/>
      <c r="B1179" s="81"/>
      <c r="C1179" s="81"/>
      <c r="D1179" s="81"/>
      <c r="E1179" s="620"/>
      <c r="F1179" s="620"/>
      <c r="G1179" s="620"/>
      <c r="H1179" s="94"/>
      <c r="I1179" s="81"/>
      <c r="J1179" s="35"/>
      <c r="K1179" s="36"/>
      <c r="L1179" s="36"/>
      <c r="M1179" s="36"/>
      <c r="N1179" s="36"/>
      <c r="O1179" s="36"/>
      <c r="P1179" s="36"/>
      <c r="Q1179" s="36"/>
      <c r="R1179" s="36"/>
      <c r="S1179" s="36"/>
      <c r="T1179" s="36"/>
      <c r="U1179" s="36"/>
      <c r="V1179" s="36"/>
      <c r="W1179" s="36"/>
      <c r="X1179" s="36"/>
      <c r="Y1179" s="36"/>
      <c r="Z1179" s="36"/>
      <c r="AA1179" s="36"/>
      <c r="AB1179" s="36"/>
      <c r="AC1179" s="36"/>
    </row>
    <row r="1180" spans="1:29" ht="12" customHeight="1">
      <c r="A1180" s="81"/>
      <c r="B1180" s="94"/>
      <c r="C1180" s="81"/>
      <c r="D1180" s="81"/>
      <c r="E1180" s="620"/>
      <c r="F1180" s="620"/>
      <c r="G1180" s="620"/>
      <c r="H1180" s="94"/>
      <c r="I1180" s="81"/>
      <c r="J1180" s="35"/>
      <c r="K1180" s="36"/>
      <c r="L1180" s="36"/>
      <c r="M1180" s="36"/>
      <c r="N1180" s="36"/>
      <c r="O1180" s="36"/>
      <c r="P1180" s="36"/>
      <c r="Q1180" s="36"/>
      <c r="R1180" s="36"/>
      <c r="S1180" s="36"/>
      <c r="T1180" s="36"/>
      <c r="U1180" s="36"/>
      <c r="V1180" s="36"/>
      <c r="W1180" s="36"/>
      <c r="X1180" s="36"/>
      <c r="Y1180" s="36"/>
      <c r="Z1180" s="36"/>
      <c r="AA1180" s="36"/>
      <c r="AB1180" s="36"/>
      <c r="AC1180" s="36"/>
    </row>
    <row r="1181" spans="1:29" ht="24" customHeight="1">
      <c r="A1181" s="81"/>
      <c r="B1181" s="94"/>
      <c r="C1181" s="81"/>
      <c r="D1181" s="81"/>
      <c r="E1181" s="620"/>
      <c r="F1181" s="620"/>
      <c r="G1181" s="620"/>
      <c r="H1181" s="94"/>
      <c r="I1181" s="81"/>
      <c r="J1181" s="35"/>
      <c r="K1181" s="36"/>
      <c r="L1181" s="36"/>
      <c r="M1181" s="36"/>
      <c r="N1181" s="36"/>
      <c r="O1181" s="36"/>
      <c r="P1181" s="36"/>
      <c r="Q1181" s="36"/>
      <c r="R1181" s="36"/>
      <c r="S1181" s="36"/>
      <c r="T1181" s="36"/>
      <c r="U1181" s="36"/>
      <c r="V1181" s="36"/>
      <c r="W1181" s="36"/>
      <c r="X1181" s="36"/>
      <c r="Y1181" s="36"/>
      <c r="Z1181" s="36"/>
      <c r="AA1181" s="36"/>
      <c r="AB1181" s="36"/>
      <c r="AC1181" s="36"/>
    </row>
    <row r="1182" spans="1:29" ht="12" customHeight="1">
      <c r="A1182" s="619"/>
      <c r="B1182" s="81"/>
      <c r="C1182" s="81"/>
      <c r="D1182" s="81"/>
      <c r="E1182" s="620"/>
      <c r="F1182" s="620"/>
      <c r="G1182" s="620"/>
      <c r="H1182" s="94"/>
      <c r="I1182" s="81"/>
      <c r="J1182" s="35"/>
      <c r="K1182" s="36"/>
      <c r="L1182" s="36"/>
      <c r="M1182" s="36"/>
      <c r="N1182" s="36"/>
      <c r="O1182" s="36"/>
      <c r="P1182" s="36"/>
      <c r="Q1182" s="36"/>
      <c r="R1182" s="36"/>
      <c r="S1182" s="36"/>
      <c r="T1182" s="36"/>
      <c r="U1182" s="36"/>
      <c r="V1182" s="36"/>
      <c r="W1182" s="36"/>
      <c r="X1182" s="36"/>
      <c r="Y1182" s="36"/>
      <c r="Z1182" s="36"/>
      <c r="AA1182" s="36"/>
      <c r="AB1182" s="36"/>
      <c r="AC1182" s="36"/>
    </row>
    <row r="1183" spans="1:29" ht="12" customHeight="1">
      <c r="A1183" s="619"/>
      <c r="B1183" s="81"/>
      <c r="C1183" s="81"/>
      <c r="D1183" s="81"/>
      <c r="E1183" s="620"/>
      <c r="F1183" s="620"/>
      <c r="G1183" s="620"/>
      <c r="H1183" s="94"/>
      <c r="I1183" s="81"/>
      <c r="J1183" s="35"/>
      <c r="K1183" s="36"/>
      <c r="L1183" s="36"/>
      <c r="M1183" s="36"/>
      <c r="N1183" s="36"/>
      <c r="O1183" s="36"/>
      <c r="P1183" s="36"/>
      <c r="Q1183" s="36"/>
      <c r="R1183" s="36"/>
      <c r="S1183" s="36"/>
      <c r="T1183" s="36"/>
      <c r="U1183" s="36"/>
      <c r="V1183" s="36"/>
      <c r="W1183" s="36"/>
      <c r="X1183" s="36"/>
      <c r="Y1183" s="36"/>
      <c r="Z1183" s="36"/>
      <c r="AA1183" s="36"/>
      <c r="AB1183" s="36"/>
      <c r="AC1183" s="36"/>
    </row>
    <row r="1184" spans="1:29" ht="24" customHeight="1">
      <c r="A1184" s="619"/>
      <c r="B1184" s="81"/>
      <c r="C1184" s="81"/>
      <c r="D1184" s="81"/>
      <c r="E1184" s="620"/>
      <c r="F1184" s="620"/>
      <c r="G1184" s="620"/>
      <c r="H1184" s="94"/>
      <c r="I1184" s="81"/>
      <c r="J1184" s="35"/>
      <c r="K1184" s="36"/>
      <c r="L1184" s="36"/>
      <c r="M1184" s="36"/>
      <c r="N1184" s="36"/>
      <c r="O1184" s="36"/>
      <c r="P1184" s="36"/>
      <c r="Q1184" s="36"/>
      <c r="R1184" s="36"/>
      <c r="S1184" s="36"/>
      <c r="T1184" s="36"/>
      <c r="U1184" s="36"/>
      <c r="V1184" s="36"/>
      <c r="W1184" s="36"/>
      <c r="X1184" s="36"/>
      <c r="Y1184" s="36"/>
      <c r="Z1184" s="36"/>
      <c r="AA1184" s="36"/>
      <c r="AB1184" s="36"/>
      <c r="AC1184" s="36"/>
    </row>
    <row r="1185" spans="1:29" ht="24" customHeight="1">
      <c r="A1185" s="81"/>
      <c r="B1185" s="81"/>
      <c r="C1185" s="81"/>
      <c r="D1185" s="81"/>
      <c r="E1185" s="620"/>
      <c r="F1185" s="620"/>
      <c r="G1185" s="620"/>
      <c r="H1185" s="94"/>
      <c r="I1185" s="81"/>
      <c r="J1185" s="35"/>
      <c r="K1185" s="36"/>
      <c r="L1185" s="36"/>
      <c r="M1185" s="36"/>
      <c r="N1185" s="36"/>
      <c r="O1185" s="36"/>
      <c r="P1185" s="36"/>
      <c r="Q1185" s="36"/>
      <c r="R1185" s="36"/>
      <c r="S1185" s="36"/>
      <c r="T1185" s="36"/>
      <c r="U1185" s="36"/>
      <c r="V1185" s="36"/>
      <c r="W1185" s="36"/>
      <c r="X1185" s="36"/>
      <c r="Y1185" s="36"/>
      <c r="Z1185" s="36"/>
      <c r="AA1185" s="36"/>
      <c r="AB1185" s="36"/>
      <c r="AC1185" s="36"/>
    </row>
    <row r="1186" spans="1:29" ht="12" customHeight="1">
      <c r="A1186" s="81"/>
      <c r="B1186" s="81"/>
      <c r="C1186" s="81"/>
      <c r="D1186" s="81"/>
      <c r="E1186" s="620"/>
      <c r="F1186" s="620"/>
      <c r="G1186" s="620"/>
      <c r="H1186" s="94"/>
      <c r="I1186" s="81"/>
      <c r="J1186" s="35"/>
      <c r="K1186" s="36"/>
      <c r="L1186" s="36"/>
      <c r="M1186" s="36"/>
      <c r="N1186" s="36"/>
      <c r="O1186" s="36"/>
      <c r="P1186" s="36"/>
      <c r="Q1186" s="36"/>
      <c r="R1186" s="36"/>
      <c r="S1186" s="36"/>
      <c r="T1186" s="36"/>
      <c r="U1186" s="36"/>
      <c r="V1186" s="36"/>
      <c r="W1186" s="36"/>
      <c r="X1186" s="36"/>
      <c r="Y1186" s="36"/>
      <c r="Z1186" s="36"/>
      <c r="AA1186" s="36"/>
      <c r="AB1186" s="36"/>
      <c r="AC1186" s="36"/>
    </row>
    <row r="1187" spans="1:29" ht="12" customHeight="1">
      <c r="A1187" s="81"/>
      <c r="B1187" s="81"/>
      <c r="C1187" s="81"/>
      <c r="D1187" s="81"/>
      <c r="E1187" s="620"/>
      <c r="F1187" s="620"/>
      <c r="G1187" s="620"/>
      <c r="H1187" s="94"/>
      <c r="I1187" s="81"/>
      <c r="J1187" s="35"/>
      <c r="K1187" s="36"/>
      <c r="L1187" s="36"/>
      <c r="M1187" s="36"/>
      <c r="N1187" s="36"/>
      <c r="O1187" s="36"/>
      <c r="P1187" s="36"/>
      <c r="Q1187" s="36"/>
      <c r="R1187" s="36"/>
      <c r="S1187" s="36"/>
      <c r="T1187" s="36"/>
      <c r="U1187" s="36"/>
      <c r="V1187" s="36"/>
      <c r="W1187" s="36"/>
      <c r="X1187" s="36"/>
      <c r="Y1187" s="36"/>
      <c r="Z1187" s="36"/>
      <c r="AA1187" s="36"/>
      <c r="AB1187" s="36"/>
      <c r="AC1187" s="36"/>
    </row>
    <row r="1188" spans="1:29" ht="24" customHeight="1">
      <c r="A1188" s="81"/>
      <c r="B1188" s="81"/>
      <c r="C1188" s="81"/>
      <c r="D1188" s="81"/>
      <c r="E1188" s="620"/>
      <c r="F1188" s="620"/>
      <c r="G1188" s="620"/>
      <c r="H1188" s="94"/>
      <c r="I1188" s="81"/>
      <c r="J1188" s="35"/>
      <c r="K1188" s="36"/>
      <c r="L1188" s="36"/>
      <c r="M1188" s="36"/>
      <c r="N1188" s="36"/>
      <c r="O1188" s="36"/>
      <c r="P1188" s="36"/>
      <c r="Q1188" s="36"/>
      <c r="R1188" s="36"/>
      <c r="S1188" s="36"/>
      <c r="T1188" s="36"/>
      <c r="U1188" s="36"/>
      <c r="V1188" s="36"/>
      <c r="W1188" s="36"/>
      <c r="X1188" s="36"/>
      <c r="Y1188" s="36"/>
      <c r="Z1188" s="36"/>
      <c r="AA1188" s="36"/>
      <c r="AB1188" s="36"/>
      <c r="AC1188" s="36"/>
    </row>
    <row r="1189" spans="1:29" ht="24" customHeight="1">
      <c r="A1189" s="81"/>
      <c r="B1189" s="81"/>
      <c r="C1189" s="81"/>
      <c r="D1189" s="81"/>
      <c r="E1189" s="620"/>
      <c r="F1189" s="620"/>
      <c r="G1189" s="620"/>
      <c r="H1189" s="94"/>
      <c r="I1189" s="81"/>
      <c r="J1189" s="35"/>
      <c r="K1189" s="36"/>
      <c r="L1189" s="36"/>
      <c r="M1189" s="36"/>
      <c r="N1189" s="36"/>
      <c r="O1189" s="36"/>
      <c r="P1189" s="36"/>
      <c r="Q1189" s="36"/>
      <c r="R1189" s="36"/>
      <c r="S1189" s="36"/>
      <c r="T1189" s="36"/>
      <c r="U1189" s="36"/>
      <c r="V1189" s="36"/>
      <c r="W1189" s="36"/>
      <c r="X1189" s="36"/>
      <c r="Y1189" s="36"/>
      <c r="Z1189" s="36"/>
      <c r="AA1189" s="36"/>
      <c r="AB1189" s="36"/>
      <c r="AC1189" s="36"/>
    </row>
    <row r="1190" spans="1:29" ht="24" customHeight="1">
      <c r="A1190" s="81"/>
      <c r="B1190" s="81"/>
      <c r="C1190" s="81"/>
      <c r="D1190" s="81"/>
      <c r="E1190" s="620"/>
      <c r="F1190" s="620"/>
      <c r="G1190" s="620"/>
      <c r="H1190" s="94"/>
      <c r="I1190" s="81"/>
      <c r="J1190" s="35"/>
      <c r="K1190" s="36"/>
      <c r="L1190" s="36"/>
      <c r="M1190" s="36"/>
      <c r="N1190" s="36"/>
      <c r="O1190" s="36"/>
      <c r="P1190" s="36"/>
      <c r="Q1190" s="36"/>
      <c r="R1190" s="36"/>
      <c r="S1190" s="36"/>
      <c r="T1190" s="36"/>
      <c r="U1190" s="36"/>
      <c r="V1190" s="36"/>
      <c r="W1190" s="36"/>
      <c r="X1190" s="36"/>
      <c r="Y1190" s="36"/>
      <c r="Z1190" s="36"/>
      <c r="AA1190" s="36"/>
      <c r="AB1190" s="36"/>
      <c r="AC1190" s="36"/>
    </row>
    <row r="1191" spans="1:29" ht="24" customHeight="1">
      <c r="A1191" s="81"/>
      <c r="B1191" s="81"/>
      <c r="C1191" s="81"/>
      <c r="D1191" s="81"/>
      <c r="E1191" s="620"/>
      <c r="F1191" s="620"/>
      <c r="G1191" s="620"/>
      <c r="H1191" s="94"/>
      <c r="I1191" s="81"/>
      <c r="J1191" s="35"/>
      <c r="K1191" s="36"/>
      <c r="L1191" s="36"/>
      <c r="M1191" s="36"/>
      <c r="N1191" s="36"/>
      <c r="O1191" s="36"/>
      <c r="P1191" s="36"/>
      <c r="Q1191" s="36"/>
      <c r="R1191" s="36"/>
      <c r="S1191" s="36"/>
      <c r="T1191" s="36"/>
      <c r="U1191" s="36"/>
      <c r="V1191" s="36"/>
      <c r="W1191" s="36"/>
      <c r="X1191" s="36"/>
      <c r="Y1191" s="36"/>
      <c r="Z1191" s="36"/>
      <c r="AA1191" s="36"/>
      <c r="AB1191" s="36"/>
      <c r="AC1191" s="36"/>
    </row>
    <row r="1192" spans="1:29" ht="36" customHeight="1">
      <c r="A1192" s="81"/>
      <c r="B1192" s="81"/>
      <c r="C1192" s="81"/>
      <c r="D1192" s="81"/>
      <c r="E1192" s="620"/>
      <c r="F1192" s="620"/>
      <c r="G1192" s="620"/>
      <c r="H1192" s="94"/>
      <c r="I1192" s="81"/>
      <c r="J1192" s="35"/>
      <c r="K1192" s="36"/>
      <c r="L1192" s="36"/>
      <c r="M1192" s="36"/>
      <c r="N1192" s="36"/>
      <c r="O1192" s="36"/>
      <c r="P1192" s="36"/>
      <c r="Q1192" s="36"/>
      <c r="R1192" s="36"/>
      <c r="S1192" s="36"/>
      <c r="T1192" s="36"/>
      <c r="U1192" s="36"/>
      <c r="V1192" s="36"/>
      <c r="W1192" s="36"/>
      <c r="X1192" s="36"/>
      <c r="Y1192" s="36"/>
      <c r="Z1192" s="36"/>
      <c r="AA1192" s="36"/>
      <c r="AB1192" s="36"/>
      <c r="AC1192" s="36"/>
    </row>
    <row r="1193" spans="1:29" ht="12" customHeight="1">
      <c r="A1193" s="81"/>
      <c r="B1193" s="94"/>
      <c r="C1193" s="81"/>
      <c r="D1193" s="81"/>
      <c r="E1193" s="620"/>
      <c r="F1193" s="620"/>
      <c r="G1193" s="620"/>
      <c r="H1193" s="94"/>
      <c r="I1193" s="81"/>
      <c r="J1193" s="35"/>
      <c r="K1193" s="36"/>
      <c r="L1193" s="36"/>
      <c r="M1193" s="36"/>
      <c r="N1193" s="36"/>
      <c r="O1193" s="36"/>
      <c r="P1193" s="36"/>
      <c r="Q1193" s="36"/>
      <c r="R1193" s="36"/>
      <c r="S1193" s="36"/>
      <c r="T1193" s="36"/>
      <c r="U1193" s="36"/>
      <c r="V1193" s="36"/>
      <c r="W1193" s="36"/>
      <c r="X1193" s="36"/>
      <c r="Y1193" s="36"/>
      <c r="Z1193" s="36"/>
      <c r="AA1193" s="36"/>
      <c r="AB1193" s="36"/>
      <c r="AC1193" s="36"/>
    </row>
    <row r="1194" spans="1:29" ht="36" customHeight="1">
      <c r="A1194" s="81"/>
      <c r="B1194" s="81"/>
      <c r="C1194" s="81"/>
      <c r="D1194" s="81"/>
      <c r="E1194" s="620"/>
      <c r="F1194" s="620"/>
      <c r="G1194" s="620"/>
      <c r="H1194" s="94"/>
      <c r="I1194" s="81"/>
      <c r="J1194" s="35"/>
      <c r="K1194" s="36"/>
      <c r="L1194" s="36"/>
      <c r="M1194" s="36"/>
      <c r="N1194" s="36"/>
      <c r="O1194" s="36"/>
      <c r="P1194" s="36"/>
      <c r="Q1194" s="36"/>
      <c r="R1194" s="36"/>
      <c r="S1194" s="36"/>
      <c r="T1194" s="36"/>
      <c r="U1194" s="36"/>
      <c r="V1194" s="36"/>
      <c r="W1194" s="36"/>
      <c r="X1194" s="36"/>
      <c r="Y1194" s="36"/>
      <c r="Z1194" s="36"/>
      <c r="AA1194" s="36"/>
      <c r="AB1194" s="36"/>
      <c r="AC1194" s="36"/>
    </row>
    <row r="1195" spans="1:29" ht="24" customHeight="1">
      <c r="A1195" s="81"/>
      <c r="B1195" s="81"/>
      <c r="C1195" s="81"/>
      <c r="D1195" s="81"/>
      <c r="E1195" s="620"/>
      <c r="F1195" s="620"/>
      <c r="G1195" s="620"/>
      <c r="H1195" s="94"/>
      <c r="I1195" s="81"/>
      <c r="J1195" s="35"/>
      <c r="K1195" s="36"/>
      <c r="L1195" s="36"/>
      <c r="M1195" s="36"/>
      <c r="N1195" s="36"/>
      <c r="O1195" s="36"/>
      <c r="P1195" s="36"/>
      <c r="Q1195" s="36"/>
      <c r="R1195" s="36"/>
      <c r="S1195" s="36"/>
      <c r="T1195" s="36"/>
      <c r="U1195" s="36"/>
      <c r="V1195" s="36"/>
      <c r="W1195" s="36"/>
      <c r="X1195" s="36"/>
      <c r="Y1195" s="36"/>
      <c r="Z1195" s="36"/>
      <c r="AA1195" s="36"/>
      <c r="AB1195" s="36"/>
      <c r="AC1195" s="36"/>
    </row>
    <row r="1196" spans="1:29" ht="36" customHeight="1">
      <c r="A1196" s="81"/>
      <c r="B1196" s="81"/>
      <c r="C1196" s="81"/>
      <c r="D1196" s="81"/>
      <c r="E1196" s="620"/>
      <c r="F1196" s="620"/>
      <c r="G1196" s="620"/>
      <c r="H1196" s="94"/>
      <c r="I1196" s="81"/>
      <c r="J1196" s="35"/>
      <c r="K1196" s="36"/>
      <c r="L1196" s="36"/>
      <c r="M1196" s="36"/>
      <c r="N1196" s="36"/>
      <c r="O1196" s="36"/>
      <c r="P1196" s="36"/>
      <c r="Q1196" s="36"/>
      <c r="R1196" s="36"/>
      <c r="S1196" s="36"/>
      <c r="T1196" s="36"/>
      <c r="U1196" s="36"/>
      <c r="V1196" s="36"/>
      <c r="W1196" s="36"/>
      <c r="X1196" s="36"/>
      <c r="Y1196" s="36"/>
      <c r="Z1196" s="36"/>
      <c r="AA1196" s="36"/>
      <c r="AB1196" s="36"/>
      <c r="AC1196" s="36"/>
    </row>
    <row r="1197" spans="1:29" ht="36" customHeight="1">
      <c r="A1197" s="81"/>
      <c r="B1197" s="81"/>
      <c r="C1197" s="81"/>
      <c r="D1197" s="81"/>
      <c r="E1197" s="620"/>
      <c r="F1197" s="620"/>
      <c r="G1197" s="620"/>
      <c r="H1197" s="94"/>
      <c r="I1197" s="81"/>
      <c r="J1197" s="35"/>
      <c r="K1197" s="36"/>
      <c r="L1197" s="36"/>
      <c r="M1197" s="36"/>
      <c r="N1197" s="36"/>
      <c r="O1197" s="36"/>
      <c r="P1197" s="36"/>
      <c r="Q1197" s="36"/>
      <c r="R1197" s="36"/>
      <c r="S1197" s="36"/>
      <c r="T1197" s="36"/>
      <c r="U1197" s="36"/>
      <c r="V1197" s="36"/>
      <c r="W1197" s="36"/>
      <c r="X1197" s="36"/>
      <c r="Y1197" s="36"/>
      <c r="Z1197" s="36"/>
      <c r="AA1197" s="36"/>
      <c r="AB1197" s="36"/>
      <c r="AC1197" s="36"/>
    </row>
    <row r="1198" spans="1:29" ht="12" customHeight="1">
      <c r="A1198" s="81"/>
      <c r="B1198" s="81"/>
      <c r="C1198" s="81"/>
      <c r="D1198" s="81"/>
      <c r="E1198" s="620"/>
      <c r="F1198" s="620"/>
      <c r="G1198" s="620"/>
      <c r="H1198" s="94"/>
      <c r="I1198" s="81"/>
      <c r="J1198" s="35"/>
      <c r="K1198" s="36"/>
      <c r="L1198" s="36"/>
      <c r="M1198" s="36"/>
      <c r="N1198" s="36"/>
      <c r="O1198" s="36"/>
      <c r="P1198" s="36"/>
      <c r="Q1198" s="36"/>
      <c r="R1198" s="36"/>
      <c r="S1198" s="36"/>
      <c r="T1198" s="36"/>
      <c r="U1198" s="36"/>
      <c r="V1198" s="36"/>
      <c r="W1198" s="36"/>
      <c r="X1198" s="36"/>
      <c r="Y1198" s="36"/>
      <c r="Z1198" s="36"/>
      <c r="AA1198" s="36"/>
      <c r="AB1198" s="36"/>
      <c r="AC1198" s="36"/>
    </row>
    <row r="1199" spans="1:29" ht="12" customHeight="1">
      <c r="A1199" s="81"/>
      <c r="B1199" s="81"/>
      <c r="C1199" s="81"/>
      <c r="D1199" s="81"/>
      <c r="E1199" s="620"/>
      <c r="F1199" s="620"/>
      <c r="G1199" s="620"/>
      <c r="H1199" s="94"/>
      <c r="I1199" s="81"/>
      <c r="J1199" s="35"/>
      <c r="K1199" s="36"/>
      <c r="L1199" s="36"/>
      <c r="M1199" s="36"/>
      <c r="N1199" s="36"/>
      <c r="O1199" s="36"/>
      <c r="P1199" s="36"/>
      <c r="Q1199" s="36"/>
      <c r="R1199" s="36"/>
      <c r="S1199" s="36"/>
      <c r="T1199" s="36"/>
      <c r="U1199" s="36"/>
      <c r="V1199" s="36"/>
      <c r="W1199" s="36"/>
      <c r="X1199" s="36"/>
      <c r="Y1199" s="36"/>
      <c r="Z1199" s="36"/>
      <c r="AA1199" s="36"/>
      <c r="AB1199" s="36"/>
      <c r="AC1199" s="36"/>
    </row>
    <row r="1200" spans="1:29" ht="36" customHeight="1">
      <c r="A1200" s="81"/>
      <c r="B1200" s="94"/>
      <c r="C1200" s="81"/>
      <c r="D1200" s="81"/>
      <c r="E1200" s="620"/>
      <c r="F1200" s="620"/>
      <c r="G1200" s="620"/>
      <c r="H1200" s="94"/>
      <c r="I1200" s="81"/>
      <c r="J1200" s="35"/>
      <c r="K1200" s="36"/>
      <c r="L1200" s="36"/>
      <c r="M1200" s="36"/>
      <c r="N1200" s="36"/>
      <c r="O1200" s="36"/>
      <c r="P1200" s="36"/>
      <c r="Q1200" s="36"/>
      <c r="R1200" s="36"/>
      <c r="S1200" s="36"/>
      <c r="T1200" s="36"/>
      <c r="U1200" s="36"/>
      <c r="V1200" s="36"/>
      <c r="W1200" s="36"/>
      <c r="X1200" s="36"/>
      <c r="Y1200" s="36"/>
      <c r="Z1200" s="36"/>
      <c r="AA1200" s="36"/>
      <c r="AB1200" s="36"/>
      <c r="AC1200" s="36"/>
    </row>
    <row r="1201" spans="1:29" ht="24" customHeight="1">
      <c r="A1201" s="476"/>
      <c r="B1201" s="81"/>
      <c r="C1201" s="81"/>
      <c r="D1201" s="81"/>
      <c r="E1201" s="620"/>
      <c r="F1201" s="620"/>
      <c r="G1201" s="620"/>
      <c r="H1201" s="94"/>
      <c r="I1201" s="81"/>
      <c r="J1201" s="35"/>
      <c r="K1201" s="36"/>
      <c r="L1201" s="36"/>
      <c r="M1201" s="36"/>
      <c r="N1201" s="36"/>
      <c r="O1201" s="36"/>
      <c r="P1201" s="36"/>
      <c r="Q1201" s="36"/>
      <c r="R1201" s="36"/>
      <c r="S1201" s="36"/>
      <c r="T1201" s="36"/>
      <c r="U1201" s="36"/>
      <c r="V1201" s="36"/>
      <c r="W1201" s="36"/>
      <c r="X1201" s="36"/>
      <c r="Y1201" s="36"/>
      <c r="Z1201" s="36"/>
      <c r="AA1201" s="36"/>
      <c r="AB1201" s="36"/>
      <c r="AC1201" s="36"/>
    </row>
    <row r="1202" spans="1:29" ht="24" customHeight="1">
      <c r="A1202" s="81"/>
      <c r="B1202" s="94"/>
      <c r="C1202" s="81"/>
      <c r="D1202" s="81"/>
      <c r="E1202" s="620"/>
      <c r="F1202" s="620"/>
      <c r="G1202" s="620"/>
      <c r="H1202" s="94"/>
      <c r="I1202" s="81"/>
      <c r="J1202" s="35"/>
      <c r="K1202" s="36"/>
      <c r="L1202" s="36"/>
      <c r="M1202" s="36"/>
      <c r="N1202" s="36"/>
      <c r="O1202" s="36"/>
      <c r="P1202" s="36"/>
      <c r="Q1202" s="36"/>
      <c r="R1202" s="36"/>
      <c r="S1202" s="36"/>
      <c r="T1202" s="36"/>
      <c r="U1202" s="36"/>
      <c r="V1202" s="36"/>
      <c r="W1202" s="36"/>
      <c r="X1202" s="36"/>
      <c r="Y1202" s="36"/>
      <c r="Z1202" s="36"/>
      <c r="AA1202" s="36"/>
      <c r="AB1202" s="36"/>
      <c r="AC1202" s="36"/>
    </row>
    <row r="1203" spans="1:29" ht="24" customHeight="1">
      <c r="A1203" s="81"/>
      <c r="B1203" s="94"/>
      <c r="C1203" s="81"/>
      <c r="D1203" s="81"/>
      <c r="E1203" s="620"/>
      <c r="F1203" s="620"/>
      <c r="G1203" s="620"/>
      <c r="H1203" s="94"/>
      <c r="I1203" s="81"/>
      <c r="J1203" s="35"/>
      <c r="K1203" s="36"/>
      <c r="L1203" s="36"/>
      <c r="M1203" s="36"/>
      <c r="N1203" s="36"/>
      <c r="O1203" s="36"/>
      <c r="P1203" s="36"/>
      <c r="Q1203" s="36"/>
      <c r="R1203" s="36"/>
      <c r="S1203" s="36"/>
      <c r="T1203" s="36"/>
      <c r="U1203" s="36"/>
      <c r="V1203" s="36"/>
      <c r="W1203" s="36"/>
      <c r="X1203" s="36"/>
      <c r="Y1203" s="36"/>
      <c r="Z1203" s="36"/>
      <c r="AA1203" s="36"/>
      <c r="AB1203" s="36"/>
      <c r="AC1203" s="36"/>
    </row>
    <row r="1204" spans="1:29" ht="24" customHeight="1">
      <c r="A1204" s="81"/>
      <c r="B1204" s="94"/>
      <c r="C1204" s="81"/>
      <c r="D1204" s="81"/>
      <c r="E1204" s="620"/>
      <c r="F1204" s="620"/>
      <c r="G1204" s="620"/>
      <c r="H1204" s="94"/>
      <c r="I1204" s="81"/>
      <c r="J1204" s="35"/>
      <c r="K1204" s="36"/>
      <c r="L1204" s="36"/>
      <c r="M1204" s="36"/>
      <c r="N1204" s="36"/>
      <c r="O1204" s="36"/>
      <c r="P1204" s="36"/>
      <c r="Q1204" s="36"/>
      <c r="R1204" s="36"/>
      <c r="S1204" s="36"/>
      <c r="T1204" s="36"/>
      <c r="U1204" s="36"/>
      <c r="V1204" s="36"/>
      <c r="W1204" s="36"/>
      <c r="X1204" s="36"/>
      <c r="Y1204" s="36"/>
      <c r="Z1204" s="36"/>
      <c r="AA1204" s="36"/>
      <c r="AB1204" s="36"/>
      <c r="AC1204" s="36"/>
    </row>
    <row r="1205" spans="1:29" ht="24" customHeight="1">
      <c r="A1205" s="81"/>
      <c r="B1205" s="94"/>
      <c r="C1205" s="81"/>
      <c r="D1205" s="81"/>
      <c r="E1205" s="620"/>
      <c r="F1205" s="620"/>
      <c r="G1205" s="620"/>
      <c r="H1205" s="94"/>
      <c r="I1205" s="81"/>
      <c r="J1205" s="35"/>
      <c r="K1205" s="36"/>
      <c r="L1205" s="36"/>
      <c r="M1205" s="36"/>
      <c r="N1205" s="36"/>
      <c r="O1205" s="36"/>
      <c r="P1205" s="36"/>
      <c r="Q1205" s="36"/>
      <c r="R1205" s="36"/>
      <c r="S1205" s="36"/>
      <c r="T1205" s="36"/>
      <c r="U1205" s="36"/>
      <c r="V1205" s="36"/>
      <c r="W1205" s="36"/>
      <c r="X1205" s="36"/>
      <c r="Y1205" s="36"/>
      <c r="Z1205" s="36"/>
      <c r="AA1205" s="36"/>
      <c r="AB1205" s="36"/>
      <c r="AC1205" s="36"/>
    </row>
    <row r="1206" spans="1:29" ht="24" customHeight="1">
      <c r="A1206" s="81"/>
      <c r="B1206" s="94"/>
      <c r="C1206" s="81"/>
      <c r="D1206" s="81"/>
      <c r="E1206" s="620"/>
      <c r="F1206" s="620"/>
      <c r="G1206" s="620"/>
      <c r="H1206" s="94"/>
      <c r="I1206" s="81"/>
      <c r="J1206" s="35"/>
      <c r="K1206" s="36"/>
      <c r="L1206" s="36"/>
      <c r="M1206" s="36"/>
      <c r="N1206" s="36"/>
      <c r="O1206" s="36"/>
      <c r="P1206" s="36"/>
      <c r="Q1206" s="36"/>
      <c r="R1206" s="36"/>
      <c r="S1206" s="36"/>
      <c r="T1206" s="36"/>
      <c r="U1206" s="36"/>
      <c r="V1206" s="36"/>
      <c r="W1206" s="36"/>
      <c r="X1206" s="36"/>
      <c r="Y1206" s="36"/>
      <c r="Z1206" s="36"/>
      <c r="AA1206" s="36"/>
      <c r="AB1206" s="36"/>
      <c r="AC1206" s="36"/>
    </row>
    <row r="1207" spans="1:29" ht="24" customHeight="1">
      <c r="A1207" s="81"/>
      <c r="B1207" s="94"/>
      <c r="C1207" s="81"/>
      <c r="D1207" s="81"/>
      <c r="E1207" s="620"/>
      <c r="F1207" s="620"/>
      <c r="G1207" s="620"/>
      <c r="H1207" s="94"/>
      <c r="I1207" s="81"/>
      <c r="J1207" s="35"/>
      <c r="K1207" s="36"/>
      <c r="L1207" s="36"/>
      <c r="M1207" s="36"/>
      <c r="N1207" s="36"/>
      <c r="O1207" s="36"/>
      <c r="P1207" s="36"/>
      <c r="Q1207" s="36"/>
      <c r="R1207" s="36"/>
      <c r="S1207" s="36"/>
      <c r="T1207" s="36"/>
      <c r="U1207" s="36"/>
      <c r="V1207" s="36"/>
      <c r="W1207" s="36"/>
      <c r="X1207" s="36"/>
      <c r="Y1207" s="36"/>
      <c r="Z1207" s="36"/>
      <c r="AA1207" s="36"/>
      <c r="AB1207" s="36"/>
      <c r="AC1207" s="36"/>
    </row>
    <row r="1208" spans="1:29" ht="36" customHeight="1">
      <c r="A1208" s="81"/>
      <c r="B1208" s="94"/>
      <c r="C1208" s="81"/>
      <c r="D1208" s="81"/>
      <c r="E1208" s="620"/>
      <c r="F1208" s="620"/>
      <c r="G1208" s="620"/>
      <c r="H1208" s="94"/>
      <c r="I1208" s="81"/>
      <c r="J1208" s="35"/>
      <c r="K1208" s="36"/>
      <c r="L1208" s="36"/>
      <c r="M1208" s="36"/>
      <c r="N1208" s="36"/>
      <c r="O1208" s="36"/>
      <c r="P1208" s="36"/>
      <c r="Q1208" s="36"/>
      <c r="R1208" s="36"/>
      <c r="S1208" s="36"/>
      <c r="T1208" s="36"/>
      <c r="U1208" s="36"/>
      <c r="V1208" s="36"/>
      <c r="W1208" s="36"/>
      <c r="X1208" s="36"/>
      <c r="Y1208" s="36"/>
      <c r="Z1208" s="36"/>
      <c r="AA1208" s="36"/>
      <c r="AB1208" s="36"/>
      <c r="AC1208" s="36"/>
    </row>
    <row r="1209" spans="1:29" ht="48" customHeight="1">
      <c r="A1209" s="81"/>
      <c r="B1209" s="94"/>
      <c r="C1209" s="81"/>
      <c r="D1209" s="81"/>
      <c r="E1209" s="620"/>
      <c r="F1209" s="620"/>
      <c r="G1209" s="620"/>
      <c r="H1209" s="94"/>
      <c r="I1209" s="81"/>
      <c r="J1209" s="35"/>
      <c r="K1209" s="36"/>
      <c r="L1209" s="36"/>
      <c r="M1209" s="36"/>
      <c r="N1209" s="36"/>
      <c r="O1209" s="36"/>
      <c r="P1209" s="36"/>
      <c r="Q1209" s="36"/>
      <c r="R1209" s="36"/>
      <c r="S1209" s="36"/>
      <c r="T1209" s="36"/>
      <c r="U1209" s="36"/>
      <c r="V1209" s="36"/>
      <c r="W1209" s="36"/>
      <c r="X1209" s="36"/>
      <c r="Y1209" s="36"/>
      <c r="Z1209" s="36"/>
      <c r="AA1209" s="36"/>
      <c r="AB1209" s="36"/>
      <c r="AC1209" s="36"/>
    </row>
    <row r="1210" spans="1:29" ht="48" customHeight="1">
      <c r="A1210" s="81"/>
      <c r="B1210" s="94"/>
      <c r="C1210" s="81"/>
      <c r="D1210" s="81"/>
      <c r="E1210" s="620"/>
      <c r="F1210" s="620"/>
      <c r="G1210" s="620"/>
      <c r="H1210" s="94"/>
      <c r="I1210" s="81"/>
      <c r="J1210" s="35"/>
      <c r="K1210" s="36"/>
      <c r="L1210" s="36"/>
      <c r="M1210" s="36"/>
      <c r="N1210" s="36"/>
      <c r="O1210" s="36"/>
      <c r="P1210" s="36"/>
      <c r="Q1210" s="36"/>
      <c r="R1210" s="36"/>
      <c r="S1210" s="36"/>
      <c r="T1210" s="36"/>
      <c r="U1210" s="36"/>
      <c r="V1210" s="36"/>
      <c r="W1210" s="36"/>
      <c r="X1210" s="36"/>
      <c r="Y1210" s="36"/>
      <c r="Z1210" s="36"/>
      <c r="AA1210" s="36"/>
      <c r="AB1210" s="36"/>
      <c r="AC1210" s="36"/>
    </row>
    <row r="1211" spans="1:29" ht="24" customHeight="1">
      <c r="A1211" s="81"/>
      <c r="B1211" s="94"/>
      <c r="C1211" s="81"/>
      <c r="D1211" s="81"/>
      <c r="E1211" s="620"/>
      <c r="F1211" s="620"/>
      <c r="G1211" s="620"/>
      <c r="H1211" s="94"/>
      <c r="I1211" s="81"/>
      <c r="J1211" s="35"/>
      <c r="K1211" s="36"/>
      <c r="L1211" s="36"/>
      <c r="M1211" s="36"/>
      <c r="N1211" s="36"/>
      <c r="O1211" s="36"/>
      <c r="P1211" s="36"/>
      <c r="Q1211" s="36"/>
      <c r="R1211" s="36"/>
      <c r="S1211" s="36"/>
      <c r="T1211" s="36"/>
      <c r="U1211" s="36"/>
      <c r="V1211" s="36"/>
      <c r="W1211" s="36"/>
      <c r="X1211" s="36"/>
      <c r="Y1211" s="36"/>
      <c r="Z1211" s="36"/>
      <c r="AA1211" s="36"/>
      <c r="AB1211" s="36"/>
      <c r="AC1211" s="36"/>
    </row>
    <row r="1212" spans="1:29" ht="15" customHeight="1">
      <c r="A1212" s="81"/>
      <c r="B1212" s="94"/>
      <c r="C1212" s="81"/>
      <c r="D1212" s="81"/>
      <c r="E1212" s="620"/>
      <c r="F1212" s="620"/>
      <c r="G1212" s="620"/>
      <c r="H1212" s="94"/>
      <c r="I1212" s="81"/>
      <c r="J1212" s="35"/>
      <c r="K1212" s="36"/>
      <c r="L1212" s="36"/>
      <c r="M1212" s="36"/>
      <c r="N1212" s="36"/>
      <c r="O1212" s="36"/>
      <c r="P1212" s="36"/>
      <c r="Q1212" s="36"/>
      <c r="R1212" s="36"/>
      <c r="S1212" s="36"/>
      <c r="T1212" s="36"/>
      <c r="U1212" s="36"/>
      <c r="V1212" s="36"/>
      <c r="W1212" s="36"/>
      <c r="X1212" s="36"/>
      <c r="Y1212" s="36"/>
      <c r="Z1212" s="36"/>
      <c r="AA1212" s="36"/>
      <c r="AB1212" s="36"/>
      <c r="AC1212" s="36"/>
    </row>
    <row r="1213" spans="1:29" ht="24" customHeight="1">
      <c r="A1213" s="81"/>
      <c r="B1213" s="94"/>
      <c r="C1213" s="81"/>
      <c r="D1213" s="81"/>
      <c r="E1213" s="620"/>
      <c r="F1213" s="620"/>
      <c r="G1213" s="620"/>
      <c r="H1213" s="94"/>
      <c r="I1213" s="81"/>
      <c r="J1213" s="35"/>
      <c r="K1213" s="36"/>
      <c r="L1213" s="36"/>
      <c r="M1213" s="36"/>
      <c r="N1213" s="36"/>
      <c r="O1213" s="36"/>
      <c r="P1213" s="36"/>
      <c r="Q1213" s="36"/>
      <c r="R1213" s="36"/>
      <c r="S1213" s="36"/>
      <c r="T1213" s="36"/>
      <c r="U1213" s="36"/>
      <c r="V1213" s="36"/>
      <c r="W1213" s="36"/>
      <c r="X1213" s="36"/>
      <c r="Y1213" s="36"/>
      <c r="Z1213" s="36"/>
      <c r="AA1213" s="36"/>
      <c r="AB1213" s="36"/>
      <c r="AC1213" s="36"/>
    </row>
    <row r="1214" spans="1:29" ht="24" customHeight="1">
      <c r="A1214" s="81"/>
      <c r="B1214" s="94"/>
      <c r="C1214" s="81"/>
      <c r="D1214" s="81"/>
      <c r="E1214" s="620"/>
      <c r="F1214" s="620"/>
      <c r="G1214" s="620"/>
      <c r="H1214" s="94"/>
      <c r="I1214" s="81"/>
      <c r="J1214" s="35"/>
      <c r="K1214" s="36"/>
      <c r="L1214" s="36"/>
      <c r="M1214" s="36"/>
      <c r="N1214" s="36"/>
      <c r="O1214" s="36"/>
      <c r="P1214" s="36"/>
      <c r="Q1214" s="36"/>
      <c r="R1214" s="36"/>
      <c r="S1214" s="36"/>
      <c r="T1214" s="36"/>
      <c r="U1214" s="36"/>
      <c r="V1214" s="36"/>
      <c r="W1214" s="36"/>
      <c r="X1214" s="36"/>
      <c r="Y1214" s="36"/>
      <c r="Z1214" s="36"/>
      <c r="AA1214" s="36"/>
      <c r="AB1214" s="36"/>
      <c r="AC1214" s="36"/>
    </row>
    <row r="1215" spans="1:29" ht="24" customHeight="1">
      <c r="A1215" s="81"/>
      <c r="B1215" s="94"/>
      <c r="C1215" s="81"/>
      <c r="D1215" s="81"/>
      <c r="E1215" s="620"/>
      <c r="F1215" s="620"/>
      <c r="G1215" s="620"/>
      <c r="H1215" s="94"/>
      <c r="I1215" s="81"/>
      <c r="J1215" s="35"/>
      <c r="K1215" s="36"/>
      <c r="L1215" s="36"/>
      <c r="M1215" s="36"/>
      <c r="N1215" s="36"/>
      <c r="O1215" s="36"/>
      <c r="P1215" s="36"/>
      <c r="Q1215" s="36"/>
      <c r="R1215" s="36"/>
      <c r="S1215" s="36"/>
      <c r="T1215" s="36"/>
      <c r="U1215" s="36"/>
      <c r="V1215" s="36"/>
      <c r="W1215" s="36"/>
      <c r="X1215" s="36"/>
      <c r="Y1215" s="36"/>
      <c r="Z1215" s="36"/>
      <c r="AA1215" s="36"/>
      <c r="AB1215" s="36"/>
      <c r="AC1215" s="36"/>
    </row>
    <row r="1216" spans="1:29" ht="84" customHeight="1">
      <c r="A1216" s="624"/>
      <c r="B1216" s="94"/>
      <c r="C1216" s="81"/>
      <c r="D1216" s="81"/>
      <c r="E1216" s="620"/>
      <c r="F1216" s="620"/>
      <c r="G1216" s="620"/>
      <c r="H1216" s="94"/>
      <c r="I1216" s="81"/>
      <c r="J1216" s="35"/>
      <c r="K1216" s="36"/>
      <c r="L1216" s="36"/>
      <c r="M1216" s="36"/>
      <c r="N1216" s="36"/>
      <c r="O1216" s="36"/>
      <c r="P1216" s="36"/>
      <c r="Q1216" s="36"/>
      <c r="R1216" s="36"/>
      <c r="S1216" s="36"/>
      <c r="T1216" s="36"/>
      <c r="U1216" s="36"/>
      <c r="V1216" s="36"/>
      <c r="W1216" s="36"/>
      <c r="X1216" s="36"/>
      <c r="Y1216" s="36"/>
      <c r="Z1216" s="36"/>
      <c r="AA1216" s="36"/>
      <c r="AB1216" s="36"/>
      <c r="AC1216" s="36"/>
    </row>
    <row r="1217" spans="1:29" ht="24" customHeight="1">
      <c r="A1217" s="624"/>
      <c r="B1217" s="94"/>
      <c r="C1217" s="81"/>
      <c r="D1217" s="81"/>
      <c r="E1217" s="620"/>
      <c r="F1217" s="620"/>
      <c r="G1217" s="620"/>
      <c r="H1217" s="94"/>
      <c r="I1217" s="81"/>
      <c r="J1217" s="35"/>
      <c r="K1217" s="36"/>
      <c r="L1217" s="36"/>
      <c r="M1217" s="36"/>
      <c r="N1217" s="36"/>
      <c r="O1217" s="36"/>
      <c r="P1217" s="36"/>
      <c r="Q1217" s="36"/>
      <c r="R1217" s="36"/>
      <c r="S1217" s="36"/>
      <c r="T1217" s="36"/>
      <c r="U1217" s="36"/>
      <c r="V1217" s="36"/>
      <c r="W1217" s="36"/>
      <c r="X1217" s="36"/>
      <c r="Y1217" s="36"/>
      <c r="Z1217" s="36"/>
      <c r="AA1217" s="36"/>
      <c r="AB1217" s="36"/>
      <c r="AC1217" s="36"/>
    </row>
    <row r="1218" spans="1:29" ht="36" customHeight="1">
      <c r="A1218" s="81"/>
      <c r="B1218" s="94"/>
      <c r="C1218" s="81"/>
      <c r="D1218" s="81"/>
      <c r="E1218" s="620"/>
      <c r="F1218" s="620"/>
      <c r="G1218" s="620"/>
      <c r="H1218" s="94"/>
      <c r="I1218" s="81"/>
      <c r="J1218" s="35"/>
      <c r="K1218" s="36"/>
      <c r="L1218" s="36"/>
      <c r="M1218" s="36"/>
      <c r="N1218" s="36"/>
      <c r="O1218" s="36"/>
      <c r="P1218" s="36"/>
      <c r="Q1218" s="36"/>
      <c r="R1218" s="36"/>
      <c r="S1218" s="36"/>
      <c r="T1218" s="36"/>
      <c r="U1218" s="36"/>
      <c r="V1218" s="36"/>
      <c r="W1218" s="36"/>
      <c r="X1218" s="36"/>
      <c r="Y1218" s="36"/>
      <c r="Z1218" s="36"/>
      <c r="AA1218" s="36"/>
      <c r="AB1218" s="36"/>
      <c r="AC1218" s="36"/>
    </row>
    <row r="1219" spans="1:29" ht="60" customHeight="1">
      <c r="A1219" s="81"/>
      <c r="B1219" s="94"/>
      <c r="C1219" s="81"/>
      <c r="D1219" s="81"/>
      <c r="E1219" s="620"/>
      <c r="F1219" s="620"/>
      <c r="G1219" s="620"/>
      <c r="H1219" s="94"/>
      <c r="I1219" s="81"/>
      <c r="J1219" s="35"/>
      <c r="K1219" s="36"/>
      <c r="L1219" s="36"/>
      <c r="M1219" s="36"/>
      <c r="N1219" s="36"/>
      <c r="O1219" s="36"/>
      <c r="P1219" s="36"/>
      <c r="Q1219" s="36"/>
      <c r="R1219" s="36"/>
      <c r="S1219" s="36"/>
      <c r="T1219" s="36"/>
      <c r="U1219" s="36"/>
      <c r="V1219" s="36"/>
      <c r="W1219" s="36"/>
      <c r="X1219" s="36"/>
      <c r="Y1219" s="36"/>
      <c r="Z1219" s="36"/>
      <c r="AA1219" s="36"/>
      <c r="AB1219" s="36"/>
      <c r="AC1219" s="36"/>
    </row>
    <row r="1220" spans="1:29" ht="24" customHeight="1">
      <c r="A1220" s="81"/>
      <c r="B1220" s="94"/>
      <c r="C1220" s="81"/>
      <c r="D1220" s="81"/>
      <c r="E1220" s="620"/>
      <c r="F1220" s="620"/>
      <c r="G1220" s="620"/>
      <c r="H1220" s="94"/>
      <c r="I1220" s="81"/>
      <c r="J1220" s="35"/>
      <c r="K1220" s="36"/>
      <c r="L1220" s="36"/>
      <c r="M1220" s="36"/>
      <c r="N1220" s="36"/>
      <c r="O1220" s="36"/>
      <c r="P1220" s="36"/>
      <c r="Q1220" s="36"/>
      <c r="R1220" s="36"/>
      <c r="S1220" s="36"/>
      <c r="T1220" s="36"/>
      <c r="U1220" s="36"/>
      <c r="V1220" s="36"/>
      <c r="W1220" s="36"/>
      <c r="X1220" s="36"/>
      <c r="Y1220" s="36"/>
      <c r="Z1220" s="36"/>
      <c r="AA1220" s="36"/>
      <c r="AB1220" s="36"/>
      <c r="AC1220" s="36"/>
    </row>
    <row r="1221" spans="1:29" ht="24" customHeight="1">
      <c r="A1221" s="81"/>
      <c r="B1221" s="81"/>
      <c r="C1221" s="81"/>
      <c r="D1221" s="81"/>
      <c r="E1221" s="620"/>
      <c r="F1221" s="620"/>
      <c r="G1221" s="620"/>
      <c r="H1221" s="81"/>
      <c r="I1221" s="81"/>
      <c r="J1221" s="35"/>
      <c r="K1221" s="36"/>
      <c r="L1221" s="36"/>
      <c r="M1221" s="36"/>
      <c r="N1221" s="36"/>
      <c r="O1221" s="36"/>
      <c r="P1221" s="36"/>
      <c r="Q1221" s="36"/>
      <c r="R1221" s="36"/>
      <c r="S1221" s="36"/>
      <c r="T1221" s="36"/>
      <c r="U1221" s="36"/>
      <c r="V1221" s="36"/>
      <c r="W1221" s="36"/>
      <c r="X1221" s="36"/>
      <c r="Y1221" s="36"/>
      <c r="Z1221" s="36"/>
      <c r="AA1221" s="36"/>
      <c r="AB1221" s="36"/>
      <c r="AC1221" s="36"/>
    </row>
    <row r="1222" spans="1:29" ht="36" customHeight="1">
      <c r="A1222" s="81"/>
      <c r="B1222" s="81"/>
      <c r="C1222" s="81"/>
      <c r="D1222" s="81"/>
      <c r="E1222" s="620"/>
      <c r="F1222" s="620"/>
      <c r="G1222" s="620"/>
      <c r="H1222" s="81"/>
      <c r="I1222" s="81"/>
      <c r="J1222" s="35"/>
      <c r="K1222" s="36"/>
      <c r="L1222" s="36"/>
      <c r="M1222" s="36"/>
      <c r="N1222" s="36"/>
      <c r="O1222" s="36"/>
      <c r="P1222" s="36"/>
      <c r="Q1222" s="36"/>
      <c r="R1222" s="36"/>
      <c r="S1222" s="36"/>
      <c r="T1222" s="36"/>
      <c r="U1222" s="36"/>
      <c r="V1222" s="36"/>
      <c r="W1222" s="36"/>
      <c r="X1222" s="36"/>
      <c r="Y1222" s="36"/>
      <c r="Z1222" s="36"/>
      <c r="AA1222" s="36"/>
      <c r="AB1222" s="36"/>
      <c r="AC1222" s="36"/>
    </row>
    <row r="1223" spans="1:29" ht="24" customHeight="1">
      <c r="A1223" s="81"/>
      <c r="B1223" s="81"/>
      <c r="C1223" s="81"/>
      <c r="D1223" s="81"/>
      <c r="E1223" s="620"/>
      <c r="F1223" s="620"/>
      <c r="G1223" s="620"/>
      <c r="H1223" s="81"/>
      <c r="I1223" s="81"/>
      <c r="J1223" s="35"/>
      <c r="K1223" s="36"/>
      <c r="L1223" s="36"/>
      <c r="M1223" s="36"/>
      <c r="N1223" s="36"/>
      <c r="O1223" s="36"/>
      <c r="P1223" s="36"/>
      <c r="Q1223" s="36"/>
      <c r="R1223" s="36"/>
      <c r="S1223" s="36"/>
      <c r="T1223" s="36"/>
      <c r="U1223" s="36"/>
      <c r="V1223" s="36"/>
      <c r="W1223" s="36"/>
      <c r="X1223" s="36"/>
      <c r="Y1223" s="36"/>
      <c r="Z1223" s="36"/>
      <c r="AA1223" s="36"/>
      <c r="AB1223" s="36"/>
      <c r="AC1223" s="36"/>
    </row>
    <row r="1224" spans="1:29" ht="24" customHeight="1">
      <c r="A1224" s="81"/>
      <c r="B1224" s="94"/>
      <c r="C1224" s="81"/>
      <c r="D1224" s="81"/>
      <c r="E1224" s="620"/>
      <c r="F1224" s="620"/>
      <c r="G1224" s="620"/>
      <c r="H1224" s="81"/>
      <c r="I1224" s="81"/>
      <c r="J1224" s="35"/>
      <c r="K1224" s="36"/>
      <c r="L1224" s="36"/>
      <c r="M1224" s="36"/>
      <c r="N1224" s="36"/>
      <c r="O1224" s="36"/>
      <c r="P1224" s="36"/>
      <c r="Q1224" s="36"/>
      <c r="R1224" s="36"/>
      <c r="S1224" s="36"/>
      <c r="T1224" s="36"/>
      <c r="U1224" s="36"/>
      <c r="V1224" s="36"/>
      <c r="W1224" s="36"/>
      <c r="X1224" s="36"/>
      <c r="Y1224" s="36"/>
      <c r="Z1224" s="36"/>
      <c r="AA1224" s="36"/>
      <c r="AB1224" s="36"/>
      <c r="AC1224" s="36"/>
    </row>
    <row r="1225" spans="1:29" ht="24" customHeight="1">
      <c r="A1225" s="81"/>
      <c r="B1225" s="81"/>
      <c r="C1225" s="81"/>
      <c r="D1225" s="81"/>
      <c r="E1225" s="620"/>
      <c r="F1225" s="620"/>
      <c r="G1225" s="620"/>
      <c r="H1225" s="81"/>
      <c r="I1225" s="81"/>
      <c r="J1225" s="35"/>
      <c r="K1225" s="36"/>
      <c r="L1225" s="36"/>
      <c r="M1225" s="36"/>
      <c r="N1225" s="36"/>
      <c r="O1225" s="36"/>
      <c r="P1225" s="36"/>
      <c r="Q1225" s="36"/>
      <c r="R1225" s="36"/>
      <c r="S1225" s="36"/>
      <c r="T1225" s="36"/>
      <c r="U1225" s="36"/>
      <c r="V1225" s="36"/>
      <c r="W1225" s="36"/>
      <c r="X1225" s="36"/>
      <c r="Y1225" s="36"/>
      <c r="Z1225" s="36"/>
      <c r="AA1225" s="36"/>
      <c r="AB1225" s="36"/>
      <c r="AC1225" s="36"/>
    </row>
    <row r="1226" spans="1:29" ht="24" customHeight="1">
      <c r="A1226" s="81"/>
      <c r="B1226" s="81"/>
      <c r="C1226" s="81"/>
      <c r="D1226" s="81"/>
      <c r="E1226" s="620"/>
      <c r="F1226" s="620"/>
      <c r="G1226" s="620"/>
      <c r="H1226" s="81"/>
      <c r="I1226" s="81"/>
      <c r="J1226" s="35"/>
      <c r="K1226" s="36"/>
      <c r="L1226" s="36"/>
      <c r="M1226" s="36"/>
      <c r="N1226" s="36"/>
      <c r="O1226" s="36"/>
      <c r="P1226" s="36"/>
      <c r="Q1226" s="36"/>
      <c r="R1226" s="36"/>
      <c r="S1226" s="36"/>
      <c r="T1226" s="36"/>
      <c r="U1226" s="36"/>
      <c r="V1226" s="36"/>
      <c r="W1226" s="36"/>
      <c r="X1226" s="36"/>
      <c r="Y1226" s="36"/>
      <c r="Z1226" s="36"/>
      <c r="AA1226" s="36"/>
      <c r="AB1226" s="36"/>
      <c r="AC1226" s="36"/>
    </row>
    <row r="1227" spans="1:29" ht="36" customHeight="1">
      <c r="A1227" s="619"/>
      <c r="B1227" s="81"/>
      <c r="C1227" s="81"/>
      <c r="D1227" s="81"/>
      <c r="E1227" s="620"/>
      <c r="F1227" s="620"/>
      <c r="G1227" s="620"/>
      <c r="H1227" s="81"/>
      <c r="I1227" s="81"/>
      <c r="J1227" s="35"/>
      <c r="K1227" s="36"/>
      <c r="L1227" s="36"/>
      <c r="M1227" s="36"/>
      <c r="N1227" s="36"/>
      <c r="O1227" s="36"/>
      <c r="P1227" s="36"/>
      <c r="Q1227" s="36"/>
      <c r="R1227" s="36"/>
      <c r="S1227" s="36"/>
      <c r="T1227" s="36"/>
      <c r="U1227" s="36"/>
      <c r="V1227" s="36"/>
      <c r="W1227" s="36"/>
      <c r="X1227" s="36"/>
      <c r="Y1227" s="36"/>
      <c r="Z1227" s="36"/>
      <c r="AA1227" s="36"/>
      <c r="AB1227" s="36"/>
      <c r="AC1227" s="36"/>
    </row>
    <row r="1228" spans="1:29" ht="24" customHeight="1">
      <c r="A1228" s="619"/>
      <c r="B1228" s="81"/>
      <c r="C1228" s="81"/>
      <c r="D1228" s="81"/>
      <c r="E1228" s="620"/>
      <c r="F1228" s="620"/>
      <c r="G1228" s="620"/>
      <c r="H1228" s="81"/>
      <c r="I1228" s="81"/>
      <c r="J1228" s="35"/>
      <c r="K1228" s="36"/>
      <c r="L1228" s="36"/>
      <c r="M1228" s="36"/>
      <c r="N1228" s="36"/>
      <c r="O1228" s="36"/>
      <c r="P1228" s="36"/>
      <c r="Q1228" s="36"/>
      <c r="R1228" s="36"/>
      <c r="S1228" s="36"/>
      <c r="T1228" s="36"/>
      <c r="U1228" s="36"/>
      <c r="V1228" s="36"/>
      <c r="W1228" s="36"/>
      <c r="X1228" s="36"/>
      <c r="Y1228" s="36"/>
      <c r="Z1228" s="36"/>
      <c r="AA1228" s="36"/>
      <c r="AB1228" s="36"/>
      <c r="AC1228" s="36"/>
    </row>
    <row r="1229" spans="1:29" ht="36" customHeight="1">
      <c r="A1229" s="619"/>
      <c r="B1229" s="81"/>
      <c r="C1229" s="81"/>
      <c r="D1229" s="81"/>
      <c r="E1229" s="620"/>
      <c r="F1229" s="620"/>
      <c r="G1229" s="620"/>
      <c r="H1229" s="81"/>
      <c r="I1229" s="81"/>
      <c r="J1229" s="35"/>
      <c r="K1229" s="36"/>
      <c r="L1229" s="36"/>
      <c r="M1229" s="36"/>
      <c r="N1229" s="36"/>
      <c r="O1229" s="36"/>
      <c r="P1229" s="36"/>
      <c r="Q1229" s="36"/>
      <c r="R1229" s="36"/>
      <c r="S1229" s="36"/>
      <c r="T1229" s="36"/>
      <c r="U1229" s="36"/>
      <c r="V1229" s="36"/>
      <c r="W1229" s="36"/>
      <c r="X1229" s="36"/>
      <c r="Y1229" s="36"/>
      <c r="Z1229" s="36"/>
      <c r="AA1229" s="36"/>
      <c r="AB1229" s="36"/>
      <c r="AC1229" s="36"/>
    </row>
    <row r="1230" spans="1:29" ht="24" customHeight="1">
      <c r="A1230" s="619"/>
      <c r="B1230" s="81"/>
      <c r="C1230" s="81"/>
      <c r="D1230" s="81"/>
      <c r="E1230" s="620"/>
      <c r="F1230" s="620"/>
      <c r="G1230" s="620"/>
      <c r="H1230" s="81"/>
      <c r="I1230" s="81"/>
      <c r="J1230" s="35"/>
      <c r="K1230" s="36"/>
      <c r="L1230" s="36"/>
      <c r="M1230" s="36"/>
      <c r="N1230" s="36"/>
      <c r="O1230" s="36"/>
      <c r="P1230" s="36"/>
      <c r="Q1230" s="36"/>
      <c r="R1230" s="36"/>
      <c r="S1230" s="36"/>
      <c r="T1230" s="36"/>
      <c r="U1230" s="36"/>
      <c r="V1230" s="36"/>
      <c r="W1230" s="36"/>
      <c r="X1230" s="36"/>
      <c r="Y1230" s="36"/>
      <c r="Z1230" s="36"/>
      <c r="AA1230" s="36"/>
      <c r="AB1230" s="36"/>
      <c r="AC1230" s="36"/>
    </row>
    <row r="1231" spans="1:29" ht="24" customHeight="1">
      <c r="A1231" s="81"/>
      <c r="B1231" s="94"/>
      <c r="C1231" s="81"/>
      <c r="D1231" s="81"/>
      <c r="E1231" s="620"/>
      <c r="F1231" s="620"/>
      <c r="G1231" s="620"/>
      <c r="H1231" s="81"/>
      <c r="I1231" s="81"/>
      <c r="J1231" s="35"/>
      <c r="K1231" s="36"/>
      <c r="L1231" s="36"/>
      <c r="M1231" s="36"/>
      <c r="N1231" s="36"/>
      <c r="O1231" s="36"/>
      <c r="P1231" s="36"/>
      <c r="Q1231" s="36"/>
      <c r="R1231" s="36"/>
      <c r="S1231" s="36"/>
      <c r="T1231" s="36"/>
      <c r="U1231" s="36"/>
      <c r="V1231" s="36"/>
      <c r="W1231" s="36"/>
      <c r="X1231" s="36"/>
      <c r="Y1231" s="36"/>
      <c r="Z1231" s="36"/>
      <c r="AA1231" s="36"/>
      <c r="AB1231" s="36"/>
      <c r="AC1231" s="36"/>
    </row>
    <row r="1232" spans="1:29" ht="72" customHeight="1">
      <c r="A1232" s="81"/>
      <c r="B1232" s="81"/>
      <c r="C1232" s="81"/>
      <c r="D1232" s="81"/>
      <c r="E1232" s="620"/>
      <c r="F1232" s="620"/>
      <c r="G1232" s="620"/>
      <c r="H1232" s="81"/>
      <c r="I1232" s="81"/>
      <c r="J1232" s="35"/>
      <c r="K1232" s="36"/>
      <c r="L1232" s="36"/>
      <c r="M1232" s="36"/>
      <c r="N1232" s="36"/>
      <c r="O1232" s="36"/>
      <c r="P1232" s="36"/>
      <c r="Q1232" s="36"/>
      <c r="R1232" s="36"/>
      <c r="S1232" s="36"/>
      <c r="T1232" s="36"/>
      <c r="U1232" s="36"/>
      <c r="V1232" s="36"/>
      <c r="W1232" s="36"/>
      <c r="X1232" s="36"/>
      <c r="Y1232" s="36"/>
      <c r="Z1232" s="36"/>
      <c r="AA1232" s="36"/>
      <c r="AB1232" s="36"/>
      <c r="AC1232" s="36"/>
    </row>
    <row r="1233" spans="1:29" ht="36" customHeight="1">
      <c r="A1233" s="81"/>
      <c r="B1233" s="81"/>
      <c r="C1233" s="81"/>
      <c r="D1233" s="81"/>
      <c r="E1233" s="620"/>
      <c r="F1233" s="620"/>
      <c r="G1233" s="620"/>
      <c r="H1233" s="81"/>
      <c r="I1233" s="81"/>
      <c r="J1233" s="35"/>
      <c r="K1233" s="36"/>
      <c r="L1233" s="36"/>
      <c r="M1233" s="36"/>
      <c r="N1233" s="36"/>
      <c r="O1233" s="36"/>
      <c r="P1233" s="36"/>
      <c r="Q1233" s="36"/>
      <c r="R1233" s="36"/>
      <c r="S1233" s="36"/>
      <c r="T1233" s="36"/>
      <c r="U1233" s="36"/>
      <c r="V1233" s="36"/>
      <c r="W1233" s="36"/>
      <c r="X1233" s="36"/>
      <c r="Y1233" s="36"/>
      <c r="Z1233" s="36"/>
      <c r="AA1233" s="36"/>
      <c r="AB1233" s="36"/>
      <c r="AC1233" s="36"/>
    </row>
    <row r="1234" spans="1:29" ht="24" customHeight="1">
      <c r="A1234" s="81"/>
      <c r="B1234" s="81"/>
      <c r="C1234" s="81"/>
      <c r="D1234" s="81"/>
      <c r="E1234" s="620"/>
      <c r="F1234" s="620"/>
      <c r="G1234" s="620"/>
      <c r="H1234" s="81"/>
      <c r="I1234" s="81"/>
      <c r="J1234" s="35"/>
      <c r="K1234" s="36"/>
      <c r="L1234" s="36"/>
      <c r="M1234" s="36"/>
      <c r="N1234" s="36"/>
      <c r="O1234" s="36"/>
      <c r="P1234" s="36"/>
      <c r="Q1234" s="36"/>
      <c r="R1234" s="36"/>
      <c r="S1234" s="36"/>
      <c r="T1234" s="36"/>
      <c r="U1234" s="36"/>
      <c r="V1234" s="36"/>
      <c r="W1234" s="36"/>
      <c r="X1234" s="36"/>
      <c r="Y1234" s="36"/>
      <c r="Z1234" s="36"/>
      <c r="AA1234" s="36"/>
      <c r="AB1234" s="36"/>
      <c r="AC1234" s="36"/>
    </row>
    <row r="1235" spans="1:29" ht="24" customHeight="1">
      <c r="A1235" s="81"/>
      <c r="B1235" s="81"/>
      <c r="C1235" s="81"/>
      <c r="D1235" s="81"/>
      <c r="E1235" s="620"/>
      <c r="F1235" s="620"/>
      <c r="G1235" s="620"/>
      <c r="H1235" s="81"/>
      <c r="I1235" s="81"/>
      <c r="J1235" s="35"/>
      <c r="K1235" s="36"/>
      <c r="L1235" s="36"/>
      <c r="M1235" s="36"/>
      <c r="N1235" s="36"/>
      <c r="O1235" s="36"/>
      <c r="P1235" s="36"/>
      <c r="Q1235" s="36"/>
      <c r="R1235" s="36"/>
      <c r="S1235" s="36"/>
      <c r="T1235" s="36"/>
      <c r="U1235" s="36"/>
      <c r="V1235" s="36"/>
      <c r="W1235" s="36"/>
      <c r="X1235" s="36"/>
      <c r="Y1235" s="36"/>
      <c r="Z1235" s="36"/>
      <c r="AA1235" s="36"/>
      <c r="AB1235" s="36"/>
      <c r="AC1235" s="36"/>
    </row>
    <row r="1236" spans="1:29" ht="24" customHeight="1">
      <c r="A1236" s="81"/>
      <c r="B1236" s="81"/>
      <c r="C1236" s="81"/>
      <c r="D1236" s="81"/>
      <c r="E1236" s="620"/>
      <c r="F1236" s="620"/>
      <c r="G1236" s="620"/>
      <c r="H1236" s="81"/>
      <c r="I1236" s="81"/>
      <c r="J1236" s="35"/>
      <c r="K1236" s="36"/>
      <c r="L1236" s="36"/>
      <c r="M1236" s="36"/>
      <c r="N1236" s="36"/>
      <c r="O1236" s="36"/>
      <c r="P1236" s="36"/>
      <c r="Q1236" s="36"/>
      <c r="R1236" s="36"/>
      <c r="S1236" s="36"/>
      <c r="T1236" s="36"/>
      <c r="U1236" s="36"/>
      <c r="V1236" s="36"/>
      <c r="W1236" s="36"/>
      <c r="X1236" s="36"/>
      <c r="Y1236" s="36"/>
      <c r="Z1236" s="36"/>
      <c r="AA1236" s="36"/>
      <c r="AB1236" s="36"/>
      <c r="AC1236" s="36"/>
    </row>
    <row r="1237" spans="1:29" ht="24" customHeight="1">
      <c r="A1237" s="81"/>
      <c r="B1237" s="81"/>
      <c r="C1237" s="81"/>
      <c r="D1237" s="81"/>
      <c r="E1237" s="620"/>
      <c r="F1237" s="620"/>
      <c r="G1237" s="620"/>
      <c r="H1237" s="81"/>
      <c r="I1237" s="81"/>
      <c r="J1237" s="35"/>
      <c r="K1237" s="36"/>
      <c r="L1237" s="36"/>
      <c r="M1237" s="36"/>
      <c r="N1237" s="36"/>
      <c r="O1237" s="36"/>
      <c r="P1237" s="36"/>
      <c r="Q1237" s="36"/>
      <c r="R1237" s="36"/>
      <c r="S1237" s="36"/>
      <c r="T1237" s="36"/>
      <c r="U1237" s="36"/>
      <c r="V1237" s="36"/>
      <c r="W1237" s="36"/>
      <c r="X1237" s="36"/>
      <c r="Y1237" s="36"/>
      <c r="Z1237" s="36"/>
      <c r="AA1237" s="36"/>
      <c r="AB1237" s="36"/>
      <c r="AC1237" s="36"/>
    </row>
    <row r="1238" spans="1:29" ht="24" customHeight="1">
      <c r="A1238" s="81"/>
      <c r="B1238" s="81"/>
      <c r="C1238" s="81"/>
      <c r="D1238" s="81"/>
      <c r="E1238" s="620"/>
      <c r="F1238" s="620"/>
      <c r="G1238" s="620"/>
      <c r="H1238" s="81"/>
      <c r="I1238" s="81"/>
      <c r="J1238" s="35"/>
      <c r="K1238" s="36"/>
      <c r="L1238" s="36"/>
      <c r="M1238" s="36"/>
      <c r="N1238" s="36"/>
      <c r="O1238" s="36"/>
      <c r="P1238" s="36"/>
      <c r="Q1238" s="36"/>
      <c r="R1238" s="36"/>
      <c r="S1238" s="36"/>
      <c r="T1238" s="36"/>
      <c r="U1238" s="36"/>
      <c r="V1238" s="36"/>
      <c r="W1238" s="36"/>
      <c r="X1238" s="36"/>
      <c r="Y1238" s="36"/>
      <c r="Z1238" s="36"/>
      <c r="AA1238" s="36"/>
      <c r="AB1238" s="36"/>
      <c r="AC1238" s="36"/>
    </row>
    <row r="1239" spans="1:29" ht="24" customHeight="1">
      <c r="A1239" s="81"/>
      <c r="B1239" s="100"/>
      <c r="C1239" s="100"/>
      <c r="D1239" s="100"/>
      <c r="E1239" s="627"/>
      <c r="F1239" s="627"/>
      <c r="G1239" s="627"/>
      <c r="H1239" s="100"/>
      <c r="I1239" s="100"/>
      <c r="J1239" s="35"/>
      <c r="K1239" s="36"/>
      <c r="L1239" s="36"/>
      <c r="M1239" s="36"/>
      <c r="N1239" s="36"/>
      <c r="O1239" s="36"/>
      <c r="P1239" s="36"/>
      <c r="Q1239" s="36"/>
      <c r="R1239" s="36"/>
      <c r="S1239" s="36"/>
      <c r="T1239" s="36"/>
      <c r="U1239" s="36"/>
      <c r="V1239" s="36"/>
      <c r="W1239" s="36"/>
      <c r="X1239" s="36"/>
      <c r="Y1239" s="36"/>
      <c r="Z1239" s="36"/>
      <c r="AA1239" s="36"/>
      <c r="AB1239" s="36"/>
      <c r="AC1239" s="36"/>
    </row>
    <row r="1240" spans="1:29" ht="36" customHeight="1">
      <c r="A1240" s="81"/>
      <c r="B1240" s="100"/>
      <c r="C1240" s="100"/>
      <c r="D1240" s="100"/>
      <c r="E1240" s="627"/>
      <c r="F1240" s="627"/>
      <c r="G1240" s="627"/>
      <c r="H1240" s="100"/>
      <c r="I1240" s="100"/>
      <c r="J1240" s="35"/>
      <c r="K1240" s="36"/>
      <c r="L1240" s="36"/>
      <c r="M1240" s="36"/>
      <c r="N1240" s="36"/>
      <c r="O1240" s="36"/>
      <c r="P1240" s="36"/>
      <c r="Q1240" s="36"/>
      <c r="R1240" s="36"/>
      <c r="S1240" s="36"/>
      <c r="T1240" s="36"/>
      <c r="U1240" s="36"/>
      <c r="V1240" s="36"/>
      <c r="W1240" s="36"/>
      <c r="X1240" s="36"/>
      <c r="Y1240" s="36"/>
      <c r="Z1240" s="36"/>
      <c r="AA1240" s="36"/>
      <c r="AB1240" s="36"/>
      <c r="AC1240" s="36"/>
    </row>
    <row r="1241" spans="1:29" ht="12" customHeight="1">
      <c r="A1241" s="81"/>
      <c r="B1241" s="100"/>
      <c r="C1241" s="100"/>
      <c r="D1241" s="100"/>
      <c r="E1241" s="627"/>
      <c r="F1241" s="627"/>
      <c r="G1241" s="627"/>
      <c r="H1241" s="100"/>
      <c r="I1241" s="100"/>
      <c r="J1241" s="35"/>
      <c r="K1241" s="36"/>
      <c r="L1241" s="36"/>
      <c r="M1241" s="36"/>
      <c r="N1241" s="36"/>
      <c r="O1241" s="36"/>
      <c r="P1241" s="36"/>
      <c r="Q1241" s="36"/>
      <c r="R1241" s="36"/>
      <c r="S1241" s="36"/>
      <c r="T1241" s="36"/>
      <c r="U1241" s="36"/>
      <c r="V1241" s="36"/>
      <c r="W1241" s="36"/>
      <c r="X1241" s="36"/>
      <c r="Y1241" s="36"/>
      <c r="Z1241" s="36"/>
      <c r="AA1241" s="36"/>
      <c r="AB1241" s="36"/>
      <c r="AC1241" s="36"/>
    </row>
    <row r="1242" spans="1:29" ht="36" customHeight="1">
      <c r="A1242" s="81"/>
      <c r="B1242" s="100"/>
      <c r="C1242" s="100"/>
      <c r="D1242" s="100"/>
      <c r="E1242" s="627"/>
      <c r="F1242" s="627"/>
      <c r="G1242" s="627"/>
      <c r="H1242" s="100"/>
      <c r="I1242" s="100"/>
      <c r="J1242" s="35"/>
      <c r="K1242" s="36"/>
      <c r="L1242" s="36"/>
      <c r="M1242" s="36"/>
      <c r="N1242" s="36"/>
      <c r="O1242" s="36"/>
      <c r="P1242" s="36"/>
      <c r="Q1242" s="36"/>
      <c r="R1242" s="36"/>
      <c r="S1242" s="36"/>
      <c r="T1242" s="36"/>
      <c r="U1242" s="36"/>
      <c r="V1242" s="36"/>
      <c r="W1242" s="36"/>
      <c r="X1242" s="36"/>
      <c r="Y1242" s="36"/>
      <c r="Z1242" s="36"/>
      <c r="AA1242" s="36"/>
      <c r="AB1242" s="36"/>
      <c r="AC1242" s="36"/>
    </row>
    <row r="1243" spans="1:29" ht="72" customHeight="1">
      <c r="A1243" s="81"/>
      <c r="B1243" s="100"/>
      <c r="C1243" s="100"/>
      <c r="D1243" s="100"/>
      <c r="E1243" s="627"/>
      <c r="F1243" s="627"/>
      <c r="G1243" s="627"/>
      <c r="H1243" s="100"/>
      <c r="I1243" s="100"/>
      <c r="J1243" s="35"/>
      <c r="K1243" s="36"/>
      <c r="L1243" s="36"/>
      <c r="M1243" s="36"/>
      <c r="N1243" s="36"/>
      <c r="O1243" s="36"/>
      <c r="P1243" s="36"/>
      <c r="Q1243" s="36"/>
      <c r="R1243" s="36"/>
      <c r="S1243" s="36"/>
      <c r="T1243" s="36"/>
      <c r="U1243" s="36"/>
      <c r="V1243" s="36"/>
      <c r="W1243" s="36"/>
      <c r="X1243" s="36"/>
      <c r="Y1243" s="36"/>
      <c r="Z1243" s="36"/>
      <c r="AA1243" s="36"/>
      <c r="AB1243" s="36"/>
      <c r="AC1243" s="36"/>
    </row>
    <row r="1244" spans="1:29" ht="48" customHeight="1">
      <c r="A1244" s="81"/>
      <c r="B1244" s="100"/>
      <c r="C1244" s="100"/>
      <c r="D1244" s="100"/>
      <c r="E1244" s="627"/>
      <c r="F1244" s="627"/>
      <c r="G1244" s="627"/>
      <c r="H1244" s="100"/>
      <c r="I1244" s="100"/>
      <c r="J1244" s="35"/>
      <c r="K1244" s="36"/>
      <c r="L1244" s="36"/>
      <c r="M1244" s="36"/>
      <c r="N1244" s="36"/>
      <c r="O1244" s="36"/>
      <c r="P1244" s="36"/>
      <c r="Q1244" s="36"/>
      <c r="R1244" s="36"/>
      <c r="S1244" s="36"/>
      <c r="T1244" s="36"/>
      <c r="U1244" s="36"/>
      <c r="V1244" s="36"/>
      <c r="W1244" s="36"/>
      <c r="X1244" s="36"/>
      <c r="Y1244" s="36"/>
      <c r="Z1244" s="36"/>
      <c r="AA1244" s="36"/>
      <c r="AB1244" s="36"/>
      <c r="AC1244" s="36"/>
    </row>
    <row r="1245" spans="1:29" ht="36" customHeight="1">
      <c r="A1245" s="81"/>
      <c r="B1245" s="100"/>
      <c r="C1245" s="100"/>
      <c r="D1245" s="100"/>
      <c r="E1245" s="627"/>
      <c r="F1245" s="627"/>
      <c r="G1245" s="627"/>
      <c r="H1245" s="100"/>
      <c r="I1245" s="100"/>
      <c r="J1245" s="35"/>
      <c r="K1245" s="36"/>
      <c r="L1245" s="36"/>
      <c r="M1245" s="36"/>
      <c r="N1245" s="36"/>
      <c r="O1245" s="36"/>
      <c r="P1245" s="36"/>
      <c r="Q1245" s="36"/>
      <c r="R1245" s="36"/>
      <c r="S1245" s="36"/>
      <c r="T1245" s="36"/>
      <c r="U1245" s="36"/>
      <c r="V1245" s="36"/>
      <c r="W1245" s="36"/>
      <c r="X1245" s="36"/>
      <c r="Y1245" s="36"/>
      <c r="Z1245" s="36"/>
      <c r="AA1245" s="36"/>
      <c r="AB1245" s="36"/>
      <c r="AC1245" s="36"/>
    </row>
    <row r="1246" spans="1:29" ht="48" customHeight="1">
      <c r="A1246" s="81"/>
      <c r="B1246" s="100"/>
      <c r="C1246" s="100"/>
      <c r="D1246" s="100"/>
      <c r="E1246" s="627"/>
      <c r="F1246" s="627"/>
      <c r="G1246" s="627"/>
      <c r="H1246" s="100"/>
      <c r="I1246" s="100"/>
      <c r="J1246" s="35"/>
      <c r="K1246" s="36"/>
      <c r="L1246" s="36"/>
      <c r="M1246" s="36"/>
      <c r="N1246" s="36"/>
      <c r="O1246" s="36"/>
      <c r="P1246" s="36"/>
      <c r="Q1246" s="36"/>
      <c r="R1246" s="36"/>
      <c r="S1246" s="36"/>
      <c r="T1246" s="36"/>
      <c r="U1246" s="36"/>
      <c r="V1246" s="36"/>
      <c r="W1246" s="36"/>
      <c r="X1246" s="36"/>
      <c r="Y1246" s="36"/>
      <c r="Z1246" s="36"/>
      <c r="AA1246" s="36"/>
      <c r="AB1246" s="36"/>
      <c r="AC1246" s="36"/>
    </row>
    <row r="1247" spans="1:29" ht="36" customHeight="1">
      <c r="A1247" s="81"/>
      <c r="B1247" s="100"/>
      <c r="C1247" s="100"/>
      <c r="D1247" s="100"/>
      <c r="E1247" s="627"/>
      <c r="F1247" s="627"/>
      <c r="G1247" s="627"/>
      <c r="H1247" s="100"/>
      <c r="I1247" s="100"/>
      <c r="J1247" s="35"/>
      <c r="K1247" s="36"/>
      <c r="L1247" s="36"/>
      <c r="M1247" s="36"/>
      <c r="N1247" s="36"/>
      <c r="O1247" s="36"/>
      <c r="P1247" s="36"/>
      <c r="Q1247" s="36"/>
      <c r="R1247" s="36"/>
      <c r="S1247" s="36"/>
      <c r="T1247" s="36"/>
      <c r="U1247" s="36"/>
      <c r="V1247" s="36"/>
      <c r="W1247" s="36"/>
      <c r="X1247" s="36"/>
      <c r="Y1247" s="36"/>
      <c r="Z1247" s="36"/>
      <c r="AA1247" s="36"/>
      <c r="AB1247" s="36"/>
      <c r="AC1247" s="36"/>
    </row>
    <row r="1248" spans="1:29" ht="36" customHeight="1">
      <c r="A1248" s="81"/>
      <c r="B1248" s="100"/>
      <c r="C1248" s="100"/>
      <c r="D1248" s="100"/>
      <c r="E1248" s="627"/>
      <c r="F1248" s="627"/>
      <c r="G1248" s="627"/>
      <c r="H1248" s="100"/>
      <c r="I1248" s="100"/>
      <c r="J1248" s="35"/>
      <c r="K1248" s="36"/>
      <c r="L1248" s="36"/>
      <c r="M1248" s="36"/>
      <c r="N1248" s="36"/>
      <c r="O1248" s="36"/>
      <c r="P1248" s="36"/>
      <c r="Q1248" s="36"/>
      <c r="R1248" s="36"/>
      <c r="S1248" s="36"/>
      <c r="T1248" s="36"/>
      <c r="U1248" s="36"/>
      <c r="V1248" s="36"/>
      <c r="W1248" s="36"/>
      <c r="X1248" s="36"/>
      <c r="Y1248" s="36"/>
      <c r="Z1248" s="36"/>
      <c r="AA1248" s="36"/>
      <c r="AB1248" s="36"/>
      <c r="AC1248" s="36"/>
    </row>
    <row r="1249" spans="1:29" ht="36" customHeight="1">
      <c r="A1249" s="81"/>
      <c r="B1249" s="100"/>
      <c r="C1249" s="100"/>
      <c r="D1249" s="100"/>
      <c r="E1249" s="627"/>
      <c r="F1249" s="627"/>
      <c r="G1249" s="627"/>
      <c r="H1249" s="100"/>
      <c r="I1249" s="100"/>
      <c r="J1249" s="35"/>
      <c r="K1249" s="36"/>
      <c r="L1249" s="36"/>
      <c r="M1249" s="36"/>
      <c r="N1249" s="36"/>
      <c r="O1249" s="36"/>
      <c r="P1249" s="36"/>
      <c r="Q1249" s="36"/>
      <c r="R1249" s="36"/>
      <c r="S1249" s="36"/>
      <c r="T1249" s="36"/>
      <c r="U1249" s="36"/>
      <c r="V1249" s="36"/>
      <c r="W1249" s="36"/>
      <c r="X1249" s="36"/>
      <c r="Y1249" s="36"/>
      <c r="Z1249" s="36"/>
      <c r="AA1249" s="36"/>
      <c r="AB1249" s="36"/>
      <c r="AC1249" s="36"/>
    </row>
    <row r="1250" spans="1:29" ht="24" customHeight="1">
      <c r="A1250" s="81"/>
      <c r="B1250" s="100"/>
      <c r="C1250" s="100"/>
      <c r="D1250" s="100"/>
      <c r="E1250" s="627"/>
      <c r="F1250" s="627"/>
      <c r="G1250" s="627"/>
      <c r="H1250" s="100"/>
      <c r="I1250" s="100"/>
      <c r="J1250" s="35"/>
      <c r="K1250" s="36"/>
      <c r="L1250" s="36"/>
      <c r="M1250" s="36"/>
      <c r="N1250" s="36"/>
      <c r="O1250" s="36"/>
      <c r="P1250" s="36"/>
      <c r="Q1250" s="36"/>
      <c r="R1250" s="36"/>
      <c r="S1250" s="36"/>
      <c r="T1250" s="36"/>
      <c r="U1250" s="36"/>
      <c r="V1250" s="36"/>
      <c r="W1250" s="36"/>
      <c r="X1250" s="36"/>
      <c r="Y1250" s="36"/>
      <c r="Z1250" s="36"/>
      <c r="AA1250" s="36"/>
      <c r="AB1250" s="36"/>
      <c r="AC1250" s="36"/>
    </row>
    <row r="1251" spans="1:29" ht="24" customHeight="1">
      <c r="A1251" s="100"/>
      <c r="B1251" s="100"/>
      <c r="C1251" s="100"/>
      <c r="D1251" s="100"/>
      <c r="E1251" s="627"/>
      <c r="F1251" s="627"/>
      <c r="G1251" s="627"/>
      <c r="H1251" s="100"/>
      <c r="I1251" s="100"/>
      <c r="J1251" s="35"/>
      <c r="K1251" s="36"/>
      <c r="L1251" s="36"/>
      <c r="M1251" s="36"/>
      <c r="N1251" s="36"/>
      <c r="O1251" s="36"/>
      <c r="P1251" s="36"/>
      <c r="Q1251" s="36"/>
      <c r="R1251" s="36"/>
      <c r="S1251" s="36"/>
      <c r="T1251" s="36"/>
      <c r="U1251" s="36"/>
      <c r="V1251" s="36"/>
      <c r="W1251" s="36"/>
      <c r="X1251" s="36"/>
      <c r="Y1251" s="36"/>
      <c r="Z1251" s="36"/>
      <c r="AA1251" s="36"/>
      <c r="AB1251" s="36"/>
      <c r="AC1251" s="36"/>
    </row>
    <row r="1252" spans="1:29" ht="36" customHeight="1">
      <c r="A1252" s="100"/>
      <c r="B1252" s="100"/>
      <c r="C1252" s="100"/>
      <c r="D1252" s="100"/>
      <c r="E1252" s="627"/>
      <c r="F1252" s="627"/>
      <c r="G1252" s="627"/>
      <c r="H1252" s="100"/>
      <c r="I1252" s="100"/>
      <c r="J1252" s="35"/>
      <c r="K1252" s="36"/>
      <c r="L1252" s="36"/>
      <c r="M1252" s="36"/>
      <c r="N1252" s="36"/>
      <c r="O1252" s="36"/>
      <c r="P1252" s="36"/>
      <c r="Q1252" s="36"/>
      <c r="R1252" s="36"/>
      <c r="S1252" s="36"/>
      <c r="T1252" s="36"/>
      <c r="U1252" s="36"/>
      <c r="V1252" s="36"/>
      <c r="W1252" s="36"/>
      <c r="X1252" s="36"/>
      <c r="Y1252" s="36"/>
      <c r="Z1252" s="36"/>
      <c r="AA1252" s="36"/>
      <c r="AB1252" s="36"/>
      <c r="AC1252" s="36"/>
    </row>
    <row r="1253" spans="1:29" ht="36" customHeight="1">
      <c r="A1253" s="100"/>
      <c r="B1253" s="100"/>
      <c r="C1253" s="100"/>
      <c r="D1253" s="100"/>
      <c r="E1253" s="627"/>
      <c r="F1253" s="627"/>
      <c r="G1253" s="627"/>
      <c r="H1253" s="100"/>
      <c r="I1253" s="100"/>
      <c r="J1253" s="35"/>
      <c r="K1253" s="36"/>
      <c r="L1253" s="36"/>
      <c r="M1253" s="36"/>
      <c r="N1253" s="36"/>
      <c r="O1253" s="36"/>
      <c r="P1253" s="36"/>
      <c r="Q1253" s="36"/>
      <c r="R1253" s="36"/>
      <c r="S1253" s="36"/>
      <c r="T1253" s="36"/>
      <c r="U1253" s="36"/>
      <c r="V1253" s="36"/>
      <c r="W1253" s="36"/>
      <c r="X1253" s="36"/>
      <c r="Y1253" s="36"/>
      <c r="Z1253" s="36"/>
      <c r="AA1253" s="36"/>
      <c r="AB1253" s="36"/>
      <c r="AC1253" s="36"/>
    </row>
    <row r="1254" spans="1:29" ht="24" customHeight="1">
      <c r="A1254" s="100"/>
      <c r="B1254" s="100"/>
      <c r="C1254" s="100"/>
      <c r="D1254" s="100"/>
      <c r="E1254" s="627"/>
      <c r="F1254" s="627"/>
      <c r="G1254" s="627"/>
      <c r="H1254" s="100"/>
      <c r="I1254" s="100"/>
      <c r="J1254" s="35"/>
      <c r="K1254" s="36"/>
      <c r="L1254" s="36"/>
      <c r="M1254" s="36"/>
      <c r="N1254" s="36"/>
      <c r="O1254" s="36"/>
      <c r="P1254" s="36"/>
      <c r="Q1254" s="36"/>
      <c r="R1254" s="36"/>
      <c r="S1254" s="36"/>
      <c r="T1254" s="36"/>
      <c r="U1254" s="36"/>
      <c r="V1254" s="36"/>
      <c r="W1254" s="36"/>
      <c r="X1254" s="36"/>
      <c r="Y1254" s="36"/>
      <c r="Z1254" s="36"/>
      <c r="AA1254" s="36"/>
      <c r="AB1254" s="36"/>
      <c r="AC1254" s="36"/>
    </row>
    <row r="1255" spans="1:29" ht="12" customHeight="1">
      <c r="A1255" s="100"/>
      <c r="B1255" s="100"/>
      <c r="C1255" s="100"/>
      <c r="D1255" s="100"/>
      <c r="E1255" s="627"/>
      <c r="F1255" s="627"/>
      <c r="G1255" s="627"/>
      <c r="H1255" s="100"/>
      <c r="I1255" s="100"/>
      <c r="J1255" s="35"/>
      <c r="K1255" s="36"/>
      <c r="L1255" s="36"/>
      <c r="M1255" s="36"/>
      <c r="N1255" s="36"/>
      <c r="O1255" s="36"/>
      <c r="P1255" s="36"/>
      <c r="Q1255" s="36"/>
      <c r="R1255" s="36"/>
      <c r="S1255" s="36"/>
      <c r="T1255" s="36"/>
      <c r="U1255" s="36"/>
      <c r="V1255" s="36"/>
      <c r="W1255" s="36"/>
      <c r="X1255" s="36"/>
      <c r="Y1255" s="36"/>
      <c r="Z1255" s="36"/>
      <c r="AA1255" s="36"/>
      <c r="AB1255" s="36"/>
      <c r="AC1255" s="36"/>
    </row>
    <row r="1256" spans="1:29" ht="36" customHeight="1">
      <c r="A1256" s="100"/>
      <c r="B1256" s="100"/>
      <c r="C1256" s="100"/>
      <c r="D1256" s="100"/>
      <c r="E1256" s="627"/>
      <c r="F1256" s="627"/>
      <c r="G1256" s="627"/>
      <c r="H1256" s="100"/>
      <c r="I1256" s="100"/>
      <c r="J1256" s="35"/>
      <c r="K1256" s="36"/>
      <c r="L1256" s="36"/>
      <c r="M1256" s="36"/>
      <c r="N1256" s="36"/>
      <c r="O1256" s="36"/>
      <c r="P1256" s="36"/>
      <c r="Q1256" s="36"/>
      <c r="R1256" s="36"/>
      <c r="S1256" s="36"/>
      <c r="T1256" s="36"/>
      <c r="U1256" s="36"/>
      <c r="V1256" s="36"/>
      <c r="W1256" s="36"/>
      <c r="X1256" s="36"/>
      <c r="Y1256" s="36"/>
      <c r="Z1256" s="36"/>
      <c r="AA1256" s="36"/>
      <c r="AB1256" s="36"/>
      <c r="AC1256" s="36"/>
    </row>
    <row r="1257" spans="1:29" ht="36" customHeight="1">
      <c r="A1257" s="100"/>
      <c r="B1257" s="100"/>
      <c r="C1257" s="100"/>
      <c r="D1257" s="100"/>
      <c r="E1257" s="627"/>
      <c r="F1257" s="627"/>
      <c r="G1257" s="627"/>
      <c r="H1257" s="100"/>
      <c r="I1257" s="100"/>
      <c r="J1257" s="35"/>
      <c r="K1257" s="36"/>
      <c r="L1257" s="36"/>
      <c r="M1257" s="36"/>
      <c r="N1257" s="36"/>
      <c r="O1257" s="36"/>
      <c r="P1257" s="36"/>
      <c r="Q1257" s="36"/>
      <c r="R1257" s="36"/>
      <c r="S1257" s="36"/>
      <c r="T1257" s="36"/>
      <c r="U1257" s="36"/>
      <c r="V1257" s="36"/>
      <c r="W1257" s="36"/>
      <c r="X1257" s="36"/>
      <c r="Y1257" s="36"/>
      <c r="Z1257" s="36"/>
      <c r="AA1257" s="36"/>
      <c r="AB1257" s="36"/>
      <c r="AC1257" s="36"/>
    </row>
    <row r="1258" spans="1:29" ht="36" customHeight="1">
      <c r="A1258" s="100"/>
      <c r="B1258" s="100"/>
      <c r="C1258" s="100"/>
      <c r="D1258" s="100"/>
      <c r="E1258" s="627"/>
      <c r="F1258" s="627"/>
      <c r="G1258" s="627"/>
      <c r="H1258" s="100"/>
      <c r="I1258" s="100"/>
      <c r="J1258" s="35"/>
      <c r="K1258" s="36"/>
      <c r="L1258" s="36"/>
      <c r="M1258" s="36"/>
      <c r="N1258" s="36"/>
      <c r="O1258" s="36"/>
      <c r="P1258" s="36"/>
      <c r="Q1258" s="36"/>
      <c r="R1258" s="36"/>
      <c r="S1258" s="36"/>
      <c r="T1258" s="36"/>
      <c r="U1258" s="36"/>
      <c r="V1258" s="36"/>
      <c r="W1258" s="36"/>
      <c r="X1258" s="36"/>
      <c r="Y1258" s="36"/>
      <c r="Z1258" s="36"/>
      <c r="AA1258" s="36"/>
      <c r="AB1258" s="36"/>
      <c r="AC1258" s="36"/>
    </row>
    <row r="1259" spans="1:29" ht="60" customHeight="1">
      <c r="A1259" s="100"/>
      <c r="B1259" s="100"/>
      <c r="C1259" s="100"/>
      <c r="D1259" s="100"/>
      <c r="E1259" s="627"/>
      <c r="F1259" s="627"/>
      <c r="G1259" s="627"/>
      <c r="H1259" s="100"/>
      <c r="I1259" s="100"/>
      <c r="J1259" s="35"/>
      <c r="K1259" s="36"/>
      <c r="L1259" s="36"/>
      <c r="M1259" s="36"/>
      <c r="N1259" s="36"/>
      <c r="O1259" s="36"/>
      <c r="P1259" s="36"/>
      <c r="Q1259" s="36"/>
      <c r="R1259" s="36"/>
      <c r="S1259" s="36"/>
      <c r="T1259" s="36"/>
      <c r="U1259" s="36"/>
      <c r="V1259" s="36"/>
      <c r="W1259" s="36"/>
      <c r="X1259" s="36"/>
      <c r="Y1259" s="36"/>
      <c r="Z1259" s="36"/>
      <c r="AA1259" s="36"/>
      <c r="AB1259" s="36"/>
      <c r="AC1259" s="36"/>
    </row>
    <row r="1260" spans="1:29" ht="24" customHeight="1">
      <c r="A1260" s="100"/>
      <c r="B1260" s="100"/>
      <c r="C1260" s="100"/>
      <c r="D1260" s="100"/>
      <c r="E1260" s="627"/>
      <c r="F1260" s="627"/>
      <c r="G1260" s="627"/>
      <c r="H1260" s="100"/>
      <c r="I1260" s="100"/>
      <c r="J1260" s="35"/>
      <c r="K1260" s="36"/>
      <c r="L1260" s="36"/>
      <c r="M1260" s="36"/>
      <c r="N1260" s="36"/>
      <c r="O1260" s="36"/>
      <c r="P1260" s="36"/>
      <c r="Q1260" s="36"/>
      <c r="R1260" s="36"/>
      <c r="S1260" s="36"/>
      <c r="T1260" s="36"/>
      <c r="U1260" s="36"/>
      <c r="V1260" s="36"/>
      <c r="W1260" s="36"/>
      <c r="X1260" s="36"/>
      <c r="Y1260" s="36"/>
      <c r="Z1260" s="36"/>
      <c r="AA1260" s="36"/>
      <c r="AB1260" s="36"/>
      <c r="AC1260" s="36"/>
    </row>
    <row r="1261" spans="1:29" ht="36" customHeight="1">
      <c r="A1261" s="100"/>
      <c r="B1261" s="100"/>
      <c r="C1261" s="100"/>
      <c r="D1261" s="100"/>
      <c r="E1261" s="627"/>
      <c r="F1261" s="627"/>
      <c r="G1261" s="627"/>
      <c r="H1261" s="100"/>
      <c r="I1261" s="100"/>
      <c r="J1261" s="35"/>
      <c r="K1261" s="36"/>
      <c r="L1261" s="36"/>
      <c r="M1261" s="36"/>
      <c r="N1261" s="36"/>
      <c r="O1261" s="36"/>
      <c r="P1261" s="36"/>
      <c r="Q1261" s="36"/>
      <c r="R1261" s="36"/>
      <c r="S1261" s="36"/>
      <c r="T1261" s="36"/>
      <c r="U1261" s="36"/>
      <c r="V1261" s="36"/>
      <c r="W1261" s="36"/>
      <c r="X1261" s="36"/>
      <c r="Y1261" s="36"/>
      <c r="Z1261" s="36"/>
      <c r="AA1261" s="36"/>
      <c r="AB1261" s="36"/>
      <c r="AC1261" s="36"/>
    </row>
    <row r="1262" spans="1:29" ht="24" customHeight="1">
      <c r="A1262" s="619"/>
      <c r="B1262" s="100"/>
      <c r="C1262" s="100"/>
      <c r="D1262" s="100"/>
      <c r="E1262" s="627"/>
      <c r="F1262" s="627"/>
      <c r="G1262" s="627"/>
      <c r="H1262" s="100"/>
      <c r="I1262" s="100"/>
      <c r="J1262" s="35"/>
      <c r="K1262" s="36"/>
      <c r="L1262" s="36"/>
      <c r="M1262" s="36"/>
      <c r="N1262" s="36"/>
      <c r="O1262" s="36"/>
      <c r="P1262" s="36"/>
      <c r="Q1262" s="36"/>
      <c r="R1262" s="36"/>
      <c r="S1262" s="36"/>
      <c r="T1262" s="36"/>
      <c r="U1262" s="36"/>
      <c r="V1262" s="36"/>
      <c r="W1262" s="36"/>
      <c r="X1262" s="36"/>
      <c r="Y1262" s="36"/>
      <c r="Z1262" s="36"/>
      <c r="AA1262" s="36"/>
      <c r="AB1262" s="36"/>
      <c r="AC1262" s="36"/>
    </row>
    <row r="1263" spans="1:29" ht="36" customHeight="1">
      <c r="A1263" s="100"/>
      <c r="B1263" s="100"/>
      <c r="C1263" s="100"/>
      <c r="D1263" s="100"/>
      <c r="E1263" s="627"/>
      <c r="F1263" s="627"/>
      <c r="G1263" s="627"/>
      <c r="H1263" s="100"/>
      <c r="I1263" s="100"/>
      <c r="J1263" s="35"/>
      <c r="K1263" s="36"/>
      <c r="L1263" s="36"/>
      <c r="M1263" s="36"/>
      <c r="N1263" s="36"/>
      <c r="O1263" s="36"/>
      <c r="P1263" s="36"/>
      <c r="Q1263" s="36"/>
      <c r="R1263" s="36"/>
      <c r="S1263" s="36"/>
      <c r="T1263" s="36"/>
      <c r="U1263" s="36"/>
      <c r="V1263" s="36"/>
      <c r="W1263" s="36"/>
      <c r="X1263" s="36"/>
      <c r="Y1263" s="36"/>
      <c r="Z1263" s="36"/>
      <c r="AA1263" s="36"/>
      <c r="AB1263" s="36"/>
      <c r="AC1263" s="36"/>
    </row>
    <row r="1264" spans="1:29" ht="24" customHeight="1">
      <c r="A1264" s="100"/>
      <c r="B1264" s="100"/>
      <c r="C1264" s="100"/>
      <c r="D1264" s="100"/>
      <c r="E1264" s="627"/>
      <c r="F1264" s="627"/>
      <c r="G1264" s="627"/>
      <c r="H1264" s="100"/>
      <c r="I1264" s="100"/>
      <c r="J1264" s="35"/>
      <c r="K1264" s="36"/>
      <c r="L1264" s="36"/>
      <c r="M1264" s="36"/>
      <c r="N1264" s="36"/>
      <c r="O1264" s="36"/>
      <c r="P1264" s="36"/>
      <c r="Q1264" s="36"/>
      <c r="R1264" s="36"/>
      <c r="S1264" s="36"/>
      <c r="T1264" s="36"/>
      <c r="U1264" s="36"/>
      <c r="V1264" s="36"/>
      <c r="W1264" s="36"/>
      <c r="X1264" s="36"/>
      <c r="Y1264" s="36"/>
      <c r="Z1264" s="36"/>
      <c r="AA1264" s="36"/>
      <c r="AB1264" s="36"/>
      <c r="AC1264" s="36"/>
    </row>
    <row r="1265" spans="1:29" ht="24" customHeight="1">
      <c r="A1265" s="100"/>
      <c r="B1265" s="100"/>
      <c r="C1265" s="100"/>
      <c r="D1265" s="100"/>
      <c r="E1265" s="627"/>
      <c r="F1265" s="627"/>
      <c r="G1265" s="627"/>
      <c r="H1265" s="100"/>
      <c r="I1265" s="100"/>
      <c r="J1265" s="35"/>
      <c r="K1265" s="36"/>
      <c r="L1265" s="36"/>
      <c r="M1265" s="36"/>
      <c r="N1265" s="36"/>
      <c r="O1265" s="36"/>
      <c r="P1265" s="36"/>
      <c r="Q1265" s="36"/>
      <c r="R1265" s="36"/>
      <c r="S1265" s="36"/>
      <c r="T1265" s="36"/>
      <c r="U1265" s="36"/>
      <c r="V1265" s="36"/>
      <c r="W1265" s="36"/>
      <c r="X1265" s="36"/>
      <c r="Y1265" s="36"/>
      <c r="Z1265" s="36"/>
      <c r="AA1265" s="36"/>
      <c r="AB1265" s="36"/>
      <c r="AC1265" s="36"/>
    </row>
    <row r="1266" spans="1:29" ht="24" customHeight="1">
      <c r="A1266" s="100"/>
      <c r="B1266" s="100"/>
      <c r="C1266" s="100"/>
      <c r="D1266" s="100"/>
      <c r="E1266" s="627"/>
      <c r="F1266" s="627"/>
      <c r="G1266" s="627"/>
      <c r="H1266" s="100"/>
      <c r="I1266" s="100"/>
      <c r="J1266" s="35"/>
      <c r="K1266" s="36"/>
      <c r="L1266" s="36"/>
      <c r="M1266" s="36"/>
      <c r="N1266" s="36"/>
      <c r="O1266" s="36"/>
      <c r="P1266" s="36"/>
      <c r="Q1266" s="36"/>
      <c r="R1266" s="36"/>
      <c r="S1266" s="36"/>
      <c r="T1266" s="36"/>
      <c r="U1266" s="36"/>
      <c r="V1266" s="36"/>
      <c r="W1266" s="36"/>
      <c r="X1266" s="36"/>
      <c r="Y1266" s="36"/>
      <c r="Z1266" s="36"/>
      <c r="AA1266" s="36"/>
      <c r="AB1266" s="36"/>
      <c r="AC1266" s="36"/>
    </row>
    <row r="1267" spans="1:29" ht="24" customHeight="1">
      <c r="A1267" s="100"/>
      <c r="B1267" s="100"/>
      <c r="C1267" s="100"/>
      <c r="D1267" s="100"/>
      <c r="E1267" s="627"/>
      <c r="F1267" s="627"/>
      <c r="G1267" s="627"/>
      <c r="H1267" s="100"/>
      <c r="I1267" s="100"/>
      <c r="J1267" s="35"/>
      <c r="K1267" s="36"/>
      <c r="L1267" s="36"/>
      <c r="M1267" s="36"/>
      <c r="N1267" s="36"/>
      <c r="O1267" s="36"/>
      <c r="P1267" s="36"/>
      <c r="Q1267" s="36"/>
      <c r="R1267" s="36"/>
      <c r="S1267" s="36"/>
      <c r="T1267" s="36"/>
      <c r="U1267" s="36"/>
      <c r="V1267" s="36"/>
      <c r="W1267" s="36"/>
      <c r="X1267" s="36"/>
      <c r="Y1267" s="36"/>
      <c r="Z1267" s="36"/>
      <c r="AA1267" s="36"/>
      <c r="AB1267" s="36"/>
      <c r="AC1267" s="36"/>
    </row>
    <row r="1268" spans="1:29" ht="24" customHeight="1">
      <c r="A1268" s="100"/>
      <c r="B1268" s="100"/>
      <c r="C1268" s="100"/>
      <c r="D1268" s="100"/>
      <c r="E1268" s="627"/>
      <c r="F1268" s="627"/>
      <c r="G1268" s="627"/>
      <c r="H1268" s="100"/>
      <c r="I1268" s="100"/>
      <c r="J1268" s="35"/>
      <c r="K1268" s="36"/>
      <c r="L1268" s="36"/>
      <c r="M1268" s="36"/>
      <c r="N1268" s="36"/>
      <c r="O1268" s="36"/>
      <c r="P1268" s="36"/>
      <c r="Q1268" s="36"/>
      <c r="R1268" s="36"/>
      <c r="S1268" s="36"/>
      <c r="T1268" s="36"/>
      <c r="U1268" s="36"/>
      <c r="V1268" s="36"/>
      <c r="W1268" s="36"/>
      <c r="X1268" s="36"/>
      <c r="Y1268" s="36"/>
      <c r="Z1268" s="36"/>
      <c r="AA1268" s="36"/>
      <c r="AB1268" s="36"/>
      <c r="AC1268" s="36"/>
    </row>
    <row r="1269" spans="1:29" ht="36" customHeight="1">
      <c r="A1269" s="100"/>
      <c r="B1269" s="100"/>
      <c r="C1269" s="100"/>
      <c r="D1269" s="100"/>
      <c r="E1269" s="627"/>
      <c r="F1269" s="627"/>
      <c r="G1269" s="627"/>
      <c r="H1269" s="100"/>
      <c r="I1269" s="100"/>
      <c r="J1269" s="35"/>
      <c r="K1269" s="36"/>
      <c r="L1269" s="36"/>
      <c r="M1269" s="36"/>
      <c r="N1269" s="36"/>
      <c r="O1269" s="36"/>
      <c r="P1269" s="36"/>
      <c r="Q1269" s="36"/>
      <c r="R1269" s="36"/>
      <c r="S1269" s="36"/>
      <c r="T1269" s="36"/>
      <c r="U1269" s="36"/>
      <c r="V1269" s="36"/>
      <c r="W1269" s="36"/>
      <c r="X1269" s="36"/>
      <c r="Y1269" s="36"/>
      <c r="Z1269" s="36"/>
      <c r="AA1269" s="36"/>
      <c r="AB1269" s="36"/>
      <c r="AC1269" s="36"/>
    </row>
    <row r="1270" spans="1:29" ht="36" customHeight="1">
      <c r="A1270" s="100"/>
      <c r="B1270" s="100"/>
      <c r="C1270" s="100"/>
      <c r="D1270" s="100"/>
      <c r="E1270" s="627"/>
      <c r="F1270" s="627"/>
      <c r="G1270" s="627"/>
      <c r="H1270" s="100"/>
      <c r="I1270" s="100"/>
      <c r="J1270" s="35"/>
      <c r="K1270" s="36"/>
      <c r="L1270" s="36"/>
      <c r="M1270" s="36"/>
      <c r="N1270" s="36"/>
      <c r="O1270" s="36"/>
      <c r="P1270" s="36"/>
      <c r="Q1270" s="36"/>
      <c r="R1270" s="36"/>
      <c r="S1270" s="36"/>
      <c r="T1270" s="36"/>
      <c r="U1270" s="36"/>
      <c r="V1270" s="36"/>
      <c r="W1270" s="36"/>
      <c r="X1270" s="36"/>
      <c r="Y1270" s="36"/>
      <c r="Z1270" s="36"/>
      <c r="AA1270" s="36"/>
      <c r="AB1270" s="36"/>
      <c r="AC1270" s="36"/>
    </row>
    <row r="1271" spans="1:29" ht="24" customHeight="1">
      <c r="A1271" s="100"/>
      <c r="B1271" s="100"/>
      <c r="C1271" s="100"/>
      <c r="D1271" s="100"/>
      <c r="E1271" s="627"/>
      <c r="F1271" s="627"/>
      <c r="G1271" s="627"/>
      <c r="H1271" s="100"/>
      <c r="I1271" s="100"/>
      <c r="J1271" s="35"/>
      <c r="K1271" s="36"/>
      <c r="L1271" s="36"/>
      <c r="M1271" s="36"/>
      <c r="N1271" s="36"/>
      <c r="O1271" s="36"/>
      <c r="P1271" s="36"/>
      <c r="Q1271" s="36"/>
      <c r="R1271" s="36"/>
      <c r="S1271" s="36"/>
      <c r="T1271" s="36"/>
      <c r="U1271" s="36"/>
      <c r="V1271" s="36"/>
      <c r="W1271" s="36"/>
      <c r="X1271" s="36"/>
      <c r="Y1271" s="36"/>
      <c r="Z1271" s="36"/>
      <c r="AA1271" s="36"/>
      <c r="AB1271" s="36"/>
      <c r="AC1271" s="36"/>
    </row>
    <row r="1272" spans="1:29" ht="24" customHeight="1">
      <c r="A1272" s="100"/>
      <c r="B1272" s="100"/>
      <c r="C1272" s="100"/>
      <c r="D1272" s="100"/>
      <c r="E1272" s="627"/>
      <c r="F1272" s="627"/>
      <c r="G1272" s="627"/>
      <c r="H1272" s="100"/>
      <c r="I1272" s="100"/>
      <c r="J1272" s="35"/>
      <c r="K1272" s="36"/>
      <c r="L1272" s="36"/>
      <c r="M1272" s="36"/>
      <c r="N1272" s="36"/>
      <c r="O1272" s="36"/>
      <c r="P1272" s="36"/>
      <c r="Q1272" s="36"/>
      <c r="R1272" s="36"/>
      <c r="S1272" s="36"/>
      <c r="T1272" s="36"/>
      <c r="U1272" s="36"/>
      <c r="V1272" s="36"/>
      <c r="W1272" s="36"/>
      <c r="X1272" s="36"/>
      <c r="Y1272" s="36"/>
      <c r="Z1272" s="36"/>
      <c r="AA1272" s="36"/>
      <c r="AB1272" s="36"/>
      <c r="AC1272" s="36"/>
    </row>
    <row r="1273" spans="1:29" ht="36" customHeight="1">
      <c r="A1273" s="100"/>
      <c r="B1273" s="100"/>
      <c r="C1273" s="100"/>
      <c r="D1273" s="100"/>
      <c r="E1273" s="627"/>
      <c r="F1273" s="627"/>
      <c r="G1273" s="627"/>
      <c r="H1273" s="100"/>
      <c r="I1273" s="100"/>
      <c r="J1273" s="35"/>
      <c r="K1273" s="36"/>
      <c r="L1273" s="36"/>
      <c r="M1273" s="36"/>
      <c r="N1273" s="36"/>
      <c r="O1273" s="36"/>
      <c r="P1273" s="36"/>
      <c r="Q1273" s="36"/>
      <c r="R1273" s="36"/>
      <c r="S1273" s="36"/>
      <c r="T1273" s="36"/>
      <c r="U1273" s="36"/>
      <c r="V1273" s="36"/>
      <c r="W1273" s="36"/>
      <c r="X1273" s="36"/>
      <c r="Y1273" s="36"/>
      <c r="Z1273" s="36"/>
      <c r="AA1273" s="36"/>
      <c r="AB1273" s="36"/>
      <c r="AC1273" s="36"/>
    </row>
    <row r="1274" spans="1:29" ht="24" customHeight="1">
      <c r="A1274" s="100"/>
      <c r="B1274" s="100"/>
      <c r="C1274" s="100"/>
      <c r="D1274" s="100"/>
      <c r="E1274" s="627"/>
      <c r="F1274" s="627"/>
      <c r="G1274" s="627"/>
      <c r="H1274" s="100"/>
      <c r="I1274" s="100"/>
      <c r="J1274" s="35"/>
      <c r="K1274" s="36"/>
      <c r="L1274" s="36"/>
      <c r="M1274" s="36"/>
      <c r="N1274" s="36"/>
      <c r="O1274" s="36"/>
      <c r="P1274" s="36"/>
      <c r="Q1274" s="36"/>
      <c r="R1274" s="36"/>
      <c r="S1274" s="36"/>
      <c r="T1274" s="36"/>
      <c r="U1274" s="36"/>
      <c r="V1274" s="36"/>
      <c r="W1274" s="36"/>
      <c r="X1274" s="36"/>
      <c r="Y1274" s="36"/>
      <c r="Z1274" s="36"/>
      <c r="AA1274" s="36"/>
      <c r="AB1274" s="36"/>
      <c r="AC1274" s="36"/>
    </row>
    <row r="1275" spans="1:29" ht="24" customHeight="1">
      <c r="A1275" s="100"/>
      <c r="B1275" s="100"/>
      <c r="C1275" s="100"/>
      <c r="D1275" s="100"/>
      <c r="E1275" s="627"/>
      <c r="F1275" s="627"/>
      <c r="G1275" s="627"/>
      <c r="H1275" s="100"/>
      <c r="I1275" s="100"/>
      <c r="J1275" s="35"/>
      <c r="K1275" s="36"/>
      <c r="L1275" s="36"/>
      <c r="M1275" s="36"/>
      <c r="N1275" s="36"/>
      <c r="O1275" s="36"/>
      <c r="P1275" s="36"/>
      <c r="Q1275" s="36"/>
      <c r="R1275" s="36"/>
      <c r="S1275" s="36"/>
      <c r="T1275" s="36"/>
      <c r="U1275" s="36"/>
      <c r="V1275" s="36"/>
      <c r="W1275" s="36"/>
      <c r="X1275" s="36"/>
      <c r="Y1275" s="36"/>
      <c r="Z1275" s="36"/>
      <c r="AA1275" s="36"/>
      <c r="AB1275" s="36"/>
      <c r="AC1275" s="36"/>
    </row>
    <row r="1276" spans="1:29" ht="24" customHeight="1">
      <c r="A1276" s="100"/>
      <c r="B1276" s="100"/>
      <c r="C1276" s="100"/>
      <c r="D1276" s="100"/>
      <c r="E1276" s="627"/>
      <c r="F1276" s="627"/>
      <c r="G1276" s="627"/>
      <c r="H1276" s="100"/>
      <c r="I1276" s="100"/>
      <c r="J1276" s="35"/>
      <c r="K1276" s="36"/>
      <c r="L1276" s="36"/>
      <c r="M1276" s="36"/>
      <c r="N1276" s="36"/>
      <c r="O1276" s="36"/>
      <c r="P1276" s="36"/>
      <c r="Q1276" s="36"/>
      <c r="R1276" s="36"/>
      <c r="S1276" s="36"/>
      <c r="T1276" s="36"/>
      <c r="U1276" s="36"/>
      <c r="V1276" s="36"/>
      <c r="W1276" s="36"/>
      <c r="X1276" s="36"/>
      <c r="Y1276" s="36"/>
      <c r="Z1276" s="36"/>
      <c r="AA1276" s="36"/>
      <c r="AB1276" s="36"/>
      <c r="AC1276" s="36"/>
    </row>
    <row r="1277" spans="1:29" ht="24" customHeight="1">
      <c r="A1277" s="100"/>
      <c r="B1277" s="100"/>
      <c r="C1277" s="100"/>
      <c r="D1277" s="100"/>
      <c r="E1277" s="627"/>
      <c r="F1277" s="627"/>
      <c r="G1277" s="627"/>
      <c r="H1277" s="100"/>
      <c r="I1277" s="100"/>
      <c r="J1277" s="35"/>
      <c r="K1277" s="36"/>
      <c r="L1277" s="36"/>
      <c r="M1277" s="36"/>
      <c r="N1277" s="36"/>
      <c r="O1277" s="36"/>
      <c r="P1277" s="36"/>
      <c r="Q1277" s="36"/>
      <c r="R1277" s="36"/>
      <c r="S1277" s="36"/>
      <c r="T1277" s="36"/>
      <c r="U1277" s="36"/>
      <c r="V1277" s="36"/>
      <c r="W1277" s="36"/>
      <c r="X1277" s="36"/>
      <c r="Y1277" s="36"/>
      <c r="Z1277" s="36"/>
      <c r="AA1277" s="36"/>
      <c r="AB1277" s="36"/>
      <c r="AC1277" s="36"/>
    </row>
    <row r="1278" spans="1:29" ht="36" customHeight="1">
      <c r="A1278" s="100"/>
      <c r="B1278" s="100"/>
      <c r="C1278" s="100"/>
      <c r="D1278" s="100"/>
      <c r="E1278" s="627"/>
      <c r="F1278" s="627"/>
      <c r="G1278" s="627"/>
      <c r="H1278" s="100"/>
      <c r="I1278" s="100"/>
      <c r="J1278" s="35"/>
      <c r="K1278" s="36"/>
      <c r="L1278" s="36"/>
      <c r="M1278" s="36"/>
      <c r="N1278" s="36"/>
      <c r="O1278" s="36"/>
      <c r="P1278" s="36"/>
      <c r="Q1278" s="36"/>
      <c r="R1278" s="36"/>
      <c r="S1278" s="36"/>
      <c r="T1278" s="36"/>
      <c r="U1278" s="36"/>
      <c r="V1278" s="36"/>
      <c r="W1278" s="36"/>
      <c r="X1278" s="36"/>
      <c r="Y1278" s="36"/>
      <c r="Z1278" s="36"/>
      <c r="AA1278" s="36"/>
      <c r="AB1278" s="36"/>
      <c r="AC1278" s="36"/>
    </row>
    <row r="1279" spans="1:29" ht="36" customHeight="1">
      <c r="A1279" s="100"/>
      <c r="B1279" s="100"/>
      <c r="C1279" s="100"/>
      <c r="D1279" s="100"/>
      <c r="E1279" s="627"/>
      <c r="F1279" s="627"/>
      <c r="G1279" s="627"/>
      <c r="H1279" s="100"/>
      <c r="I1279" s="100"/>
      <c r="J1279" s="35"/>
      <c r="K1279" s="36"/>
      <c r="L1279" s="36"/>
      <c r="M1279" s="36"/>
      <c r="N1279" s="36"/>
      <c r="O1279" s="36"/>
      <c r="P1279" s="36"/>
      <c r="Q1279" s="36"/>
      <c r="R1279" s="36"/>
      <c r="S1279" s="36"/>
      <c r="T1279" s="36"/>
      <c r="U1279" s="36"/>
      <c r="V1279" s="36"/>
      <c r="W1279" s="36"/>
      <c r="X1279" s="36"/>
      <c r="Y1279" s="36"/>
      <c r="Z1279" s="36"/>
      <c r="AA1279" s="36"/>
      <c r="AB1279" s="36"/>
      <c r="AC1279" s="36"/>
    </row>
    <row r="1280" spans="1:29" ht="36" customHeight="1">
      <c r="A1280" s="100"/>
      <c r="B1280" s="100"/>
      <c r="C1280" s="100"/>
      <c r="D1280" s="100"/>
      <c r="E1280" s="627"/>
      <c r="F1280" s="627"/>
      <c r="G1280" s="627"/>
      <c r="H1280" s="100"/>
      <c r="I1280" s="100"/>
      <c r="J1280" s="35"/>
      <c r="K1280" s="36"/>
      <c r="L1280" s="36"/>
      <c r="M1280" s="36"/>
      <c r="N1280" s="36"/>
      <c r="O1280" s="36"/>
      <c r="P1280" s="36"/>
      <c r="Q1280" s="36"/>
      <c r="R1280" s="36"/>
      <c r="S1280" s="36"/>
      <c r="T1280" s="36"/>
      <c r="U1280" s="36"/>
      <c r="V1280" s="36"/>
      <c r="W1280" s="36"/>
      <c r="X1280" s="36"/>
      <c r="Y1280" s="36"/>
      <c r="Z1280" s="36"/>
      <c r="AA1280" s="36"/>
      <c r="AB1280" s="36"/>
      <c r="AC1280" s="36"/>
    </row>
    <row r="1281" spans="1:29" ht="36" customHeight="1">
      <c r="A1281" s="100"/>
      <c r="B1281" s="100"/>
      <c r="C1281" s="100"/>
      <c r="D1281" s="100"/>
      <c r="E1281" s="627"/>
      <c r="F1281" s="627"/>
      <c r="G1281" s="627"/>
      <c r="H1281" s="100"/>
      <c r="I1281" s="100"/>
      <c r="J1281" s="35"/>
      <c r="K1281" s="36"/>
      <c r="L1281" s="36"/>
      <c r="M1281" s="36"/>
      <c r="N1281" s="36"/>
      <c r="O1281" s="36"/>
      <c r="P1281" s="36"/>
      <c r="Q1281" s="36"/>
      <c r="R1281" s="36"/>
      <c r="S1281" s="36"/>
      <c r="T1281" s="36"/>
      <c r="U1281" s="36"/>
      <c r="V1281" s="36"/>
      <c r="W1281" s="36"/>
      <c r="X1281" s="36"/>
      <c r="Y1281" s="36"/>
      <c r="Z1281" s="36"/>
      <c r="AA1281" s="36"/>
      <c r="AB1281" s="36"/>
      <c r="AC1281" s="36"/>
    </row>
    <row r="1282" spans="1:29" ht="24" customHeight="1">
      <c r="A1282" s="100"/>
      <c r="B1282" s="463"/>
      <c r="C1282" s="100"/>
      <c r="D1282" s="501"/>
      <c r="E1282" s="627"/>
      <c r="F1282" s="627"/>
      <c r="G1282" s="627"/>
      <c r="H1282" s="100"/>
      <c r="I1282" s="100"/>
      <c r="J1282" s="35"/>
      <c r="K1282" s="36"/>
      <c r="L1282" s="36"/>
      <c r="M1282" s="36"/>
      <c r="N1282" s="36"/>
      <c r="O1282" s="36"/>
      <c r="P1282" s="36"/>
      <c r="Q1282" s="36"/>
      <c r="R1282" s="36"/>
      <c r="S1282" s="36"/>
      <c r="T1282" s="36"/>
      <c r="U1282" s="36"/>
      <c r="V1282" s="36"/>
      <c r="W1282" s="36"/>
      <c r="X1282" s="36"/>
      <c r="Y1282" s="36"/>
      <c r="Z1282" s="36"/>
      <c r="AA1282" s="36"/>
      <c r="AB1282" s="36"/>
      <c r="AC1282" s="36"/>
    </row>
    <row r="1283" spans="1:29" ht="24" customHeight="1">
      <c r="A1283" s="100"/>
      <c r="B1283" s="463"/>
      <c r="C1283" s="100"/>
      <c r="D1283" s="100"/>
      <c r="E1283" s="627"/>
      <c r="F1283" s="627"/>
      <c r="G1283" s="627"/>
      <c r="H1283" s="100"/>
      <c r="I1283" s="100"/>
      <c r="J1283" s="35"/>
      <c r="K1283" s="36"/>
      <c r="L1283" s="36"/>
      <c r="M1283" s="36"/>
      <c r="N1283" s="36"/>
      <c r="O1283" s="36"/>
      <c r="P1283" s="36"/>
      <c r="Q1283" s="36"/>
      <c r="R1283" s="36"/>
      <c r="S1283" s="36"/>
      <c r="T1283" s="36"/>
      <c r="U1283" s="36"/>
      <c r="V1283" s="36"/>
      <c r="W1283" s="36"/>
      <c r="X1283" s="36"/>
      <c r="Y1283" s="36"/>
      <c r="Z1283" s="36"/>
      <c r="AA1283" s="36"/>
      <c r="AB1283" s="36"/>
      <c r="AC1283" s="36"/>
    </row>
    <row r="1284" spans="1:29" ht="24" customHeight="1">
      <c r="A1284" s="100"/>
      <c r="B1284" s="100"/>
      <c r="C1284" s="100"/>
      <c r="D1284" s="100"/>
      <c r="E1284" s="627"/>
      <c r="F1284" s="627"/>
      <c r="G1284" s="627"/>
      <c r="H1284" s="100"/>
      <c r="I1284" s="100"/>
      <c r="J1284" s="35"/>
      <c r="K1284" s="36"/>
      <c r="L1284" s="36"/>
      <c r="M1284" s="36"/>
      <c r="N1284" s="36"/>
      <c r="O1284" s="36"/>
      <c r="P1284" s="36"/>
      <c r="Q1284" s="36"/>
      <c r="R1284" s="36"/>
      <c r="S1284" s="36"/>
      <c r="T1284" s="36"/>
      <c r="U1284" s="36"/>
      <c r="V1284" s="36"/>
      <c r="W1284" s="36"/>
      <c r="X1284" s="36"/>
      <c r="Y1284" s="36"/>
      <c r="Z1284" s="36"/>
      <c r="AA1284" s="36"/>
      <c r="AB1284" s="36"/>
      <c r="AC1284" s="36"/>
    </row>
    <row r="1285" spans="1:29" ht="12" customHeight="1">
      <c r="A1285" s="100"/>
      <c r="B1285" s="100"/>
      <c r="C1285" s="100"/>
      <c r="D1285" s="100"/>
      <c r="E1285" s="627"/>
      <c r="F1285" s="627"/>
      <c r="G1285" s="627"/>
      <c r="H1285" s="100"/>
      <c r="I1285" s="100"/>
      <c r="J1285" s="35"/>
      <c r="K1285" s="36"/>
      <c r="L1285" s="36"/>
      <c r="M1285" s="36"/>
      <c r="N1285" s="36"/>
      <c r="O1285" s="36"/>
      <c r="P1285" s="36"/>
      <c r="Q1285" s="36"/>
      <c r="R1285" s="36"/>
      <c r="S1285" s="36"/>
      <c r="T1285" s="36"/>
      <c r="U1285" s="36"/>
      <c r="V1285" s="36"/>
      <c r="W1285" s="36"/>
      <c r="X1285" s="36"/>
      <c r="Y1285" s="36"/>
      <c r="Z1285" s="36"/>
      <c r="AA1285" s="36"/>
      <c r="AB1285" s="36"/>
      <c r="AC1285" s="36"/>
    </row>
    <row r="1286" spans="1:29" ht="12" customHeight="1">
      <c r="A1286" s="100"/>
      <c r="B1286" s="100"/>
      <c r="C1286" s="100"/>
      <c r="D1286" s="100"/>
      <c r="E1286" s="627"/>
      <c r="F1286" s="627"/>
      <c r="G1286" s="627"/>
      <c r="H1286" s="100"/>
      <c r="I1286" s="100"/>
      <c r="J1286" s="35"/>
      <c r="K1286" s="36"/>
      <c r="L1286" s="36"/>
      <c r="M1286" s="36"/>
      <c r="N1286" s="36"/>
      <c r="O1286" s="36"/>
      <c r="P1286" s="36"/>
      <c r="Q1286" s="36"/>
      <c r="R1286" s="36"/>
      <c r="S1286" s="36"/>
      <c r="T1286" s="36"/>
      <c r="U1286" s="36"/>
      <c r="V1286" s="36"/>
      <c r="W1286" s="36"/>
      <c r="X1286" s="36"/>
      <c r="Y1286" s="36"/>
      <c r="Z1286" s="36"/>
      <c r="AA1286" s="36"/>
      <c r="AB1286" s="36"/>
      <c r="AC1286" s="36"/>
    </row>
    <row r="1287" spans="1:29" ht="12" customHeight="1">
      <c r="A1287" s="100"/>
      <c r="B1287" s="100"/>
      <c r="C1287" s="100"/>
      <c r="D1287" s="100"/>
      <c r="E1287" s="627"/>
      <c r="F1287" s="627"/>
      <c r="G1287" s="627"/>
      <c r="H1287" s="100"/>
      <c r="I1287" s="100"/>
      <c r="J1287" s="35"/>
      <c r="K1287" s="74"/>
      <c r="L1287" s="74"/>
      <c r="M1287" s="74"/>
      <c r="N1287" s="74"/>
      <c r="O1287" s="74"/>
      <c r="P1287" s="74"/>
      <c r="Q1287" s="74"/>
      <c r="R1287" s="74"/>
      <c r="S1287" s="74"/>
      <c r="T1287" s="74"/>
      <c r="U1287" s="74"/>
      <c r="V1287" s="74"/>
      <c r="W1287" s="74"/>
      <c r="X1287" s="74"/>
      <c r="Y1287" s="74"/>
      <c r="Z1287" s="74"/>
      <c r="AA1287" s="74"/>
      <c r="AB1287" s="74"/>
      <c r="AC1287" s="74"/>
    </row>
    <row r="1288" spans="1:29" ht="12" customHeight="1">
      <c r="A1288" s="100"/>
      <c r="B1288" s="100"/>
      <c r="C1288" s="100"/>
      <c r="D1288" s="100"/>
      <c r="E1288" s="627"/>
      <c r="F1288" s="627"/>
      <c r="G1288" s="627"/>
      <c r="H1288" s="100"/>
      <c r="I1288" s="100"/>
      <c r="J1288" s="35"/>
      <c r="K1288" s="74"/>
      <c r="L1288" s="74"/>
      <c r="M1288" s="74"/>
      <c r="N1288" s="74"/>
      <c r="O1288" s="74"/>
      <c r="P1288" s="74"/>
      <c r="Q1288" s="74"/>
      <c r="R1288" s="74"/>
      <c r="S1288" s="74"/>
      <c r="T1288" s="74"/>
      <c r="U1288" s="74"/>
      <c r="V1288" s="74"/>
      <c r="W1288" s="74"/>
      <c r="X1288" s="74"/>
      <c r="Y1288" s="74"/>
      <c r="Z1288" s="74"/>
      <c r="AA1288" s="74"/>
      <c r="AB1288" s="74"/>
      <c r="AC1288" s="74"/>
    </row>
    <row r="1289" spans="1:29" ht="12" customHeight="1">
      <c r="A1289" s="100"/>
      <c r="B1289" s="100"/>
      <c r="C1289" s="100"/>
      <c r="D1289" s="100"/>
      <c r="E1289" s="627"/>
      <c r="F1289" s="627"/>
      <c r="G1289" s="627"/>
      <c r="H1289" s="100"/>
      <c r="I1289" s="100"/>
      <c r="J1289" s="35"/>
      <c r="K1289" s="74"/>
      <c r="L1289" s="74"/>
      <c r="M1289" s="74"/>
      <c r="N1289" s="74"/>
      <c r="O1289" s="74"/>
      <c r="P1289" s="74"/>
      <c r="Q1289" s="74"/>
      <c r="R1289" s="74"/>
      <c r="S1289" s="74"/>
      <c r="T1289" s="74"/>
      <c r="U1289" s="74"/>
      <c r="V1289" s="74"/>
      <c r="W1289" s="74"/>
      <c r="X1289" s="74"/>
      <c r="Y1289" s="74"/>
      <c r="Z1289" s="74"/>
      <c r="AA1289" s="74"/>
      <c r="AB1289" s="74"/>
      <c r="AC1289" s="74"/>
    </row>
  </sheetData>
  <autoFilter ref="A5:AC1289" xr:uid="{00000000-0009-0000-0000-00001A000000}"/>
  <mergeCells count="1">
    <mergeCell ref="A4:G4"/>
  </mergeCells>
  <hyperlinks>
    <hyperlink ref="G3" location="Menu por Procesos!A1" display="MENU" xr:uid="{00000000-0004-0000-1A00-000000000000}"/>
    <hyperlink ref="G6" r:id="rId1" xr:uid="{00000000-0004-0000-1A00-000001000000}"/>
    <hyperlink ref="G7" r:id="rId2" xr:uid="{00000000-0004-0000-1A00-000002000000}"/>
    <hyperlink ref="G8" r:id="rId3" xr:uid="{00000000-0004-0000-1A00-000003000000}"/>
    <hyperlink ref="G9" r:id="rId4" xr:uid="{00000000-0004-0000-1A00-000004000000}"/>
    <hyperlink ref="G10" r:id="rId5" xr:uid="{00000000-0004-0000-1A00-000005000000}"/>
    <hyperlink ref="G11" r:id="rId6" xr:uid="{00000000-0004-0000-1A00-000006000000}"/>
    <hyperlink ref="G12" r:id="rId7" xr:uid="{00000000-0004-0000-1A00-000007000000}"/>
    <hyperlink ref="G13" r:id="rId8" xr:uid="{00000000-0004-0000-1A00-000008000000}"/>
    <hyperlink ref="G14" r:id="rId9" xr:uid="{00000000-0004-0000-1A00-000009000000}"/>
    <hyperlink ref="G15" r:id="rId10" xr:uid="{00000000-0004-0000-1A00-00000A000000}"/>
    <hyperlink ref="G16" r:id="rId11" xr:uid="{00000000-0004-0000-1A00-00000B000000}"/>
    <hyperlink ref="G17" r:id="rId12" xr:uid="{00000000-0004-0000-1A00-00000C000000}"/>
    <hyperlink ref="G18" r:id="rId13" xr:uid="{00000000-0004-0000-1A00-00000D000000}"/>
    <hyperlink ref="G19" r:id="rId14" xr:uid="{00000000-0004-0000-1A00-00000E000000}"/>
    <hyperlink ref="G20" r:id="rId15" xr:uid="{00000000-0004-0000-1A00-00000F000000}"/>
    <hyperlink ref="G21" r:id="rId16" xr:uid="{00000000-0004-0000-1A00-000010000000}"/>
    <hyperlink ref="G22" r:id="rId17" xr:uid="{00000000-0004-0000-1A00-000011000000}"/>
    <hyperlink ref="G23" r:id="rId18" xr:uid="{00000000-0004-0000-1A00-000012000000}"/>
    <hyperlink ref="G24" r:id="rId19" xr:uid="{00000000-0004-0000-1A00-000013000000}"/>
    <hyperlink ref="G25" r:id="rId20" xr:uid="{00000000-0004-0000-1A00-000014000000}"/>
    <hyperlink ref="G26" r:id="rId21" xr:uid="{00000000-0004-0000-1A00-000015000000}"/>
    <hyperlink ref="G27" r:id="rId22" xr:uid="{00000000-0004-0000-1A00-000016000000}"/>
    <hyperlink ref="G28" r:id="rId23" xr:uid="{00000000-0004-0000-1A00-000017000000}"/>
    <hyperlink ref="G29" r:id="rId24" xr:uid="{00000000-0004-0000-1A00-000018000000}"/>
    <hyperlink ref="G30" r:id="rId25" xr:uid="{00000000-0004-0000-1A00-000019000000}"/>
    <hyperlink ref="G31" r:id="rId26" xr:uid="{00000000-0004-0000-1A00-00001A000000}"/>
    <hyperlink ref="G32" r:id="rId27" xr:uid="{00000000-0004-0000-1A00-00001B000000}"/>
    <hyperlink ref="G33" r:id="rId28" xr:uid="{00000000-0004-0000-1A00-00001C000000}"/>
    <hyperlink ref="G34" r:id="rId29" xr:uid="{00000000-0004-0000-1A00-00001D000000}"/>
    <hyperlink ref="G35" r:id="rId30" xr:uid="{00000000-0004-0000-1A00-00001E000000}"/>
    <hyperlink ref="G36" r:id="rId31" xr:uid="{00000000-0004-0000-1A00-00001F000000}"/>
    <hyperlink ref="G37" r:id="rId32" xr:uid="{00000000-0004-0000-1A00-000020000000}"/>
    <hyperlink ref="G38" r:id="rId33" xr:uid="{00000000-0004-0000-1A00-000021000000}"/>
    <hyperlink ref="G39" r:id="rId34" xr:uid="{00000000-0004-0000-1A00-000022000000}"/>
    <hyperlink ref="G40" r:id="rId35" xr:uid="{00000000-0004-0000-1A00-000023000000}"/>
    <hyperlink ref="G41" r:id="rId36" xr:uid="{00000000-0004-0000-1A00-000024000000}"/>
    <hyperlink ref="G42" r:id="rId37" xr:uid="{00000000-0004-0000-1A00-000025000000}"/>
    <hyperlink ref="G43" r:id="rId38" xr:uid="{00000000-0004-0000-1A00-000026000000}"/>
    <hyperlink ref="G44" r:id="rId39" xr:uid="{00000000-0004-0000-1A00-000027000000}"/>
    <hyperlink ref="G45" r:id="rId40" xr:uid="{00000000-0004-0000-1A00-000028000000}"/>
    <hyperlink ref="G46" r:id="rId41" xr:uid="{00000000-0004-0000-1A00-000029000000}"/>
    <hyperlink ref="G47" r:id="rId42" xr:uid="{00000000-0004-0000-1A00-00002A000000}"/>
    <hyperlink ref="G48" r:id="rId43" xr:uid="{00000000-0004-0000-1A00-00002B000000}"/>
    <hyperlink ref="G49" r:id="rId44" xr:uid="{00000000-0004-0000-1A00-00002C000000}"/>
    <hyperlink ref="G50" r:id="rId45" xr:uid="{00000000-0004-0000-1A00-00002D000000}"/>
    <hyperlink ref="G51" r:id="rId46" xr:uid="{00000000-0004-0000-1A00-00002E000000}"/>
    <hyperlink ref="G52" r:id="rId47" xr:uid="{00000000-0004-0000-1A00-00002F000000}"/>
    <hyperlink ref="G53" r:id="rId48" xr:uid="{00000000-0004-0000-1A00-000030000000}"/>
    <hyperlink ref="G54" r:id="rId49" xr:uid="{00000000-0004-0000-1A00-000031000000}"/>
    <hyperlink ref="G55" r:id="rId50" xr:uid="{00000000-0004-0000-1A00-000032000000}"/>
    <hyperlink ref="G56" r:id="rId51" xr:uid="{00000000-0004-0000-1A00-000033000000}"/>
    <hyperlink ref="G57" r:id="rId52" xr:uid="{00000000-0004-0000-1A00-000034000000}"/>
    <hyperlink ref="G59" r:id="rId53" xr:uid="{00000000-0004-0000-1A00-000035000000}"/>
    <hyperlink ref="G60" r:id="rId54" xr:uid="{00000000-0004-0000-1A00-000036000000}"/>
    <hyperlink ref="G61" r:id="rId55" xr:uid="{00000000-0004-0000-1A00-000037000000}"/>
    <hyperlink ref="G62" r:id="rId56" xr:uid="{00000000-0004-0000-1A00-000038000000}"/>
    <hyperlink ref="G63" r:id="rId57" xr:uid="{00000000-0004-0000-1A00-000039000000}"/>
    <hyperlink ref="G64" r:id="rId58" xr:uid="{00000000-0004-0000-1A00-00003A000000}"/>
    <hyperlink ref="G65" r:id="rId59" xr:uid="{00000000-0004-0000-1A00-00003B000000}"/>
    <hyperlink ref="G66" r:id="rId60" xr:uid="{00000000-0004-0000-1A00-00003C000000}"/>
    <hyperlink ref="G67" r:id="rId61" xr:uid="{00000000-0004-0000-1A00-00003D000000}"/>
    <hyperlink ref="G68" r:id="rId62" xr:uid="{00000000-0004-0000-1A00-00003E000000}"/>
    <hyperlink ref="G69" r:id="rId63" xr:uid="{00000000-0004-0000-1A00-00003F000000}"/>
    <hyperlink ref="G70" r:id="rId64" xr:uid="{00000000-0004-0000-1A00-000040000000}"/>
    <hyperlink ref="G71" r:id="rId65" xr:uid="{00000000-0004-0000-1A00-000041000000}"/>
    <hyperlink ref="G72" r:id="rId66" xr:uid="{00000000-0004-0000-1A00-000042000000}"/>
    <hyperlink ref="G73" r:id="rId67" xr:uid="{00000000-0004-0000-1A00-000043000000}"/>
    <hyperlink ref="G74" r:id="rId68" xr:uid="{00000000-0004-0000-1A00-000044000000}"/>
    <hyperlink ref="G75" r:id="rId69" xr:uid="{00000000-0004-0000-1A00-000045000000}"/>
    <hyperlink ref="G76" r:id="rId70" xr:uid="{00000000-0004-0000-1A00-000046000000}"/>
    <hyperlink ref="G77" r:id="rId71" xr:uid="{00000000-0004-0000-1A00-000047000000}"/>
    <hyperlink ref="G78" r:id="rId72" xr:uid="{00000000-0004-0000-1A00-000048000000}"/>
    <hyperlink ref="G79" r:id="rId73" xr:uid="{00000000-0004-0000-1A00-000049000000}"/>
    <hyperlink ref="G80" r:id="rId74" xr:uid="{00000000-0004-0000-1A00-00004A000000}"/>
    <hyperlink ref="G81" r:id="rId75" xr:uid="{00000000-0004-0000-1A00-00004B000000}"/>
    <hyperlink ref="G82" r:id="rId76" xr:uid="{00000000-0004-0000-1A00-00004C000000}"/>
    <hyperlink ref="G83" r:id="rId77" xr:uid="{00000000-0004-0000-1A00-00004D000000}"/>
    <hyperlink ref="G84" r:id="rId78" xr:uid="{00000000-0004-0000-1A00-00004E000000}"/>
    <hyperlink ref="G85" r:id="rId79" xr:uid="{00000000-0004-0000-1A00-00004F000000}"/>
    <hyperlink ref="G86" r:id="rId80" xr:uid="{00000000-0004-0000-1A00-000050000000}"/>
    <hyperlink ref="G87" r:id="rId81" xr:uid="{00000000-0004-0000-1A00-000051000000}"/>
    <hyperlink ref="G88" r:id="rId82" xr:uid="{00000000-0004-0000-1A00-000052000000}"/>
    <hyperlink ref="G89" r:id="rId83" xr:uid="{00000000-0004-0000-1A00-000053000000}"/>
    <hyperlink ref="G90" r:id="rId84" xr:uid="{00000000-0004-0000-1A00-000054000000}"/>
    <hyperlink ref="G91" r:id="rId85" xr:uid="{00000000-0004-0000-1A00-000055000000}"/>
    <hyperlink ref="G92" r:id="rId86" xr:uid="{00000000-0004-0000-1A00-000056000000}"/>
    <hyperlink ref="G93" r:id="rId87" xr:uid="{00000000-0004-0000-1A00-000057000000}"/>
    <hyperlink ref="G94" r:id="rId88" xr:uid="{00000000-0004-0000-1A00-000058000000}"/>
    <hyperlink ref="G95" r:id="rId89" xr:uid="{00000000-0004-0000-1A00-000059000000}"/>
    <hyperlink ref="G96" r:id="rId90" xr:uid="{00000000-0004-0000-1A00-00005A000000}"/>
    <hyperlink ref="G97" r:id="rId91" xr:uid="{00000000-0004-0000-1A00-00005B000000}"/>
    <hyperlink ref="G98" r:id="rId92" xr:uid="{00000000-0004-0000-1A00-00005C000000}"/>
    <hyperlink ref="G99" r:id="rId93" xr:uid="{00000000-0004-0000-1A00-00005D000000}"/>
    <hyperlink ref="G100" r:id="rId94" xr:uid="{00000000-0004-0000-1A00-00005E000000}"/>
    <hyperlink ref="G101" r:id="rId95" xr:uid="{00000000-0004-0000-1A00-00005F000000}"/>
    <hyperlink ref="G102" r:id="rId96" xr:uid="{00000000-0004-0000-1A00-000060000000}"/>
    <hyperlink ref="G103" r:id="rId97" xr:uid="{00000000-0004-0000-1A00-000061000000}"/>
    <hyperlink ref="G104" r:id="rId98" xr:uid="{00000000-0004-0000-1A00-000062000000}"/>
    <hyperlink ref="G105" r:id="rId99" xr:uid="{00000000-0004-0000-1A00-000063000000}"/>
    <hyperlink ref="G106" r:id="rId100" xr:uid="{00000000-0004-0000-1A00-000064000000}"/>
    <hyperlink ref="G107" r:id="rId101" xr:uid="{00000000-0004-0000-1A00-000065000000}"/>
    <hyperlink ref="G108" r:id="rId102" xr:uid="{00000000-0004-0000-1A00-000066000000}"/>
    <hyperlink ref="G109" r:id="rId103" xr:uid="{00000000-0004-0000-1A00-000067000000}"/>
    <hyperlink ref="G110" r:id="rId104" xr:uid="{00000000-0004-0000-1A00-000068000000}"/>
    <hyperlink ref="G111" r:id="rId105" xr:uid="{00000000-0004-0000-1A00-000069000000}"/>
    <hyperlink ref="G112" r:id="rId106" xr:uid="{00000000-0004-0000-1A00-00006A000000}"/>
    <hyperlink ref="G113" r:id="rId107" xr:uid="{00000000-0004-0000-1A00-00006B000000}"/>
    <hyperlink ref="G114" r:id="rId108" xr:uid="{00000000-0004-0000-1A00-00006C000000}"/>
    <hyperlink ref="G115" r:id="rId109" xr:uid="{00000000-0004-0000-1A00-00006D000000}"/>
    <hyperlink ref="G116" r:id="rId110" xr:uid="{00000000-0004-0000-1A00-00006E000000}"/>
    <hyperlink ref="G117" r:id="rId111" xr:uid="{00000000-0004-0000-1A00-00006F000000}"/>
    <hyperlink ref="G118" r:id="rId112" xr:uid="{00000000-0004-0000-1A00-000070000000}"/>
    <hyperlink ref="G119" r:id="rId113" xr:uid="{00000000-0004-0000-1A00-000071000000}"/>
    <hyperlink ref="G120" r:id="rId114" xr:uid="{00000000-0004-0000-1A00-000072000000}"/>
    <hyperlink ref="G121" r:id="rId115" xr:uid="{00000000-0004-0000-1A00-000073000000}"/>
    <hyperlink ref="G122" r:id="rId116" xr:uid="{00000000-0004-0000-1A00-000074000000}"/>
    <hyperlink ref="G123" r:id="rId117" xr:uid="{00000000-0004-0000-1A00-000075000000}"/>
    <hyperlink ref="G124" r:id="rId118" xr:uid="{00000000-0004-0000-1A00-000076000000}"/>
    <hyperlink ref="G125" r:id="rId119" xr:uid="{00000000-0004-0000-1A00-000077000000}"/>
    <hyperlink ref="G126" r:id="rId120" xr:uid="{00000000-0004-0000-1A00-000078000000}"/>
    <hyperlink ref="G127" r:id="rId121" xr:uid="{00000000-0004-0000-1A00-000079000000}"/>
    <hyperlink ref="G128" r:id="rId122" xr:uid="{00000000-0004-0000-1A00-00007A000000}"/>
    <hyperlink ref="G129" r:id="rId123" xr:uid="{00000000-0004-0000-1A00-00007B000000}"/>
    <hyperlink ref="G130" r:id="rId124" xr:uid="{00000000-0004-0000-1A00-00007C000000}"/>
    <hyperlink ref="G131" r:id="rId125" xr:uid="{00000000-0004-0000-1A00-00007D000000}"/>
    <hyperlink ref="G132" r:id="rId126" xr:uid="{00000000-0004-0000-1A00-00007E000000}"/>
    <hyperlink ref="G133" r:id="rId127" xr:uid="{00000000-0004-0000-1A00-00007F000000}"/>
    <hyperlink ref="G134" r:id="rId128" xr:uid="{00000000-0004-0000-1A00-000080000000}"/>
    <hyperlink ref="G135" r:id="rId129" xr:uid="{00000000-0004-0000-1A00-000081000000}"/>
    <hyperlink ref="G136" r:id="rId130" xr:uid="{00000000-0004-0000-1A00-000082000000}"/>
    <hyperlink ref="G137" r:id="rId131" xr:uid="{00000000-0004-0000-1A00-000083000000}"/>
    <hyperlink ref="G138" r:id="rId132" xr:uid="{00000000-0004-0000-1A00-000084000000}"/>
    <hyperlink ref="G139" r:id="rId133" xr:uid="{00000000-0004-0000-1A00-000085000000}"/>
    <hyperlink ref="G140" r:id="rId134" xr:uid="{00000000-0004-0000-1A00-000086000000}"/>
    <hyperlink ref="G141" r:id="rId135" xr:uid="{00000000-0004-0000-1A00-000087000000}"/>
    <hyperlink ref="G142" r:id="rId136" xr:uid="{00000000-0004-0000-1A00-000088000000}"/>
    <hyperlink ref="G143" r:id="rId137" xr:uid="{00000000-0004-0000-1A00-000089000000}"/>
    <hyperlink ref="G144" r:id="rId138" xr:uid="{00000000-0004-0000-1A00-00008A000000}"/>
    <hyperlink ref="G145" r:id="rId139" xr:uid="{00000000-0004-0000-1A00-00008B000000}"/>
    <hyperlink ref="G146" r:id="rId140" xr:uid="{00000000-0004-0000-1A00-00008C000000}"/>
    <hyperlink ref="G147" r:id="rId141" xr:uid="{00000000-0004-0000-1A00-00008D000000}"/>
    <hyperlink ref="G148" r:id="rId142" xr:uid="{00000000-0004-0000-1A00-00008E000000}"/>
    <hyperlink ref="G149" r:id="rId143" xr:uid="{00000000-0004-0000-1A00-00008F000000}"/>
    <hyperlink ref="G150" r:id="rId144" xr:uid="{00000000-0004-0000-1A00-000090000000}"/>
    <hyperlink ref="G151" r:id="rId145" xr:uid="{00000000-0004-0000-1A00-000091000000}"/>
    <hyperlink ref="G152" r:id="rId146" xr:uid="{00000000-0004-0000-1A00-000092000000}"/>
    <hyperlink ref="G153" r:id="rId147" xr:uid="{00000000-0004-0000-1A00-000093000000}"/>
    <hyperlink ref="G154" r:id="rId148" xr:uid="{00000000-0004-0000-1A00-000094000000}"/>
    <hyperlink ref="G155" r:id="rId149" xr:uid="{00000000-0004-0000-1A00-000095000000}"/>
    <hyperlink ref="G156" r:id="rId150" xr:uid="{00000000-0004-0000-1A00-000096000000}"/>
    <hyperlink ref="G157" r:id="rId151" xr:uid="{00000000-0004-0000-1A00-000097000000}"/>
    <hyperlink ref="G158" r:id="rId152" xr:uid="{00000000-0004-0000-1A00-000098000000}"/>
    <hyperlink ref="G159" r:id="rId153" xr:uid="{00000000-0004-0000-1A00-000099000000}"/>
    <hyperlink ref="G160" r:id="rId154" xr:uid="{00000000-0004-0000-1A00-00009A000000}"/>
    <hyperlink ref="G161" r:id="rId155" xr:uid="{00000000-0004-0000-1A00-00009B000000}"/>
    <hyperlink ref="G162" r:id="rId156" xr:uid="{00000000-0004-0000-1A00-00009C000000}"/>
    <hyperlink ref="G163" r:id="rId157" xr:uid="{00000000-0004-0000-1A00-00009D000000}"/>
    <hyperlink ref="G164" r:id="rId158" xr:uid="{00000000-0004-0000-1A00-00009E000000}"/>
    <hyperlink ref="G165" r:id="rId159" xr:uid="{00000000-0004-0000-1A00-00009F000000}"/>
    <hyperlink ref="G166" r:id="rId160" xr:uid="{00000000-0004-0000-1A00-0000A0000000}"/>
    <hyperlink ref="G167" r:id="rId161" xr:uid="{00000000-0004-0000-1A00-0000A1000000}"/>
    <hyperlink ref="G168" r:id="rId162" xr:uid="{00000000-0004-0000-1A00-0000A2000000}"/>
    <hyperlink ref="G169" r:id="rId163" xr:uid="{00000000-0004-0000-1A00-0000A3000000}"/>
    <hyperlink ref="G170" r:id="rId164" xr:uid="{00000000-0004-0000-1A00-0000A4000000}"/>
    <hyperlink ref="G171" r:id="rId165" xr:uid="{00000000-0004-0000-1A00-0000A5000000}"/>
    <hyperlink ref="G172" r:id="rId166" xr:uid="{00000000-0004-0000-1A00-0000A6000000}"/>
    <hyperlink ref="G173" r:id="rId167" xr:uid="{00000000-0004-0000-1A00-0000A7000000}"/>
    <hyperlink ref="G174" r:id="rId168" xr:uid="{00000000-0004-0000-1A00-0000A8000000}"/>
    <hyperlink ref="G175" r:id="rId169" xr:uid="{00000000-0004-0000-1A00-0000A9000000}"/>
    <hyperlink ref="G176" r:id="rId170" xr:uid="{00000000-0004-0000-1A00-0000AA000000}"/>
    <hyperlink ref="G177" r:id="rId171" xr:uid="{00000000-0004-0000-1A00-0000AB000000}"/>
    <hyperlink ref="G178" r:id="rId172" xr:uid="{00000000-0004-0000-1A00-0000AC000000}"/>
    <hyperlink ref="G179" r:id="rId173" xr:uid="{00000000-0004-0000-1A00-0000AD000000}"/>
    <hyperlink ref="G180" r:id="rId174" xr:uid="{00000000-0004-0000-1A00-0000AE000000}"/>
    <hyperlink ref="G181" r:id="rId175" xr:uid="{00000000-0004-0000-1A00-0000AF000000}"/>
    <hyperlink ref="G182" r:id="rId176" xr:uid="{00000000-0004-0000-1A00-0000B0000000}"/>
    <hyperlink ref="G183" r:id="rId177" xr:uid="{00000000-0004-0000-1A00-0000B1000000}"/>
    <hyperlink ref="G184" r:id="rId178" xr:uid="{00000000-0004-0000-1A00-0000B2000000}"/>
    <hyperlink ref="G185" r:id="rId179" xr:uid="{00000000-0004-0000-1A00-0000B3000000}"/>
    <hyperlink ref="G186" r:id="rId180" xr:uid="{00000000-0004-0000-1A00-0000B4000000}"/>
    <hyperlink ref="G187" r:id="rId181" xr:uid="{00000000-0004-0000-1A00-0000B5000000}"/>
    <hyperlink ref="G188" r:id="rId182" xr:uid="{00000000-0004-0000-1A00-0000B6000000}"/>
    <hyperlink ref="G189" r:id="rId183" xr:uid="{00000000-0004-0000-1A00-0000B7000000}"/>
    <hyperlink ref="G190" r:id="rId184" xr:uid="{00000000-0004-0000-1A00-0000B8000000}"/>
    <hyperlink ref="G191" r:id="rId185" xr:uid="{00000000-0004-0000-1A00-0000B9000000}"/>
    <hyperlink ref="G192" r:id="rId186" xr:uid="{00000000-0004-0000-1A00-0000BA000000}"/>
    <hyperlink ref="G193" r:id="rId187" xr:uid="{00000000-0004-0000-1A00-0000BB000000}"/>
    <hyperlink ref="G194" r:id="rId188" xr:uid="{00000000-0004-0000-1A00-0000BC000000}"/>
    <hyperlink ref="G195" r:id="rId189" xr:uid="{00000000-0004-0000-1A00-0000BD000000}"/>
    <hyperlink ref="G196" r:id="rId190" xr:uid="{00000000-0004-0000-1A00-0000BE000000}"/>
    <hyperlink ref="G197" r:id="rId191" xr:uid="{00000000-0004-0000-1A00-0000BF000000}"/>
    <hyperlink ref="G198" r:id="rId192" xr:uid="{00000000-0004-0000-1A00-0000C0000000}"/>
    <hyperlink ref="G199" r:id="rId193" xr:uid="{00000000-0004-0000-1A00-0000C1000000}"/>
    <hyperlink ref="G200" r:id="rId194" xr:uid="{00000000-0004-0000-1A00-0000C2000000}"/>
    <hyperlink ref="G201" r:id="rId195" xr:uid="{00000000-0004-0000-1A00-0000C3000000}"/>
    <hyperlink ref="G202" r:id="rId196" xr:uid="{00000000-0004-0000-1A00-0000C4000000}"/>
    <hyperlink ref="G203" r:id="rId197" xr:uid="{00000000-0004-0000-1A00-0000C5000000}"/>
    <hyperlink ref="G204" r:id="rId198" xr:uid="{00000000-0004-0000-1A00-0000C6000000}"/>
    <hyperlink ref="G205" r:id="rId199" xr:uid="{00000000-0004-0000-1A00-0000C7000000}"/>
    <hyperlink ref="G206" r:id="rId200" xr:uid="{00000000-0004-0000-1A00-0000C8000000}"/>
    <hyperlink ref="G207" r:id="rId201" xr:uid="{00000000-0004-0000-1A00-0000C9000000}"/>
    <hyperlink ref="G208" r:id="rId202" xr:uid="{00000000-0004-0000-1A00-0000CA000000}"/>
    <hyperlink ref="G209" r:id="rId203" xr:uid="{00000000-0004-0000-1A00-0000CB000000}"/>
    <hyperlink ref="G210" r:id="rId204" location="38;" xr:uid="{00000000-0004-0000-1A00-0000CC000000}"/>
    <hyperlink ref="G211" r:id="rId205" location="38;" xr:uid="{00000000-0004-0000-1A00-0000CD000000}"/>
    <hyperlink ref="G212" r:id="rId206" xr:uid="{00000000-0004-0000-1A00-0000CE000000}"/>
    <hyperlink ref="G213" r:id="rId207" xr:uid="{00000000-0004-0000-1A00-0000CF000000}"/>
    <hyperlink ref="G214" r:id="rId208" xr:uid="{00000000-0004-0000-1A00-0000D0000000}"/>
    <hyperlink ref="G215" r:id="rId209" xr:uid="{00000000-0004-0000-1A00-0000D1000000}"/>
    <hyperlink ref="G216" r:id="rId210" xr:uid="{00000000-0004-0000-1A00-0000D2000000}"/>
    <hyperlink ref="G217" r:id="rId211" xr:uid="{00000000-0004-0000-1A00-0000D3000000}"/>
    <hyperlink ref="G218" r:id="rId212" xr:uid="{00000000-0004-0000-1A00-0000D4000000}"/>
    <hyperlink ref="G219" r:id="rId213" xr:uid="{00000000-0004-0000-1A00-0000D5000000}"/>
    <hyperlink ref="G220" r:id="rId214" xr:uid="{00000000-0004-0000-1A00-0000D6000000}"/>
    <hyperlink ref="G221" r:id="rId215" xr:uid="{00000000-0004-0000-1A00-0000D7000000}"/>
    <hyperlink ref="G222" r:id="rId216" xr:uid="{00000000-0004-0000-1A00-0000D8000000}"/>
    <hyperlink ref="G223" r:id="rId217" xr:uid="{00000000-0004-0000-1A00-0000D9000000}"/>
    <hyperlink ref="G224" r:id="rId218" xr:uid="{00000000-0004-0000-1A00-0000DA000000}"/>
    <hyperlink ref="G225" r:id="rId219" xr:uid="{00000000-0004-0000-1A00-0000DB000000}"/>
    <hyperlink ref="G226" r:id="rId220" xr:uid="{00000000-0004-0000-1A00-0000DC000000}"/>
    <hyperlink ref="G227" r:id="rId221" xr:uid="{00000000-0004-0000-1A00-0000DD000000}"/>
    <hyperlink ref="G228" r:id="rId222" xr:uid="{00000000-0004-0000-1A00-0000DE000000}"/>
    <hyperlink ref="G229" r:id="rId223" xr:uid="{00000000-0004-0000-1A00-0000DF000000}"/>
    <hyperlink ref="G230" r:id="rId224" xr:uid="{00000000-0004-0000-1A00-0000E0000000}"/>
    <hyperlink ref="G231" r:id="rId225" xr:uid="{00000000-0004-0000-1A00-0000E1000000}"/>
    <hyperlink ref="G232" r:id="rId226" xr:uid="{00000000-0004-0000-1A00-0000E2000000}"/>
    <hyperlink ref="G233" r:id="rId227" xr:uid="{00000000-0004-0000-1A00-0000E3000000}"/>
    <hyperlink ref="G234" r:id="rId228" xr:uid="{00000000-0004-0000-1A00-0000E4000000}"/>
    <hyperlink ref="G235" r:id="rId229" xr:uid="{00000000-0004-0000-1A00-0000E5000000}"/>
    <hyperlink ref="G236" r:id="rId230" xr:uid="{00000000-0004-0000-1A00-0000E6000000}"/>
    <hyperlink ref="G237" r:id="rId231" xr:uid="{00000000-0004-0000-1A00-0000E7000000}"/>
    <hyperlink ref="G238" r:id="rId232" xr:uid="{00000000-0004-0000-1A00-0000E8000000}"/>
    <hyperlink ref="G239" r:id="rId233" xr:uid="{00000000-0004-0000-1A00-0000E9000000}"/>
    <hyperlink ref="G240" r:id="rId234" xr:uid="{00000000-0004-0000-1A00-0000EA000000}"/>
    <hyperlink ref="G241" r:id="rId235" xr:uid="{00000000-0004-0000-1A00-0000EB000000}"/>
    <hyperlink ref="G242" r:id="rId236" xr:uid="{00000000-0004-0000-1A00-0000EC000000}"/>
    <hyperlink ref="G243" r:id="rId237" xr:uid="{00000000-0004-0000-1A00-0000ED000000}"/>
    <hyperlink ref="G244" r:id="rId238" location=":~:text=ESTADO%20DE%20EMERGENCIA%20ECON%C3%93MICA%2C%20SOCIAL%20Y%20ECOL%C3%93GICA&amp;text=Subtema%3A%20COVID%2D19-,Imparte%20instrucciones%20en%20relaci%C3%B3n%20con%20el%20retorno%20gradual%20y%20progresivo,de%20servicio%20de%20manera%20presencial." xr:uid="{00000000-0004-0000-1A00-0000EE000000}"/>
    <hyperlink ref="G245" r:id="rId239" xr:uid="{00000000-0004-0000-1A00-0000EF000000}"/>
    <hyperlink ref="G246" r:id="rId240" xr:uid="{00000000-0004-0000-1A00-0000F0000000}"/>
    <hyperlink ref="G247" r:id="rId241" xr:uid="{00000000-0004-0000-1A00-0000F1000000}"/>
    <hyperlink ref="G248" r:id="rId242" xr:uid="{00000000-0004-0000-1A00-0000F2000000}"/>
    <hyperlink ref="G249" r:id="rId243" xr:uid="{00000000-0004-0000-1A00-0000F3000000}"/>
    <hyperlink ref="G250" r:id="rId244" xr:uid="{00000000-0004-0000-1A00-0000F4000000}"/>
    <hyperlink ref="G251" r:id="rId245" xr:uid="{00000000-0004-0000-1A00-0000F5000000}"/>
    <hyperlink ref="G252" r:id="rId246" xr:uid="{00000000-0004-0000-1A00-0000F6000000}"/>
    <hyperlink ref="G253" r:id="rId247" xr:uid="{00000000-0004-0000-1A00-0000F7000000}"/>
    <hyperlink ref="G254" r:id="rId248" xr:uid="{00000000-0004-0000-1A00-0000F8000000}"/>
    <hyperlink ref="G255" r:id="rId249" xr:uid="{00000000-0004-0000-1A00-0000F9000000}"/>
    <hyperlink ref="G256" r:id="rId250" xr:uid="{00000000-0004-0000-1A00-0000FA000000}"/>
    <hyperlink ref="G257" r:id="rId251" xr:uid="{00000000-0004-0000-1A00-0000FB000000}"/>
    <hyperlink ref="G258" r:id="rId252" xr:uid="{00000000-0004-0000-1A00-0000FC000000}"/>
    <hyperlink ref="G259" r:id="rId253" xr:uid="{00000000-0004-0000-1A00-0000FD000000}"/>
    <hyperlink ref="G260" r:id="rId254" xr:uid="{00000000-0004-0000-1A00-0000FE000000}"/>
    <hyperlink ref="G261" r:id="rId255" xr:uid="{00000000-0004-0000-1A00-0000FF000000}"/>
    <hyperlink ref="G262" r:id="rId256" xr:uid="{00000000-0004-0000-1A00-000000010000}"/>
    <hyperlink ref="G263" r:id="rId257" xr:uid="{00000000-0004-0000-1A00-000001010000}"/>
    <hyperlink ref="G264" r:id="rId258" xr:uid="{00000000-0004-0000-1A00-000002010000}"/>
    <hyperlink ref="G265" r:id="rId259" xr:uid="{00000000-0004-0000-1A00-000003010000}"/>
    <hyperlink ref="G266" r:id="rId260" xr:uid="{00000000-0004-0000-1A00-000004010000}"/>
    <hyperlink ref="G267" r:id="rId261" xr:uid="{00000000-0004-0000-1A00-000005010000}"/>
    <hyperlink ref="G268" r:id="rId262" xr:uid="{00000000-0004-0000-1A00-000006010000}"/>
    <hyperlink ref="G269" r:id="rId263" xr:uid="{00000000-0004-0000-1A00-000007010000}"/>
    <hyperlink ref="G270" r:id="rId264" xr:uid="{00000000-0004-0000-1A00-000008010000}"/>
    <hyperlink ref="G271" r:id="rId265" xr:uid="{00000000-0004-0000-1A00-000009010000}"/>
    <hyperlink ref="G272" r:id="rId266" xr:uid="{00000000-0004-0000-1A00-00000A010000}"/>
    <hyperlink ref="G273" r:id="rId267" xr:uid="{00000000-0004-0000-1A00-00000B010000}"/>
    <hyperlink ref="G274" r:id="rId268" xr:uid="{00000000-0004-0000-1A00-00000C010000}"/>
    <hyperlink ref="G275" r:id="rId269" location="0" xr:uid="{00000000-0004-0000-1A00-00000D010000}"/>
    <hyperlink ref="G276" r:id="rId270" xr:uid="{00000000-0004-0000-1A00-00000E010000}"/>
    <hyperlink ref="G277" r:id="rId271" location="0" xr:uid="{00000000-0004-0000-1A00-00000F010000}"/>
    <hyperlink ref="G278" r:id="rId272" xr:uid="{00000000-0004-0000-1A00-000010010000}"/>
    <hyperlink ref="G279" r:id="rId273" xr:uid="{00000000-0004-0000-1A00-000011010000}"/>
    <hyperlink ref="G280" r:id="rId274" xr:uid="{00000000-0004-0000-1A00-000012010000}"/>
    <hyperlink ref="G281" r:id="rId275" xr:uid="{00000000-0004-0000-1A00-000013010000}"/>
    <hyperlink ref="G282" r:id="rId276" xr:uid="{00000000-0004-0000-1A00-000014010000}"/>
    <hyperlink ref="G283" r:id="rId277" xr:uid="{00000000-0004-0000-1A00-000015010000}"/>
    <hyperlink ref="G284" r:id="rId278" xr:uid="{00000000-0004-0000-1A00-000016010000}"/>
    <hyperlink ref="G285" r:id="rId279" xr:uid="{00000000-0004-0000-1A00-000017010000}"/>
    <hyperlink ref="G286" r:id="rId280" xr:uid="{00000000-0004-0000-1A00-000018010000}"/>
    <hyperlink ref="G288" r:id="rId281" xr:uid="{00000000-0004-0000-1A00-000019010000}"/>
    <hyperlink ref="G289" r:id="rId282" xr:uid="{00000000-0004-0000-1A00-00001A010000}"/>
    <hyperlink ref="G290" r:id="rId283" xr:uid="{00000000-0004-0000-1A00-00001B010000}"/>
    <hyperlink ref="G292" r:id="rId284" xr:uid="{00000000-0004-0000-1A00-00001C010000}"/>
    <hyperlink ref="G293" r:id="rId285" xr:uid="{00000000-0004-0000-1A00-00001D010000}"/>
    <hyperlink ref="G294" r:id="rId286" xr:uid="{00000000-0004-0000-1A00-00001E010000}"/>
    <hyperlink ref="G295" r:id="rId287" xr:uid="{00000000-0004-0000-1A00-00001F010000}"/>
    <hyperlink ref="G296" r:id="rId288" xr:uid="{00000000-0004-0000-1A00-000020010000}"/>
    <hyperlink ref="G297" r:id="rId289" xr:uid="{00000000-0004-0000-1A00-000021010000}"/>
    <hyperlink ref="G298" r:id="rId290" xr:uid="{00000000-0004-0000-1A00-000022010000}"/>
    <hyperlink ref="G299" r:id="rId291" xr:uid="{00000000-0004-0000-1A00-000023010000}"/>
    <hyperlink ref="G300" r:id="rId292" xr:uid="{00000000-0004-0000-1A00-000024010000}"/>
  </hyperlinks>
  <pageMargins left="0.7" right="0.7" top="0.75" bottom="0.75" header="0" footer="0"/>
  <pageSetup orientation="landscape"/>
  <drawing r:id="rId293"/>
  <legacyDrawing r:id="rId294"/>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A9D18E"/>
  </sheetPr>
  <dimension ref="A1:AB1096"/>
  <sheetViews>
    <sheetView workbookViewId="0">
      <pane ySplit="5" topLeftCell="A6" activePane="bottomLeft" state="frozen"/>
      <selection pane="bottomLeft" activeCell="B7" sqref="B7"/>
    </sheetView>
  </sheetViews>
  <sheetFormatPr baseColWidth="10" defaultColWidth="14.42578125" defaultRowHeight="15" customHeight="1"/>
  <cols>
    <col min="1" max="1" width="38.7109375" customWidth="1"/>
    <col min="2" max="2" width="10.140625" customWidth="1"/>
    <col min="3" max="3" width="23.7109375" customWidth="1"/>
    <col min="4" max="4" width="58.85546875" customWidth="1"/>
    <col min="5" max="5" width="22.285156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791"/>
      <c r="B1" s="769"/>
      <c r="C1" s="769"/>
      <c r="D1" s="769"/>
      <c r="E1" s="769"/>
      <c r="F1" s="769"/>
      <c r="G1" s="769"/>
      <c r="H1" s="769"/>
      <c r="I1" s="17"/>
      <c r="J1" s="18"/>
      <c r="K1" s="18"/>
      <c r="L1" s="18"/>
      <c r="M1" s="18"/>
      <c r="N1" s="18"/>
      <c r="O1" s="18"/>
      <c r="P1" s="18"/>
      <c r="Q1" s="18"/>
      <c r="R1" s="18"/>
      <c r="S1" s="18"/>
      <c r="T1" s="18"/>
      <c r="U1" s="18"/>
      <c r="V1" s="18"/>
      <c r="W1" s="18"/>
      <c r="X1" s="18"/>
      <c r="Y1" s="18"/>
      <c r="Z1" s="18"/>
      <c r="AA1" s="18"/>
      <c r="AB1" s="18"/>
    </row>
    <row r="2" spans="1:28" ht="25.5" customHeight="1">
      <c r="A2" s="792" t="s">
        <v>28</v>
      </c>
      <c r="B2" s="765"/>
      <c r="C2" s="765"/>
      <c r="D2" s="765"/>
      <c r="E2" s="765"/>
      <c r="F2" s="766"/>
      <c r="G2" s="15"/>
      <c r="H2" s="16"/>
      <c r="I2" s="17"/>
      <c r="J2" s="18"/>
      <c r="K2" s="18"/>
      <c r="L2" s="18"/>
      <c r="M2" s="18"/>
      <c r="N2" s="18"/>
      <c r="O2" s="18"/>
      <c r="P2" s="18"/>
      <c r="Q2" s="18"/>
      <c r="R2" s="18"/>
      <c r="S2" s="18"/>
      <c r="T2" s="18"/>
      <c r="U2" s="18"/>
      <c r="V2" s="18"/>
      <c r="W2" s="18"/>
      <c r="X2" s="18"/>
      <c r="Y2" s="18"/>
      <c r="Z2" s="18"/>
      <c r="AA2" s="18"/>
      <c r="AB2" s="18"/>
    </row>
    <row r="3" spans="1:28" ht="29.25" customHeight="1">
      <c r="A3" s="566" t="s">
        <v>5013</v>
      </c>
      <c r="B3" s="584"/>
      <c r="C3" s="331"/>
      <c r="D3" s="584"/>
      <c r="E3" s="584"/>
      <c r="F3" s="719" t="s">
        <v>30</v>
      </c>
      <c r="G3" s="19"/>
      <c r="H3" s="21"/>
      <c r="I3" s="17"/>
      <c r="J3" s="18"/>
      <c r="K3" s="18"/>
      <c r="L3" s="18"/>
      <c r="M3" s="18"/>
      <c r="N3" s="18"/>
      <c r="O3" s="18"/>
      <c r="P3" s="18"/>
      <c r="Q3" s="18"/>
      <c r="R3" s="18"/>
      <c r="S3" s="18"/>
      <c r="T3" s="18"/>
      <c r="U3" s="18"/>
      <c r="V3" s="18"/>
      <c r="W3" s="18"/>
      <c r="X3" s="18"/>
      <c r="Y3" s="18"/>
      <c r="Z3" s="18"/>
      <c r="AA3" s="18"/>
      <c r="AB3" s="18"/>
    </row>
    <row r="4" spans="1:28" ht="33" customHeight="1">
      <c r="A4" s="793" t="s">
        <v>2999</v>
      </c>
      <c r="B4" s="765"/>
      <c r="C4" s="765"/>
      <c r="D4" s="765"/>
      <c r="E4" s="765"/>
      <c r="F4" s="766"/>
      <c r="G4" s="16"/>
      <c r="H4" s="22"/>
      <c r="I4" s="17"/>
      <c r="J4" s="18"/>
      <c r="K4" s="18"/>
      <c r="L4" s="18"/>
      <c r="M4" s="18"/>
      <c r="N4" s="18"/>
      <c r="O4" s="18"/>
      <c r="P4" s="18"/>
      <c r="Q4" s="18"/>
      <c r="R4" s="18"/>
      <c r="S4" s="18"/>
      <c r="T4" s="18"/>
      <c r="U4" s="18"/>
      <c r="V4" s="18"/>
      <c r="W4" s="18"/>
      <c r="X4" s="18"/>
      <c r="Y4" s="18"/>
      <c r="Z4" s="18"/>
      <c r="AA4" s="18"/>
      <c r="AB4" s="18"/>
    </row>
    <row r="5" spans="1:28" ht="34.5" customHeight="1">
      <c r="A5" s="720" t="s">
        <v>235</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ht="270">
      <c r="A6" s="721" t="s">
        <v>662</v>
      </c>
      <c r="B6" s="722">
        <v>40665</v>
      </c>
      <c r="C6" s="723" t="s">
        <v>61</v>
      </c>
      <c r="D6" s="723" t="s">
        <v>2022</v>
      </c>
      <c r="E6" s="724" t="s">
        <v>2023</v>
      </c>
      <c r="F6" s="725" t="s">
        <v>5014</v>
      </c>
      <c r="G6" s="147" t="s">
        <v>43</v>
      </c>
      <c r="H6" s="117" t="s">
        <v>750</v>
      </c>
      <c r="I6" s="35"/>
      <c r="J6" s="36"/>
      <c r="K6" s="36"/>
      <c r="L6" s="36"/>
      <c r="M6" s="36"/>
      <c r="N6" s="36"/>
      <c r="O6" s="36"/>
      <c r="P6" s="36"/>
      <c r="Q6" s="36"/>
      <c r="R6" s="36"/>
      <c r="S6" s="36"/>
      <c r="T6" s="36"/>
      <c r="U6" s="36"/>
      <c r="V6" s="36"/>
      <c r="W6" s="36"/>
      <c r="X6" s="36"/>
      <c r="Y6" s="36"/>
      <c r="Z6" s="36"/>
      <c r="AA6" s="36"/>
      <c r="AB6" s="36"/>
    </row>
    <row r="7" spans="1:28" ht="60">
      <c r="A7" s="726" t="s">
        <v>2038</v>
      </c>
      <c r="B7" s="727">
        <v>41878</v>
      </c>
      <c r="C7" s="728" t="s">
        <v>61</v>
      </c>
      <c r="D7" s="728" t="s">
        <v>2039</v>
      </c>
      <c r="E7" s="729" t="s">
        <v>2040</v>
      </c>
      <c r="F7" s="730" t="s">
        <v>5015</v>
      </c>
      <c r="G7" s="147" t="s">
        <v>43</v>
      </c>
      <c r="H7" s="117" t="s">
        <v>750</v>
      </c>
      <c r="I7" s="74"/>
      <c r="J7" s="36"/>
      <c r="K7" s="36"/>
      <c r="L7" s="36"/>
      <c r="M7" s="36"/>
      <c r="N7" s="36"/>
      <c r="O7" s="36"/>
      <c r="P7" s="36"/>
      <c r="Q7" s="36"/>
      <c r="R7" s="36"/>
      <c r="S7" s="36"/>
      <c r="T7" s="36"/>
      <c r="U7" s="36"/>
      <c r="V7" s="36"/>
      <c r="W7" s="36"/>
      <c r="X7" s="36"/>
      <c r="Y7" s="36"/>
      <c r="Z7" s="36"/>
      <c r="AA7" s="36"/>
      <c r="AB7" s="36"/>
    </row>
    <row r="8" spans="1:28" ht="60">
      <c r="A8" s="726" t="s">
        <v>2107</v>
      </c>
      <c r="B8" s="731">
        <v>41634</v>
      </c>
      <c r="C8" s="728" t="s">
        <v>195</v>
      </c>
      <c r="D8" s="728" t="s">
        <v>1279</v>
      </c>
      <c r="E8" s="729" t="s">
        <v>2048</v>
      </c>
      <c r="F8" s="730" t="s">
        <v>2108</v>
      </c>
      <c r="G8" s="339" t="s">
        <v>43</v>
      </c>
      <c r="H8" s="262" t="s">
        <v>750</v>
      </c>
      <c r="I8" s="74"/>
      <c r="J8" s="36"/>
      <c r="K8" s="36"/>
      <c r="L8" s="36"/>
      <c r="M8" s="36"/>
      <c r="N8" s="36"/>
      <c r="O8" s="36"/>
      <c r="P8" s="36"/>
      <c r="Q8" s="36"/>
      <c r="R8" s="36"/>
      <c r="S8" s="36"/>
      <c r="T8" s="36"/>
      <c r="U8" s="36"/>
      <c r="V8" s="36"/>
      <c r="W8" s="36"/>
      <c r="X8" s="36"/>
      <c r="Y8" s="36"/>
      <c r="Z8" s="305"/>
      <c r="AA8" s="305"/>
      <c r="AB8" s="305"/>
    </row>
    <row r="9" spans="1:28" ht="75">
      <c r="A9" s="726" t="s">
        <v>2089</v>
      </c>
      <c r="B9" s="727">
        <v>39261</v>
      </c>
      <c r="C9" s="728" t="s">
        <v>195</v>
      </c>
      <c r="D9" s="728" t="s">
        <v>2090</v>
      </c>
      <c r="E9" s="729" t="s">
        <v>2048</v>
      </c>
      <c r="F9" s="730" t="s">
        <v>2091</v>
      </c>
      <c r="G9" s="147" t="s">
        <v>43</v>
      </c>
      <c r="H9" s="117" t="s">
        <v>750</v>
      </c>
      <c r="I9" s="74"/>
      <c r="J9" s="36"/>
      <c r="K9" s="36"/>
      <c r="L9" s="36"/>
      <c r="M9" s="36"/>
      <c r="N9" s="36"/>
      <c r="O9" s="36"/>
      <c r="P9" s="36"/>
      <c r="Q9" s="36"/>
      <c r="R9" s="36"/>
      <c r="S9" s="36"/>
      <c r="T9" s="36"/>
      <c r="U9" s="36"/>
      <c r="V9" s="36"/>
      <c r="W9" s="36"/>
      <c r="X9" s="36"/>
      <c r="Y9" s="36"/>
      <c r="Z9" s="36"/>
      <c r="AA9" s="36"/>
      <c r="AB9" s="36"/>
    </row>
    <row r="10" spans="1:28" ht="150">
      <c r="A10" s="732" t="s">
        <v>2098</v>
      </c>
      <c r="B10" s="733">
        <v>40164</v>
      </c>
      <c r="C10" s="728" t="s">
        <v>195</v>
      </c>
      <c r="D10" s="728" t="s">
        <v>2099</v>
      </c>
      <c r="E10" s="729" t="s">
        <v>1987</v>
      </c>
      <c r="F10" s="730" t="s">
        <v>2100</v>
      </c>
      <c r="G10" s="147" t="s">
        <v>43</v>
      </c>
      <c r="H10" s="117" t="s">
        <v>750</v>
      </c>
      <c r="I10" s="35"/>
      <c r="J10" s="36"/>
      <c r="K10" s="36"/>
      <c r="L10" s="36"/>
      <c r="M10" s="36"/>
      <c r="N10" s="36"/>
      <c r="O10" s="36"/>
      <c r="P10" s="36"/>
      <c r="Q10" s="36"/>
      <c r="R10" s="36"/>
      <c r="S10" s="36"/>
      <c r="T10" s="36"/>
      <c r="U10" s="36"/>
      <c r="V10" s="36"/>
      <c r="W10" s="36"/>
      <c r="X10" s="36"/>
      <c r="Y10" s="36"/>
      <c r="Z10" s="36"/>
      <c r="AA10" s="36"/>
      <c r="AB10" s="36"/>
    </row>
    <row r="11" spans="1:28" ht="165">
      <c r="A11" s="721" t="s">
        <v>2104</v>
      </c>
      <c r="B11" s="731">
        <v>41267</v>
      </c>
      <c r="C11" s="728" t="s">
        <v>195</v>
      </c>
      <c r="D11" s="728" t="s">
        <v>2105</v>
      </c>
      <c r="E11" s="729" t="s">
        <v>1951</v>
      </c>
      <c r="F11" s="730" t="s">
        <v>2106</v>
      </c>
      <c r="G11" s="147" t="s">
        <v>43</v>
      </c>
      <c r="H11" s="117" t="s">
        <v>750</v>
      </c>
      <c r="I11" s="35"/>
      <c r="J11" s="36"/>
      <c r="K11" s="36"/>
      <c r="L11" s="36"/>
      <c r="M11" s="36"/>
      <c r="N11" s="36"/>
      <c r="O11" s="36"/>
      <c r="P11" s="36"/>
      <c r="Q11" s="36"/>
      <c r="R11" s="36"/>
      <c r="S11" s="36"/>
      <c r="T11" s="36"/>
      <c r="U11" s="36"/>
      <c r="V11" s="36"/>
      <c r="W11" s="36"/>
      <c r="X11" s="36"/>
      <c r="Y11" s="36"/>
      <c r="Z11" s="36"/>
      <c r="AA11" s="36"/>
      <c r="AB11" s="36"/>
    </row>
    <row r="12" spans="1:28" ht="60">
      <c r="A12" s="734" t="s">
        <v>2033</v>
      </c>
      <c r="B12" s="727">
        <v>37657</v>
      </c>
      <c r="C12" s="728" t="s">
        <v>1098</v>
      </c>
      <c r="D12" s="728" t="s">
        <v>2034</v>
      </c>
      <c r="E12" s="729" t="s">
        <v>41</v>
      </c>
      <c r="F12" s="730" t="s">
        <v>97</v>
      </c>
      <c r="G12" s="147" t="s">
        <v>43</v>
      </c>
      <c r="H12" s="117" t="s">
        <v>750</v>
      </c>
      <c r="I12" s="35"/>
      <c r="J12" s="36"/>
      <c r="K12" s="36"/>
      <c r="L12" s="36"/>
      <c r="M12" s="36"/>
      <c r="N12" s="36"/>
      <c r="O12" s="36"/>
      <c r="P12" s="36"/>
      <c r="Q12" s="36"/>
      <c r="R12" s="36"/>
      <c r="S12" s="36"/>
      <c r="T12" s="36"/>
      <c r="U12" s="36"/>
      <c r="V12" s="36"/>
      <c r="W12" s="36"/>
      <c r="X12" s="36"/>
      <c r="Y12" s="36"/>
      <c r="Z12" s="36"/>
      <c r="AA12" s="36"/>
      <c r="AB12" s="36"/>
    </row>
    <row r="13" spans="1:28" ht="90">
      <c r="A13" s="726" t="s">
        <v>2128</v>
      </c>
      <c r="B13" s="727">
        <v>39566</v>
      </c>
      <c r="C13" s="728" t="s">
        <v>1294</v>
      </c>
      <c r="D13" s="728" t="s">
        <v>2129</v>
      </c>
      <c r="E13" s="729" t="s">
        <v>1951</v>
      </c>
      <c r="F13" s="730" t="s">
        <v>2130</v>
      </c>
      <c r="G13" s="339" t="s">
        <v>43</v>
      </c>
      <c r="H13" s="262" t="s">
        <v>750</v>
      </c>
      <c r="I13" s="443"/>
      <c r="J13" s="305"/>
      <c r="K13" s="305"/>
      <c r="L13" s="305"/>
      <c r="M13" s="305"/>
      <c r="N13" s="305"/>
      <c r="O13" s="305"/>
      <c r="P13" s="305"/>
      <c r="Q13" s="305"/>
      <c r="R13" s="305"/>
      <c r="S13" s="305"/>
      <c r="T13" s="305"/>
      <c r="U13" s="305"/>
      <c r="V13" s="305"/>
      <c r="W13" s="305"/>
      <c r="X13" s="305"/>
      <c r="Y13" s="305"/>
      <c r="Z13" s="305"/>
      <c r="AA13" s="305"/>
      <c r="AB13" s="305"/>
    </row>
    <row r="14" spans="1:28" ht="180">
      <c r="A14" s="726" t="s">
        <v>2142</v>
      </c>
      <c r="B14" s="727">
        <v>39574</v>
      </c>
      <c r="C14" s="728" t="s">
        <v>540</v>
      </c>
      <c r="D14" s="728" t="s">
        <v>575</v>
      </c>
      <c r="E14" s="729" t="s">
        <v>2143</v>
      </c>
      <c r="F14" s="730" t="s">
        <v>2144</v>
      </c>
      <c r="G14" s="147" t="s">
        <v>43</v>
      </c>
      <c r="H14" s="117" t="s">
        <v>750</v>
      </c>
      <c r="I14" s="35"/>
      <c r="J14" s="36"/>
      <c r="K14" s="36"/>
      <c r="L14" s="36"/>
      <c r="M14" s="36"/>
      <c r="N14" s="36"/>
      <c r="O14" s="36"/>
      <c r="P14" s="36"/>
      <c r="Q14" s="36"/>
      <c r="R14" s="36"/>
      <c r="S14" s="36"/>
      <c r="T14" s="36"/>
      <c r="U14" s="36"/>
      <c r="V14" s="36"/>
      <c r="W14" s="36"/>
      <c r="X14" s="36"/>
      <c r="Y14" s="36"/>
      <c r="Z14" s="36"/>
      <c r="AA14" s="36"/>
      <c r="AB14" s="36"/>
    </row>
    <row r="15" spans="1:28" ht="195">
      <c r="A15" s="726" t="s">
        <v>2152</v>
      </c>
      <c r="B15" s="727">
        <v>40049</v>
      </c>
      <c r="C15" s="728" t="s">
        <v>540</v>
      </c>
      <c r="D15" s="728" t="s">
        <v>2153</v>
      </c>
      <c r="E15" s="729" t="s">
        <v>1968</v>
      </c>
      <c r="F15" s="730" t="s">
        <v>3112</v>
      </c>
      <c r="G15" s="147" t="s">
        <v>43</v>
      </c>
      <c r="H15" s="117" t="s">
        <v>750</v>
      </c>
      <c r="I15" s="35"/>
      <c r="J15" s="36"/>
      <c r="K15" s="36"/>
      <c r="L15" s="36"/>
      <c r="M15" s="36"/>
      <c r="N15" s="36"/>
      <c r="O15" s="36"/>
      <c r="P15" s="36"/>
      <c r="Q15" s="36"/>
      <c r="R15" s="36"/>
      <c r="S15" s="36"/>
      <c r="T15" s="36"/>
      <c r="U15" s="36"/>
      <c r="V15" s="36"/>
      <c r="W15" s="36"/>
      <c r="X15" s="36"/>
      <c r="Y15" s="36"/>
      <c r="Z15" s="36"/>
      <c r="AA15" s="36"/>
      <c r="AB15" s="36"/>
    </row>
    <row r="16" spans="1:28" ht="60">
      <c r="A16" s="735" t="s">
        <v>3113</v>
      </c>
      <c r="B16" s="727">
        <v>40241</v>
      </c>
      <c r="C16" s="728" t="s">
        <v>1098</v>
      </c>
      <c r="D16" s="728" t="s">
        <v>3114</v>
      </c>
      <c r="E16" s="736">
        <v>3</v>
      </c>
      <c r="F16" s="730" t="s">
        <v>3115</v>
      </c>
      <c r="G16" s="147" t="s">
        <v>43</v>
      </c>
      <c r="H16" s="117" t="s">
        <v>750</v>
      </c>
      <c r="I16" s="35"/>
      <c r="J16" s="36"/>
      <c r="K16" s="36"/>
      <c r="L16" s="36"/>
      <c r="M16" s="36"/>
      <c r="N16" s="36"/>
      <c r="O16" s="36"/>
      <c r="P16" s="36"/>
      <c r="Q16" s="36"/>
      <c r="R16" s="36"/>
      <c r="S16" s="36"/>
      <c r="T16" s="36"/>
      <c r="U16" s="36"/>
      <c r="V16" s="36"/>
      <c r="W16" s="36"/>
      <c r="X16" s="36"/>
      <c r="Y16" s="36"/>
      <c r="Z16" s="36"/>
      <c r="AA16" s="36"/>
      <c r="AB16" s="36"/>
    </row>
    <row r="17" spans="1:28" ht="60">
      <c r="A17" s="734" t="s">
        <v>5016</v>
      </c>
      <c r="B17" s="727">
        <v>40267</v>
      </c>
      <c r="C17" s="728" t="s">
        <v>130</v>
      </c>
      <c r="D17" s="728" t="s">
        <v>2164</v>
      </c>
      <c r="E17" s="729" t="s">
        <v>1951</v>
      </c>
      <c r="F17" s="730" t="s">
        <v>2165</v>
      </c>
      <c r="G17" s="147" t="s">
        <v>43</v>
      </c>
      <c r="H17" s="117" t="s">
        <v>750</v>
      </c>
      <c r="I17" s="35"/>
      <c r="J17" s="36"/>
      <c r="K17" s="36"/>
      <c r="L17" s="36"/>
      <c r="M17" s="36"/>
      <c r="N17" s="36"/>
      <c r="O17" s="36"/>
      <c r="P17" s="36"/>
      <c r="Q17" s="36"/>
      <c r="R17" s="36"/>
      <c r="S17" s="36"/>
      <c r="T17" s="36"/>
      <c r="U17" s="36"/>
      <c r="V17" s="36"/>
      <c r="W17" s="36"/>
      <c r="X17" s="36"/>
      <c r="Y17" s="36"/>
      <c r="Z17" s="36"/>
      <c r="AA17" s="36"/>
      <c r="AB17" s="36"/>
    </row>
    <row r="18" spans="1:28" ht="60">
      <c r="A18" s="734" t="s">
        <v>5017</v>
      </c>
      <c r="B18" s="727">
        <v>40267</v>
      </c>
      <c r="C18" s="728" t="s">
        <v>130</v>
      </c>
      <c r="D18" s="728" t="s">
        <v>2167</v>
      </c>
      <c r="E18" s="729" t="s">
        <v>1947</v>
      </c>
      <c r="F18" s="730" t="s">
        <v>2168</v>
      </c>
      <c r="G18" s="147" t="s">
        <v>43</v>
      </c>
      <c r="H18" s="117" t="s">
        <v>750</v>
      </c>
      <c r="I18" s="35"/>
      <c r="J18" s="36"/>
      <c r="K18" s="36"/>
      <c r="L18" s="36"/>
      <c r="M18" s="36"/>
      <c r="N18" s="36"/>
      <c r="O18" s="36"/>
      <c r="P18" s="36"/>
      <c r="Q18" s="36"/>
      <c r="R18" s="36"/>
      <c r="S18" s="36"/>
      <c r="T18" s="36"/>
      <c r="U18" s="36"/>
      <c r="V18" s="36"/>
      <c r="W18" s="36"/>
      <c r="X18" s="36"/>
      <c r="Y18" s="36"/>
      <c r="Z18" s="36"/>
      <c r="AA18" s="36"/>
      <c r="AB18" s="36"/>
    </row>
    <row r="19" spans="1:28" ht="60">
      <c r="A19" s="726" t="s">
        <v>2181</v>
      </c>
      <c r="B19" s="727">
        <v>41178</v>
      </c>
      <c r="C19" s="728" t="s">
        <v>540</v>
      </c>
      <c r="D19" s="728" t="s">
        <v>582</v>
      </c>
      <c r="E19" s="729" t="s">
        <v>2182</v>
      </c>
      <c r="F19" s="730" t="s">
        <v>5018</v>
      </c>
      <c r="G19" s="147" t="s">
        <v>43</v>
      </c>
      <c r="H19" s="117" t="s">
        <v>750</v>
      </c>
      <c r="I19" s="35"/>
      <c r="J19" s="36"/>
      <c r="K19" s="36"/>
      <c r="L19" s="36"/>
      <c r="M19" s="36"/>
      <c r="N19" s="36"/>
      <c r="O19" s="36"/>
      <c r="P19" s="36"/>
      <c r="Q19" s="36"/>
      <c r="R19" s="36"/>
      <c r="S19" s="36"/>
      <c r="T19" s="36"/>
      <c r="U19" s="36"/>
      <c r="V19" s="36"/>
      <c r="W19" s="36"/>
      <c r="X19" s="36"/>
      <c r="Y19" s="36"/>
      <c r="Z19" s="36"/>
      <c r="AA19" s="36"/>
      <c r="AB19" s="36"/>
    </row>
    <row r="20" spans="1:28" ht="60">
      <c r="A20" s="734" t="s">
        <v>3116</v>
      </c>
      <c r="B20" s="727">
        <v>41381</v>
      </c>
      <c r="C20" s="728" t="s">
        <v>130</v>
      </c>
      <c r="D20" s="728" t="s">
        <v>2185</v>
      </c>
      <c r="E20" s="729" t="s">
        <v>1947</v>
      </c>
      <c r="F20" s="730" t="s">
        <v>2186</v>
      </c>
      <c r="G20" s="339" t="s">
        <v>43</v>
      </c>
      <c r="H20" s="262" t="s">
        <v>750</v>
      </c>
      <c r="I20" s="443"/>
      <c r="J20" s="305"/>
      <c r="K20" s="305"/>
      <c r="L20" s="305"/>
      <c r="M20" s="305"/>
      <c r="N20" s="305"/>
      <c r="O20" s="305"/>
      <c r="P20" s="305"/>
      <c r="Q20" s="305"/>
      <c r="R20" s="305"/>
      <c r="S20" s="305"/>
      <c r="T20" s="305"/>
      <c r="U20" s="305"/>
      <c r="V20" s="305"/>
      <c r="W20" s="305"/>
      <c r="X20" s="305"/>
      <c r="Y20" s="305"/>
      <c r="Z20" s="305"/>
      <c r="AA20" s="305"/>
      <c r="AB20" s="305"/>
    </row>
    <row r="21" spans="1:28" ht="75">
      <c r="A21" s="726" t="s">
        <v>2046</v>
      </c>
      <c r="B21" s="727">
        <v>42135</v>
      </c>
      <c r="C21" s="728" t="s">
        <v>61</v>
      </c>
      <c r="D21" s="728" t="s">
        <v>2047</v>
      </c>
      <c r="E21" s="729" t="s">
        <v>2048</v>
      </c>
      <c r="F21" s="730" t="s">
        <v>2049</v>
      </c>
      <c r="G21" s="147" t="s">
        <v>43</v>
      </c>
      <c r="H21" s="117" t="s">
        <v>750</v>
      </c>
      <c r="I21" s="35"/>
      <c r="J21" s="36"/>
      <c r="K21" s="36"/>
      <c r="L21" s="36"/>
      <c r="M21" s="36"/>
      <c r="N21" s="36"/>
      <c r="O21" s="36"/>
      <c r="P21" s="36"/>
      <c r="Q21" s="36"/>
      <c r="R21" s="36"/>
      <c r="S21" s="36"/>
      <c r="T21" s="36"/>
      <c r="U21" s="36"/>
      <c r="V21" s="36"/>
      <c r="W21" s="36"/>
      <c r="X21" s="36"/>
      <c r="Y21" s="36"/>
      <c r="Z21" s="36"/>
      <c r="AA21" s="36"/>
      <c r="AB21" s="36"/>
    </row>
    <row r="22" spans="1:28" ht="60">
      <c r="A22" s="734" t="s">
        <v>2199</v>
      </c>
      <c r="B22" s="727">
        <v>42079</v>
      </c>
      <c r="C22" s="728" t="s">
        <v>130</v>
      </c>
      <c r="D22" s="728" t="s">
        <v>2200</v>
      </c>
      <c r="E22" s="729" t="s">
        <v>2087</v>
      </c>
      <c r="F22" s="730" t="s">
        <v>2201</v>
      </c>
      <c r="G22" s="147" t="s">
        <v>43</v>
      </c>
      <c r="H22" s="117" t="s">
        <v>750</v>
      </c>
      <c r="I22" s="35"/>
      <c r="J22" s="36"/>
      <c r="K22" s="36"/>
      <c r="L22" s="36"/>
      <c r="M22" s="36"/>
      <c r="N22" s="36"/>
      <c r="O22" s="36"/>
      <c r="P22" s="36"/>
      <c r="Q22" s="36"/>
      <c r="R22" s="36"/>
      <c r="S22" s="36"/>
      <c r="T22" s="36"/>
      <c r="U22" s="36"/>
      <c r="V22" s="36"/>
      <c r="W22" s="36"/>
      <c r="X22" s="36"/>
      <c r="Y22" s="36"/>
      <c r="Z22" s="36"/>
      <c r="AA22" s="36"/>
      <c r="AB22" s="36"/>
    </row>
    <row r="23" spans="1:28" ht="75">
      <c r="A23" s="726" t="s">
        <v>2206</v>
      </c>
      <c r="B23" s="727">
        <v>42194</v>
      </c>
      <c r="C23" s="728" t="s">
        <v>1337</v>
      </c>
      <c r="D23" s="728" t="s">
        <v>2207</v>
      </c>
      <c r="E23" s="729" t="s">
        <v>3120</v>
      </c>
      <c r="F23" s="730" t="s">
        <v>5019</v>
      </c>
      <c r="G23" s="147" t="s">
        <v>43</v>
      </c>
      <c r="H23" s="117" t="s">
        <v>750</v>
      </c>
      <c r="I23" s="35"/>
      <c r="J23" s="36"/>
      <c r="K23" s="36"/>
      <c r="L23" s="36"/>
      <c r="M23" s="36"/>
      <c r="N23" s="36"/>
      <c r="O23" s="36"/>
      <c r="P23" s="36"/>
      <c r="Q23" s="36"/>
      <c r="R23" s="36"/>
      <c r="S23" s="36"/>
      <c r="T23" s="36"/>
      <c r="U23" s="36"/>
      <c r="V23" s="36"/>
      <c r="W23" s="36"/>
      <c r="X23" s="36"/>
      <c r="Y23" s="36"/>
      <c r="Z23" s="36"/>
      <c r="AA23" s="36"/>
      <c r="AB23" s="36"/>
    </row>
    <row r="24" spans="1:28" ht="105">
      <c r="A24" s="737" t="s">
        <v>2214</v>
      </c>
      <c r="B24" s="738">
        <v>42794</v>
      </c>
      <c r="C24" s="739" t="s">
        <v>2064</v>
      </c>
      <c r="D24" s="739" t="s">
        <v>2215</v>
      </c>
      <c r="E24" s="740" t="s">
        <v>2216</v>
      </c>
      <c r="F24" s="741" t="s">
        <v>2217</v>
      </c>
      <c r="G24" s="147" t="s">
        <v>43</v>
      </c>
      <c r="H24" s="117" t="s">
        <v>750</v>
      </c>
      <c r="I24" s="35"/>
      <c r="J24" s="36"/>
      <c r="K24" s="36"/>
      <c r="L24" s="36"/>
      <c r="M24" s="36"/>
      <c r="N24" s="36"/>
      <c r="O24" s="36"/>
      <c r="P24" s="36"/>
      <c r="Q24" s="36"/>
      <c r="R24" s="36"/>
      <c r="S24" s="36"/>
      <c r="T24" s="36"/>
      <c r="U24" s="36"/>
      <c r="V24" s="36"/>
      <c r="W24" s="36"/>
      <c r="X24" s="36"/>
      <c r="Y24" s="36"/>
      <c r="Z24" s="36"/>
      <c r="AA24" s="36"/>
      <c r="AB24" s="36"/>
    </row>
    <row r="25" spans="1:28" ht="90">
      <c r="A25" s="734" t="s">
        <v>834</v>
      </c>
      <c r="B25" s="742">
        <v>39805</v>
      </c>
      <c r="C25" s="739" t="s">
        <v>61</v>
      </c>
      <c r="D25" s="739" t="s">
        <v>2007</v>
      </c>
      <c r="E25" s="740" t="s">
        <v>2008</v>
      </c>
      <c r="F25" s="741" t="s">
        <v>2009</v>
      </c>
      <c r="G25" s="147" t="s">
        <v>43</v>
      </c>
      <c r="H25" s="117" t="s">
        <v>750</v>
      </c>
      <c r="I25" s="35"/>
      <c r="J25" s="36"/>
      <c r="K25" s="36"/>
      <c r="L25" s="36"/>
      <c r="M25" s="36"/>
      <c r="N25" s="36"/>
      <c r="O25" s="36"/>
      <c r="P25" s="36"/>
      <c r="Q25" s="36"/>
      <c r="R25" s="36"/>
      <c r="S25" s="36"/>
      <c r="T25" s="36"/>
      <c r="U25" s="36"/>
      <c r="V25" s="36"/>
      <c r="W25" s="36"/>
      <c r="X25" s="36"/>
      <c r="Y25" s="36"/>
      <c r="Z25" s="36"/>
      <c r="AA25" s="36"/>
      <c r="AB25" s="36"/>
    </row>
    <row r="26" spans="1:28" ht="60">
      <c r="A26" s="726" t="s">
        <v>1251</v>
      </c>
      <c r="B26" s="743">
        <v>42150</v>
      </c>
      <c r="C26" s="739" t="s">
        <v>5020</v>
      </c>
      <c r="D26" s="739" t="s">
        <v>5021</v>
      </c>
      <c r="E26" s="740" t="s">
        <v>41</v>
      </c>
      <c r="F26" s="741" t="s">
        <v>41</v>
      </c>
      <c r="G26" s="147" t="s">
        <v>43</v>
      </c>
      <c r="H26" s="117" t="s">
        <v>750</v>
      </c>
      <c r="I26" s="35"/>
      <c r="J26" s="36"/>
      <c r="K26" s="36"/>
      <c r="L26" s="36"/>
      <c r="M26" s="36"/>
      <c r="N26" s="36"/>
      <c r="O26" s="36"/>
      <c r="P26" s="36"/>
      <c r="Q26" s="36"/>
      <c r="R26" s="36"/>
      <c r="S26" s="36"/>
      <c r="T26" s="36"/>
      <c r="U26" s="36"/>
      <c r="V26" s="36"/>
      <c r="W26" s="36"/>
      <c r="X26" s="36"/>
      <c r="Y26" s="36"/>
      <c r="Z26" s="36"/>
      <c r="AA26" s="36"/>
      <c r="AB26" s="36"/>
    </row>
    <row r="27" spans="1:28" ht="225">
      <c r="A27" s="726" t="s">
        <v>2191</v>
      </c>
      <c r="B27" s="743">
        <v>41667</v>
      </c>
      <c r="C27" s="739" t="s">
        <v>540</v>
      </c>
      <c r="D27" s="739" t="s">
        <v>5022</v>
      </c>
      <c r="E27" s="740" t="s">
        <v>2193</v>
      </c>
      <c r="F27" s="741" t="s">
        <v>5023</v>
      </c>
      <c r="G27" s="147" t="s">
        <v>43</v>
      </c>
      <c r="H27" s="117" t="s">
        <v>750</v>
      </c>
      <c r="I27" s="35"/>
      <c r="J27" s="36"/>
      <c r="K27" s="36"/>
      <c r="L27" s="36"/>
      <c r="M27" s="36"/>
      <c r="N27" s="36"/>
      <c r="O27" s="36"/>
      <c r="P27" s="36"/>
      <c r="Q27" s="36"/>
      <c r="R27" s="36"/>
      <c r="S27" s="36"/>
      <c r="T27" s="36"/>
      <c r="U27" s="36"/>
      <c r="V27" s="36"/>
      <c r="W27" s="36"/>
      <c r="X27" s="36"/>
      <c r="Y27" s="36"/>
      <c r="Z27" s="36"/>
      <c r="AA27" s="36"/>
      <c r="AB27" s="36"/>
    </row>
    <row r="28" spans="1:28" ht="60">
      <c r="A28" s="726" t="s">
        <v>5024</v>
      </c>
      <c r="B28" s="742">
        <v>39805</v>
      </c>
      <c r="C28" s="739" t="s">
        <v>195</v>
      </c>
      <c r="D28" s="739" t="s">
        <v>5025</v>
      </c>
      <c r="E28" s="740" t="s">
        <v>41</v>
      </c>
      <c r="F28" s="741" t="s">
        <v>41</v>
      </c>
      <c r="G28" s="147" t="s">
        <v>43</v>
      </c>
      <c r="H28" s="117" t="s">
        <v>750</v>
      </c>
      <c r="I28" s="35"/>
      <c r="J28" s="36"/>
      <c r="K28" s="36"/>
      <c r="L28" s="36"/>
      <c r="M28" s="36"/>
      <c r="N28" s="36"/>
      <c r="O28" s="36"/>
      <c r="P28" s="36"/>
      <c r="Q28" s="36"/>
      <c r="R28" s="36"/>
      <c r="S28" s="36"/>
      <c r="T28" s="36"/>
      <c r="U28" s="36"/>
      <c r="V28" s="36"/>
      <c r="W28" s="36"/>
      <c r="X28" s="36"/>
      <c r="Y28" s="36"/>
      <c r="Z28" s="36"/>
      <c r="AA28" s="36"/>
      <c r="AB28" s="36"/>
    </row>
    <row r="29" spans="1:28" ht="105">
      <c r="A29" s="744" t="s">
        <v>5026</v>
      </c>
      <c r="B29" s="743">
        <v>44253</v>
      </c>
      <c r="C29" s="745" t="s">
        <v>195</v>
      </c>
      <c r="D29" s="745" t="s">
        <v>5027</v>
      </c>
      <c r="E29" s="746" t="s">
        <v>2552</v>
      </c>
      <c r="F29" s="747" t="s">
        <v>5028</v>
      </c>
      <c r="G29" s="147" t="s">
        <v>43</v>
      </c>
      <c r="H29" s="117" t="s">
        <v>750</v>
      </c>
      <c r="I29" s="35"/>
      <c r="J29" s="36"/>
      <c r="K29" s="36"/>
      <c r="L29" s="36"/>
      <c r="M29" s="36"/>
      <c r="N29" s="36"/>
      <c r="O29" s="36"/>
      <c r="P29" s="36"/>
      <c r="Q29" s="36"/>
      <c r="R29" s="36"/>
      <c r="S29" s="36"/>
      <c r="T29" s="36"/>
      <c r="U29" s="36"/>
      <c r="V29" s="36"/>
      <c r="W29" s="36"/>
      <c r="X29" s="36"/>
      <c r="Y29" s="36"/>
      <c r="Z29" s="36"/>
      <c r="AA29" s="36"/>
      <c r="AB29" s="36"/>
    </row>
    <row r="30" spans="1:28" ht="72.75">
      <c r="A30" s="748" t="s">
        <v>5029</v>
      </c>
      <c r="B30" s="749">
        <v>43825</v>
      </c>
      <c r="C30" s="426" t="s">
        <v>2064</v>
      </c>
      <c r="D30" s="426" t="s">
        <v>5030</v>
      </c>
      <c r="E30" s="426" t="s">
        <v>2552</v>
      </c>
      <c r="F30" s="750" t="s">
        <v>5031</v>
      </c>
      <c r="G30" s="147" t="s">
        <v>43</v>
      </c>
      <c r="H30" s="117" t="s">
        <v>750</v>
      </c>
      <c r="I30" s="35"/>
      <c r="J30" s="36"/>
      <c r="K30" s="36"/>
      <c r="L30" s="36"/>
      <c r="M30" s="36"/>
      <c r="N30" s="36"/>
      <c r="O30" s="36"/>
      <c r="P30" s="36"/>
      <c r="Q30" s="36"/>
      <c r="R30" s="36"/>
      <c r="S30" s="36"/>
      <c r="T30" s="36"/>
      <c r="U30" s="36"/>
      <c r="V30" s="36"/>
      <c r="W30" s="36"/>
      <c r="X30" s="36"/>
      <c r="Y30" s="36"/>
      <c r="Z30" s="36"/>
      <c r="AA30" s="36"/>
      <c r="AB30" s="36"/>
    </row>
    <row r="31" spans="1:28" ht="60">
      <c r="A31" s="748" t="s">
        <v>5032</v>
      </c>
      <c r="B31" s="751">
        <v>44559</v>
      </c>
      <c r="C31" s="752" t="s">
        <v>61</v>
      </c>
      <c r="D31" s="752" t="s">
        <v>5033</v>
      </c>
      <c r="E31" s="753" t="s">
        <v>41</v>
      </c>
      <c r="F31" s="754" t="s">
        <v>5034</v>
      </c>
      <c r="G31" s="147" t="s">
        <v>43</v>
      </c>
      <c r="H31" s="117" t="s">
        <v>750</v>
      </c>
      <c r="I31" s="35"/>
      <c r="J31" s="36"/>
      <c r="K31" s="36"/>
      <c r="L31" s="36"/>
      <c r="M31" s="36"/>
      <c r="N31" s="36"/>
      <c r="O31" s="36"/>
      <c r="P31" s="36"/>
      <c r="Q31" s="36"/>
      <c r="R31" s="36"/>
      <c r="S31" s="36"/>
      <c r="T31" s="36"/>
      <c r="U31" s="36"/>
      <c r="V31" s="36"/>
      <c r="W31" s="36"/>
      <c r="X31" s="36"/>
      <c r="Y31" s="36"/>
      <c r="Z31" s="36"/>
      <c r="AA31" s="36"/>
      <c r="AB31" s="36"/>
    </row>
    <row r="32" spans="1:28" ht="60">
      <c r="A32" s="755"/>
      <c r="B32" s="756"/>
      <c r="C32" s="757"/>
      <c r="D32" s="757"/>
      <c r="E32" s="757"/>
      <c r="F32" s="758"/>
      <c r="G32" s="147" t="s">
        <v>43</v>
      </c>
      <c r="H32" s="117" t="s">
        <v>750</v>
      </c>
      <c r="I32" s="35"/>
      <c r="J32" s="36"/>
      <c r="K32" s="36"/>
      <c r="L32" s="36"/>
      <c r="M32" s="36"/>
      <c r="N32" s="36"/>
      <c r="O32" s="36"/>
      <c r="P32" s="36"/>
      <c r="Q32" s="36"/>
      <c r="R32" s="36"/>
      <c r="S32" s="36"/>
      <c r="T32" s="36"/>
      <c r="U32" s="36"/>
      <c r="V32" s="36"/>
      <c r="W32" s="36"/>
      <c r="X32" s="36"/>
      <c r="Y32" s="36"/>
      <c r="Z32" s="36"/>
      <c r="AA32" s="36"/>
      <c r="AB32" s="36"/>
    </row>
    <row r="33" spans="1:28" ht="60">
      <c r="A33" s="755"/>
      <c r="B33" s="756"/>
      <c r="C33" s="757"/>
      <c r="D33" s="757"/>
      <c r="E33" s="757"/>
      <c r="F33" s="758"/>
      <c r="G33" s="147" t="s">
        <v>43</v>
      </c>
      <c r="H33" s="117" t="s">
        <v>750</v>
      </c>
      <c r="I33" s="35"/>
      <c r="J33" s="36"/>
      <c r="K33" s="36"/>
      <c r="L33" s="36"/>
      <c r="M33" s="36"/>
      <c r="N33" s="36"/>
      <c r="O33" s="36"/>
      <c r="P33" s="36"/>
      <c r="Q33" s="36"/>
      <c r="R33" s="36"/>
      <c r="S33" s="36"/>
      <c r="T33" s="36"/>
      <c r="U33" s="36"/>
      <c r="V33" s="36"/>
      <c r="W33" s="36"/>
      <c r="X33" s="36"/>
      <c r="Y33" s="36"/>
      <c r="Z33" s="36"/>
      <c r="AA33" s="36"/>
      <c r="AB33" s="36"/>
    </row>
    <row r="34" spans="1:28" ht="60">
      <c r="A34" s="755"/>
      <c r="B34" s="756"/>
      <c r="C34" s="757"/>
      <c r="D34" s="757"/>
      <c r="E34" s="757"/>
      <c r="F34" s="758"/>
      <c r="G34" s="147" t="s">
        <v>43</v>
      </c>
      <c r="H34" s="117" t="s">
        <v>750</v>
      </c>
      <c r="I34" s="35"/>
      <c r="J34" s="36"/>
      <c r="K34" s="36"/>
      <c r="L34" s="36"/>
      <c r="M34" s="36"/>
      <c r="N34" s="36"/>
      <c r="O34" s="36"/>
      <c r="P34" s="36"/>
      <c r="Q34" s="36"/>
      <c r="R34" s="36"/>
      <c r="S34" s="36"/>
      <c r="T34" s="36"/>
      <c r="U34" s="36"/>
      <c r="V34" s="36"/>
      <c r="W34" s="36"/>
      <c r="X34" s="36"/>
      <c r="Y34" s="36"/>
      <c r="Z34" s="36"/>
      <c r="AA34" s="36"/>
      <c r="AB34" s="36"/>
    </row>
    <row r="35" spans="1:28" ht="60">
      <c r="A35" s="755"/>
      <c r="B35" s="756"/>
      <c r="C35" s="759" t="s">
        <v>2898</v>
      </c>
      <c r="D35" s="757"/>
      <c r="E35" s="757"/>
      <c r="F35" s="758"/>
      <c r="G35" s="147" t="s">
        <v>43</v>
      </c>
      <c r="H35" s="117" t="s">
        <v>750</v>
      </c>
      <c r="I35" s="35"/>
      <c r="J35" s="36"/>
      <c r="K35" s="36"/>
      <c r="L35" s="36"/>
      <c r="M35" s="36"/>
      <c r="N35" s="36"/>
      <c r="O35" s="36"/>
      <c r="P35" s="36"/>
      <c r="Q35" s="36"/>
      <c r="R35" s="36"/>
      <c r="S35" s="36"/>
      <c r="T35" s="36"/>
      <c r="U35" s="36"/>
      <c r="V35" s="36"/>
      <c r="W35" s="36"/>
      <c r="X35" s="36"/>
      <c r="Y35" s="36"/>
      <c r="Z35" s="36"/>
      <c r="AA35" s="36"/>
      <c r="AB35" s="36"/>
    </row>
    <row r="36" spans="1:28" ht="60">
      <c r="A36" s="755"/>
      <c r="B36" s="756"/>
      <c r="C36" s="757"/>
      <c r="D36" s="757"/>
      <c r="E36" s="757"/>
      <c r="F36" s="758"/>
      <c r="G36" s="147" t="s">
        <v>43</v>
      </c>
      <c r="H36" s="117" t="s">
        <v>750</v>
      </c>
      <c r="I36" s="35"/>
      <c r="J36" s="36"/>
      <c r="K36" s="36"/>
      <c r="L36" s="36"/>
      <c r="M36" s="36"/>
      <c r="N36" s="36"/>
      <c r="O36" s="36"/>
      <c r="P36" s="36"/>
      <c r="Q36" s="36"/>
      <c r="R36" s="36"/>
      <c r="S36" s="36"/>
      <c r="T36" s="36"/>
      <c r="U36" s="36"/>
      <c r="V36" s="36"/>
      <c r="W36" s="36"/>
      <c r="X36" s="36"/>
      <c r="Y36" s="36"/>
      <c r="Z36" s="36"/>
      <c r="AA36" s="36"/>
      <c r="AB36" s="36"/>
    </row>
    <row r="37" spans="1:28" ht="60">
      <c r="A37" s="755"/>
      <c r="B37" s="756"/>
      <c r="C37" s="757"/>
      <c r="D37" s="757"/>
      <c r="E37" s="757"/>
      <c r="F37" s="758"/>
      <c r="G37" s="147" t="s">
        <v>43</v>
      </c>
      <c r="H37" s="117" t="s">
        <v>750</v>
      </c>
      <c r="I37" s="35"/>
      <c r="J37" s="36"/>
      <c r="K37" s="36"/>
      <c r="L37" s="36"/>
      <c r="M37" s="36"/>
      <c r="N37" s="36"/>
      <c r="O37" s="36"/>
      <c r="P37" s="36"/>
      <c r="Q37" s="36"/>
      <c r="R37" s="36"/>
      <c r="S37" s="36"/>
      <c r="T37" s="36"/>
      <c r="U37" s="36"/>
      <c r="V37" s="36"/>
      <c r="W37" s="36"/>
      <c r="X37" s="36"/>
      <c r="Y37" s="36"/>
      <c r="Z37" s="36"/>
      <c r="AA37" s="36"/>
      <c r="AB37" s="36"/>
    </row>
    <row r="38" spans="1:28" ht="60">
      <c r="A38" s="755"/>
      <c r="B38" s="756"/>
      <c r="C38" s="757"/>
      <c r="D38" s="757"/>
      <c r="E38" s="757"/>
      <c r="F38" s="758"/>
      <c r="G38" s="147" t="s">
        <v>43</v>
      </c>
      <c r="H38" s="117" t="s">
        <v>750</v>
      </c>
      <c r="I38" s="35"/>
      <c r="J38" s="36"/>
      <c r="K38" s="36"/>
      <c r="L38" s="36"/>
      <c r="M38" s="36"/>
      <c r="N38" s="36"/>
      <c r="O38" s="36"/>
      <c r="P38" s="36"/>
      <c r="Q38" s="36"/>
      <c r="R38" s="36"/>
      <c r="S38" s="36"/>
      <c r="T38" s="36"/>
      <c r="U38" s="36"/>
      <c r="V38" s="36"/>
      <c r="W38" s="36"/>
      <c r="X38" s="36"/>
      <c r="Y38" s="36"/>
      <c r="Z38" s="36"/>
      <c r="AA38" s="36"/>
      <c r="AB38" s="36"/>
    </row>
    <row r="39" spans="1:28" ht="60">
      <c r="A39" s="755"/>
      <c r="B39" s="756"/>
      <c r="C39" s="757"/>
      <c r="D39" s="757"/>
      <c r="E39" s="757"/>
      <c r="F39" s="758"/>
      <c r="G39" s="147" t="s">
        <v>43</v>
      </c>
      <c r="H39" s="117" t="s">
        <v>750</v>
      </c>
      <c r="I39" s="35"/>
      <c r="J39" s="36"/>
      <c r="K39" s="36"/>
      <c r="L39" s="36"/>
      <c r="M39" s="36"/>
      <c r="N39" s="36"/>
      <c r="O39" s="36"/>
      <c r="P39" s="36"/>
      <c r="Q39" s="36"/>
      <c r="R39" s="36"/>
      <c r="S39" s="36"/>
      <c r="T39" s="36"/>
      <c r="U39" s="36"/>
      <c r="V39" s="36"/>
      <c r="W39" s="36"/>
      <c r="X39" s="36"/>
      <c r="Y39" s="36"/>
      <c r="Z39" s="36"/>
      <c r="AA39" s="36"/>
      <c r="AB39" s="36"/>
    </row>
    <row r="40" spans="1:28" ht="60">
      <c r="A40" s="755"/>
      <c r="B40" s="756"/>
      <c r="C40" s="757"/>
      <c r="D40" s="757"/>
      <c r="E40" s="757"/>
      <c r="F40" s="758"/>
      <c r="G40" s="147" t="s">
        <v>43</v>
      </c>
      <c r="H40" s="117" t="s">
        <v>750</v>
      </c>
      <c r="I40" s="35"/>
      <c r="J40" s="36"/>
      <c r="K40" s="36"/>
      <c r="L40" s="36"/>
      <c r="M40" s="36"/>
      <c r="N40" s="36"/>
      <c r="O40" s="36"/>
      <c r="P40" s="36"/>
      <c r="Q40" s="36"/>
      <c r="R40" s="36"/>
      <c r="S40" s="36"/>
      <c r="T40" s="36"/>
      <c r="U40" s="36"/>
      <c r="V40" s="36"/>
      <c r="W40" s="36"/>
      <c r="X40" s="36"/>
      <c r="Y40" s="36"/>
      <c r="Z40" s="36"/>
      <c r="AA40" s="36"/>
      <c r="AB40" s="36"/>
    </row>
    <row r="41" spans="1:28" ht="60">
      <c r="A41" s="755"/>
      <c r="B41" s="756"/>
      <c r="C41" s="757"/>
      <c r="D41" s="757"/>
      <c r="E41" s="757"/>
      <c r="F41" s="758"/>
      <c r="G41" s="760" t="s">
        <v>43</v>
      </c>
      <c r="H41" s="117" t="s">
        <v>750</v>
      </c>
      <c r="I41" s="35"/>
      <c r="J41" s="36"/>
      <c r="K41" s="36"/>
      <c r="L41" s="36"/>
      <c r="M41" s="36"/>
      <c r="N41" s="36"/>
      <c r="O41" s="36"/>
      <c r="P41" s="36"/>
      <c r="Q41" s="36"/>
      <c r="R41" s="36"/>
      <c r="S41" s="36"/>
      <c r="T41" s="36"/>
      <c r="U41" s="36"/>
      <c r="V41" s="36"/>
      <c r="W41" s="36"/>
      <c r="X41" s="36"/>
      <c r="Y41" s="36"/>
      <c r="Z41" s="36"/>
      <c r="AA41" s="36"/>
      <c r="AB41" s="36"/>
    </row>
    <row r="42" spans="1:28" ht="60">
      <c r="A42" s="755"/>
      <c r="B42" s="756"/>
      <c r="C42" s="757"/>
      <c r="D42" s="757"/>
      <c r="E42" s="757"/>
      <c r="F42" s="758"/>
      <c r="G42" s="147" t="s">
        <v>43</v>
      </c>
      <c r="H42" s="117" t="s">
        <v>750</v>
      </c>
      <c r="I42" s="35"/>
      <c r="J42" s="36"/>
      <c r="K42" s="36"/>
      <c r="L42" s="36"/>
      <c r="M42" s="36"/>
      <c r="N42" s="36"/>
      <c r="O42" s="36"/>
      <c r="P42" s="36"/>
      <c r="Q42" s="36"/>
      <c r="R42" s="36"/>
      <c r="S42" s="36"/>
      <c r="T42" s="36"/>
      <c r="U42" s="36"/>
      <c r="V42" s="36"/>
      <c r="W42" s="36"/>
      <c r="X42" s="36"/>
      <c r="Y42" s="36"/>
      <c r="Z42" s="36"/>
      <c r="AA42" s="36"/>
      <c r="AB42" s="36"/>
    </row>
    <row r="43" spans="1:28" ht="60">
      <c r="A43" s="755"/>
      <c r="B43" s="756"/>
      <c r="C43" s="757"/>
      <c r="D43" s="757"/>
      <c r="E43" s="757"/>
      <c r="F43" s="758"/>
      <c r="G43" s="147" t="s">
        <v>43</v>
      </c>
      <c r="H43" s="117" t="s">
        <v>750</v>
      </c>
      <c r="I43" s="35"/>
      <c r="J43" s="36"/>
      <c r="K43" s="36"/>
      <c r="L43" s="36"/>
      <c r="M43" s="36"/>
      <c r="N43" s="36"/>
      <c r="O43" s="36"/>
      <c r="P43" s="36"/>
      <c r="Q43" s="36"/>
      <c r="R43" s="36"/>
      <c r="S43" s="36"/>
      <c r="T43" s="36"/>
      <c r="U43" s="36"/>
      <c r="V43" s="36"/>
      <c r="W43" s="36"/>
      <c r="X43" s="36"/>
      <c r="Y43" s="36"/>
      <c r="Z43" s="36"/>
      <c r="AA43" s="36"/>
      <c r="AB43" s="36"/>
    </row>
    <row r="44" spans="1:28" ht="60">
      <c r="A44" s="755"/>
      <c r="B44" s="756"/>
      <c r="C44" s="757"/>
      <c r="D44" s="757"/>
      <c r="E44" s="757"/>
      <c r="F44" s="758"/>
      <c r="G44" s="147" t="s">
        <v>43</v>
      </c>
      <c r="H44" s="117" t="s">
        <v>750</v>
      </c>
      <c r="I44" s="35"/>
      <c r="J44" s="36"/>
      <c r="K44" s="36"/>
      <c r="L44" s="36"/>
      <c r="M44" s="36"/>
      <c r="N44" s="36"/>
      <c r="O44" s="36"/>
      <c r="P44" s="36"/>
      <c r="Q44" s="36"/>
      <c r="R44" s="36"/>
      <c r="S44" s="36"/>
      <c r="T44" s="36"/>
      <c r="U44" s="36"/>
      <c r="V44" s="36"/>
      <c r="W44" s="36"/>
      <c r="X44" s="36"/>
      <c r="Y44" s="36"/>
      <c r="Z44" s="36"/>
      <c r="AA44" s="36"/>
      <c r="AB44" s="36"/>
    </row>
    <row r="45" spans="1:28" ht="60">
      <c r="A45" s="755"/>
      <c r="B45" s="756"/>
      <c r="C45" s="757"/>
      <c r="D45" s="757"/>
      <c r="E45" s="757"/>
      <c r="F45" s="758"/>
      <c r="G45" s="147" t="s">
        <v>43</v>
      </c>
      <c r="H45" s="117" t="s">
        <v>750</v>
      </c>
      <c r="I45" s="35"/>
      <c r="J45" s="36"/>
      <c r="K45" s="36"/>
      <c r="L45" s="36"/>
      <c r="M45" s="36"/>
      <c r="N45" s="36"/>
      <c r="O45" s="36"/>
      <c r="P45" s="36"/>
      <c r="Q45" s="36"/>
      <c r="R45" s="36"/>
      <c r="S45" s="36"/>
      <c r="T45" s="36"/>
      <c r="U45" s="36"/>
      <c r="V45" s="36"/>
      <c r="W45" s="36"/>
      <c r="X45" s="36"/>
      <c r="Y45" s="36"/>
      <c r="Z45" s="36"/>
      <c r="AA45" s="36"/>
      <c r="AB45" s="36"/>
    </row>
    <row r="46" spans="1:28" ht="60">
      <c r="A46" s="755"/>
      <c r="B46" s="756"/>
      <c r="C46" s="757"/>
      <c r="D46" s="757"/>
      <c r="E46" s="757"/>
      <c r="F46" s="758"/>
      <c r="G46" s="200" t="s">
        <v>43</v>
      </c>
      <c r="H46" s="117" t="s">
        <v>750</v>
      </c>
      <c r="I46" s="35"/>
      <c r="J46" s="36"/>
      <c r="K46" s="36"/>
      <c r="L46" s="36"/>
      <c r="M46" s="36"/>
      <c r="N46" s="36"/>
      <c r="O46" s="36"/>
      <c r="P46" s="36"/>
      <c r="Q46" s="36"/>
      <c r="R46" s="36"/>
      <c r="S46" s="36"/>
      <c r="T46" s="36"/>
      <c r="U46" s="36"/>
      <c r="V46" s="36"/>
      <c r="W46" s="36"/>
      <c r="X46" s="36"/>
      <c r="Y46" s="36"/>
      <c r="Z46" s="36"/>
      <c r="AA46" s="36"/>
      <c r="AB46" s="36"/>
    </row>
    <row r="47" spans="1:28" ht="60">
      <c r="A47" s="755"/>
      <c r="B47" s="756"/>
      <c r="C47" s="757"/>
      <c r="D47" s="757"/>
      <c r="E47" s="757"/>
      <c r="F47" s="758"/>
      <c r="G47" s="200" t="s">
        <v>43</v>
      </c>
      <c r="H47" s="117" t="s">
        <v>750</v>
      </c>
      <c r="I47" s="35"/>
      <c r="J47" s="36"/>
      <c r="K47" s="36"/>
      <c r="L47" s="36"/>
      <c r="M47" s="36"/>
      <c r="N47" s="36"/>
      <c r="O47" s="36"/>
      <c r="P47" s="36"/>
      <c r="Q47" s="36"/>
      <c r="R47" s="36"/>
      <c r="S47" s="36"/>
      <c r="T47" s="36"/>
      <c r="U47" s="36"/>
      <c r="V47" s="36"/>
      <c r="W47" s="36"/>
      <c r="X47" s="36"/>
      <c r="Y47" s="36"/>
      <c r="Z47" s="36"/>
      <c r="AA47" s="36"/>
      <c r="AB47" s="36"/>
    </row>
    <row r="48" spans="1:28" ht="60">
      <c r="A48" s="755"/>
      <c r="B48" s="756"/>
      <c r="C48" s="757"/>
      <c r="D48" s="757"/>
      <c r="E48" s="757"/>
      <c r="F48" s="758"/>
      <c r="G48" s="147" t="s">
        <v>43</v>
      </c>
      <c r="H48" s="117" t="s">
        <v>750</v>
      </c>
      <c r="I48" s="35"/>
      <c r="J48" s="36"/>
      <c r="K48" s="36"/>
      <c r="L48" s="36"/>
      <c r="M48" s="36"/>
      <c r="N48" s="36"/>
      <c r="O48" s="36"/>
      <c r="P48" s="36"/>
      <c r="Q48" s="36"/>
      <c r="R48" s="36"/>
      <c r="S48" s="36"/>
      <c r="T48" s="36"/>
      <c r="U48" s="36"/>
      <c r="V48" s="36"/>
      <c r="W48" s="36"/>
      <c r="X48" s="36"/>
      <c r="Y48" s="36"/>
      <c r="Z48" s="36"/>
      <c r="AA48" s="36"/>
      <c r="AB48" s="36"/>
    </row>
    <row r="49" spans="1:28" ht="60">
      <c r="A49" s="755"/>
      <c r="B49" s="756"/>
      <c r="C49" s="757"/>
      <c r="D49" s="757"/>
      <c r="E49" s="757"/>
      <c r="F49" s="758"/>
      <c r="G49" s="147" t="s">
        <v>43</v>
      </c>
      <c r="H49" s="117" t="s">
        <v>750</v>
      </c>
      <c r="I49" s="35"/>
      <c r="J49" s="36"/>
      <c r="K49" s="36"/>
      <c r="L49" s="36"/>
      <c r="M49" s="36"/>
      <c r="N49" s="36"/>
      <c r="O49" s="36"/>
      <c r="P49" s="36"/>
      <c r="Q49" s="36"/>
      <c r="R49" s="36"/>
      <c r="S49" s="36"/>
      <c r="T49" s="36"/>
      <c r="U49" s="36"/>
      <c r="V49" s="36"/>
      <c r="W49" s="36"/>
      <c r="X49" s="36"/>
      <c r="Y49" s="36"/>
      <c r="Z49" s="36"/>
      <c r="AA49" s="36"/>
      <c r="AB49" s="36"/>
    </row>
    <row r="50" spans="1:28" ht="60">
      <c r="A50" s="755"/>
      <c r="B50" s="756"/>
      <c r="C50" s="757"/>
      <c r="D50" s="757"/>
      <c r="E50" s="757"/>
      <c r="F50" s="758"/>
      <c r="G50" s="147" t="s">
        <v>43</v>
      </c>
      <c r="H50" s="117" t="s">
        <v>750</v>
      </c>
      <c r="I50" s="35"/>
      <c r="J50" s="36"/>
      <c r="K50" s="36"/>
      <c r="L50" s="36"/>
      <c r="M50" s="36"/>
      <c r="N50" s="36"/>
      <c r="O50" s="36"/>
      <c r="P50" s="36"/>
      <c r="Q50" s="36"/>
      <c r="R50" s="36"/>
      <c r="S50" s="36"/>
      <c r="T50" s="36"/>
      <c r="U50" s="36"/>
      <c r="V50" s="36"/>
      <c r="W50" s="36"/>
      <c r="X50" s="36"/>
      <c r="Y50" s="36"/>
      <c r="Z50" s="36"/>
      <c r="AA50" s="36"/>
      <c r="AB50" s="36"/>
    </row>
    <row r="51" spans="1:28" ht="52.5" customHeight="1">
      <c r="A51" s="755"/>
      <c r="B51" s="756"/>
      <c r="C51" s="757"/>
      <c r="D51" s="757"/>
      <c r="E51" s="757"/>
      <c r="F51" s="758"/>
      <c r="G51" s="147" t="s">
        <v>43</v>
      </c>
      <c r="H51" s="117" t="s">
        <v>750</v>
      </c>
      <c r="I51" s="35"/>
      <c r="J51" s="36"/>
      <c r="K51" s="36"/>
      <c r="L51" s="36"/>
      <c r="M51" s="36"/>
      <c r="N51" s="36"/>
      <c r="O51" s="36"/>
      <c r="P51" s="36"/>
      <c r="Q51" s="36"/>
      <c r="R51" s="36"/>
      <c r="S51" s="36"/>
      <c r="T51" s="36"/>
      <c r="U51" s="36"/>
      <c r="V51" s="36"/>
      <c r="W51" s="36"/>
      <c r="X51" s="36"/>
      <c r="Y51" s="36"/>
      <c r="Z51" s="36"/>
      <c r="AA51" s="36"/>
      <c r="AB51" s="36"/>
    </row>
    <row r="52" spans="1:28" ht="60">
      <c r="A52" s="755"/>
      <c r="B52" s="756"/>
      <c r="C52" s="757"/>
      <c r="D52" s="757"/>
      <c r="E52" s="757"/>
      <c r="F52" s="758"/>
      <c r="G52" s="147" t="s">
        <v>43</v>
      </c>
      <c r="H52" s="117" t="s">
        <v>750</v>
      </c>
      <c r="I52" s="35"/>
      <c r="J52" s="36"/>
      <c r="K52" s="36"/>
      <c r="L52" s="36"/>
      <c r="M52" s="36"/>
      <c r="N52" s="36"/>
      <c r="O52" s="36"/>
      <c r="P52" s="36"/>
      <c r="Q52" s="36"/>
      <c r="R52" s="36"/>
      <c r="S52" s="36"/>
      <c r="T52" s="36"/>
      <c r="U52" s="36"/>
      <c r="V52" s="36"/>
      <c r="W52" s="36"/>
      <c r="X52" s="36"/>
      <c r="Y52" s="36"/>
      <c r="Z52" s="36"/>
      <c r="AA52" s="36"/>
      <c r="AB52" s="36"/>
    </row>
    <row r="53" spans="1:28" ht="60">
      <c r="A53" s="755"/>
      <c r="B53" s="756"/>
      <c r="C53" s="757"/>
      <c r="D53" s="757"/>
      <c r="E53" s="757"/>
      <c r="F53" s="758"/>
      <c r="G53" s="147" t="s">
        <v>43</v>
      </c>
      <c r="H53" s="117" t="s">
        <v>750</v>
      </c>
      <c r="I53" s="35"/>
      <c r="J53" s="36"/>
      <c r="K53" s="36"/>
      <c r="L53" s="36"/>
      <c r="M53" s="36"/>
      <c r="N53" s="36"/>
      <c r="O53" s="36"/>
      <c r="P53" s="36"/>
      <c r="Q53" s="36"/>
      <c r="R53" s="36"/>
      <c r="S53" s="36"/>
      <c r="T53" s="36"/>
      <c r="U53" s="36"/>
      <c r="V53" s="36"/>
      <c r="W53" s="36"/>
      <c r="X53" s="36"/>
      <c r="Y53" s="36"/>
      <c r="Z53" s="36"/>
      <c r="AA53" s="36"/>
      <c r="AB53" s="36"/>
    </row>
    <row r="54" spans="1:28" ht="60">
      <c r="A54" s="755"/>
      <c r="B54" s="756"/>
      <c r="C54" s="757"/>
      <c r="D54" s="757"/>
      <c r="E54" s="757"/>
      <c r="F54" s="758"/>
      <c r="G54" s="147" t="s">
        <v>43</v>
      </c>
      <c r="H54" s="117" t="s">
        <v>750</v>
      </c>
      <c r="I54" s="35"/>
      <c r="J54" s="36"/>
      <c r="K54" s="36"/>
      <c r="L54" s="36"/>
      <c r="M54" s="36"/>
      <c r="N54" s="36"/>
      <c r="O54" s="36"/>
      <c r="P54" s="36"/>
      <c r="Q54" s="36"/>
      <c r="R54" s="36"/>
      <c r="S54" s="36"/>
      <c r="T54" s="36"/>
      <c r="U54" s="36"/>
      <c r="V54" s="36"/>
      <c r="W54" s="36"/>
      <c r="X54" s="36"/>
      <c r="Y54" s="36"/>
      <c r="Z54" s="36"/>
      <c r="AA54" s="36"/>
      <c r="AB54" s="36"/>
    </row>
    <row r="55" spans="1:28" ht="60">
      <c r="A55" s="755"/>
      <c r="B55" s="756"/>
      <c r="C55" s="757"/>
      <c r="D55" s="757"/>
      <c r="E55" s="757"/>
      <c r="F55" s="758"/>
      <c r="G55" s="147" t="s">
        <v>43</v>
      </c>
      <c r="H55" s="117" t="s">
        <v>750</v>
      </c>
      <c r="I55" s="35"/>
      <c r="J55" s="36"/>
      <c r="K55" s="36"/>
      <c r="L55" s="36"/>
      <c r="M55" s="36"/>
      <c r="N55" s="36"/>
      <c r="O55" s="36"/>
      <c r="P55" s="36"/>
      <c r="Q55" s="36"/>
      <c r="R55" s="36"/>
      <c r="S55" s="36"/>
      <c r="T55" s="36"/>
      <c r="U55" s="36"/>
      <c r="V55" s="36"/>
      <c r="W55" s="36"/>
      <c r="X55" s="36"/>
      <c r="Y55" s="36"/>
      <c r="Z55" s="36"/>
      <c r="AA55" s="36"/>
      <c r="AB55" s="36"/>
    </row>
    <row r="56" spans="1:28" ht="60">
      <c r="A56" s="755"/>
      <c r="B56" s="756"/>
      <c r="C56" s="757"/>
      <c r="D56" s="757"/>
      <c r="E56" s="757"/>
      <c r="F56" s="758"/>
      <c r="G56" s="200" t="s">
        <v>43</v>
      </c>
      <c r="H56" s="117" t="s">
        <v>750</v>
      </c>
      <c r="I56" s="35"/>
      <c r="J56" s="36"/>
      <c r="K56" s="36"/>
      <c r="L56" s="36"/>
      <c r="M56" s="36"/>
      <c r="N56" s="36"/>
      <c r="O56" s="36"/>
      <c r="P56" s="36"/>
      <c r="Q56" s="36"/>
      <c r="R56" s="36"/>
      <c r="S56" s="36"/>
      <c r="T56" s="36"/>
      <c r="U56" s="36"/>
      <c r="V56" s="36"/>
      <c r="W56" s="36"/>
      <c r="X56" s="36"/>
      <c r="Y56" s="36"/>
      <c r="Z56" s="36"/>
      <c r="AA56" s="36"/>
      <c r="AB56" s="36"/>
    </row>
    <row r="57" spans="1:28" ht="60">
      <c r="A57" s="755"/>
      <c r="B57" s="756"/>
      <c r="C57" s="757"/>
      <c r="D57" s="757"/>
      <c r="E57" s="757"/>
      <c r="F57" s="758"/>
      <c r="G57" s="147" t="s">
        <v>43</v>
      </c>
      <c r="H57" s="117" t="s">
        <v>750</v>
      </c>
      <c r="I57" s="35"/>
      <c r="J57" s="36"/>
      <c r="K57" s="36"/>
      <c r="L57" s="36"/>
      <c r="M57" s="36"/>
      <c r="N57" s="36"/>
      <c r="O57" s="36"/>
      <c r="P57" s="36"/>
      <c r="Q57" s="36"/>
      <c r="R57" s="36"/>
      <c r="S57" s="36"/>
      <c r="T57" s="36"/>
      <c r="U57" s="36"/>
      <c r="V57" s="36"/>
      <c r="W57" s="36"/>
      <c r="X57" s="36"/>
      <c r="Y57" s="36"/>
      <c r="Z57" s="36"/>
      <c r="AA57" s="36"/>
      <c r="AB57" s="36"/>
    </row>
    <row r="58" spans="1:28" ht="60">
      <c r="A58" s="755"/>
      <c r="B58" s="756"/>
      <c r="C58" s="757"/>
      <c r="D58" s="757"/>
      <c r="E58" s="757"/>
      <c r="F58" s="758"/>
      <c r="G58" s="147" t="s">
        <v>43</v>
      </c>
      <c r="H58" s="117" t="s">
        <v>750</v>
      </c>
      <c r="I58" s="35"/>
      <c r="J58" s="36"/>
      <c r="K58" s="36"/>
      <c r="L58" s="36"/>
      <c r="M58" s="36"/>
      <c r="N58" s="36"/>
      <c r="O58" s="36"/>
      <c r="P58" s="36"/>
      <c r="Q58" s="36"/>
      <c r="R58" s="36"/>
      <c r="S58" s="36"/>
      <c r="T58" s="36"/>
      <c r="U58" s="36"/>
      <c r="V58" s="36"/>
      <c r="W58" s="36"/>
      <c r="X58" s="36"/>
      <c r="Y58" s="36"/>
      <c r="Z58" s="36"/>
      <c r="AA58" s="36"/>
      <c r="AB58" s="36"/>
    </row>
    <row r="59" spans="1:28" ht="60">
      <c r="A59" s="761"/>
      <c r="B59" s="359"/>
      <c r="C59" s="158"/>
      <c r="D59" s="158"/>
      <c r="E59" s="158"/>
      <c r="F59" s="158"/>
      <c r="G59" s="147" t="s">
        <v>43</v>
      </c>
      <c r="H59" s="117" t="s">
        <v>750</v>
      </c>
      <c r="I59" s="35"/>
      <c r="J59" s="36"/>
      <c r="K59" s="36"/>
      <c r="L59" s="36"/>
      <c r="M59" s="36"/>
      <c r="N59" s="36"/>
      <c r="O59" s="36"/>
      <c r="P59" s="36"/>
      <c r="Q59" s="36"/>
      <c r="R59" s="36"/>
      <c r="S59" s="36"/>
      <c r="T59" s="36"/>
      <c r="U59" s="36"/>
      <c r="V59" s="36"/>
      <c r="W59" s="36"/>
      <c r="X59" s="36"/>
      <c r="Y59" s="36"/>
      <c r="Z59" s="36"/>
      <c r="AA59" s="36"/>
      <c r="AB59" s="36"/>
    </row>
    <row r="60" spans="1:28" ht="60">
      <c r="A60" s="761"/>
      <c r="B60" s="359"/>
      <c r="C60" s="158"/>
      <c r="D60" s="158"/>
      <c r="E60" s="158"/>
      <c r="F60" s="158"/>
      <c r="G60" s="147" t="s">
        <v>43</v>
      </c>
      <c r="H60" s="117" t="s">
        <v>750</v>
      </c>
      <c r="I60" s="35"/>
      <c r="J60" s="36"/>
      <c r="K60" s="36"/>
      <c r="L60" s="36"/>
      <c r="M60" s="36"/>
      <c r="N60" s="36"/>
      <c r="O60" s="36"/>
      <c r="P60" s="36"/>
      <c r="Q60" s="36"/>
      <c r="R60" s="36"/>
      <c r="S60" s="36"/>
      <c r="T60" s="36"/>
      <c r="U60" s="36"/>
      <c r="V60" s="36"/>
      <c r="W60" s="36"/>
      <c r="X60" s="36"/>
      <c r="Y60" s="36"/>
      <c r="Z60" s="36"/>
      <c r="AA60" s="36"/>
      <c r="AB60" s="36"/>
    </row>
    <row r="61" spans="1:28" ht="60">
      <c r="A61" s="761"/>
      <c r="B61" s="359"/>
      <c r="C61" s="158"/>
      <c r="D61" s="158"/>
      <c r="E61" s="158"/>
      <c r="F61" s="158"/>
      <c r="G61" s="147" t="s">
        <v>43</v>
      </c>
      <c r="H61" s="117" t="s">
        <v>750</v>
      </c>
      <c r="I61" s="35"/>
      <c r="J61" s="36"/>
      <c r="K61" s="36"/>
      <c r="L61" s="36"/>
      <c r="M61" s="36"/>
      <c r="N61" s="36"/>
      <c r="O61" s="36"/>
      <c r="P61" s="36"/>
      <c r="Q61" s="36"/>
      <c r="R61" s="36"/>
      <c r="S61" s="36"/>
      <c r="T61" s="36"/>
      <c r="U61" s="36"/>
      <c r="V61" s="36"/>
      <c r="W61" s="36"/>
      <c r="X61" s="36"/>
      <c r="Y61" s="36"/>
      <c r="Z61" s="36"/>
      <c r="AA61" s="36"/>
      <c r="AB61" s="36"/>
    </row>
    <row r="62" spans="1:28" ht="60">
      <c r="A62" s="761"/>
      <c r="B62" s="359"/>
      <c r="C62" s="158"/>
      <c r="D62" s="158"/>
      <c r="E62" s="158"/>
      <c r="F62" s="158"/>
      <c r="G62" s="487" t="s">
        <v>43</v>
      </c>
      <c r="H62" s="201" t="s">
        <v>750</v>
      </c>
      <c r="I62" s="35"/>
      <c r="J62" s="36"/>
      <c r="K62" s="36"/>
      <c r="L62" s="36"/>
      <c r="M62" s="36"/>
      <c r="N62" s="36"/>
      <c r="O62" s="36"/>
      <c r="P62" s="36"/>
      <c r="Q62" s="36"/>
      <c r="R62" s="36"/>
      <c r="S62" s="36"/>
      <c r="T62" s="36"/>
      <c r="U62" s="36"/>
      <c r="V62" s="36"/>
      <c r="W62" s="36"/>
      <c r="X62" s="36"/>
      <c r="Y62" s="36"/>
      <c r="Z62" s="36"/>
      <c r="AA62" s="36"/>
      <c r="AB62" s="36"/>
    </row>
    <row r="63" spans="1:28" ht="60">
      <c r="A63" s="761"/>
      <c r="B63" s="359"/>
      <c r="C63" s="158"/>
      <c r="D63" s="158"/>
      <c r="E63" s="158"/>
      <c r="F63" s="158"/>
      <c r="G63" s="147" t="s">
        <v>43</v>
      </c>
      <c r="H63" s="117" t="s">
        <v>750</v>
      </c>
      <c r="I63" s="35"/>
      <c r="J63" s="36"/>
      <c r="K63" s="36"/>
      <c r="L63" s="36"/>
      <c r="M63" s="36"/>
      <c r="N63" s="36"/>
      <c r="O63" s="36"/>
      <c r="P63" s="36"/>
      <c r="Q63" s="36"/>
      <c r="R63" s="36"/>
      <c r="S63" s="36"/>
      <c r="T63" s="36"/>
      <c r="U63" s="36"/>
      <c r="V63" s="36"/>
      <c r="W63" s="36"/>
      <c r="X63" s="36"/>
      <c r="Y63" s="36"/>
      <c r="Z63" s="36"/>
      <c r="AA63" s="36"/>
      <c r="AB63" s="36"/>
    </row>
    <row r="64" spans="1:28" ht="60">
      <c r="A64" s="761"/>
      <c r="B64" s="359"/>
      <c r="C64" s="158"/>
      <c r="D64" s="158"/>
      <c r="E64" s="158"/>
      <c r="F64" s="158"/>
      <c r="G64" s="760" t="s">
        <v>43</v>
      </c>
      <c r="H64" s="117" t="s">
        <v>750</v>
      </c>
      <c r="I64" s="35"/>
      <c r="J64" s="36"/>
      <c r="K64" s="36"/>
      <c r="L64" s="36"/>
      <c r="M64" s="36"/>
      <c r="N64" s="36"/>
      <c r="O64" s="36"/>
      <c r="P64" s="36"/>
      <c r="Q64" s="36"/>
      <c r="R64" s="36"/>
      <c r="S64" s="36"/>
      <c r="T64" s="36"/>
      <c r="U64" s="36"/>
      <c r="V64" s="36"/>
      <c r="W64" s="36"/>
      <c r="X64" s="36"/>
      <c r="Y64" s="36"/>
      <c r="Z64" s="36"/>
      <c r="AA64" s="36"/>
      <c r="AB64" s="36"/>
    </row>
    <row r="65" spans="1:28" ht="41.25" customHeight="1">
      <c r="A65" s="761"/>
      <c r="B65" s="359"/>
      <c r="C65" s="158"/>
      <c r="D65" s="158"/>
      <c r="E65" s="158"/>
      <c r="F65" s="158"/>
      <c r="G65" s="487" t="s">
        <v>43</v>
      </c>
      <c r="H65" s="117" t="s">
        <v>750</v>
      </c>
      <c r="I65" s="35"/>
      <c r="J65" s="36"/>
      <c r="K65" s="36"/>
      <c r="L65" s="36"/>
      <c r="M65" s="36"/>
      <c r="N65" s="36"/>
      <c r="O65" s="36"/>
      <c r="P65" s="36"/>
      <c r="Q65" s="36"/>
      <c r="R65" s="36"/>
      <c r="S65" s="36"/>
      <c r="T65" s="36"/>
      <c r="U65" s="36"/>
      <c r="V65" s="36"/>
      <c r="W65" s="36"/>
      <c r="X65" s="36"/>
      <c r="Y65" s="36"/>
      <c r="Z65" s="36"/>
      <c r="AA65" s="36"/>
      <c r="AB65" s="36"/>
    </row>
    <row r="66" spans="1:28" ht="60">
      <c r="A66" s="761"/>
      <c r="B66" s="359"/>
      <c r="C66" s="158"/>
      <c r="D66" s="158"/>
      <c r="E66" s="158"/>
      <c r="F66" s="158"/>
      <c r="G66" s="147" t="s">
        <v>43</v>
      </c>
      <c r="H66" s="117" t="s">
        <v>750</v>
      </c>
      <c r="I66" s="35"/>
      <c r="J66" s="36"/>
      <c r="K66" s="36"/>
      <c r="L66" s="36"/>
      <c r="M66" s="36"/>
      <c r="N66" s="36"/>
      <c r="O66" s="36"/>
      <c r="P66" s="36"/>
      <c r="Q66" s="36"/>
      <c r="R66" s="36"/>
      <c r="S66" s="36"/>
      <c r="T66" s="36"/>
      <c r="U66" s="36"/>
      <c r="V66" s="36"/>
      <c r="W66" s="36"/>
      <c r="X66" s="36"/>
      <c r="Y66" s="36"/>
      <c r="Z66" s="36"/>
      <c r="AA66" s="36"/>
      <c r="AB66" s="36"/>
    </row>
    <row r="67" spans="1:28" ht="60">
      <c r="A67" s="761"/>
      <c r="B67" s="359"/>
      <c r="C67" s="158"/>
      <c r="D67" s="158"/>
      <c r="E67" s="158"/>
      <c r="F67" s="158"/>
      <c r="G67" s="147" t="s">
        <v>43</v>
      </c>
      <c r="H67" s="117" t="s">
        <v>750</v>
      </c>
      <c r="I67" s="35"/>
      <c r="J67" s="36"/>
      <c r="K67" s="36"/>
      <c r="L67" s="36"/>
      <c r="M67" s="36"/>
      <c r="N67" s="36"/>
      <c r="O67" s="36"/>
      <c r="P67" s="36"/>
      <c r="Q67" s="36"/>
      <c r="R67" s="36"/>
      <c r="S67" s="36"/>
      <c r="T67" s="36"/>
      <c r="U67" s="36"/>
      <c r="V67" s="36"/>
      <c r="W67" s="36"/>
      <c r="X67" s="36"/>
      <c r="Y67" s="36"/>
      <c r="Z67" s="36"/>
      <c r="AA67" s="36"/>
      <c r="AB67" s="36"/>
    </row>
    <row r="68" spans="1:28" ht="60">
      <c r="A68" s="761"/>
      <c r="B68" s="359"/>
      <c r="C68" s="158"/>
      <c r="D68" s="158"/>
      <c r="E68" s="158"/>
      <c r="F68" s="158"/>
      <c r="G68" s="147" t="s">
        <v>43</v>
      </c>
      <c r="H68" s="117" t="s">
        <v>750</v>
      </c>
      <c r="I68" s="35"/>
      <c r="J68" s="36"/>
      <c r="K68" s="36"/>
      <c r="L68" s="36"/>
      <c r="M68" s="36"/>
      <c r="N68" s="36"/>
      <c r="O68" s="36"/>
      <c r="P68" s="36"/>
      <c r="Q68" s="36"/>
      <c r="R68" s="36"/>
      <c r="S68" s="36"/>
      <c r="T68" s="36"/>
      <c r="U68" s="36"/>
      <c r="V68" s="36"/>
      <c r="W68" s="36"/>
      <c r="X68" s="36"/>
      <c r="Y68" s="36"/>
      <c r="Z68" s="36"/>
      <c r="AA68" s="36"/>
      <c r="AB68" s="36"/>
    </row>
    <row r="69" spans="1:28" ht="60">
      <c r="A69" s="761"/>
      <c r="B69" s="359"/>
      <c r="C69" s="158"/>
      <c r="D69" s="158"/>
      <c r="E69" s="158"/>
      <c r="F69" s="158"/>
      <c r="G69" s="147" t="s">
        <v>43</v>
      </c>
      <c r="H69" s="117" t="s">
        <v>750</v>
      </c>
      <c r="I69" s="35"/>
      <c r="J69" s="36"/>
      <c r="K69" s="36"/>
      <c r="L69" s="36"/>
      <c r="M69" s="36"/>
      <c r="N69" s="36"/>
      <c r="O69" s="36"/>
      <c r="P69" s="36"/>
      <c r="Q69" s="36"/>
      <c r="R69" s="36"/>
      <c r="S69" s="36"/>
      <c r="T69" s="36"/>
      <c r="U69" s="36"/>
      <c r="V69" s="36"/>
      <c r="W69" s="36"/>
      <c r="X69" s="36"/>
      <c r="Y69" s="36"/>
      <c r="Z69" s="36"/>
      <c r="AA69" s="36"/>
      <c r="AB69" s="36"/>
    </row>
    <row r="70" spans="1:28" ht="60">
      <c r="A70" s="761"/>
      <c r="B70" s="359"/>
      <c r="C70" s="158"/>
      <c r="D70" s="158"/>
      <c r="E70" s="158"/>
      <c r="F70" s="158"/>
      <c r="G70" s="147" t="s">
        <v>43</v>
      </c>
      <c r="H70" s="117" t="s">
        <v>750</v>
      </c>
      <c r="I70" s="35"/>
      <c r="J70" s="36"/>
      <c r="K70" s="36"/>
      <c r="L70" s="36"/>
      <c r="M70" s="36"/>
      <c r="N70" s="36"/>
      <c r="O70" s="36"/>
      <c r="P70" s="36"/>
      <c r="Q70" s="36"/>
      <c r="R70" s="36"/>
      <c r="S70" s="36"/>
      <c r="T70" s="36"/>
      <c r="U70" s="36"/>
      <c r="V70" s="36"/>
      <c r="W70" s="36"/>
      <c r="X70" s="36"/>
      <c r="Y70" s="36"/>
      <c r="Z70" s="36"/>
      <c r="AA70" s="36"/>
      <c r="AB70" s="36"/>
    </row>
    <row r="71" spans="1:28" ht="60">
      <c r="A71" s="761"/>
      <c r="B71" s="359"/>
      <c r="C71" s="158"/>
      <c r="D71" s="158"/>
      <c r="E71" s="158"/>
      <c r="F71" s="158"/>
      <c r="G71" s="147" t="s">
        <v>43</v>
      </c>
      <c r="H71" s="117" t="s">
        <v>750</v>
      </c>
      <c r="I71" s="35"/>
      <c r="J71" s="36"/>
      <c r="K71" s="36"/>
      <c r="L71" s="36"/>
      <c r="M71" s="36"/>
      <c r="N71" s="36"/>
      <c r="O71" s="36"/>
      <c r="P71" s="36"/>
      <c r="Q71" s="36"/>
      <c r="R71" s="36"/>
      <c r="S71" s="36"/>
      <c r="T71" s="36"/>
      <c r="U71" s="36"/>
      <c r="V71" s="36"/>
      <c r="W71" s="36"/>
      <c r="X71" s="36"/>
      <c r="Y71" s="36"/>
      <c r="Z71" s="36"/>
      <c r="AA71" s="36"/>
      <c r="AB71" s="36"/>
    </row>
    <row r="72" spans="1:28" ht="60">
      <c r="A72" s="761"/>
      <c r="B72" s="359"/>
      <c r="C72" s="158"/>
      <c r="D72" s="158"/>
      <c r="E72" s="158"/>
      <c r="F72" s="158"/>
      <c r="G72" s="147" t="s">
        <v>43</v>
      </c>
      <c r="H72" s="117" t="s">
        <v>750</v>
      </c>
      <c r="I72" s="35"/>
      <c r="J72" s="36"/>
      <c r="K72" s="36"/>
      <c r="L72" s="36"/>
      <c r="M72" s="36"/>
      <c r="N72" s="36"/>
      <c r="O72" s="36"/>
      <c r="P72" s="36"/>
      <c r="Q72" s="36"/>
      <c r="R72" s="36"/>
      <c r="S72" s="36"/>
      <c r="T72" s="36"/>
      <c r="U72" s="36"/>
      <c r="V72" s="36"/>
      <c r="W72" s="36"/>
      <c r="X72" s="36"/>
      <c r="Y72" s="36"/>
      <c r="Z72" s="36"/>
      <c r="AA72" s="36"/>
      <c r="AB72" s="36"/>
    </row>
    <row r="73" spans="1:28" ht="60">
      <c r="A73" s="761"/>
      <c r="B73" s="359"/>
      <c r="C73" s="158"/>
      <c r="D73" s="158"/>
      <c r="E73" s="158"/>
      <c r="F73" s="158"/>
      <c r="G73" s="200" t="s">
        <v>43</v>
      </c>
      <c r="H73" s="117" t="s">
        <v>750</v>
      </c>
      <c r="I73" s="35"/>
      <c r="J73" s="36"/>
      <c r="K73" s="36"/>
      <c r="L73" s="36"/>
      <c r="M73" s="36"/>
      <c r="N73" s="36"/>
      <c r="O73" s="36"/>
      <c r="P73" s="36"/>
      <c r="Q73" s="36"/>
      <c r="R73" s="36"/>
      <c r="S73" s="36"/>
      <c r="T73" s="36"/>
      <c r="U73" s="36"/>
      <c r="V73" s="36"/>
      <c r="W73" s="36"/>
      <c r="X73" s="36"/>
      <c r="Y73" s="36"/>
      <c r="Z73" s="36"/>
      <c r="AA73" s="36"/>
      <c r="AB73" s="36"/>
    </row>
    <row r="74" spans="1:28" ht="60">
      <c r="A74" s="761"/>
      <c r="B74" s="359"/>
      <c r="C74" s="158"/>
      <c r="D74" s="158"/>
      <c r="E74" s="158"/>
      <c r="F74" s="158"/>
      <c r="G74" s="147" t="s">
        <v>43</v>
      </c>
      <c r="H74" s="117" t="s">
        <v>750</v>
      </c>
      <c r="I74" s="35"/>
      <c r="J74" s="36"/>
      <c r="K74" s="36"/>
      <c r="L74" s="36"/>
      <c r="M74" s="36"/>
      <c r="N74" s="36"/>
      <c r="O74" s="36"/>
      <c r="P74" s="36"/>
      <c r="Q74" s="36"/>
      <c r="R74" s="36"/>
      <c r="S74" s="36"/>
      <c r="T74" s="36"/>
      <c r="U74" s="36"/>
      <c r="V74" s="36"/>
      <c r="W74" s="36"/>
      <c r="X74" s="36"/>
      <c r="Y74" s="36"/>
      <c r="Z74" s="36"/>
      <c r="AA74" s="36"/>
      <c r="AB74" s="36"/>
    </row>
    <row r="75" spans="1:28" ht="60">
      <c r="A75" s="761"/>
      <c r="B75" s="359"/>
      <c r="C75" s="158"/>
      <c r="D75" s="158"/>
      <c r="E75" s="158"/>
      <c r="F75" s="158"/>
      <c r="G75" s="147" t="s">
        <v>43</v>
      </c>
      <c r="H75" s="117" t="s">
        <v>750</v>
      </c>
      <c r="I75" s="35"/>
      <c r="J75" s="36"/>
      <c r="K75" s="36"/>
      <c r="L75" s="36"/>
      <c r="M75" s="36"/>
      <c r="N75" s="36"/>
      <c r="O75" s="36"/>
      <c r="P75" s="36"/>
      <c r="Q75" s="36"/>
      <c r="R75" s="36"/>
      <c r="S75" s="36"/>
      <c r="T75" s="36"/>
      <c r="U75" s="36"/>
      <c r="V75" s="36"/>
      <c r="W75" s="36"/>
      <c r="X75" s="36"/>
      <c r="Y75" s="36"/>
      <c r="Z75" s="36"/>
      <c r="AA75" s="36"/>
      <c r="AB75" s="36"/>
    </row>
    <row r="76" spans="1:28" ht="42" customHeight="1">
      <c r="A76" s="761"/>
      <c r="B76" s="359"/>
      <c r="C76" s="158"/>
      <c r="D76" s="158"/>
      <c r="E76" s="158"/>
      <c r="F76" s="158"/>
      <c r="G76" s="147"/>
      <c r="H76" s="117"/>
      <c r="I76" s="35"/>
      <c r="J76" s="36"/>
      <c r="K76" s="36"/>
      <c r="L76" s="36"/>
      <c r="M76" s="36"/>
      <c r="N76" s="36"/>
      <c r="O76" s="36"/>
      <c r="P76" s="36"/>
      <c r="Q76" s="36"/>
      <c r="R76" s="36"/>
      <c r="S76" s="36"/>
      <c r="T76" s="36"/>
      <c r="U76" s="36"/>
      <c r="V76" s="36"/>
      <c r="W76" s="36"/>
      <c r="X76" s="36"/>
      <c r="Y76" s="36"/>
      <c r="Z76" s="36"/>
      <c r="AA76" s="36"/>
      <c r="AB76" s="36"/>
    </row>
    <row r="77" spans="1:28" ht="60">
      <c r="A77" s="761"/>
      <c r="B77" s="359"/>
      <c r="C77" s="158"/>
      <c r="D77" s="158"/>
      <c r="E77" s="158"/>
      <c r="F77" s="158"/>
      <c r="G77" s="147" t="s">
        <v>43</v>
      </c>
      <c r="H77" s="117" t="s">
        <v>750</v>
      </c>
      <c r="I77" s="35"/>
      <c r="J77" s="36"/>
      <c r="K77" s="36"/>
      <c r="L77" s="36"/>
      <c r="M77" s="36"/>
      <c r="N77" s="36"/>
      <c r="O77" s="36"/>
      <c r="P77" s="36"/>
      <c r="Q77" s="36"/>
      <c r="R77" s="36"/>
      <c r="S77" s="36"/>
      <c r="T77" s="36"/>
      <c r="U77" s="36"/>
      <c r="V77" s="36"/>
      <c r="W77" s="36"/>
      <c r="X77" s="36"/>
      <c r="Y77" s="36"/>
      <c r="Z77" s="36"/>
      <c r="AA77" s="36"/>
      <c r="AB77" s="36"/>
    </row>
    <row r="78" spans="1:28" ht="60">
      <c r="A78" s="761"/>
      <c r="B78" s="359"/>
      <c r="C78" s="158"/>
      <c r="D78" s="158"/>
      <c r="E78" s="158"/>
      <c r="F78" s="158"/>
      <c r="G78" s="147" t="s">
        <v>43</v>
      </c>
      <c r="H78" s="117" t="s">
        <v>750</v>
      </c>
      <c r="I78" s="35"/>
      <c r="J78" s="36"/>
      <c r="K78" s="36"/>
      <c r="L78" s="36"/>
      <c r="M78" s="36"/>
      <c r="N78" s="36"/>
      <c r="O78" s="36"/>
      <c r="P78" s="36"/>
      <c r="Q78" s="36"/>
      <c r="R78" s="36"/>
      <c r="S78" s="36"/>
      <c r="T78" s="36"/>
      <c r="U78" s="36"/>
      <c r="V78" s="36"/>
      <c r="W78" s="36"/>
      <c r="X78" s="36"/>
      <c r="Y78" s="36"/>
      <c r="Z78" s="36"/>
      <c r="AA78" s="36"/>
      <c r="AB78" s="36"/>
    </row>
    <row r="79" spans="1:28" ht="60">
      <c r="A79" s="761"/>
      <c r="B79" s="359"/>
      <c r="C79" s="158"/>
      <c r="D79" s="158"/>
      <c r="E79" s="158"/>
      <c r="F79" s="158"/>
      <c r="G79" s="147" t="s">
        <v>43</v>
      </c>
      <c r="H79" s="117" t="s">
        <v>750</v>
      </c>
      <c r="I79" s="35"/>
      <c r="J79" s="36"/>
      <c r="K79" s="36"/>
      <c r="L79" s="36"/>
      <c r="M79" s="36"/>
      <c r="N79" s="36"/>
      <c r="O79" s="36"/>
      <c r="P79" s="36"/>
      <c r="Q79" s="36"/>
      <c r="R79" s="36"/>
      <c r="S79" s="36"/>
      <c r="T79" s="36"/>
      <c r="U79" s="36"/>
      <c r="V79" s="36"/>
      <c r="W79" s="36"/>
      <c r="X79" s="36"/>
      <c r="Y79" s="36"/>
      <c r="Z79" s="36"/>
      <c r="AA79" s="36"/>
      <c r="AB79" s="36"/>
    </row>
    <row r="80" spans="1:28" ht="60">
      <c r="A80" s="761"/>
      <c r="B80" s="359"/>
      <c r="C80" s="158"/>
      <c r="D80" s="158"/>
      <c r="E80" s="158"/>
      <c r="F80" s="158"/>
      <c r="G80" s="147" t="s">
        <v>43</v>
      </c>
      <c r="H80" s="117" t="s">
        <v>750</v>
      </c>
      <c r="I80" s="35"/>
      <c r="J80" s="36"/>
      <c r="K80" s="36"/>
      <c r="L80" s="36"/>
      <c r="M80" s="36"/>
      <c r="N80" s="36"/>
      <c r="O80" s="36"/>
      <c r="P80" s="36"/>
      <c r="Q80" s="36"/>
      <c r="R80" s="36"/>
      <c r="S80" s="36"/>
      <c r="T80" s="36"/>
      <c r="U80" s="36"/>
      <c r="V80" s="36"/>
      <c r="W80" s="36"/>
      <c r="X80" s="36"/>
      <c r="Y80" s="36"/>
      <c r="Z80" s="36"/>
      <c r="AA80" s="36"/>
      <c r="AB80" s="36"/>
    </row>
    <row r="81" spans="1:28" ht="60">
      <c r="A81" s="761"/>
      <c r="B81" s="359"/>
      <c r="C81" s="158"/>
      <c r="D81" s="158"/>
      <c r="E81" s="158"/>
      <c r="F81" s="158"/>
      <c r="G81" s="487" t="s">
        <v>43</v>
      </c>
      <c r="H81" s="117" t="s">
        <v>750</v>
      </c>
      <c r="I81" s="35"/>
      <c r="J81" s="36"/>
      <c r="K81" s="36"/>
      <c r="L81" s="36"/>
      <c r="M81" s="36"/>
      <c r="N81" s="36"/>
      <c r="O81" s="36"/>
      <c r="P81" s="36"/>
      <c r="Q81" s="36"/>
      <c r="R81" s="36"/>
      <c r="S81" s="36"/>
      <c r="T81" s="36"/>
      <c r="U81" s="36"/>
      <c r="V81" s="36"/>
      <c r="W81" s="36"/>
      <c r="X81" s="36"/>
      <c r="Y81" s="36"/>
      <c r="Z81" s="36"/>
      <c r="AA81" s="36"/>
      <c r="AB81" s="36"/>
    </row>
    <row r="82" spans="1:28" ht="60">
      <c r="A82" s="761"/>
      <c r="B82" s="359"/>
      <c r="C82" s="158"/>
      <c r="D82" s="158"/>
      <c r="E82" s="158"/>
      <c r="F82" s="158"/>
      <c r="G82" s="760" t="s">
        <v>43</v>
      </c>
      <c r="H82" s="117" t="s">
        <v>750</v>
      </c>
      <c r="I82" s="35"/>
      <c r="J82" s="36"/>
      <c r="K82" s="36"/>
      <c r="L82" s="36"/>
      <c r="M82" s="36"/>
      <c r="N82" s="36"/>
      <c r="O82" s="36"/>
      <c r="P82" s="36"/>
      <c r="Q82" s="36"/>
      <c r="R82" s="36"/>
      <c r="S82" s="36"/>
      <c r="T82" s="36"/>
      <c r="U82" s="36"/>
      <c r="V82" s="36"/>
      <c r="W82" s="36"/>
      <c r="X82" s="36"/>
      <c r="Y82" s="36"/>
      <c r="Z82" s="36"/>
      <c r="AA82" s="36"/>
      <c r="AB82" s="36"/>
    </row>
    <row r="83" spans="1:28" ht="60">
      <c r="A83" s="761"/>
      <c r="B83" s="359"/>
      <c r="C83" s="158"/>
      <c r="D83" s="158"/>
      <c r="E83" s="158"/>
      <c r="F83" s="158"/>
      <c r="G83" s="147" t="s">
        <v>43</v>
      </c>
      <c r="H83" s="117" t="s">
        <v>750</v>
      </c>
      <c r="I83" s="35"/>
      <c r="J83" s="36"/>
      <c r="K83" s="36"/>
      <c r="L83" s="36"/>
      <c r="M83" s="36"/>
      <c r="N83" s="36"/>
      <c r="O83" s="36"/>
      <c r="P83" s="36"/>
      <c r="Q83" s="36"/>
      <c r="R83" s="36"/>
      <c r="S83" s="36"/>
      <c r="T83" s="36"/>
      <c r="U83" s="36"/>
      <c r="V83" s="36"/>
      <c r="W83" s="36"/>
      <c r="X83" s="36"/>
      <c r="Y83" s="36"/>
      <c r="Z83" s="36"/>
      <c r="AA83" s="36"/>
      <c r="AB83" s="36"/>
    </row>
    <row r="84" spans="1:28" ht="60">
      <c r="A84" s="761"/>
      <c r="B84" s="359"/>
      <c r="C84" s="158"/>
      <c r="D84" s="158"/>
      <c r="E84" s="158"/>
      <c r="F84" s="158"/>
      <c r="G84" s="147" t="s">
        <v>43</v>
      </c>
      <c r="H84" s="117" t="s">
        <v>750</v>
      </c>
      <c r="I84" s="35"/>
      <c r="J84" s="36"/>
      <c r="K84" s="36"/>
      <c r="L84" s="36"/>
      <c r="M84" s="36"/>
      <c r="N84" s="36"/>
      <c r="O84" s="36"/>
      <c r="P84" s="36"/>
      <c r="Q84" s="36"/>
      <c r="R84" s="36"/>
      <c r="S84" s="36"/>
      <c r="T84" s="36"/>
      <c r="U84" s="36"/>
      <c r="V84" s="36"/>
      <c r="W84" s="36"/>
      <c r="X84" s="36"/>
      <c r="Y84" s="36"/>
      <c r="Z84" s="36"/>
      <c r="AA84" s="36"/>
      <c r="AB84" s="36"/>
    </row>
    <row r="85" spans="1:28" ht="60">
      <c r="A85" s="761"/>
      <c r="B85" s="359"/>
      <c r="C85" s="158"/>
      <c r="D85" s="158"/>
      <c r="E85" s="158"/>
      <c r="F85" s="158"/>
      <c r="G85" s="147" t="s">
        <v>2190</v>
      </c>
      <c r="H85" s="117" t="s">
        <v>750</v>
      </c>
      <c r="I85" s="35"/>
      <c r="J85" s="36"/>
      <c r="K85" s="36"/>
      <c r="L85" s="36"/>
      <c r="M85" s="36"/>
      <c r="N85" s="36"/>
      <c r="O85" s="36"/>
      <c r="P85" s="36"/>
      <c r="Q85" s="36"/>
      <c r="R85" s="36"/>
      <c r="S85" s="36"/>
      <c r="T85" s="36"/>
      <c r="U85" s="36"/>
      <c r="V85" s="36"/>
      <c r="W85" s="36"/>
      <c r="X85" s="36"/>
      <c r="Y85" s="36"/>
      <c r="Z85" s="36"/>
      <c r="AA85" s="36"/>
      <c r="AB85" s="36"/>
    </row>
    <row r="86" spans="1:28" ht="60">
      <c r="A86" s="761"/>
      <c r="B86" s="359"/>
      <c r="C86" s="158"/>
      <c r="D86" s="158"/>
      <c r="E86" s="158"/>
      <c r="F86" s="158"/>
      <c r="G86" s="147" t="s">
        <v>43</v>
      </c>
      <c r="H86" s="117" t="s">
        <v>750</v>
      </c>
      <c r="I86" s="35"/>
      <c r="J86" s="36"/>
      <c r="K86" s="36"/>
      <c r="L86" s="36"/>
      <c r="M86" s="36"/>
      <c r="N86" s="36"/>
      <c r="O86" s="36"/>
      <c r="P86" s="36"/>
      <c r="Q86" s="36"/>
      <c r="R86" s="36"/>
      <c r="S86" s="36"/>
      <c r="T86" s="36"/>
      <c r="U86" s="36"/>
      <c r="V86" s="36"/>
      <c r="W86" s="36"/>
      <c r="X86" s="36"/>
      <c r="Y86" s="36"/>
      <c r="Z86" s="36"/>
      <c r="AA86" s="36"/>
      <c r="AB86" s="36"/>
    </row>
    <row r="87" spans="1:28" ht="60">
      <c r="A87" s="761"/>
      <c r="B87" s="359"/>
      <c r="C87" s="158"/>
      <c r="D87" s="158"/>
      <c r="E87" s="158"/>
      <c r="F87" s="158"/>
      <c r="G87" s="147" t="s">
        <v>43</v>
      </c>
      <c r="H87" s="117" t="s">
        <v>750</v>
      </c>
      <c r="I87" s="35"/>
      <c r="J87" s="36"/>
      <c r="K87" s="36"/>
      <c r="L87" s="36"/>
      <c r="M87" s="36"/>
      <c r="N87" s="36"/>
      <c r="O87" s="36"/>
      <c r="P87" s="36"/>
      <c r="Q87" s="36"/>
      <c r="R87" s="36"/>
      <c r="S87" s="36"/>
      <c r="T87" s="36"/>
      <c r="U87" s="36"/>
      <c r="V87" s="36"/>
      <c r="W87" s="36"/>
      <c r="X87" s="36"/>
      <c r="Y87" s="36"/>
      <c r="Z87" s="36"/>
      <c r="AA87" s="36"/>
      <c r="AB87" s="36"/>
    </row>
    <row r="88" spans="1:28" ht="60">
      <c r="A88" s="761"/>
      <c r="B88" s="359"/>
      <c r="C88" s="158"/>
      <c r="D88" s="158"/>
      <c r="E88" s="158"/>
      <c r="F88" s="158"/>
      <c r="G88" s="147" t="s">
        <v>43</v>
      </c>
      <c r="H88" s="117" t="s">
        <v>750</v>
      </c>
      <c r="I88" s="35"/>
      <c r="J88" s="36"/>
      <c r="K88" s="36"/>
      <c r="L88" s="36"/>
      <c r="M88" s="36"/>
      <c r="N88" s="36"/>
      <c r="O88" s="36"/>
      <c r="P88" s="36"/>
      <c r="Q88" s="36"/>
      <c r="R88" s="36"/>
      <c r="S88" s="36"/>
      <c r="T88" s="36"/>
      <c r="U88" s="36"/>
      <c r="V88" s="36"/>
      <c r="W88" s="36"/>
      <c r="X88" s="36"/>
      <c r="Y88" s="36"/>
      <c r="Z88" s="36"/>
      <c r="AA88" s="36"/>
      <c r="AB88" s="36"/>
    </row>
    <row r="89" spans="1:28" ht="60">
      <c r="A89" s="761"/>
      <c r="B89" s="359"/>
      <c r="C89" s="158"/>
      <c r="D89" s="158"/>
      <c r="E89" s="158"/>
      <c r="F89" s="158"/>
      <c r="G89" s="147" t="s">
        <v>43</v>
      </c>
      <c r="H89" s="117" t="s">
        <v>750</v>
      </c>
      <c r="I89" s="35"/>
      <c r="J89" s="36"/>
      <c r="K89" s="36"/>
      <c r="L89" s="36"/>
      <c r="M89" s="36"/>
      <c r="N89" s="36"/>
      <c r="O89" s="36"/>
      <c r="P89" s="36"/>
      <c r="Q89" s="36"/>
      <c r="R89" s="36"/>
      <c r="S89" s="36"/>
      <c r="T89" s="36"/>
      <c r="U89" s="36"/>
      <c r="V89" s="36"/>
      <c r="W89" s="36"/>
      <c r="X89" s="36"/>
      <c r="Y89" s="36"/>
      <c r="Z89" s="36"/>
      <c r="AA89" s="36"/>
      <c r="AB89" s="36"/>
    </row>
    <row r="90" spans="1:28" ht="155.25" customHeight="1">
      <c r="A90" s="761"/>
      <c r="B90" s="359"/>
      <c r="C90" s="158"/>
      <c r="D90" s="158"/>
      <c r="E90" s="158"/>
      <c r="F90" s="158"/>
      <c r="G90" s="760" t="s">
        <v>43</v>
      </c>
      <c r="H90" s="117" t="s">
        <v>750</v>
      </c>
      <c r="I90" s="35"/>
      <c r="J90" s="36"/>
      <c r="K90" s="36"/>
      <c r="L90" s="36"/>
      <c r="M90" s="36"/>
      <c r="N90" s="36"/>
      <c r="O90" s="36"/>
      <c r="P90" s="36"/>
      <c r="Q90" s="36"/>
      <c r="R90" s="36"/>
      <c r="S90" s="36"/>
      <c r="T90" s="36"/>
      <c r="U90" s="36"/>
      <c r="V90" s="36"/>
      <c r="W90" s="36"/>
      <c r="X90" s="36"/>
      <c r="Y90" s="36"/>
      <c r="Z90" s="36"/>
      <c r="AA90" s="36"/>
      <c r="AB90" s="36"/>
    </row>
    <row r="91" spans="1:28" ht="60">
      <c r="A91" s="761"/>
      <c r="B91" s="359"/>
      <c r="C91" s="158"/>
      <c r="D91" s="158"/>
      <c r="E91" s="158"/>
      <c r="F91" s="158"/>
      <c r="G91" s="760" t="s">
        <v>43</v>
      </c>
      <c r="H91" s="117" t="s">
        <v>750</v>
      </c>
      <c r="I91" s="35"/>
      <c r="J91" s="36"/>
      <c r="K91" s="36"/>
      <c r="L91" s="36"/>
      <c r="M91" s="36"/>
      <c r="N91" s="36"/>
      <c r="O91" s="36"/>
      <c r="P91" s="36"/>
      <c r="Q91" s="36"/>
      <c r="R91" s="36"/>
      <c r="S91" s="36"/>
      <c r="T91" s="36"/>
      <c r="U91" s="36"/>
      <c r="V91" s="36"/>
      <c r="W91" s="36"/>
      <c r="X91" s="36"/>
      <c r="Y91" s="36"/>
      <c r="Z91" s="36"/>
      <c r="AA91" s="36"/>
      <c r="AB91" s="36"/>
    </row>
    <row r="92" spans="1:28" ht="60">
      <c r="A92" s="761"/>
      <c r="B92" s="359"/>
      <c r="C92" s="158"/>
      <c r="D92" s="158"/>
      <c r="E92" s="158"/>
      <c r="F92" s="158"/>
      <c r="G92" s="200" t="s">
        <v>43</v>
      </c>
      <c r="H92" s="117" t="s">
        <v>750</v>
      </c>
      <c r="I92" s="35"/>
      <c r="J92" s="36"/>
      <c r="K92" s="36"/>
      <c r="L92" s="36"/>
      <c r="M92" s="36"/>
      <c r="N92" s="36"/>
      <c r="O92" s="36"/>
      <c r="P92" s="36"/>
      <c r="Q92" s="36"/>
      <c r="R92" s="36"/>
      <c r="S92" s="36"/>
      <c r="T92" s="36"/>
      <c r="U92" s="36"/>
      <c r="V92" s="36"/>
      <c r="W92" s="36"/>
      <c r="X92" s="36"/>
      <c r="Y92" s="36"/>
      <c r="Z92" s="36"/>
      <c r="AA92" s="36"/>
      <c r="AB92" s="36"/>
    </row>
    <row r="93" spans="1:28" ht="60">
      <c r="A93" s="761"/>
      <c r="B93" s="359"/>
      <c r="C93" s="158"/>
      <c r="D93" s="158"/>
      <c r="E93" s="158"/>
      <c r="F93" s="158"/>
      <c r="G93" s="200" t="s">
        <v>43</v>
      </c>
      <c r="H93" s="117" t="s">
        <v>750</v>
      </c>
      <c r="I93" s="35"/>
      <c r="J93" s="36"/>
      <c r="K93" s="36"/>
      <c r="L93" s="36"/>
      <c r="M93" s="36"/>
      <c r="N93" s="36"/>
      <c r="O93" s="36"/>
      <c r="P93" s="36"/>
      <c r="Q93" s="36"/>
      <c r="R93" s="36"/>
      <c r="S93" s="36"/>
      <c r="T93" s="36"/>
      <c r="U93" s="36"/>
      <c r="V93" s="36"/>
      <c r="W93" s="36"/>
      <c r="X93" s="36"/>
      <c r="Y93" s="36"/>
      <c r="Z93" s="36"/>
      <c r="AA93" s="36"/>
      <c r="AB93" s="36"/>
    </row>
    <row r="94" spans="1:28" ht="60">
      <c r="A94" s="761"/>
      <c r="B94" s="359"/>
      <c r="C94" s="158"/>
      <c r="D94" s="158"/>
      <c r="E94" s="158"/>
      <c r="F94" s="158"/>
      <c r="G94" s="200" t="s">
        <v>43</v>
      </c>
      <c r="H94" s="117" t="s">
        <v>750</v>
      </c>
      <c r="I94" s="35"/>
      <c r="J94" s="36"/>
      <c r="K94" s="36"/>
      <c r="L94" s="36"/>
      <c r="M94" s="36"/>
      <c r="N94" s="36"/>
      <c r="O94" s="36"/>
      <c r="P94" s="36"/>
      <c r="Q94" s="36"/>
      <c r="R94" s="36"/>
      <c r="S94" s="36"/>
      <c r="T94" s="36"/>
      <c r="U94" s="36"/>
      <c r="V94" s="36"/>
      <c r="W94" s="36"/>
      <c r="X94" s="36"/>
      <c r="Y94" s="36"/>
      <c r="Z94" s="36"/>
      <c r="AA94" s="36"/>
      <c r="AB94" s="36"/>
    </row>
    <row r="95" spans="1:28" ht="33.75" customHeight="1">
      <c r="A95" s="761"/>
      <c r="B95" s="359"/>
      <c r="C95" s="158"/>
      <c r="D95" s="158"/>
      <c r="E95" s="158"/>
      <c r="F95" s="158"/>
      <c r="G95" s="200" t="s">
        <v>43</v>
      </c>
      <c r="H95" s="117" t="s">
        <v>750</v>
      </c>
      <c r="I95" s="35"/>
      <c r="J95" s="36"/>
      <c r="K95" s="36"/>
      <c r="L95" s="36"/>
      <c r="M95" s="36"/>
      <c r="N95" s="36"/>
      <c r="O95" s="36"/>
      <c r="P95" s="36"/>
      <c r="Q95" s="36"/>
      <c r="R95" s="36"/>
      <c r="S95" s="36"/>
      <c r="T95" s="36"/>
      <c r="U95" s="36"/>
      <c r="V95" s="36"/>
      <c r="W95" s="36"/>
      <c r="X95" s="36"/>
      <c r="Y95" s="36"/>
      <c r="Z95" s="36"/>
      <c r="AA95" s="36"/>
      <c r="AB95" s="36"/>
    </row>
    <row r="96" spans="1:28" ht="12" customHeight="1">
      <c r="A96" s="761"/>
      <c r="B96" s="359"/>
      <c r="C96" s="158"/>
      <c r="D96" s="158"/>
      <c r="E96" s="158"/>
      <c r="F96" s="158"/>
      <c r="G96" s="35"/>
      <c r="H96" s="104"/>
      <c r="I96" s="35"/>
      <c r="J96" s="36"/>
      <c r="K96" s="36"/>
      <c r="L96" s="36"/>
      <c r="M96" s="36"/>
      <c r="N96" s="36"/>
      <c r="O96" s="36"/>
      <c r="P96" s="36"/>
      <c r="Q96" s="36"/>
      <c r="R96" s="36"/>
      <c r="S96" s="36"/>
      <c r="T96" s="36"/>
      <c r="U96" s="36"/>
      <c r="V96" s="36"/>
      <c r="W96" s="36"/>
      <c r="X96" s="36"/>
      <c r="Y96" s="36"/>
      <c r="Z96" s="36"/>
      <c r="AA96" s="36"/>
      <c r="AB96" s="36"/>
    </row>
    <row r="97" spans="1:28" ht="12" customHeight="1">
      <c r="A97" s="761"/>
      <c r="B97" s="359"/>
      <c r="C97" s="158"/>
      <c r="D97" s="158"/>
      <c r="E97" s="158"/>
      <c r="F97" s="158"/>
      <c r="G97" s="35"/>
      <c r="H97" s="104"/>
      <c r="I97" s="35"/>
      <c r="J97" s="36"/>
      <c r="K97" s="36"/>
      <c r="L97" s="36"/>
      <c r="M97" s="36"/>
      <c r="N97" s="36"/>
      <c r="O97" s="36"/>
      <c r="P97" s="36"/>
      <c r="Q97" s="36"/>
      <c r="R97" s="36"/>
      <c r="S97" s="36"/>
      <c r="T97" s="36"/>
      <c r="U97" s="36"/>
      <c r="V97" s="36"/>
      <c r="W97" s="36"/>
      <c r="X97" s="36"/>
      <c r="Y97" s="36"/>
      <c r="Z97" s="36"/>
      <c r="AA97" s="36"/>
      <c r="AB97" s="36"/>
    </row>
    <row r="98" spans="1:28" ht="12" customHeight="1">
      <c r="A98" s="761"/>
      <c r="B98" s="359"/>
      <c r="C98" s="158"/>
      <c r="D98" s="158"/>
      <c r="E98" s="158"/>
      <c r="F98" s="158"/>
      <c r="G98" s="35"/>
      <c r="H98" s="104"/>
      <c r="I98" s="35"/>
      <c r="J98" s="74"/>
      <c r="K98" s="74"/>
      <c r="L98" s="74"/>
      <c r="M98" s="74"/>
      <c r="N98" s="74"/>
      <c r="O98" s="74"/>
      <c r="P98" s="74"/>
      <c r="Q98" s="74"/>
      <c r="R98" s="74"/>
      <c r="S98" s="74"/>
      <c r="T98" s="74"/>
      <c r="U98" s="74"/>
      <c r="V98" s="74"/>
      <c r="W98" s="74"/>
      <c r="X98" s="74"/>
      <c r="Y98" s="74"/>
      <c r="Z98" s="74"/>
      <c r="AA98" s="74"/>
      <c r="AB98" s="74"/>
    </row>
    <row r="99" spans="1:28" ht="12" customHeight="1">
      <c r="A99" s="761"/>
      <c r="B99" s="359"/>
      <c r="C99" s="158"/>
      <c r="D99" s="158"/>
      <c r="E99" s="158"/>
      <c r="F99" s="158"/>
      <c r="G99" s="443"/>
      <c r="H99" s="762"/>
      <c r="I99" s="443"/>
      <c r="J99" s="443"/>
      <c r="K99" s="443"/>
      <c r="L99" s="443"/>
      <c r="M99" s="443"/>
      <c r="N99" s="443"/>
      <c r="O99" s="443"/>
      <c r="P99" s="443"/>
      <c r="Q99" s="443"/>
      <c r="R99" s="443"/>
      <c r="S99" s="443"/>
      <c r="T99" s="443"/>
      <c r="U99" s="443"/>
      <c r="V99" s="443"/>
      <c r="W99" s="443"/>
      <c r="X99" s="443"/>
      <c r="Y99" s="443"/>
      <c r="Z99" s="443"/>
      <c r="AA99" s="443"/>
      <c r="AB99" s="443"/>
    </row>
    <row r="100" spans="1:28" ht="12" customHeight="1">
      <c r="A100" s="761"/>
      <c r="B100" s="359"/>
      <c r="C100" s="158"/>
      <c r="D100" s="158"/>
      <c r="E100" s="158"/>
      <c r="F100" s="158"/>
      <c r="G100" s="35"/>
      <c r="H100" s="104"/>
      <c r="I100" s="35"/>
      <c r="J100" s="74"/>
      <c r="K100" s="74"/>
      <c r="L100" s="74"/>
      <c r="M100" s="74"/>
      <c r="N100" s="74"/>
      <c r="O100" s="74"/>
      <c r="P100" s="74"/>
      <c r="Q100" s="74"/>
      <c r="R100" s="74"/>
      <c r="S100" s="74"/>
      <c r="T100" s="74"/>
      <c r="U100" s="74"/>
      <c r="V100" s="74"/>
      <c r="W100" s="74"/>
      <c r="X100" s="74"/>
      <c r="Y100" s="74"/>
      <c r="Z100" s="74"/>
      <c r="AA100" s="74"/>
      <c r="AB100" s="74"/>
    </row>
    <row r="101" spans="1:28" ht="12" customHeight="1">
      <c r="A101" s="761"/>
      <c r="B101" s="359"/>
      <c r="C101" s="158"/>
      <c r="D101" s="158"/>
      <c r="E101" s="158"/>
      <c r="F101" s="158"/>
      <c r="G101" s="35"/>
      <c r="H101" s="104"/>
      <c r="I101" s="35"/>
      <c r="J101" s="74"/>
      <c r="K101" s="74"/>
      <c r="L101" s="74"/>
      <c r="M101" s="74"/>
      <c r="N101" s="74"/>
      <c r="O101" s="74"/>
      <c r="P101" s="74"/>
      <c r="Q101" s="74"/>
      <c r="R101" s="74"/>
      <c r="S101" s="74"/>
      <c r="T101" s="74"/>
      <c r="U101" s="74"/>
      <c r="V101" s="74"/>
      <c r="W101" s="74"/>
      <c r="X101" s="74"/>
      <c r="Y101" s="74"/>
      <c r="Z101" s="74"/>
      <c r="AA101" s="74"/>
      <c r="AB101" s="74"/>
    </row>
    <row r="102" spans="1:28" ht="12" customHeight="1">
      <c r="A102" s="761"/>
      <c r="B102" s="359"/>
      <c r="C102" s="158"/>
      <c r="D102" s="158"/>
      <c r="E102" s="158"/>
      <c r="F102" s="158"/>
      <c r="G102" s="35"/>
      <c r="H102" s="104"/>
      <c r="I102" s="35"/>
      <c r="J102" s="74"/>
      <c r="K102" s="74"/>
      <c r="L102" s="74"/>
      <c r="M102" s="74"/>
      <c r="N102" s="74"/>
      <c r="O102" s="74"/>
      <c r="P102" s="74"/>
      <c r="Q102" s="74"/>
      <c r="R102" s="74"/>
      <c r="S102" s="74"/>
      <c r="T102" s="74"/>
      <c r="U102" s="74"/>
      <c r="V102" s="74"/>
      <c r="W102" s="74"/>
      <c r="X102" s="74"/>
      <c r="Y102" s="74"/>
      <c r="Z102" s="74"/>
      <c r="AA102" s="74"/>
      <c r="AB102" s="74"/>
    </row>
    <row r="103" spans="1:28" ht="12" customHeight="1">
      <c r="A103" s="761"/>
      <c r="B103" s="359"/>
      <c r="C103" s="158"/>
      <c r="D103" s="158"/>
      <c r="E103" s="158"/>
      <c r="F103" s="158"/>
      <c r="G103" s="35"/>
      <c r="H103" s="104"/>
      <c r="I103" s="35"/>
      <c r="J103" s="74"/>
      <c r="K103" s="74"/>
      <c r="L103" s="74"/>
      <c r="M103" s="74"/>
      <c r="N103" s="74"/>
      <c r="O103" s="74"/>
      <c r="P103" s="74"/>
      <c r="Q103" s="74"/>
      <c r="R103" s="74"/>
      <c r="S103" s="74"/>
      <c r="T103" s="74"/>
      <c r="U103" s="74"/>
      <c r="V103" s="74"/>
      <c r="W103" s="74"/>
      <c r="X103" s="74"/>
      <c r="Y103" s="74"/>
      <c r="Z103" s="74"/>
      <c r="AA103" s="74"/>
      <c r="AB103" s="74"/>
    </row>
    <row r="104" spans="1:28" ht="12" customHeight="1">
      <c r="A104" s="761"/>
      <c r="B104" s="359"/>
      <c r="C104" s="158"/>
      <c r="D104" s="158"/>
      <c r="E104" s="158"/>
      <c r="F104" s="158"/>
      <c r="G104" s="35"/>
      <c r="H104" s="104"/>
      <c r="I104" s="35"/>
      <c r="J104" s="74"/>
      <c r="K104" s="74"/>
      <c r="L104" s="74"/>
      <c r="M104" s="74"/>
      <c r="N104" s="74"/>
      <c r="O104" s="74"/>
      <c r="P104" s="74"/>
      <c r="Q104" s="74"/>
      <c r="R104" s="74"/>
      <c r="S104" s="74"/>
      <c r="T104" s="74"/>
      <c r="U104" s="74"/>
      <c r="V104" s="74"/>
      <c r="W104" s="74"/>
      <c r="X104" s="74"/>
      <c r="Y104" s="74"/>
      <c r="Z104" s="74"/>
      <c r="AA104" s="74"/>
      <c r="AB104" s="74"/>
    </row>
    <row r="105" spans="1:28" ht="12" customHeight="1">
      <c r="A105" s="761"/>
      <c r="B105" s="359"/>
      <c r="C105" s="158"/>
      <c r="D105" s="158"/>
      <c r="E105" s="158"/>
      <c r="F105" s="158"/>
      <c r="G105" s="35"/>
      <c r="H105" s="104"/>
      <c r="I105" s="35"/>
      <c r="J105" s="74"/>
      <c r="K105" s="74"/>
      <c r="L105" s="74"/>
      <c r="M105" s="74"/>
      <c r="N105" s="74"/>
      <c r="O105" s="74"/>
      <c r="P105" s="74"/>
      <c r="Q105" s="74"/>
      <c r="R105" s="74"/>
      <c r="S105" s="74"/>
      <c r="T105" s="74"/>
      <c r="U105" s="74"/>
      <c r="V105" s="74"/>
      <c r="W105" s="74"/>
      <c r="X105" s="74"/>
      <c r="Y105" s="74"/>
      <c r="Z105" s="74"/>
      <c r="AA105" s="74"/>
      <c r="AB105" s="74"/>
    </row>
    <row r="106" spans="1:28" ht="12" customHeight="1">
      <c r="A106" s="761"/>
      <c r="B106" s="359"/>
      <c r="C106" s="158"/>
      <c r="D106" s="158"/>
      <c r="E106" s="158"/>
      <c r="F106" s="158"/>
      <c r="G106" s="35"/>
      <c r="H106" s="104"/>
      <c r="I106" s="35"/>
      <c r="J106" s="74"/>
      <c r="K106" s="74"/>
      <c r="L106" s="74"/>
      <c r="M106" s="74"/>
      <c r="N106" s="74"/>
      <c r="O106" s="74"/>
      <c r="P106" s="74"/>
      <c r="Q106" s="74"/>
      <c r="R106" s="74"/>
      <c r="S106" s="74"/>
      <c r="T106" s="74"/>
      <c r="U106" s="74"/>
      <c r="V106" s="74"/>
      <c r="W106" s="74"/>
      <c r="X106" s="74"/>
      <c r="Y106" s="74"/>
      <c r="Z106" s="74"/>
      <c r="AA106" s="74"/>
      <c r="AB106" s="74"/>
    </row>
    <row r="107" spans="1:28" ht="12" customHeight="1">
      <c r="A107" s="761"/>
      <c r="B107" s="359"/>
      <c r="C107" s="158"/>
      <c r="D107" s="158"/>
      <c r="E107" s="158"/>
      <c r="F107" s="158"/>
      <c r="G107" s="35"/>
      <c r="H107" s="104"/>
      <c r="I107" s="35"/>
      <c r="J107" s="74"/>
      <c r="K107" s="74"/>
      <c r="L107" s="74"/>
      <c r="M107" s="74"/>
      <c r="N107" s="74"/>
      <c r="O107" s="74"/>
      <c r="P107" s="74"/>
      <c r="Q107" s="74"/>
      <c r="R107" s="74"/>
      <c r="S107" s="74"/>
      <c r="T107" s="74"/>
      <c r="U107" s="74"/>
      <c r="V107" s="74"/>
      <c r="W107" s="74"/>
      <c r="X107" s="74"/>
      <c r="Y107" s="74"/>
      <c r="Z107" s="74"/>
      <c r="AA107" s="74"/>
      <c r="AB107" s="74"/>
    </row>
    <row r="108" spans="1:28" ht="12" customHeight="1">
      <c r="A108" s="761"/>
      <c r="B108" s="359"/>
      <c r="C108" s="158"/>
      <c r="D108" s="158"/>
      <c r="E108" s="158"/>
      <c r="F108" s="158"/>
      <c r="G108" s="35"/>
      <c r="H108" s="104"/>
      <c r="I108" s="35"/>
      <c r="J108" s="74"/>
      <c r="K108" s="74"/>
      <c r="L108" s="74"/>
      <c r="M108" s="74"/>
      <c r="N108" s="74"/>
      <c r="O108" s="74"/>
      <c r="P108" s="74"/>
      <c r="Q108" s="74"/>
      <c r="R108" s="74"/>
      <c r="S108" s="74"/>
      <c r="T108" s="74"/>
      <c r="U108" s="74"/>
      <c r="V108" s="74"/>
      <c r="W108" s="74"/>
      <c r="X108" s="74"/>
      <c r="Y108" s="74"/>
      <c r="Z108" s="74"/>
      <c r="AA108" s="74"/>
      <c r="AB108" s="74"/>
    </row>
    <row r="109" spans="1:28" ht="12" customHeight="1">
      <c r="A109" s="761"/>
      <c r="B109" s="359"/>
      <c r="C109" s="158"/>
      <c r="D109" s="158"/>
      <c r="E109" s="158"/>
      <c r="F109" s="158"/>
      <c r="G109" s="35"/>
      <c r="H109" s="104"/>
      <c r="I109" s="35"/>
      <c r="J109" s="74"/>
      <c r="K109" s="74"/>
      <c r="L109" s="74"/>
      <c r="M109" s="74"/>
      <c r="N109" s="74"/>
      <c r="O109" s="74"/>
      <c r="P109" s="74"/>
      <c r="Q109" s="74"/>
      <c r="R109" s="74"/>
      <c r="S109" s="74"/>
      <c r="T109" s="74"/>
      <c r="U109" s="74"/>
      <c r="V109" s="74"/>
      <c r="W109" s="74"/>
      <c r="X109" s="74"/>
      <c r="Y109" s="74"/>
      <c r="Z109" s="74"/>
      <c r="AA109" s="74"/>
      <c r="AB109" s="74"/>
    </row>
    <row r="110" spans="1:28" ht="12" customHeight="1">
      <c r="A110" s="761"/>
      <c r="B110" s="359"/>
      <c r="C110" s="158"/>
      <c r="D110" s="158"/>
      <c r="E110" s="158"/>
      <c r="F110" s="158"/>
      <c r="G110" s="35"/>
      <c r="H110" s="104"/>
      <c r="I110" s="35"/>
      <c r="J110" s="74"/>
      <c r="K110" s="74"/>
      <c r="L110" s="74"/>
      <c r="M110" s="74"/>
      <c r="N110" s="74"/>
      <c r="O110" s="74"/>
      <c r="P110" s="74"/>
      <c r="Q110" s="74"/>
      <c r="R110" s="74"/>
      <c r="S110" s="74"/>
      <c r="T110" s="74"/>
      <c r="U110" s="74"/>
      <c r="V110" s="74"/>
      <c r="W110" s="74"/>
      <c r="X110" s="74"/>
      <c r="Y110" s="74"/>
      <c r="Z110" s="74"/>
      <c r="AA110" s="74"/>
      <c r="AB110" s="74"/>
    </row>
    <row r="111" spans="1:28" ht="12" customHeight="1">
      <c r="A111" s="761"/>
      <c r="B111" s="359"/>
      <c r="C111" s="158"/>
      <c r="D111" s="158"/>
      <c r="E111" s="158"/>
      <c r="F111" s="158"/>
      <c r="G111" s="35"/>
      <c r="H111" s="104"/>
      <c r="I111" s="35"/>
      <c r="J111" s="74"/>
      <c r="K111" s="74"/>
      <c r="L111" s="74"/>
      <c r="M111" s="74"/>
      <c r="N111" s="74"/>
      <c r="O111" s="74"/>
      <c r="P111" s="74"/>
      <c r="Q111" s="74"/>
      <c r="R111" s="74"/>
      <c r="S111" s="74"/>
      <c r="T111" s="74"/>
      <c r="U111" s="74"/>
      <c r="V111" s="74"/>
      <c r="W111" s="74"/>
      <c r="X111" s="74"/>
      <c r="Y111" s="74"/>
      <c r="Z111" s="74"/>
      <c r="AA111" s="74"/>
      <c r="AB111" s="74"/>
    </row>
    <row r="112" spans="1:28" ht="12" customHeight="1">
      <c r="A112" s="761"/>
      <c r="B112" s="359"/>
      <c r="C112" s="158"/>
      <c r="D112" s="158"/>
      <c r="E112" s="158"/>
      <c r="F112" s="158"/>
      <c r="G112" s="35"/>
      <c r="H112" s="104"/>
      <c r="I112" s="35"/>
      <c r="J112" s="74"/>
      <c r="K112" s="74"/>
      <c r="L112" s="74"/>
      <c r="M112" s="74"/>
      <c r="N112" s="74"/>
      <c r="O112" s="74"/>
      <c r="P112" s="74"/>
      <c r="Q112" s="74"/>
      <c r="R112" s="74"/>
      <c r="S112" s="74"/>
      <c r="T112" s="74"/>
      <c r="U112" s="74"/>
      <c r="V112" s="74"/>
      <c r="W112" s="74"/>
      <c r="X112" s="74"/>
      <c r="Y112" s="74"/>
      <c r="Z112" s="74"/>
      <c r="AA112" s="74"/>
      <c r="AB112" s="74"/>
    </row>
    <row r="113" spans="1:28" ht="12" customHeight="1">
      <c r="A113" s="761"/>
      <c r="B113" s="359"/>
      <c r="C113" s="158"/>
      <c r="D113" s="158"/>
      <c r="E113" s="158"/>
      <c r="F113" s="158"/>
      <c r="G113" s="35"/>
      <c r="H113" s="104"/>
      <c r="I113" s="35"/>
      <c r="J113" s="74"/>
      <c r="K113" s="74"/>
      <c r="L113" s="74"/>
      <c r="M113" s="74"/>
      <c r="N113" s="74"/>
      <c r="O113" s="74"/>
      <c r="P113" s="74"/>
      <c r="Q113" s="74"/>
      <c r="R113" s="74"/>
      <c r="S113" s="74"/>
      <c r="T113" s="74"/>
      <c r="U113" s="74"/>
      <c r="V113" s="74"/>
      <c r="W113" s="74"/>
      <c r="X113" s="74"/>
      <c r="Y113" s="74"/>
      <c r="Z113" s="74"/>
      <c r="AA113" s="74"/>
      <c r="AB113" s="74"/>
    </row>
    <row r="114" spans="1:28" ht="12" customHeight="1">
      <c r="A114" s="761"/>
      <c r="B114" s="359"/>
      <c r="C114" s="158"/>
      <c r="D114" s="158"/>
      <c r="E114" s="158"/>
      <c r="F114" s="158"/>
      <c r="G114" s="35"/>
      <c r="H114" s="104"/>
      <c r="I114" s="35"/>
      <c r="J114" s="74"/>
      <c r="K114" s="74"/>
      <c r="L114" s="74"/>
      <c r="M114" s="74"/>
      <c r="N114" s="74"/>
      <c r="O114" s="74"/>
      <c r="P114" s="74"/>
      <c r="Q114" s="74"/>
      <c r="R114" s="74"/>
      <c r="S114" s="74"/>
      <c r="T114" s="74"/>
      <c r="U114" s="74"/>
      <c r="V114" s="74"/>
      <c r="W114" s="74"/>
      <c r="X114" s="74"/>
      <c r="Y114" s="74"/>
      <c r="Z114" s="74"/>
      <c r="AA114" s="74"/>
      <c r="AB114" s="74"/>
    </row>
    <row r="115" spans="1:28" ht="12" customHeight="1">
      <c r="A115" s="761"/>
      <c r="B115" s="359"/>
      <c r="C115" s="158"/>
      <c r="D115" s="158"/>
      <c r="E115" s="158"/>
      <c r="F115" s="158"/>
      <c r="G115" s="35"/>
      <c r="H115" s="104"/>
      <c r="I115" s="35"/>
      <c r="J115" s="74"/>
      <c r="K115" s="74"/>
      <c r="L115" s="74"/>
      <c r="M115" s="74"/>
      <c r="N115" s="74"/>
      <c r="O115" s="74"/>
      <c r="P115" s="74"/>
      <c r="Q115" s="74"/>
      <c r="R115" s="74"/>
      <c r="S115" s="74"/>
      <c r="T115" s="74"/>
      <c r="U115" s="74"/>
      <c r="V115" s="74"/>
      <c r="W115" s="74"/>
      <c r="X115" s="74"/>
      <c r="Y115" s="74"/>
      <c r="Z115" s="74"/>
      <c r="AA115" s="74"/>
      <c r="AB115" s="74"/>
    </row>
    <row r="116" spans="1:28" ht="12" customHeight="1">
      <c r="A116" s="761"/>
      <c r="B116" s="359"/>
      <c r="C116" s="158"/>
      <c r="D116" s="158"/>
      <c r="E116" s="158"/>
      <c r="F116" s="158"/>
      <c r="G116" s="35"/>
      <c r="H116" s="104"/>
      <c r="I116" s="35"/>
      <c r="J116" s="74"/>
      <c r="K116" s="74"/>
      <c r="L116" s="74"/>
      <c r="M116" s="74"/>
      <c r="N116" s="74"/>
      <c r="O116" s="74"/>
      <c r="P116" s="74"/>
      <c r="Q116" s="74"/>
      <c r="R116" s="74"/>
      <c r="S116" s="74"/>
      <c r="T116" s="74"/>
      <c r="U116" s="74"/>
      <c r="V116" s="74"/>
      <c r="W116" s="74"/>
      <c r="X116" s="74"/>
      <c r="Y116" s="74"/>
      <c r="Z116" s="74"/>
      <c r="AA116" s="74"/>
      <c r="AB116" s="74"/>
    </row>
    <row r="117" spans="1:28" ht="12" customHeight="1">
      <c r="A117" s="761"/>
      <c r="B117" s="359"/>
      <c r="C117" s="158"/>
      <c r="D117" s="158"/>
      <c r="E117" s="158"/>
      <c r="F117" s="158"/>
      <c r="G117" s="35"/>
      <c r="H117" s="104"/>
      <c r="I117" s="35"/>
      <c r="J117" s="74"/>
      <c r="K117" s="74"/>
      <c r="L117" s="74"/>
      <c r="M117" s="74"/>
      <c r="N117" s="74"/>
      <c r="O117" s="74"/>
      <c r="P117" s="74"/>
      <c r="Q117" s="74"/>
      <c r="R117" s="74"/>
      <c r="S117" s="74"/>
      <c r="T117" s="74"/>
      <c r="U117" s="74"/>
      <c r="V117" s="74"/>
      <c r="W117" s="74"/>
      <c r="X117" s="74"/>
      <c r="Y117" s="74"/>
      <c r="Z117" s="74"/>
      <c r="AA117" s="74"/>
      <c r="AB117" s="74"/>
    </row>
    <row r="118" spans="1:28" ht="12" customHeight="1">
      <c r="A118" s="761"/>
      <c r="B118" s="359"/>
      <c r="C118" s="158"/>
      <c r="D118" s="158"/>
      <c r="E118" s="158"/>
      <c r="F118" s="158"/>
      <c r="G118" s="35"/>
      <c r="H118" s="104"/>
      <c r="I118" s="35"/>
      <c r="J118" s="74"/>
      <c r="K118" s="74"/>
      <c r="L118" s="74"/>
      <c r="M118" s="74"/>
      <c r="N118" s="74"/>
      <c r="O118" s="74"/>
      <c r="P118" s="74"/>
      <c r="Q118" s="74"/>
      <c r="R118" s="74"/>
      <c r="S118" s="74"/>
      <c r="T118" s="74"/>
      <c r="U118" s="74"/>
      <c r="V118" s="74"/>
      <c r="W118" s="74"/>
      <c r="X118" s="74"/>
      <c r="Y118" s="74"/>
      <c r="Z118" s="74"/>
      <c r="AA118" s="74"/>
      <c r="AB118" s="74"/>
    </row>
    <row r="119" spans="1:28" ht="12" customHeight="1">
      <c r="A119" s="761"/>
      <c r="B119" s="359"/>
      <c r="C119" s="158"/>
      <c r="D119" s="158"/>
      <c r="E119" s="158"/>
      <c r="F119" s="158"/>
      <c r="G119" s="35"/>
      <c r="H119" s="104"/>
      <c r="I119" s="35"/>
      <c r="J119" s="74"/>
      <c r="K119" s="74"/>
      <c r="L119" s="74"/>
      <c r="M119" s="74"/>
      <c r="N119" s="74"/>
      <c r="O119" s="74"/>
      <c r="P119" s="74"/>
      <c r="Q119" s="74"/>
      <c r="R119" s="74"/>
      <c r="S119" s="74"/>
      <c r="T119" s="74"/>
      <c r="U119" s="74"/>
      <c r="V119" s="74"/>
      <c r="W119" s="74"/>
      <c r="X119" s="74"/>
      <c r="Y119" s="74"/>
      <c r="Z119" s="74"/>
      <c r="AA119" s="74"/>
      <c r="AB119" s="74"/>
    </row>
    <row r="120" spans="1:28" ht="12" customHeight="1">
      <c r="A120" s="761"/>
      <c r="B120" s="359"/>
      <c r="C120" s="158"/>
      <c r="D120" s="158"/>
      <c r="E120" s="158"/>
      <c r="F120" s="158"/>
      <c r="G120" s="35"/>
      <c r="H120" s="104"/>
      <c r="I120" s="35"/>
      <c r="J120" s="74"/>
      <c r="K120" s="74"/>
      <c r="L120" s="74"/>
      <c r="M120" s="74"/>
      <c r="N120" s="74"/>
      <c r="O120" s="74"/>
      <c r="P120" s="74"/>
      <c r="Q120" s="74"/>
      <c r="R120" s="74"/>
      <c r="S120" s="74"/>
      <c r="T120" s="74"/>
      <c r="U120" s="74"/>
      <c r="V120" s="74"/>
      <c r="W120" s="74"/>
      <c r="X120" s="74"/>
      <c r="Y120" s="74"/>
      <c r="Z120" s="74"/>
      <c r="AA120" s="74"/>
      <c r="AB120" s="74"/>
    </row>
    <row r="121" spans="1:28" ht="12" customHeight="1">
      <c r="A121" s="763"/>
      <c r="B121" s="104"/>
      <c r="C121" s="104"/>
      <c r="D121" s="260"/>
      <c r="E121" s="104"/>
      <c r="F121" s="104"/>
      <c r="G121" s="35"/>
      <c r="H121" s="104"/>
      <c r="I121" s="35"/>
      <c r="J121" s="74"/>
      <c r="K121" s="74"/>
      <c r="L121" s="74"/>
      <c r="M121" s="74"/>
      <c r="N121" s="74"/>
      <c r="O121" s="74"/>
      <c r="P121" s="74"/>
      <c r="Q121" s="74"/>
      <c r="R121" s="74"/>
      <c r="S121" s="74"/>
      <c r="T121" s="74"/>
      <c r="U121" s="74"/>
      <c r="V121" s="74"/>
      <c r="W121" s="74"/>
      <c r="X121" s="74"/>
      <c r="Y121" s="74"/>
      <c r="Z121" s="74"/>
      <c r="AA121" s="74"/>
      <c r="AB121" s="74"/>
    </row>
    <row r="122" spans="1:28" ht="12" customHeight="1">
      <c r="A122" s="763"/>
      <c r="B122" s="104"/>
      <c r="C122" s="104"/>
      <c r="D122" s="260"/>
      <c r="E122" s="104"/>
      <c r="F122" s="104"/>
      <c r="G122" s="35"/>
      <c r="H122" s="104"/>
      <c r="I122" s="35"/>
      <c r="J122" s="74"/>
      <c r="K122" s="74"/>
      <c r="L122" s="74"/>
      <c r="M122" s="74"/>
      <c r="N122" s="74"/>
      <c r="O122" s="74"/>
      <c r="P122" s="74"/>
      <c r="Q122" s="74"/>
      <c r="R122" s="74"/>
      <c r="S122" s="74"/>
      <c r="T122" s="74"/>
      <c r="U122" s="74"/>
      <c r="V122" s="74"/>
      <c r="W122" s="74"/>
      <c r="X122" s="74"/>
      <c r="Y122" s="74"/>
      <c r="Z122" s="74"/>
      <c r="AA122" s="74"/>
      <c r="AB122" s="74"/>
    </row>
    <row r="123" spans="1:28" ht="12" customHeight="1">
      <c r="A123" s="763"/>
      <c r="B123" s="104"/>
      <c r="C123" s="104"/>
      <c r="D123" s="260"/>
      <c r="E123" s="104"/>
      <c r="F123" s="104"/>
      <c r="G123" s="35"/>
      <c r="H123" s="104"/>
      <c r="I123" s="35"/>
      <c r="J123" s="74"/>
      <c r="K123" s="74"/>
      <c r="L123" s="74"/>
      <c r="M123" s="74"/>
      <c r="N123" s="74"/>
      <c r="O123" s="74"/>
      <c r="P123" s="74"/>
      <c r="Q123" s="74"/>
      <c r="R123" s="74"/>
      <c r="S123" s="74"/>
      <c r="T123" s="74"/>
      <c r="U123" s="74"/>
      <c r="V123" s="74"/>
      <c r="W123" s="74"/>
      <c r="X123" s="74"/>
      <c r="Y123" s="74"/>
      <c r="Z123" s="74"/>
      <c r="AA123" s="74"/>
      <c r="AB123" s="74"/>
    </row>
    <row r="124" spans="1:28" ht="12" customHeight="1">
      <c r="A124" s="763"/>
      <c r="B124" s="104"/>
      <c r="C124" s="104"/>
      <c r="D124" s="260"/>
      <c r="E124" s="104"/>
      <c r="F124" s="104"/>
      <c r="G124" s="35"/>
      <c r="H124" s="104"/>
      <c r="I124" s="35"/>
      <c r="J124" s="74"/>
      <c r="K124" s="74"/>
      <c r="L124" s="74"/>
      <c r="M124" s="74"/>
      <c r="N124" s="74"/>
      <c r="O124" s="74"/>
      <c r="P124" s="74"/>
      <c r="Q124" s="74"/>
      <c r="R124" s="74"/>
      <c r="S124" s="74"/>
      <c r="T124" s="74"/>
      <c r="U124" s="74"/>
      <c r="V124" s="74"/>
      <c r="W124" s="74"/>
      <c r="X124" s="74"/>
      <c r="Y124" s="74"/>
      <c r="Z124" s="74"/>
      <c r="AA124" s="74"/>
      <c r="AB124" s="74"/>
    </row>
    <row r="125" spans="1:28" ht="12" customHeight="1">
      <c r="A125" s="763"/>
      <c r="B125" s="104"/>
      <c r="C125" s="104"/>
      <c r="D125" s="260"/>
      <c r="E125" s="104"/>
      <c r="F125" s="104"/>
      <c r="G125" s="35"/>
      <c r="H125" s="104"/>
      <c r="I125" s="35"/>
      <c r="J125" s="74"/>
      <c r="K125" s="74"/>
      <c r="L125" s="74"/>
      <c r="M125" s="74"/>
      <c r="N125" s="74"/>
      <c r="O125" s="74"/>
      <c r="P125" s="74"/>
      <c r="Q125" s="74"/>
      <c r="R125" s="74"/>
      <c r="S125" s="74"/>
      <c r="T125" s="74"/>
      <c r="U125" s="74"/>
      <c r="V125" s="74"/>
      <c r="W125" s="74"/>
      <c r="X125" s="74"/>
      <c r="Y125" s="74"/>
      <c r="Z125" s="74"/>
      <c r="AA125" s="74"/>
      <c r="AB125" s="74"/>
    </row>
    <row r="126" spans="1:28" ht="12" customHeight="1">
      <c r="A126" s="763"/>
      <c r="B126" s="104"/>
      <c r="C126" s="104"/>
      <c r="D126" s="260"/>
      <c r="E126" s="104"/>
      <c r="F126" s="104"/>
      <c r="G126" s="35"/>
      <c r="H126" s="104"/>
      <c r="I126" s="35"/>
      <c r="J126" s="74"/>
      <c r="K126" s="74"/>
      <c r="L126" s="74"/>
      <c r="M126" s="74"/>
      <c r="N126" s="74"/>
      <c r="O126" s="74"/>
      <c r="P126" s="74"/>
      <c r="Q126" s="74"/>
      <c r="R126" s="74"/>
      <c r="S126" s="74"/>
      <c r="T126" s="74"/>
      <c r="U126" s="74"/>
      <c r="V126" s="74"/>
      <c r="W126" s="74"/>
      <c r="X126" s="74"/>
      <c r="Y126" s="74"/>
      <c r="Z126" s="74"/>
      <c r="AA126" s="74"/>
      <c r="AB126" s="74"/>
    </row>
    <row r="127" spans="1:28" ht="12" customHeight="1">
      <c r="A127" s="763"/>
      <c r="B127" s="104"/>
      <c r="C127" s="104"/>
      <c r="D127" s="260"/>
      <c r="E127" s="104"/>
      <c r="F127" s="104"/>
      <c r="G127" s="35"/>
      <c r="H127" s="104"/>
      <c r="I127" s="35"/>
      <c r="J127" s="74"/>
      <c r="K127" s="74"/>
      <c r="L127" s="74"/>
      <c r="M127" s="74"/>
      <c r="N127" s="74"/>
      <c r="O127" s="74"/>
      <c r="P127" s="74"/>
      <c r="Q127" s="74"/>
      <c r="R127" s="74"/>
      <c r="S127" s="74"/>
      <c r="T127" s="74"/>
      <c r="U127" s="74"/>
      <c r="V127" s="74"/>
      <c r="W127" s="74"/>
      <c r="X127" s="74"/>
      <c r="Y127" s="74"/>
      <c r="Z127" s="74"/>
      <c r="AA127" s="74"/>
      <c r="AB127" s="74"/>
    </row>
    <row r="128" spans="1:28" ht="12" customHeight="1">
      <c r="A128" s="763"/>
      <c r="B128" s="104"/>
      <c r="C128" s="104"/>
      <c r="D128" s="260"/>
      <c r="E128" s="104"/>
      <c r="F128" s="104"/>
      <c r="G128" s="35"/>
      <c r="H128" s="104"/>
      <c r="I128" s="35"/>
      <c r="J128" s="74"/>
      <c r="K128" s="74"/>
      <c r="L128" s="74"/>
      <c r="M128" s="74"/>
      <c r="N128" s="74"/>
      <c r="O128" s="74"/>
      <c r="P128" s="74"/>
      <c r="Q128" s="74"/>
      <c r="R128" s="74"/>
      <c r="S128" s="74"/>
      <c r="T128" s="74"/>
      <c r="U128" s="74"/>
      <c r="V128" s="74"/>
      <c r="W128" s="74"/>
      <c r="X128" s="74"/>
      <c r="Y128" s="74"/>
      <c r="Z128" s="74"/>
      <c r="AA128" s="74"/>
      <c r="AB128" s="74"/>
    </row>
    <row r="129" spans="1:28" ht="12" customHeight="1">
      <c r="A129" s="763"/>
      <c r="B129" s="104"/>
      <c r="C129" s="104"/>
      <c r="D129" s="260"/>
      <c r="E129" s="104"/>
      <c r="F129" s="104"/>
      <c r="G129" s="35"/>
      <c r="H129" s="104"/>
      <c r="I129" s="35"/>
      <c r="J129" s="74"/>
      <c r="K129" s="74"/>
      <c r="L129" s="74"/>
      <c r="M129" s="74"/>
      <c r="N129" s="74"/>
      <c r="O129" s="74"/>
      <c r="P129" s="74"/>
      <c r="Q129" s="74"/>
      <c r="R129" s="74"/>
      <c r="S129" s="74"/>
      <c r="T129" s="74"/>
      <c r="U129" s="74"/>
      <c r="V129" s="74"/>
      <c r="W129" s="74"/>
      <c r="X129" s="74"/>
      <c r="Y129" s="74"/>
      <c r="Z129" s="74"/>
      <c r="AA129" s="74"/>
      <c r="AB129" s="74"/>
    </row>
    <row r="130" spans="1:28" ht="12" customHeight="1">
      <c r="A130" s="763"/>
      <c r="B130" s="104"/>
      <c r="C130" s="104"/>
      <c r="D130" s="260"/>
      <c r="E130" s="104"/>
      <c r="F130" s="104"/>
      <c r="G130" s="35"/>
      <c r="H130" s="104"/>
      <c r="I130" s="35"/>
      <c r="J130" s="74"/>
      <c r="K130" s="74"/>
      <c r="L130" s="74"/>
      <c r="M130" s="74"/>
      <c r="N130" s="74"/>
      <c r="O130" s="74"/>
      <c r="P130" s="74"/>
      <c r="Q130" s="74"/>
      <c r="R130" s="74"/>
      <c r="S130" s="74"/>
      <c r="T130" s="74"/>
      <c r="U130" s="74"/>
      <c r="V130" s="74"/>
      <c r="W130" s="74"/>
      <c r="X130" s="74"/>
      <c r="Y130" s="74"/>
      <c r="Z130" s="74"/>
      <c r="AA130" s="74"/>
      <c r="AB130" s="74"/>
    </row>
    <row r="131" spans="1:28" ht="12" customHeight="1">
      <c r="A131" s="763"/>
      <c r="B131" s="104"/>
      <c r="C131" s="104"/>
      <c r="D131" s="260"/>
      <c r="E131" s="104"/>
      <c r="F131" s="104"/>
      <c r="G131" s="35"/>
      <c r="H131" s="104"/>
      <c r="I131" s="35"/>
      <c r="J131" s="74"/>
      <c r="K131" s="74"/>
      <c r="L131" s="74"/>
      <c r="M131" s="74"/>
      <c r="N131" s="74"/>
      <c r="O131" s="74"/>
      <c r="P131" s="74"/>
      <c r="Q131" s="74"/>
      <c r="R131" s="74"/>
      <c r="S131" s="74"/>
      <c r="T131" s="74"/>
      <c r="U131" s="74"/>
      <c r="V131" s="74"/>
      <c r="W131" s="74"/>
      <c r="X131" s="74"/>
      <c r="Y131" s="74"/>
      <c r="Z131" s="74"/>
      <c r="AA131" s="74"/>
      <c r="AB131" s="74"/>
    </row>
    <row r="132" spans="1:28" ht="12" customHeight="1">
      <c r="A132" s="763"/>
      <c r="B132" s="104"/>
      <c r="C132" s="104"/>
      <c r="D132" s="260"/>
      <c r="E132" s="104"/>
      <c r="F132" s="104"/>
      <c r="G132" s="35"/>
      <c r="H132" s="104"/>
      <c r="I132" s="35"/>
      <c r="J132" s="74"/>
      <c r="K132" s="74"/>
      <c r="L132" s="74"/>
      <c r="M132" s="74"/>
      <c r="N132" s="74"/>
      <c r="O132" s="74"/>
      <c r="P132" s="74"/>
      <c r="Q132" s="74"/>
      <c r="R132" s="74"/>
      <c r="S132" s="74"/>
      <c r="T132" s="74"/>
      <c r="U132" s="74"/>
      <c r="V132" s="74"/>
      <c r="W132" s="74"/>
      <c r="X132" s="74"/>
      <c r="Y132" s="74"/>
      <c r="Z132" s="74"/>
      <c r="AA132" s="74"/>
      <c r="AB132" s="74"/>
    </row>
    <row r="133" spans="1:28" ht="12" customHeight="1">
      <c r="A133" s="763"/>
      <c r="B133" s="104"/>
      <c r="C133" s="104"/>
      <c r="D133" s="260"/>
      <c r="E133" s="104"/>
      <c r="F133" s="104"/>
      <c r="G133" s="35"/>
      <c r="H133" s="104"/>
      <c r="I133" s="35"/>
      <c r="J133" s="74"/>
      <c r="K133" s="74"/>
      <c r="L133" s="74"/>
      <c r="M133" s="74"/>
      <c r="N133" s="74"/>
      <c r="O133" s="74"/>
      <c r="P133" s="74"/>
      <c r="Q133" s="74"/>
      <c r="R133" s="74"/>
      <c r="S133" s="74"/>
      <c r="T133" s="74"/>
      <c r="U133" s="74"/>
      <c r="V133" s="74"/>
      <c r="W133" s="74"/>
      <c r="X133" s="74"/>
      <c r="Y133" s="74"/>
      <c r="Z133" s="74"/>
      <c r="AA133" s="74"/>
      <c r="AB133" s="74"/>
    </row>
    <row r="134" spans="1:28" ht="12" customHeight="1">
      <c r="A134" s="763"/>
      <c r="B134" s="104"/>
      <c r="C134" s="104"/>
      <c r="D134" s="260"/>
      <c r="E134" s="104"/>
      <c r="F134" s="104"/>
      <c r="G134" s="35"/>
      <c r="H134" s="104"/>
      <c r="I134" s="35"/>
      <c r="J134" s="74"/>
      <c r="K134" s="74"/>
      <c r="L134" s="74"/>
      <c r="M134" s="74"/>
      <c r="N134" s="74"/>
      <c r="O134" s="74"/>
      <c r="P134" s="74"/>
      <c r="Q134" s="74"/>
      <c r="R134" s="74"/>
      <c r="S134" s="74"/>
      <c r="T134" s="74"/>
      <c r="U134" s="74"/>
      <c r="V134" s="74"/>
      <c r="W134" s="74"/>
      <c r="X134" s="74"/>
      <c r="Y134" s="74"/>
      <c r="Z134" s="74"/>
      <c r="AA134" s="74"/>
      <c r="AB134" s="74"/>
    </row>
    <row r="135" spans="1:28" ht="12" customHeight="1">
      <c r="A135" s="763"/>
      <c r="B135" s="104"/>
      <c r="C135" s="104"/>
      <c r="D135" s="260"/>
      <c r="E135" s="104"/>
      <c r="F135" s="104"/>
      <c r="G135" s="35"/>
      <c r="H135" s="104"/>
      <c r="I135" s="35"/>
      <c r="J135" s="74"/>
      <c r="K135" s="74"/>
      <c r="L135" s="74"/>
      <c r="M135" s="74"/>
      <c r="N135" s="74"/>
      <c r="O135" s="74"/>
      <c r="P135" s="74"/>
      <c r="Q135" s="74"/>
      <c r="R135" s="74"/>
      <c r="S135" s="74"/>
      <c r="T135" s="74"/>
      <c r="U135" s="74"/>
      <c r="V135" s="74"/>
      <c r="W135" s="74"/>
      <c r="X135" s="74"/>
      <c r="Y135" s="74"/>
      <c r="Z135" s="74"/>
      <c r="AA135" s="74"/>
      <c r="AB135" s="74"/>
    </row>
    <row r="136" spans="1:28" ht="12" customHeight="1">
      <c r="A136" s="763"/>
      <c r="B136" s="104"/>
      <c r="C136" s="104"/>
      <c r="D136" s="260"/>
      <c r="E136" s="104"/>
      <c r="F136" s="104"/>
      <c r="G136" s="35"/>
      <c r="H136" s="104"/>
      <c r="I136" s="35"/>
      <c r="J136" s="74"/>
      <c r="K136" s="74"/>
      <c r="L136" s="74"/>
      <c r="M136" s="74"/>
      <c r="N136" s="74"/>
      <c r="O136" s="74"/>
      <c r="P136" s="74"/>
      <c r="Q136" s="74"/>
      <c r="R136" s="74"/>
      <c r="S136" s="74"/>
      <c r="T136" s="74"/>
      <c r="U136" s="74"/>
      <c r="V136" s="74"/>
      <c r="W136" s="74"/>
      <c r="X136" s="74"/>
      <c r="Y136" s="74"/>
      <c r="Z136" s="74"/>
      <c r="AA136" s="74"/>
      <c r="AB136" s="74"/>
    </row>
    <row r="137" spans="1:28" ht="12" customHeight="1">
      <c r="A137" s="763"/>
      <c r="B137" s="104"/>
      <c r="C137" s="104"/>
      <c r="D137" s="260"/>
      <c r="E137" s="104"/>
      <c r="F137" s="104"/>
      <c r="G137" s="35"/>
      <c r="H137" s="104"/>
      <c r="I137" s="35"/>
      <c r="J137" s="74"/>
      <c r="K137" s="74"/>
      <c r="L137" s="74"/>
      <c r="M137" s="74"/>
      <c r="N137" s="74"/>
      <c r="O137" s="74"/>
      <c r="P137" s="74"/>
      <c r="Q137" s="74"/>
      <c r="R137" s="74"/>
      <c r="S137" s="74"/>
      <c r="T137" s="74"/>
      <c r="U137" s="74"/>
      <c r="V137" s="74"/>
      <c r="W137" s="74"/>
      <c r="X137" s="74"/>
      <c r="Y137" s="74"/>
      <c r="Z137" s="74"/>
      <c r="AA137" s="74"/>
      <c r="AB137" s="74"/>
    </row>
    <row r="138" spans="1:28" ht="12" customHeight="1">
      <c r="A138" s="763"/>
      <c r="B138" s="104"/>
      <c r="C138" s="104"/>
      <c r="D138" s="260"/>
      <c r="E138" s="104"/>
      <c r="F138" s="104"/>
      <c r="G138" s="35"/>
      <c r="H138" s="104"/>
      <c r="I138" s="35"/>
      <c r="J138" s="74"/>
      <c r="K138" s="74"/>
      <c r="L138" s="74"/>
      <c r="M138" s="74"/>
      <c r="N138" s="74"/>
      <c r="O138" s="74"/>
      <c r="P138" s="74"/>
      <c r="Q138" s="74"/>
      <c r="R138" s="74"/>
      <c r="S138" s="74"/>
      <c r="T138" s="74"/>
      <c r="U138" s="74"/>
      <c r="V138" s="74"/>
      <c r="W138" s="74"/>
      <c r="X138" s="74"/>
      <c r="Y138" s="74"/>
      <c r="Z138" s="74"/>
      <c r="AA138" s="74"/>
      <c r="AB138" s="74"/>
    </row>
    <row r="139" spans="1:28" ht="12" customHeight="1">
      <c r="A139" s="763"/>
      <c r="B139" s="104"/>
      <c r="C139" s="104"/>
      <c r="D139" s="260"/>
      <c r="E139" s="104"/>
      <c r="F139" s="104"/>
      <c r="G139" s="35"/>
      <c r="H139" s="104"/>
      <c r="I139" s="35"/>
      <c r="J139" s="74"/>
      <c r="K139" s="74"/>
      <c r="L139" s="74"/>
      <c r="M139" s="74"/>
      <c r="N139" s="74"/>
      <c r="O139" s="74"/>
      <c r="P139" s="74"/>
      <c r="Q139" s="74"/>
      <c r="R139" s="74"/>
      <c r="S139" s="74"/>
      <c r="T139" s="74"/>
      <c r="U139" s="74"/>
      <c r="V139" s="74"/>
      <c r="W139" s="74"/>
      <c r="X139" s="74"/>
      <c r="Y139" s="74"/>
      <c r="Z139" s="74"/>
      <c r="AA139" s="74"/>
      <c r="AB139" s="74"/>
    </row>
    <row r="140" spans="1:28" ht="12" customHeight="1">
      <c r="A140" s="763"/>
      <c r="B140" s="104"/>
      <c r="C140" s="104"/>
      <c r="D140" s="260"/>
      <c r="E140" s="104"/>
      <c r="F140" s="104"/>
      <c r="G140" s="35"/>
      <c r="H140" s="104"/>
      <c r="I140" s="35"/>
      <c r="J140" s="74"/>
      <c r="K140" s="74"/>
      <c r="L140" s="74"/>
      <c r="M140" s="74"/>
      <c r="N140" s="74"/>
      <c r="O140" s="74"/>
      <c r="P140" s="74"/>
      <c r="Q140" s="74"/>
      <c r="R140" s="74"/>
      <c r="S140" s="74"/>
      <c r="T140" s="74"/>
      <c r="U140" s="74"/>
      <c r="V140" s="74"/>
      <c r="W140" s="74"/>
      <c r="X140" s="74"/>
      <c r="Y140" s="74"/>
      <c r="Z140" s="74"/>
      <c r="AA140" s="74"/>
      <c r="AB140" s="74"/>
    </row>
    <row r="141" spans="1:28" ht="12" customHeight="1">
      <c r="A141" s="763"/>
      <c r="B141" s="104"/>
      <c r="C141" s="104"/>
      <c r="D141" s="260"/>
      <c r="E141" s="104"/>
      <c r="F141" s="104"/>
      <c r="G141" s="35"/>
      <c r="H141" s="104"/>
      <c r="I141" s="35"/>
      <c r="J141" s="74"/>
      <c r="K141" s="74"/>
      <c r="L141" s="74"/>
      <c r="M141" s="74"/>
      <c r="N141" s="74"/>
      <c r="O141" s="74"/>
      <c r="P141" s="74"/>
      <c r="Q141" s="74"/>
      <c r="R141" s="74"/>
      <c r="S141" s="74"/>
      <c r="T141" s="74"/>
      <c r="U141" s="74"/>
      <c r="V141" s="74"/>
      <c r="W141" s="74"/>
      <c r="X141" s="74"/>
      <c r="Y141" s="74"/>
      <c r="Z141" s="74"/>
      <c r="AA141" s="74"/>
      <c r="AB141" s="74"/>
    </row>
    <row r="142" spans="1:28" ht="12" customHeight="1">
      <c r="A142" s="763"/>
      <c r="B142" s="104"/>
      <c r="C142" s="104"/>
      <c r="D142" s="260"/>
      <c r="E142" s="104"/>
      <c r="F142" s="104"/>
      <c r="G142" s="35"/>
      <c r="H142" s="104"/>
      <c r="I142" s="35"/>
      <c r="J142" s="74"/>
      <c r="K142" s="74"/>
      <c r="L142" s="74"/>
      <c r="M142" s="74"/>
      <c r="N142" s="74"/>
      <c r="O142" s="74"/>
      <c r="P142" s="74"/>
      <c r="Q142" s="74"/>
      <c r="R142" s="74"/>
      <c r="S142" s="74"/>
      <c r="T142" s="74"/>
      <c r="U142" s="74"/>
      <c r="V142" s="74"/>
      <c r="W142" s="74"/>
      <c r="X142" s="74"/>
      <c r="Y142" s="74"/>
      <c r="Z142" s="74"/>
      <c r="AA142" s="74"/>
      <c r="AB142" s="74"/>
    </row>
    <row r="143" spans="1:28" ht="12" customHeight="1">
      <c r="A143" s="763"/>
      <c r="B143" s="104"/>
      <c r="C143" s="104"/>
      <c r="D143" s="260"/>
      <c r="E143" s="104"/>
      <c r="F143" s="104"/>
      <c r="G143" s="35"/>
      <c r="H143" s="104"/>
      <c r="I143" s="35"/>
      <c r="J143" s="74"/>
      <c r="K143" s="74"/>
      <c r="L143" s="74"/>
      <c r="M143" s="74"/>
      <c r="N143" s="74"/>
      <c r="O143" s="74"/>
      <c r="P143" s="74"/>
      <c r="Q143" s="74"/>
      <c r="R143" s="74"/>
      <c r="S143" s="74"/>
      <c r="T143" s="74"/>
      <c r="U143" s="74"/>
      <c r="V143" s="74"/>
      <c r="W143" s="74"/>
      <c r="X143" s="74"/>
      <c r="Y143" s="74"/>
      <c r="Z143" s="74"/>
      <c r="AA143" s="74"/>
      <c r="AB143" s="74"/>
    </row>
    <row r="144" spans="1:28" ht="12" customHeight="1">
      <c r="A144" s="763"/>
      <c r="B144" s="104"/>
      <c r="C144" s="104"/>
      <c r="D144" s="260"/>
      <c r="E144" s="104"/>
      <c r="F144" s="104"/>
      <c r="G144" s="35"/>
      <c r="H144" s="104"/>
      <c r="I144" s="35"/>
      <c r="J144" s="74"/>
      <c r="K144" s="74"/>
      <c r="L144" s="74"/>
      <c r="M144" s="74"/>
      <c r="N144" s="74"/>
      <c r="O144" s="74"/>
      <c r="P144" s="74"/>
      <c r="Q144" s="74"/>
      <c r="R144" s="74"/>
      <c r="S144" s="74"/>
      <c r="T144" s="74"/>
      <c r="U144" s="74"/>
      <c r="V144" s="74"/>
      <c r="W144" s="74"/>
      <c r="X144" s="74"/>
      <c r="Y144" s="74"/>
      <c r="Z144" s="74"/>
      <c r="AA144" s="74"/>
      <c r="AB144" s="74"/>
    </row>
    <row r="145" spans="1:28" ht="12" customHeight="1">
      <c r="A145" s="763"/>
      <c r="B145" s="104"/>
      <c r="C145" s="104"/>
      <c r="D145" s="260"/>
      <c r="E145" s="104"/>
      <c r="F145" s="104"/>
      <c r="G145" s="35"/>
      <c r="H145" s="104"/>
      <c r="I145" s="35"/>
      <c r="J145" s="74"/>
      <c r="K145" s="74"/>
      <c r="L145" s="74"/>
      <c r="M145" s="74"/>
      <c r="N145" s="74"/>
      <c r="O145" s="74"/>
      <c r="P145" s="74"/>
      <c r="Q145" s="74"/>
      <c r="R145" s="74"/>
      <c r="S145" s="74"/>
      <c r="T145" s="74"/>
      <c r="U145" s="74"/>
      <c r="V145" s="74"/>
      <c r="W145" s="74"/>
      <c r="X145" s="74"/>
      <c r="Y145" s="74"/>
      <c r="Z145" s="74"/>
      <c r="AA145" s="74"/>
      <c r="AB145" s="74"/>
    </row>
    <row r="146" spans="1:28" ht="12" customHeight="1">
      <c r="A146" s="763"/>
      <c r="B146" s="104"/>
      <c r="C146" s="104"/>
      <c r="D146" s="260"/>
      <c r="E146" s="104"/>
      <c r="F146" s="104"/>
      <c r="G146" s="35"/>
      <c r="H146" s="104"/>
      <c r="I146" s="35"/>
      <c r="J146" s="74"/>
      <c r="K146" s="74"/>
      <c r="L146" s="74"/>
      <c r="M146" s="74"/>
      <c r="N146" s="74"/>
      <c r="O146" s="74"/>
      <c r="P146" s="74"/>
      <c r="Q146" s="74"/>
      <c r="R146" s="74"/>
      <c r="S146" s="74"/>
      <c r="T146" s="74"/>
      <c r="U146" s="74"/>
      <c r="V146" s="74"/>
      <c r="W146" s="74"/>
      <c r="X146" s="74"/>
      <c r="Y146" s="74"/>
      <c r="Z146" s="74"/>
      <c r="AA146" s="74"/>
      <c r="AB146" s="74"/>
    </row>
    <row r="147" spans="1:28" ht="12" customHeight="1">
      <c r="A147" s="763"/>
      <c r="B147" s="104"/>
      <c r="C147" s="104"/>
      <c r="D147" s="260"/>
      <c r="E147" s="104"/>
      <c r="F147" s="104"/>
      <c r="G147" s="35"/>
      <c r="H147" s="104"/>
      <c r="I147" s="35"/>
      <c r="J147" s="74"/>
      <c r="K147" s="74"/>
      <c r="L147" s="74"/>
      <c r="M147" s="74"/>
      <c r="N147" s="74"/>
      <c r="O147" s="74"/>
      <c r="P147" s="74"/>
      <c r="Q147" s="74"/>
      <c r="R147" s="74"/>
      <c r="S147" s="74"/>
      <c r="T147" s="74"/>
      <c r="U147" s="74"/>
      <c r="V147" s="74"/>
      <c r="W147" s="74"/>
      <c r="X147" s="74"/>
      <c r="Y147" s="74"/>
      <c r="Z147" s="74"/>
      <c r="AA147" s="74"/>
      <c r="AB147" s="74"/>
    </row>
    <row r="148" spans="1:28" ht="12" customHeight="1">
      <c r="A148" s="763"/>
      <c r="B148" s="104"/>
      <c r="C148" s="104"/>
      <c r="D148" s="260"/>
      <c r="E148" s="104"/>
      <c r="F148" s="104"/>
      <c r="G148" s="35"/>
      <c r="H148" s="104"/>
      <c r="I148" s="35"/>
      <c r="J148" s="74"/>
      <c r="K148" s="74"/>
      <c r="L148" s="74"/>
      <c r="M148" s="74"/>
      <c r="N148" s="74"/>
      <c r="O148" s="74"/>
      <c r="P148" s="74"/>
      <c r="Q148" s="74"/>
      <c r="R148" s="74"/>
      <c r="S148" s="74"/>
      <c r="T148" s="74"/>
      <c r="U148" s="74"/>
      <c r="V148" s="74"/>
      <c r="W148" s="74"/>
      <c r="X148" s="74"/>
      <c r="Y148" s="74"/>
      <c r="Z148" s="74"/>
      <c r="AA148" s="74"/>
      <c r="AB148" s="74"/>
    </row>
    <row r="149" spans="1:28" ht="12" customHeight="1">
      <c r="A149" s="763"/>
      <c r="B149" s="104"/>
      <c r="C149" s="104"/>
      <c r="D149" s="260"/>
      <c r="E149" s="104"/>
      <c r="F149" s="104"/>
      <c r="G149" s="35"/>
      <c r="H149" s="104"/>
      <c r="I149" s="35"/>
      <c r="J149" s="74"/>
      <c r="K149" s="74"/>
      <c r="L149" s="74"/>
      <c r="M149" s="74"/>
      <c r="N149" s="74"/>
      <c r="O149" s="74"/>
      <c r="P149" s="74"/>
      <c r="Q149" s="74"/>
      <c r="R149" s="74"/>
      <c r="S149" s="74"/>
      <c r="T149" s="74"/>
      <c r="U149" s="74"/>
      <c r="V149" s="74"/>
      <c r="W149" s="74"/>
      <c r="X149" s="74"/>
      <c r="Y149" s="74"/>
      <c r="Z149" s="74"/>
      <c r="AA149" s="74"/>
      <c r="AB149" s="74"/>
    </row>
    <row r="150" spans="1:28" ht="12" customHeight="1">
      <c r="A150" s="763"/>
      <c r="B150" s="104"/>
      <c r="C150" s="104"/>
      <c r="D150" s="260"/>
      <c r="E150" s="104"/>
      <c r="F150" s="104"/>
      <c r="G150" s="35"/>
      <c r="H150" s="104"/>
      <c r="I150" s="35"/>
      <c r="J150" s="74"/>
      <c r="K150" s="74"/>
      <c r="L150" s="74"/>
      <c r="M150" s="74"/>
      <c r="N150" s="74"/>
      <c r="O150" s="74"/>
      <c r="P150" s="74"/>
      <c r="Q150" s="74"/>
      <c r="R150" s="74"/>
      <c r="S150" s="74"/>
      <c r="T150" s="74"/>
      <c r="U150" s="74"/>
      <c r="V150" s="74"/>
      <c r="W150" s="74"/>
      <c r="X150" s="74"/>
      <c r="Y150" s="74"/>
      <c r="Z150" s="74"/>
      <c r="AA150" s="74"/>
      <c r="AB150" s="74"/>
    </row>
    <row r="151" spans="1:28" ht="12" customHeight="1">
      <c r="A151" s="763"/>
      <c r="B151" s="104"/>
      <c r="C151" s="104"/>
      <c r="D151" s="260"/>
      <c r="E151" s="104"/>
      <c r="F151" s="104"/>
      <c r="G151" s="35"/>
      <c r="H151" s="104"/>
      <c r="I151" s="35"/>
      <c r="J151" s="74"/>
      <c r="K151" s="74"/>
      <c r="L151" s="74"/>
      <c r="M151" s="74"/>
      <c r="N151" s="74"/>
      <c r="O151" s="74"/>
      <c r="P151" s="74"/>
      <c r="Q151" s="74"/>
      <c r="R151" s="74"/>
      <c r="S151" s="74"/>
      <c r="T151" s="74"/>
      <c r="U151" s="74"/>
      <c r="V151" s="74"/>
      <c r="W151" s="74"/>
      <c r="X151" s="74"/>
      <c r="Y151" s="74"/>
      <c r="Z151" s="74"/>
      <c r="AA151" s="74"/>
      <c r="AB151" s="74"/>
    </row>
    <row r="152" spans="1:28" ht="12" customHeight="1">
      <c r="A152" s="763"/>
      <c r="B152" s="104"/>
      <c r="C152" s="104"/>
      <c r="D152" s="260"/>
      <c r="E152" s="104"/>
      <c r="F152" s="104"/>
      <c r="G152" s="35"/>
      <c r="H152" s="104"/>
      <c r="I152" s="35"/>
      <c r="J152" s="74"/>
      <c r="K152" s="74"/>
      <c r="L152" s="74"/>
      <c r="M152" s="74"/>
      <c r="N152" s="74"/>
      <c r="O152" s="74"/>
      <c r="P152" s="74"/>
      <c r="Q152" s="74"/>
      <c r="R152" s="74"/>
      <c r="S152" s="74"/>
      <c r="T152" s="74"/>
      <c r="U152" s="74"/>
      <c r="V152" s="74"/>
      <c r="W152" s="74"/>
      <c r="X152" s="74"/>
      <c r="Y152" s="74"/>
      <c r="Z152" s="74"/>
      <c r="AA152" s="74"/>
      <c r="AB152" s="74"/>
    </row>
    <row r="153" spans="1:28" ht="12" customHeight="1">
      <c r="A153" s="763"/>
      <c r="B153" s="104"/>
      <c r="C153" s="104"/>
      <c r="D153" s="260"/>
      <c r="E153" s="104"/>
      <c r="F153" s="104"/>
      <c r="G153" s="35"/>
      <c r="H153" s="104"/>
      <c r="I153" s="35"/>
      <c r="J153" s="74"/>
      <c r="K153" s="74"/>
      <c r="L153" s="74"/>
      <c r="M153" s="74"/>
      <c r="N153" s="74"/>
      <c r="O153" s="74"/>
      <c r="P153" s="74"/>
      <c r="Q153" s="74"/>
      <c r="R153" s="74"/>
      <c r="S153" s="74"/>
      <c r="T153" s="74"/>
      <c r="U153" s="74"/>
      <c r="V153" s="74"/>
      <c r="W153" s="74"/>
      <c r="X153" s="74"/>
      <c r="Y153" s="74"/>
      <c r="Z153" s="74"/>
      <c r="AA153" s="74"/>
      <c r="AB153" s="74"/>
    </row>
    <row r="154" spans="1:28" ht="12" customHeight="1">
      <c r="A154" s="763"/>
      <c r="B154" s="104"/>
      <c r="C154" s="104"/>
      <c r="D154" s="260"/>
      <c r="E154" s="104"/>
      <c r="F154" s="104"/>
      <c r="G154" s="35"/>
      <c r="H154" s="104"/>
      <c r="I154" s="35"/>
      <c r="J154" s="74"/>
      <c r="K154" s="74"/>
      <c r="L154" s="74"/>
      <c r="M154" s="74"/>
      <c r="N154" s="74"/>
      <c r="O154" s="74"/>
      <c r="P154" s="74"/>
      <c r="Q154" s="74"/>
      <c r="R154" s="74"/>
      <c r="S154" s="74"/>
      <c r="T154" s="74"/>
      <c r="U154" s="74"/>
      <c r="V154" s="74"/>
      <c r="W154" s="74"/>
      <c r="X154" s="74"/>
      <c r="Y154" s="74"/>
      <c r="Z154" s="74"/>
      <c r="AA154" s="74"/>
      <c r="AB154" s="74"/>
    </row>
    <row r="155" spans="1:28" ht="12" customHeight="1">
      <c r="A155" s="763"/>
      <c r="B155" s="104"/>
      <c r="C155" s="104"/>
      <c r="D155" s="260"/>
      <c r="E155" s="104"/>
      <c r="F155" s="104"/>
      <c r="G155" s="35"/>
      <c r="H155" s="104"/>
      <c r="I155" s="35"/>
      <c r="J155" s="74"/>
      <c r="K155" s="74"/>
      <c r="L155" s="74"/>
      <c r="M155" s="74"/>
      <c r="N155" s="74"/>
      <c r="O155" s="74"/>
      <c r="P155" s="74"/>
      <c r="Q155" s="74"/>
      <c r="R155" s="74"/>
      <c r="S155" s="74"/>
      <c r="T155" s="74"/>
      <c r="U155" s="74"/>
      <c r="V155" s="74"/>
      <c r="W155" s="74"/>
      <c r="X155" s="74"/>
      <c r="Y155" s="74"/>
      <c r="Z155" s="74"/>
      <c r="AA155" s="74"/>
      <c r="AB155" s="74"/>
    </row>
    <row r="156" spans="1:28" ht="12" customHeight="1">
      <c r="A156" s="763"/>
      <c r="B156" s="104"/>
      <c r="C156" s="104"/>
      <c r="D156" s="260"/>
      <c r="E156" s="104"/>
      <c r="F156" s="104"/>
      <c r="G156" s="35"/>
      <c r="H156" s="104"/>
      <c r="I156" s="35"/>
      <c r="J156" s="74"/>
      <c r="K156" s="74"/>
      <c r="L156" s="74"/>
      <c r="M156" s="74"/>
      <c r="N156" s="74"/>
      <c r="O156" s="74"/>
      <c r="P156" s="74"/>
      <c r="Q156" s="74"/>
      <c r="R156" s="74"/>
      <c r="S156" s="74"/>
      <c r="T156" s="74"/>
      <c r="U156" s="74"/>
      <c r="V156" s="74"/>
      <c r="W156" s="74"/>
      <c r="X156" s="74"/>
      <c r="Y156" s="74"/>
      <c r="Z156" s="74"/>
      <c r="AA156" s="74"/>
      <c r="AB156" s="74"/>
    </row>
    <row r="157" spans="1:28" ht="12" customHeight="1">
      <c r="A157" s="763"/>
      <c r="B157" s="104"/>
      <c r="C157" s="104"/>
      <c r="D157" s="260"/>
      <c r="E157" s="104"/>
      <c r="F157" s="104"/>
      <c r="G157" s="35"/>
      <c r="H157" s="104"/>
      <c r="I157" s="35"/>
      <c r="J157" s="74"/>
      <c r="K157" s="74"/>
      <c r="L157" s="74"/>
      <c r="M157" s="74"/>
      <c r="N157" s="74"/>
      <c r="O157" s="74"/>
      <c r="P157" s="74"/>
      <c r="Q157" s="74"/>
      <c r="R157" s="74"/>
      <c r="S157" s="74"/>
      <c r="T157" s="74"/>
      <c r="U157" s="74"/>
      <c r="V157" s="74"/>
      <c r="W157" s="74"/>
      <c r="X157" s="74"/>
      <c r="Y157" s="74"/>
      <c r="Z157" s="74"/>
      <c r="AA157" s="74"/>
      <c r="AB157" s="74"/>
    </row>
    <row r="158" spans="1:28" ht="12" customHeight="1">
      <c r="A158" s="763"/>
      <c r="B158" s="104"/>
      <c r="C158" s="104"/>
      <c r="D158" s="260"/>
      <c r="E158" s="104"/>
      <c r="F158" s="104"/>
      <c r="G158" s="35"/>
      <c r="H158" s="104"/>
      <c r="I158" s="35"/>
      <c r="J158" s="74"/>
      <c r="K158" s="74"/>
      <c r="L158" s="74"/>
      <c r="M158" s="74"/>
      <c r="N158" s="74"/>
      <c r="O158" s="74"/>
      <c r="P158" s="74"/>
      <c r="Q158" s="74"/>
      <c r="R158" s="74"/>
      <c r="S158" s="74"/>
      <c r="T158" s="74"/>
      <c r="U158" s="74"/>
      <c r="V158" s="74"/>
      <c r="W158" s="74"/>
      <c r="X158" s="74"/>
      <c r="Y158" s="74"/>
      <c r="Z158" s="74"/>
      <c r="AA158" s="74"/>
      <c r="AB158" s="74"/>
    </row>
    <row r="159" spans="1:28" ht="12" customHeight="1">
      <c r="A159" s="763"/>
      <c r="B159" s="104"/>
      <c r="C159" s="104"/>
      <c r="D159" s="260"/>
      <c r="E159" s="104"/>
      <c r="F159" s="104"/>
      <c r="G159" s="35"/>
      <c r="H159" s="104"/>
      <c r="I159" s="35"/>
      <c r="J159" s="74"/>
      <c r="K159" s="74"/>
      <c r="L159" s="74"/>
      <c r="M159" s="74"/>
      <c r="N159" s="74"/>
      <c r="O159" s="74"/>
      <c r="P159" s="74"/>
      <c r="Q159" s="74"/>
      <c r="R159" s="74"/>
      <c r="S159" s="74"/>
      <c r="T159" s="74"/>
      <c r="U159" s="74"/>
      <c r="V159" s="74"/>
      <c r="W159" s="74"/>
      <c r="X159" s="74"/>
      <c r="Y159" s="74"/>
      <c r="Z159" s="74"/>
      <c r="AA159" s="74"/>
      <c r="AB159" s="74"/>
    </row>
    <row r="160" spans="1:28" ht="12" customHeight="1">
      <c r="A160" s="763"/>
      <c r="B160" s="104"/>
      <c r="C160" s="104"/>
      <c r="D160" s="260"/>
      <c r="E160" s="104"/>
      <c r="F160" s="104"/>
      <c r="G160" s="35"/>
      <c r="H160" s="104"/>
      <c r="I160" s="35"/>
      <c r="J160" s="74"/>
      <c r="K160" s="74"/>
      <c r="L160" s="74"/>
      <c r="M160" s="74"/>
      <c r="N160" s="74"/>
      <c r="O160" s="74"/>
      <c r="P160" s="74"/>
      <c r="Q160" s="74"/>
      <c r="R160" s="74"/>
      <c r="S160" s="74"/>
      <c r="T160" s="74"/>
      <c r="U160" s="74"/>
      <c r="V160" s="74"/>
      <c r="W160" s="74"/>
      <c r="X160" s="74"/>
      <c r="Y160" s="74"/>
      <c r="Z160" s="74"/>
      <c r="AA160" s="74"/>
      <c r="AB160" s="74"/>
    </row>
    <row r="161" spans="1:28" ht="12" customHeight="1">
      <c r="A161" s="763"/>
      <c r="B161" s="104"/>
      <c r="C161" s="104"/>
      <c r="D161" s="260"/>
      <c r="E161" s="104"/>
      <c r="F161" s="104"/>
      <c r="G161" s="35"/>
      <c r="H161" s="104"/>
      <c r="I161" s="35"/>
      <c r="J161" s="74"/>
      <c r="K161" s="74"/>
      <c r="L161" s="74"/>
      <c r="M161" s="74"/>
      <c r="N161" s="74"/>
      <c r="O161" s="74"/>
      <c r="P161" s="74"/>
      <c r="Q161" s="74"/>
      <c r="R161" s="74"/>
      <c r="S161" s="74"/>
      <c r="T161" s="74"/>
      <c r="U161" s="74"/>
      <c r="V161" s="74"/>
      <c r="W161" s="74"/>
      <c r="X161" s="74"/>
      <c r="Y161" s="74"/>
      <c r="Z161" s="74"/>
      <c r="AA161" s="74"/>
      <c r="AB161" s="74"/>
    </row>
    <row r="162" spans="1:28" ht="12" customHeight="1">
      <c r="A162" s="763"/>
      <c r="B162" s="104"/>
      <c r="C162" s="104"/>
      <c r="D162" s="260"/>
      <c r="E162" s="104"/>
      <c r="F162" s="104"/>
      <c r="G162" s="35"/>
      <c r="H162" s="104"/>
      <c r="I162" s="35"/>
      <c r="J162" s="74"/>
      <c r="K162" s="74"/>
      <c r="L162" s="74"/>
      <c r="M162" s="74"/>
      <c r="N162" s="74"/>
      <c r="O162" s="74"/>
      <c r="P162" s="74"/>
      <c r="Q162" s="74"/>
      <c r="R162" s="74"/>
      <c r="S162" s="74"/>
      <c r="T162" s="74"/>
      <c r="U162" s="74"/>
      <c r="V162" s="74"/>
      <c r="W162" s="74"/>
      <c r="X162" s="74"/>
      <c r="Y162" s="74"/>
      <c r="Z162" s="74"/>
      <c r="AA162" s="74"/>
      <c r="AB162" s="74"/>
    </row>
    <row r="163" spans="1:28" ht="12" customHeight="1">
      <c r="A163" s="763"/>
      <c r="B163" s="104"/>
      <c r="C163" s="104"/>
      <c r="D163" s="260"/>
      <c r="E163" s="104"/>
      <c r="F163" s="104"/>
      <c r="G163" s="35"/>
      <c r="H163" s="104"/>
      <c r="I163" s="35"/>
      <c r="J163" s="74"/>
      <c r="K163" s="74"/>
      <c r="L163" s="74"/>
      <c r="M163" s="74"/>
      <c r="N163" s="74"/>
      <c r="O163" s="74"/>
      <c r="P163" s="74"/>
      <c r="Q163" s="74"/>
      <c r="R163" s="74"/>
      <c r="S163" s="74"/>
      <c r="T163" s="74"/>
      <c r="U163" s="74"/>
      <c r="V163" s="74"/>
      <c r="W163" s="74"/>
      <c r="X163" s="74"/>
      <c r="Y163" s="74"/>
      <c r="Z163" s="74"/>
      <c r="AA163" s="74"/>
      <c r="AB163" s="74"/>
    </row>
    <row r="164" spans="1:28" ht="12" customHeight="1">
      <c r="A164" s="763"/>
      <c r="B164" s="104"/>
      <c r="C164" s="104"/>
      <c r="D164" s="260"/>
      <c r="E164" s="104"/>
      <c r="F164" s="104"/>
      <c r="G164" s="35"/>
      <c r="H164" s="104"/>
      <c r="I164" s="35"/>
      <c r="J164" s="74"/>
      <c r="K164" s="74"/>
      <c r="L164" s="74"/>
      <c r="M164" s="74"/>
      <c r="N164" s="74"/>
      <c r="O164" s="74"/>
      <c r="P164" s="74"/>
      <c r="Q164" s="74"/>
      <c r="R164" s="74"/>
      <c r="S164" s="74"/>
      <c r="T164" s="74"/>
      <c r="U164" s="74"/>
      <c r="V164" s="74"/>
      <c r="W164" s="74"/>
      <c r="X164" s="74"/>
      <c r="Y164" s="74"/>
      <c r="Z164" s="74"/>
      <c r="AA164" s="74"/>
      <c r="AB164" s="74"/>
    </row>
    <row r="165" spans="1:28" ht="12" customHeight="1">
      <c r="A165" s="763"/>
      <c r="B165" s="104"/>
      <c r="C165" s="104"/>
      <c r="D165" s="260"/>
      <c r="E165" s="104"/>
      <c r="F165" s="104"/>
      <c r="G165" s="35"/>
      <c r="H165" s="104"/>
      <c r="I165" s="35"/>
      <c r="J165" s="74"/>
      <c r="K165" s="74"/>
      <c r="L165" s="74"/>
      <c r="M165" s="74"/>
      <c r="N165" s="74"/>
      <c r="O165" s="74"/>
      <c r="P165" s="74"/>
      <c r="Q165" s="74"/>
      <c r="R165" s="74"/>
      <c r="S165" s="74"/>
      <c r="T165" s="74"/>
      <c r="U165" s="74"/>
      <c r="V165" s="74"/>
      <c r="W165" s="74"/>
      <c r="X165" s="74"/>
      <c r="Y165" s="74"/>
      <c r="Z165" s="74"/>
      <c r="AA165" s="74"/>
      <c r="AB165" s="74"/>
    </row>
    <row r="166" spans="1:28" ht="12" customHeight="1">
      <c r="A166" s="763"/>
      <c r="B166" s="104"/>
      <c r="C166" s="104"/>
      <c r="D166" s="260"/>
      <c r="E166" s="104"/>
      <c r="F166" s="104"/>
      <c r="G166" s="35"/>
      <c r="H166" s="104"/>
      <c r="I166" s="35"/>
      <c r="J166" s="74"/>
      <c r="K166" s="74"/>
      <c r="L166" s="74"/>
      <c r="M166" s="74"/>
      <c r="N166" s="74"/>
      <c r="O166" s="74"/>
      <c r="P166" s="74"/>
      <c r="Q166" s="74"/>
      <c r="R166" s="74"/>
      <c r="S166" s="74"/>
      <c r="T166" s="74"/>
      <c r="U166" s="74"/>
      <c r="V166" s="74"/>
      <c r="W166" s="74"/>
      <c r="X166" s="74"/>
      <c r="Y166" s="74"/>
      <c r="Z166" s="74"/>
      <c r="AA166" s="74"/>
      <c r="AB166" s="74"/>
    </row>
    <row r="167" spans="1:28" ht="12" customHeight="1">
      <c r="A167" s="763"/>
      <c r="B167" s="104"/>
      <c r="C167" s="104"/>
      <c r="D167" s="260"/>
      <c r="E167" s="104"/>
      <c r="F167" s="104"/>
      <c r="G167" s="35"/>
      <c r="H167" s="104"/>
      <c r="I167" s="35"/>
      <c r="J167" s="74"/>
      <c r="K167" s="74"/>
      <c r="L167" s="74"/>
      <c r="M167" s="74"/>
      <c r="N167" s="74"/>
      <c r="O167" s="74"/>
      <c r="P167" s="74"/>
      <c r="Q167" s="74"/>
      <c r="R167" s="74"/>
      <c r="S167" s="74"/>
      <c r="T167" s="74"/>
      <c r="U167" s="74"/>
      <c r="V167" s="74"/>
      <c r="W167" s="74"/>
      <c r="X167" s="74"/>
      <c r="Y167" s="74"/>
      <c r="Z167" s="74"/>
      <c r="AA167" s="74"/>
      <c r="AB167" s="74"/>
    </row>
    <row r="168" spans="1:28" ht="12" customHeight="1">
      <c r="A168" s="763"/>
      <c r="B168" s="104"/>
      <c r="C168" s="104"/>
      <c r="D168" s="260"/>
      <c r="E168" s="104"/>
      <c r="F168" s="104"/>
      <c r="G168" s="35"/>
      <c r="H168" s="104"/>
      <c r="I168" s="35"/>
      <c r="J168" s="74"/>
      <c r="K168" s="74"/>
      <c r="L168" s="74"/>
      <c r="M168" s="74"/>
      <c r="N168" s="74"/>
      <c r="O168" s="74"/>
      <c r="P168" s="74"/>
      <c r="Q168" s="74"/>
      <c r="R168" s="74"/>
      <c r="S168" s="74"/>
      <c r="T168" s="74"/>
      <c r="U168" s="74"/>
      <c r="V168" s="74"/>
      <c r="W168" s="74"/>
      <c r="X168" s="74"/>
      <c r="Y168" s="74"/>
      <c r="Z168" s="74"/>
      <c r="AA168" s="74"/>
      <c r="AB168" s="74"/>
    </row>
    <row r="169" spans="1:28" ht="12" customHeight="1">
      <c r="A169" s="763"/>
      <c r="B169" s="104"/>
      <c r="C169" s="104"/>
      <c r="D169" s="260"/>
      <c r="E169" s="104"/>
      <c r="F169" s="104"/>
      <c r="G169" s="35"/>
      <c r="H169" s="104"/>
      <c r="I169" s="35"/>
      <c r="J169" s="74"/>
      <c r="K169" s="74"/>
      <c r="L169" s="74"/>
      <c r="M169" s="74"/>
      <c r="N169" s="74"/>
      <c r="O169" s="74"/>
      <c r="P169" s="74"/>
      <c r="Q169" s="74"/>
      <c r="R169" s="74"/>
      <c r="S169" s="74"/>
      <c r="T169" s="74"/>
      <c r="U169" s="74"/>
      <c r="V169" s="74"/>
      <c r="W169" s="74"/>
      <c r="X169" s="74"/>
      <c r="Y169" s="74"/>
      <c r="Z169" s="74"/>
      <c r="AA169" s="74"/>
      <c r="AB169" s="74"/>
    </row>
    <row r="170" spans="1:28" ht="12" customHeight="1">
      <c r="A170" s="763"/>
      <c r="B170" s="104"/>
      <c r="C170" s="104"/>
      <c r="D170" s="260"/>
      <c r="E170" s="104"/>
      <c r="F170" s="104"/>
      <c r="G170" s="35"/>
      <c r="H170" s="104"/>
      <c r="I170" s="35"/>
      <c r="J170" s="74"/>
      <c r="K170" s="74"/>
      <c r="L170" s="74"/>
      <c r="M170" s="74"/>
      <c r="N170" s="74"/>
      <c r="O170" s="74"/>
      <c r="P170" s="74"/>
      <c r="Q170" s="74"/>
      <c r="R170" s="74"/>
      <c r="S170" s="74"/>
      <c r="T170" s="74"/>
      <c r="U170" s="74"/>
      <c r="V170" s="74"/>
      <c r="W170" s="74"/>
      <c r="X170" s="74"/>
      <c r="Y170" s="74"/>
      <c r="Z170" s="74"/>
      <c r="AA170" s="74"/>
      <c r="AB170" s="74"/>
    </row>
    <row r="171" spans="1:28" ht="12" customHeight="1">
      <c r="A171" s="763"/>
      <c r="B171" s="104"/>
      <c r="C171" s="104"/>
      <c r="D171" s="260"/>
      <c r="E171" s="104"/>
      <c r="F171" s="104"/>
      <c r="G171" s="35"/>
      <c r="H171" s="104"/>
      <c r="I171" s="35"/>
      <c r="J171" s="74"/>
      <c r="K171" s="74"/>
      <c r="L171" s="74"/>
      <c r="M171" s="74"/>
      <c r="N171" s="74"/>
      <c r="O171" s="74"/>
      <c r="P171" s="74"/>
      <c r="Q171" s="74"/>
      <c r="R171" s="74"/>
      <c r="S171" s="74"/>
      <c r="T171" s="74"/>
      <c r="U171" s="74"/>
      <c r="V171" s="74"/>
      <c r="W171" s="74"/>
      <c r="X171" s="74"/>
      <c r="Y171" s="74"/>
      <c r="Z171" s="74"/>
      <c r="AA171" s="74"/>
      <c r="AB171" s="74"/>
    </row>
    <row r="172" spans="1:28" ht="12" customHeight="1">
      <c r="A172" s="763"/>
      <c r="B172" s="104"/>
      <c r="C172" s="104"/>
      <c r="D172" s="260"/>
      <c r="E172" s="104"/>
      <c r="F172" s="104"/>
      <c r="G172" s="35"/>
      <c r="H172" s="104"/>
      <c r="I172" s="35"/>
      <c r="J172" s="74"/>
      <c r="K172" s="74"/>
      <c r="L172" s="74"/>
      <c r="M172" s="74"/>
      <c r="N172" s="74"/>
      <c r="O172" s="74"/>
      <c r="P172" s="74"/>
      <c r="Q172" s="74"/>
      <c r="R172" s="74"/>
      <c r="S172" s="74"/>
      <c r="T172" s="74"/>
      <c r="U172" s="74"/>
      <c r="V172" s="74"/>
      <c r="W172" s="74"/>
      <c r="X172" s="74"/>
      <c r="Y172" s="74"/>
      <c r="Z172" s="74"/>
      <c r="AA172" s="74"/>
      <c r="AB172" s="74"/>
    </row>
    <row r="173" spans="1:28" ht="12" customHeight="1">
      <c r="A173" s="763"/>
      <c r="B173" s="104"/>
      <c r="C173" s="104"/>
      <c r="D173" s="260"/>
      <c r="E173" s="104"/>
      <c r="F173" s="104"/>
      <c r="G173" s="35"/>
      <c r="H173" s="104"/>
      <c r="I173" s="35"/>
      <c r="J173" s="74"/>
      <c r="K173" s="74"/>
      <c r="L173" s="74"/>
      <c r="M173" s="74"/>
      <c r="N173" s="74"/>
      <c r="O173" s="74"/>
      <c r="P173" s="74"/>
      <c r="Q173" s="74"/>
      <c r="R173" s="74"/>
      <c r="S173" s="74"/>
      <c r="T173" s="74"/>
      <c r="U173" s="74"/>
      <c r="V173" s="74"/>
      <c r="W173" s="74"/>
      <c r="X173" s="74"/>
      <c r="Y173" s="74"/>
      <c r="Z173" s="74"/>
      <c r="AA173" s="74"/>
      <c r="AB173" s="74"/>
    </row>
    <row r="174" spans="1:28" ht="12" customHeight="1">
      <c r="A174" s="763"/>
      <c r="B174" s="104"/>
      <c r="C174" s="104"/>
      <c r="D174" s="260"/>
      <c r="E174" s="104"/>
      <c r="F174" s="104"/>
      <c r="G174" s="35"/>
      <c r="H174" s="104"/>
      <c r="I174" s="35"/>
      <c r="J174" s="74"/>
      <c r="K174" s="74"/>
      <c r="L174" s="74"/>
      <c r="M174" s="74"/>
      <c r="N174" s="74"/>
      <c r="O174" s="74"/>
      <c r="P174" s="74"/>
      <c r="Q174" s="74"/>
      <c r="R174" s="74"/>
      <c r="S174" s="74"/>
      <c r="T174" s="74"/>
      <c r="U174" s="74"/>
      <c r="V174" s="74"/>
      <c r="W174" s="74"/>
      <c r="X174" s="74"/>
      <c r="Y174" s="74"/>
      <c r="Z174" s="74"/>
      <c r="AA174" s="74"/>
      <c r="AB174" s="74"/>
    </row>
    <row r="175" spans="1:28" ht="12" customHeight="1">
      <c r="A175" s="763"/>
      <c r="B175" s="104"/>
      <c r="C175" s="104"/>
      <c r="D175" s="260"/>
      <c r="E175" s="104"/>
      <c r="F175" s="104"/>
      <c r="G175" s="35"/>
      <c r="H175" s="104"/>
      <c r="I175" s="35"/>
      <c r="J175" s="74"/>
      <c r="K175" s="74"/>
      <c r="L175" s="74"/>
      <c r="M175" s="74"/>
      <c r="N175" s="74"/>
      <c r="O175" s="74"/>
      <c r="P175" s="74"/>
      <c r="Q175" s="74"/>
      <c r="R175" s="74"/>
      <c r="S175" s="74"/>
      <c r="T175" s="74"/>
      <c r="U175" s="74"/>
      <c r="V175" s="74"/>
      <c r="W175" s="74"/>
      <c r="X175" s="74"/>
      <c r="Y175" s="74"/>
      <c r="Z175" s="74"/>
      <c r="AA175" s="74"/>
      <c r="AB175" s="74"/>
    </row>
    <row r="176" spans="1:28" ht="12" customHeight="1">
      <c r="A176" s="763"/>
      <c r="B176" s="104"/>
      <c r="C176" s="104"/>
      <c r="D176" s="260"/>
      <c r="E176" s="104"/>
      <c r="F176" s="104"/>
      <c r="G176" s="35"/>
      <c r="H176" s="104"/>
      <c r="I176" s="35"/>
      <c r="J176" s="74"/>
      <c r="K176" s="74"/>
      <c r="L176" s="74"/>
      <c r="M176" s="74"/>
      <c r="N176" s="74"/>
      <c r="O176" s="74"/>
      <c r="P176" s="74"/>
      <c r="Q176" s="74"/>
      <c r="R176" s="74"/>
      <c r="S176" s="74"/>
      <c r="T176" s="74"/>
      <c r="U176" s="74"/>
      <c r="V176" s="74"/>
      <c r="W176" s="74"/>
      <c r="X176" s="74"/>
      <c r="Y176" s="74"/>
      <c r="Z176" s="74"/>
      <c r="AA176" s="74"/>
      <c r="AB176" s="74"/>
    </row>
    <row r="177" spans="1:28" ht="12" customHeight="1">
      <c r="A177" s="763"/>
      <c r="B177" s="104"/>
      <c r="C177" s="104"/>
      <c r="D177" s="260"/>
      <c r="E177" s="104"/>
      <c r="F177" s="104"/>
      <c r="G177" s="35"/>
      <c r="H177" s="104"/>
      <c r="I177" s="35"/>
      <c r="J177" s="74"/>
      <c r="K177" s="74"/>
      <c r="L177" s="74"/>
      <c r="M177" s="74"/>
      <c r="N177" s="74"/>
      <c r="O177" s="74"/>
      <c r="P177" s="74"/>
      <c r="Q177" s="74"/>
      <c r="R177" s="74"/>
      <c r="S177" s="74"/>
      <c r="T177" s="74"/>
      <c r="U177" s="74"/>
      <c r="V177" s="74"/>
      <c r="W177" s="74"/>
      <c r="X177" s="74"/>
      <c r="Y177" s="74"/>
      <c r="Z177" s="74"/>
      <c r="AA177" s="74"/>
      <c r="AB177" s="74"/>
    </row>
    <row r="178" spans="1:28" ht="12" customHeight="1">
      <c r="A178" s="763"/>
      <c r="B178" s="104"/>
      <c r="C178" s="104"/>
      <c r="D178" s="260"/>
      <c r="E178" s="104"/>
      <c r="F178" s="104"/>
      <c r="G178" s="35"/>
      <c r="H178" s="104"/>
      <c r="I178" s="35"/>
      <c r="J178" s="74"/>
      <c r="K178" s="74"/>
      <c r="L178" s="74"/>
      <c r="M178" s="74"/>
      <c r="N178" s="74"/>
      <c r="O178" s="74"/>
      <c r="P178" s="74"/>
      <c r="Q178" s="74"/>
      <c r="R178" s="74"/>
      <c r="S178" s="74"/>
      <c r="T178" s="74"/>
      <c r="U178" s="74"/>
      <c r="V178" s="74"/>
      <c r="W178" s="74"/>
      <c r="X178" s="74"/>
      <c r="Y178" s="74"/>
      <c r="Z178" s="74"/>
      <c r="AA178" s="74"/>
      <c r="AB178" s="74"/>
    </row>
    <row r="179" spans="1:28" ht="12" customHeight="1">
      <c r="A179" s="763"/>
      <c r="B179" s="104"/>
      <c r="C179" s="104"/>
      <c r="D179" s="260"/>
      <c r="E179" s="104"/>
      <c r="F179" s="104"/>
      <c r="G179" s="35"/>
      <c r="H179" s="104"/>
      <c r="I179" s="35"/>
      <c r="J179" s="74"/>
      <c r="K179" s="74"/>
      <c r="L179" s="74"/>
      <c r="M179" s="74"/>
      <c r="N179" s="74"/>
      <c r="O179" s="74"/>
      <c r="P179" s="74"/>
      <c r="Q179" s="74"/>
      <c r="R179" s="74"/>
      <c r="S179" s="74"/>
      <c r="T179" s="74"/>
      <c r="U179" s="74"/>
      <c r="V179" s="74"/>
      <c r="W179" s="74"/>
      <c r="X179" s="74"/>
      <c r="Y179" s="74"/>
      <c r="Z179" s="74"/>
      <c r="AA179" s="74"/>
      <c r="AB179" s="74"/>
    </row>
    <row r="180" spans="1:28" ht="12" customHeight="1">
      <c r="A180" s="763"/>
      <c r="B180" s="104"/>
      <c r="C180" s="104"/>
      <c r="D180" s="260"/>
      <c r="E180" s="104"/>
      <c r="F180" s="104"/>
      <c r="G180" s="35"/>
      <c r="H180" s="104"/>
      <c r="I180" s="35"/>
      <c r="J180" s="74"/>
      <c r="K180" s="74"/>
      <c r="L180" s="74"/>
      <c r="M180" s="74"/>
      <c r="N180" s="74"/>
      <c r="O180" s="74"/>
      <c r="P180" s="74"/>
      <c r="Q180" s="74"/>
      <c r="R180" s="74"/>
      <c r="S180" s="74"/>
      <c r="T180" s="74"/>
      <c r="U180" s="74"/>
      <c r="V180" s="74"/>
      <c r="W180" s="74"/>
      <c r="X180" s="74"/>
      <c r="Y180" s="74"/>
      <c r="Z180" s="74"/>
      <c r="AA180" s="74"/>
      <c r="AB180" s="74"/>
    </row>
    <row r="181" spans="1:28" ht="12" customHeight="1">
      <c r="A181" s="763"/>
      <c r="B181" s="104"/>
      <c r="C181" s="104"/>
      <c r="D181" s="260"/>
      <c r="E181" s="104"/>
      <c r="F181" s="104"/>
      <c r="G181" s="35"/>
      <c r="H181" s="104"/>
      <c r="I181" s="35"/>
      <c r="J181" s="74"/>
      <c r="K181" s="74"/>
      <c r="L181" s="74"/>
      <c r="M181" s="74"/>
      <c r="N181" s="74"/>
      <c r="O181" s="74"/>
      <c r="P181" s="74"/>
      <c r="Q181" s="74"/>
      <c r="R181" s="74"/>
      <c r="S181" s="74"/>
      <c r="T181" s="74"/>
      <c r="U181" s="74"/>
      <c r="V181" s="74"/>
      <c r="W181" s="74"/>
      <c r="X181" s="74"/>
      <c r="Y181" s="74"/>
      <c r="Z181" s="74"/>
      <c r="AA181" s="74"/>
      <c r="AB181" s="74"/>
    </row>
    <row r="182" spans="1:28" ht="12" customHeight="1">
      <c r="A182" s="763"/>
      <c r="B182" s="104"/>
      <c r="C182" s="104"/>
      <c r="D182" s="260"/>
      <c r="E182" s="104"/>
      <c r="F182" s="104"/>
      <c r="G182" s="35"/>
      <c r="H182" s="104"/>
      <c r="I182" s="35"/>
      <c r="J182" s="74"/>
      <c r="K182" s="74"/>
      <c r="L182" s="74"/>
      <c r="M182" s="74"/>
      <c r="N182" s="74"/>
      <c r="O182" s="74"/>
      <c r="P182" s="74"/>
      <c r="Q182" s="74"/>
      <c r="R182" s="74"/>
      <c r="S182" s="74"/>
      <c r="T182" s="74"/>
      <c r="U182" s="74"/>
      <c r="V182" s="74"/>
      <c r="W182" s="74"/>
      <c r="X182" s="74"/>
      <c r="Y182" s="74"/>
      <c r="Z182" s="74"/>
      <c r="AA182" s="74"/>
      <c r="AB182" s="74"/>
    </row>
    <row r="183" spans="1:28" ht="12" customHeight="1">
      <c r="A183" s="763"/>
      <c r="B183" s="104"/>
      <c r="C183" s="104"/>
      <c r="D183" s="260"/>
      <c r="E183" s="104"/>
      <c r="F183" s="104"/>
      <c r="G183" s="35"/>
      <c r="H183" s="104"/>
      <c r="I183" s="35"/>
      <c r="J183" s="74"/>
      <c r="K183" s="74"/>
      <c r="L183" s="74"/>
      <c r="M183" s="74"/>
      <c r="N183" s="74"/>
      <c r="O183" s="74"/>
      <c r="P183" s="74"/>
      <c r="Q183" s="74"/>
      <c r="R183" s="74"/>
      <c r="S183" s="74"/>
      <c r="T183" s="74"/>
      <c r="U183" s="74"/>
      <c r="V183" s="74"/>
      <c r="W183" s="74"/>
      <c r="X183" s="74"/>
      <c r="Y183" s="74"/>
      <c r="Z183" s="74"/>
      <c r="AA183" s="74"/>
      <c r="AB183" s="74"/>
    </row>
    <row r="184" spans="1:28" ht="12" customHeight="1">
      <c r="A184" s="763"/>
      <c r="B184" s="104"/>
      <c r="C184" s="104"/>
      <c r="D184" s="260"/>
      <c r="E184" s="104"/>
      <c r="F184" s="104"/>
      <c r="G184" s="35"/>
      <c r="H184" s="104"/>
      <c r="I184" s="35"/>
      <c r="J184" s="74"/>
      <c r="K184" s="74"/>
      <c r="L184" s="74"/>
      <c r="M184" s="74"/>
      <c r="N184" s="74"/>
      <c r="O184" s="74"/>
      <c r="P184" s="74"/>
      <c r="Q184" s="74"/>
      <c r="R184" s="74"/>
      <c r="S184" s="74"/>
      <c r="T184" s="74"/>
      <c r="U184" s="74"/>
      <c r="V184" s="74"/>
      <c r="W184" s="74"/>
      <c r="X184" s="74"/>
      <c r="Y184" s="74"/>
      <c r="Z184" s="74"/>
      <c r="AA184" s="74"/>
      <c r="AB184" s="74"/>
    </row>
    <row r="185" spans="1:28" ht="12" customHeight="1">
      <c r="A185" s="763"/>
      <c r="B185" s="104"/>
      <c r="C185" s="104"/>
      <c r="D185" s="260"/>
      <c r="E185" s="104"/>
      <c r="F185" s="104"/>
      <c r="G185" s="35"/>
      <c r="H185" s="104"/>
      <c r="I185" s="35"/>
      <c r="J185" s="74"/>
      <c r="K185" s="74"/>
      <c r="L185" s="74"/>
      <c r="M185" s="74"/>
      <c r="N185" s="74"/>
      <c r="O185" s="74"/>
      <c r="P185" s="74"/>
      <c r="Q185" s="74"/>
      <c r="R185" s="74"/>
      <c r="S185" s="74"/>
      <c r="T185" s="74"/>
      <c r="U185" s="74"/>
      <c r="V185" s="74"/>
      <c r="W185" s="74"/>
      <c r="X185" s="74"/>
      <c r="Y185" s="74"/>
      <c r="Z185" s="74"/>
      <c r="AA185" s="74"/>
      <c r="AB185" s="74"/>
    </row>
    <row r="186" spans="1:28" ht="12" customHeight="1">
      <c r="A186" s="763"/>
      <c r="B186" s="104"/>
      <c r="C186" s="104"/>
      <c r="D186" s="260"/>
      <c r="E186" s="104"/>
      <c r="F186" s="104"/>
      <c r="G186" s="35"/>
      <c r="H186" s="104"/>
      <c r="I186" s="35"/>
      <c r="J186" s="74"/>
      <c r="K186" s="74"/>
      <c r="L186" s="74"/>
      <c r="M186" s="74"/>
      <c r="N186" s="74"/>
      <c r="O186" s="74"/>
      <c r="P186" s="74"/>
      <c r="Q186" s="74"/>
      <c r="R186" s="74"/>
      <c r="S186" s="74"/>
      <c r="T186" s="74"/>
      <c r="U186" s="74"/>
      <c r="V186" s="74"/>
      <c r="W186" s="74"/>
      <c r="X186" s="74"/>
      <c r="Y186" s="74"/>
      <c r="Z186" s="74"/>
      <c r="AA186" s="74"/>
      <c r="AB186" s="74"/>
    </row>
    <row r="187" spans="1:28" ht="12" customHeight="1">
      <c r="A187" s="763"/>
      <c r="B187" s="104"/>
      <c r="C187" s="104"/>
      <c r="D187" s="260"/>
      <c r="E187" s="104"/>
      <c r="F187" s="104"/>
      <c r="G187" s="35"/>
      <c r="H187" s="104"/>
      <c r="I187" s="35"/>
      <c r="J187" s="74"/>
      <c r="K187" s="74"/>
      <c r="L187" s="74"/>
      <c r="M187" s="74"/>
      <c r="N187" s="74"/>
      <c r="O187" s="74"/>
      <c r="P187" s="74"/>
      <c r="Q187" s="74"/>
      <c r="R187" s="74"/>
      <c r="S187" s="74"/>
      <c r="T187" s="74"/>
      <c r="U187" s="74"/>
      <c r="V187" s="74"/>
      <c r="W187" s="74"/>
      <c r="X187" s="74"/>
      <c r="Y187" s="74"/>
      <c r="Z187" s="74"/>
      <c r="AA187" s="74"/>
      <c r="AB187" s="74"/>
    </row>
    <row r="188" spans="1:28" ht="12" customHeight="1">
      <c r="A188" s="763"/>
      <c r="B188" s="104"/>
      <c r="C188" s="104"/>
      <c r="D188" s="260"/>
      <c r="E188" s="104"/>
      <c r="F188" s="104"/>
      <c r="G188" s="35"/>
      <c r="H188" s="104"/>
      <c r="I188" s="35"/>
      <c r="J188" s="74"/>
      <c r="K188" s="74"/>
      <c r="L188" s="74"/>
      <c r="M188" s="74"/>
      <c r="N188" s="74"/>
      <c r="O188" s="74"/>
      <c r="P188" s="74"/>
      <c r="Q188" s="74"/>
      <c r="R188" s="74"/>
      <c r="S188" s="74"/>
      <c r="T188" s="74"/>
      <c r="U188" s="74"/>
      <c r="V188" s="74"/>
      <c r="W188" s="74"/>
      <c r="X188" s="74"/>
      <c r="Y188" s="74"/>
      <c r="Z188" s="74"/>
      <c r="AA188" s="74"/>
      <c r="AB188" s="74"/>
    </row>
    <row r="189" spans="1:28" ht="12" customHeight="1">
      <c r="A189" s="763"/>
      <c r="B189" s="104"/>
      <c r="C189" s="104"/>
      <c r="D189" s="260"/>
      <c r="E189" s="104"/>
      <c r="F189" s="104"/>
      <c r="G189" s="35"/>
      <c r="H189" s="104"/>
      <c r="I189" s="35"/>
      <c r="J189" s="74"/>
      <c r="K189" s="74"/>
      <c r="L189" s="74"/>
      <c r="M189" s="74"/>
      <c r="N189" s="74"/>
      <c r="O189" s="74"/>
      <c r="P189" s="74"/>
      <c r="Q189" s="74"/>
      <c r="R189" s="74"/>
      <c r="S189" s="74"/>
      <c r="T189" s="74"/>
      <c r="U189" s="74"/>
      <c r="V189" s="74"/>
      <c r="W189" s="74"/>
      <c r="X189" s="74"/>
      <c r="Y189" s="74"/>
      <c r="Z189" s="74"/>
      <c r="AA189" s="74"/>
      <c r="AB189" s="74"/>
    </row>
    <row r="190" spans="1:28" ht="12" customHeight="1">
      <c r="A190" s="763"/>
      <c r="B190" s="104"/>
      <c r="C190" s="104"/>
      <c r="D190" s="260"/>
      <c r="E190" s="104"/>
      <c r="F190" s="104"/>
      <c r="G190" s="35"/>
      <c r="H190" s="104"/>
      <c r="I190" s="35"/>
      <c r="J190" s="74"/>
      <c r="K190" s="74"/>
      <c r="L190" s="74"/>
      <c r="M190" s="74"/>
      <c r="N190" s="74"/>
      <c r="O190" s="74"/>
      <c r="P190" s="74"/>
      <c r="Q190" s="74"/>
      <c r="R190" s="74"/>
      <c r="S190" s="74"/>
      <c r="T190" s="74"/>
      <c r="U190" s="74"/>
      <c r="V190" s="74"/>
      <c r="W190" s="74"/>
      <c r="X190" s="74"/>
      <c r="Y190" s="74"/>
      <c r="Z190" s="74"/>
      <c r="AA190" s="74"/>
      <c r="AB190" s="74"/>
    </row>
    <row r="191" spans="1:28" ht="12" customHeight="1">
      <c r="A191" s="763"/>
      <c r="B191" s="104"/>
      <c r="C191" s="104"/>
      <c r="D191" s="260"/>
      <c r="E191" s="104"/>
      <c r="F191" s="104"/>
      <c r="G191" s="35"/>
      <c r="H191" s="104"/>
      <c r="I191" s="35"/>
      <c r="J191" s="74"/>
      <c r="K191" s="74"/>
      <c r="L191" s="74"/>
      <c r="M191" s="74"/>
      <c r="N191" s="74"/>
      <c r="O191" s="74"/>
      <c r="P191" s="74"/>
      <c r="Q191" s="74"/>
      <c r="R191" s="74"/>
      <c r="S191" s="74"/>
      <c r="T191" s="74"/>
      <c r="U191" s="74"/>
      <c r="V191" s="74"/>
      <c r="W191" s="74"/>
      <c r="X191" s="74"/>
      <c r="Y191" s="74"/>
      <c r="Z191" s="74"/>
      <c r="AA191" s="74"/>
      <c r="AB191" s="74"/>
    </row>
    <row r="192" spans="1:28" ht="12" customHeight="1">
      <c r="A192" s="763"/>
      <c r="B192" s="104"/>
      <c r="C192" s="104"/>
      <c r="D192" s="260"/>
      <c r="E192" s="104"/>
      <c r="F192" s="104"/>
      <c r="G192" s="35"/>
      <c r="H192" s="104"/>
      <c r="I192" s="35"/>
      <c r="J192" s="74"/>
      <c r="K192" s="74"/>
      <c r="L192" s="74"/>
      <c r="M192" s="74"/>
      <c r="N192" s="74"/>
      <c r="O192" s="74"/>
      <c r="P192" s="74"/>
      <c r="Q192" s="74"/>
      <c r="R192" s="74"/>
      <c r="S192" s="74"/>
      <c r="T192" s="74"/>
      <c r="U192" s="74"/>
      <c r="V192" s="74"/>
      <c r="W192" s="74"/>
      <c r="X192" s="74"/>
      <c r="Y192" s="74"/>
      <c r="Z192" s="74"/>
      <c r="AA192" s="74"/>
      <c r="AB192" s="74"/>
    </row>
    <row r="193" spans="1:28" ht="12" customHeight="1">
      <c r="A193" s="763"/>
      <c r="B193" s="104"/>
      <c r="C193" s="104"/>
      <c r="D193" s="260"/>
      <c r="E193" s="104"/>
      <c r="F193" s="104"/>
      <c r="G193" s="35"/>
      <c r="H193" s="104"/>
      <c r="I193" s="35"/>
      <c r="J193" s="74"/>
      <c r="K193" s="74"/>
      <c r="L193" s="74"/>
      <c r="M193" s="74"/>
      <c r="N193" s="74"/>
      <c r="O193" s="74"/>
      <c r="P193" s="74"/>
      <c r="Q193" s="74"/>
      <c r="R193" s="74"/>
      <c r="S193" s="74"/>
      <c r="T193" s="74"/>
      <c r="U193" s="74"/>
      <c r="V193" s="74"/>
      <c r="W193" s="74"/>
      <c r="X193" s="74"/>
      <c r="Y193" s="74"/>
      <c r="Z193" s="74"/>
      <c r="AA193" s="74"/>
      <c r="AB193" s="74"/>
    </row>
    <row r="194" spans="1:28" ht="12" customHeight="1">
      <c r="A194" s="763"/>
      <c r="B194" s="104"/>
      <c r="C194" s="104"/>
      <c r="D194" s="260"/>
      <c r="E194" s="104"/>
      <c r="F194" s="104"/>
      <c r="G194" s="35"/>
      <c r="H194" s="104"/>
      <c r="I194" s="35"/>
      <c r="J194" s="74"/>
      <c r="K194" s="74"/>
      <c r="L194" s="74"/>
      <c r="M194" s="74"/>
      <c r="N194" s="74"/>
      <c r="O194" s="74"/>
      <c r="P194" s="74"/>
      <c r="Q194" s="74"/>
      <c r="R194" s="74"/>
      <c r="S194" s="74"/>
      <c r="T194" s="74"/>
      <c r="U194" s="74"/>
      <c r="V194" s="74"/>
      <c r="W194" s="74"/>
      <c r="X194" s="74"/>
      <c r="Y194" s="74"/>
      <c r="Z194" s="74"/>
      <c r="AA194" s="74"/>
      <c r="AB194" s="74"/>
    </row>
    <row r="195" spans="1:28" ht="12" customHeight="1">
      <c r="A195" s="763"/>
      <c r="B195" s="104"/>
      <c r="C195" s="104"/>
      <c r="D195" s="260"/>
      <c r="E195" s="104"/>
      <c r="F195" s="104"/>
      <c r="G195" s="35"/>
      <c r="H195" s="104"/>
      <c r="I195" s="35"/>
      <c r="J195" s="74"/>
      <c r="K195" s="74"/>
      <c r="L195" s="74"/>
      <c r="M195" s="74"/>
      <c r="N195" s="74"/>
      <c r="O195" s="74"/>
      <c r="P195" s="74"/>
      <c r="Q195" s="74"/>
      <c r="R195" s="74"/>
      <c r="S195" s="74"/>
      <c r="T195" s="74"/>
      <c r="U195" s="74"/>
      <c r="V195" s="74"/>
      <c r="W195" s="74"/>
      <c r="X195" s="74"/>
      <c r="Y195" s="74"/>
      <c r="Z195" s="74"/>
      <c r="AA195" s="74"/>
      <c r="AB195" s="74"/>
    </row>
    <row r="196" spans="1:28" ht="12" customHeight="1">
      <c r="A196" s="763"/>
      <c r="B196" s="104"/>
      <c r="C196" s="104"/>
      <c r="D196" s="260"/>
      <c r="E196" s="104"/>
      <c r="F196" s="104"/>
      <c r="G196" s="35"/>
      <c r="H196" s="104"/>
      <c r="I196" s="35"/>
      <c r="J196" s="74"/>
      <c r="K196" s="74"/>
      <c r="L196" s="74"/>
      <c r="M196" s="74"/>
      <c r="N196" s="74"/>
      <c r="O196" s="74"/>
      <c r="P196" s="74"/>
      <c r="Q196" s="74"/>
      <c r="R196" s="74"/>
      <c r="S196" s="74"/>
      <c r="T196" s="74"/>
      <c r="U196" s="74"/>
      <c r="V196" s="74"/>
      <c r="W196" s="74"/>
      <c r="X196" s="74"/>
      <c r="Y196" s="74"/>
      <c r="Z196" s="74"/>
      <c r="AA196" s="74"/>
      <c r="AB196" s="74"/>
    </row>
    <row r="197" spans="1:28" ht="12" customHeight="1">
      <c r="A197" s="763"/>
      <c r="B197" s="104"/>
      <c r="C197" s="104"/>
      <c r="D197" s="260"/>
      <c r="E197" s="104"/>
      <c r="F197" s="104"/>
      <c r="G197" s="35"/>
      <c r="H197" s="104"/>
      <c r="I197" s="35"/>
      <c r="J197" s="74"/>
      <c r="K197" s="74"/>
      <c r="L197" s="74"/>
      <c r="M197" s="74"/>
      <c r="N197" s="74"/>
      <c r="O197" s="74"/>
      <c r="P197" s="74"/>
      <c r="Q197" s="74"/>
      <c r="R197" s="74"/>
      <c r="S197" s="74"/>
      <c r="T197" s="74"/>
      <c r="U197" s="74"/>
      <c r="V197" s="74"/>
      <c r="W197" s="74"/>
      <c r="X197" s="74"/>
      <c r="Y197" s="74"/>
      <c r="Z197" s="74"/>
      <c r="AA197" s="74"/>
      <c r="AB197" s="74"/>
    </row>
    <row r="198" spans="1:28" ht="12" customHeight="1">
      <c r="A198" s="763"/>
      <c r="B198" s="104"/>
      <c r="C198" s="104"/>
      <c r="D198" s="260"/>
      <c r="E198" s="104"/>
      <c r="F198" s="104"/>
      <c r="G198" s="35"/>
      <c r="H198" s="104"/>
      <c r="I198" s="35"/>
      <c r="J198" s="74"/>
      <c r="K198" s="74"/>
      <c r="L198" s="74"/>
      <c r="M198" s="74"/>
      <c r="N198" s="74"/>
      <c r="O198" s="74"/>
      <c r="P198" s="74"/>
      <c r="Q198" s="74"/>
      <c r="R198" s="74"/>
      <c r="S198" s="74"/>
      <c r="T198" s="74"/>
      <c r="U198" s="74"/>
      <c r="V198" s="74"/>
      <c r="W198" s="74"/>
      <c r="X198" s="74"/>
      <c r="Y198" s="74"/>
      <c r="Z198" s="74"/>
      <c r="AA198" s="74"/>
      <c r="AB198" s="74"/>
    </row>
    <row r="199" spans="1:28" ht="12" customHeight="1">
      <c r="A199" s="763"/>
      <c r="B199" s="104"/>
      <c r="C199" s="104"/>
      <c r="D199" s="260"/>
      <c r="E199" s="104"/>
      <c r="F199" s="104"/>
      <c r="G199" s="35"/>
      <c r="H199" s="104"/>
      <c r="I199" s="35"/>
      <c r="J199" s="74"/>
      <c r="K199" s="74"/>
      <c r="L199" s="74"/>
      <c r="M199" s="74"/>
      <c r="N199" s="74"/>
      <c r="O199" s="74"/>
      <c r="P199" s="74"/>
      <c r="Q199" s="74"/>
      <c r="R199" s="74"/>
      <c r="S199" s="74"/>
      <c r="T199" s="74"/>
      <c r="U199" s="74"/>
      <c r="V199" s="74"/>
      <c r="W199" s="74"/>
      <c r="X199" s="74"/>
      <c r="Y199" s="74"/>
      <c r="Z199" s="74"/>
      <c r="AA199" s="74"/>
      <c r="AB199" s="74"/>
    </row>
    <row r="200" spans="1:28" ht="12" customHeight="1">
      <c r="A200" s="763"/>
      <c r="B200" s="104"/>
      <c r="C200" s="104"/>
      <c r="D200" s="260"/>
      <c r="E200" s="104"/>
      <c r="F200" s="104"/>
      <c r="G200" s="35"/>
      <c r="H200" s="104"/>
      <c r="I200" s="35"/>
      <c r="J200" s="74"/>
      <c r="K200" s="74"/>
      <c r="L200" s="74"/>
      <c r="M200" s="74"/>
      <c r="N200" s="74"/>
      <c r="O200" s="74"/>
      <c r="P200" s="74"/>
      <c r="Q200" s="74"/>
      <c r="R200" s="74"/>
      <c r="S200" s="74"/>
      <c r="T200" s="74"/>
      <c r="U200" s="74"/>
      <c r="V200" s="74"/>
      <c r="W200" s="74"/>
      <c r="X200" s="74"/>
      <c r="Y200" s="74"/>
      <c r="Z200" s="74"/>
      <c r="AA200" s="74"/>
      <c r="AB200" s="74"/>
    </row>
    <row r="201" spans="1:28" ht="12" customHeight="1">
      <c r="A201" s="763"/>
      <c r="B201" s="104"/>
      <c r="C201" s="104"/>
      <c r="D201" s="260"/>
      <c r="E201" s="104"/>
      <c r="F201" s="104"/>
      <c r="G201" s="35"/>
      <c r="H201" s="104"/>
      <c r="I201" s="35"/>
      <c r="J201" s="74"/>
      <c r="K201" s="74"/>
      <c r="L201" s="74"/>
      <c r="M201" s="74"/>
      <c r="N201" s="74"/>
      <c r="O201" s="74"/>
      <c r="P201" s="74"/>
      <c r="Q201" s="74"/>
      <c r="R201" s="74"/>
      <c r="S201" s="74"/>
      <c r="T201" s="74"/>
      <c r="U201" s="74"/>
      <c r="V201" s="74"/>
      <c r="W201" s="74"/>
      <c r="X201" s="74"/>
      <c r="Y201" s="74"/>
      <c r="Z201" s="74"/>
      <c r="AA201" s="74"/>
      <c r="AB201" s="74"/>
    </row>
    <row r="202" spans="1:28" ht="12" customHeight="1">
      <c r="A202" s="763"/>
      <c r="B202" s="104"/>
      <c r="C202" s="104"/>
      <c r="D202" s="260"/>
      <c r="E202" s="104"/>
      <c r="F202" s="104"/>
      <c r="G202" s="35"/>
      <c r="H202" s="104"/>
      <c r="I202" s="35"/>
      <c r="J202" s="74"/>
      <c r="K202" s="74"/>
      <c r="L202" s="74"/>
      <c r="M202" s="74"/>
      <c r="N202" s="74"/>
      <c r="O202" s="74"/>
      <c r="P202" s="74"/>
      <c r="Q202" s="74"/>
      <c r="R202" s="74"/>
      <c r="S202" s="74"/>
      <c r="T202" s="74"/>
      <c r="U202" s="74"/>
      <c r="V202" s="74"/>
      <c r="W202" s="74"/>
      <c r="X202" s="74"/>
      <c r="Y202" s="74"/>
      <c r="Z202" s="74"/>
      <c r="AA202" s="74"/>
      <c r="AB202" s="74"/>
    </row>
    <row r="203" spans="1:28" ht="12" customHeight="1">
      <c r="A203" s="763"/>
      <c r="B203" s="104"/>
      <c r="C203" s="104"/>
      <c r="D203" s="260"/>
      <c r="E203" s="104"/>
      <c r="F203" s="104"/>
      <c r="G203" s="35"/>
      <c r="H203" s="104"/>
      <c r="I203" s="35"/>
      <c r="J203" s="74"/>
      <c r="K203" s="74"/>
      <c r="L203" s="74"/>
      <c r="M203" s="74"/>
      <c r="N203" s="74"/>
      <c r="O203" s="74"/>
      <c r="P203" s="74"/>
      <c r="Q203" s="74"/>
      <c r="R203" s="74"/>
      <c r="S203" s="74"/>
      <c r="T203" s="74"/>
      <c r="U203" s="74"/>
      <c r="V203" s="74"/>
      <c r="W203" s="74"/>
      <c r="X203" s="74"/>
      <c r="Y203" s="74"/>
      <c r="Z203" s="74"/>
      <c r="AA203" s="74"/>
      <c r="AB203" s="74"/>
    </row>
    <row r="204" spans="1:28" ht="12" customHeight="1">
      <c r="A204" s="763"/>
      <c r="B204" s="104"/>
      <c r="C204" s="104"/>
      <c r="D204" s="260"/>
      <c r="E204" s="104"/>
      <c r="F204" s="104"/>
      <c r="G204" s="35"/>
      <c r="H204" s="104"/>
      <c r="I204" s="35"/>
      <c r="J204" s="74"/>
      <c r="K204" s="74"/>
      <c r="L204" s="74"/>
      <c r="M204" s="74"/>
      <c r="N204" s="74"/>
      <c r="O204" s="74"/>
      <c r="P204" s="74"/>
      <c r="Q204" s="74"/>
      <c r="R204" s="74"/>
      <c r="S204" s="74"/>
      <c r="T204" s="74"/>
      <c r="U204" s="74"/>
      <c r="V204" s="74"/>
      <c r="W204" s="74"/>
      <c r="X204" s="74"/>
      <c r="Y204" s="74"/>
      <c r="Z204" s="74"/>
      <c r="AA204" s="74"/>
      <c r="AB204" s="74"/>
    </row>
    <row r="205" spans="1:28" ht="12" customHeight="1">
      <c r="A205" s="763"/>
      <c r="B205" s="104"/>
      <c r="C205" s="104"/>
      <c r="D205" s="260"/>
      <c r="E205" s="104"/>
      <c r="F205" s="104"/>
      <c r="G205" s="35"/>
      <c r="H205" s="104"/>
      <c r="I205" s="35"/>
      <c r="J205" s="74"/>
      <c r="K205" s="74"/>
      <c r="L205" s="74"/>
      <c r="M205" s="74"/>
      <c r="N205" s="74"/>
      <c r="O205" s="74"/>
      <c r="P205" s="74"/>
      <c r="Q205" s="74"/>
      <c r="R205" s="74"/>
      <c r="S205" s="74"/>
      <c r="T205" s="74"/>
      <c r="U205" s="74"/>
      <c r="V205" s="74"/>
      <c r="W205" s="74"/>
      <c r="X205" s="74"/>
      <c r="Y205" s="74"/>
      <c r="Z205" s="74"/>
      <c r="AA205" s="74"/>
      <c r="AB205" s="74"/>
    </row>
    <row r="206" spans="1:28" ht="12" customHeight="1">
      <c r="A206" s="763"/>
      <c r="B206" s="104"/>
      <c r="C206" s="104"/>
      <c r="D206" s="260"/>
      <c r="E206" s="104"/>
      <c r="F206" s="104"/>
      <c r="G206" s="35"/>
      <c r="H206" s="104"/>
      <c r="I206" s="35"/>
      <c r="J206" s="74"/>
      <c r="K206" s="74"/>
      <c r="L206" s="74"/>
      <c r="M206" s="74"/>
      <c r="N206" s="74"/>
      <c r="O206" s="74"/>
      <c r="P206" s="74"/>
      <c r="Q206" s="74"/>
      <c r="R206" s="74"/>
      <c r="S206" s="74"/>
      <c r="T206" s="74"/>
      <c r="U206" s="74"/>
      <c r="V206" s="74"/>
      <c r="W206" s="74"/>
      <c r="X206" s="74"/>
      <c r="Y206" s="74"/>
      <c r="Z206" s="74"/>
      <c r="AA206" s="74"/>
      <c r="AB206" s="74"/>
    </row>
    <row r="207" spans="1:28" ht="12" customHeight="1">
      <c r="A207" s="763"/>
      <c r="B207" s="104"/>
      <c r="C207" s="104"/>
      <c r="D207" s="260"/>
      <c r="E207" s="104"/>
      <c r="F207" s="104"/>
      <c r="G207" s="35"/>
      <c r="H207" s="104"/>
      <c r="I207" s="35"/>
      <c r="J207" s="74"/>
      <c r="K207" s="74"/>
      <c r="L207" s="74"/>
      <c r="M207" s="74"/>
      <c r="N207" s="74"/>
      <c r="O207" s="74"/>
      <c r="P207" s="74"/>
      <c r="Q207" s="74"/>
      <c r="R207" s="74"/>
      <c r="S207" s="74"/>
      <c r="T207" s="74"/>
      <c r="U207" s="74"/>
      <c r="V207" s="74"/>
      <c r="W207" s="74"/>
      <c r="X207" s="74"/>
      <c r="Y207" s="74"/>
      <c r="Z207" s="74"/>
      <c r="AA207" s="74"/>
      <c r="AB207" s="74"/>
    </row>
    <row r="208" spans="1:28" ht="12" customHeight="1">
      <c r="A208" s="763"/>
      <c r="B208" s="104"/>
      <c r="C208" s="104"/>
      <c r="D208" s="260"/>
      <c r="E208" s="104"/>
      <c r="F208" s="104"/>
      <c r="G208" s="35"/>
      <c r="H208" s="104"/>
      <c r="I208" s="35"/>
      <c r="J208" s="74"/>
      <c r="K208" s="74"/>
      <c r="L208" s="74"/>
      <c r="M208" s="74"/>
      <c r="N208" s="74"/>
      <c r="O208" s="74"/>
      <c r="P208" s="74"/>
      <c r="Q208" s="74"/>
      <c r="R208" s="74"/>
      <c r="S208" s="74"/>
      <c r="T208" s="74"/>
      <c r="U208" s="74"/>
      <c r="V208" s="74"/>
      <c r="W208" s="74"/>
      <c r="X208" s="74"/>
      <c r="Y208" s="74"/>
      <c r="Z208" s="74"/>
      <c r="AA208" s="74"/>
      <c r="AB208" s="74"/>
    </row>
    <row r="209" spans="1:28" ht="12" customHeight="1">
      <c r="A209" s="763"/>
      <c r="B209" s="104"/>
      <c r="C209" s="104"/>
      <c r="D209" s="260"/>
      <c r="E209" s="104"/>
      <c r="F209" s="104"/>
      <c r="G209" s="35"/>
      <c r="H209" s="104"/>
      <c r="I209" s="35"/>
      <c r="J209" s="74"/>
      <c r="K209" s="74"/>
      <c r="L209" s="74"/>
      <c r="M209" s="74"/>
      <c r="N209" s="74"/>
      <c r="O209" s="74"/>
      <c r="P209" s="74"/>
      <c r="Q209" s="74"/>
      <c r="R209" s="74"/>
      <c r="S209" s="74"/>
      <c r="T209" s="74"/>
      <c r="U209" s="74"/>
      <c r="V209" s="74"/>
      <c r="W209" s="74"/>
      <c r="X209" s="74"/>
      <c r="Y209" s="74"/>
      <c r="Z209" s="74"/>
      <c r="AA209" s="74"/>
      <c r="AB209" s="74"/>
    </row>
    <row r="210" spans="1:28" ht="12" customHeight="1">
      <c r="A210" s="763"/>
      <c r="B210" s="104"/>
      <c r="C210" s="104"/>
      <c r="D210" s="260"/>
      <c r="E210" s="104"/>
      <c r="F210" s="104"/>
      <c r="G210" s="35"/>
      <c r="H210" s="104"/>
      <c r="I210" s="35"/>
      <c r="J210" s="74"/>
      <c r="K210" s="74"/>
      <c r="L210" s="74"/>
      <c r="M210" s="74"/>
      <c r="N210" s="74"/>
      <c r="O210" s="74"/>
      <c r="P210" s="74"/>
      <c r="Q210" s="74"/>
      <c r="R210" s="74"/>
      <c r="S210" s="74"/>
      <c r="T210" s="74"/>
      <c r="U210" s="74"/>
      <c r="V210" s="74"/>
      <c r="W210" s="74"/>
      <c r="X210" s="74"/>
      <c r="Y210" s="74"/>
      <c r="Z210" s="74"/>
      <c r="AA210" s="74"/>
      <c r="AB210" s="74"/>
    </row>
    <row r="211" spans="1:28" ht="12" customHeight="1">
      <c r="A211" s="763"/>
      <c r="B211" s="104"/>
      <c r="C211" s="104"/>
      <c r="D211" s="260"/>
      <c r="E211" s="104"/>
      <c r="F211" s="104"/>
      <c r="G211" s="35"/>
      <c r="H211" s="104"/>
      <c r="I211" s="35"/>
      <c r="J211" s="74"/>
      <c r="K211" s="74"/>
      <c r="L211" s="74"/>
      <c r="M211" s="74"/>
      <c r="N211" s="74"/>
      <c r="O211" s="74"/>
      <c r="P211" s="74"/>
      <c r="Q211" s="74"/>
      <c r="R211" s="74"/>
      <c r="S211" s="74"/>
      <c r="T211" s="74"/>
      <c r="U211" s="74"/>
      <c r="V211" s="74"/>
      <c r="W211" s="74"/>
      <c r="X211" s="74"/>
      <c r="Y211" s="74"/>
      <c r="Z211" s="74"/>
      <c r="AA211" s="74"/>
      <c r="AB211" s="74"/>
    </row>
    <row r="212" spans="1:28" ht="12" customHeight="1">
      <c r="A212" s="763"/>
      <c r="B212" s="104"/>
      <c r="C212" s="104"/>
      <c r="D212" s="260"/>
      <c r="E212" s="104"/>
      <c r="F212" s="104"/>
      <c r="G212" s="35"/>
      <c r="H212" s="104"/>
      <c r="I212" s="35"/>
      <c r="J212" s="74"/>
      <c r="K212" s="74"/>
      <c r="L212" s="74"/>
      <c r="M212" s="74"/>
      <c r="N212" s="74"/>
      <c r="O212" s="74"/>
      <c r="P212" s="74"/>
      <c r="Q212" s="74"/>
      <c r="R212" s="74"/>
      <c r="S212" s="74"/>
      <c r="T212" s="74"/>
      <c r="U212" s="74"/>
      <c r="V212" s="74"/>
      <c r="W212" s="74"/>
      <c r="X212" s="74"/>
      <c r="Y212" s="74"/>
      <c r="Z212" s="74"/>
      <c r="AA212" s="74"/>
      <c r="AB212" s="74"/>
    </row>
    <row r="213" spans="1:28" ht="12" customHeight="1">
      <c r="A213" s="763"/>
      <c r="B213" s="104"/>
      <c r="C213" s="104"/>
      <c r="D213" s="260"/>
      <c r="E213" s="104"/>
      <c r="F213" s="104"/>
      <c r="G213" s="35"/>
      <c r="H213" s="104"/>
      <c r="I213" s="35"/>
      <c r="J213" s="74"/>
      <c r="K213" s="74"/>
      <c r="L213" s="74"/>
      <c r="M213" s="74"/>
      <c r="N213" s="74"/>
      <c r="O213" s="74"/>
      <c r="P213" s="74"/>
      <c r="Q213" s="74"/>
      <c r="R213" s="74"/>
      <c r="S213" s="74"/>
      <c r="T213" s="74"/>
      <c r="U213" s="74"/>
      <c r="V213" s="74"/>
      <c r="W213" s="74"/>
      <c r="X213" s="74"/>
      <c r="Y213" s="74"/>
      <c r="Z213" s="74"/>
      <c r="AA213" s="74"/>
      <c r="AB213" s="74"/>
    </row>
    <row r="214" spans="1:28" ht="12" customHeight="1">
      <c r="A214" s="763"/>
      <c r="B214" s="104"/>
      <c r="C214" s="104"/>
      <c r="D214" s="260"/>
      <c r="E214" s="104"/>
      <c r="F214" s="104"/>
      <c r="G214" s="35"/>
      <c r="H214" s="104"/>
      <c r="I214" s="35"/>
      <c r="J214" s="74"/>
      <c r="K214" s="74"/>
      <c r="L214" s="74"/>
      <c r="M214" s="74"/>
      <c r="N214" s="74"/>
      <c r="O214" s="74"/>
      <c r="P214" s="74"/>
      <c r="Q214" s="74"/>
      <c r="R214" s="74"/>
      <c r="S214" s="74"/>
      <c r="T214" s="74"/>
      <c r="U214" s="74"/>
      <c r="V214" s="74"/>
      <c r="W214" s="74"/>
      <c r="X214" s="74"/>
      <c r="Y214" s="74"/>
      <c r="Z214" s="74"/>
      <c r="AA214" s="74"/>
      <c r="AB214" s="74"/>
    </row>
    <row r="215" spans="1:28" ht="12" customHeight="1">
      <c r="A215" s="763"/>
      <c r="B215" s="104"/>
      <c r="C215" s="104"/>
      <c r="D215" s="260"/>
      <c r="E215" s="104"/>
      <c r="F215" s="104"/>
      <c r="G215" s="35"/>
      <c r="H215" s="104"/>
      <c r="I215" s="35"/>
      <c r="J215" s="74"/>
      <c r="K215" s="74"/>
      <c r="L215" s="74"/>
      <c r="M215" s="74"/>
      <c r="N215" s="74"/>
      <c r="O215" s="74"/>
      <c r="P215" s="74"/>
      <c r="Q215" s="74"/>
      <c r="R215" s="74"/>
      <c r="S215" s="74"/>
      <c r="T215" s="74"/>
      <c r="U215" s="74"/>
      <c r="V215" s="74"/>
      <c r="W215" s="74"/>
      <c r="X215" s="74"/>
      <c r="Y215" s="74"/>
      <c r="Z215" s="74"/>
      <c r="AA215" s="74"/>
      <c r="AB215" s="74"/>
    </row>
    <row r="216" spans="1:28" ht="12" customHeight="1">
      <c r="A216" s="763"/>
      <c r="B216" s="104"/>
      <c r="C216" s="104"/>
      <c r="D216" s="260"/>
      <c r="E216" s="104"/>
      <c r="F216" s="104"/>
      <c r="G216" s="35"/>
      <c r="H216" s="104"/>
      <c r="I216" s="35"/>
      <c r="J216" s="74"/>
      <c r="K216" s="74"/>
      <c r="L216" s="74"/>
      <c r="M216" s="74"/>
      <c r="N216" s="74"/>
      <c r="O216" s="74"/>
      <c r="P216" s="74"/>
      <c r="Q216" s="74"/>
      <c r="R216" s="74"/>
      <c r="S216" s="74"/>
      <c r="T216" s="74"/>
      <c r="U216" s="74"/>
      <c r="V216" s="74"/>
      <c r="W216" s="74"/>
      <c r="X216" s="74"/>
      <c r="Y216" s="74"/>
      <c r="Z216" s="74"/>
      <c r="AA216" s="74"/>
      <c r="AB216" s="74"/>
    </row>
    <row r="217" spans="1:28" ht="12" customHeight="1">
      <c r="A217" s="763"/>
      <c r="B217" s="104"/>
      <c r="C217" s="104"/>
      <c r="D217" s="260"/>
      <c r="E217" s="104"/>
      <c r="F217" s="104"/>
      <c r="G217" s="35"/>
      <c r="H217" s="104"/>
      <c r="I217" s="35"/>
      <c r="J217" s="74"/>
      <c r="K217" s="74"/>
      <c r="L217" s="74"/>
      <c r="M217" s="74"/>
      <c r="N217" s="74"/>
      <c r="O217" s="74"/>
      <c r="P217" s="74"/>
      <c r="Q217" s="74"/>
      <c r="R217" s="74"/>
      <c r="S217" s="74"/>
      <c r="T217" s="74"/>
      <c r="U217" s="74"/>
      <c r="V217" s="74"/>
      <c r="W217" s="74"/>
      <c r="X217" s="74"/>
      <c r="Y217" s="74"/>
      <c r="Z217" s="74"/>
      <c r="AA217" s="74"/>
      <c r="AB217" s="74"/>
    </row>
    <row r="218" spans="1:28" ht="12" customHeight="1">
      <c r="A218" s="763"/>
      <c r="B218" s="104"/>
      <c r="C218" s="104"/>
      <c r="D218" s="260"/>
      <c r="E218" s="104"/>
      <c r="F218" s="104"/>
      <c r="G218" s="35"/>
      <c r="H218" s="104"/>
      <c r="I218" s="35"/>
      <c r="J218" s="74"/>
      <c r="K218" s="74"/>
      <c r="L218" s="74"/>
      <c r="M218" s="74"/>
      <c r="N218" s="74"/>
      <c r="O218" s="74"/>
      <c r="P218" s="74"/>
      <c r="Q218" s="74"/>
      <c r="R218" s="74"/>
      <c r="S218" s="74"/>
      <c r="T218" s="74"/>
      <c r="U218" s="74"/>
      <c r="V218" s="74"/>
      <c r="W218" s="74"/>
      <c r="X218" s="74"/>
      <c r="Y218" s="74"/>
      <c r="Z218" s="74"/>
      <c r="AA218" s="74"/>
      <c r="AB218" s="74"/>
    </row>
    <row r="219" spans="1:28" ht="12" customHeight="1">
      <c r="A219" s="763"/>
      <c r="B219" s="104"/>
      <c r="C219" s="104"/>
      <c r="D219" s="260"/>
      <c r="E219" s="104"/>
      <c r="F219" s="104"/>
      <c r="G219" s="35"/>
      <c r="H219" s="104"/>
      <c r="I219" s="35"/>
      <c r="J219" s="74"/>
      <c r="K219" s="74"/>
      <c r="L219" s="74"/>
      <c r="M219" s="74"/>
      <c r="N219" s="74"/>
      <c r="O219" s="74"/>
      <c r="P219" s="74"/>
      <c r="Q219" s="74"/>
      <c r="R219" s="74"/>
      <c r="S219" s="74"/>
      <c r="T219" s="74"/>
      <c r="U219" s="74"/>
      <c r="V219" s="74"/>
      <c r="W219" s="74"/>
      <c r="X219" s="74"/>
      <c r="Y219" s="74"/>
      <c r="Z219" s="74"/>
      <c r="AA219" s="74"/>
      <c r="AB219" s="74"/>
    </row>
    <row r="220" spans="1:28" ht="12" customHeight="1">
      <c r="A220" s="763"/>
      <c r="B220" s="104"/>
      <c r="C220" s="104"/>
      <c r="D220" s="260"/>
      <c r="E220" s="104"/>
      <c r="F220" s="104"/>
      <c r="G220" s="35"/>
      <c r="H220" s="104"/>
      <c r="I220" s="35"/>
      <c r="J220" s="74"/>
      <c r="K220" s="74"/>
      <c r="L220" s="74"/>
      <c r="M220" s="74"/>
      <c r="N220" s="74"/>
      <c r="O220" s="74"/>
      <c r="P220" s="74"/>
      <c r="Q220" s="74"/>
      <c r="R220" s="74"/>
      <c r="S220" s="74"/>
      <c r="T220" s="74"/>
      <c r="U220" s="74"/>
      <c r="V220" s="74"/>
      <c r="W220" s="74"/>
      <c r="X220" s="74"/>
      <c r="Y220" s="74"/>
      <c r="Z220" s="74"/>
      <c r="AA220" s="74"/>
      <c r="AB220" s="74"/>
    </row>
    <row r="221" spans="1:28" ht="12" customHeight="1">
      <c r="A221" s="763"/>
      <c r="B221" s="104"/>
      <c r="C221" s="104"/>
      <c r="D221" s="260"/>
      <c r="E221" s="104"/>
      <c r="F221" s="104"/>
      <c r="G221" s="35"/>
      <c r="H221" s="104"/>
      <c r="I221" s="35"/>
      <c r="J221" s="74"/>
      <c r="K221" s="74"/>
      <c r="L221" s="74"/>
      <c r="M221" s="74"/>
      <c r="N221" s="74"/>
      <c r="O221" s="74"/>
      <c r="P221" s="74"/>
      <c r="Q221" s="74"/>
      <c r="R221" s="74"/>
      <c r="S221" s="74"/>
      <c r="T221" s="74"/>
      <c r="U221" s="74"/>
      <c r="V221" s="74"/>
      <c r="W221" s="74"/>
      <c r="X221" s="74"/>
      <c r="Y221" s="74"/>
      <c r="Z221" s="74"/>
      <c r="AA221" s="74"/>
      <c r="AB221" s="74"/>
    </row>
    <row r="222" spans="1:28" ht="12" customHeight="1">
      <c r="A222" s="763"/>
      <c r="B222" s="104"/>
      <c r="C222" s="104"/>
      <c r="D222" s="260"/>
      <c r="E222" s="104"/>
      <c r="F222" s="104"/>
      <c r="G222" s="35"/>
      <c r="H222" s="104"/>
      <c r="I222" s="35"/>
      <c r="J222" s="74"/>
      <c r="K222" s="74"/>
      <c r="L222" s="74"/>
      <c r="M222" s="74"/>
      <c r="N222" s="74"/>
      <c r="O222" s="74"/>
      <c r="P222" s="74"/>
      <c r="Q222" s="74"/>
      <c r="R222" s="74"/>
      <c r="S222" s="74"/>
      <c r="T222" s="74"/>
      <c r="U222" s="74"/>
      <c r="V222" s="74"/>
      <c r="W222" s="74"/>
      <c r="X222" s="74"/>
      <c r="Y222" s="74"/>
      <c r="Z222" s="74"/>
      <c r="AA222" s="74"/>
      <c r="AB222" s="74"/>
    </row>
    <row r="223" spans="1:28" ht="12" customHeight="1">
      <c r="A223" s="763"/>
      <c r="B223" s="104"/>
      <c r="C223" s="104"/>
      <c r="D223" s="260"/>
      <c r="E223" s="104"/>
      <c r="F223" s="104"/>
      <c r="G223" s="35"/>
      <c r="H223" s="104"/>
      <c r="I223" s="35"/>
      <c r="J223" s="74"/>
      <c r="K223" s="74"/>
      <c r="L223" s="74"/>
      <c r="M223" s="74"/>
      <c r="N223" s="74"/>
      <c r="O223" s="74"/>
      <c r="P223" s="74"/>
      <c r="Q223" s="74"/>
      <c r="R223" s="74"/>
      <c r="S223" s="74"/>
      <c r="T223" s="74"/>
      <c r="U223" s="74"/>
      <c r="V223" s="74"/>
      <c r="W223" s="74"/>
      <c r="X223" s="74"/>
      <c r="Y223" s="74"/>
      <c r="Z223" s="74"/>
      <c r="AA223" s="74"/>
      <c r="AB223" s="74"/>
    </row>
    <row r="224" spans="1:28" ht="12" customHeight="1">
      <c r="A224" s="763"/>
      <c r="B224" s="104"/>
      <c r="C224" s="104"/>
      <c r="D224" s="260"/>
      <c r="E224" s="104"/>
      <c r="F224" s="104"/>
      <c r="G224" s="35"/>
      <c r="H224" s="104"/>
      <c r="I224" s="35"/>
      <c r="J224" s="74"/>
      <c r="K224" s="74"/>
      <c r="L224" s="74"/>
      <c r="M224" s="74"/>
      <c r="N224" s="74"/>
      <c r="O224" s="74"/>
      <c r="P224" s="74"/>
      <c r="Q224" s="74"/>
      <c r="R224" s="74"/>
      <c r="S224" s="74"/>
      <c r="T224" s="74"/>
      <c r="U224" s="74"/>
      <c r="V224" s="74"/>
      <c r="W224" s="74"/>
      <c r="X224" s="74"/>
      <c r="Y224" s="74"/>
      <c r="Z224" s="74"/>
      <c r="AA224" s="74"/>
      <c r="AB224" s="74"/>
    </row>
    <row r="225" spans="1:28" ht="12" customHeight="1">
      <c r="A225" s="763"/>
      <c r="B225" s="104"/>
      <c r="C225" s="104"/>
      <c r="D225" s="260"/>
      <c r="E225" s="104"/>
      <c r="F225" s="104"/>
      <c r="G225" s="35"/>
      <c r="H225" s="104"/>
      <c r="I225" s="35"/>
      <c r="J225" s="74"/>
      <c r="K225" s="74"/>
      <c r="L225" s="74"/>
      <c r="M225" s="74"/>
      <c r="N225" s="74"/>
      <c r="O225" s="74"/>
      <c r="P225" s="74"/>
      <c r="Q225" s="74"/>
      <c r="R225" s="74"/>
      <c r="S225" s="74"/>
      <c r="T225" s="74"/>
      <c r="U225" s="74"/>
      <c r="V225" s="74"/>
      <c r="W225" s="74"/>
      <c r="X225" s="74"/>
      <c r="Y225" s="74"/>
      <c r="Z225" s="74"/>
      <c r="AA225" s="74"/>
      <c r="AB225" s="74"/>
    </row>
    <row r="226" spans="1:28" ht="12" customHeight="1">
      <c r="A226" s="763"/>
      <c r="B226" s="104"/>
      <c r="C226" s="104"/>
      <c r="D226" s="260"/>
      <c r="E226" s="104"/>
      <c r="F226" s="104"/>
      <c r="G226" s="35"/>
      <c r="H226" s="104"/>
      <c r="I226" s="35"/>
      <c r="J226" s="74"/>
      <c r="K226" s="74"/>
      <c r="L226" s="74"/>
      <c r="M226" s="74"/>
      <c r="N226" s="74"/>
      <c r="O226" s="74"/>
      <c r="P226" s="74"/>
      <c r="Q226" s="74"/>
      <c r="R226" s="74"/>
      <c r="S226" s="74"/>
      <c r="T226" s="74"/>
      <c r="U226" s="74"/>
      <c r="V226" s="74"/>
      <c r="W226" s="74"/>
      <c r="X226" s="74"/>
      <c r="Y226" s="74"/>
      <c r="Z226" s="74"/>
      <c r="AA226" s="74"/>
      <c r="AB226" s="74"/>
    </row>
    <row r="227" spans="1:28" ht="12" customHeight="1">
      <c r="A227" s="763"/>
      <c r="B227" s="104"/>
      <c r="C227" s="104"/>
      <c r="D227" s="260"/>
      <c r="E227" s="104"/>
      <c r="F227" s="104"/>
      <c r="G227" s="35"/>
      <c r="H227" s="104"/>
      <c r="I227" s="35"/>
      <c r="J227" s="74"/>
      <c r="K227" s="74"/>
      <c r="L227" s="74"/>
      <c r="M227" s="74"/>
      <c r="N227" s="74"/>
      <c r="O227" s="74"/>
      <c r="P227" s="74"/>
      <c r="Q227" s="74"/>
      <c r="R227" s="74"/>
      <c r="S227" s="74"/>
      <c r="T227" s="74"/>
      <c r="U227" s="74"/>
      <c r="V227" s="74"/>
      <c r="W227" s="74"/>
      <c r="X227" s="74"/>
      <c r="Y227" s="74"/>
      <c r="Z227" s="74"/>
      <c r="AA227" s="74"/>
      <c r="AB227" s="74"/>
    </row>
    <row r="228" spans="1:28" ht="12" customHeight="1">
      <c r="A228" s="763"/>
      <c r="B228" s="104"/>
      <c r="C228" s="104"/>
      <c r="D228" s="260"/>
      <c r="E228" s="104"/>
      <c r="F228" s="104"/>
      <c r="G228" s="35"/>
      <c r="H228" s="104"/>
      <c r="I228" s="35"/>
      <c r="J228" s="74"/>
      <c r="K228" s="74"/>
      <c r="L228" s="74"/>
      <c r="M228" s="74"/>
      <c r="N228" s="74"/>
      <c r="O228" s="74"/>
      <c r="P228" s="74"/>
      <c r="Q228" s="74"/>
      <c r="R228" s="74"/>
      <c r="S228" s="74"/>
      <c r="T228" s="74"/>
      <c r="U228" s="74"/>
      <c r="V228" s="74"/>
      <c r="W228" s="74"/>
      <c r="X228" s="74"/>
      <c r="Y228" s="74"/>
      <c r="Z228" s="74"/>
      <c r="AA228" s="74"/>
      <c r="AB228" s="74"/>
    </row>
    <row r="229" spans="1:28" ht="12" customHeight="1">
      <c r="A229" s="763"/>
      <c r="B229" s="104"/>
      <c r="C229" s="104"/>
      <c r="D229" s="260"/>
      <c r="E229" s="104"/>
      <c r="F229" s="104"/>
      <c r="G229" s="35"/>
      <c r="H229" s="104"/>
      <c r="I229" s="35"/>
      <c r="J229" s="74"/>
      <c r="K229" s="74"/>
      <c r="L229" s="74"/>
      <c r="M229" s="74"/>
      <c r="N229" s="74"/>
      <c r="O229" s="74"/>
      <c r="P229" s="74"/>
      <c r="Q229" s="74"/>
      <c r="R229" s="74"/>
      <c r="S229" s="74"/>
      <c r="T229" s="74"/>
      <c r="U229" s="74"/>
      <c r="V229" s="74"/>
      <c r="W229" s="74"/>
      <c r="X229" s="74"/>
      <c r="Y229" s="74"/>
      <c r="Z229" s="74"/>
      <c r="AA229" s="74"/>
      <c r="AB229" s="74"/>
    </row>
    <row r="230" spans="1:28" ht="12" customHeight="1">
      <c r="A230" s="763"/>
      <c r="B230" s="104"/>
      <c r="C230" s="104"/>
      <c r="D230" s="260"/>
      <c r="E230" s="104"/>
      <c r="F230" s="104"/>
      <c r="G230" s="35"/>
      <c r="H230" s="104"/>
      <c r="I230" s="35"/>
      <c r="J230" s="74"/>
      <c r="K230" s="74"/>
      <c r="L230" s="74"/>
      <c r="M230" s="74"/>
      <c r="N230" s="74"/>
      <c r="O230" s="74"/>
      <c r="P230" s="74"/>
      <c r="Q230" s="74"/>
      <c r="R230" s="74"/>
      <c r="S230" s="74"/>
      <c r="T230" s="74"/>
      <c r="U230" s="74"/>
      <c r="V230" s="74"/>
      <c r="W230" s="74"/>
      <c r="X230" s="74"/>
      <c r="Y230" s="74"/>
      <c r="Z230" s="74"/>
      <c r="AA230" s="74"/>
      <c r="AB230" s="74"/>
    </row>
    <row r="231" spans="1:28" ht="12" customHeight="1">
      <c r="A231" s="763"/>
      <c r="B231" s="104"/>
      <c r="C231" s="104"/>
      <c r="D231" s="260"/>
      <c r="E231" s="104"/>
      <c r="F231" s="104"/>
      <c r="G231" s="35"/>
      <c r="H231" s="104"/>
      <c r="I231" s="35"/>
      <c r="J231" s="74"/>
      <c r="K231" s="74"/>
      <c r="L231" s="74"/>
      <c r="M231" s="74"/>
      <c r="N231" s="74"/>
      <c r="O231" s="74"/>
      <c r="P231" s="74"/>
      <c r="Q231" s="74"/>
      <c r="R231" s="74"/>
      <c r="S231" s="74"/>
      <c r="T231" s="74"/>
      <c r="U231" s="74"/>
      <c r="V231" s="74"/>
      <c r="W231" s="74"/>
      <c r="X231" s="74"/>
      <c r="Y231" s="74"/>
      <c r="Z231" s="74"/>
      <c r="AA231" s="74"/>
      <c r="AB231" s="74"/>
    </row>
    <row r="232" spans="1:28" ht="12" customHeight="1">
      <c r="A232" s="763"/>
      <c r="B232" s="104"/>
      <c r="C232" s="104"/>
      <c r="D232" s="260"/>
      <c r="E232" s="104"/>
      <c r="F232" s="104"/>
      <c r="G232" s="35"/>
      <c r="H232" s="104"/>
      <c r="I232" s="35"/>
      <c r="J232" s="74"/>
      <c r="K232" s="74"/>
      <c r="L232" s="74"/>
      <c r="M232" s="74"/>
      <c r="N232" s="74"/>
      <c r="O232" s="74"/>
      <c r="P232" s="74"/>
      <c r="Q232" s="74"/>
      <c r="R232" s="74"/>
      <c r="S232" s="74"/>
      <c r="T232" s="74"/>
      <c r="U232" s="74"/>
      <c r="V232" s="74"/>
      <c r="W232" s="74"/>
      <c r="X232" s="74"/>
      <c r="Y232" s="74"/>
      <c r="Z232" s="74"/>
      <c r="AA232" s="74"/>
      <c r="AB232" s="74"/>
    </row>
    <row r="233" spans="1:28" ht="12" customHeight="1">
      <c r="A233" s="763"/>
      <c r="B233" s="104"/>
      <c r="C233" s="104"/>
      <c r="D233" s="260"/>
      <c r="E233" s="104"/>
      <c r="F233" s="104"/>
      <c r="G233" s="35"/>
      <c r="H233" s="104"/>
      <c r="I233" s="35"/>
      <c r="J233" s="74"/>
      <c r="K233" s="74"/>
      <c r="L233" s="74"/>
      <c r="M233" s="74"/>
      <c r="N233" s="74"/>
      <c r="O233" s="74"/>
      <c r="P233" s="74"/>
      <c r="Q233" s="74"/>
      <c r="R233" s="74"/>
      <c r="S233" s="74"/>
      <c r="T233" s="74"/>
      <c r="U233" s="74"/>
      <c r="V233" s="74"/>
      <c r="W233" s="74"/>
      <c r="X233" s="74"/>
      <c r="Y233" s="74"/>
      <c r="Z233" s="74"/>
      <c r="AA233" s="74"/>
      <c r="AB233" s="74"/>
    </row>
    <row r="234" spans="1:28" ht="12" customHeight="1">
      <c r="A234" s="763"/>
      <c r="B234" s="104"/>
      <c r="C234" s="104"/>
      <c r="D234" s="260"/>
      <c r="E234" s="104"/>
      <c r="F234" s="104"/>
      <c r="G234" s="35"/>
      <c r="H234" s="104"/>
      <c r="I234" s="35"/>
      <c r="J234" s="74"/>
      <c r="K234" s="74"/>
      <c r="L234" s="74"/>
      <c r="M234" s="74"/>
      <c r="N234" s="74"/>
      <c r="O234" s="74"/>
      <c r="P234" s="74"/>
      <c r="Q234" s="74"/>
      <c r="R234" s="74"/>
      <c r="S234" s="74"/>
      <c r="T234" s="74"/>
      <c r="U234" s="74"/>
      <c r="V234" s="74"/>
      <c r="W234" s="74"/>
      <c r="X234" s="74"/>
      <c r="Y234" s="74"/>
      <c r="Z234" s="74"/>
      <c r="AA234" s="74"/>
      <c r="AB234" s="74"/>
    </row>
    <row r="235" spans="1:28" ht="12" customHeight="1">
      <c r="A235" s="763"/>
      <c r="B235" s="104"/>
      <c r="C235" s="104"/>
      <c r="D235" s="260"/>
      <c r="E235" s="104"/>
      <c r="F235" s="104"/>
      <c r="G235" s="35"/>
      <c r="H235" s="104"/>
      <c r="I235" s="35"/>
      <c r="J235" s="74"/>
      <c r="K235" s="74"/>
      <c r="L235" s="74"/>
      <c r="M235" s="74"/>
      <c r="N235" s="74"/>
      <c r="O235" s="74"/>
      <c r="P235" s="74"/>
      <c r="Q235" s="74"/>
      <c r="R235" s="74"/>
      <c r="S235" s="74"/>
      <c r="T235" s="74"/>
      <c r="U235" s="74"/>
      <c r="V235" s="74"/>
      <c r="W235" s="74"/>
      <c r="X235" s="74"/>
      <c r="Y235" s="74"/>
      <c r="Z235" s="74"/>
      <c r="AA235" s="74"/>
      <c r="AB235" s="74"/>
    </row>
    <row r="236" spans="1:28" ht="12" customHeight="1">
      <c r="A236" s="763"/>
      <c r="B236" s="104"/>
      <c r="C236" s="104"/>
      <c r="D236" s="260"/>
      <c r="E236" s="104"/>
      <c r="F236" s="104"/>
      <c r="G236" s="35"/>
      <c r="H236" s="104"/>
      <c r="I236" s="35"/>
      <c r="J236" s="74"/>
      <c r="K236" s="74"/>
      <c r="L236" s="74"/>
      <c r="M236" s="74"/>
      <c r="N236" s="74"/>
      <c r="O236" s="74"/>
      <c r="P236" s="74"/>
      <c r="Q236" s="74"/>
      <c r="R236" s="74"/>
      <c r="S236" s="74"/>
      <c r="T236" s="74"/>
      <c r="U236" s="74"/>
      <c r="V236" s="74"/>
      <c r="W236" s="74"/>
      <c r="X236" s="74"/>
      <c r="Y236" s="74"/>
      <c r="Z236" s="74"/>
      <c r="AA236" s="74"/>
      <c r="AB236" s="74"/>
    </row>
    <row r="237" spans="1:28" ht="12" customHeight="1">
      <c r="A237" s="763"/>
      <c r="B237" s="104"/>
      <c r="C237" s="104"/>
      <c r="D237" s="260"/>
      <c r="E237" s="104"/>
      <c r="F237" s="104"/>
      <c r="G237" s="35"/>
      <c r="H237" s="104"/>
      <c r="I237" s="35"/>
      <c r="J237" s="74"/>
      <c r="K237" s="74"/>
      <c r="L237" s="74"/>
      <c r="M237" s="74"/>
      <c r="N237" s="74"/>
      <c r="O237" s="74"/>
      <c r="P237" s="74"/>
      <c r="Q237" s="74"/>
      <c r="R237" s="74"/>
      <c r="S237" s="74"/>
      <c r="T237" s="74"/>
      <c r="U237" s="74"/>
      <c r="V237" s="74"/>
      <c r="W237" s="74"/>
      <c r="X237" s="74"/>
      <c r="Y237" s="74"/>
      <c r="Z237" s="74"/>
      <c r="AA237" s="74"/>
      <c r="AB237" s="74"/>
    </row>
    <row r="238" spans="1:28" ht="12" customHeight="1">
      <c r="A238" s="763"/>
      <c r="B238" s="104"/>
      <c r="C238" s="104"/>
      <c r="D238" s="260"/>
      <c r="E238" s="104"/>
      <c r="F238" s="104"/>
      <c r="G238" s="35"/>
      <c r="H238" s="104"/>
      <c r="I238" s="35"/>
      <c r="J238" s="74"/>
      <c r="K238" s="74"/>
      <c r="L238" s="74"/>
      <c r="M238" s="74"/>
      <c r="N238" s="74"/>
      <c r="O238" s="74"/>
      <c r="P238" s="74"/>
      <c r="Q238" s="74"/>
      <c r="R238" s="74"/>
      <c r="S238" s="74"/>
      <c r="T238" s="74"/>
      <c r="U238" s="74"/>
      <c r="V238" s="74"/>
      <c r="W238" s="74"/>
      <c r="X238" s="74"/>
      <c r="Y238" s="74"/>
      <c r="Z238" s="74"/>
      <c r="AA238" s="74"/>
      <c r="AB238" s="74"/>
    </row>
    <row r="239" spans="1:28" ht="12" customHeight="1">
      <c r="A239" s="763"/>
      <c r="B239" s="104"/>
      <c r="C239" s="104"/>
      <c r="D239" s="260"/>
      <c r="E239" s="104"/>
      <c r="F239" s="104"/>
      <c r="G239" s="35"/>
      <c r="H239" s="104"/>
      <c r="I239" s="35"/>
      <c r="J239" s="74"/>
      <c r="K239" s="74"/>
      <c r="L239" s="74"/>
      <c r="M239" s="74"/>
      <c r="N239" s="74"/>
      <c r="O239" s="74"/>
      <c r="P239" s="74"/>
      <c r="Q239" s="74"/>
      <c r="R239" s="74"/>
      <c r="S239" s="74"/>
      <c r="T239" s="74"/>
      <c r="U239" s="74"/>
      <c r="V239" s="74"/>
      <c r="W239" s="74"/>
      <c r="X239" s="74"/>
      <c r="Y239" s="74"/>
      <c r="Z239" s="74"/>
      <c r="AA239" s="74"/>
      <c r="AB239" s="74"/>
    </row>
    <row r="240" spans="1:28" ht="12" customHeight="1">
      <c r="A240" s="763"/>
      <c r="B240" s="104"/>
      <c r="C240" s="104"/>
      <c r="D240" s="260"/>
      <c r="E240" s="104"/>
      <c r="F240" s="104"/>
      <c r="G240" s="35"/>
      <c r="H240" s="104"/>
      <c r="I240" s="35"/>
      <c r="J240" s="74"/>
      <c r="K240" s="74"/>
      <c r="L240" s="74"/>
      <c r="M240" s="74"/>
      <c r="N240" s="74"/>
      <c r="O240" s="74"/>
      <c r="P240" s="74"/>
      <c r="Q240" s="74"/>
      <c r="R240" s="74"/>
      <c r="S240" s="74"/>
      <c r="T240" s="74"/>
      <c r="U240" s="74"/>
      <c r="V240" s="74"/>
      <c r="W240" s="74"/>
      <c r="X240" s="74"/>
      <c r="Y240" s="74"/>
      <c r="Z240" s="74"/>
      <c r="AA240" s="74"/>
      <c r="AB240" s="74"/>
    </row>
    <row r="241" spans="1:28" ht="12" customHeight="1">
      <c r="A241" s="763"/>
      <c r="B241" s="104"/>
      <c r="C241" s="104"/>
      <c r="D241" s="260"/>
      <c r="E241" s="104"/>
      <c r="F241" s="104"/>
      <c r="G241" s="35"/>
      <c r="H241" s="104"/>
      <c r="I241" s="35"/>
      <c r="J241" s="74"/>
      <c r="K241" s="74"/>
      <c r="L241" s="74"/>
      <c r="M241" s="74"/>
      <c r="N241" s="74"/>
      <c r="O241" s="74"/>
      <c r="P241" s="74"/>
      <c r="Q241" s="74"/>
      <c r="R241" s="74"/>
      <c r="S241" s="74"/>
      <c r="T241" s="74"/>
      <c r="U241" s="74"/>
      <c r="V241" s="74"/>
      <c r="W241" s="74"/>
      <c r="X241" s="74"/>
      <c r="Y241" s="74"/>
      <c r="Z241" s="74"/>
      <c r="AA241" s="74"/>
      <c r="AB241" s="74"/>
    </row>
    <row r="242" spans="1:28" ht="12" customHeight="1">
      <c r="A242" s="763"/>
      <c r="B242" s="104"/>
      <c r="C242" s="104"/>
      <c r="D242" s="260"/>
      <c r="E242" s="104"/>
      <c r="F242" s="104"/>
      <c r="G242" s="35"/>
      <c r="H242" s="104"/>
      <c r="I242" s="35"/>
      <c r="J242" s="74"/>
      <c r="K242" s="74"/>
      <c r="L242" s="74"/>
      <c r="M242" s="74"/>
      <c r="N242" s="74"/>
      <c r="O242" s="74"/>
      <c r="P242" s="74"/>
      <c r="Q242" s="74"/>
      <c r="R242" s="74"/>
      <c r="S242" s="74"/>
      <c r="T242" s="74"/>
      <c r="U242" s="74"/>
      <c r="V242" s="74"/>
      <c r="W242" s="74"/>
      <c r="X242" s="74"/>
      <c r="Y242" s="74"/>
      <c r="Z242" s="74"/>
      <c r="AA242" s="74"/>
      <c r="AB242" s="74"/>
    </row>
    <row r="243" spans="1:28" ht="12" customHeight="1">
      <c r="A243" s="763"/>
      <c r="B243" s="104"/>
      <c r="C243" s="104"/>
      <c r="D243" s="260"/>
      <c r="E243" s="104"/>
      <c r="F243" s="104"/>
      <c r="G243" s="35"/>
      <c r="H243" s="104"/>
      <c r="I243" s="35"/>
      <c r="J243" s="74"/>
      <c r="K243" s="74"/>
      <c r="L243" s="74"/>
      <c r="M243" s="74"/>
      <c r="N243" s="74"/>
      <c r="O243" s="74"/>
      <c r="P243" s="74"/>
      <c r="Q243" s="74"/>
      <c r="R243" s="74"/>
      <c r="S243" s="74"/>
      <c r="T243" s="74"/>
      <c r="U243" s="74"/>
      <c r="V243" s="74"/>
      <c r="W243" s="74"/>
      <c r="X243" s="74"/>
      <c r="Y243" s="74"/>
      <c r="Z243" s="74"/>
      <c r="AA243" s="74"/>
      <c r="AB243" s="74"/>
    </row>
    <row r="244" spans="1:28" ht="12" customHeight="1">
      <c r="A244" s="763"/>
      <c r="B244" s="104"/>
      <c r="C244" s="104"/>
      <c r="D244" s="260"/>
      <c r="E244" s="104"/>
      <c r="F244" s="104"/>
      <c r="G244" s="35"/>
      <c r="H244" s="104"/>
      <c r="I244" s="35"/>
      <c r="J244" s="74"/>
      <c r="K244" s="74"/>
      <c r="L244" s="74"/>
      <c r="M244" s="74"/>
      <c r="N244" s="74"/>
      <c r="O244" s="74"/>
      <c r="P244" s="74"/>
      <c r="Q244" s="74"/>
      <c r="R244" s="74"/>
      <c r="S244" s="74"/>
      <c r="T244" s="74"/>
      <c r="U244" s="74"/>
      <c r="V244" s="74"/>
      <c r="W244" s="74"/>
      <c r="X244" s="74"/>
      <c r="Y244" s="74"/>
      <c r="Z244" s="74"/>
      <c r="AA244" s="74"/>
      <c r="AB244" s="74"/>
    </row>
    <row r="245" spans="1:28" ht="12" customHeight="1">
      <c r="A245" s="763"/>
      <c r="B245" s="104"/>
      <c r="C245" s="104"/>
      <c r="D245" s="260"/>
      <c r="E245" s="104"/>
      <c r="F245" s="104"/>
      <c r="G245" s="35"/>
      <c r="H245" s="104"/>
      <c r="I245" s="35"/>
      <c r="J245" s="74"/>
      <c r="K245" s="74"/>
      <c r="L245" s="74"/>
      <c r="M245" s="74"/>
      <c r="N245" s="74"/>
      <c r="O245" s="74"/>
      <c r="P245" s="74"/>
      <c r="Q245" s="74"/>
      <c r="R245" s="74"/>
      <c r="S245" s="74"/>
      <c r="T245" s="74"/>
      <c r="U245" s="74"/>
      <c r="V245" s="74"/>
      <c r="W245" s="74"/>
      <c r="X245" s="74"/>
      <c r="Y245" s="74"/>
      <c r="Z245" s="74"/>
      <c r="AA245" s="74"/>
      <c r="AB245" s="74"/>
    </row>
    <row r="246" spans="1:28" ht="12" customHeight="1">
      <c r="A246" s="763"/>
      <c r="B246" s="104"/>
      <c r="C246" s="104"/>
      <c r="D246" s="260"/>
      <c r="E246" s="104"/>
      <c r="F246" s="104"/>
      <c r="G246" s="35"/>
      <c r="H246" s="104"/>
      <c r="I246" s="35"/>
      <c r="J246" s="74"/>
      <c r="K246" s="74"/>
      <c r="L246" s="74"/>
      <c r="M246" s="74"/>
      <c r="N246" s="74"/>
      <c r="O246" s="74"/>
      <c r="P246" s="74"/>
      <c r="Q246" s="74"/>
      <c r="R246" s="74"/>
      <c r="S246" s="74"/>
      <c r="T246" s="74"/>
      <c r="U246" s="74"/>
      <c r="V246" s="74"/>
      <c r="W246" s="74"/>
      <c r="X246" s="74"/>
      <c r="Y246" s="74"/>
      <c r="Z246" s="74"/>
      <c r="AA246" s="74"/>
      <c r="AB246" s="74"/>
    </row>
    <row r="247" spans="1:28" ht="12" customHeight="1">
      <c r="A247" s="763"/>
      <c r="B247" s="104"/>
      <c r="C247" s="104"/>
      <c r="D247" s="260"/>
      <c r="E247" s="104"/>
      <c r="F247" s="104"/>
      <c r="G247" s="35"/>
      <c r="H247" s="104"/>
      <c r="I247" s="35"/>
      <c r="J247" s="74"/>
      <c r="K247" s="74"/>
      <c r="L247" s="74"/>
      <c r="M247" s="74"/>
      <c r="N247" s="74"/>
      <c r="O247" s="74"/>
      <c r="P247" s="74"/>
      <c r="Q247" s="74"/>
      <c r="R247" s="74"/>
      <c r="S247" s="74"/>
      <c r="T247" s="74"/>
      <c r="U247" s="74"/>
      <c r="V247" s="74"/>
      <c r="W247" s="74"/>
      <c r="X247" s="74"/>
      <c r="Y247" s="74"/>
      <c r="Z247" s="74"/>
      <c r="AA247" s="74"/>
      <c r="AB247" s="74"/>
    </row>
    <row r="248" spans="1:28" ht="12" customHeight="1">
      <c r="A248" s="763"/>
      <c r="B248" s="104"/>
      <c r="C248" s="104"/>
      <c r="D248" s="260"/>
      <c r="E248" s="104"/>
      <c r="F248" s="104"/>
      <c r="G248" s="35"/>
      <c r="H248" s="104"/>
      <c r="I248" s="35"/>
      <c r="J248" s="74"/>
      <c r="K248" s="74"/>
      <c r="L248" s="74"/>
      <c r="M248" s="74"/>
      <c r="N248" s="74"/>
      <c r="O248" s="74"/>
      <c r="P248" s="74"/>
      <c r="Q248" s="74"/>
      <c r="R248" s="74"/>
      <c r="S248" s="74"/>
      <c r="T248" s="74"/>
      <c r="U248" s="74"/>
      <c r="V248" s="74"/>
      <c r="W248" s="74"/>
      <c r="X248" s="74"/>
      <c r="Y248" s="74"/>
      <c r="Z248" s="74"/>
      <c r="AA248" s="74"/>
      <c r="AB248" s="74"/>
    </row>
    <row r="249" spans="1:28" ht="12" customHeight="1">
      <c r="A249" s="763"/>
      <c r="B249" s="104"/>
      <c r="C249" s="104"/>
      <c r="D249" s="260"/>
      <c r="E249" s="104"/>
      <c r="F249" s="104"/>
      <c r="G249" s="35"/>
      <c r="H249" s="104"/>
      <c r="I249" s="35"/>
      <c r="J249" s="74"/>
      <c r="K249" s="74"/>
      <c r="L249" s="74"/>
      <c r="M249" s="74"/>
      <c r="N249" s="74"/>
      <c r="O249" s="74"/>
      <c r="P249" s="74"/>
      <c r="Q249" s="74"/>
      <c r="R249" s="74"/>
      <c r="S249" s="74"/>
      <c r="T249" s="74"/>
      <c r="U249" s="74"/>
      <c r="V249" s="74"/>
      <c r="W249" s="74"/>
      <c r="X249" s="74"/>
      <c r="Y249" s="74"/>
      <c r="Z249" s="74"/>
      <c r="AA249" s="74"/>
      <c r="AB249" s="74"/>
    </row>
    <row r="250" spans="1:28" ht="12" customHeight="1">
      <c r="A250" s="763"/>
      <c r="B250" s="104"/>
      <c r="C250" s="104"/>
      <c r="D250" s="260"/>
      <c r="E250" s="104"/>
      <c r="F250" s="104"/>
      <c r="G250" s="35"/>
      <c r="H250" s="104"/>
      <c r="I250" s="35"/>
      <c r="J250" s="74"/>
      <c r="K250" s="74"/>
      <c r="L250" s="74"/>
      <c r="M250" s="74"/>
      <c r="N250" s="74"/>
      <c r="O250" s="74"/>
      <c r="P250" s="74"/>
      <c r="Q250" s="74"/>
      <c r="R250" s="74"/>
      <c r="S250" s="74"/>
      <c r="T250" s="74"/>
      <c r="U250" s="74"/>
      <c r="V250" s="74"/>
      <c r="W250" s="74"/>
      <c r="X250" s="74"/>
      <c r="Y250" s="74"/>
      <c r="Z250" s="74"/>
      <c r="AA250" s="74"/>
      <c r="AB250" s="74"/>
    </row>
    <row r="251" spans="1:28" ht="12" customHeight="1">
      <c r="A251" s="763"/>
      <c r="B251" s="104"/>
      <c r="C251" s="104"/>
      <c r="D251" s="260"/>
      <c r="E251" s="104"/>
      <c r="F251" s="104"/>
      <c r="G251" s="35"/>
      <c r="H251" s="104"/>
      <c r="I251" s="35"/>
      <c r="J251" s="74"/>
      <c r="K251" s="74"/>
      <c r="L251" s="74"/>
      <c r="M251" s="74"/>
      <c r="N251" s="74"/>
      <c r="O251" s="74"/>
      <c r="P251" s="74"/>
      <c r="Q251" s="74"/>
      <c r="R251" s="74"/>
      <c r="S251" s="74"/>
      <c r="T251" s="74"/>
      <c r="U251" s="74"/>
      <c r="V251" s="74"/>
      <c r="W251" s="74"/>
      <c r="X251" s="74"/>
      <c r="Y251" s="74"/>
      <c r="Z251" s="74"/>
      <c r="AA251" s="74"/>
      <c r="AB251" s="74"/>
    </row>
    <row r="252" spans="1:28" ht="12" customHeight="1">
      <c r="A252" s="763"/>
      <c r="B252" s="104"/>
      <c r="C252" s="104"/>
      <c r="D252" s="260"/>
      <c r="E252" s="104"/>
      <c r="F252" s="104"/>
      <c r="G252" s="35"/>
      <c r="H252" s="104"/>
      <c r="I252" s="35"/>
      <c r="J252" s="74"/>
      <c r="K252" s="74"/>
      <c r="L252" s="74"/>
      <c r="M252" s="74"/>
      <c r="N252" s="74"/>
      <c r="O252" s="74"/>
      <c r="P252" s="74"/>
      <c r="Q252" s="74"/>
      <c r="R252" s="74"/>
      <c r="S252" s="74"/>
      <c r="T252" s="74"/>
      <c r="U252" s="74"/>
      <c r="V252" s="74"/>
      <c r="W252" s="74"/>
      <c r="X252" s="74"/>
      <c r="Y252" s="74"/>
      <c r="Z252" s="74"/>
      <c r="AA252" s="74"/>
      <c r="AB252" s="74"/>
    </row>
    <row r="253" spans="1:28" ht="12" customHeight="1">
      <c r="A253" s="763"/>
      <c r="B253" s="104"/>
      <c r="C253" s="104"/>
      <c r="D253" s="260"/>
      <c r="E253" s="104"/>
      <c r="F253" s="104"/>
      <c r="G253" s="35"/>
      <c r="H253" s="104"/>
      <c r="I253" s="35"/>
      <c r="J253" s="74"/>
      <c r="K253" s="74"/>
      <c r="L253" s="74"/>
      <c r="M253" s="74"/>
      <c r="N253" s="74"/>
      <c r="O253" s="74"/>
      <c r="P253" s="74"/>
      <c r="Q253" s="74"/>
      <c r="R253" s="74"/>
      <c r="S253" s="74"/>
      <c r="T253" s="74"/>
      <c r="U253" s="74"/>
      <c r="V253" s="74"/>
      <c r="W253" s="74"/>
      <c r="X253" s="74"/>
      <c r="Y253" s="74"/>
      <c r="Z253" s="74"/>
      <c r="AA253" s="74"/>
      <c r="AB253" s="74"/>
    </row>
    <row r="254" spans="1:28" ht="12" customHeight="1">
      <c r="A254" s="763"/>
      <c r="B254" s="104"/>
      <c r="C254" s="104"/>
      <c r="D254" s="260"/>
      <c r="E254" s="104"/>
      <c r="F254" s="104"/>
      <c r="G254" s="35"/>
      <c r="H254" s="104"/>
      <c r="I254" s="35"/>
      <c r="J254" s="74"/>
      <c r="K254" s="74"/>
      <c r="L254" s="74"/>
      <c r="M254" s="74"/>
      <c r="N254" s="74"/>
      <c r="O254" s="74"/>
      <c r="P254" s="74"/>
      <c r="Q254" s="74"/>
      <c r="R254" s="74"/>
      <c r="S254" s="74"/>
      <c r="T254" s="74"/>
      <c r="U254" s="74"/>
      <c r="V254" s="74"/>
      <c r="W254" s="74"/>
      <c r="X254" s="74"/>
      <c r="Y254" s="74"/>
      <c r="Z254" s="74"/>
      <c r="AA254" s="74"/>
      <c r="AB254" s="74"/>
    </row>
    <row r="255" spans="1:28" ht="12" customHeight="1">
      <c r="A255" s="763"/>
      <c r="B255" s="104"/>
      <c r="C255" s="104"/>
      <c r="D255" s="260"/>
      <c r="E255" s="104"/>
      <c r="F255" s="104"/>
      <c r="G255" s="35"/>
      <c r="H255" s="104"/>
      <c r="I255" s="35"/>
      <c r="J255" s="74"/>
      <c r="K255" s="74"/>
      <c r="L255" s="74"/>
      <c r="M255" s="74"/>
      <c r="N255" s="74"/>
      <c r="O255" s="74"/>
      <c r="P255" s="74"/>
      <c r="Q255" s="74"/>
      <c r="R255" s="74"/>
      <c r="S255" s="74"/>
      <c r="T255" s="74"/>
      <c r="U255" s="74"/>
      <c r="V255" s="74"/>
      <c r="W255" s="74"/>
      <c r="X255" s="74"/>
      <c r="Y255" s="74"/>
      <c r="Z255" s="74"/>
      <c r="AA255" s="74"/>
      <c r="AB255" s="74"/>
    </row>
    <row r="256" spans="1:28" ht="12" customHeight="1">
      <c r="A256" s="763"/>
      <c r="B256" s="104"/>
      <c r="C256" s="104"/>
      <c r="D256" s="260"/>
      <c r="E256" s="104"/>
      <c r="F256" s="104"/>
      <c r="G256" s="35"/>
      <c r="H256" s="104"/>
      <c r="I256" s="35"/>
      <c r="J256" s="74"/>
      <c r="K256" s="74"/>
      <c r="L256" s="74"/>
      <c r="M256" s="74"/>
      <c r="N256" s="74"/>
      <c r="O256" s="74"/>
      <c r="P256" s="74"/>
      <c r="Q256" s="74"/>
      <c r="R256" s="74"/>
      <c r="S256" s="74"/>
      <c r="T256" s="74"/>
      <c r="U256" s="74"/>
      <c r="V256" s="74"/>
      <c r="W256" s="74"/>
      <c r="X256" s="74"/>
      <c r="Y256" s="74"/>
      <c r="Z256" s="74"/>
      <c r="AA256" s="74"/>
      <c r="AB256" s="74"/>
    </row>
    <row r="257" spans="1:28" ht="12" customHeight="1">
      <c r="A257" s="763"/>
      <c r="B257" s="104"/>
      <c r="C257" s="104"/>
      <c r="D257" s="260"/>
      <c r="E257" s="104"/>
      <c r="F257" s="104"/>
      <c r="G257" s="35"/>
      <c r="H257" s="104"/>
      <c r="I257" s="35"/>
      <c r="J257" s="74"/>
      <c r="K257" s="74"/>
      <c r="L257" s="74"/>
      <c r="M257" s="74"/>
      <c r="N257" s="74"/>
      <c r="O257" s="74"/>
      <c r="P257" s="74"/>
      <c r="Q257" s="74"/>
      <c r="R257" s="74"/>
      <c r="S257" s="74"/>
      <c r="T257" s="74"/>
      <c r="U257" s="74"/>
      <c r="V257" s="74"/>
      <c r="W257" s="74"/>
      <c r="X257" s="74"/>
      <c r="Y257" s="74"/>
      <c r="Z257" s="74"/>
      <c r="AA257" s="74"/>
      <c r="AB257" s="74"/>
    </row>
    <row r="258" spans="1:28" ht="12" customHeight="1">
      <c r="A258" s="763"/>
      <c r="B258" s="104"/>
      <c r="C258" s="104"/>
      <c r="D258" s="260"/>
      <c r="E258" s="104"/>
      <c r="F258" s="104"/>
      <c r="G258" s="35"/>
      <c r="H258" s="104"/>
      <c r="I258" s="35"/>
      <c r="J258" s="74"/>
      <c r="K258" s="74"/>
      <c r="L258" s="74"/>
      <c r="M258" s="74"/>
      <c r="N258" s="74"/>
      <c r="O258" s="74"/>
      <c r="P258" s="74"/>
      <c r="Q258" s="74"/>
      <c r="R258" s="74"/>
      <c r="S258" s="74"/>
      <c r="T258" s="74"/>
      <c r="U258" s="74"/>
      <c r="V258" s="74"/>
      <c r="W258" s="74"/>
      <c r="X258" s="74"/>
      <c r="Y258" s="74"/>
      <c r="Z258" s="74"/>
      <c r="AA258" s="74"/>
      <c r="AB258" s="74"/>
    </row>
    <row r="259" spans="1:28" ht="12" customHeight="1">
      <c r="A259" s="763"/>
      <c r="B259" s="104"/>
      <c r="C259" s="104"/>
      <c r="D259" s="260"/>
      <c r="E259" s="104"/>
      <c r="F259" s="104"/>
      <c r="G259" s="35"/>
      <c r="H259" s="104"/>
      <c r="I259" s="35"/>
      <c r="J259" s="74"/>
      <c r="K259" s="74"/>
      <c r="L259" s="74"/>
      <c r="M259" s="74"/>
      <c r="N259" s="74"/>
      <c r="O259" s="74"/>
      <c r="P259" s="74"/>
      <c r="Q259" s="74"/>
      <c r="R259" s="74"/>
      <c r="S259" s="74"/>
      <c r="T259" s="74"/>
      <c r="U259" s="74"/>
      <c r="V259" s="74"/>
      <c r="W259" s="74"/>
      <c r="X259" s="74"/>
      <c r="Y259" s="74"/>
      <c r="Z259" s="74"/>
      <c r="AA259" s="74"/>
      <c r="AB259" s="74"/>
    </row>
    <row r="260" spans="1:28" ht="12" customHeight="1">
      <c r="A260" s="763"/>
      <c r="B260" s="104"/>
      <c r="C260" s="104"/>
      <c r="D260" s="260"/>
      <c r="E260" s="104"/>
      <c r="F260" s="104"/>
      <c r="G260" s="35"/>
      <c r="H260" s="104"/>
      <c r="I260" s="35"/>
      <c r="J260" s="74"/>
      <c r="K260" s="74"/>
      <c r="L260" s="74"/>
      <c r="M260" s="74"/>
      <c r="N260" s="74"/>
      <c r="O260" s="74"/>
      <c r="P260" s="74"/>
      <c r="Q260" s="74"/>
      <c r="R260" s="74"/>
      <c r="S260" s="74"/>
      <c r="T260" s="74"/>
      <c r="U260" s="74"/>
      <c r="V260" s="74"/>
      <c r="W260" s="74"/>
      <c r="X260" s="74"/>
      <c r="Y260" s="74"/>
      <c r="Z260" s="74"/>
      <c r="AA260" s="74"/>
      <c r="AB260" s="74"/>
    </row>
    <row r="261" spans="1:28" ht="12" customHeight="1">
      <c r="A261" s="763"/>
      <c r="B261" s="104"/>
      <c r="C261" s="104"/>
      <c r="D261" s="260"/>
      <c r="E261" s="104"/>
      <c r="F261" s="104"/>
      <c r="G261" s="35"/>
      <c r="H261" s="104"/>
      <c r="I261" s="35"/>
      <c r="J261" s="74"/>
      <c r="K261" s="74"/>
      <c r="L261" s="74"/>
      <c r="M261" s="74"/>
      <c r="N261" s="74"/>
      <c r="O261" s="74"/>
      <c r="P261" s="74"/>
      <c r="Q261" s="74"/>
      <c r="R261" s="74"/>
      <c r="S261" s="74"/>
      <c r="T261" s="74"/>
      <c r="U261" s="74"/>
      <c r="V261" s="74"/>
      <c r="W261" s="74"/>
      <c r="X261" s="74"/>
      <c r="Y261" s="74"/>
      <c r="Z261" s="74"/>
      <c r="AA261" s="74"/>
      <c r="AB261" s="74"/>
    </row>
    <row r="262" spans="1:28" ht="12" customHeight="1">
      <c r="A262" s="763"/>
      <c r="B262" s="104"/>
      <c r="C262" s="104"/>
      <c r="D262" s="260"/>
      <c r="E262" s="104"/>
      <c r="F262" s="104"/>
      <c r="G262" s="35"/>
      <c r="H262" s="104"/>
      <c r="I262" s="35"/>
      <c r="J262" s="74"/>
      <c r="K262" s="74"/>
      <c r="L262" s="74"/>
      <c r="M262" s="74"/>
      <c r="N262" s="74"/>
      <c r="O262" s="74"/>
      <c r="P262" s="74"/>
      <c r="Q262" s="74"/>
      <c r="R262" s="74"/>
      <c r="S262" s="74"/>
      <c r="T262" s="74"/>
      <c r="U262" s="74"/>
      <c r="V262" s="74"/>
      <c r="W262" s="74"/>
      <c r="X262" s="74"/>
      <c r="Y262" s="74"/>
      <c r="Z262" s="74"/>
      <c r="AA262" s="74"/>
      <c r="AB262" s="74"/>
    </row>
    <row r="263" spans="1:28" ht="12" customHeight="1">
      <c r="A263" s="763"/>
      <c r="B263" s="104"/>
      <c r="C263" s="104"/>
      <c r="D263" s="260"/>
      <c r="E263" s="104"/>
      <c r="F263" s="104"/>
      <c r="G263" s="35"/>
      <c r="H263" s="104"/>
      <c r="I263" s="35"/>
      <c r="J263" s="74"/>
      <c r="K263" s="74"/>
      <c r="L263" s="74"/>
      <c r="M263" s="74"/>
      <c r="N263" s="74"/>
      <c r="O263" s="74"/>
      <c r="P263" s="74"/>
      <c r="Q263" s="74"/>
      <c r="R263" s="74"/>
      <c r="S263" s="74"/>
      <c r="T263" s="74"/>
      <c r="U263" s="74"/>
      <c r="V263" s="74"/>
      <c r="W263" s="74"/>
      <c r="X263" s="74"/>
      <c r="Y263" s="74"/>
      <c r="Z263" s="74"/>
      <c r="AA263" s="74"/>
      <c r="AB263" s="74"/>
    </row>
    <row r="264" spans="1:28" ht="12" customHeight="1">
      <c r="A264" s="763"/>
      <c r="B264" s="104"/>
      <c r="C264" s="104"/>
      <c r="D264" s="260"/>
      <c r="E264" s="104"/>
      <c r="F264" s="104"/>
      <c r="G264" s="35"/>
      <c r="H264" s="104"/>
      <c r="I264" s="35"/>
      <c r="J264" s="74"/>
      <c r="K264" s="74"/>
      <c r="L264" s="74"/>
      <c r="M264" s="74"/>
      <c r="N264" s="74"/>
      <c r="O264" s="74"/>
      <c r="P264" s="74"/>
      <c r="Q264" s="74"/>
      <c r="R264" s="74"/>
      <c r="S264" s="74"/>
      <c r="T264" s="74"/>
      <c r="U264" s="74"/>
      <c r="V264" s="74"/>
      <c r="W264" s="74"/>
      <c r="X264" s="74"/>
      <c r="Y264" s="74"/>
      <c r="Z264" s="74"/>
      <c r="AA264" s="74"/>
      <c r="AB264" s="74"/>
    </row>
    <row r="265" spans="1:28" ht="12" customHeight="1">
      <c r="A265" s="763"/>
      <c r="B265" s="104"/>
      <c r="C265" s="104"/>
      <c r="D265" s="260"/>
      <c r="E265" s="104"/>
      <c r="F265" s="104"/>
      <c r="G265" s="35"/>
      <c r="H265" s="104"/>
      <c r="I265" s="35"/>
      <c r="J265" s="74"/>
      <c r="K265" s="74"/>
      <c r="L265" s="74"/>
      <c r="M265" s="74"/>
      <c r="N265" s="74"/>
      <c r="O265" s="74"/>
      <c r="P265" s="74"/>
      <c r="Q265" s="74"/>
      <c r="R265" s="74"/>
      <c r="S265" s="74"/>
      <c r="T265" s="74"/>
      <c r="U265" s="74"/>
      <c r="V265" s="74"/>
      <c r="W265" s="74"/>
      <c r="X265" s="74"/>
      <c r="Y265" s="74"/>
      <c r="Z265" s="74"/>
      <c r="AA265" s="74"/>
      <c r="AB265" s="74"/>
    </row>
    <row r="266" spans="1:28" ht="12" customHeight="1">
      <c r="A266" s="763"/>
      <c r="B266" s="104"/>
      <c r="C266" s="104"/>
      <c r="D266" s="260"/>
      <c r="E266" s="104"/>
      <c r="F266" s="104"/>
      <c r="G266" s="35"/>
      <c r="H266" s="104"/>
      <c r="I266" s="35"/>
      <c r="J266" s="74"/>
      <c r="K266" s="74"/>
      <c r="L266" s="74"/>
      <c r="M266" s="74"/>
      <c r="N266" s="74"/>
      <c r="O266" s="74"/>
      <c r="P266" s="74"/>
      <c r="Q266" s="74"/>
      <c r="R266" s="74"/>
      <c r="S266" s="74"/>
      <c r="T266" s="74"/>
      <c r="U266" s="74"/>
      <c r="V266" s="74"/>
      <c r="W266" s="74"/>
      <c r="X266" s="74"/>
      <c r="Y266" s="74"/>
      <c r="Z266" s="74"/>
      <c r="AA266" s="74"/>
      <c r="AB266" s="74"/>
    </row>
    <row r="267" spans="1:28" ht="12" customHeight="1">
      <c r="A267" s="763"/>
      <c r="B267" s="104"/>
      <c r="C267" s="104"/>
      <c r="D267" s="260"/>
      <c r="E267" s="104"/>
      <c r="F267" s="104"/>
      <c r="G267" s="35"/>
      <c r="H267" s="104"/>
      <c r="I267" s="35"/>
      <c r="J267" s="74"/>
      <c r="K267" s="74"/>
      <c r="L267" s="74"/>
      <c r="M267" s="74"/>
      <c r="N267" s="74"/>
      <c r="O267" s="74"/>
      <c r="P267" s="74"/>
      <c r="Q267" s="74"/>
      <c r="R267" s="74"/>
      <c r="S267" s="74"/>
      <c r="T267" s="74"/>
      <c r="U267" s="74"/>
      <c r="V267" s="74"/>
      <c r="W267" s="74"/>
      <c r="X267" s="74"/>
      <c r="Y267" s="74"/>
      <c r="Z267" s="74"/>
      <c r="AA267" s="74"/>
      <c r="AB267" s="74"/>
    </row>
    <row r="268" spans="1:28" ht="12" customHeight="1">
      <c r="A268" s="763"/>
      <c r="B268" s="104"/>
      <c r="C268" s="104"/>
      <c r="D268" s="260"/>
      <c r="E268" s="104"/>
      <c r="F268" s="104"/>
      <c r="G268" s="35"/>
      <c r="H268" s="104"/>
      <c r="I268" s="35"/>
      <c r="J268" s="74"/>
      <c r="K268" s="74"/>
      <c r="L268" s="74"/>
      <c r="M268" s="74"/>
      <c r="N268" s="74"/>
      <c r="O268" s="74"/>
      <c r="P268" s="74"/>
      <c r="Q268" s="74"/>
      <c r="R268" s="74"/>
      <c r="S268" s="74"/>
      <c r="T268" s="74"/>
      <c r="U268" s="74"/>
      <c r="V268" s="74"/>
      <c r="W268" s="74"/>
      <c r="X268" s="74"/>
      <c r="Y268" s="74"/>
      <c r="Z268" s="74"/>
      <c r="AA268" s="74"/>
      <c r="AB268" s="74"/>
    </row>
    <row r="269" spans="1:28" ht="12" customHeight="1">
      <c r="A269" s="763"/>
      <c r="B269" s="104"/>
      <c r="C269" s="104"/>
      <c r="D269" s="260"/>
      <c r="E269" s="104"/>
      <c r="F269" s="104"/>
      <c r="G269" s="35"/>
      <c r="H269" s="104"/>
      <c r="I269" s="35"/>
      <c r="J269" s="74"/>
      <c r="K269" s="74"/>
      <c r="L269" s="74"/>
      <c r="M269" s="74"/>
      <c r="N269" s="74"/>
      <c r="O269" s="74"/>
      <c r="P269" s="74"/>
      <c r="Q269" s="74"/>
      <c r="R269" s="74"/>
      <c r="S269" s="74"/>
      <c r="T269" s="74"/>
      <c r="U269" s="74"/>
      <c r="V269" s="74"/>
      <c r="W269" s="74"/>
      <c r="X269" s="74"/>
      <c r="Y269" s="74"/>
      <c r="Z269" s="74"/>
      <c r="AA269" s="74"/>
      <c r="AB269" s="74"/>
    </row>
    <row r="270" spans="1:28" ht="12" customHeight="1">
      <c r="A270" s="763"/>
      <c r="B270" s="104"/>
      <c r="C270" s="104"/>
      <c r="D270" s="260"/>
      <c r="E270" s="104"/>
      <c r="F270" s="104"/>
      <c r="G270" s="35"/>
      <c r="H270" s="104"/>
      <c r="I270" s="35"/>
      <c r="J270" s="74"/>
      <c r="K270" s="74"/>
      <c r="L270" s="74"/>
      <c r="M270" s="74"/>
      <c r="N270" s="74"/>
      <c r="O270" s="74"/>
      <c r="P270" s="74"/>
      <c r="Q270" s="74"/>
      <c r="R270" s="74"/>
      <c r="S270" s="74"/>
      <c r="T270" s="74"/>
      <c r="U270" s="74"/>
      <c r="V270" s="74"/>
      <c r="W270" s="74"/>
      <c r="X270" s="74"/>
      <c r="Y270" s="74"/>
      <c r="Z270" s="74"/>
      <c r="AA270" s="74"/>
      <c r="AB270" s="74"/>
    </row>
    <row r="271" spans="1:28" ht="12" customHeight="1">
      <c r="A271" s="763"/>
      <c r="B271" s="104"/>
      <c r="C271" s="104"/>
      <c r="D271" s="260"/>
      <c r="E271" s="104"/>
      <c r="F271" s="104"/>
      <c r="G271" s="35"/>
      <c r="H271" s="104"/>
      <c r="I271" s="35"/>
      <c r="J271" s="74"/>
      <c r="K271" s="74"/>
      <c r="L271" s="74"/>
      <c r="M271" s="74"/>
      <c r="N271" s="74"/>
      <c r="O271" s="74"/>
      <c r="P271" s="74"/>
      <c r="Q271" s="74"/>
      <c r="R271" s="74"/>
      <c r="S271" s="74"/>
      <c r="T271" s="74"/>
      <c r="U271" s="74"/>
      <c r="V271" s="74"/>
      <c r="W271" s="74"/>
      <c r="X271" s="74"/>
      <c r="Y271" s="74"/>
      <c r="Z271" s="74"/>
      <c r="AA271" s="74"/>
      <c r="AB271" s="74"/>
    </row>
    <row r="272" spans="1:28" ht="12" customHeight="1">
      <c r="A272" s="763"/>
      <c r="B272" s="104"/>
      <c r="C272" s="104"/>
      <c r="D272" s="260"/>
      <c r="E272" s="104"/>
      <c r="F272" s="104"/>
      <c r="G272" s="35"/>
      <c r="H272" s="104"/>
      <c r="I272" s="35"/>
      <c r="J272" s="74"/>
      <c r="K272" s="74"/>
      <c r="L272" s="74"/>
      <c r="M272" s="74"/>
      <c r="N272" s="74"/>
      <c r="O272" s="74"/>
      <c r="P272" s="74"/>
      <c r="Q272" s="74"/>
      <c r="R272" s="74"/>
      <c r="S272" s="74"/>
      <c r="T272" s="74"/>
      <c r="U272" s="74"/>
      <c r="V272" s="74"/>
      <c r="W272" s="74"/>
      <c r="X272" s="74"/>
      <c r="Y272" s="74"/>
      <c r="Z272" s="74"/>
      <c r="AA272" s="74"/>
      <c r="AB272" s="74"/>
    </row>
    <row r="273" spans="1:28" ht="12" customHeight="1">
      <c r="A273" s="763"/>
      <c r="B273" s="104"/>
      <c r="C273" s="104"/>
      <c r="D273" s="260"/>
      <c r="E273" s="104"/>
      <c r="F273" s="104"/>
      <c r="G273" s="35"/>
      <c r="H273" s="104"/>
      <c r="I273" s="35"/>
      <c r="J273" s="74"/>
      <c r="K273" s="74"/>
      <c r="L273" s="74"/>
      <c r="M273" s="74"/>
      <c r="N273" s="74"/>
      <c r="O273" s="74"/>
      <c r="P273" s="74"/>
      <c r="Q273" s="74"/>
      <c r="R273" s="74"/>
      <c r="S273" s="74"/>
      <c r="T273" s="74"/>
      <c r="U273" s="74"/>
      <c r="V273" s="74"/>
      <c r="W273" s="74"/>
      <c r="X273" s="74"/>
      <c r="Y273" s="74"/>
      <c r="Z273" s="74"/>
      <c r="AA273" s="74"/>
      <c r="AB273" s="74"/>
    </row>
    <row r="274" spans="1:28" ht="12" customHeight="1">
      <c r="A274" s="763"/>
      <c r="B274" s="104"/>
      <c r="C274" s="104"/>
      <c r="D274" s="260"/>
      <c r="E274" s="104"/>
      <c r="F274" s="104"/>
      <c r="G274" s="35"/>
      <c r="H274" s="104"/>
      <c r="I274" s="35"/>
      <c r="J274" s="74"/>
      <c r="K274" s="74"/>
      <c r="L274" s="74"/>
      <c r="M274" s="74"/>
      <c r="N274" s="74"/>
      <c r="O274" s="74"/>
      <c r="P274" s="74"/>
      <c r="Q274" s="74"/>
      <c r="R274" s="74"/>
      <c r="S274" s="74"/>
      <c r="T274" s="74"/>
      <c r="U274" s="74"/>
      <c r="V274" s="74"/>
      <c r="W274" s="74"/>
      <c r="X274" s="74"/>
      <c r="Y274" s="74"/>
      <c r="Z274" s="74"/>
      <c r="AA274" s="74"/>
      <c r="AB274" s="74"/>
    </row>
    <row r="275" spans="1:28" ht="12" customHeight="1">
      <c r="A275" s="763"/>
      <c r="B275" s="104"/>
      <c r="C275" s="104"/>
      <c r="D275" s="260"/>
      <c r="E275" s="104"/>
      <c r="F275" s="104"/>
      <c r="G275" s="35"/>
      <c r="H275" s="104"/>
      <c r="I275" s="35"/>
      <c r="J275" s="74"/>
      <c r="K275" s="74"/>
      <c r="L275" s="74"/>
      <c r="M275" s="74"/>
      <c r="N275" s="74"/>
      <c r="O275" s="74"/>
      <c r="P275" s="74"/>
      <c r="Q275" s="74"/>
      <c r="R275" s="74"/>
      <c r="S275" s="74"/>
      <c r="T275" s="74"/>
      <c r="U275" s="74"/>
      <c r="V275" s="74"/>
      <c r="W275" s="74"/>
      <c r="X275" s="74"/>
      <c r="Y275" s="74"/>
      <c r="Z275" s="74"/>
      <c r="AA275" s="74"/>
      <c r="AB275" s="74"/>
    </row>
    <row r="276" spans="1:28" ht="12" customHeight="1">
      <c r="A276" s="763"/>
      <c r="B276" s="104"/>
      <c r="C276" s="104"/>
      <c r="D276" s="260"/>
      <c r="E276" s="104"/>
      <c r="F276" s="104"/>
      <c r="G276" s="35"/>
      <c r="H276" s="104"/>
      <c r="I276" s="35"/>
      <c r="J276" s="74"/>
      <c r="K276" s="74"/>
      <c r="L276" s="74"/>
      <c r="M276" s="74"/>
      <c r="N276" s="74"/>
      <c r="O276" s="74"/>
      <c r="P276" s="74"/>
      <c r="Q276" s="74"/>
      <c r="R276" s="74"/>
      <c r="S276" s="74"/>
      <c r="T276" s="74"/>
      <c r="U276" s="74"/>
      <c r="V276" s="74"/>
      <c r="W276" s="74"/>
      <c r="X276" s="74"/>
      <c r="Y276" s="74"/>
      <c r="Z276" s="74"/>
      <c r="AA276" s="74"/>
      <c r="AB276" s="74"/>
    </row>
    <row r="277" spans="1:28" ht="12" customHeight="1">
      <c r="A277" s="763"/>
      <c r="B277" s="104"/>
      <c r="C277" s="104"/>
      <c r="D277" s="260"/>
      <c r="E277" s="104"/>
      <c r="F277" s="104"/>
      <c r="G277" s="35"/>
      <c r="H277" s="104"/>
      <c r="I277" s="35"/>
      <c r="J277" s="74"/>
      <c r="K277" s="74"/>
      <c r="L277" s="74"/>
      <c r="M277" s="74"/>
      <c r="N277" s="74"/>
      <c r="O277" s="74"/>
      <c r="P277" s="74"/>
      <c r="Q277" s="74"/>
      <c r="R277" s="74"/>
      <c r="S277" s="74"/>
      <c r="T277" s="74"/>
      <c r="U277" s="74"/>
      <c r="V277" s="74"/>
      <c r="W277" s="74"/>
      <c r="X277" s="74"/>
      <c r="Y277" s="74"/>
      <c r="Z277" s="74"/>
      <c r="AA277" s="74"/>
      <c r="AB277" s="74"/>
    </row>
    <row r="278" spans="1:28" ht="12" customHeight="1">
      <c r="A278" s="763"/>
      <c r="B278" s="104"/>
      <c r="C278" s="104"/>
      <c r="D278" s="260"/>
      <c r="E278" s="104"/>
      <c r="F278" s="104"/>
      <c r="G278" s="35"/>
      <c r="H278" s="104"/>
      <c r="I278" s="35"/>
      <c r="J278" s="74"/>
      <c r="K278" s="74"/>
      <c r="L278" s="74"/>
      <c r="M278" s="74"/>
      <c r="N278" s="74"/>
      <c r="O278" s="74"/>
      <c r="P278" s="74"/>
      <c r="Q278" s="74"/>
      <c r="R278" s="74"/>
      <c r="S278" s="74"/>
      <c r="T278" s="74"/>
      <c r="U278" s="74"/>
      <c r="V278" s="74"/>
      <c r="W278" s="74"/>
      <c r="X278" s="74"/>
      <c r="Y278" s="74"/>
      <c r="Z278" s="74"/>
      <c r="AA278" s="74"/>
      <c r="AB278" s="74"/>
    </row>
    <row r="279" spans="1:28" ht="12" customHeight="1">
      <c r="A279" s="763"/>
      <c r="B279" s="104"/>
      <c r="C279" s="104"/>
      <c r="D279" s="260"/>
      <c r="E279" s="104"/>
      <c r="F279" s="104"/>
      <c r="G279" s="35"/>
      <c r="H279" s="104"/>
      <c r="I279" s="35"/>
      <c r="J279" s="74"/>
      <c r="K279" s="74"/>
      <c r="L279" s="74"/>
      <c r="M279" s="74"/>
      <c r="N279" s="74"/>
      <c r="O279" s="74"/>
      <c r="P279" s="74"/>
      <c r="Q279" s="74"/>
      <c r="R279" s="74"/>
      <c r="S279" s="74"/>
      <c r="T279" s="74"/>
      <c r="U279" s="74"/>
      <c r="V279" s="74"/>
      <c r="W279" s="74"/>
      <c r="X279" s="74"/>
      <c r="Y279" s="74"/>
      <c r="Z279" s="74"/>
      <c r="AA279" s="74"/>
      <c r="AB279" s="74"/>
    </row>
    <row r="280" spans="1:28" ht="12" customHeight="1">
      <c r="A280" s="763"/>
      <c r="B280" s="104"/>
      <c r="C280" s="104"/>
      <c r="D280" s="260"/>
      <c r="E280" s="104"/>
      <c r="F280" s="104"/>
      <c r="G280" s="35"/>
      <c r="H280" s="104"/>
      <c r="I280" s="35"/>
      <c r="J280" s="74"/>
      <c r="K280" s="74"/>
      <c r="L280" s="74"/>
      <c r="M280" s="74"/>
      <c r="N280" s="74"/>
      <c r="O280" s="74"/>
      <c r="P280" s="74"/>
      <c r="Q280" s="74"/>
      <c r="R280" s="74"/>
      <c r="S280" s="74"/>
      <c r="T280" s="74"/>
      <c r="U280" s="74"/>
      <c r="V280" s="74"/>
      <c r="W280" s="74"/>
      <c r="X280" s="74"/>
      <c r="Y280" s="74"/>
      <c r="Z280" s="74"/>
      <c r="AA280" s="74"/>
      <c r="AB280" s="74"/>
    </row>
    <row r="281" spans="1:28" ht="12" customHeight="1">
      <c r="A281" s="763"/>
      <c r="B281" s="104"/>
      <c r="C281" s="104"/>
      <c r="D281" s="260"/>
      <c r="E281" s="104"/>
      <c r="F281" s="104"/>
      <c r="G281" s="35"/>
      <c r="H281" s="104"/>
      <c r="I281" s="35"/>
      <c r="J281" s="74"/>
      <c r="K281" s="74"/>
      <c r="L281" s="74"/>
      <c r="M281" s="74"/>
      <c r="N281" s="74"/>
      <c r="O281" s="74"/>
      <c r="P281" s="74"/>
      <c r="Q281" s="74"/>
      <c r="R281" s="74"/>
      <c r="S281" s="74"/>
      <c r="T281" s="74"/>
      <c r="U281" s="74"/>
      <c r="V281" s="74"/>
      <c r="W281" s="74"/>
      <c r="X281" s="74"/>
      <c r="Y281" s="74"/>
      <c r="Z281" s="74"/>
      <c r="AA281" s="74"/>
      <c r="AB281" s="74"/>
    </row>
    <row r="282" spans="1:28" ht="12" customHeight="1">
      <c r="A282" s="763"/>
      <c r="B282" s="104"/>
      <c r="C282" s="104"/>
      <c r="D282" s="260"/>
      <c r="E282" s="104"/>
      <c r="F282" s="104"/>
      <c r="G282" s="35"/>
      <c r="H282" s="104"/>
      <c r="I282" s="35"/>
      <c r="J282" s="74"/>
      <c r="K282" s="74"/>
      <c r="L282" s="74"/>
      <c r="M282" s="74"/>
      <c r="N282" s="74"/>
      <c r="O282" s="74"/>
      <c r="P282" s="74"/>
      <c r="Q282" s="74"/>
      <c r="R282" s="74"/>
      <c r="S282" s="74"/>
      <c r="T282" s="74"/>
      <c r="U282" s="74"/>
      <c r="V282" s="74"/>
      <c r="W282" s="74"/>
      <c r="X282" s="74"/>
      <c r="Y282" s="74"/>
      <c r="Z282" s="74"/>
      <c r="AA282" s="74"/>
      <c r="AB282" s="74"/>
    </row>
    <row r="283" spans="1:28" ht="12" customHeight="1">
      <c r="A283" s="763"/>
      <c r="B283" s="104"/>
      <c r="C283" s="104"/>
      <c r="D283" s="260"/>
      <c r="E283" s="104"/>
      <c r="F283" s="104"/>
      <c r="G283" s="35"/>
      <c r="H283" s="104"/>
      <c r="I283" s="35"/>
      <c r="J283" s="74"/>
      <c r="K283" s="74"/>
      <c r="L283" s="74"/>
      <c r="M283" s="74"/>
      <c r="N283" s="74"/>
      <c r="O283" s="74"/>
      <c r="P283" s="74"/>
      <c r="Q283" s="74"/>
      <c r="R283" s="74"/>
      <c r="S283" s="74"/>
      <c r="T283" s="74"/>
      <c r="U283" s="74"/>
      <c r="V283" s="74"/>
      <c r="W283" s="74"/>
      <c r="X283" s="74"/>
      <c r="Y283" s="74"/>
      <c r="Z283" s="74"/>
      <c r="AA283" s="74"/>
      <c r="AB283" s="74"/>
    </row>
    <row r="284" spans="1:28" ht="12" customHeight="1">
      <c r="A284" s="763"/>
      <c r="B284" s="104"/>
      <c r="C284" s="104"/>
      <c r="D284" s="260"/>
      <c r="E284" s="104"/>
      <c r="F284" s="104"/>
      <c r="G284" s="35"/>
      <c r="H284" s="104"/>
      <c r="I284" s="35"/>
      <c r="J284" s="74"/>
      <c r="K284" s="74"/>
      <c r="L284" s="74"/>
      <c r="M284" s="74"/>
      <c r="N284" s="74"/>
      <c r="O284" s="74"/>
      <c r="P284" s="74"/>
      <c r="Q284" s="74"/>
      <c r="R284" s="74"/>
      <c r="S284" s="74"/>
      <c r="T284" s="74"/>
      <c r="U284" s="74"/>
      <c r="V284" s="74"/>
      <c r="W284" s="74"/>
      <c r="X284" s="74"/>
      <c r="Y284" s="74"/>
      <c r="Z284" s="74"/>
      <c r="AA284" s="74"/>
      <c r="AB284" s="74"/>
    </row>
    <row r="285" spans="1:28" ht="12" customHeight="1">
      <c r="A285" s="763"/>
      <c r="B285" s="104"/>
      <c r="C285" s="104"/>
      <c r="D285" s="260"/>
      <c r="E285" s="104"/>
      <c r="F285" s="104"/>
      <c r="G285" s="35"/>
      <c r="H285" s="104"/>
      <c r="I285" s="35"/>
      <c r="J285" s="74"/>
      <c r="K285" s="74"/>
      <c r="L285" s="74"/>
      <c r="M285" s="74"/>
      <c r="N285" s="74"/>
      <c r="O285" s="74"/>
      <c r="P285" s="74"/>
      <c r="Q285" s="74"/>
      <c r="R285" s="74"/>
      <c r="S285" s="74"/>
      <c r="T285" s="74"/>
      <c r="U285" s="74"/>
      <c r="V285" s="74"/>
      <c r="W285" s="74"/>
      <c r="X285" s="74"/>
      <c r="Y285" s="74"/>
      <c r="Z285" s="74"/>
      <c r="AA285" s="74"/>
      <c r="AB285" s="74"/>
    </row>
    <row r="286" spans="1:28" ht="12" customHeight="1">
      <c r="A286" s="763"/>
      <c r="B286" s="104"/>
      <c r="C286" s="104"/>
      <c r="D286" s="260"/>
      <c r="E286" s="104"/>
      <c r="F286" s="104"/>
      <c r="G286" s="35"/>
      <c r="H286" s="104"/>
      <c r="I286" s="35"/>
      <c r="J286" s="74"/>
      <c r="K286" s="74"/>
      <c r="L286" s="74"/>
      <c r="M286" s="74"/>
      <c r="N286" s="74"/>
      <c r="O286" s="74"/>
      <c r="P286" s="74"/>
      <c r="Q286" s="74"/>
      <c r="R286" s="74"/>
      <c r="S286" s="74"/>
      <c r="T286" s="74"/>
      <c r="U286" s="74"/>
      <c r="V286" s="74"/>
      <c r="W286" s="74"/>
      <c r="X286" s="74"/>
      <c r="Y286" s="74"/>
      <c r="Z286" s="74"/>
      <c r="AA286" s="74"/>
      <c r="AB286" s="74"/>
    </row>
    <row r="287" spans="1:28" ht="12" customHeight="1">
      <c r="A287" s="763"/>
      <c r="B287" s="104"/>
      <c r="C287" s="104"/>
      <c r="D287" s="260"/>
      <c r="E287" s="104"/>
      <c r="F287" s="104"/>
      <c r="G287" s="35"/>
      <c r="H287" s="104"/>
      <c r="I287" s="35"/>
      <c r="J287" s="74"/>
      <c r="K287" s="74"/>
      <c r="L287" s="74"/>
      <c r="M287" s="74"/>
      <c r="N287" s="74"/>
      <c r="O287" s="74"/>
      <c r="P287" s="74"/>
      <c r="Q287" s="74"/>
      <c r="R287" s="74"/>
      <c r="S287" s="74"/>
      <c r="T287" s="74"/>
      <c r="U287" s="74"/>
      <c r="V287" s="74"/>
      <c r="W287" s="74"/>
      <c r="X287" s="74"/>
      <c r="Y287" s="74"/>
      <c r="Z287" s="74"/>
      <c r="AA287" s="74"/>
      <c r="AB287" s="74"/>
    </row>
    <row r="288" spans="1:28" ht="12" customHeight="1">
      <c r="A288" s="763"/>
      <c r="B288" s="104"/>
      <c r="C288" s="104"/>
      <c r="D288" s="260"/>
      <c r="E288" s="104"/>
      <c r="F288" s="104"/>
      <c r="G288" s="35"/>
      <c r="H288" s="104"/>
      <c r="I288" s="35"/>
      <c r="J288" s="74"/>
      <c r="K288" s="74"/>
      <c r="L288" s="74"/>
      <c r="M288" s="74"/>
      <c r="N288" s="74"/>
      <c r="O288" s="74"/>
      <c r="P288" s="74"/>
      <c r="Q288" s="74"/>
      <c r="R288" s="74"/>
      <c r="S288" s="74"/>
      <c r="T288" s="74"/>
      <c r="U288" s="74"/>
      <c r="V288" s="74"/>
      <c r="W288" s="74"/>
      <c r="X288" s="74"/>
      <c r="Y288" s="74"/>
      <c r="Z288" s="74"/>
      <c r="AA288" s="74"/>
      <c r="AB288" s="74"/>
    </row>
    <row r="289" spans="1:28" ht="12" customHeight="1">
      <c r="A289" s="763"/>
      <c r="B289" s="104"/>
      <c r="C289" s="104"/>
      <c r="D289" s="260"/>
      <c r="E289" s="104"/>
      <c r="F289" s="104"/>
      <c r="G289" s="35"/>
      <c r="H289" s="104"/>
      <c r="I289" s="35"/>
      <c r="J289" s="74"/>
      <c r="K289" s="74"/>
      <c r="L289" s="74"/>
      <c r="M289" s="74"/>
      <c r="N289" s="74"/>
      <c r="O289" s="74"/>
      <c r="P289" s="74"/>
      <c r="Q289" s="74"/>
      <c r="R289" s="74"/>
      <c r="S289" s="74"/>
      <c r="T289" s="74"/>
      <c r="U289" s="74"/>
      <c r="V289" s="74"/>
      <c r="W289" s="74"/>
      <c r="X289" s="74"/>
      <c r="Y289" s="74"/>
      <c r="Z289" s="74"/>
      <c r="AA289" s="74"/>
      <c r="AB289" s="74"/>
    </row>
    <row r="290" spans="1:28" ht="12" customHeight="1">
      <c r="A290" s="763"/>
      <c r="B290" s="104"/>
      <c r="C290" s="104"/>
      <c r="D290" s="260"/>
      <c r="E290" s="104"/>
      <c r="F290" s="104"/>
      <c r="G290" s="35"/>
      <c r="H290" s="104"/>
      <c r="I290" s="35"/>
      <c r="J290" s="74"/>
      <c r="K290" s="74"/>
      <c r="L290" s="74"/>
      <c r="M290" s="74"/>
      <c r="N290" s="74"/>
      <c r="O290" s="74"/>
      <c r="P290" s="74"/>
      <c r="Q290" s="74"/>
      <c r="R290" s="74"/>
      <c r="S290" s="74"/>
      <c r="T290" s="74"/>
      <c r="U290" s="74"/>
      <c r="V290" s="74"/>
      <c r="W290" s="74"/>
      <c r="X290" s="74"/>
      <c r="Y290" s="74"/>
      <c r="Z290" s="74"/>
      <c r="AA290" s="74"/>
      <c r="AB290" s="74"/>
    </row>
    <row r="291" spans="1:28" ht="12" customHeight="1">
      <c r="A291" s="763"/>
      <c r="B291" s="104"/>
      <c r="C291" s="104"/>
      <c r="D291" s="260"/>
      <c r="E291" s="104"/>
      <c r="F291" s="104"/>
      <c r="G291" s="35"/>
      <c r="H291" s="104"/>
      <c r="I291" s="35"/>
      <c r="J291" s="74"/>
      <c r="K291" s="74"/>
      <c r="L291" s="74"/>
      <c r="M291" s="74"/>
      <c r="N291" s="74"/>
      <c r="O291" s="74"/>
      <c r="P291" s="74"/>
      <c r="Q291" s="74"/>
      <c r="R291" s="74"/>
      <c r="S291" s="74"/>
      <c r="T291" s="74"/>
      <c r="U291" s="74"/>
      <c r="V291" s="74"/>
      <c r="W291" s="74"/>
      <c r="X291" s="74"/>
      <c r="Y291" s="74"/>
      <c r="Z291" s="74"/>
      <c r="AA291" s="74"/>
      <c r="AB291" s="74"/>
    </row>
    <row r="292" spans="1:28" ht="12" customHeight="1">
      <c r="A292" s="763"/>
      <c r="B292" s="104"/>
      <c r="C292" s="104"/>
      <c r="D292" s="260"/>
      <c r="E292" s="104"/>
      <c r="F292" s="104"/>
      <c r="G292" s="35"/>
      <c r="H292" s="104"/>
      <c r="I292" s="35"/>
      <c r="J292" s="74"/>
      <c r="K292" s="74"/>
      <c r="L292" s="74"/>
      <c r="M292" s="74"/>
      <c r="N292" s="74"/>
      <c r="O292" s="74"/>
      <c r="P292" s="74"/>
      <c r="Q292" s="74"/>
      <c r="R292" s="74"/>
      <c r="S292" s="74"/>
      <c r="T292" s="74"/>
      <c r="U292" s="74"/>
      <c r="V292" s="74"/>
      <c r="W292" s="74"/>
      <c r="X292" s="74"/>
      <c r="Y292" s="74"/>
      <c r="Z292" s="74"/>
      <c r="AA292" s="74"/>
      <c r="AB292" s="74"/>
    </row>
    <row r="293" spans="1:28" ht="12" customHeight="1">
      <c r="A293" s="763"/>
      <c r="B293" s="104"/>
      <c r="C293" s="104"/>
      <c r="D293" s="260"/>
      <c r="E293" s="104"/>
      <c r="F293" s="104"/>
      <c r="G293" s="35"/>
      <c r="H293" s="104"/>
      <c r="I293" s="35"/>
      <c r="J293" s="74"/>
      <c r="K293" s="74"/>
      <c r="L293" s="74"/>
      <c r="M293" s="74"/>
      <c r="N293" s="74"/>
      <c r="O293" s="74"/>
      <c r="P293" s="74"/>
      <c r="Q293" s="74"/>
      <c r="R293" s="74"/>
      <c r="S293" s="74"/>
      <c r="T293" s="74"/>
      <c r="U293" s="74"/>
      <c r="V293" s="74"/>
      <c r="W293" s="74"/>
      <c r="X293" s="74"/>
      <c r="Y293" s="74"/>
      <c r="Z293" s="74"/>
      <c r="AA293" s="74"/>
      <c r="AB293" s="74"/>
    </row>
    <row r="294" spans="1:28" ht="12" customHeight="1">
      <c r="A294" s="763"/>
      <c r="B294" s="104"/>
      <c r="C294" s="104"/>
      <c r="D294" s="260"/>
      <c r="E294" s="104"/>
      <c r="F294" s="104"/>
      <c r="G294" s="35"/>
      <c r="H294" s="104"/>
      <c r="I294" s="35"/>
      <c r="J294" s="74"/>
      <c r="K294" s="74"/>
      <c r="L294" s="74"/>
      <c r="M294" s="74"/>
      <c r="N294" s="74"/>
      <c r="O294" s="74"/>
      <c r="P294" s="74"/>
      <c r="Q294" s="74"/>
      <c r="R294" s="74"/>
      <c r="S294" s="74"/>
      <c r="T294" s="74"/>
      <c r="U294" s="74"/>
      <c r="V294" s="74"/>
      <c r="W294" s="74"/>
      <c r="X294" s="74"/>
      <c r="Y294" s="74"/>
      <c r="Z294" s="74"/>
      <c r="AA294" s="74"/>
      <c r="AB294" s="74"/>
    </row>
    <row r="295" spans="1:28" ht="12" customHeight="1">
      <c r="A295" s="763"/>
      <c r="B295" s="104"/>
      <c r="C295" s="104"/>
      <c r="D295" s="260"/>
      <c r="E295" s="104"/>
      <c r="F295" s="104"/>
      <c r="G295" s="35"/>
      <c r="H295" s="104"/>
      <c r="I295" s="35"/>
      <c r="J295" s="74"/>
      <c r="K295" s="74"/>
      <c r="L295" s="74"/>
      <c r="M295" s="74"/>
      <c r="N295" s="74"/>
      <c r="O295" s="74"/>
      <c r="P295" s="74"/>
      <c r="Q295" s="74"/>
      <c r="R295" s="74"/>
      <c r="S295" s="74"/>
      <c r="T295" s="74"/>
      <c r="U295" s="74"/>
      <c r="V295" s="74"/>
      <c r="W295" s="74"/>
      <c r="X295" s="74"/>
      <c r="Y295" s="74"/>
      <c r="Z295" s="74"/>
      <c r="AA295" s="74"/>
      <c r="AB295" s="74"/>
    </row>
    <row r="296" spans="1:28" ht="12" customHeight="1">
      <c r="A296" s="763"/>
      <c r="B296" s="104"/>
      <c r="C296" s="104"/>
      <c r="D296" s="260"/>
      <c r="E296" s="104"/>
      <c r="F296" s="104"/>
      <c r="G296" s="35"/>
      <c r="H296" s="104"/>
      <c r="I296" s="35"/>
      <c r="J296" s="74"/>
      <c r="K296" s="74"/>
      <c r="L296" s="74"/>
      <c r="M296" s="74"/>
      <c r="N296" s="74"/>
      <c r="O296" s="74"/>
      <c r="P296" s="74"/>
      <c r="Q296" s="74"/>
      <c r="R296" s="74"/>
      <c r="S296" s="74"/>
      <c r="T296" s="74"/>
      <c r="U296" s="74"/>
      <c r="V296" s="74"/>
      <c r="W296" s="74"/>
      <c r="X296" s="74"/>
      <c r="Y296" s="74"/>
      <c r="Z296" s="74"/>
      <c r="AA296" s="74"/>
      <c r="AB296" s="74"/>
    </row>
    <row r="297" spans="1:28" ht="12" customHeight="1">
      <c r="A297" s="763"/>
      <c r="B297" s="104"/>
      <c r="C297" s="104"/>
      <c r="D297" s="260"/>
      <c r="E297" s="104"/>
      <c r="F297" s="104"/>
      <c r="G297" s="35"/>
      <c r="H297" s="104"/>
      <c r="I297" s="35"/>
      <c r="J297" s="74"/>
      <c r="K297" s="74"/>
      <c r="L297" s="74"/>
      <c r="M297" s="74"/>
      <c r="N297" s="74"/>
      <c r="O297" s="74"/>
      <c r="P297" s="74"/>
      <c r="Q297" s="74"/>
      <c r="R297" s="74"/>
      <c r="S297" s="74"/>
      <c r="T297" s="74"/>
      <c r="U297" s="74"/>
      <c r="V297" s="74"/>
      <c r="W297" s="74"/>
      <c r="X297" s="74"/>
      <c r="Y297" s="74"/>
      <c r="Z297" s="74"/>
      <c r="AA297" s="74"/>
      <c r="AB297" s="74"/>
    </row>
    <row r="298" spans="1:28" ht="12" customHeight="1">
      <c r="A298" s="763"/>
      <c r="B298" s="104"/>
      <c r="C298" s="104"/>
      <c r="D298" s="260"/>
      <c r="E298" s="104"/>
      <c r="F298" s="104"/>
      <c r="G298" s="35"/>
      <c r="H298" s="104"/>
      <c r="I298" s="35"/>
      <c r="J298" s="74"/>
      <c r="K298" s="74"/>
      <c r="L298" s="74"/>
      <c r="M298" s="74"/>
      <c r="N298" s="74"/>
      <c r="O298" s="74"/>
      <c r="P298" s="74"/>
      <c r="Q298" s="74"/>
      <c r="R298" s="74"/>
      <c r="S298" s="74"/>
      <c r="T298" s="74"/>
      <c r="U298" s="74"/>
      <c r="V298" s="74"/>
      <c r="W298" s="74"/>
      <c r="X298" s="74"/>
      <c r="Y298" s="74"/>
      <c r="Z298" s="74"/>
      <c r="AA298" s="74"/>
      <c r="AB298" s="74"/>
    </row>
    <row r="299" spans="1:28" ht="12" customHeight="1">
      <c r="A299" s="763"/>
      <c r="B299" s="104"/>
      <c r="C299" s="104"/>
      <c r="D299" s="260"/>
      <c r="E299" s="104"/>
      <c r="F299" s="104"/>
      <c r="G299" s="35"/>
      <c r="H299" s="104"/>
      <c r="I299" s="35"/>
      <c r="J299" s="74"/>
      <c r="K299" s="74"/>
      <c r="L299" s="74"/>
      <c r="M299" s="74"/>
      <c r="N299" s="74"/>
      <c r="O299" s="74"/>
      <c r="P299" s="74"/>
      <c r="Q299" s="74"/>
      <c r="R299" s="74"/>
      <c r="S299" s="74"/>
      <c r="T299" s="74"/>
      <c r="U299" s="74"/>
      <c r="V299" s="74"/>
      <c r="W299" s="74"/>
      <c r="X299" s="74"/>
      <c r="Y299" s="74"/>
      <c r="Z299" s="74"/>
      <c r="AA299" s="74"/>
      <c r="AB299" s="74"/>
    </row>
    <row r="300" spans="1:28" ht="12" customHeight="1">
      <c r="A300" s="763"/>
      <c r="B300" s="104"/>
      <c r="C300" s="104"/>
      <c r="D300" s="260"/>
      <c r="E300" s="104"/>
      <c r="F300" s="104"/>
      <c r="G300" s="35"/>
      <c r="H300" s="104"/>
      <c r="I300" s="35"/>
      <c r="J300" s="74"/>
      <c r="K300" s="74"/>
      <c r="L300" s="74"/>
      <c r="M300" s="74"/>
      <c r="N300" s="74"/>
      <c r="O300" s="74"/>
      <c r="P300" s="74"/>
      <c r="Q300" s="74"/>
      <c r="R300" s="74"/>
      <c r="S300" s="74"/>
      <c r="T300" s="74"/>
      <c r="U300" s="74"/>
      <c r="V300" s="74"/>
      <c r="W300" s="74"/>
      <c r="X300" s="74"/>
      <c r="Y300" s="74"/>
      <c r="Z300" s="74"/>
      <c r="AA300" s="74"/>
      <c r="AB300" s="74"/>
    </row>
    <row r="301" spans="1:28" ht="12" customHeight="1">
      <c r="A301" s="763"/>
      <c r="B301" s="104"/>
      <c r="C301" s="104"/>
      <c r="D301" s="260"/>
      <c r="E301" s="104"/>
      <c r="F301" s="104"/>
      <c r="G301" s="35"/>
      <c r="H301" s="104"/>
      <c r="I301" s="35"/>
      <c r="J301" s="74"/>
      <c r="K301" s="74"/>
      <c r="L301" s="74"/>
      <c r="M301" s="74"/>
      <c r="N301" s="74"/>
      <c r="O301" s="74"/>
      <c r="P301" s="74"/>
      <c r="Q301" s="74"/>
      <c r="R301" s="74"/>
      <c r="S301" s="74"/>
      <c r="T301" s="74"/>
      <c r="U301" s="74"/>
      <c r="V301" s="74"/>
      <c r="W301" s="74"/>
      <c r="X301" s="74"/>
      <c r="Y301" s="74"/>
      <c r="Z301" s="74"/>
      <c r="AA301" s="74"/>
      <c r="AB301" s="74"/>
    </row>
    <row r="302" spans="1:28" ht="12" customHeight="1">
      <c r="A302" s="763"/>
      <c r="B302" s="104"/>
      <c r="C302" s="104"/>
      <c r="D302" s="260"/>
      <c r="E302" s="104"/>
      <c r="F302" s="104"/>
      <c r="G302" s="35"/>
      <c r="H302" s="104"/>
      <c r="I302" s="35"/>
      <c r="J302" s="74"/>
      <c r="K302" s="74"/>
      <c r="L302" s="74"/>
      <c r="M302" s="74"/>
      <c r="N302" s="74"/>
      <c r="O302" s="74"/>
      <c r="P302" s="74"/>
      <c r="Q302" s="74"/>
      <c r="R302" s="74"/>
      <c r="S302" s="74"/>
      <c r="T302" s="74"/>
      <c r="U302" s="74"/>
      <c r="V302" s="74"/>
      <c r="W302" s="74"/>
      <c r="X302" s="74"/>
      <c r="Y302" s="74"/>
      <c r="Z302" s="74"/>
      <c r="AA302" s="74"/>
      <c r="AB302" s="74"/>
    </row>
    <row r="303" spans="1:28" ht="12" customHeight="1">
      <c r="A303" s="763"/>
      <c r="B303" s="104"/>
      <c r="C303" s="104"/>
      <c r="D303" s="260"/>
      <c r="E303" s="104"/>
      <c r="F303" s="104"/>
      <c r="G303" s="35"/>
      <c r="H303" s="104"/>
      <c r="I303" s="35"/>
      <c r="J303" s="74"/>
      <c r="K303" s="74"/>
      <c r="L303" s="74"/>
      <c r="M303" s="74"/>
      <c r="N303" s="74"/>
      <c r="O303" s="74"/>
      <c r="P303" s="74"/>
      <c r="Q303" s="74"/>
      <c r="R303" s="74"/>
      <c r="S303" s="74"/>
      <c r="T303" s="74"/>
      <c r="U303" s="74"/>
      <c r="V303" s="74"/>
      <c r="W303" s="74"/>
      <c r="X303" s="74"/>
      <c r="Y303" s="74"/>
      <c r="Z303" s="74"/>
      <c r="AA303" s="74"/>
      <c r="AB303" s="74"/>
    </row>
    <row r="304" spans="1:28" ht="12" customHeight="1">
      <c r="A304" s="763"/>
      <c r="B304" s="104"/>
      <c r="C304" s="104"/>
      <c r="D304" s="260"/>
      <c r="E304" s="104"/>
      <c r="F304" s="104"/>
      <c r="G304" s="35"/>
      <c r="H304" s="104"/>
      <c r="I304" s="35"/>
      <c r="J304" s="74"/>
      <c r="K304" s="74"/>
      <c r="L304" s="74"/>
      <c r="M304" s="74"/>
      <c r="N304" s="74"/>
      <c r="O304" s="74"/>
      <c r="P304" s="74"/>
      <c r="Q304" s="74"/>
      <c r="R304" s="74"/>
      <c r="S304" s="74"/>
      <c r="T304" s="74"/>
      <c r="U304" s="74"/>
      <c r="V304" s="74"/>
      <c r="W304" s="74"/>
      <c r="X304" s="74"/>
      <c r="Y304" s="74"/>
      <c r="Z304" s="74"/>
      <c r="AA304" s="74"/>
      <c r="AB304" s="74"/>
    </row>
    <row r="305" spans="1:28" ht="12" customHeight="1">
      <c r="A305" s="763"/>
      <c r="B305" s="104"/>
      <c r="C305" s="104"/>
      <c r="D305" s="260"/>
      <c r="E305" s="104"/>
      <c r="F305" s="104"/>
      <c r="G305" s="35"/>
      <c r="H305" s="104"/>
      <c r="I305" s="35"/>
      <c r="J305" s="74"/>
      <c r="K305" s="74"/>
      <c r="L305" s="74"/>
      <c r="M305" s="74"/>
      <c r="N305" s="74"/>
      <c r="O305" s="74"/>
      <c r="P305" s="74"/>
      <c r="Q305" s="74"/>
      <c r="R305" s="74"/>
      <c r="S305" s="74"/>
      <c r="T305" s="74"/>
      <c r="U305" s="74"/>
      <c r="V305" s="74"/>
      <c r="W305" s="74"/>
      <c r="X305" s="74"/>
      <c r="Y305" s="74"/>
      <c r="Z305" s="74"/>
      <c r="AA305" s="74"/>
      <c r="AB305" s="74"/>
    </row>
    <row r="306" spans="1:28" ht="12" customHeight="1">
      <c r="A306" s="763"/>
      <c r="B306" s="104"/>
      <c r="C306" s="104"/>
      <c r="D306" s="260"/>
      <c r="E306" s="104"/>
      <c r="F306" s="104"/>
      <c r="G306" s="35"/>
      <c r="H306" s="104"/>
      <c r="I306" s="35"/>
      <c r="J306" s="74"/>
      <c r="K306" s="74"/>
      <c r="L306" s="74"/>
      <c r="M306" s="74"/>
      <c r="N306" s="74"/>
      <c r="O306" s="74"/>
      <c r="P306" s="74"/>
      <c r="Q306" s="74"/>
      <c r="R306" s="74"/>
      <c r="S306" s="74"/>
      <c r="T306" s="74"/>
      <c r="U306" s="74"/>
      <c r="V306" s="74"/>
      <c r="W306" s="74"/>
      <c r="X306" s="74"/>
      <c r="Y306" s="74"/>
      <c r="Z306" s="74"/>
      <c r="AA306" s="74"/>
      <c r="AB306" s="74"/>
    </row>
    <row r="307" spans="1:28" ht="12" customHeight="1">
      <c r="A307" s="763"/>
      <c r="B307" s="104"/>
      <c r="C307" s="104"/>
      <c r="D307" s="260"/>
      <c r="E307" s="104"/>
      <c r="F307" s="104"/>
      <c r="G307" s="35"/>
      <c r="H307" s="104"/>
      <c r="I307" s="35"/>
      <c r="J307" s="74"/>
      <c r="K307" s="74"/>
      <c r="L307" s="74"/>
      <c r="M307" s="74"/>
      <c r="N307" s="74"/>
      <c r="O307" s="74"/>
      <c r="P307" s="74"/>
      <c r="Q307" s="74"/>
      <c r="R307" s="74"/>
      <c r="S307" s="74"/>
      <c r="T307" s="74"/>
      <c r="U307" s="74"/>
      <c r="V307" s="74"/>
      <c r="W307" s="74"/>
      <c r="X307" s="74"/>
      <c r="Y307" s="74"/>
      <c r="Z307" s="74"/>
      <c r="AA307" s="74"/>
      <c r="AB307" s="74"/>
    </row>
    <row r="308" spans="1:28" ht="12" customHeight="1">
      <c r="A308" s="763"/>
      <c r="B308" s="104"/>
      <c r="C308" s="104"/>
      <c r="D308" s="260"/>
      <c r="E308" s="104"/>
      <c r="F308" s="104"/>
      <c r="G308" s="35"/>
      <c r="H308" s="104"/>
      <c r="I308" s="35"/>
      <c r="J308" s="74"/>
      <c r="K308" s="74"/>
      <c r="L308" s="74"/>
      <c r="M308" s="74"/>
      <c r="N308" s="74"/>
      <c r="O308" s="74"/>
      <c r="P308" s="74"/>
      <c r="Q308" s="74"/>
      <c r="R308" s="74"/>
      <c r="S308" s="74"/>
      <c r="T308" s="74"/>
      <c r="U308" s="74"/>
      <c r="V308" s="74"/>
      <c r="W308" s="74"/>
      <c r="X308" s="74"/>
      <c r="Y308" s="74"/>
      <c r="Z308" s="74"/>
      <c r="AA308" s="74"/>
      <c r="AB308" s="74"/>
    </row>
    <row r="309" spans="1:28" ht="12" customHeight="1">
      <c r="A309" s="763"/>
      <c r="B309" s="104"/>
      <c r="C309" s="104"/>
      <c r="D309" s="260"/>
      <c r="E309" s="104"/>
      <c r="F309" s="104"/>
      <c r="G309" s="35"/>
      <c r="H309" s="104"/>
      <c r="I309" s="35"/>
      <c r="J309" s="74"/>
      <c r="K309" s="74"/>
      <c r="L309" s="74"/>
      <c r="M309" s="74"/>
      <c r="N309" s="74"/>
      <c r="O309" s="74"/>
      <c r="P309" s="74"/>
      <c r="Q309" s="74"/>
      <c r="R309" s="74"/>
      <c r="S309" s="74"/>
      <c r="T309" s="74"/>
      <c r="U309" s="74"/>
      <c r="V309" s="74"/>
      <c r="W309" s="74"/>
      <c r="X309" s="74"/>
      <c r="Y309" s="74"/>
      <c r="Z309" s="74"/>
      <c r="AA309" s="74"/>
      <c r="AB309" s="74"/>
    </row>
    <row r="310" spans="1:28" ht="12" customHeight="1">
      <c r="A310" s="763"/>
      <c r="B310" s="104"/>
      <c r="C310" s="104"/>
      <c r="D310" s="260"/>
      <c r="E310" s="104"/>
      <c r="F310" s="104"/>
      <c r="G310" s="35"/>
      <c r="H310" s="104"/>
      <c r="I310" s="35"/>
      <c r="J310" s="74"/>
      <c r="K310" s="74"/>
      <c r="L310" s="74"/>
      <c r="M310" s="74"/>
      <c r="N310" s="74"/>
      <c r="O310" s="74"/>
      <c r="P310" s="74"/>
      <c r="Q310" s="74"/>
      <c r="R310" s="74"/>
      <c r="S310" s="74"/>
      <c r="T310" s="74"/>
      <c r="U310" s="74"/>
      <c r="V310" s="74"/>
      <c r="W310" s="74"/>
      <c r="X310" s="74"/>
      <c r="Y310" s="74"/>
      <c r="Z310" s="74"/>
      <c r="AA310" s="74"/>
      <c r="AB310" s="74"/>
    </row>
    <row r="311" spans="1:28" ht="12" customHeight="1">
      <c r="A311" s="763"/>
      <c r="B311" s="104"/>
      <c r="C311" s="104"/>
      <c r="D311" s="260"/>
      <c r="E311" s="104"/>
      <c r="F311" s="104"/>
      <c r="G311" s="35"/>
      <c r="H311" s="104"/>
      <c r="I311" s="35"/>
      <c r="J311" s="74"/>
      <c r="K311" s="74"/>
      <c r="L311" s="74"/>
      <c r="M311" s="74"/>
      <c r="N311" s="74"/>
      <c r="O311" s="74"/>
      <c r="P311" s="74"/>
      <c r="Q311" s="74"/>
      <c r="R311" s="74"/>
      <c r="S311" s="74"/>
      <c r="T311" s="74"/>
      <c r="U311" s="74"/>
      <c r="V311" s="74"/>
      <c r="W311" s="74"/>
      <c r="X311" s="74"/>
      <c r="Y311" s="74"/>
      <c r="Z311" s="74"/>
      <c r="AA311" s="74"/>
      <c r="AB311" s="74"/>
    </row>
    <row r="312" spans="1:28" ht="12" customHeight="1">
      <c r="A312" s="763"/>
      <c r="B312" s="104"/>
      <c r="C312" s="104"/>
      <c r="D312" s="260"/>
      <c r="E312" s="104"/>
      <c r="F312" s="104"/>
      <c r="G312" s="35"/>
      <c r="H312" s="104"/>
      <c r="I312" s="35"/>
      <c r="J312" s="74"/>
      <c r="K312" s="74"/>
      <c r="L312" s="74"/>
      <c r="M312" s="74"/>
      <c r="N312" s="74"/>
      <c r="O312" s="74"/>
      <c r="P312" s="74"/>
      <c r="Q312" s="74"/>
      <c r="R312" s="74"/>
      <c r="S312" s="74"/>
      <c r="T312" s="74"/>
      <c r="U312" s="74"/>
      <c r="V312" s="74"/>
      <c r="W312" s="74"/>
      <c r="X312" s="74"/>
      <c r="Y312" s="74"/>
      <c r="Z312" s="74"/>
      <c r="AA312" s="74"/>
      <c r="AB312" s="74"/>
    </row>
    <row r="313" spans="1:28" ht="12" customHeight="1">
      <c r="A313" s="763"/>
      <c r="B313" s="104"/>
      <c r="C313" s="104"/>
      <c r="D313" s="260"/>
      <c r="E313" s="104"/>
      <c r="F313" s="104"/>
      <c r="G313" s="35"/>
      <c r="H313" s="104"/>
      <c r="I313" s="35"/>
      <c r="J313" s="74"/>
      <c r="K313" s="74"/>
      <c r="L313" s="74"/>
      <c r="M313" s="74"/>
      <c r="N313" s="74"/>
      <c r="O313" s="74"/>
      <c r="P313" s="74"/>
      <c r="Q313" s="74"/>
      <c r="R313" s="74"/>
      <c r="S313" s="74"/>
      <c r="T313" s="74"/>
      <c r="U313" s="74"/>
      <c r="V313" s="74"/>
      <c r="W313" s="74"/>
      <c r="X313" s="74"/>
      <c r="Y313" s="74"/>
      <c r="Z313" s="74"/>
      <c r="AA313" s="74"/>
      <c r="AB313" s="74"/>
    </row>
    <row r="314" spans="1:28" ht="12" customHeight="1">
      <c r="A314" s="763"/>
      <c r="B314" s="104"/>
      <c r="C314" s="104"/>
      <c r="D314" s="260"/>
      <c r="E314" s="104"/>
      <c r="F314" s="104"/>
      <c r="G314" s="35"/>
      <c r="H314" s="104"/>
      <c r="I314" s="35"/>
      <c r="J314" s="74"/>
      <c r="K314" s="74"/>
      <c r="L314" s="74"/>
      <c r="M314" s="74"/>
      <c r="N314" s="74"/>
      <c r="O314" s="74"/>
      <c r="P314" s="74"/>
      <c r="Q314" s="74"/>
      <c r="R314" s="74"/>
      <c r="S314" s="74"/>
      <c r="T314" s="74"/>
      <c r="U314" s="74"/>
      <c r="V314" s="74"/>
      <c r="W314" s="74"/>
      <c r="X314" s="74"/>
      <c r="Y314" s="74"/>
      <c r="Z314" s="74"/>
      <c r="AA314" s="74"/>
      <c r="AB314" s="74"/>
    </row>
    <row r="315" spans="1:28" ht="12" customHeight="1">
      <c r="A315" s="763"/>
      <c r="B315" s="104"/>
      <c r="C315" s="104"/>
      <c r="D315" s="260"/>
      <c r="E315" s="104"/>
      <c r="F315" s="104"/>
      <c r="G315" s="35"/>
      <c r="H315" s="104"/>
      <c r="I315" s="35"/>
      <c r="J315" s="74"/>
      <c r="K315" s="74"/>
      <c r="L315" s="74"/>
      <c r="M315" s="74"/>
      <c r="N315" s="74"/>
      <c r="O315" s="74"/>
      <c r="P315" s="74"/>
      <c r="Q315" s="74"/>
      <c r="R315" s="74"/>
      <c r="S315" s="74"/>
      <c r="T315" s="74"/>
      <c r="U315" s="74"/>
      <c r="V315" s="74"/>
      <c r="W315" s="74"/>
      <c r="X315" s="74"/>
      <c r="Y315" s="74"/>
      <c r="Z315" s="74"/>
      <c r="AA315" s="74"/>
      <c r="AB315" s="74"/>
    </row>
    <row r="316" spans="1:28" ht="12" customHeight="1">
      <c r="A316" s="763"/>
      <c r="B316" s="104"/>
      <c r="C316" s="104"/>
      <c r="D316" s="260"/>
      <c r="E316" s="104"/>
      <c r="F316" s="104"/>
      <c r="G316" s="35"/>
      <c r="H316" s="104"/>
      <c r="I316" s="35"/>
      <c r="J316" s="74"/>
      <c r="K316" s="74"/>
      <c r="L316" s="74"/>
      <c r="M316" s="74"/>
      <c r="N316" s="74"/>
      <c r="O316" s="74"/>
      <c r="P316" s="74"/>
      <c r="Q316" s="74"/>
      <c r="R316" s="74"/>
      <c r="S316" s="74"/>
      <c r="T316" s="74"/>
      <c r="U316" s="74"/>
      <c r="V316" s="74"/>
      <c r="W316" s="74"/>
      <c r="X316" s="74"/>
      <c r="Y316" s="74"/>
      <c r="Z316" s="74"/>
      <c r="AA316" s="74"/>
      <c r="AB316" s="74"/>
    </row>
    <row r="317" spans="1:28" ht="12" customHeight="1">
      <c r="A317" s="763"/>
      <c r="B317" s="104"/>
      <c r="C317" s="104"/>
      <c r="D317" s="260"/>
      <c r="E317" s="104"/>
      <c r="F317" s="104"/>
      <c r="G317" s="35"/>
      <c r="H317" s="104"/>
      <c r="I317" s="35"/>
      <c r="J317" s="74"/>
      <c r="K317" s="74"/>
      <c r="L317" s="74"/>
      <c r="M317" s="74"/>
      <c r="N317" s="74"/>
      <c r="O317" s="74"/>
      <c r="P317" s="74"/>
      <c r="Q317" s="74"/>
      <c r="R317" s="74"/>
      <c r="S317" s="74"/>
      <c r="T317" s="74"/>
      <c r="U317" s="74"/>
      <c r="V317" s="74"/>
      <c r="W317" s="74"/>
      <c r="X317" s="74"/>
      <c r="Y317" s="74"/>
      <c r="Z317" s="74"/>
      <c r="AA317" s="74"/>
      <c r="AB317" s="74"/>
    </row>
    <row r="318" spans="1:28" ht="12" customHeight="1">
      <c r="A318" s="763"/>
      <c r="B318" s="104"/>
      <c r="C318" s="104"/>
      <c r="D318" s="260"/>
      <c r="E318" s="104"/>
      <c r="F318" s="104"/>
      <c r="G318" s="35"/>
      <c r="H318" s="104"/>
      <c r="I318" s="35"/>
      <c r="J318" s="74"/>
      <c r="K318" s="74"/>
      <c r="L318" s="74"/>
      <c r="M318" s="74"/>
      <c r="N318" s="74"/>
      <c r="O318" s="74"/>
      <c r="P318" s="74"/>
      <c r="Q318" s="74"/>
      <c r="R318" s="74"/>
      <c r="S318" s="74"/>
      <c r="T318" s="74"/>
      <c r="U318" s="74"/>
      <c r="V318" s="74"/>
      <c r="W318" s="74"/>
      <c r="X318" s="74"/>
      <c r="Y318" s="74"/>
      <c r="Z318" s="74"/>
      <c r="AA318" s="74"/>
      <c r="AB318" s="74"/>
    </row>
    <row r="319" spans="1:28" ht="12" customHeight="1">
      <c r="A319" s="763"/>
      <c r="B319" s="104"/>
      <c r="C319" s="104"/>
      <c r="D319" s="260"/>
      <c r="E319" s="104"/>
      <c r="F319" s="104"/>
      <c r="G319" s="35"/>
      <c r="H319" s="104"/>
      <c r="I319" s="35"/>
      <c r="J319" s="74"/>
      <c r="K319" s="74"/>
      <c r="L319" s="74"/>
      <c r="M319" s="74"/>
      <c r="N319" s="74"/>
      <c r="O319" s="74"/>
      <c r="P319" s="74"/>
      <c r="Q319" s="74"/>
      <c r="R319" s="74"/>
      <c r="S319" s="74"/>
      <c r="T319" s="74"/>
      <c r="U319" s="74"/>
      <c r="V319" s="74"/>
      <c r="W319" s="74"/>
      <c r="X319" s="74"/>
      <c r="Y319" s="74"/>
      <c r="Z319" s="74"/>
      <c r="AA319" s="74"/>
      <c r="AB319" s="74"/>
    </row>
    <row r="320" spans="1:28" ht="12" customHeight="1">
      <c r="A320" s="763"/>
      <c r="B320" s="104"/>
      <c r="C320" s="104"/>
      <c r="D320" s="260"/>
      <c r="E320" s="104"/>
      <c r="F320" s="104"/>
      <c r="G320" s="35"/>
      <c r="H320" s="104"/>
      <c r="I320" s="35"/>
      <c r="J320" s="74"/>
      <c r="K320" s="74"/>
      <c r="L320" s="74"/>
      <c r="M320" s="74"/>
      <c r="N320" s="74"/>
      <c r="O320" s="74"/>
      <c r="P320" s="74"/>
      <c r="Q320" s="74"/>
      <c r="R320" s="74"/>
      <c r="S320" s="74"/>
      <c r="T320" s="74"/>
      <c r="U320" s="74"/>
      <c r="V320" s="74"/>
      <c r="W320" s="74"/>
      <c r="X320" s="74"/>
      <c r="Y320" s="74"/>
      <c r="Z320" s="74"/>
      <c r="AA320" s="74"/>
      <c r="AB320" s="74"/>
    </row>
    <row r="321" spans="1:28" ht="12" customHeight="1">
      <c r="A321" s="763"/>
      <c r="B321" s="104"/>
      <c r="C321" s="104"/>
      <c r="D321" s="260"/>
      <c r="E321" s="104"/>
      <c r="F321" s="104"/>
      <c r="G321" s="35"/>
      <c r="H321" s="104"/>
      <c r="I321" s="35"/>
      <c r="J321" s="74"/>
      <c r="K321" s="74"/>
      <c r="L321" s="74"/>
      <c r="M321" s="74"/>
      <c r="N321" s="74"/>
      <c r="O321" s="74"/>
      <c r="P321" s="74"/>
      <c r="Q321" s="74"/>
      <c r="R321" s="74"/>
      <c r="S321" s="74"/>
      <c r="T321" s="74"/>
      <c r="U321" s="74"/>
      <c r="V321" s="74"/>
      <c r="W321" s="74"/>
      <c r="X321" s="74"/>
      <c r="Y321" s="74"/>
      <c r="Z321" s="74"/>
      <c r="AA321" s="74"/>
      <c r="AB321" s="74"/>
    </row>
    <row r="322" spans="1:28" ht="12" customHeight="1">
      <c r="A322" s="763"/>
      <c r="B322" s="104"/>
      <c r="C322" s="104"/>
      <c r="D322" s="260"/>
      <c r="E322" s="104"/>
      <c r="F322" s="104"/>
      <c r="G322" s="35"/>
      <c r="H322" s="104"/>
      <c r="I322" s="35"/>
      <c r="J322" s="74"/>
      <c r="K322" s="74"/>
      <c r="L322" s="74"/>
      <c r="M322" s="74"/>
      <c r="N322" s="74"/>
      <c r="O322" s="74"/>
      <c r="P322" s="74"/>
      <c r="Q322" s="74"/>
      <c r="R322" s="74"/>
      <c r="S322" s="74"/>
      <c r="T322" s="74"/>
      <c r="U322" s="74"/>
      <c r="V322" s="74"/>
      <c r="W322" s="74"/>
      <c r="X322" s="74"/>
      <c r="Y322" s="74"/>
      <c r="Z322" s="74"/>
      <c r="AA322" s="74"/>
      <c r="AB322" s="74"/>
    </row>
    <row r="323" spans="1:28" ht="12" customHeight="1">
      <c r="A323" s="763"/>
      <c r="B323" s="104"/>
      <c r="C323" s="104"/>
      <c r="D323" s="260"/>
      <c r="E323" s="104"/>
      <c r="F323" s="104"/>
      <c r="G323" s="35"/>
      <c r="H323" s="104"/>
      <c r="I323" s="35"/>
      <c r="J323" s="74"/>
      <c r="K323" s="74"/>
      <c r="L323" s="74"/>
      <c r="M323" s="74"/>
      <c r="N323" s="74"/>
      <c r="O323" s="74"/>
      <c r="P323" s="74"/>
      <c r="Q323" s="74"/>
      <c r="R323" s="74"/>
      <c r="S323" s="74"/>
      <c r="T323" s="74"/>
      <c r="U323" s="74"/>
      <c r="V323" s="74"/>
      <c r="W323" s="74"/>
      <c r="X323" s="74"/>
      <c r="Y323" s="74"/>
      <c r="Z323" s="74"/>
      <c r="AA323" s="74"/>
      <c r="AB323" s="74"/>
    </row>
    <row r="324" spans="1:28" ht="12" customHeight="1">
      <c r="A324" s="763"/>
      <c r="B324" s="104"/>
      <c r="C324" s="104"/>
      <c r="D324" s="260"/>
      <c r="E324" s="104"/>
      <c r="F324" s="104"/>
      <c r="G324" s="35"/>
      <c r="H324" s="104"/>
      <c r="I324" s="35"/>
      <c r="J324" s="74"/>
      <c r="K324" s="74"/>
      <c r="L324" s="74"/>
      <c r="M324" s="74"/>
      <c r="N324" s="74"/>
      <c r="O324" s="74"/>
      <c r="P324" s="74"/>
      <c r="Q324" s="74"/>
      <c r="R324" s="74"/>
      <c r="S324" s="74"/>
      <c r="T324" s="74"/>
      <c r="U324" s="74"/>
      <c r="V324" s="74"/>
      <c r="W324" s="74"/>
      <c r="X324" s="74"/>
      <c r="Y324" s="74"/>
      <c r="Z324" s="74"/>
      <c r="AA324" s="74"/>
      <c r="AB324" s="74"/>
    </row>
    <row r="325" spans="1:28" ht="12" customHeight="1">
      <c r="A325" s="763"/>
      <c r="B325" s="104"/>
      <c r="C325" s="104"/>
      <c r="D325" s="260"/>
      <c r="E325" s="104"/>
      <c r="F325" s="104"/>
      <c r="G325" s="35"/>
      <c r="H325" s="104"/>
      <c r="I325" s="35"/>
      <c r="J325" s="74"/>
      <c r="K325" s="74"/>
      <c r="L325" s="74"/>
      <c r="M325" s="74"/>
      <c r="N325" s="74"/>
      <c r="O325" s="74"/>
      <c r="P325" s="74"/>
      <c r="Q325" s="74"/>
      <c r="R325" s="74"/>
      <c r="S325" s="74"/>
      <c r="T325" s="74"/>
      <c r="U325" s="74"/>
      <c r="V325" s="74"/>
      <c r="W325" s="74"/>
      <c r="X325" s="74"/>
      <c r="Y325" s="74"/>
      <c r="Z325" s="74"/>
      <c r="AA325" s="74"/>
      <c r="AB325" s="74"/>
    </row>
    <row r="326" spans="1:28" ht="12" customHeight="1">
      <c r="A326" s="763"/>
      <c r="B326" s="104"/>
      <c r="C326" s="104"/>
      <c r="D326" s="260"/>
      <c r="E326" s="104"/>
      <c r="F326" s="104"/>
      <c r="G326" s="35"/>
      <c r="H326" s="104"/>
      <c r="I326" s="35"/>
      <c r="J326" s="74"/>
      <c r="K326" s="74"/>
      <c r="L326" s="74"/>
      <c r="M326" s="74"/>
      <c r="N326" s="74"/>
      <c r="O326" s="74"/>
      <c r="P326" s="74"/>
      <c r="Q326" s="74"/>
      <c r="R326" s="74"/>
      <c r="S326" s="74"/>
      <c r="T326" s="74"/>
      <c r="U326" s="74"/>
      <c r="V326" s="74"/>
      <c r="W326" s="74"/>
      <c r="X326" s="74"/>
      <c r="Y326" s="74"/>
      <c r="Z326" s="74"/>
      <c r="AA326" s="74"/>
      <c r="AB326" s="74"/>
    </row>
    <row r="327" spans="1:28" ht="12" customHeight="1">
      <c r="A327" s="763"/>
      <c r="B327" s="104"/>
      <c r="C327" s="104"/>
      <c r="D327" s="260"/>
      <c r="E327" s="104"/>
      <c r="F327" s="104"/>
      <c r="G327" s="35"/>
      <c r="H327" s="104"/>
      <c r="I327" s="35"/>
      <c r="J327" s="74"/>
      <c r="K327" s="74"/>
      <c r="L327" s="74"/>
      <c r="M327" s="74"/>
      <c r="N327" s="74"/>
      <c r="O327" s="74"/>
      <c r="P327" s="74"/>
      <c r="Q327" s="74"/>
      <c r="R327" s="74"/>
      <c r="S327" s="74"/>
      <c r="T327" s="74"/>
      <c r="U327" s="74"/>
      <c r="V327" s="74"/>
      <c r="W327" s="74"/>
      <c r="X327" s="74"/>
      <c r="Y327" s="74"/>
      <c r="Z327" s="74"/>
      <c r="AA327" s="74"/>
      <c r="AB327" s="74"/>
    </row>
    <row r="328" spans="1:28" ht="12" customHeight="1">
      <c r="A328" s="763"/>
      <c r="B328" s="104"/>
      <c r="C328" s="104"/>
      <c r="D328" s="260"/>
      <c r="E328" s="104"/>
      <c r="F328" s="104"/>
      <c r="G328" s="35"/>
      <c r="H328" s="104"/>
      <c r="I328" s="35"/>
      <c r="J328" s="74"/>
      <c r="K328" s="74"/>
      <c r="L328" s="74"/>
      <c r="M328" s="74"/>
      <c r="N328" s="74"/>
      <c r="O328" s="74"/>
      <c r="P328" s="74"/>
      <c r="Q328" s="74"/>
      <c r="R328" s="74"/>
      <c r="S328" s="74"/>
      <c r="T328" s="74"/>
      <c r="U328" s="74"/>
      <c r="V328" s="74"/>
      <c r="W328" s="74"/>
      <c r="X328" s="74"/>
      <c r="Y328" s="74"/>
      <c r="Z328" s="74"/>
      <c r="AA328" s="74"/>
      <c r="AB328" s="74"/>
    </row>
    <row r="329" spans="1:28" ht="12" customHeight="1">
      <c r="A329" s="763"/>
      <c r="B329" s="104"/>
      <c r="C329" s="104"/>
      <c r="D329" s="260"/>
      <c r="E329" s="104"/>
      <c r="F329" s="104"/>
      <c r="G329" s="35"/>
      <c r="H329" s="104"/>
      <c r="I329" s="35"/>
      <c r="J329" s="74"/>
      <c r="K329" s="74"/>
      <c r="L329" s="74"/>
      <c r="M329" s="74"/>
      <c r="N329" s="74"/>
      <c r="O329" s="74"/>
      <c r="P329" s="74"/>
      <c r="Q329" s="74"/>
      <c r="R329" s="74"/>
      <c r="S329" s="74"/>
      <c r="T329" s="74"/>
      <c r="U329" s="74"/>
      <c r="V329" s="74"/>
      <c r="W329" s="74"/>
      <c r="X329" s="74"/>
      <c r="Y329" s="74"/>
      <c r="Z329" s="74"/>
      <c r="AA329" s="74"/>
      <c r="AB329" s="74"/>
    </row>
    <row r="330" spans="1:28" ht="12" customHeight="1">
      <c r="A330" s="763"/>
      <c r="B330" s="104"/>
      <c r="C330" s="104"/>
      <c r="D330" s="260"/>
      <c r="E330" s="104"/>
      <c r="F330" s="104"/>
      <c r="G330" s="35"/>
      <c r="H330" s="104"/>
      <c r="I330" s="35"/>
      <c r="J330" s="74"/>
      <c r="K330" s="74"/>
      <c r="L330" s="74"/>
      <c r="M330" s="74"/>
      <c r="N330" s="74"/>
      <c r="O330" s="74"/>
      <c r="P330" s="74"/>
      <c r="Q330" s="74"/>
      <c r="R330" s="74"/>
      <c r="S330" s="74"/>
      <c r="T330" s="74"/>
      <c r="U330" s="74"/>
      <c r="V330" s="74"/>
      <c r="W330" s="74"/>
      <c r="X330" s="74"/>
      <c r="Y330" s="74"/>
      <c r="Z330" s="74"/>
      <c r="AA330" s="74"/>
      <c r="AB330" s="74"/>
    </row>
    <row r="331" spans="1:28" ht="12" customHeight="1">
      <c r="A331" s="763"/>
      <c r="B331" s="104"/>
      <c r="C331" s="104"/>
      <c r="D331" s="260"/>
      <c r="E331" s="104"/>
      <c r="F331" s="104"/>
      <c r="G331" s="35"/>
      <c r="H331" s="104"/>
      <c r="I331" s="35"/>
      <c r="J331" s="74"/>
      <c r="K331" s="74"/>
      <c r="L331" s="74"/>
      <c r="M331" s="74"/>
      <c r="N331" s="74"/>
      <c r="O331" s="74"/>
      <c r="P331" s="74"/>
      <c r="Q331" s="74"/>
      <c r="R331" s="74"/>
      <c r="S331" s="74"/>
      <c r="T331" s="74"/>
      <c r="U331" s="74"/>
      <c r="V331" s="74"/>
      <c r="W331" s="74"/>
      <c r="X331" s="74"/>
      <c r="Y331" s="74"/>
      <c r="Z331" s="74"/>
      <c r="AA331" s="74"/>
      <c r="AB331" s="74"/>
    </row>
    <row r="332" spans="1:28" ht="12" customHeight="1">
      <c r="A332" s="763"/>
      <c r="B332" s="104"/>
      <c r="C332" s="104"/>
      <c r="D332" s="260"/>
      <c r="E332" s="104"/>
      <c r="F332" s="104"/>
      <c r="G332" s="35"/>
      <c r="H332" s="104"/>
      <c r="I332" s="35"/>
      <c r="J332" s="74"/>
      <c r="K332" s="74"/>
      <c r="L332" s="74"/>
      <c r="M332" s="74"/>
      <c r="N332" s="74"/>
      <c r="O332" s="74"/>
      <c r="P332" s="74"/>
      <c r="Q332" s="74"/>
      <c r="R332" s="74"/>
      <c r="S332" s="74"/>
      <c r="T332" s="74"/>
      <c r="U332" s="74"/>
      <c r="V332" s="74"/>
      <c r="W332" s="74"/>
      <c r="X332" s="74"/>
      <c r="Y332" s="74"/>
      <c r="Z332" s="74"/>
      <c r="AA332" s="74"/>
      <c r="AB332" s="74"/>
    </row>
    <row r="333" spans="1:28" ht="12" customHeight="1">
      <c r="A333" s="763"/>
      <c r="B333" s="104"/>
      <c r="C333" s="104"/>
      <c r="D333" s="260"/>
      <c r="E333" s="104"/>
      <c r="F333" s="104"/>
      <c r="G333" s="35"/>
      <c r="H333" s="104"/>
      <c r="I333" s="35"/>
      <c r="J333" s="74"/>
      <c r="K333" s="74"/>
      <c r="L333" s="74"/>
      <c r="M333" s="74"/>
      <c r="N333" s="74"/>
      <c r="O333" s="74"/>
      <c r="P333" s="74"/>
      <c r="Q333" s="74"/>
      <c r="R333" s="74"/>
      <c r="S333" s="74"/>
      <c r="T333" s="74"/>
      <c r="U333" s="74"/>
      <c r="V333" s="74"/>
      <c r="W333" s="74"/>
      <c r="X333" s="74"/>
      <c r="Y333" s="74"/>
      <c r="Z333" s="74"/>
      <c r="AA333" s="74"/>
      <c r="AB333" s="74"/>
    </row>
    <row r="334" spans="1:28" ht="12" customHeight="1">
      <c r="A334" s="763"/>
      <c r="B334" s="104"/>
      <c r="C334" s="104"/>
      <c r="D334" s="260"/>
      <c r="E334" s="104"/>
      <c r="F334" s="104"/>
      <c r="G334" s="35"/>
      <c r="H334" s="104"/>
      <c r="I334" s="35"/>
      <c r="J334" s="74"/>
      <c r="K334" s="74"/>
      <c r="L334" s="74"/>
      <c r="M334" s="74"/>
      <c r="N334" s="74"/>
      <c r="O334" s="74"/>
      <c r="P334" s="74"/>
      <c r="Q334" s="74"/>
      <c r="R334" s="74"/>
      <c r="S334" s="74"/>
      <c r="T334" s="74"/>
      <c r="U334" s="74"/>
      <c r="V334" s="74"/>
      <c r="W334" s="74"/>
      <c r="X334" s="74"/>
      <c r="Y334" s="74"/>
      <c r="Z334" s="74"/>
      <c r="AA334" s="74"/>
      <c r="AB334" s="74"/>
    </row>
    <row r="335" spans="1:28" ht="12" customHeight="1">
      <c r="A335" s="763"/>
      <c r="B335" s="104"/>
      <c r="C335" s="104"/>
      <c r="D335" s="260"/>
      <c r="E335" s="104"/>
      <c r="F335" s="104"/>
      <c r="G335" s="35"/>
      <c r="H335" s="104"/>
      <c r="I335" s="35"/>
      <c r="J335" s="74"/>
      <c r="K335" s="74"/>
      <c r="L335" s="74"/>
      <c r="M335" s="74"/>
      <c r="N335" s="74"/>
      <c r="O335" s="74"/>
      <c r="P335" s="74"/>
      <c r="Q335" s="74"/>
      <c r="R335" s="74"/>
      <c r="S335" s="74"/>
      <c r="T335" s="74"/>
      <c r="U335" s="74"/>
      <c r="V335" s="74"/>
      <c r="W335" s="74"/>
      <c r="X335" s="74"/>
      <c r="Y335" s="74"/>
      <c r="Z335" s="74"/>
      <c r="AA335" s="74"/>
      <c r="AB335" s="74"/>
    </row>
    <row r="336" spans="1:28" ht="12" customHeight="1">
      <c r="A336" s="763"/>
      <c r="B336" s="104"/>
      <c r="C336" s="104"/>
      <c r="D336" s="260"/>
      <c r="E336" s="104"/>
      <c r="F336" s="104"/>
      <c r="G336" s="35"/>
      <c r="H336" s="104"/>
      <c r="I336" s="35"/>
      <c r="J336" s="74"/>
      <c r="K336" s="74"/>
      <c r="L336" s="74"/>
      <c r="M336" s="74"/>
      <c r="N336" s="74"/>
      <c r="O336" s="74"/>
      <c r="P336" s="74"/>
      <c r="Q336" s="74"/>
      <c r="R336" s="74"/>
      <c r="S336" s="74"/>
      <c r="T336" s="74"/>
      <c r="U336" s="74"/>
      <c r="V336" s="74"/>
      <c r="W336" s="74"/>
      <c r="X336" s="74"/>
      <c r="Y336" s="74"/>
      <c r="Z336" s="74"/>
      <c r="AA336" s="74"/>
      <c r="AB336" s="74"/>
    </row>
    <row r="337" spans="1:28" ht="12" customHeight="1">
      <c r="A337" s="763"/>
      <c r="B337" s="104"/>
      <c r="C337" s="104"/>
      <c r="D337" s="260"/>
      <c r="E337" s="104"/>
      <c r="F337" s="104"/>
      <c r="G337" s="35"/>
      <c r="H337" s="104"/>
      <c r="I337" s="35"/>
      <c r="J337" s="74"/>
      <c r="K337" s="74"/>
      <c r="L337" s="74"/>
      <c r="M337" s="74"/>
      <c r="N337" s="74"/>
      <c r="O337" s="74"/>
      <c r="P337" s="74"/>
      <c r="Q337" s="74"/>
      <c r="R337" s="74"/>
      <c r="S337" s="74"/>
      <c r="T337" s="74"/>
      <c r="U337" s="74"/>
      <c r="V337" s="74"/>
      <c r="W337" s="74"/>
      <c r="X337" s="74"/>
      <c r="Y337" s="74"/>
      <c r="Z337" s="74"/>
      <c r="AA337" s="74"/>
      <c r="AB337" s="74"/>
    </row>
    <row r="338" spans="1:28" ht="12" customHeight="1">
      <c r="A338" s="763"/>
      <c r="B338" s="104"/>
      <c r="C338" s="104"/>
      <c r="D338" s="260"/>
      <c r="E338" s="104"/>
      <c r="F338" s="104"/>
      <c r="G338" s="35"/>
      <c r="H338" s="104"/>
      <c r="I338" s="35"/>
      <c r="J338" s="74"/>
      <c r="K338" s="74"/>
      <c r="L338" s="74"/>
      <c r="M338" s="74"/>
      <c r="N338" s="74"/>
      <c r="O338" s="74"/>
      <c r="P338" s="74"/>
      <c r="Q338" s="74"/>
      <c r="R338" s="74"/>
      <c r="S338" s="74"/>
      <c r="T338" s="74"/>
      <c r="U338" s="74"/>
      <c r="V338" s="74"/>
      <c r="W338" s="74"/>
      <c r="X338" s="74"/>
      <c r="Y338" s="74"/>
      <c r="Z338" s="74"/>
      <c r="AA338" s="74"/>
      <c r="AB338" s="74"/>
    </row>
    <row r="339" spans="1:28" ht="12" customHeight="1">
      <c r="A339" s="763"/>
      <c r="B339" s="104"/>
      <c r="C339" s="104"/>
      <c r="D339" s="260"/>
      <c r="E339" s="104"/>
      <c r="F339" s="104"/>
      <c r="G339" s="35"/>
      <c r="H339" s="104"/>
      <c r="I339" s="35"/>
      <c r="J339" s="74"/>
      <c r="K339" s="74"/>
      <c r="L339" s="74"/>
      <c r="M339" s="74"/>
      <c r="N339" s="74"/>
      <c r="O339" s="74"/>
      <c r="P339" s="74"/>
      <c r="Q339" s="74"/>
      <c r="R339" s="74"/>
      <c r="S339" s="74"/>
      <c r="T339" s="74"/>
      <c r="U339" s="74"/>
      <c r="V339" s="74"/>
      <c r="W339" s="74"/>
      <c r="X339" s="74"/>
      <c r="Y339" s="74"/>
      <c r="Z339" s="74"/>
      <c r="AA339" s="74"/>
      <c r="AB339" s="74"/>
    </row>
    <row r="340" spans="1:28" ht="12" customHeight="1">
      <c r="A340" s="763"/>
      <c r="B340" s="104"/>
      <c r="C340" s="104"/>
      <c r="D340" s="260"/>
      <c r="E340" s="104"/>
      <c r="F340" s="104"/>
      <c r="G340" s="35"/>
      <c r="H340" s="104"/>
      <c r="I340" s="35"/>
      <c r="J340" s="74"/>
      <c r="K340" s="74"/>
      <c r="L340" s="74"/>
      <c r="M340" s="74"/>
      <c r="N340" s="74"/>
      <c r="O340" s="74"/>
      <c r="P340" s="74"/>
      <c r="Q340" s="74"/>
      <c r="R340" s="74"/>
      <c r="S340" s="74"/>
      <c r="T340" s="74"/>
      <c r="U340" s="74"/>
      <c r="V340" s="74"/>
      <c r="W340" s="74"/>
      <c r="X340" s="74"/>
      <c r="Y340" s="74"/>
      <c r="Z340" s="74"/>
      <c r="AA340" s="74"/>
      <c r="AB340" s="74"/>
    </row>
    <row r="341" spans="1:28" ht="12" customHeight="1">
      <c r="A341" s="763"/>
      <c r="B341" s="104"/>
      <c r="C341" s="104"/>
      <c r="D341" s="260"/>
      <c r="E341" s="104"/>
      <c r="F341" s="104"/>
      <c r="G341" s="35"/>
      <c r="H341" s="104"/>
      <c r="I341" s="35"/>
      <c r="J341" s="74"/>
      <c r="K341" s="74"/>
      <c r="L341" s="74"/>
      <c r="M341" s="74"/>
      <c r="N341" s="74"/>
      <c r="O341" s="74"/>
      <c r="P341" s="74"/>
      <c r="Q341" s="74"/>
      <c r="R341" s="74"/>
      <c r="S341" s="74"/>
      <c r="T341" s="74"/>
      <c r="U341" s="74"/>
      <c r="V341" s="74"/>
      <c r="W341" s="74"/>
      <c r="X341" s="74"/>
      <c r="Y341" s="74"/>
      <c r="Z341" s="74"/>
      <c r="AA341" s="74"/>
      <c r="AB341" s="74"/>
    </row>
    <row r="342" spans="1:28" ht="12" customHeight="1">
      <c r="A342" s="763"/>
      <c r="B342" s="104"/>
      <c r="C342" s="104"/>
      <c r="D342" s="260"/>
      <c r="E342" s="104"/>
      <c r="F342" s="104"/>
      <c r="G342" s="35"/>
      <c r="H342" s="104"/>
      <c r="I342" s="35"/>
      <c r="J342" s="74"/>
      <c r="K342" s="74"/>
      <c r="L342" s="74"/>
      <c r="M342" s="74"/>
      <c r="N342" s="74"/>
      <c r="O342" s="74"/>
      <c r="P342" s="74"/>
      <c r="Q342" s="74"/>
      <c r="R342" s="74"/>
      <c r="S342" s="74"/>
      <c r="T342" s="74"/>
      <c r="U342" s="74"/>
      <c r="V342" s="74"/>
      <c r="W342" s="74"/>
      <c r="X342" s="74"/>
      <c r="Y342" s="74"/>
      <c r="Z342" s="74"/>
      <c r="AA342" s="74"/>
      <c r="AB342" s="74"/>
    </row>
    <row r="343" spans="1:28" ht="12" customHeight="1">
      <c r="A343" s="763"/>
      <c r="B343" s="104"/>
      <c r="C343" s="104"/>
      <c r="D343" s="260"/>
      <c r="E343" s="104"/>
      <c r="F343" s="104"/>
      <c r="G343" s="35"/>
      <c r="H343" s="104"/>
      <c r="I343" s="35"/>
      <c r="J343" s="74"/>
      <c r="K343" s="74"/>
      <c r="L343" s="74"/>
      <c r="M343" s="74"/>
      <c r="N343" s="74"/>
      <c r="O343" s="74"/>
      <c r="P343" s="74"/>
      <c r="Q343" s="74"/>
      <c r="R343" s="74"/>
      <c r="S343" s="74"/>
      <c r="T343" s="74"/>
      <c r="U343" s="74"/>
      <c r="V343" s="74"/>
      <c r="W343" s="74"/>
      <c r="X343" s="74"/>
      <c r="Y343" s="74"/>
      <c r="Z343" s="74"/>
      <c r="AA343" s="74"/>
      <c r="AB343" s="74"/>
    </row>
    <row r="344" spans="1:28" ht="12" customHeight="1">
      <c r="A344" s="763"/>
      <c r="B344" s="104"/>
      <c r="C344" s="104"/>
      <c r="D344" s="260"/>
      <c r="E344" s="104"/>
      <c r="F344" s="104"/>
      <c r="G344" s="35"/>
      <c r="H344" s="104"/>
      <c r="I344" s="35"/>
      <c r="J344" s="74"/>
      <c r="K344" s="74"/>
      <c r="L344" s="74"/>
      <c r="M344" s="74"/>
      <c r="N344" s="74"/>
      <c r="O344" s="74"/>
      <c r="P344" s="74"/>
      <c r="Q344" s="74"/>
      <c r="R344" s="74"/>
      <c r="S344" s="74"/>
      <c r="T344" s="74"/>
      <c r="U344" s="74"/>
      <c r="V344" s="74"/>
      <c r="W344" s="74"/>
      <c r="X344" s="74"/>
      <c r="Y344" s="74"/>
      <c r="Z344" s="74"/>
      <c r="AA344" s="74"/>
      <c r="AB344" s="74"/>
    </row>
    <row r="345" spans="1:28" ht="12" customHeight="1">
      <c r="A345" s="763"/>
      <c r="B345" s="104"/>
      <c r="C345" s="104"/>
      <c r="D345" s="260"/>
      <c r="E345" s="104"/>
      <c r="F345" s="104"/>
      <c r="G345" s="35"/>
      <c r="H345" s="104"/>
      <c r="I345" s="35"/>
      <c r="J345" s="74"/>
      <c r="K345" s="74"/>
      <c r="L345" s="74"/>
      <c r="M345" s="74"/>
      <c r="N345" s="74"/>
      <c r="O345" s="74"/>
      <c r="P345" s="74"/>
      <c r="Q345" s="74"/>
      <c r="R345" s="74"/>
      <c r="S345" s="74"/>
      <c r="T345" s="74"/>
      <c r="U345" s="74"/>
      <c r="V345" s="74"/>
      <c r="W345" s="74"/>
      <c r="X345" s="74"/>
      <c r="Y345" s="74"/>
      <c r="Z345" s="74"/>
      <c r="AA345" s="74"/>
      <c r="AB345" s="74"/>
    </row>
    <row r="346" spans="1:28" ht="12" customHeight="1">
      <c r="A346" s="763"/>
      <c r="B346" s="104"/>
      <c r="C346" s="104"/>
      <c r="D346" s="260"/>
      <c r="E346" s="104"/>
      <c r="F346" s="104"/>
      <c r="G346" s="35"/>
      <c r="H346" s="104"/>
      <c r="I346" s="35"/>
      <c r="J346" s="74"/>
      <c r="K346" s="74"/>
      <c r="L346" s="74"/>
      <c r="M346" s="74"/>
      <c r="N346" s="74"/>
      <c r="O346" s="74"/>
      <c r="P346" s="74"/>
      <c r="Q346" s="74"/>
      <c r="R346" s="74"/>
      <c r="S346" s="74"/>
      <c r="T346" s="74"/>
      <c r="U346" s="74"/>
      <c r="V346" s="74"/>
      <c r="W346" s="74"/>
      <c r="X346" s="74"/>
      <c r="Y346" s="74"/>
      <c r="Z346" s="74"/>
      <c r="AA346" s="74"/>
      <c r="AB346" s="74"/>
    </row>
    <row r="347" spans="1:28" ht="12" customHeight="1">
      <c r="A347" s="763"/>
      <c r="B347" s="104"/>
      <c r="C347" s="104"/>
      <c r="D347" s="260"/>
      <c r="E347" s="104"/>
      <c r="F347" s="104"/>
      <c r="G347" s="35"/>
      <c r="H347" s="104"/>
      <c r="I347" s="35"/>
      <c r="J347" s="74"/>
      <c r="K347" s="74"/>
      <c r="L347" s="74"/>
      <c r="M347" s="74"/>
      <c r="N347" s="74"/>
      <c r="O347" s="74"/>
      <c r="P347" s="74"/>
      <c r="Q347" s="74"/>
      <c r="R347" s="74"/>
      <c r="S347" s="74"/>
      <c r="T347" s="74"/>
      <c r="U347" s="74"/>
      <c r="V347" s="74"/>
      <c r="W347" s="74"/>
      <c r="X347" s="74"/>
      <c r="Y347" s="74"/>
      <c r="Z347" s="74"/>
      <c r="AA347" s="74"/>
      <c r="AB347" s="74"/>
    </row>
    <row r="348" spans="1:28" ht="12" customHeight="1">
      <c r="A348" s="763"/>
      <c r="B348" s="104"/>
      <c r="C348" s="104"/>
      <c r="D348" s="260"/>
      <c r="E348" s="104"/>
      <c r="F348" s="104"/>
      <c r="G348" s="35"/>
      <c r="H348" s="104"/>
      <c r="I348" s="35"/>
      <c r="J348" s="74"/>
      <c r="K348" s="74"/>
      <c r="L348" s="74"/>
      <c r="M348" s="74"/>
      <c r="N348" s="74"/>
      <c r="O348" s="74"/>
      <c r="P348" s="74"/>
      <c r="Q348" s="74"/>
      <c r="R348" s="74"/>
      <c r="S348" s="74"/>
      <c r="T348" s="74"/>
      <c r="U348" s="74"/>
      <c r="V348" s="74"/>
      <c r="W348" s="74"/>
      <c r="X348" s="74"/>
      <c r="Y348" s="74"/>
      <c r="Z348" s="74"/>
      <c r="AA348" s="74"/>
      <c r="AB348" s="74"/>
    </row>
    <row r="349" spans="1:28" ht="12" customHeight="1">
      <c r="A349" s="763"/>
      <c r="B349" s="104"/>
      <c r="C349" s="104"/>
      <c r="D349" s="260"/>
      <c r="E349" s="104"/>
      <c r="F349" s="104"/>
      <c r="G349" s="35"/>
      <c r="H349" s="104"/>
      <c r="I349" s="35"/>
      <c r="J349" s="74"/>
      <c r="K349" s="74"/>
      <c r="L349" s="74"/>
      <c r="M349" s="74"/>
      <c r="N349" s="74"/>
      <c r="O349" s="74"/>
      <c r="P349" s="74"/>
      <c r="Q349" s="74"/>
      <c r="R349" s="74"/>
      <c r="S349" s="74"/>
      <c r="T349" s="74"/>
      <c r="U349" s="74"/>
      <c r="V349" s="74"/>
      <c r="W349" s="74"/>
      <c r="X349" s="74"/>
      <c r="Y349" s="74"/>
      <c r="Z349" s="74"/>
      <c r="AA349" s="74"/>
      <c r="AB349" s="74"/>
    </row>
    <row r="350" spans="1:28" ht="12" customHeight="1">
      <c r="A350" s="763"/>
      <c r="B350" s="104"/>
      <c r="C350" s="104"/>
      <c r="D350" s="260"/>
      <c r="E350" s="104"/>
      <c r="F350" s="104"/>
      <c r="G350" s="35"/>
      <c r="H350" s="104"/>
      <c r="I350" s="35"/>
      <c r="J350" s="74"/>
      <c r="K350" s="74"/>
      <c r="L350" s="74"/>
      <c r="M350" s="74"/>
      <c r="N350" s="74"/>
      <c r="O350" s="74"/>
      <c r="P350" s="74"/>
      <c r="Q350" s="74"/>
      <c r="R350" s="74"/>
      <c r="S350" s="74"/>
      <c r="T350" s="74"/>
      <c r="U350" s="74"/>
      <c r="V350" s="74"/>
      <c r="W350" s="74"/>
      <c r="X350" s="74"/>
      <c r="Y350" s="74"/>
      <c r="Z350" s="74"/>
      <c r="AA350" s="74"/>
      <c r="AB350" s="74"/>
    </row>
    <row r="351" spans="1:28" ht="12" customHeight="1">
      <c r="A351" s="763"/>
      <c r="B351" s="104"/>
      <c r="C351" s="104"/>
      <c r="D351" s="260"/>
      <c r="E351" s="104"/>
      <c r="F351" s="104"/>
      <c r="G351" s="35"/>
      <c r="H351" s="104"/>
      <c r="I351" s="35"/>
      <c r="J351" s="74"/>
      <c r="K351" s="74"/>
      <c r="L351" s="74"/>
      <c r="M351" s="74"/>
      <c r="N351" s="74"/>
      <c r="O351" s="74"/>
      <c r="P351" s="74"/>
      <c r="Q351" s="74"/>
      <c r="R351" s="74"/>
      <c r="S351" s="74"/>
      <c r="T351" s="74"/>
      <c r="U351" s="74"/>
      <c r="V351" s="74"/>
      <c r="W351" s="74"/>
      <c r="X351" s="74"/>
      <c r="Y351" s="74"/>
      <c r="Z351" s="74"/>
      <c r="AA351" s="74"/>
      <c r="AB351" s="74"/>
    </row>
    <row r="352" spans="1:28" ht="12" customHeight="1">
      <c r="A352" s="763"/>
      <c r="B352" s="104"/>
      <c r="C352" s="104"/>
      <c r="D352" s="260"/>
      <c r="E352" s="104"/>
      <c r="F352" s="104"/>
      <c r="G352" s="35"/>
      <c r="H352" s="104"/>
      <c r="I352" s="35"/>
      <c r="J352" s="74"/>
      <c r="K352" s="74"/>
      <c r="L352" s="74"/>
      <c r="M352" s="74"/>
      <c r="N352" s="74"/>
      <c r="O352" s="74"/>
      <c r="P352" s="74"/>
      <c r="Q352" s="74"/>
      <c r="R352" s="74"/>
      <c r="S352" s="74"/>
      <c r="T352" s="74"/>
      <c r="U352" s="74"/>
      <c r="V352" s="74"/>
      <c r="W352" s="74"/>
      <c r="X352" s="74"/>
      <c r="Y352" s="74"/>
      <c r="Z352" s="74"/>
      <c r="AA352" s="74"/>
      <c r="AB352" s="74"/>
    </row>
    <row r="353" spans="1:28" ht="12" customHeight="1">
      <c r="A353" s="763"/>
      <c r="B353" s="104"/>
      <c r="C353" s="104"/>
      <c r="D353" s="260"/>
      <c r="E353" s="104"/>
      <c r="F353" s="104"/>
      <c r="G353" s="35"/>
      <c r="H353" s="104"/>
      <c r="I353" s="35"/>
      <c r="J353" s="74"/>
      <c r="K353" s="74"/>
      <c r="L353" s="74"/>
      <c r="M353" s="74"/>
      <c r="N353" s="74"/>
      <c r="O353" s="74"/>
      <c r="P353" s="74"/>
      <c r="Q353" s="74"/>
      <c r="R353" s="74"/>
      <c r="S353" s="74"/>
      <c r="T353" s="74"/>
      <c r="U353" s="74"/>
      <c r="V353" s="74"/>
      <c r="W353" s="74"/>
      <c r="X353" s="74"/>
      <c r="Y353" s="74"/>
      <c r="Z353" s="74"/>
      <c r="AA353" s="74"/>
      <c r="AB353" s="74"/>
    </row>
    <row r="354" spans="1:28" ht="12" customHeight="1">
      <c r="A354" s="763"/>
      <c r="B354" s="104"/>
      <c r="C354" s="104"/>
      <c r="D354" s="260"/>
      <c r="E354" s="104"/>
      <c r="F354" s="104"/>
      <c r="G354" s="35"/>
      <c r="H354" s="104"/>
      <c r="I354" s="35"/>
      <c r="J354" s="74"/>
      <c r="K354" s="74"/>
      <c r="L354" s="74"/>
      <c r="M354" s="74"/>
      <c r="N354" s="74"/>
      <c r="O354" s="74"/>
      <c r="P354" s="74"/>
      <c r="Q354" s="74"/>
      <c r="R354" s="74"/>
      <c r="S354" s="74"/>
      <c r="T354" s="74"/>
      <c r="U354" s="74"/>
      <c r="V354" s="74"/>
      <c r="W354" s="74"/>
      <c r="X354" s="74"/>
      <c r="Y354" s="74"/>
      <c r="Z354" s="74"/>
      <c r="AA354" s="74"/>
      <c r="AB354" s="74"/>
    </row>
    <row r="355" spans="1:28" ht="12" customHeight="1">
      <c r="A355" s="763"/>
      <c r="B355" s="104"/>
      <c r="C355" s="104"/>
      <c r="D355" s="260"/>
      <c r="E355" s="104"/>
      <c r="F355" s="104"/>
      <c r="G355" s="35"/>
      <c r="H355" s="104"/>
      <c r="I355" s="35"/>
      <c r="J355" s="74"/>
      <c r="K355" s="74"/>
      <c r="L355" s="74"/>
      <c r="M355" s="74"/>
      <c r="N355" s="74"/>
      <c r="O355" s="74"/>
      <c r="P355" s="74"/>
      <c r="Q355" s="74"/>
      <c r="R355" s="74"/>
      <c r="S355" s="74"/>
      <c r="T355" s="74"/>
      <c r="U355" s="74"/>
      <c r="V355" s="74"/>
      <c r="W355" s="74"/>
      <c r="X355" s="74"/>
      <c r="Y355" s="74"/>
      <c r="Z355" s="74"/>
      <c r="AA355" s="74"/>
      <c r="AB355" s="74"/>
    </row>
    <row r="356" spans="1:28" ht="12" customHeight="1">
      <c r="A356" s="763"/>
      <c r="B356" s="104"/>
      <c r="C356" s="104"/>
      <c r="D356" s="260"/>
      <c r="E356" s="104"/>
      <c r="F356" s="104"/>
      <c r="G356" s="35"/>
      <c r="H356" s="104"/>
      <c r="I356" s="35"/>
      <c r="J356" s="74"/>
      <c r="K356" s="74"/>
      <c r="L356" s="74"/>
      <c r="M356" s="74"/>
      <c r="N356" s="74"/>
      <c r="O356" s="74"/>
      <c r="P356" s="74"/>
      <c r="Q356" s="74"/>
      <c r="R356" s="74"/>
      <c r="S356" s="74"/>
      <c r="T356" s="74"/>
      <c r="U356" s="74"/>
      <c r="V356" s="74"/>
      <c r="W356" s="74"/>
      <c r="X356" s="74"/>
      <c r="Y356" s="74"/>
      <c r="Z356" s="74"/>
      <c r="AA356" s="74"/>
      <c r="AB356" s="74"/>
    </row>
    <row r="357" spans="1:28" ht="12" customHeight="1">
      <c r="A357" s="763"/>
      <c r="B357" s="104"/>
      <c r="C357" s="104"/>
      <c r="D357" s="260"/>
      <c r="E357" s="104"/>
      <c r="F357" s="104"/>
      <c r="G357" s="35"/>
      <c r="H357" s="104"/>
      <c r="I357" s="35"/>
      <c r="J357" s="74"/>
      <c r="K357" s="74"/>
      <c r="L357" s="74"/>
      <c r="M357" s="74"/>
      <c r="N357" s="74"/>
      <c r="O357" s="74"/>
      <c r="P357" s="74"/>
      <c r="Q357" s="74"/>
      <c r="R357" s="74"/>
      <c r="S357" s="74"/>
      <c r="T357" s="74"/>
      <c r="U357" s="74"/>
      <c r="V357" s="74"/>
      <c r="W357" s="74"/>
      <c r="X357" s="74"/>
      <c r="Y357" s="74"/>
      <c r="Z357" s="74"/>
      <c r="AA357" s="74"/>
      <c r="AB357" s="74"/>
    </row>
    <row r="358" spans="1:28" ht="12" customHeight="1">
      <c r="A358" s="763"/>
      <c r="B358" s="104"/>
      <c r="C358" s="104"/>
      <c r="D358" s="260"/>
      <c r="E358" s="104"/>
      <c r="F358" s="104"/>
      <c r="G358" s="35"/>
      <c r="H358" s="104"/>
      <c r="I358" s="35"/>
      <c r="J358" s="74"/>
      <c r="K358" s="74"/>
      <c r="L358" s="74"/>
      <c r="M358" s="74"/>
      <c r="N358" s="74"/>
      <c r="O358" s="74"/>
      <c r="P358" s="74"/>
      <c r="Q358" s="74"/>
      <c r="R358" s="74"/>
      <c r="S358" s="74"/>
      <c r="T358" s="74"/>
      <c r="U358" s="74"/>
      <c r="V358" s="74"/>
      <c r="W358" s="74"/>
      <c r="X358" s="74"/>
      <c r="Y358" s="74"/>
      <c r="Z358" s="74"/>
      <c r="AA358" s="74"/>
      <c r="AB358" s="74"/>
    </row>
    <row r="359" spans="1:28" ht="12" customHeight="1">
      <c r="A359" s="763"/>
      <c r="B359" s="104"/>
      <c r="C359" s="104"/>
      <c r="D359" s="260"/>
      <c r="E359" s="104"/>
      <c r="F359" s="104"/>
      <c r="G359" s="35"/>
      <c r="H359" s="104"/>
      <c r="I359" s="35"/>
      <c r="J359" s="74"/>
      <c r="K359" s="74"/>
      <c r="L359" s="74"/>
      <c r="M359" s="74"/>
      <c r="N359" s="74"/>
      <c r="O359" s="74"/>
      <c r="P359" s="74"/>
      <c r="Q359" s="74"/>
      <c r="R359" s="74"/>
      <c r="S359" s="74"/>
      <c r="T359" s="74"/>
      <c r="U359" s="74"/>
      <c r="V359" s="74"/>
      <c r="W359" s="74"/>
      <c r="X359" s="74"/>
      <c r="Y359" s="74"/>
      <c r="Z359" s="74"/>
      <c r="AA359" s="74"/>
      <c r="AB359" s="74"/>
    </row>
    <row r="360" spans="1:28" ht="12" customHeight="1">
      <c r="A360" s="763"/>
      <c r="B360" s="104"/>
      <c r="C360" s="104"/>
      <c r="D360" s="260"/>
      <c r="E360" s="104"/>
      <c r="F360" s="104"/>
      <c r="G360" s="35"/>
      <c r="H360" s="104"/>
      <c r="I360" s="35"/>
      <c r="J360" s="74"/>
      <c r="K360" s="74"/>
      <c r="L360" s="74"/>
      <c r="M360" s="74"/>
      <c r="N360" s="74"/>
      <c r="O360" s="74"/>
      <c r="P360" s="74"/>
      <c r="Q360" s="74"/>
      <c r="R360" s="74"/>
      <c r="S360" s="74"/>
      <c r="T360" s="74"/>
      <c r="U360" s="74"/>
      <c r="V360" s="74"/>
      <c r="W360" s="74"/>
      <c r="X360" s="74"/>
      <c r="Y360" s="74"/>
      <c r="Z360" s="74"/>
      <c r="AA360" s="74"/>
      <c r="AB360" s="74"/>
    </row>
    <row r="361" spans="1:28" ht="12" customHeight="1">
      <c r="A361" s="763"/>
      <c r="B361" s="104"/>
      <c r="C361" s="104"/>
      <c r="D361" s="260"/>
      <c r="E361" s="104"/>
      <c r="F361" s="104"/>
      <c r="G361" s="35"/>
      <c r="H361" s="104"/>
      <c r="I361" s="35"/>
      <c r="J361" s="74"/>
      <c r="K361" s="74"/>
      <c r="L361" s="74"/>
      <c r="M361" s="74"/>
      <c r="N361" s="74"/>
      <c r="O361" s="74"/>
      <c r="P361" s="74"/>
      <c r="Q361" s="74"/>
      <c r="R361" s="74"/>
      <c r="S361" s="74"/>
      <c r="T361" s="74"/>
      <c r="U361" s="74"/>
      <c r="V361" s="74"/>
      <c r="W361" s="74"/>
      <c r="X361" s="74"/>
      <c r="Y361" s="74"/>
      <c r="Z361" s="74"/>
      <c r="AA361" s="74"/>
      <c r="AB361" s="74"/>
    </row>
    <row r="362" spans="1:28" ht="12" customHeight="1">
      <c r="A362" s="763"/>
      <c r="B362" s="104"/>
      <c r="C362" s="104"/>
      <c r="D362" s="260"/>
      <c r="E362" s="104"/>
      <c r="F362" s="104"/>
      <c r="G362" s="35"/>
      <c r="H362" s="104"/>
      <c r="I362" s="35"/>
      <c r="J362" s="74"/>
      <c r="K362" s="74"/>
      <c r="L362" s="74"/>
      <c r="M362" s="74"/>
      <c r="N362" s="74"/>
      <c r="O362" s="74"/>
      <c r="P362" s="74"/>
      <c r="Q362" s="74"/>
      <c r="R362" s="74"/>
      <c r="S362" s="74"/>
      <c r="T362" s="74"/>
      <c r="U362" s="74"/>
      <c r="V362" s="74"/>
      <c r="W362" s="74"/>
      <c r="X362" s="74"/>
      <c r="Y362" s="74"/>
      <c r="Z362" s="74"/>
      <c r="AA362" s="74"/>
      <c r="AB362" s="74"/>
    </row>
    <row r="363" spans="1:28" ht="12" customHeight="1">
      <c r="A363" s="763"/>
      <c r="B363" s="104"/>
      <c r="C363" s="104"/>
      <c r="D363" s="260"/>
      <c r="E363" s="104"/>
      <c r="F363" s="104"/>
      <c r="G363" s="35"/>
      <c r="H363" s="104"/>
      <c r="I363" s="35"/>
      <c r="J363" s="74"/>
      <c r="K363" s="74"/>
      <c r="L363" s="74"/>
      <c r="M363" s="74"/>
      <c r="N363" s="74"/>
      <c r="O363" s="74"/>
      <c r="P363" s="74"/>
      <c r="Q363" s="74"/>
      <c r="R363" s="74"/>
      <c r="S363" s="74"/>
      <c r="T363" s="74"/>
      <c r="U363" s="74"/>
      <c r="V363" s="74"/>
      <c r="W363" s="74"/>
      <c r="X363" s="74"/>
      <c r="Y363" s="74"/>
      <c r="Z363" s="74"/>
      <c r="AA363" s="74"/>
      <c r="AB363" s="74"/>
    </row>
    <row r="364" spans="1:28" ht="12" customHeight="1">
      <c r="A364" s="763"/>
      <c r="B364" s="104"/>
      <c r="C364" s="104"/>
      <c r="D364" s="260"/>
      <c r="E364" s="104"/>
      <c r="F364" s="104"/>
      <c r="G364" s="35"/>
      <c r="H364" s="104"/>
      <c r="I364" s="35"/>
      <c r="J364" s="74"/>
      <c r="K364" s="74"/>
      <c r="L364" s="74"/>
      <c r="M364" s="74"/>
      <c r="N364" s="74"/>
      <c r="O364" s="74"/>
      <c r="P364" s="74"/>
      <c r="Q364" s="74"/>
      <c r="R364" s="74"/>
      <c r="S364" s="74"/>
      <c r="T364" s="74"/>
      <c r="U364" s="74"/>
      <c r="V364" s="74"/>
      <c r="W364" s="74"/>
      <c r="X364" s="74"/>
      <c r="Y364" s="74"/>
      <c r="Z364" s="74"/>
      <c r="AA364" s="74"/>
      <c r="AB364" s="74"/>
    </row>
    <row r="365" spans="1:28" ht="12" customHeight="1">
      <c r="A365" s="763"/>
      <c r="B365" s="104"/>
      <c r="C365" s="104"/>
      <c r="D365" s="260"/>
      <c r="E365" s="104"/>
      <c r="F365" s="104"/>
      <c r="G365" s="35"/>
      <c r="H365" s="104"/>
      <c r="I365" s="35"/>
      <c r="J365" s="74"/>
      <c r="K365" s="74"/>
      <c r="L365" s="74"/>
      <c r="M365" s="74"/>
      <c r="N365" s="74"/>
      <c r="O365" s="74"/>
      <c r="P365" s="74"/>
      <c r="Q365" s="74"/>
      <c r="R365" s="74"/>
      <c r="S365" s="74"/>
      <c r="T365" s="74"/>
      <c r="U365" s="74"/>
      <c r="V365" s="74"/>
      <c r="W365" s="74"/>
      <c r="X365" s="74"/>
      <c r="Y365" s="74"/>
      <c r="Z365" s="74"/>
      <c r="AA365" s="74"/>
      <c r="AB365" s="74"/>
    </row>
    <row r="366" spans="1:28" ht="12" customHeight="1">
      <c r="A366" s="763"/>
      <c r="B366" s="104"/>
      <c r="C366" s="104"/>
      <c r="D366" s="260"/>
      <c r="E366" s="104"/>
      <c r="F366" s="104"/>
      <c r="G366" s="35"/>
      <c r="H366" s="104"/>
      <c r="I366" s="35"/>
      <c r="J366" s="74"/>
      <c r="K366" s="74"/>
      <c r="L366" s="74"/>
      <c r="M366" s="74"/>
      <c r="N366" s="74"/>
      <c r="O366" s="74"/>
      <c r="P366" s="74"/>
      <c r="Q366" s="74"/>
      <c r="R366" s="74"/>
      <c r="S366" s="74"/>
      <c r="T366" s="74"/>
      <c r="U366" s="74"/>
      <c r="V366" s="74"/>
      <c r="W366" s="74"/>
      <c r="X366" s="74"/>
      <c r="Y366" s="74"/>
      <c r="Z366" s="74"/>
      <c r="AA366" s="74"/>
      <c r="AB366" s="74"/>
    </row>
    <row r="367" spans="1:28" ht="12" customHeight="1">
      <c r="A367" s="763"/>
      <c r="B367" s="104"/>
      <c r="C367" s="104"/>
      <c r="D367" s="260"/>
      <c r="E367" s="104"/>
      <c r="F367" s="104"/>
      <c r="G367" s="35"/>
      <c r="H367" s="104"/>
      <c r="I367" s="35"/>
      <c r="J367" s="74"/>
      <c r="K367" s="74"/>
      <c r="L367" s="74"/>
      <c r="M367" s="74"/>
      <c r="N367" s="74"/>
      <c r="O367" s="74"/>
      <c r="P367" s="74"/>
      <c r="Q367" s="74"/>
      <c r="R367" s="74"/>
      <c r="S367" s="74"/>
      <c r="T367" s="74"/>
      <c r="U367" s="74"/>
      <c r="V367" s="74"/>
      <c r="W367" s="74"/>
      <c r="X367" s="74"/>
      <c r="Y367" s="74"/>
      <c r="Z367" s="74"/>
      <c r="AA367" s="74"/>
      <c r="AB367" s="74"/>
    </row>
    <row r="368" spans="1:28" ht="12" customHeight="1">
      <c r="A368" s="763"/>
      <c r="B368" s="104"/>
      <c r="C368" s="104"/>
      <c r="D368" s="260"/>
      <c r="E368" s="104"/>
      <c r="F368" s="104"/>
      <c r="G368" s="35"/>
      <c r="H368" s="104"/>
      <c r="I368" s="35"/>
      <c r="J368" s="74"/>
      <c r="K368" s="74"/>
      <c r="L368" s="74"/>
      <c r="M368" s="74"/>
      <c r="N368" s="74"/>
      <c r="O368" s="74"/>
      <c r="P368" s="74"/>
      <c r="Q368" s="74"/>
      <c r="R368" s="74"/>
      <c r="S368" s="74"/>
      <c r="T368" s="74"/>
      <c r="U368" s="74"/>
      <c r="V368" s="74"/>
      <c r="W368" s="74"/>
      <c r="X368" s="74"/>
      <c r="Y368" s="74"/>
      <c r="Z368" s="74"/>
      <c r="AA368" s="74"/>
      <c r="AB368" s="74"/>
    </row>
    <row r="369" spans="1:28" ht="12" customHeight="1">
      <c r="A369" s="763"/>
      <c r="B369" s="104"/>
      <c r="C369" s="104"/>
      <c r="D369" s="260"/>
      <c r="E369" s="104"/>
      <c r="F369" s="104"/>
      <c r="G369" s="35"/>
      <c r="H369" s="104"/>
      <c r="I369" s="35"/>
      <c r="J369" s="74"/>
      <c r="K369" s="74"/>
      <c r="L369" s="74"/>
      <c r="M369" s="74"/>
      <c r="N369" s="74"/>
      <c r="O369" s="74"/>
      <c r="P369" s="74"/>
      <c r="Q369" s="74"/>
      <c r="R369" s="74"/>
      <c r="S369" s="74"/>
      <c r="T369" s="74"/>
      <c r="U369" s="74"/>
      <c r="V369" s="74"/>
      <c r="W369" s="74"/>
      <c r="X369" s="74"/>
      <c r="Y369" s="74"/>
      <c r="Z369" s="74"/>
      <c r="AA369" s="74"/>
      <c r="AB369" s="74"/>
    </row>
    <row r="370" spans="1:28" ht="12" customHeight="1">
      <c r="A370" s="763"/>
      <c r="B370" s="104"/>
      <c r="C370" s="104"/>
      <c r="D370" s="260"/>
      <c r="E370" s="104"/>
      <c r="F370" s="104"/>
      <c r="G370" s="35"/>
      <c r="H370" s="104"/>
      <c r="I370" s="35"/>
      <c r="J370" s="74"/>
      <c r="K370" s="74"/>
      <c r="L370" s="74"/>
      <c r="M370" s="74"/>
      <c r="N370" s="74"/>
      <c r="O370" s="74"/>
      <c r="P370" s="74"/>
      <c r="Q370" s="74"/>
      <c r="R370" s="74"/>
      <c r="S370" s="74"/>
      <c r="T370" s="74"/>
      <c r="U370" s="74"/>
      <c r="V370" s="74"/>
      <c r="W370" s="74"/>
      <c r="X370" s="74"/>
      <c r="Y370" s="74"/>
      <c r="Z370" s="74"/>
      <c r="AA370" s="74"/>
      <c r="AB370" s="74"/>
    </row>
    <row r="371" spans="1:28" ht="12" customHeight="1">
      <c r="A371" s="763"/>
      <c r="B371" s="104"/>
      <c r="C371" s="104"/>
      <c r="D371" s="260"/>
      <c r="E371" s="104"/>
      <c r="F371" s="104"/>
      <c r="G371" s="35"/>
      <c r="H371" s="104"/>
      <c r="I371" s="35"/>
      <c r="J371" s="74"/>
      <c r="K371" s="74"/>
      <c r="L371" s="74"/>
      <c r="M371" s="74"/>
      <c r="N371" s="74"/>
      <c r="O371" s="74"/>
      <c r="P371" s="74"/>
      <c r="Q371" s="74"/>
      <c r="R371" s="74"/>
      <c r="S371" s="74"/>
      <c r="T371" s="74"/>
      <c r="U371" s="74"/>
      <c r="V371" s="74"/>
      <c r="W371" s="74"/>
      <c r="X371" s="74"/>
      <c r="Y371" s="74"/>
      <c r="Z371" s="74"/>
      <c r="AA371" s="74"/>
      <c r="AB371" s="74"/>
    </row>
    <row r="372" spans="1:28" ht="12" customHeight="1">
      <c r="A372" s="763"/>
      <c r="B372" s="104"/>
      <c r="C372" s="104"/>
      <c r="D372" s="260"/>
      <c r="E372" s="104"/>
      <c r="F372" s="104"/>
      <c r="G372" s="35"/>
      <c r="H372" s="104"/>
      <c r="I372" s="35"/>
      <c r="J372" s="74"/>
      <c r="K372" s="74"/>
      <c r="L372" s="74"/>
      <c r="M372" s="74"/>
      <c r="N372" s="74"/>
      <c r="O372" s="74"/>
      <c r="P372" s="74"/>
      <c r="Q372" s="74"/>
      <c r="R372" s="74"/>
      <c r="S372" s="74"/>
      <c r="T372" s="74"/>
      <c r="U372" s="74"/>
      <c r="V372" s="74"/>
      <c r="W372" s="74"/>
      <c r="X372" s="74"/>
      <c r="Y372" s="74"/>
      <c r="Z372" s="74"/>
      <c r="AA372" s="74"/>
      <c r="AB372" s="74"/>
    </row>
    <row r="373" spans="1:28" ht="12" customHeight="1">
      <c r="A373" s="763"/>
      <c r="B373" s="104"/>
      <c r="C373" s="104"/>
      <c r="D373" s="260"/>
      <c r="E373" s="104"/>
      <c r="F373" s="104"/>
      <c r="G373" s="35"/>
      <c r="H373" s="104"/>
      <c r="I373" s="35"/>
      <c r="J373" s="74"/>
      <c r="K373" s="74"/>
      <c r="L373" s="74"/>
      <c r="M373" s="74"/>
      <c r="N373" s="74"/>
      <c r="O373" s="74"/>
      <c r="P373" s="74"/>
      <c r="Q373" s="74"/>
      <c r="R373" s="74"/>
      <c r="S373" s="74"/>
      <c r="T373" s="74"/>
      <c r="U373" s="74"/>
      <c r="V373" s="74"/>
      <c r="W373" s="74"/>
      <c r="X373" s="74"/>
      <c r="Y373" s="74"/>
      <c r="Z373" s="74"/>
      <c r="AA373" s="74"/>
      <c r="AB373" s="74"/>
    </row>
    <row r="374" spans="1:28" ht="12" customHeight="1">
      <c r="A374" s="763"/>
      <c r="B374" s="104"/>
      <c r="C374" s="104"/>
      <c r="D374" s="260"/>
      <c r="E374" s="104"/>
      <c r="F374" s="104"/>
      <c r="G374" s="35"/>
      <c r="H374" s="104"/>
      <c r="I374" s="35"/>
      <c r="J374" s="74"/>
      <c r="K374" s="74"/>
      <c r="L374" s="74"/>
      <c r="M374" s="74"/>
      <c r="N374" s="74"/>
      <c r="O374" s="74"/>
      <c r="P374" s="74"/>
      <c r="Q374" s="74"/>
      <c r="R374" s="74"/>
      <c r="S374" s="74"/>
      <c r="T374" s="74"/>
      <c r="U374" s="74"/>
      <c r="V374" s="74"/>
      <c r="W374" s="74"/>
      <c r="X374" s="74"/>
      <c r="Y374" s="74"/>
      <c r="Z374" s="74"/>
      <c r="AA374" s="74"/>
      <c r="AB374" s="74"/>
    </row>
    <row r="375" spans="1:28" ht="12" customHeight="1">
      <c r="A375" s="763"/>
      <c r="B375" s="104"/>
      <c r="C375" s="104"/>
      <c r="D375" s="260"/>
      <c r="E375" s="104"/>
      <c r="F375" s="104"/>
      <c r="G375" s="35"/>
      <c r="H375" s="104"/>
      <c r="I375" s="35"/>
      <c r="J375" s="74"/>
      <c r="K375" s="74"/>
      <c r="L375" s="74"/>
      <c r="M375" s="74"/>
      <c r="N375" s="74"/>
      <c r="O375" s="74"/>
      <c r="P375" s="74"/>
      <c r="Q375" s="74"/>
      <c r="R375" s="74"/>
      <c r="S375" s="74"/>
      <c r="T375" s="74"/>
      <c r="U375" s="74"/>
      <c r="V375" s="74"/>
      <c r="W375" s="74"/>
      <c r="X375" s="74"/>
      <c r="Y375" s="74"/>
      <c r="Z375" s="74"/>
      <c r="AA375" s="74"/>
      <c r="AB375" s="74"/>
    </row>
    <row r="376" spans="1:28" ht="12" customHeight="1">
      <c r="A376" s="763"/>
      <c r="B376" s="104"/>
      <c r="C376" s="104"/>
      <c r="D376" s="260"/>
      <c r="E376" s="104"/>
      <c r="F376" s="104"/>
      <c r="G376" s="35"/>
      <c r="H376" s="104"/>
      <c r="I376" s="35"/>
      <c r="J376" s="74"/>
      <c r="K376" s="74"/>
      <c r="L376" s="74"/>
      <c r="M376" s="74"/>
      <c r="N376" s="74"/>
      <c r="O376" s="74"/>
      <c r="P376" s="74"/>
      <c r="Q376" s="74"/>
      <c r="R376" s="74"/>
      <c r="S376" s="74"/>
      <c r="T376" s="74"/>
      <c r="U376" s="74"/>
      <c r="V376" s="74"/>
      <c r="W376" s="74"/>
      <c r="X376" s="74"/>
      <c r="Y376" s="74"/>
      <c r="Z376" s="74"/>
      <c r="AA376" s="74"/>
      <c r="AB376" s="74"/>
    </row>
    <row r="377" spans="1:28" ht="12" customHeight="1">
      <c r="A377" s="763"/>
      <c r="B377" s="104"/>
      <c r="C377" s="104"/>
      <c r="D377" s="260"/>
      <c r="E377" s="104"/>
      <c r="F377" s="104"/>
      <c r="G377" s="35"/>
      <c r="H377" s="104"/>
      <c r="I377" s="35"/>
      <c r="J377" s="74"/>
      <c r="K377" s="74"/>
      <c r="L377" s="74"/>
      <c r="M377" s="74"/>
      <c r="N377" s="74"/>
      <c r="O377" s="74"/>
      <c r="P377" s="74"/>
      <c r="Q377" s="74"/>
      <c r="R377" s="74"/>
      <c r="S377" s="74"/>
      <c r="T377" s="74"/>
      <c r="U377" s="74"/>
      <c r="V377" s="74"/>
      <c r="W377" s="74"/>
      <c r="X377" s="74"/>
      <c r="Y377" s="74"/>
      <c r="Z377" s="74"/>
      <c r="AA377" s="74"/>
      <c r="AB377" s="74"/>
    </row>
    <row r="378" spans="1:28" ht="12" customHeight="1">
      <c r="A378" s="763"/>
      <c r="B378" s="104"/>
      <c r="C378" s="104"/>
      <c r="D378" s="260"/>
      <c r="E378" s="104"/>
      <c r="F378" s="104"/>
      <c r="G378" s="35"/>
      <c r="H378" s="104"/>
      <c r="I378" s="35"/>
      <c r="J378" s="74"/>
      <c r="K378" s="74"/>
      <c r="L378" s="74"/>
      <c r="M378" s="74"/>
      <c r="N378" s="74"/>
      <c r="O378" s="74"/>
      <c r="P378" s="74"/>
      <c r="Q378" s="74"/>
      <c r="R378" s="74"/>
      <c r="S378" s="74"/>
      <c r="T378" s="74"/>
      <c r="U378" s="74"/>
      <c r="V378" s="74"/>
      <c r="W378" s="74"/>
      <c r="X378" s="74"/>
      <c r="Y378" s="74"/>
      <c r="Z378" s="74"/>
      <c r="AA378" s="74"/>
      <c r="AB378" s="74"/>
    </row>
    <row r="379" spans="1:28" ht="12" customHeight="1">
      <c r="A379" s="763"/>
      <c r="B379" s="104"/>
      <c r="C379" s="104"/>
      <c r="D379" s="260"/>
      <c r="E379" s="104"/>
      <c r="F379" s="104"/>
      <c r="G379" s="35"/>
      <c r="H379" s="104"/>
      <c r="I379" s="35"/>
      <c r="J379" s="74"/>
      <c r="K379" s="74"/>
      <c r="L379" s="74"/>
      <c r="M379" s="74"/>
      <c r="N379" s="74"/>
      <c r="O379" s="74"/>
      <c r="P379" s="74"/>
      <c r="Q379" s="74"/>
      <c r="R379" s="74"/>
      <c r="S379" s="74"/>
      <c r="T379" s="74"/>
      <c r="U379" s="74"/>
      <c r="V379" s="74"/>
      <c r="W379" s="74"/>
      <c r="X379" s="74"/>
      <c r="Y379" s="74"/>
      <c r="Z379" s="74"/>
      <c r="AA379" s="74"/>
      <c r="AB379" s="74"/>
    </row>
    <row r="380" spans="1:28" ht="12" customHeight="1">
      <c r="A380" s="763"/>
      <c r="B380" s="104"/>
      <c r="C380" s="104"/>
      <c r="D380" s="260"/>
      <c r="E380" s="104"/>
      <c r="F380" s="104"/>
      <c r="G380" s="35"/>
      <c r="H380" s="104"/>
      <c r="I380" s="35"/>
      <c r="J380" s="74"/>
      <c r="K380" s="74"/>
      <c r="L380" s="74"/>
      <c r="M380" s="74"/>
      <c r="N380" s="74"/>
      <c r="O380" s="74"/>
      <c r="P380" s="74"/>
      <c r="Q380" s="74"/>
      <c r="R380" s="74"/>
      <c r="S380" s="74"/>
      <c r="T380" s="74"/>
      <c r="U380" s="74"/>
      <c r="V380" s="74"/>
      <c r="W380" s="74"/>
      <c r="X380" s="74"/>
      <c r="Y380" s="74"/>
      <c r="Z380" s="74"/>
      <c r="AA380" s="74"/>
      <c r="AB380" s="74"/>
    </row>
    <row r="381" spans="1:28" ht="12" customHeight="1">
      <c r="A381" s="763"/>
      <c r="B381" s="104"/>
      <c r="C381" s="104"/>
      <c r="D381" s="260"/>
      <c r="E381" s="104"/>
      <c r="F381" s="104"/>
      <c r="G381" s="35"/>
      <c r="H381" s="104"/>
      <c r="I381" s="35"/>
      <c r="J381" s="74"/>
      <c r="K381" s="74"/>
      <c r="L381" s="74"/>
      <c r="M381" s="74"/>
      <c r="N381" s="74"/>
      <c r="O381" s="74"/>
      <c r="P381" s="74"/>
      <c r="Q381" s="74"/>
      <c r="R381" s="74"/>
      <c r="S381" s="74"/>
      <c r="T381" s="74"/>
      <c r="U381" s="74"/>
      <c r="V381" s="74"/>
      <c r="W381" s="74"/>
      <c r="X381" s="74"/>
      <c r="Y381" s="74"/>
      <c r="Z381" s="74"/>
      <c r="AA381" s="74"/>
      <c r="AB381" s="74"/>
    </row>
    <row r="382" spans="1:28" ht="12" customHeight="1">
      <c r="A382" s="763"/>
      <c r="B382" s="104"/>
      <c r="C382" s="104"/>
      <c r="D382" s="260"/>
      <c r="E382" s="104"/>
      <c r="F382" s="104"/>
      <c r="G382" s="35"/>
      <c r="H382" s="104"/>
      <c r="I382" s="35"/>
      <c r="J382" s="74"/>
      <c r="K382" s="74"/>
      <c r="L382" s="74"/>
      <c r="M382" s="74"/>
      <c r="N382" s="74"/>
      <c r="O382" s="74"/>
      <c r="P382" s="74"/>
      <c r="Q382" s="74"/>
      <c r="R382" s="74"/>
      <c r="S382" s="74"/>
      <c r="T382" s="74"/>
      <c r="U382" s="74"/>
      <c r="V382" s="74"/>
      <c r="W382" s="74"/>
      <c r="X382" s="74"/>
      <c r="Y382" s="74"/>
      <c r="Z382" s="74"/>
      <c r="AA382" s="74"/>
      <c r="AB382" s="74"/>
    </row>
    <row r="383" spans="1:28" ht="12" customHeight="1">
      <c r="A383" s="763"/>
      <c r="B383" s="104"/>
      <c r="C383" s="104"/>
      <c r="D383" s="260"/>
      <c r="E383" s="104"/>
      <c r="F383" s="104"/>
      <c r="G383" s="35"/>
      <c r="H383" s="104"/>
      <c r="I383" s="35"/>
      <c r="J383" s="74"/>
      <c r="K383" s="74"/>
      <c r="L383" s="74"/>
      <c r="M383" s="74"/>
      <c r="N383" s="74"/>
      <c r="O383" s="74"/>
      <c r="P383" s="74"/>
      <c r="Q383" s="74"/>
      <c r="R383" s="74"/>
      <c r="S383" s="74"/>
      <c r="T383" s="74"/>
      <c r="U383" s="74"/>
      <c r="V383" s="74"/>
      <c r="W383" s="74"/>
      <c r="X383" s="74"/>
      <c r="Y383" s="74"/>
      <c r="Z383" s="74"/>
      <c r="AA383" s="74"/>
      <c r="AB383" s="74"/>
    </row>
    <row r="384" spans="1:28" ht="12" customHeight="1">
      <c r="A384" s="763"/>
      <c r="B384" s="104"/>
      <c r="C384" s="104"/>
      <c r="D384" s="260"/>
      <c r="E384" s="104"/>
      <c r="F384" s="104"/>
      <c r="G384" s="35"/>
      <c r="H384" s="104"/>
      <c r="I384" s="35"/>
      <c r="J384" s="74"/>
      <c r="K384" s="74"/>
      <c r="L384" s="74"/>
      <c r="M384" s="74"/>
      <c r="N384" s="74"/>
      <c r="O384" s="74"/>
      <c r="P384" s="74"/>
      <c r="Q384" s="74"/>
      <c r="R384" s="74"/>
      <c r="S384" s="74"/>
      <c r="T384" s="74"/>
      <c r="U384" s="74"/>
      <c r="V384" s="74"/>
      <c r="W384" s="74"/>
      <c r="X384" s="74"/>
      <c r="Y384" s="74"/>
      <c r="Z384" s="74"/>
      <c r="AA384" s="74"/>
      <c r="AB384" s="74"/>
    </row>
    <row r="385" spans="1:28" ht="12" customHeight="1">
      <c r="A385" s="763"/>
      <c r="B385" s="104"/>
      <c r="C385" s="104"/>
      <c r="D385" s="260"/>
      <c r="E385" s="104"/>
      <c r="F385" s="104"/>
      <c r="G385" s="35"/>
      <c r="H385" s="104"/>
      <c r="I385" s="35"/>
      <c r="J385" s="74"/>
      <c r="K385" s="74"/>
      <c r="L385" s="74"/>
      <c r="M385" s="74"/>
      <c r="N385" s="74"/>
      <c r="O385" s="74"/>
      <c r="P385" s="74"/>
      <c r="Q385" s="74"/>
      <c r="R385" s="74"/>
      <c r="S385" s="74"/>
      <c r="T385" s="74"/>
      <c r="U385" s="74"/>
      <c r="V385" s="74"/>
      <c r="W385" s="74"/>
      <c r="X385" s="74"/>
      <c r="Y385" s="74"/>
      <c r="Z385" s="74"/>
      <c r="AA385" s="74"/>
      <c r="AB385" s="74"/>
    </row>
    <row r="386" spans="1:28" ht="12" customHeight="1">
      <c r="A386" s="763"/>
      <c r="B386" s="104"/>
      <c r="C386" s="104"/>
      <c r="D386" s="260"/>
      <c r="E386" s="104"/>
      <c r="F386" s="104"/>
      <c r="G386" s="35"/>
      <c r="H386" s="104"/>
      <c r="I386" s="35"/>
      <c r="J386" s="74"/>
      <c r="K386" s="74"/>
      <c r="L386" s="74"/>
      <c r="M386" s="74"/>
      <c r="N386" s="74"/>
      <c r="O386" s="74"/>
      <c r="P386" s="74"/>
      <c r="Q386" s="74"/>
      <c r="R386" s="74"/>
      <c r="S386" s="74"/>
      <c r="T386" s="74"/>
      <c r="U386" s="74"/>
      <c r="V386" s="74"/>
      <c r="W386" s="74"/>
      <c r="X386" s="74"/>
      <c r="Y386" s="74"/>
      <c r="Z386" s="74"/>
      <c r="AA386" s="74"/>
      <c r="AB386" s="74"/>
    </row>
    <row r="387" spans="1:28" ht="12" customHeight="1">
      <c r="A387" s="763"/>
      <c r="B387" s="104"/>
      <c r="C387" s="104"/>
      <c r="D387" s="260"/>
      <c r="E387" s="104"/>
      <c r="F387" s="104"/>
      <c r="G387" s="35"/>
      <c r="H387" s="104"/>
      <c r="I387" s="35"/>
      <c r="J387" s="74"/>
      <c r="K387" s="74"/>
      <c r="L387" s="74"/>
      <c r="M387" s="74"/>
      <c r="N387" s="74"/>
      <c r="O387" s="74"/>
      <c r="P387" s="74"/>
      <c r="Q387" s="74"/>
      <c r="R387" s="74"/>
      <c r="S387" s="74"/>
      <c r="T387" s="74"/>
      <c r="U387" s="74"/>
      <c r="V387" s="74"/>
      <c r="W387" s="74"/>
      <c r="X387" s="74"/>
      <c r="Y387" s="74"/>
      <c r="Z387" s="74"/>
      <c r="AA387" s="74"/>
      <c r="AB387" s="74"/>
    </row>
    <row r="388" spans="1:28" ht="12" customHeight="1">
      <c r="A388" s="763"/>
      <c r="B388" s="104"/>
      <c r="C388" s="104"/>
      <c r="D388" s="260"/>
      <c r="E388" s="104"/>
      <c r="F388" s="104"/>
      <c r="G388" s="35"/>
      <c r="H388" s="104"/>
      <c r="I388" s="35"/>
      <c r="J388" s="74"/>
      <c r="K388" s="74"/>
      <c r="L388" s="74"/>
      <c r="M388" s="74"/>
      <c r="N388" s="74"/>
      <c r="O388" s="74"/>
      <c r="P388" s="74"/>
      <c r="Q388" s="74"/>
      <c r="R388" s="74"/>
      <c r="S388" s="74"/>
      <c r="T388" s="74"/>
      <c r="U388" s="74"/>
      <c r="V388" s="74"/>
      <c r="W388" s="74"/>
      <c r="X388" s="74"/>
      <c r="Y388" s="74"/>
      <c r="Z388" s="74"/>
      <c r="AA388" s="74"/>
      <c r="AB388" s="74"/>
    </row>
    <row r="389" spans="1:28" ht="12" customHeight="1">
      <c r="A389" s="763"/>
      <c r="B389" s="104"/>
      <c r="C389" s="104"/>
      <c r="D389" s="260"/>
      <c r="E389" s="104"/>
      <c r="F389" s="104"/>
      <c r="G389" s="35"/>
      <c r="H389" s="104"/>
      <c r="I389" s="35"/>
      <c r="J389" s="74"/>
      <c r="K389" s="74"/>
      <c r="L389" s="74"/>
      <c r="M389" s="74"/>
      <c r="N389" s="74"/>
      <c r="O389" s="74"/>
      <c r="P389" s="74"/>
      <c r="Q389" s="74"/>
      <c r="R389" s="74"/>
      <c r="S389" s="74"/>
      <c r="T389" s="74"/>
      <c r="U389" s="74"/>
      <c r="V389" s="74"/>
      <c r="W389" s="74"/>
      <c r="X389" s="74"/>
      <c r="Y389" s="74"/>
      <c r="Z389" s="74"/>
      <c r="AA389" s="74"/>
      <c r="AB389" s="74"/>
    </row>
    <row r="390" spans="1:28" ht="12" customHeight="1">
      <c r="A390" s="763"/>
      <c r="B390" s="104"/>
      <c r="C390" s="104"/>
      <c r="D390" s="260"/>
      <c r="E390" s="104"/>
      <c r="F390" s="104"/>
      <c r="G390" s="35"/>
      <c r="H390" s="104"/>
      <c r="I390" s="35"/>
      <c r="J390" s="74"/>
      <c r="K390" s="74"/>
      <c r="L390" s="74"/>
      <c r="M390" s="74"/>
      <c r="N390" s="74"/>
      <c r="O390" s="74"/>
      <c r="P390" s="74"/>
      <c r="Q390" s="74"/>
      <c r="R390" s="74"/>
      <c r="S390" s="74"/>
      <c r="T390" s="74"/>
      <c r="U390" s="74"/>
      <c r="V390" s="74"/>
      <c r="W390" s="74"/>
      <c r="X390" s="74"/>
      <c r="Y390" s="74"/>
      <c r="Z390" s="74"/>
      <c r="AA390" s="74"/>
      <c r="AB390" s="74"/>
    </row>
    <row r="391" spans="1:28" ht="12" customHeight="1">
      <c r="A391" s="763"/>
      <c r="B391" s="104"/>
      <c r="C391" s="104"/>
      <c r="D391" s="260"/>
      <c r="E391" s="104"/>
      <c r="F391" s="104"/>
      <c r="G391" s="35"/>
      <c r="H391" s="104"/>
      <c r="I391" s="35"/>
      <c r="J391" s="74"/>
      <c r="K391" s="74"/>
      <c r="L391" s="74"/>
      <c r="M391" s="74"/>
      <c r="N391" s="74"/>
      <c r="O391" s="74"/>
      <c r="P391" s="74"/>
      <c r="Q391" s="74"/>
      <c r="R391" s="74"/>
      <c r="S391" s="74"/>
      <c r="T391" s="74"/>
      <c r="U391" s="74"/>
      <c r="V391" s="74"/>
      <c r="W391" s="74"/>
      <c r="X391" s="74"/>
      <c r="Y391" s="74"/>
      <c r="Z391" s="74"/>
      <c r="AA391" s="74"/>
      <c r="AB391" s="74"/>
    </row>
    <row r="392" spans="1:28" ht="12" customHeight="1">
      <c r="A392" s="763"/>
      <c r="B392" s="104"/>
      <c r="C392" s="104"/>
      <c r="D392" s="260"/>
      <c r="E392" s="104"/>
      <c r="F392" s="104"/>
      <c r="G392" s="35"/>
      <c r="H392" s="104"/>
      <c r="I392" s="35"/>
      <c r="J392" s="74"/>
      <c r="K392" s="74"/>
      <c r="L392" s="74"/>
      <c r="M392" s="74"/>
      <c r="N392" s="74"/>
      <c r="O392" s="74"/>
      <c r="P392" s="74"/>
      <c r="Q392" s="74"/>
      <c r="R392" s="74"/>
      <c r="S392" s="74"/>
      <c r="T392" s="74"/>
      <c r="U392" s="74"/>
      <c r="V392" s="74"/>
      <c r="W392" s="74"/>
      <c r="X392" s="74"/>
      <c r="Y392" s="74"/>
      <c r="Z392" s="74"/>
      <c r="AA392" s="74"/>
      <c r="AB392" s="74"/>
    </row>
    <row r="393" spans="1:28" ht="12" customHeight="1">
      <c r="A393" s="763"/>
      <c r="B393" s="104"/>
      <c r="C393" s="104"/>
      <c r="D393" s="260"/>
      <c r="E393" s="104"/>
      <c r="F393" s="104"/>
      <c r="G393" s="35"/>
      <c r="H393" s="104"/>
      <c r="I393" s="35"/>
      <c r="J393" s="74"/>
      <c r="K393" s="74"/>
      <c r="L393" s="74"/>
      <c r="M393" s="74"/>
      <c r="N393" s="74"/>
      <c r="O393" s="74"/>
      <c r="P393" s="74"/>
      <c r="Q393" s="74"/>
      <c r="R393" s="74"/>
      <c r="S393" s="74"/>
      <c r="T393" s="74"/>
      <c r="U393" s="74"/>
      <c r="V393" s="74"/>
      <c r="W393" s="74"/>
      <c r="X393" s="74"/>
      <c r="Y393" s="74"/>
      <c r="Z393" s="74"/>
      <c r="AA393" s="74"/>
      <c r="AB393" s="74"/>
    </row>
    <row r="394" spans="1:28" ht="12" customHeight="1">
      <c r="A394" s="763"/>
      <c r="B394" s="104"/>
      <c r="C394" s="104"/>
      <c r="D394" s="260"/>
      <c r="E394" s="104"/>
      <c r="F394" s="104"/>
      <c r="G394" s="35"/>
      <c r="H394" s="104"/>
      <c r="I394" s="35"/>
      <c r="J394" s="74"/>
      <c r="K394" s="74"/>
      <c r="L394" s="74"/>
      <c r="M394" s="74"/>
      <c r="N394" s="74"/>
      <c r="O394" s="74"/>
      <c r="P394" s="74"/>
      <c r="Q394" s="74"/>
      <c r="R394" s="74"/>
      <c r="S394" s="74"/>
      <c r="T394" s="74"/>
      <c r="U394" s="74"/>
      <c r="V394" s="74"/>
      <c r="W394" s="74"/>
      <c r="X394" s="74"/>
      <c r="Y394" s="74"/>
      <c r="Z394" s="74"/>
      <c r="AA394" s="74"/>
      <c r="AB394" s="74"/>
    </row>
    <row r="395" spans="1:28" ht="12" customHeight="1">
      <c r="A395" s="763"/>
      <c r="B395" s="104"/>
      <c r="C395" s="104"/>
      <c r="D395" s="260"/>
      <c r="E395" s="104"/>
      <c r="F395" s="104"/>
      <c r="G395" s="35"/>
      <c r="H395" s="104"/>
      <c r="I395" s="35"/>
      <c r="J395" s="74"/>
      <c r="K395" s="74"/>
      <c r="L395" s="74"/>
      <c r="M395" s="74"/>
      <c r="N395" s="74"/>
      <c r="O395" s="74"/>
      <c r="P395" s="74"/>
      <c r="Q395" s="74"/>
      <c r="R395" s="74"/>
      <c r="S395" s="74"/>
      <c r="T395" s="74"/>
      <c r="U395" s="74"/>
      <c r="V395" s="74"/>
      <c r="W395" s="74"/>
      <c r="X395" s="74"/>
      <c r="Y395" s="74"/>
      <c r="Z395" s="74"/>
      <c r="AA395" s="74"/>
      <c r="AB395" s="74"/>
    </row>
    <row r="396" spans="1:28" ht="12" customHeight="1">
      <c r="A396" s="763"/>
      <c r="B396" s="104"/>
      <c r="C396" s="104"/>
      <c r="D396" s="260"/>
      <c r="E396" s="104"/>
      <c r="F396" s="104"/>
      <c r="G396" s="35"/>
      <c r="H396" s="104"/>
      <c r="I396" s="35"/>
      <c r="J396" s="74"/>
      <c r="K396" s="74"/>
      <c r="L396" s="74"/>
      <c r="M396" s="74"/>
      <c r="N396" s="74"/>
      <c r="O396" s="74"/>
      <c r="P396" s="74"/>
      <c r="Q396" s="74"/>
      <c r="R396" s="74"/>
      <c r="S396" s="74"/>
      <c r="T396" s="74"/>
      <c r="U396" s="74"/>
      <c r="V396" s="74"/>
      <c r="W396" s="74"/>
      <c r="X396" s="74"/>
      <c r="Y396" s="74"/>
      <c r="Z396" s="74"/>
      <c r="AA396" s="74"/>
      <c r="AB396" s="74"/>
    </row>
    <row r="397" spans="1:28" ht="12" customHeight="1">
      <c r="A397" s="763"/>
      <c r="B397" s="104"/>
      <c r="C397" s="104"/>
      <c r="D397" s="260"/>
      <c r="E397" s="104"/>
      <c r="F397" s="104"/>
      <c r="G397" s="35"/>
      <c r="H397" s="104"/>
      <c r="I397" s="35"/>
      <c r="J397" s="74"/>
      <c r="K397" s="74"/>
      <c r="L397" s="74"/>
      <c r="M397" s="74"/>
      <c r="N397" s="74"/>
      <c r="O397" s="74"/>
      <c r="P397" s="74"/>
      <c r="Q397" s="74"/>
      <c r="R397" s="74"/>
      <c r="S397" s="74"/>
      <c r="T397" s="74"/>
      <c r="U397" s="74"/>
      <c r="V397" s="74"/>
      <c r="W397" s="74"/>
      <c r="X397" s="74"/>
      <c r="Y397" s="74"/>
      <c r="Z397" s="74"/>
      <c r="AA397" s="74"/>
      <c r="AB397" s="74"/>
    </row>
    <row r="398" spans="1:28" ht="12" customHeight="1">
      <c r="A398" s="763"/>
      <c r="B398" s="104"/>
      <c r="C398" s="104"/>
      <c r="D398" s="260"/>
      <c r="E398" s="104"/>
      <c r="F398" s="104"/>
      <c r="G398" s="35"/>
      <c r="H398" s="104"/>
      <c r="I398" s="35"/>
      <c r="J398" s="74"/>
      <c r="K398" s="74"/>
      <c r="L398" s="74"/>
      <c r="M398" s="74"/>
      <c r="N398" s="74"/>
      <c r="O398" s="74"/>
      <c r="P398" s="74"/>
      <c r="Q398" s="74"/>
      <c r="R398" s="74"/>
      <c r="S398" s="74"/>
      <c r="T398" s="74"/>
      <c r="U398" s="74"/>
      <c r="V398" s="74"/>
      <c r="W398" s="74"/>
      <c r="X398" s="74"/>
      <c r="Y398" s="74"/>
      <c r="Z398" s="74"/>
      <c r="AA398" s="74"/>
      <c r="AB398" s="74"/>
    </row>
    <row r="399" spans="1:28" ht="12" customHeight="1">
      <c r="A399" s="763"/>
      <c r="B399" s="104"/>
      <c r="C399" s="104"/>
      <c r="D399" s="260"/>
      <c r="E399" s="104"/>
      <c r="F399" s="104"/>
      <c r="G399" s="35"/>
      <c r="H399" s="104"/>
      <c r="I399" s="35"/>
      <c r="J399" s="74"/>
      <c r="K399" s="74"/>
      <c r="L399" s="74"/>
      <c r="M399" s="74"/>
      <c r="N399" s="74"/>
      <c r="O399" s="74"/>
      <c r="P399" s="74"/>
      <c r="Q399" s="74"/>
      <c r="R399" s="74"/>
      <c r="S399" s="74"/>
      <c r="T399" s="74"/>
      <c r="U399" s="74"/>
      <c r="V399" s="74"/>
      <c r="W399" s="74"/>
      <c r="X399" s="74"/>
      <c r="Y399" s="74"/>
      <c r="Z399" s="74"/>
      <c r="AA399" s="74"/>
      <c r="AB399" s="74"/>
    </row>
    <row r="400" spans="1:28" ht="12" customHeight="1">
      <c r="A400" s="763"/>
      <c r="B400" s="104"/>
      <c r="C400" s="104"/>
      <c r="D400" s="260"/>
      <c r="E400" s="104"/>
      <c r="F400" s="104"/>
      <c r="G400" s="35"/>
      <c r="H400" s="104"/>
      <c r="I400" s="35"/>
      <c r="J400" s="74"/>
      <c r="K400" s="74"/>
      <c r="L400" s="74"/>
      <c r="M400" s="74"/>
      <c r="N400" s="74"/>
      <c r="O400" s="74"/>
      <c r="P400" s="74"/>
      <c r="Q400" s="74"/>
      <c r="R400" s="74"/>
      <c r="S400" s="74"/>
      <c r="T400" s="74"/>
      <c r="U400" s="74"/>
      <c r="V400" s="74"/>
      <c r="W400" s="74"/>
      <c r="X400" s="74"/>
      <c r="Y400" s="74"/>
      <c r="Z400" s="74"/>
      <c r="AA400" s="74"/>
      <c r="AB400" s="74"/>
    </row>
    <row r="401" spans="1:28" ht="12" customHeight="1">
      <c r="A401" s="763"/>
      <c r="B401" s="104"/>
      <c r="C401" s="104"/>
      <c r="D401" s="260"/>
      <c r="E401" s="104"/>
      <c r="F401" s="104"/>
      <c r="G401" s="35"/>
      <c r="H401" s="104"/>
      <c r="I401" s="35"/>
      <c r="J401" s="74"/>
      <c r="K401" s="74"/>
      <c r="L401" s="74"/>
      <c r="M401" s="74"/>
      <c r="N401" s="74"/>
      <c r="O401" s="74"/>
      <c r="P401" s="74"/>
      <c r="Q401" s="74"/>
      <c r="R401" s="74"/>
      <c r="S401" s="74"/>
      <c r="T401" s="74"/>
      <c r="U401" s="74"/>
      <c r="V401" s="74"/>
      <c r="W401" s="74"/>
      <c r="X401" s="74"/>
      <c r="Y401" s="74"/>
      <c r="Z401" s="74"/>
      <c r="AA401" s="74"/>
      <c r="AB401" s="74"/>
    </row>
    <row r="402" spans="1:28" ht="12" customHeight="1">
      <c r="A402" s="763"/>
      <c r="B402" s="104"/>
      <c r="C402" s="104"/>
      <c r="D402" s="260"/>
      <c r="E402" s="104"/>
      <c r="F402" s="104"/>
      <c r="G402" s="35"/>
      <c r="H402" s="104"/>
      <c r="I402" s="35"/>
      <c r="J402" s="74"/>
      <c r="K402" s="74"/>
      <c r="L402" s="74"/>
      <c r="M402" s="74"/>
      <c r="N402" s="74"/>
      <c r="O402" s="74"/>
      <c r="P402" s="74"/>
      <c r="Q402" s="74"/>
      <c r="R402" s="74"/>
      <c r="S402" s="74"/>
      <c r="T402" s="74"/>
      <c r="U402" s="74"/>
      <c r="V402" s="74"/>
      <c r="W402" s="74"/>
      <c r="X402" s="74"/>
      <c r="Y402" s="74"/>
      <c r="Z402" s="74"/>
      <c r="AA402" s="74"/>
      <c r="AB402" s="74"/>
    </row>
    <row r="403" spans="1:28" ht="12" customHeight="1">
      <c r="A403" s="763"/>
      <c r="B403" s="104"/>
      <c r="C403" s="104"/>
      <c r="D403" s="260"/>
      <c r="E403" s="104"/>
      <c r="F403" s="104"/>
      <c r="G403" s="35"/>
      <c r="H403" s="104"/>
      <c r="I403" s="35"/>
      <c r="J403" s="74"/>
      <c r="K403" s="74"/>
      <c r="L403" s="74"/>
      <c r="M403" s="74"/>
      <c r="N403" s="74"/>
      <c r="O403" s="74"/>
      <c r="P403" s="74"/>
      <c r="Q403" s="74"/>
      <c r="R403" s="74"/>
      <c r="S403" s="74"/>
      <c r="T403" s="74"/>
      <c r="U403" s="74"/>
      <c r="V403" s="74"/>
      <c r="W403" s="74"/>
      <c r="X403" s="74"/>
      <c r="Y403" s="74"/>
      <c r="Z403" s="74"/>
      <c r="AA403" s="74"/>
      <c r="AB403" s="74"/>
    </row>
    <row r="404" spans="1:28" ht="12" customHeight="1">
      <c r="A404" s="763"/>
      <c r="B404" s="104"/>
      <c r="C404" s="104"/>
      <c r="D404" s="260"/>
      <c r="E404" s="104"/>
      <c r="F404" s="104"/>
      <c r="G404" s="35"/>
      <c r="H404" s="104"/>
      <c r="I404" s="35"/>
      <c r="J404" s="74"/>
      <c r="K404" s="74"/>
      <c r="L404" s="74"/>
      <c r="M404" s="74"/>
      <c r="N404" s="74"/>
      <c r="O404" s="74"/>
      <c r="P404" s="74"/>
      <c r="Q404" s="74"/>
      <c r="R404" s="74"/>
      <c r="S404" s="74"/>
      <c r="T404" s="74"/>
      <c r="U404" s="74"/>
      <c r="V404" s="74"/>
      <c r="W404" s="74"/>
      <c r="X404" s="74"/>
      <c r="Y404" s="74"/>
      <c r="Z404" s="74"/>
      <c r="AA404" s="74"/>
      <c r="AB404" s="74"/>
    </row>
    <row r="405" spans="1:28" ht="12" customHeight="1">
      <c r="A405" s="763"/>
      <c r="B405" s="104"/>
      <c r="C405" s="104"/>
      <c r="D405" s="260"/>
      <c r="E405" s="104"/>
      <c r="F405" s="104"/>
      <c r="G405" s="35"/>
      <c r="H405" s="104"/>
      <c r="I405" s="35"/>
      <c r="J405" s="74"/>
      <c r="K405" s="74"/>
      <c r="L405" s="74"/>
      <c r="M405" s="74"/>
      <c r="N405" s="74"/>
      <c r="O405" s="74"/>
      <c r="P405" s="74"/>
      <c r="Q405" s="74"/>
      <c r="R405" s="74"/>
      <c r="S405" s="74"/>
      <c r="T405" s="74"/>
      <c r="U405" s="74"/>
      <c r="V405" s="74"/>
      <c r="W405" s="74"/>
      <c r="X405" s="74"/>
      <c r="Y405" s="74"/>
      <c r="Z405" s="74"/>
      <c r="AA405" s="74"/>
      <c r="AB405" s="74"/>
    </row>
    <row r="406" spans="1:28" ht="12" customHeight="1">
      <c r="A406" s="763"/>
      <c r="B406" s="104"/>
      <c r="C406" s="104"/>
      <c r="D406" s="260"/>
      <c r="E406" s="104"/>
      <c r="F406" s="104"/>
      <c r="G406" s="35"/>
      <c r="H406" s="104"/>
      <c r="I406" s="35"/>
      <c r="J406" s="74"/>
      <c r="K406" s="74"/>
      <c r="L406" s="74"/>
      <c r="M406" s="74"/>
      <c r="N406" s="74"/>
      <c r="O406" s="74"/>
      <c r="P406" s="74"/>
      <c r="Q406" s="74"/>
      <c r="R406" s="74"/>
      <c r="S406" s="74"/>
      <c r="T406" s="74"/>
      <c r="U406" s="74"/>
      <c r="V406" s="74"/>
      <c r="W406" s="74"/>
      <c r="X406" s="74"/>
      <c r="Y406" s="74"/>
      <c r="Z406" s="74"/>
      <c r="AA406" s="74"/>
      <c r="AB406" s="74"/>
    </row>
    <row r="407" spans="1:28" ht="12" customHeight="1">
      <c r="A407" s="763"/>
      <c r="B407" s="104"/>
      <c r="C407" s="104"/>
      <c r="D407" s="260"/>
      <c r="E407" s="104"/>
      <c r="F407" s="104"/>
      <c r="G407" s="35"/>
      <c r="H407" s="104"/>
      <c r="I407" s="35"/>
      <c r="J407" s="74"/>
      <c r="K407" s="74"/>
      <c r="L407" s="74"/>
      <c r="M407" s="74"/>
      <c r="N407" s="74"/>
      <c r="O407" s="74"/>
      <c r="P407" s="74"/>
      <c r="Q407" s="74"/>
      <c r="R407" s="74"/>
      <c r="S407" s="74"/>
      <c r="T407" s="74"/>
      <c r="U407" s="74"/>
      <c r="V407" s="74"/>
      <c r="W407" s="74"/>
      <c r="X407" s="74"/>
      <c r="Y407" s="74"/>
      <c r="Z407" s="74"/>
      <c r="AA407" s="74"/>
      <c r="AB407" s="74"/>
    </row>
    <row r="408" spans="1:28" ht="12" customHeight="1">
      <c r="A408" s="763"/>
      <c r="B408" s="104"/>
      <c r="C408" s="104"/>
      <c r="D408" s="260"/>
      <c r="E408" s="104"/>
      <c r="F408" s="104"/>
      <c r="G408" s="35"/>
      <c r="H408" s="104"/>
      <c r="I408" s="35"/>
      <c r="J408" s="74"/>
      <c r="K408" s="74"/>
      <c r="L408" s="74"/>
      <c r="M408" s="74"/>
      <c r="N408" s="74"/>
      <c r="O408" s="74"/>
      <c r="P408" s="74"/>
      <c r="Q408" s="74"/>
      <c r="R408" s="74"/>
      <c r="S408" s="74"/>
      <c r="T408" s="74"/>
      <c r="U408" s="74"/>
      <c r="V408" s="74"/>
      <c r="W408" s="74"/>
      <c r="X408" s="74"/>
      <c r="Y408" s="74"/>
      <c r="Z408" s="74"/>
      <c r="AA408" s="74"/>
      <c r="AB408" s="74"/>
    </row>
    <row r="409" spans="1:28" ht="12" customHeight="1">
      <c r="A409" s="763"/>
      <c r="B409" s="104"/>
      <c r="C409" s="104"/>
      <c r="D409" s="260"/>
      <c r="E409" s="104"/>
      <c r="F409" s="104"/>
      <c r="G409" s="35"/>
      <c r="H409" s="104"/>
      <c r="I409" s="35"/>
      <c r="J409" s="74"/>
      <c r="K409" s="74"/>
      <c r="L409" s="74"/>
      <c r="M409" s="74"/>
      <c r="N409" s="74"/>
      <c r="O409" s="74"/>
      <c r="P409" s="74"/>
      <c r="Q409" s="74"/>
      <c r="R409" s="74"/>
      <c r="S409" s="74"/>
      <c r="T409" s="74"/>
      <c r="U409" s="74"/>
      <c r="V409" s="74"/>
      <c r="W409" s="74"/>
      <c r="X409" s="74"/>
      <c r="Y409" s="74"/>
      <c r="Z409" s="74"/>
      <c r="AA409" s="74"/>
      <c r="AB409" s="74"/>
    </row>
    <row r="410" spans="1:28" ht="12" customHeight="1">
      <c r="A410" s="763"/>
      <c r="B410" s="104"/>
      <c r="C410" s="104"/>
      <c r="D410" s="260"/>
      <c r="E410" s="104"/>
      <c r="F410" s="104"/>
      <c r="G410" s="35"/>
      <c r="H410" s="104"/>
      <c r="I410" s="35"/>
      <c r="J410" s="74"/>
      <c r="K410" s="74"/>
      <c r="L410" s="74"/>
      <c r="M410" s="74"/>
      <c r="N410" s="74"/>
      <c r="O410" s="74"/>
      <c r="P410" s="74"/>
      <c r="Q410" s="74"/>
      <c r="R410" s="74"/>
      <c r="S410" s="74"/>
      <c r="T410" s="74"/>
      <c r="U410" s="74"/>
      <c r="V410" s="74"/>
      <c r="W410" s="74"/>
      <c r="X410" s="74"/>
      <c r="Y410" s="74"/>
      <c r="Z410" s="74"/>
      <c r="AA410" s="74"/>
      <c r="AB410" s="74"/>
    </row>
    <row r="411" spans="1:28" ht="12" customHeight="1">
      <c r="A411" s="763"/>
      <c r="B411" s="104"/>
      <c r="C411" s="104"/>
      <c r="D411" s="260"/>
      <c r="E411" s="104"/>
      <c r="F411" s="104"/>
      <c r="G411" s="35"/>
      <c r="H411" s="104"/>
      <c r="I411" s="35"/>
      <c r="J411" s="74"/>
      <c r="K411" s="74"/>
      <c r="L411" s="74"/>
      <c r="M411" s="74"/>
      <c r="N411" s="74"/>
      <c r="O411" s="74"/>
      <c r="P411" s="74"/>
      <c r="Q411" s="74"/>
      <c r="R411" s="74"/>
      <c r="S411" s="74"/>
      <c r="T411" s="74"/>
      <c r="U411" s="74"/>
      <c r="V411" s="74"/>
      <c r="W411" s="74"/>
      <c r="X411" s="74"/>
      <c r="Y411" s="74"/>
      <c r="Z411" s="74"/>
      <c r="AA411" s="74"/>
      <c r="AB411" s="74"/>
    </row>
    <row r="412" spans="1:28" ht="12" customHeight="1">
      <c r="A412" s="763"/>
      <c r="B412" s="104"/>
      <c r="C412" s="104"/>
      <c r="D412" s="260"/>
      <c r="E412" s="104"/>
      <c r="F412" s="104"/>
      <c r="G412" s="35"/>
      <c r="H412" s="104"/>
      <c r="I412" s="35"/>
      <c r="J412" s="74"/>
      <c r="K412" s="74"/>
      <c r="L412" s="74"/>
      <c r="M412" s="74"/>
      <c r="N412" s="74"/>
      <c r="O412" s="74"/>
      <c r="P412" s="74"/>
      <c r="Q412" s="74"/>
      <c r="R412" s="74"/>
      <c r="S412" s="74"/>
      <c r="T412" s="74"/>
      <c r="U412" s="74"/>
      <c r="V412" s="74"/>
      <c r="W412" s="74"/>
      <c r="X412" s="74"/>
      <c r="Y412" s="74"/>
      <c r="Z412" s="74"/>
      <c r="AA412" s="74"/>
      <c r="AB412" s="74"/>
    </row>
    <row r="413" spans="1:28" ht="12" customHeight="1">
      <c r="A413" s="763"/>
      <c r="B413" s="104"/>
      <c r="C413" s="104"/>
      <c r="D413" s="260"/>
      <c r="E413" s="104"/>
      <c r="F413" s="104"/>
      <c r="G413" s="35"/>
      <c r="H413" s="104"/>
      <c r="I413" s="35"/>
      <c r="J413" s="74"/>
      <c r="K413" s="74"/>
      <c r="L413" s="74"/>
      <c r="M413" s="74"/>
      <c r="N413" s="74"/>
      <c r="O413" s="74"/>
      <c r="P413" s="74"/>
      <c r="Q413" s="74"/>
      <c r="R413" s="74"/>
      <c r="S413" s="74"/>
      <c r="T413" s="74"/>
      <c r="U413" s="74"/>
      <c r="V413" s="74"/>
      <c r="W413" s="74"/>
      <c r="X413" s="74"/>
      <c r="Y413" s="74"/>
      <c r="Z413" s="74"/>
      <c r="AA413" s="74"/>
      <c r="AB413" s="74"/>
    </row>
    <row r="414" spans="1:28" ht="12" customHeight="1">
      <c r="A414" s="763"/>
      <c r="B414" s="104"/>
      <c r="C414" s="104"/>
      <c r="D414" s="260"/>
      <c r="E414" s="104"/>
      <c r="F414" s="104"/>
      <c r="G414" s="35"/>
      <c r="H414" s="104"/>
      <c r="I414" s="35"/>
      <c r="J414" s="74"/>
      <c r="K414" s="74"/>
      <c r="L414" s="74"/>
      <c r="M414" s="74"/>
      <c r="N414" s="74"/>
      <c r="O414" s="74"/>
      <c r="P414" s="74"/>
      <c r="Q414" s="74"/>
      <c r="R414" s="74"/>
      <c r="S414" s="74"/>
      <c r="T414" s="74"/>
      <c r="U414" s="74"/>
      <c r="V414" s="74"/>
      <c r="W414" s="74"/>
      <c r="X414" s="74"/>
      <c r="Y414" s="74"/>
      <c r="Z414" s="74"/>
      <c r="AA414" s="74"/>
      <c r="AB414" s="74"/>
    </row>
    <row r="415" spans="1:28" ht="12" customHeight="1">
      <c r="A415" s="763"/>
      <c r="B415" s="104"/>
      <c r="C415" s="104"/>
      <c r="D415" s="260"/>
      <c r="E415" s="104"/>
      <c r="F415" s="104"/>
      <c r="G415" s="35"/>
      <c r="H415" s="104"/>
      <c r="I415" s="35"/>
      <c r="J415" s="74"/>
      <c r="K415" s="74"/>
      <c r="L415" s="74"/>
      <c r="M415" s="74"/>
      <c r="N415" s="74"/>
      <c r="O415" s="74"/>
      <c r="P415" s="74"/>
      <c r="Q415" s="74"/>
      <c r="R415" s="74"/>
      <c r="S415" s="74"/>
      <c r="T415" s="74"/>
      <c r="U415" s="74"/>
      <c r="V415" s="74"/>
      <c r="W415" s="74"/>
      <c r="X415" s="74"/>
      <c r="Y415" s="74"/>
      <c r="Z415" s="74"/>
      <c r="AA415" s="74"/>
      <c r="AB415" s="74"/>
    </row>
    <row r="416" spans="1:28" ht="12" customHeight="1">
      <c r="A416" s="763"/>
      <c r="B416" s="104"/>
      <c r="C416" s="104"/>
      <c r="D416" s="260"/>
      <c r="E416" s="104"/>
      <c r="F416" s="104"/>
      <c r="G416" s="35"/>
      <c r="H416" s="104"/>
      <c r="I416" s="35"/>
      <c r="J416" s="74"/>
      <c r="K416" s="74"/>
      <c r="L416" s="74"/>
      <c r="M416" s="74"/>
      <c r="N416" s="74"/>
      <c r="O416" s="74"/>
      <c r="P416" s="74"/>
      <c r="Q416" s="74"/>
      <c r="R416" s="74"/>
      <c r="S416" s="74"/>
      <c r="T416" s="74"/>
      <c r="U416" s="74"/>
      <c r="V416" s="74"/>
      <c r="W416" s="74"/>
      <c r="X416" s="74"/>
      <c r="Y416" s="74"/>
      <c r="Z416" s="74"/>
      <c r="AA416" s="74"/>
      <c r="AB416" s="74"/>
    </row>
    <row r="417" spans="1:28" ht="12" customHeight="1">
      <c r="A417" s="763"/>
      <c r="B417" s="104"/>
      <c r="C417" s="104"/>
      <c r="D417" s="260"/>
      <c r="E417" s="104"/>
      <c r="F417" s="104"/>
      <c r="G417" s="35"/>
      <c r="H417" s="104"/>
      <c r="I417" s="35"/>
      <c r="J417" s="74"/>
      <c r="K417" s="74"/>
      <c r="L417" s="74"/>
      <c r="M417" s="74"/>
      <c r="N417" s="74"/>
      <c r="O417" s="74"/>
      <c r="P417" s="74"/>
      <c r="Q417" s="74"/>
      <c r="R417" s="74"/>
      <c r="S417" s="74"/>
      <c r="T417" s="74"/>
      <c r="U417" s="74"/>
      <c r="V417" s="74"/>
      <c r="W417" s="74"/>
      <c r="X417" s="74"/>
      <c r="Y417" s="74"/>
      <c r="Z417" s="74"/>
      <c r="AA417" s="74"/>
      <c r="AB417" s="74"/>
    </row>
    <row r="418" spans="1:28" ht="12" customHeight="1">
      <c r="A418" s="763"/>
      <c r="B418" s="104"/>
      <c r="C418" s="104"/>
      <c r="D418" s="260"/>
      <c r="E418" s="104"/>
      <c r="F418" s="104"/>
      <c r="G418" s="35"/>
      <c r="H418" s="104"/>
      <c r="I418" s="35"/>
      <c r="J418" s="74"/>
      <c r="K418" s="74"/>
      <c r="L418" s="74"/>
      <c r="M418" s="74"/>
      <c r="N418" s="74"/>
      <c r="O418" s="74"/>
      <c r="P418" s="74"/>
      <c r="Q418" s="74"/>
      <c r="R418" s="74"/>
      <c r="S418" s="74"/>
      <c r="T418" s="74"/>
      <c r="U418" s="74"/>
      <c r="V418" s="74"/>
      <c r="W418" s="74"/>
      <c r="X418" s="74"/>
      <c r="Y418" s="74"/>
      <c r="Z418" s="74"/>
      <c r="AA418" s="74"/>
      <c r="AB418" s="74"/>
    </row>
    <row r="419" spans="1:28" ht="12" customHeight="1">
      <c r="A419" s="763"/>
      <c r="B419" s="104"/>
      <c r="C419" s="104"/>
      <c r="D419" s="260"/>
      <c r="E419" s="104"/>
      <c r="F419" s="104"/>
      <c r="G419" s="35"/>
      <c r="H419" s="104"/>
      <c r="I419" s="35"/>
      <c r="J419" s="74"/>
      <c r="K419" s="74"/>
      <c r="L419" s="74"/>
      <c r="M419" s="74"/>
      <c r="N419" s="74"/>
      <c r="O419" s="74"/>
      <c r="P419" s="74"/>
      <c r="Q419" s="74"/>
      <c r="R419" s="74"/>
      <c r="S419" s="74"/>
      <c r="T419" s="74"/>
      <c r="U419" s="74"/>
      <c r="V419" s="74"/>
      <c r="W419" s="74"/>
      <c r="X419" s="74"/>
      <c r="Y419" s="74"/>
      <c r="Z419" s="74"/>
      <c r="AA419" s="74"/>
      <c r="AB419" s="74"/>
    </row>
    <row r="420" spans="1:28" ht="12" customHeight="1">
      <c r="A420" s="763"/>
      <c r="B420" s="104"/>
      <c r="C420" s="104"/>
      <c r="D420" s="260"/>
      <c r="E420" s="104"/>
      <c r="F420" s="104"/>
      <c r="G420" s="35"/>
      <c r="H420" s="104"/>
      <c r="I420" s="35"/>
      <c r="J420" s="74"/>
      <c r="K420" s="74"/>
      <c r="L420" s="74"/>
      <c r="M420" s="74"/>
      <c r="N420" s="74"/>
      <c r="O420" s="74"/>
      <c r="P420" s="74"/>
      <c r="Q420" s="74"/>
      <c r="R420" s="74"/>
      <c r="S420" s="74"/>
      <c r="T420" s="74"/>
      <c r="U420" s="74"/>
      <c r="V420" s="74"/>
      <c r="W420" s="74"/>
      <c r="X420" s="74"/>
      <c r="Y420" s="74"/>
      <c r="Z420" s="74"/>
      <c r="AA420" s="74"/>
      <c r="AB420" s="74"/>
    </row>
    <row r="421" spans="1:28" ht="12" customHeight="1">
      <c r="A421" s="763"/>
      <c r="B421" s="104"/>
      <c r="C421" s="104"/>
      <c r="D421" s="260"/>
      <c r="E421" s="104"/>
      <c r="F421" s="104"/>
      <c r="G421" s="35"/>
      <c r="H421" s="104"/>
      <c r="I421" s="35"/>
      <c r="J421" s="74"/>
      <c r="K421" s="74"/>
      <c r="L421" s="74"/>
      <c r="M421" s="74"/>
      <c r="N421" s="74"/>
      <c r="O421" s="74"/>
      <c r="P421" s="74"/>
      <c r="Q421" s="74"/>
      <c r="R421" s="74"/>
      <c r="S421" s="74"/>
      <c r="T421" s="74"/>
      <c r="U421" s="74"/>
      <c r="V421" s="74"/>
      <c r="W421" s="74"/>
      <c r="X421" s="74"/>
      <c r="Y421" s="74"/>
      <c r="Z421" s="74"/>
      <c r="AA421" s="74"/>
      <c r="AB421" s="74"/>
    </row>
    <row r="422" spans="1:28" ht="12" customHeight="1">
      <c r="A422" s="763"/>
      <c r="B422" s="104"/>
      <c r="C422" s="104"/>
      <c r="D422" s="260"/>
      <c r="E422" s="104"/>
      <c r="F422" s="104"/>
      <c r="G422" s="35"/>
      <c r="H422" s="104"/>
      <c r="I422" s="35"/>
      <c r="J422" s="74"/>
      <c r="K422" s="74"/>
      <c r="L422" s="74"/>
      <c r="M422" s="74"/>
      <c r="N422" s="74"/>
      <c r="O422" s="74"/>
      <c r="P422" s="74"/>
      <c r="Q422" s="74"/>
      <c r="R422" s="74"/>
      <c r="S422" s="74"/>
      <c r="T422" s="74"/>
      <c r="U422" s="74"/>
      <c r="V422" s="74"/>
      <c r="W422" s="74"/>
      <c r="X422" s="74"/>
      <c r="Y422" s="74"/>
      <c r="Z422" s="74"/>
      <c r="AA422" s="74"/>
      <c r="AB422" s="74"/>
    </row>
    <row r="423" spans="1:28" ht="12" customHeight="1">
      <c r="A423" s="763"/>
      <c r="B423" s="104"/>
      <c r="C423" s="104"/>
      <c r="D423" s="260"/>
      <c r="E423" s="104"/>
      <c r="F423" s="104"/>
      <c r="G423" s="35"/>
      <c r="H423" s="104"/>
      <c r="I423" s="35"/>
      <c r="J423" s="74"/>
      <c r="K423" s="74"/>
      <c r="L423" s="74"/>
      <c r="M423" s="74"/>
      <c r="N423" s="74"/>
      <c r="O423" s="74"/>
      <c r="P423" s="74"/>
      <c r="Q423" s="74"/>
      <c r="R423" s="74"/>
      <c r="S423" s="74"/>
      <c r="T423" s="74"/>
      <c r="U423" s="74"/>
      <c r="V423" s="74"/>
      <c r="W423" s="74"/>
      <c r="X423" s="74"/>
      <c r="Y423" s="74"/>
      <c r="Z423" s="74"/>
      <c r="AA423" s="74"/>
      <c r="AB423" s="74"/>
    </row>
    <row r="424" spans="1:28" ht="12" customHeight="1">
      <c r="A424" s="763"/>
      <c r="B424" s="104"/>
      <c r="C424" s="104"/>
      <c r="D424" s="260"/>
      <c r="E424" s="104"/>
      <c r="F424" s="104"/>
      <c r="G424" s="35"/>
      <c r="H424" s="104"/>
      <c r="I424" s="35"/>
      <c r="J424" s="74"/>
      <c r="K424" s="74"/>
      <c r="L424" s="74"/>
      <c r="M424" s="74"/>
      <c r="N424" s="74"/>
      <c r="O424" s="74"/>
      <c r="P424" s="74"/>
      <c r="Q424" s="74"/>
      <c r="R424" s="74"/>
      <c r="S424" s="74"/>
      <c r="T424" s="74"/>
      <c r="U424" s="74"/>
      <c r="V424" s="74"/>
      <c r="W424" s="74"/>
      <c r="X424" s="74"/>
      <c r="Y424" s="74"/>
      <c r="Z424" s="74"/>
      <c r="AA424" s="74"/>
      <c r="AB424" s="74"/>
    </row>
    <row r="425" spans="1:28" ht="12" customHeight="1">
      <c r="A425" s="763"/>
      <c r="B425" s="104"/>
      <c r="C425" s="104"/>
      <c r="D425" s="260"/>
      <c r="E425" s="104"/>
      <c r="F425" s="104"/>
      <c r="G425" s="35"/>
      <c r="H425" s="104"/>
      <c r="I425" s="35"/>
      <c r="J425" s="74"/>
      <c r="K425" s="74"/>
      <c r="L425" s="74"/>
      <c r="M425" s="74"/>
      <c r="N425" s="74"/>
      <c r="O425" s="74"/>
      <c r="P425" s="74"/>
      <c r="Q425" s="74"/>
      <c r="R425" s="74"/>
      <c r="S425" s="74"/>
      <c r="T425" s="74"/>
      <c r="U425" s="74"/>
      <c r="V425" s="74"/>
      <c r="W425" s="74"/>
      <c r="X425" s="74"/>
      <c r="Y425" s="74"/>
      <c r="Z425" s="74"/>
      <c r="AA425" s="74"/>
      <c r="AB425" s="74"/>
    </row>
    <row r="426" spans="1:28" ht="12" customHeight="1">
      <c r="A426" s="763"/>
      <c r="B426" s="104"/>
      <c r="C426" s="104"/>
      <c r="D426" s="260"/>
      <c r="E426" s="104"/>
      <c r="F426" s="104"/>
      <c r="G426" s="35"/>
      <c r="H426" s="104"/>
      <c r="I426" s="35"/>
      <c r="J426" s="74"/>
      <c r="K426" s="74"/>
      <c r="L426" s="74"/>
      <c r="M426" s="74"/>
      <c r="N426" s="74"/>
      <c r="O426" s="74"/>
      <c r="P426" s="74"/>
      <c r="Q426" s="74"/>
      <c r="R426" s="74"/>
      <c r="S426" s="74"/>
      <c r="T426" s="74"/>
      <c r="U426" s="74"/>
      <c r="V426" s="74"/>
      <c r="W426" s="74"/>
      <c r="X426" s="74"/>
      <c r="Y426" s="74"/>
      <c r="Z426" s="74"/>
      <c r="AA426" s="74"/>
      <c r="AB426" s="74"/>
    </row>
    <row r="427" spans="1:28" ht="12" customHeight="1">
      <c r="A427" s="763"/>
      <c r="B427" s="104"/>
      <c r="C427" s="104"/>
      <c r="D427" s="260"/>
      <c r="E427" s="104"/>
      <c r="F427" s="104"/>
      <c r="G427" s="35"/>
      <c r="H427" s="104"/>
      <c r="I427" s="35"/>
      <c r="J427" s="74"/>
      <c r="K427" s="74"/>
      <c r="L427" s="74"/>
      <c r="M427" s="74"/>
      <c r="N427" s="74"/>
      <c r="O427" s="74"/>
      <c r="P427" s="74"/>
      <c r="Q427" s="74"/>
      <c r="R427" s="74"/>
      <c r="S427" s="74"/>
      <c r="T427" s="74"/>
      <c r="U427" s="74"/>
      <c r="V427" s="74"/>
      <c r="W427" s="74"/>
      <c r="X427" s="74"/>
      <c r="Y427" s="74"/>
      <c r="Z427" s="74"/>
      <c r="AA427" s="74"/>
      <c r="AB427" s="74"/>
    </row>
    <row r="428" spans="1:28" ht="12" customHeight="1">
      <c r="A428" s="763"/>
      <c r="B428" s="104"/>
      <c r="C428" s="104"/>
      <c r="D428" s="260"/>
      <c r="E428" s="104"/>
      <c r="F428" s="104"/>
      <c r="G428" s="35"/>
      <c r="H428" s="104"/>
      <c r="I428" s="35"/>
      <c r="J428" s="74"/>
      <c r="K428" s="74"/>
      <c r="L428" s="74"/>
      <c r="M428" s="74"/>
      <c r="N428" s="74"/>
      <c r="O428" s="74"/>
      <c r="P428" s="74"/>
      <c r="Q428" s="74"/>
      <c r="R428" s="74"/>
      <c r="S428" s="74"/>
      <c r="T428" s="74"/>
      <c r="U428" s="74"/>
      <c r="V428" s="74"/>
      <c r="W428" s="74"/>
      <c r="X428" s="74"/>
      <c r="Y428" s="74"/>
      <c r="Z428" s="74"/>
      <c r="AA428" s="74"/>
      <c r="AB428" s="74"/>
    </row>
    <row r="429" spans="1:28" ht="12" customHeight="1">
      <c r="A429" s="763"/>
      <c r="B429" s="104"/>
      <c r="C429" s="104"/>
      <c r="D429" s="260"/>
      <c r="E429" s="104"/>
      <c r="F429" s="104"/>
      <c r="G429" s="35"/>
      <c r="H429" s="104"/>
      <c r="I429" s="35"/>
      <c r="J429" s="74"/>
      <c r="K429" s="74"/>
      <c r="L429" s="74"/>
      <c r="M429" s="74"/>
      <c r="N429" s="74"/>
      <c r="O429" s="74"/>
      <c r="P429" s="74"/>
      <c r="Q429" s="74"/>
      <c r="R429" s="74"/>
      <c r="S429" s="74"/>
      <c r="T429" s="74"/>
      <c r="U429" s="74"/>
      <c r="V429" s="74"/>
      <c r="W429" s="74"/>
      <c r="X429" s="74"/>
      <c r="Y429" s="74"/>
      <c r="Z429" s="74"/>
      <c r="AA429" s="74"/>
      <c r="AB429" s="74"/>
    </row>
    <row r="430" spans="1:28" ht="12" customHeight="1">
      <c r="A430" s="763"/>
      <c r="B430" s="104"/>
      <c r="C430" s="104"/>
      <c r="D430" s="260"/>
      <c r="E430" s="104"/>
      <c r="F430" s="104"/>
      <c r="G430" s="35"/>
      <c r="H430" s="104"/>
      <c r="I430" s="35"/>
      <c r="J430" s="74"/>
      <c r="K430" s="74"/>
      <c r="L430" s="74"/>
      <c r="M430" s="74"/>
      <c r="N430" s="74"/>
      <c r="O430" s="74"/>
      <c r="P430" s="74"/>
      <c r="Q430" s="74"/>
      <c r="R430" s="74"/>
      <c r="S430" s="74"/>
      <c r="T430" s="74"/>
      <c r="U430" s="74"/>
      <c r="V430" s="74"/>
      <c r="W430" s="74"/>
      <c r="X430" s="74"/>
      <c r="Y430" s="74"/>
      <c r="Z430" s="74"/>
      <c r="AA430" s="74"/>
      <c r="AB430" s="74"/>
    </row>
    <row r="431" spans="1:28" ht="12" customHeight="1">
      <c r="A431" s="763"/>
      <c r="B431" s="104"/>
      <c r="C431" s="104"/>
      <c r="D431" s="260"/>
      <c r="E431" s="104"/>
      <c r="F431" s="104"/>
      <c r="G431" s="35"/>
      <c r="H431" s="104"/>
      <c r="I431" s="35"/>
      <c r="J431" s="74"/>
      <c r="K431" s="74"/>
      <c r="L431" s="74"/>
      <c r="M431" s="74"/>
      <c r="N431" s="74"/>
      <c r="O431" s="74"/>
      <c r="P431" s="74"/>
      <c r="Q431" s="74"/>
      <c r="R431" s="74"/>
      <c r="S431" s="74"/>
      <c r="T431" s="74"/>
      <c r="U431" s="74"/>
      <c r="V431" s="74"/>
      <c r="W431" s="74"/>
      <c r="X431" s="74"/>
      <c r="Y431" s="74"/>
      <c r="Z431" s="74"/>
      <c r="AA431" s="74"/>
      <c r="AB431" s="74"/>
    </row>
    <row r="432" spans="1:28" ht="12" customHeight="1">
      <c r="A432" s="763"/>
      <c r="B432" s="104"/>
      <c r="C432" s="104"/>
      <c r="D432" s="260"/>
      <c r="E432" s="104"/>
      <c r="F432" s="104"/>
      <c r="G432" s="35"/>
      <c r="H432" s="104"/>
      <c r="I432" s="35"/>
      <c r="J432" s="74"/>
      <c r="K432" s="74"/>
      <c r="L432" s="74"/>
      <c r="M432" s="74"/>
      <c r="N432" s="74"/>
      <c r="O432" s="74"/>
      <c r="P432" s="74"/>
      <c r="Q432" s="74"/>
      <c r="R432" s="74"/>
      <c r="S432" s="74"/>
      <c r="T432" s="74"/>
      <c r="U432" s="74"/>
      <c r="V432" s="74"/>
      <c r="W432" s="74"/>
      <c r="X432" s="74"/>
      <c r="Y432" s="74"/>
      <c r="Z432" s="74"/>
      <c r="AA432" s="74"/>
      <c r="AB432" s="74"/>
    </row>
    <row r="433" spans="1:28" ht="12" customHeight="1">
      <c r="A433" s="763"/>
      <c r="B433" s="104"/>
      <c r="C433" s="104"/>
      <c r="D433" s="260"/>
      <c r="E433" s="104"/>
      <c r="F433" s="104"/>
      <c r="G433" s="35"/>
      <c r="H433" s="104"/>
      <c r="I433" s="35"/>
      <c r="J433" s="74"/>
      <c r="K433" s="74"/>
      <c r="L433" s="74"/>
      <c r="M433" s="74"/>
      <c r="N433" s="74"/>
      <c r="O433" s="74"/>
      <c r="P433" s="74"/>
      <c r="Q433" s="74"/>
      <c r="R433" s="74"/>
      <c r="S433" s="74"/>
      <c r="T433" s="74"/>
      <c r="U433" s="74"/>
      <c r="V433" s="74"/>
      <c r="W433" s="74"/>
      <c r="X433" s="74"/>
      <c r="Y433" s="74"/>
      <c r="Z433" s="74"/>
      <c r="AA433" s="74"/>
      <c r="AB433" s="74"/>
    </row>
    <row r="434" spans="1:28" ht="12" customHeight="1">
      <c r="A434" s="763"/>
      <c r="B434" s="104"/>
      <c r="C434" s="104"/>
      <c r="D434" s="260"/>
      <c r="E434" s="104"/>
      <c r="F434" s="104"/>
      <c r="G434" s="35"/>
      <c r="H434" s="104"/>
      <c r="I434" s="35"/>
      <c r="J434" s="74"/>
      <c r="K434" s="74"/>
      <c r="L434" s="74"/>
      <c r="M434" s="74"/>
      <c r="N434" s="74"/>
      <c r="O434" s="74"/>
      <c r="P434" s="74"/>
      <c r="Q434" s="74"/>
      <c r="R434" s="74"/>
      <c r="S434" s="74"/>
      <c r="T434" s="74"/>
      <c r="U434" s="74"/>
      <c r="V434" s="74"/>
      <c r="W434" s="74"/>
      <c r="X434" s="74"/>
      <c r="Y434" s="74"/>
      <c r="Z434" s="74"/>
      <c r="AA434" s="74"/>
      <c r="AB434" s="74"/>
    </row>
    <row r="435" spans="1:28" ht="12" customHeight="1">
      <c r="A435" s="763"/>
      <c r="B435" s="104"/>
      <c r="C435" s="104"/>
      <c r="D435" s="260"/>
      <c r="E435" s="104"/>
      <c r="F435" s="104"/>
      <c r="G435" s="35"/>
      <c r="H435" s="104"/>
      <c r="I435" s="35"/>
      <c r="J435" s="74"/>
      <c r="K435" s="74"/>
      <c r="L435" s="74"/>
      <c r="M435" s="74"/>
      <c r="N435" s="74"/>
      <c r="O435" s="74"/>
      <c r="P435" s="74"/>
      <c r="Q435" s="74"/>
      <c r="R435" s="74"/>
      <c r="S435" s="74"/>
      <c r="T435" s="74"/>
      <c r="U435" s="74"/>
      <c r="V435" s="74"/>
      <c r="W435" s="74"/>
      <c r="X435" s="74"/>
      <c r="Y435" s="74"/>
      <c r="Z435" s="74"/>
      <c r="AA435" s="74"/>
      <c r="AB435" s="74"/>
    </row>
    <row r="436" spans="1:28" ht="12" customHeight="1">
      <c r="A436" s="763"/>
      <c r="B436" s="104"/>
      <c r="C436" s="104"/>
      <c r="D436" s="260"/>
      <c r="E436" s="104"/>
      <c r="F436" s="104"/>
      <c r="G436" s="35"/>
      <c r="H436" s="104"/>
      <c r="I436" s="35"/>
      <c r="J436" s="74"/>
      <c r="K436" s="74"/>
      <c r="L436" s="74"/>
      <c r="M436" s="74"/>
      <c r="N436" s="74"/>
      <c r="O436" s="74"/>
      <c r="P436" s="74"/>
      <c r="Q436" s="74"/>
      <c r="R436" s="74"/>
      <c r="S436" s="74"/>
      <c r="T436" s="74"/>
      <c r="U436" s="74"/>
      <c r="V436" s="74"/>
      <c r="W436" s="74"/>
      <c r="X436" s="74"/>
      <c r="Y436" s="74"/>
      <c r="Z436" s="74"/>
      <c r="AA436" s="74"/>
      <c r="AB436" s="74"/>
    </row>
    <row r="437" spans="1:28" ht="12" customHeight="1">
      <c r="A437" s="763"/>
      <c r="B437" s="104"/>
      <c r="C437" s="104"/>
      <c r="D437" s="260"/>
      <c r="E437" s="104"/>
      <c r="F437" s="104"/>
      <c r="G437" s="35"/>
      <c r="H437" s="104"/>
      <c r="I437" s="35"/>
      <c r="J437" s="74"/>
      <c r="K437" s="74"/>
      <c r="L437" s="74"/>
      <c r="M437" s="74"/>
      <c r="N437" s="74"/>
      <c r="O437" s="74"/>
      <c r="P437" s="74"/>
      <c r="Q437" s="74"/>
      <c r="R437" s="74"/>
      <c r="S437" s="74"/>
      <c r="T437" s="74"/>
      <c r="U437" s="74"/>
      <c r="V437" s="74"/>
      <c r="W437" s="74"/>
      <c r="X437" s="74"/>
      <c r="Y437" s="74"/>
      <c r="Z437" s="74"/>
      <c r="AA437" s="74"/>
      <c r="AB437" s="74"/>
    </row>
    <row r="438" spans="1:28" ht="12" customHeight="1">
      <c r="A438" s="763"/>
      <c r="B438" s="104"/>
      <c r="C438" s="104"/>
      <c r="D438" s="260"/>
      <c r="E438" s="104"/>
      <c r="F438" s="104"/>
      <c r="G438" s="35"/>
      <c r="H438" s="104"/>
      <c r="I438" s="35"/>
      <c r="J438" s="74"/>
      <c r="K438" s="74"/>
      <c r="L438" s="74"/>
      <c r="M438" s="74"/>
      <c r="N438" s="74"/>
      <c r="O438" s="74"/>
      <c r="P438" s="74"/>
      <c r="Q438" s="74"/>
      <c r="R438" s="74"/>
      <c r="S438" s="74"/>
      <c r="T438" s="74"/>
      <c r="U438" s="74"/>
      <c r="V438" s="74"/>
      <c r="W438" s="74"/>
      <c r="X438" s="74"/>
      <c r="Y438" s="74"/>
      <c r="Z438" s="74"/>
      <c r="AA438" s="74"/>
      <c r="AB438" s="74"/>
    </row>
    <row r="439" spans="1:28" ht="12" customHeight="1">
      <c r="A439" s="763"/>
      <c r="B439" s="104"/>
      <c r="C439" s="104"/>
      <c r="D439" s="260"/>
      <c r="E439" s="104"/>
      <c r="F439" s="104"/>
      <c r="G439" s="35"/>
      <c r="H439" s="104"/>
      <c r="I439" s="35"/>
      <c r="J439" s="74"/>
      <c r="K439" s="74"/>
      <c r="L439" s="74"/>
      <c r="M439" s="74"/>
      <c r="N439" s="74"/>
      <c r="O439" s="74"/>
      <c r="P439" s="74"/>
      <c r="Q439" s="74"/>
      <c r="R439" s="74"/>
      <c r="S439" s="74"/>
      <c r="T439" s="74"/>
      <c r="U439" s="74"/>
      <c r="V439" s="74"/>
      <c r="W439" s="74"/>
      <c r="X439" s="74"/>
      <c r="Y439" s="74"/>
      <c r="Z439" s="74"/>
      <c r="AA439" s="74"/>
      <c r="AB439" s="74"/>
    </row>
    <row r="440" spans="1:28" ht="12" customHeight="1">
      <c r="A440" s="763"/>
      <c r="B440" s="104"/>
      <c r="C440" s="104"/>
      <c r="D440" s="260"/>
      <c r="E440" s="104"/>
      <c r="F440" s="104"/>
      <c r="G440" s="35"/>
      <c r="H440" s="104"/>
      <c r="I440" s="35"/>
      <c r="J440" s="74"/>
      <c r="K440" s="74"/>
      <c r="L440" s="74"/>
      <c r="M440" s="74"/>
      <c r="N440" s="74"/>
      <c r="O440" s="74"/>
      <c r="P440" s="74"/>
      <c r="Q440" s="74"/>
      <c r="R440" s="74"/>
      <c r="S440" s="74"/>
      <c r="T440" s="74"/>
      <c r="U440" s="74"/>
      <c r="V440" s="74"/>
      <c r="W440" s="74"/>
      <c r="X440" s="74"/>
      <c r="Y440" s="74"/>
      <c r="Z440" s="74"/>
      <c r="AA440" s="74"/>
      <c r="AB440" s="74"/>
    </row>
    <row r="441" spans="1:28" ht="12" customHeight="1">
      <c r="A441" s="763"/>
      <c r="B441" s="104"/>
      <c r="C441" s="104"/>
      <c r="D441" s="260"/>
      <c r="E441" s="104"/>
      <c r="F441" s="104"/>
      <c r="G441" s="35"/>
      <c r="H441" s="104"/>
      <c r="I441" s="35"/>
      <c r="J441" s="74"/>
      <c r="K441" s="74"/>
      <c r="L441" s="74"/>
      <c r="M441" s="74"/>
      <c r="N441" s="74"/>
      <c r="O441" s="74"/>
      <c r="P441" s="74"/>
      <c r="Q441" s="74"/>
      <c r="R441" s="74"/>
      <c r="S441" s="74"/>
      <c r="T441" s="74"/>
      <c r="U441" s="74"/>
      <c r="V441" s="74"/>
      <c r="W441" s="74"/>
      <c r="X441" s="74"/>
      <c r="Y441" s="74"/>
      <c r="Z441" s="74"/>
      <c r="AA441" s="74"/>
      <c r="AB441" s="74"/>
    </row>
    <row r="442" spans="1:28" ht="12" customHeight="1">
      <c r="A442" s="763"/>
      <c r="B442" s="104"/>
      <c r="C442" s="104"/>
      <c r="D442" s="260"/>
      <c r="E442" s="104"/>
      <c r="F442" s="104"/>
      <c r="G442" s="35"/>
      <c r="H442" s="104"/>
      <c r="I442" s="35"/>
      <c r="J442" s="74"/>
      <c r="K442" s="74"/>
      <c r="L442" s="74"/>
      <c r="M442" s="74"/>
      <c r="N442" s="74"/>
      <c r="O442" s="74"/>
      <c r="P442" s="74"/>
      <c r="Q442" s="74"/>
      <c r="R442" s="74"/>
      <c r="S442" s="74"/>
      <c r="T442" s="74"/>
      <c r="U442" s="74"/>
      <c r="V442" s="74"/>
      <c r="W442" s="74"/>
      <c r="X442" s="74"/>
      <c r="Y442" s="74"/>
      <c r="Z442" s="74"/>
      <c r="AA442" s="74"/>
      <c r="AB442" s="74"/>
    </row>
    <row r="443" spans="1:28" ht="12" customHeight="1">
      <c r="A443" s="763"/>
      <c r="B443" s="104"/>
      <c r="C443" s="104"/>
      <c r="D443" s="260"/>
      <c r="E443" s="104"/>
      <c r="F443" s="104"/>
      <c r="G443" s="35"/>
      <c r="H443" s="104"/>
      <c r="I443" s="35"/>
      <c r="J443" s="74"/>
      <c r="K443" s="74"/>
      <c r="L443" s="74"/>
      <c r="M443" s="74"/>
      <c r="N443" s="74"/>
      <c r="O443" s="74"/>
      <c r="P443" s="74"/>
      <c r="Q443" s="74"/>
      <c r="R443" s="74"/>
      <c r="S443" s="74"/>
      <c r="T443" s="74"/>
      <c r="U443" s="74"/>
      <c r="V443" s="74"/>
      <c r="W443" s="74"/>
      <c r="X443" s="74"/>
      <c r="Y443" s="74"/>
      <c r="Z443" s="74"/>
      <c r="AA443" s="74"/>
      <c r="AB443" s="74"/>
    </row>
    <row r="444" spans="1:28" ht="12" customHeight="1">
      <c r="A444" s="763"/>
      <c r="B444" s="104"/>
      <c r="C444" s="104"/>
      <c r="D444" s="260"/>
      <c r="E444" s="104"/>
      <c r="F444" s="104"/>
      <c r="G444" s="35"/>
      <c r="H444" s="104"/>
      <c r="I444" s="35"/>
      <c r="J444" s="74"/>
      <c r="K444" s="74"/>
      <c r="L444" s="74"/>
      <c r="M444" s="74"/>
      <c r="N444" s="74"/>
      <c r="O444" s="74"/>
      <c r="P444" s="74"/>
      <c r="Q444" s="74"/>
      <c r="R444" s="74"/>
      <c r="S444" s="74"/>
      <c r="T444" s="74"/>
      <c r="U444" s="74"/>
      <c r="V444" s="74"/>
      <c r="W444" s="74"/>
      <c r="X444" s="74"/>
      <c r="Y444" s="74"/>
      <c r="Z444" s="74"/>
      <c r="AA444" s="74"/>
      <c r="AB444" s="74"/>
    </row>
    <row r="445" spans="1:28" ht="12" customHeight="1">
      <c r="A445" s="763"/>
      <c r="B445" s="104"/>
      <c r="C445" s="104"/>
      <c r="D445" s="260"/>
      <c r="E445" s="104"/>
      <c r="F445" s="104"/>
      <c r="G445" s="35"/>
      <c r="H445" s="104"/>
      <c r="I445" s="35"/>
      <c r="J445" s="74"/>
      <c r="K445" s="74"/>
      <c r="L445" s="74"/>
      <c r="M445" s="74"/>
      <c r="N445" s="74"/>
      <c r="O445" s="74"/>
      <c r="P445" s="74"/>
      <c r="Q445" s="74"/>
      <c r="R445" s="74"/>
      <c r="S445" s="74"/>
      <c r="T445" s="74"/>
      <c r="U445" s="74"/>
      <c r="V445" s="74"/>
      <c r="W445" s="74"/>
      <c r="X445" s="74"/>
      <c r="Y445" s="74"/>
      <c r="Z445" s="74"/>
      <c r="AA445" s="74"/>
      <c r="AB445" s="74"/>
    </row>
    <row r="446" spans="1:28" ht="12" customHeight="1">
      <c r="A446" s="763"/>
      <c r="B446" s="104"/>
      <c r="C446" s="104"/>
      <c r="D446" s="260"/>
      <c r="E446" s="104"/>
      <c r="F446" s="104"/>
      <c r="G446" s="35"/>
      <c r="H446" s="104"/>
      <c r="I446" s="35"/>
      <c r="J446" s="74"/>
      <c r="K446" s="74"/>
      <c r="L446" s="74"/>
      <c r="M446" s="74"/>
      <c r="N446" s="74"/>
      <c r="O446" s="74"/>
      <c r="P446" s="74"/>
      <c r="Q446" s="74"/>
      <c r="R446" s="74"/>
      <c r="S446" s="74"/>
      <c r="T446" s="74"/>
      <c r="U446" s="74"/>
      <c r="V446" s="74"/>
      <c r="W446" s="74"/>
      <c r="X446" s="74"/>
      <c r="Y446" s="74"/>
      <c r="Z446" s="74"/>
      <c r="AA446" s="74"/>
      <c r="AB446" s="74"/>
    </row>
    <row r="447" spans="1:28" ht="12" customHeight="1">
      <c r="A447" s="763"/>
      <c r="B447" s="104"/>
      <c r="C447" s="104"/>
      <c r="D447" s="260"/>
      <c r="E447" s="104"/>
      <c r="F447" s="104"/>
      <c r="G447" s="35"/>
      <c r="H447" s="104"/>
      <c r="I447" s="35"/>
      <c r="J447" s="74"/>
      <c r="K447" s="74"/>
      <c r="L447" s="74"/>
      <c r="M447" s="74"/>
      <c r="N447" s="74"/>
      <c r="O447" s="74"/>
      <c r="P447" s="74"/>
      <c r="Q447" s="74"/>
      <c r="R447" s="74"/>
      <c r="S447" s="74"/>
      <c r="T447" s="74"/>
      <c r="U447" s="74"/>
      <c r="V447" s="74"/>
      <c r="W447" s="74"/>
      <c r="X447" s="74"/>
      <c r="Y447" s="74"/>
      <c r="Z447" s="74"/>
      <c r="AA447" s="74"/>
      <c r="AB447" s="74"/>
    </row>
    <row r="448" spans="1:28" ht="12" customHeight="1">
      <c r="A448" s="763"/>
      <c r="B448" s="104"/>
      <c r="C448" s="104"/>
      <c r="D448" s="260"/>
      <c r="E448" s="104"/>
      <c r="F448" s="104"/>
      <c r="G448" s="35"/>
      <c r="H448" s="104"/>
      <c r="I448" s="35"/>
      <c r="J448" s="74"/>
      <c r="K448" s="74"/>
      <c r="L448" s="74"/>
      <c r="M448" s="74"/>
      <c r="N448" s="74"/>
      <c r="O448" s="74"/>
      <c r="P448" s="74"/>
      <c r="Q448" s="74"/>
      <c r="R448" s="74"/>
      <c r="S448" s="74"/>
      <c r="T448" s="74"/>
      <c r="U448" s="74"/>
      <c r="V448" s="74"/>
      <c r="W448" s="74"/>
      <c r="X448" s="74"/>
      <c r="Y448" s="74"/>
      <c r="Z448" s="74"/>
      <c r="AA448" s="74"/>
      <c r="AB448" s="74"/>
    </row>
    <row r="449" spans="1:28" ht="12" customHeight="1">
      <c r="A449" s="763"/>
      <c r="B449" s="104"/>
      <c r="C449" s="104"/>
      <c r="D449" s="260"/>
      <c r="E449" s="104"/>
      <c r="F449" s="104"/>
      <c r="G449" s="35"/>
      <c r="H449" s="104"/>
      <c r="I449" s="35"/>
      <c r="J449" s="74"/>
      <c r="K449" s="74"/>
      <c r="L449" s="74"/>
      <c r="M449" s="74"/>
      <c r="N449" s="74"/>
      <c r="O449" s="74"/>
      <c r="P449" s="74"/>
      <c r="Q449" s="74"/>
      <c r="R449" s="74"/>
      <c r="S449" s="74"/>
      <c r="T449" s="74"/>
      <c r="U449" s="74"/>
      <c r="V449" s="74"/>
      <c r="W449" s="74"/>
      <c r="X449" s="74"/>
      <c r="Y449" s="74"/>
      <c r="Z449" s="74"/>
      <c r="AA449" s="74"/>
      <c r="AB449" s="74"/>
    </row>
    <row r="450" spans="1:28" ht="12" customHeight="1">
      <c r="A450" s="763"/>
      <c r="B450" s="104"/>
      <c r="C450" s="104"/>
      <c r="D450" s="260"/>
      <c r="E450" s="104"/>
      <c r="F450" s="104"/>
      <c r="G450" s="35"/>
      <c r="H450" s="104"/>
      <c r="I450" s="35"/>
      <c r="J450" s="74"/>
      <c r="K450" s="74"/>
      <c r="L450" s="74"/>
      <c r="M450" s="74"/>
      <c r="N450" s="74"/>
      <c r="O450" s="74"/>
      <c r="P450" s="74"/>
      <c r="Q450" s="74"/>
      <c r="R450" s="74"/>
      <c r="S450" s="74"/>
      <c r="T450" s="74"/>
      <c r="U450" s="74"/>
      <c r="V450" s="74"/>
      <c r="W450" s="74"/>
      <c r="X450" s="74"/>
      <c r="Y450" s="74"/>
      <c r="Z450" s="74"/>
      <c r="AA450" s="74"/>
      <c r="AB450" s="74"/>
    </row>
    <row r="451" spans="1:28" ht="12" customHeight="1">
      <c r="A451" s="763"/>
      <c r="B451" s="104"/>
      <c r="C451" s="104"/>
      <c r="D451" s="260"/>
      <c r="E451" s="104"/>
      <c r="F451" s="104"/>
      <c r="G451" s="35"/>
      <c r="H451" s="104"/>
      <c r="I451" s="35"/>
      <c r="J451" s="74"/>
      <c r="K451" s="74"/>
      <c r="L451" s="74"/>
      <c r="M451" s="74"/>
      <c r="N451" s="74"/>
      <c r="O451" s="74"/>
      <c r="P451" s="74"/>
      <c r="Q451" s="74"/>
      <c r="R451" s="74"/>
      <c r="S451" s="74"/>
      <c r="T451" s="74"/>
      <c r="U451" s="74"/>
      <c r="V451" s="74"/>
      <c r="W451" s="74"/>
      <c r="X451" s="74"/>
      <c r="Y451" s="74"/>
      <c r="Z451" s="74"/>
      <c r="AA451" s="74"/>
      <c r="AB451" s="74"/>
    </row>
    <row r="452" spans="1:28" ht="12" customHeight="1">
      <c r="A452" s="763"/>
      <c r="B452" s="104"/>
      <c r="C452" s="104"/>
      <c r="D452" s="260"/>
      <c r="E452" s="104"/>
      <c r="F452" s="104"/>
      <c r="G452" s="35"/>
      <c r="H452" s="104"/>
      <c r="I452" s="35"/>
      <c r="J452" s="74"/>
      <c r="K452" s="74"/>
      <c r="L452" s="74"/>
      <c r="M452" s="74"/>
      <c r="N452" s="74"/>
      <c r="O452" s="74"/>
      <c r="P452" s="74"/>
      <c r="Q452" s="74"/>
      <c r="R452" s="74"/>
      <c r="S452" s="74"/>
      <c r="T452" s="74"/>
      <c r="U452" s="74"/>
      <c r="V452" s="74"/>
      <c r="W452" s="74"/>
      <c r="X452" s="74"/>
      <c r="Y452" s="74"/>
      <c r="Z452" s="74"/>
      <c r="AA452" s="74"/>
      <c r="AB452" s="74"/>
    </row>
    <row r="453" spans="1:28" ht="12" customHeight="1">
      <c r="A453" s="763"/>
      <c r="B453" s="104"/>
      <c r="C453" s="104"/>
      <c r="D453" s="260"/>
      <c r="E453" s="104"/>
      <c r="F453" s="104"/>
      <c r="G453" s="35"/>
      <c r="H453" s="104"/>
      <c r="I453" s="35"/>
      <c r="J453" s="74"/>
      <c r="K453" s="74"/>
      <c r="L453" s="74"/>
      <c r="M453" s="74"/>
      <c r="N453" s="74"/>
      <c r="O453" s="74"/>
      <c r="P453" s="74"/>
      <c r="Q453" s="74"/>
      <c r="R453" s="74"/>
      <c r="S453" s="74"/>
      <c r="T453" s="74"/>
      <c r="U453" s="74"/>
      <c r="V453" s="74"/>
      <c r="W453" s="74"/>
      <c r="X453" s="74"/>
      <c r="Y453" s="74"/>
      <c r="Z453" s="74"/>
      <c r="AA453" s="74"/>
      <c r="AB453" s="74"/>
    </row>
    <row r="454" spans="1:28" ht="12" customHeight="1">
      <c r="A454" s="763"/>
      <c r="B454" s="104"/>
      <c r="C454" s="104"/>
      <c r="D454" s="260"/>
      <c r="E454" s="104"/>
      <c r="F454" s="104"/>
      <c r="G454" s="35"/>
      <c r="H454" s="104"/>
      <c r="I454" s="35"/>
      <c r="J454" s="74"/>
      <c r="K454" s="74"/>
      <c r="L454" s="74"/>
      <c r="M454" s="74"/>
      <c r="N454" s="74"/>
      <c r="O454" s="74"/>
      <c r="P454" s="74"/>
      <c r="Q454" s="74"/>
      <c r="R454" s="74"/>
      <c r="S454" s="74"/>
      <c r="T454" s="74"/>
      <c r="U454" s="74"/>
      <c r="V454" s="74"/>
      <c r="W454" s="74"/>
      <c r="X454" s="74"/>
      <c r="Y454" s="74"/>
      <c r="Z454" s="74"/>
      <c r="AA454" s="74"/>
      <c r="AB454" s="74"/>
    </row>
    <row r="455" spans="1:28" ht="12" customHeight="1">
      <c r="A455" s="763"/>
      <c r="B455" s="104"/>
      <c r="C455" s="104"/>
      <c r="D455" s="260"/>
      <c r="E455" s="104"/>
      <c r="F455" s="104"/>
      <c r="G455" s="35"/>
      <c r="H455" s="104"/>
      <c r="I455" s="35"/>
      <c r="J455" s="74"/>
      <c r="K455" s="74"/>
      <c r="L455" s="74"/>
      <c r="M455" s="74"/>
      <c r="N455" s="74"/>
      <c r="O455" s="74"/>
      <c r="P455" s="74"/>
      <c r="Q455" s="74"/>
      <c r="R455" s="74"/>
      <c r="S455" s="74"/>
      <c r="T455" s="74"/>
      <c r="U455" s="74"/>
      <c r="V455" s="74"/>
      <c r="W455" s="74"/>
      <c r="X455" s="74"/>
      <c r="Y455" s="74"/>
      <c r="Z455" s="74"/>
      <c r="AA455" s="74"/>
      <c r="AB455" s="74"/>
    </row>
    <row r="456" spans="1:28" ht="12" customHeight="1">
      <c r="A456" s="763"/>
      <c r="B456" s="104"/>
      <c r="C456" s="104"/>
      <c r="D456" s="260"/>
      <c r="E456" s="104"/>
      <c r="F456" s="104"/>
      <c r="G456" s="35"/>
      <c r="H456" s="104"/>
      <c r="I456" s="35"/>
      <c r="J456" s="74"/>
      <c r="K456" s="74"/>
      <c r="L456" s="74"/>
      <c r="M456" s="74"/>
      <c r="N456" s="74"/>
      <c r="O456" s="74"/>
      <c r="P456" s="74"/>
      <c r="Q456" s="74"/>
      <c r="R456" s="74"/>
      <c r="S456" s="74"/>
      <c r="T456" s="74"/>
      <c r="U456" s="74"/>
      <c r="V456" s="74"/>
      <c r="W456" s="74"/>
      <c r="X456" s="74"/>
      <c r="Y456" s="74"/>
      <c r="Z456" s="74"/>
      <c r="AA456" s="74"/>
      <c r="AB456" s="74"/>
    </row>
    <row r="457" spans="1:28" ht="12" customHeight="1">
      <c r="A457" s="763"/>
      <c r="B457" s="104"/>
      <c r="C457" s="104"/>
      <c r="D457" s="260"/>
      <c r="E457" s="104"/>
      <c r="F457" s="104"/>
      <c r="G457" s="35"/>
      <c r="H457" s="104"/>
      <c r="I457" s="35"/>
      <c r="J457" s="74"/>
      <c r="K457" s="74"/>
      <c r="L457" s="74"/>
      <c r="M457" s="74"/>
      <c r="N457" s="74"/>
      <c r="O457" s="74"/>
      <c r="P457" s="74"/>
      <c r="Q457" s="74"/>
      <c r="R457" s="74"/>
      <c r="S457" s="74"/>
      <c r="T457" s="74"/>
      <c r="U457" s="74"/>
      <c r="V457" s="74"/>
      <c r="W457" s="74"/>
      <c r="X457" s="74"/>
      <c r="Y457" s="74"/>
      <c r="Z457" s="74"/>
      <c r="AA457" s="74"/>
      <c r="AB457" s="74"/>
    </row>
    <row r="458" spans="1:28" ht="12" customHeight="1">
      <c r="A458" s="763"/>
      <c r="B458" s="104"/>
      <c r="C458" s="104"/>
      <c r="D458" s="260"/>
      <c r="E458" s="104"/>
      <c r="F458" s="104"/>
      <c r="G458" s="35"/>
      <c r="H458" s="104"/>
      <c r="I458" s="35"/>
      <c r="J458" s="74"/>
      <c r="K458" s="74"/>
      <c r="L458" s="74"/>
      <c r="M458" s="74"/>
      <c r="N458" s="74"/>
      <c r="O458" s="74"/>
      <c r="P458" s="74"/>
      <c r="Q458" s="74"/>
      <c r="R458" s="74"/>
      <c r="S458" s="74"/>
      <c r="T458" s="74"/>
      <c r="U458" s="74"/>
      <c r="V458" s="74"/>
      <c r="W458" s="74"/>
      <c r="X458" s="74"/>
      <c r="Y458" s="74"/>
      <c r="Z458" s="74"/>
      <c r="AA458" s="74"/>
      <c r="AB458" s="74"/>
    </row>
    <row r="459" spans="1:28" ht="12" customHeight="1">
      <c r="A459" s="763"/>
      <c r="B459" s="104"/>
      <c r="C459" s="104"/>
      <c r="D459" s="260"/>
      <c r="E459" s="104"/>
      <c r="F459" s="104"/>
      <c r="G459" s="35"/>
      <c r="H459" s="104"/>
      <c r="I459" s="35"/>
      <c r="J459" s="74"/>
      <c r="K459" s="74"/>
      <c r="L459" s="74"/>
      <c r="M459" s="74"/>
      <c r="N459" s="74"/>
      <c r="O459" s="74"/>
      <c r="P459" s="74"/>
      <c r="Q459" s="74"/>
      <c r="R459" s="74"/>
      <c r="S459" s="74"/>
      <c r="T459" s="74"/>
      <c r="U459" s="74"/>
      <c r="V459" s="74"/>
      <c r="W459" s="74"/>
      <c r="X459" s="74"/>
      <c r="Y459" s="74"/>
      <c r="Z459" s="74"/>
      <c r="AA459" s="74"/>
      <c r="AB459" s="74"/>
    </row>
    <row r="460" spans="1:28" ht="12" customHeight="1">
      <c r="A460" s="763"/>
      <c r="B460" s="104"/>
      <c r="C460" s="104"/>
      <c r="D460" s="260"/>
      <c r="E460" s="104"/>
      <c r="F460" s="104"/>
      <c r="G460" s="35"/>
      <c r="H460" s="104"/>
      <c r="I460" s="35"/>
      <c r="J460" s="74"/>
      <c r="K460" s="74"/>
      <c r="L460" s="74"/>
      <c r="M460" s="74"/>
      <c r="N460" s="74"/>
      <c r="O460" s="74"/>
      <c r="P460" s="74"/>
      <c r="Q460" s="74"/>
      <c r="R460" s="74"/>
      <c r="S460" s="74"/>
      <c r="T460" s="74"/>
      <c r="U460" s="74"/>
      <c r="V460" s="74"/>
      <c r="W460" s="74"/>
      <c r="X460" s="74"/>
      <c r="Y460" s="74"/>
      <c r="Z460" s="74"/>
      <c r="AA460" s="74"/>
      <c r="AB460" s="74"/>
    </row>
    <row r="461" spans="1:28" ht="12" customHeight="1">
      <c r="A461" s="763"/>
      <c r="B461" s="104"/>
      <c r="C461" s="104"/>
      <c r="D461" s="260"/>
      <c r="E461" s="104"/>
      <c r="F461" s="104"/>
      <c r="G461" s="35"/>
      <c r="H461" s="104"/>
      <c r="I461" s="35"/>
      <c r="J461" s="74"/>
      <c r="K461" s="74"/>
      <c r="L461" s="74"/>
      <c r="M461" s="74"/>
      <c r="N461" s="74"/>
      <c r="O461" s="74"/>
      <c r="P461" s="74"/>
      <c r="Q461" s="74"/>
      <c r="R461" s="74"/>
      <c r="S461" s="74"/>
      <c r="T461" s="74"/>
      <c r="U461" s="74"/>
      <c r="V461" s="74"/>
      <c r="W461" s="74"/>
      <c r="X461" s="74"/>
      <c r="Y461" s="74"/>
      <c r="Z461" s="74"/>
      <c r="AA461" s="74"/>
      <c r="AB461" s="74"/>
    </row>
    <row r="462" spans="1:28" ht="12" customHeight="1">
      <c r="A462" s="763"/>
      <c r="B462" s="104"/>
      <c r="C462" s="104"/>
      <c r="D462" s="260"/>
      <c r="E462" s="104"/>
      <c r="F462" s="104"/>
      <c r="G462" s="35"/>
      <c r="H462" s="104"/>
      <c r="I462" s="35"/>
      <c r="J462" s="74"/>
      <c r="K462" s="74"/>
      <c r="L462" s="74"/>
      <c r="M462" s="74"/>
      <c r="N462" s="74"/>
      <c r="O462" s="74"/>
      <c r="P462" s="74"/>
      <c r="Q462" s="74"/>
      <c r="R462" s="74"/>
      <c r="S462" s="74"/>
      <c r="T462" s="74"/>
      <c r="U462" s="74"/>
      <c r="V462" s="74"/>
      <c r="W462" s="74"/>
      <c r="X462" s="74"/>
      <c r="Y462" s="74"/>
      <c r="Z462" s="74"/>
      <c r="AA462" s="74"/>
      <c r="AB462" s="74"/>
    </row>
    <row r="463" spans="1:28" ht="12" customHeight="1">
      <c r="A463" s="763"/>
      <c r="B463" s="104"/>
      <c r="C463" s="104"/>
      <c r="D463" s="260"/>
      <c r="E463" s="104"/>
      <c r="F463" s="104"/>
      <c r="G463" s="35"/>
      <c r="H463" s="104"/>
      <c r="I463" s="35"/>
      <c r="J463" s="74"/>
      <c r="K463" s="74"/>
      <c r="L463" s="74"/>
      <c r="M463" s="74"/>
      <c r="N463" s="74"/>
      <c r="O463" s="74"/>
      <c r="P463" s="74"/>
      <c r="Q463" s="74"/>
      <c r="R463" s="74"/>
      <c r="S463" s="74"/>
      <c r="T463" s="74"/>
      <c r="U463" s="74"/>
      <c r="V463" s="74"/>
      <c r="W463" s="74"/>
      <c r="X463" s="74"/>
      <c r="Y463" s="74"/>
      <c r="Z463" s="74"/>
      <c r="AA463" s="74"/>
      <c r="AB463" s="74"/>
    </row>
    <row r="464" spans="1:28" ht="12" customHeight="1">
      <c r="A464" s="763"/>
      <c r="B464" s="104"/>
      <c r="C464" s="104"/>
      <c r="D464" s="260"/>
      <c r="E464" s="104"/>
      <c r="F464" s="104"/>
      <c r="G464" s="35"/>
      <c r="H464" s="104"/>
      <c r="I464" s="35"/>
      <c r="J464" s="74"/>
      <c r="K464" s="74"/>
      <c r="L464" s="74"/>
      <c r="M464" s="74"/>
      <c r="N464" s="74"/>
      <c r="O464" s="74"/>
      <c r="P464" s="74"/>
      <c r="Q464" s="74"/>
      <c r="R464" s="74"/>
      <c r="S464" s="74"/>
      <c r="T464" s="74"/>
      <c r="U464" s="74"/>
      <c r="V464" s="74"/>
      <c r="W464" s="74"/>
      <c r="X464" s="74"/>
      <c r="Y464" s="74"/>
      <c r="Z464" s="74"/>
      <c r="AA464" s="74"/>
      <c r="AB464" s="74"/>
    </row>
    <row r="465" spans="1:28" ht="12" customHeight="1">
      <c r="A465" s="763"/>
      <c r="B465" s="104"/>
      <c r="C465" s="104"/>
      <c r="D465" s="260"/>
      <c r="E465" s="104"/>
      <c r="F465" s="104"/>
      <c r="G465" s="35"/>
      <c r="H465" s="104"/>
      <c r="I465" s="35"/>
      <c r="J465" s="74"/>
      <c r="K465" s="74"/>
      <c r="L465" s="74"/>
      <c r="M465" s="74"/>
      <c r="N465" s="74"/>
      <c r="O465" s="74"/>
      <c r="P465" s="74"/>
      <c r="Q465" s="74"/>
      <c r="R465" s="74"/>
      <c r="S465" s="74"/>
      <c r="T465" s="74"/>
      <c r="U465" s="74"/>
      <c r="V465" s="74"/>
      <c r="W465" s="74"/>
      <c r="X465" s="74"/>
      <c r="Y465" s="74"/>
      <c r="Z465" s="74"/>
      <c r="AA465" s="74"/>
      <c r="AB465" s="74"/>
    </row>
    <row r="466" spans="1:28" ht="12" customHeight="1">
      <c r="A466" s="763"/>
      <c r="B466" s="104"/>
      <c r="C466" s="104"/>
      <c r="D466" s="260"/>
      <c r="E466" s="104"/>
      <c r="F466" s="104"/>
      <c r="G466" s="35"/>
      <c r="H466" s="104"/>
      <c r="I466" s="35"/>
      <c r="J466" s="74"/>
      <c r="K466" s="74"/>
      <c r="L466" s="74"/>
      <c r="M466" s="74"/>
      <c r="N466" s="74"/>
      <c r="O466" s="74"/>
      <c r="P466" s="74"/>
      <c r="Q466" s="74"/>
      <c r="R466" s="74"/>
      <c r="S466" s="74"/>
      <c r="T466" s="74"/>
      <c r="U466" s="74"/>
      <c r="V466" s="74"/>
      <c r="W466" s="74"/>
      <c r="X466" s="74"/>
      <c r="Y466" s="74"/>
      <c r="Z466" s="74"/>
      <c r="AA466" s="74"/>
      <c r="AB466" s="74"/>
    </row>
    <row r="467" spans="1:28" ht="12" customHeight="1">
      <c r="A467" s="763"/>
      <c r="B467" s="104"/>
      <c r="C467" s="104"/>
      <c r="D467" s="260"/>
      <c r="E467" s="104"/>
      <c r="F467" s="104"/>
      <c r="G467" s="35"/>
      <c r="H467" s="104"/>
      <c r="I467" s="35"/>
      <c r="J467" s="74"/>
      <c r="K467" s="74"/>
      <c r="L467" s="74"/>
      <c r="M467" s="74"/>
      <c r="N467" s="74"/>
      <c r="O467" s="74"/>
      <c r="P467" s="74"/>
      <c r="Q467" s="74"/>
      <c r="R467" s="74"/>
      <c r="S467" s="74"/>
      <c r="T467" s="74"/>
      <c r="U467" s="74"/>
      <c r="V467" s="74"/>
      <c r="W467" s="74"/>
      <c r="X467" s="74"/>
      <c r="Y467" s="74"/>
      <c r="Z467" s="74"/>
      <c r="AA467" s="74"/>
      <c r="AB467" s="74"/>
    </row>
    <row r="468" spans="1:28" ht="12" customHeight="1">
      <c r="A468" s="763"/>
      <c r="B468" s="104"/>
      <c r="C468" s="104"/>
      <c r="D468" s="260"/>
      <c r="E468" s="104"/>
      <c r="F468" s="104"/>
      <c r="G468" s="35"/>
      <c r="H468" s="104"/>
      <c r="I468" s="35"/>
      <c r="J468" s="74"/>
      <c r="K468" s="74"/>
      <c r="L468" s="74"/>
      <c r="M468" s="74"/>
      <c r="N468" s="74"/>
      <c r="O468" s="74"/>
      <c r="P468" s="74"/>
      <c r="Q468" s="74"/>
      <c r="R468" s="74"/>
      <c r="S468" s="74"/>
      <c r="T468" s="74"/>
      <c r="U468" s="74"/>
      <c r="V468" s="74"/>
      <c r="W468" s="74"/>
      <c r="X468" s="74"/>
      <c r="Y468" s="74"/>
      <c r="Z468" s="74"/>
      <c r="AA468" s="74"/>
      <c r="AB468" s="74"/>
    </row>
    <row r="469" spans="1:28" ht="12" customHeight="1">
      <c r="A469" s="763"/>
      <c r="B469" s="104"/>
      <c r="C469" s="104"/>
      <c r="D469" s="260"/>
      <c r="E469" s="104"/>
      <c r="F469" s="104"/>
      <c r="G469" s="35"/>
      <c r="H469" s="104"/>
      <c r="I469" s="35"/>
      <c r="J469" s="74"/>
      <c r="K469" s="74"/>
      <c r="L469" s="74"/>
      <c r="M469" s="74"/>
      <c r="N469" s="74"/>
      <c r="O469" s="74"/>
      <c r="P469" s="74"/>
      <c r="Q469" s="74"/>
      <c r="R469" s="74"/>
      <c r="S469" s="74"/>
      <c r="T469" s="74"/>
      <c r="U469" s="74"/>
      <c r="V469" s="74"/>
      <c r="W469" s="74"/>
      <c r="X469" s="74"/>
      <c r="Y469" s="74"/>
      <c r="Z469" s="74"/>
      <c r="AA469" s="74"/>
      <c r="AB469" s="74"/>
    </row>
    <row r="470" spans="1:28" ht="12" customHeight="1">
      <c r="A470" s="763"/>
      <c r="B470" s="104"/>
      <c r="C470" s="104"/>
      <c r="D470" s="260"/>
      <c r="E470" s="104"/>
      <c r="F470" s="104"/>
      <c r="G470" s="35"/>
      <c r="H470" s="104"/>
      <c r="I470" s="35"/>
      <c r="J470" s="74"/>
      <c r="K470" s="74"/>
      <c r="L470" s="74"/>
      <c r="M470" s="74"/>
      <c r="N470" s="74"/>
      <c r="O470" s="74"/>
      <c r="P470" s="74"/>
      <c r="Q470" s="74"/>
      <c r="R470" s="74"/>
      <c r="S470" s="74"/>
      <c r="T470" s="74"/>
      <c r="U470" s="74"/>
      <c r="V470" s="74"/>
      <c r="W470" s="74"/>
      <c r="X470" s="74"/>
      <c r="Y470" s="74"/>
      <c r="Z470" s="74"/>
      <c r="AA470" s="74"/>
      <c r="AB470" s="74"/>
    </row>
    <row r="471" spans="1:28" ht="12" customHeight="1">
      <c r="A471" s="763"/>
      <c r="B471" s="104"/>
      <c r="C471" s="104"/>
      <c r="D471" s="260"/>
      <c r="E471" s="104"/>
      <c r="F471" s="104"/>
      <c r="G471" s="35"/>
      <c r="H471" s="104"/>
      <c r="I471" s="35"/>
      <c r="J471" s="74"/>
      <c r="K471" s="74"/>
      <c r="L471" s="74"/>
      <c r="M471" s="74"/>
      <c r="N471" s="74"/>
      <c r="O471" s="74"/>
      <c r="P471" s="74"/>
      <c r="Q471" s="74"/>
      <c r="R471" s="74"/>
      <c r="S471" s="74"/>
      <c r="T471" s="74"/>
      <c r="U471" s="74"/>
      <c r="V471" s="74"/>
      <c r="W471" s="74"/>
      <c r="X471" s="74"/>
      <c r="Y471" s="74"/>
      <c r="Z471" s="74"/>
      <c r="AA471" s="74"/>
      <c r="AB471" s="74"/>
    </row>
    <row r="472" spans="1:28" ht="12" customHeight="1">
      <c r="A472" s="763"/>
      <c r="B472" s="104"/>
      <c r="C472" s="104"/>
      <c r="D472" s="260"/>
      <c r="E472" s="104"/>
      <c r="F472" s="104"/>
      <c r="G472" s="35"/>
      <c r="H472" s="104"/>
      <c r="I472" s="35"/>
      <c r="J472" s="74"/>
      <c r="K472" s="74"/>
      <c r="L472" s="74"/>
      <c r="M472" s="74"/>
      <c r="N472" s="74"/>
      <c r="O472" s="74"/>
      <c r="P472" s="74"/>
      <c r="Q472" s="74"/>
      <c r="R472" s="74"/>
      <c r="S472" s="74"/>
      <c r="T472" s="74"/>
      <c r="U472" s="74"/>
      <c r="V472" s="74"/>
      <c r="W472" s="74"/>
      <c r="X472" s="74"/>
      <c r="Y472" s="74"/>
      <c r="Z472" s="74"/>
      <c r="AA472" s="74"/>
      <c r="AB472" s="74"/>
    </row>
    <row r="473" spans="1:28" ht="12" customHeight="1">
      <c r="A473" s="763"/>
      <c r="B473" s="104"/>
      <c r="C473" s="104"/>
      <c r="D473" s="260"/>
      <c r="E473" s="104"/>
      <c r="F473" s="104"/>
      <c r="G473" s="35"/>
      <c r="H473" s="104"/>
      <c r="I473" s="35"/>
      <c r="J473" s="74"/>
      <c r="K473" s="74"/>
      <c r="L473" s="74"/>
      <c r="M473" s="74"/>
      <c r="N473" s="74"/>
      <c r="O473" s="74"/>
      <c r="P473" s="74"/>
      <c r="Q473" s="74"/>
      <c r="R473" s="74"/>
      <c r="S473" s="74"/>
      <c r="T473" s="74"/>
      <c r="U473" s="74"/>
      <c r="V473" s="74"/>
      <c r="W473" s="74"/>
      <c r="X473" s="74"/>
      <c r="Y473" s="74"/>
      <c r="Z473" s="74"/>
      <c r="AA473" s="74"/>
      <c r="AB473" s="74"/>
    </row>
    <row r="474" spans="1:28" ht="12" customHeight="1">
      <c r="A474" s="763"/>
      <c r="B474" s="104"/>
      <c r="C474" s="104"/>
      <c r="D474" s="260"/>
      <c r="E474" s="104"/>
      <c r="F474" s="104"/>
      <c r="G474" s="35"/>
      <c r="H474" s="104"/>
      <c r="I474" s="35"/>
      <c r="J474" s="74"/>
      <c r="K474" s="74"/>
      <c r="L474" s="74"/>
      <c r="M474" s="74"/>
      <c r="N474" s="74"/>
      <c r="O474" s="74"/>
      <c r="P474" s="74"/>
      <c r="Q474" s="74"/>
      <c r="R474" s="74"/>
      <c r="S474" s="74"/>
      <c r="T474" s="74"/>
      <c r="U474" s="74"/>
      <c r="V474" s="74"/>
      <c r="W474" s="74"/>
      <c r="X474" s="74"/>
      <c r="Y474" s="74"/>
      <c r="Z474" s="74"/>
      <c r="AA474" s="74"/>
      <c r="AB474" s="74"/>
    </row>
    <row r="475" spans="1:28" ht="12" customHeight="1">
      <c r="A475" s="763"/>
      <c r="B475" s="104"/>
      <c r="C475" s="104"/>
      <c r="D475" s="260"/>
      <c r="E475" s="104"/>
      <c r="F475" s="104"/>
      <c r="G475" s="35"/>
      <c r="H475" s="104"/>
      <c r="I475" s="35"/>
      <c r="J475" s="74"/>
      <c r="K475" s="74"/>
      <c r="L475" s="74"/>
      <c r="M475" s="74"/>
      <c r="N475" s="74"/>
      <c r="O475" s="74"/>
      <c r="P475" s="74"/>
      <c r="Q475" s="74"/>
      <c r="R475" s="74"/>
      <c r="S475" s="74"/>
      <c r="T475" s="74"/>
      <c r="U475" s="74"/>
      <c r="V475" s="74"/>
      <c r="W475" s="74"/>
      <c r="X475" s="74"/>
      <c r="Y475" s="74"/>
      <c r="Z475" s="74"/>
      <c r="AA475" s="74"/>
      <c r="AB475" s="74"/>
    </row>
    <row r="476" spans="1:28" ht="12" customHeight="1">
      <c r="A476" s="763"/>
      <c r="B476" s="104"/>
      <c r="C476" s="104"/>
      <c r="D476" s="260"/>
      <c r="E476" s="104"/>
      <c r="F476" s="104"/>
      <c r="G476" s="35"/>
      <c r="H476" s="104"/>
      <c r="I476" s="35"/>
      <c r="J476" s="74"/>
      <c r="K476" s="74"/>
      <c r="L476" s="74"/>
      <c r="M476" s="74"/>
      <c r="N476" s="74"/>
      <c r="O476" s="74"/>
      <c r="P476" s="74"/>
      <c r="Q476" s="74"/>
      <c r="R476" s="74"/>
      <c r="S476" s="74"/>
      <c r="T476" s="74"/>
      <c r="U476" s="74"/>
      <c r="V476" s="74"/>
      <c r="W476" s="74"/>
      <c r="X476" s="74"/>
      <c r="Y476" s="74"/>
      <c r="Z476" s="74"/>
      <c r="AA476" s="74"/>
      <c r="AB476" s="74"/>
    </row>
    <row r="477" spans="1:28" ht="12" customHeight="1">
      <c r="A477" s="763"/>
      <c r="B477" s="104"/>
      <c r="C477" s="104"/>
      <c r="D477" s="260"/>
      <c r="E477" s="104"/>
      <c r="F477" s="104"/>
      <c r="G477" s="35"/>
      <c r="H477" s="104"/>
      <c r="I477" s="35"/>
      <c r="J477" s="74"/>
      <c r="K477" s="74"/>
      <c r="L477" s="74"/>
      <c r="M477" s="74"/>
      <c r="N477" s="74"/>
      <c r="O477" s="74"/>
      <c r="P477" s="74"/>
      <c r="Q477" s="74"/>
      <c r="R477" s="74"/>
      <c r="S477" s="74"/>
      <c r="T477" s="74"/>
      <c r="U477" s="74"/>
      <c r="V477" s="74"/>
      <c r="W477" s="74"/>
      <c r="X477" s="74"/>
      <c r="Y477" s="74"/>
      <c r="Z477" s="74"/>
      <c r="AA477" s="74"/>
      <c r="AB477" s="74"/>
    </row>
    <row r="478" spans="1:28" ht="12" customHeight="1">
      <c r="A478" s="763"/>
      <c r="B478" s="104"/>
      <c r="C478" s="104"/>
      <c r="D478" s="260"/>
      <c r="E478" s="104"/>
      <c r="F478" s="104"/>
      <c r="G478" s="35"/>
      <c r="H478" s="104"/>
      <c r="I478" s="35"/>
      <c r="J478" s="74"/>
      <c r="K478" s="74"/>
      <c r="L478" s="74"/>
      <c r="M478" s="74"/>
      <c r="N478" s="74"/>
      <c r="O478" s="74"/>
      <c r="P478" s="74"/>
      <c r="Q478" s="74"/>
      <c r="R478" s="74"/>
      <c r="S478" s="74"/>
      <c r="T478" s="74"/>
      <c r="U478" s="74"/>
      <c r="V478" s="74"/>
      <c r="W478" s="74"/>
      <c r="X478" s="74"/>
      <c r="Y478" s="74"/>
      <c r="Z478" s="74"/>
      <c r="AA478" s="74"/>
      <c r="AB478" s="74"/>
    </row>
    <row r="479" spans="1:28" ht="12" customHeight="1">
      <c r="A479" s="763"/>
      <c r="B479" s="104"/>
      <c r="C479" s="104"/>
      <c r="D479" s="260"/>
      <c r="E479" s="104"/>
      <c r="F479" s="104"/>
      <c r="G479" s="35"/>
      <c r="H479" s="104"/>
      <c r="I479" s="35"/>
      <c r="J479" s="74"/>
      <c r="K479" s="74"/>
      <c r="L479" s="74"/>
      <c r="M479" s="74"/>
      <c r="N479" s="74"/>
      <c r="O479" s="74"/>
      <c r="P479" s="74"/>
      <c r="Q479" s="74"/>
      <c r="R479" s="74"/>
      <c r="S479" s="74"/>
      <c r="T479" s="74"/>
      <c r="U479" s="74"/>
      <c r="V479" s="74"/>
      <c r="W479" s="74"/>
      <c r="X479" s="74"/>
      <c r="Y479" s="74"/>
      <c r="Z479" s="74"/>
      <c r="AA479" s="74"/>
      <c r="AB479" s="74"/>
    </row>
    <row r="480" spans="1:28" ht="12" customHeight="1">
      <c r="A480" s="763"/>
      <c r="B480" s="104"/>
      <c r="C480" s="104"/>
      <c r="D480" s="260"/>
      <c r="E480" s="104"/>
      <c r="F480" s="104"/>
      <c r="G480" s="35"/>
      <c r="H480" s="104"/>
      <c r="I480" s="35"/>
      <c r="J480" s="74"/>
      <c r="K480" s="74"/>
      <c r="L480" s="74"/>
      <c r="M480" s="74"/>
      <c r="N480" s="74"/>
      <c r="O480" s="74"/>
      <c r="P480" s="74"/>
      <c r="Q480" s="74"/>
      <c r="R480" s="74"/>
      <c r="S480" s="74"/>
      <c r="T480" s="74"/>
      <c r="U480" s="74"/>
      <c r="V480" s="74"/>
      <c r="W480" s="74"/>
      <c r="X480" s="74"/>
      <c r="Y480" s="74"/>
      <c r="Z480" s="74"/>
      <c r="AA480" s="74"/>
      <c r="AB480" s="74"/>
    </row>
    <row r="481" spans="1:28" ht="12" customHeight="1">
      <c r="A481" s="763"/>
      <c r="B481" s="104"/>
      <c r="C481" s="104"/>
      <c r="D481" s="260"/>
      <c r="E481" s="104"/>
      <c r="F481" s="104"/>
      <c r="G481" s="35"/>
      <c r="H481" s="104"/>
      <c r="I481" s="35"/>
      <c r="J481" s="74"/>
      <c r="K481" s="74"/>
      <c r="L481" s="74"/>
      <c r="M481" s="74"/>
      <c r="N481" s="74"/>
      <c r="O481" s="74"/>
      <c r="P481" s="74"/>
      <c r="Q481" s="74"/>
      <c r="R481" s="74"/>
      <c r="S481" s="74"/>
      <c r="T481" s="74"/>
      <c r="U481" s="74"/>
      <c r="V481" s="74"/>
      <c r="W481" s="74"/>
      <c r="X481" s="74"/>
      <c r="Y481" s="74"/>
      <c r="Z481" s="74"/>
      <c r="AA481" s="74"/>
      <c r="AB481" s="74"/>
    </row>
    <row r="482" spans="1:28" ht="12" customHeight="1">
      <c r="A482" s="763"/>
      <c r="B482" s="104"/>
      <c r="C482" s="104"/>
      <c r="D482" s="260"/>
      <c r="E482" s="104"/>
      <c r="F482" s="104"/>
      <c r="G482" s="35"/>
      <c r="H482" s="104"/>
      <c r="I482" s="35"/>
      <c r="J482" s="74"/>
      <c r="K482" s="74"/>
      <c r="L482" s="74"/>
      <c r="M482" s="74"/>
      <c r="N482" s="74"/>
      <c r="O482" s="74"/>
      <c r="P482" s="74"/>
      <c r="Q482" s="74"/>
      <c r="R482" s="74"/>
      <c r="S482" s="74"/>
      <c r="T482" s="74"/>
      <c r="U482" s="74"/>
      <c r="V482" s="74"/>
      <c r="W482" s="74"/>
      <c r="X482" s="74"/>
      <c r="Y482" s="74"/>
      <c r="Z482" s="74"/>
      <c r="AA482" s="74"/>
      <c r="AB482" s="74"/>
    </row>
    <row r="483" spans="1:28" ht="12" customHeight="1">
      <c r="A483" s="763"/>
      <c r="B483" s="104"/>
      <c r="C483" s="104"/>
      <c r="D483" s="260"/>
      <c r="E483" s="104"/>
      <c r="F483" s="104"/>
      <c r="G483" s="35"/>
      <c r="H483" s="104"/>
      <c r="I483" s="35"/>
      <c r="J483" s="74"/>
      <c r="K483" s="74"/>
      <c r="L483" s="74"/>
      <c r="M483" s="74"/>
      <c r="N483" s="74"/>
      <c r="O483" s="74"/>
      <c r="P483" s="74"/>
      <c r="Q483" s="74"/>
      <c r="R483" s="74"/>
      <c r="S483" s="74"/>
      <c r="T483" s="74"/>
      <c r="U483" s="74"/>
      <c r="V483" s="74"/>
      <c r="W483" s="74"/>
      <c r="X483" s="74"/>
      <c r="Y483" s="74"/>
      <c r="Z483" s="74"/>
      <c r="AA483" s="74"/>
      <c r="AB483" s="74"/>
    </row>
    <row r="484" spans="1:28" ht="12" customHeight="1">
      <c r="A484" s="763"/>
      <c r="B484" s="104"/>
      <c r="C484" s="104"/>
      <c r="D484" s="260"/>
      <c r="E484" s="104"/>
      <c r="F484" s="104"/>
      <c r="G484" s="35"/>
      <c r="H484" s="104"/>
      <c r="I484" s="35"/>
      <c r="J484" s="74"/>
      <c r="K484" s="74"/>
      <c r="L484" s="74"/>
      <c r="M484" s="74"/>
      <c r="N484" s="74"/>
      <c r="O484" s="74"/>
      <c r="P484" s="74"/>
      <c r="Q484" s="74"/>
      <c r="R484" s="74"/>
      <c r="S484" s="74"/>
      <c r="T484" s="74"/>
      <c r="U484" s="74"/>
      <c r="V484" s="74"/>
      <c r="W484" s="74"/>
      <c r="X484" s="74"/>
      <c r="Y484" s="74"/>
      <c r="Z484" s="74"/>
      <c r="AA484" s="74"/>
      <c r="AB484" s="74"/>
    </row>
    <row r="485" spans="1:28" ht="12" customHeight="1">
      <c r="A485" s="763"/>
      <c r="B485" s="104"/>
      <c r="C485" s="104"/>
      <c r="D485" s="260"/>
      <c r="E485" s="104"/>
      <c r="F485" s="104"/>
      <c r="G485" s="35"/>
      <c r="H485" s="104"/>
      <c r="I485" s="35"/>
      <c r="J485" s="74"/>
      <c r="K485" s="74"/>
      <c r="L485" s="74"/>
      <c r="M485" s="74"/>
      <c r="N485" s="74"/>
      <c r="O485" s="74"/>
      <c r="P485" s="74"/>
      <c r="Q485" s="74"/>
      <c r="R485" s="74"/>
      <c r="S485" s="74"/>
      <c r="T485" s="74"/>
      <c r="U485" s="74"/>
      <c r="V485" s="74"/>
      <c r="W485" s="74"/>
      <c r="X485" s="74"/>
      <c r="Y485" s="74"/>
      <c r="Z485" s="74"/>
      <c r="AA485" s="74"/>
      <c r="AB485" s="74"/>
    </row>
    <row r="486" spans="1:28" ht="12" customHeight="1">
      <c r="A486" s="763"/>
      <c r="B486" s="104"/>
      <c r="C486" s="104"/>
      <c r="D486" s="260"/>
      <c r="E486" s="104"/>
      <c r="F486" s="104"/>
      <c r="G486" s="35"/>
      <c r="H486" s="104"/>
      <c r="I486" s="35"/>
      <c r="J486" s="74"/>
      <c r="K486" s="74"/>
      <c r="L486" s="74"/>
      <c r="M486" s="74"/>
      <c r="N486" s="74"/>
      <c r="O486" s="74"/>
      <c r="P486" s="74"/>
      <c r="Q486" s="74"/>
      <c r="R486" s="74"/>
      <c r="S486" s="74"/>
      <c r="T486" s="74"/>
      <c r="U486" s="74"/>
      <c r="V486" s="74"/>
      <c r="W486" s="74"/>
      <c r="X486" s="74"/>
      <c r="Y486" s="74"/>
      <c r="Z486" s="74"/>
      <c r="AA486" s="74"/>
      <c r="AB486" s="74"/>
    </row>
    <row r="487" spans="1:28" ht="12" customHeight="1">
      <c r="A487" s="763"/>
      <c r="B487" s="104"/>
      <c r="C487" s="104"/>
      <c r="D487" s="260"/>
      <c r="E487" s="104"/>
      <c r="F487" s="104"/>
      <c r="G487" s="35"/>
      <c r="H487" s="104"/>
      <c r="I487" s="35"/>
      <c r="J487" s="74"/>
      <c r="K487" s="74"/>
      <c r="L487" s="74"/>
      <c r="M487" s="74"/>
      <c r="N487" s="74"/>
      <c r="O487" s="74"/>
      <c r="P487" s="74"/>
      <c r="Q487" s="74"/>
      <c r="R487" s="74"/>
      <c r="S487" s="74"/>
      <c r="T487" s="74"/>
      <c r="U487" s="74"/>
      <c r="V487" s="74"/>
      <c r="W487" s="74"/>
      <c r="X487" s="74"/>
      <c r="Y487" s="74"/>
      <c r="Z487" s="74"/>
      <c r="AA487" s="74"/>
      <c r="AB487" s="74"/>
    </row>
    <row r="488" spans="1:28" ht="12" customHeight="1">
      <c r="A488" s="763"/>
      <c r="B488" s="104"/>
      <c r="C488" s="104"/>
      <c r="D488" s="260"/>
      <c r="E488" s="104"/>
      <c r="F488" s="104"/>
      <c r="G488" s="35"/>
      <c r="H488" s="104"/>
      <c r="I488" s="35"/>
      <c r="J488" s="74"/>
      <c r="K488" s="74"/>
      <c r="L488" s="74"/>
      <c r="M488" s="74"/>
      <c r="N488" s="74"/>
      <c r="O488" s="74"/>
      <c r="P488" s="74"/>
      <c r="Q488" s="74"/>
      <c r="R488" s="74"/>
      <c r="S488" s="74"/>
      <c r="T488" s="74"/>
      <c r="U488" s="74"/>
      <c r="V488" s="74"/>
      <c r="W488" s="74"/>
      <c r="X488" s="74"/>
      <c r="Y488" s="74"/>
      <c r="Z488" s="74"/>
      <c r="AA488" s="74"/>
      <c r="AB488" s="74"/>
    </row>
    <row r="489" spans="1:28" ht="12" customHeight="1">
      <c r="A489" s="763"/>
      <c r="B489" s="104"/>
      <c r="C489" s="104"/>
      <c r="D489" s="260"/>
      <c r="E489" s="104"/>
      <c r="F489" s="104"/>
      <c r="G489" s="35"/>
      <c r="H489" s="104"/>
      <c r="I489" s="35"/>
      <c r="J489" s="74"/>
      <c r="K489" s="74"/>
      <c r="L489" s="74"/>
      <c r="M489" s="74"/>
      <c r="N489" s="74"/>
      <c r="O489" s="74"/>
      <c r="P489" s="74"/>
      <c r="Q489" s="74"/>
      <c r="R489" s="74"/>
      <c r="S489" s="74"/>
      <c r="T489" s="74"/>
      <c r="U489" s="74"/>
      <c r="V489" s="74"/>
      <c r="W489" s="74"/>
      <c r="X489" s="74"/>
      <c r="Y489" s="74"/>
      <c r="Z489" s="74"/>
      <c r="AA489" s="74"/>
      <c r="AB489" s="74"/>
    </row>
    <row r="490" spans="1:28" ht="12" customHeight="1">
      <c r="A490" s="763"/>
      <c r="B490" s="104"/>
      <c r="C490" s="104"/>
      <c r="D490" s="260"/>
      <c r="E490" s="104"/>
      <c r="F490" s="104"/>
      <c r="G490" s="35"/>
      <c r="H490" s="104"/>
      <c r="I490" s="35"/>
      <c r="J490" s="74"/>
      <c r="K490" s="74"/>
      <c r="L490" s="74"/>
      <c r="M490" s="74"/>
      <c r="N490" s="74"/>
      <c r="O490" s="74"/>
      <c r="P490" s="74"/>
      <c r="Q490" s="74"/>
      <c r="R490" s="74"/>
      <c r="S490" s="74"/>
      <c r="T490" s="74"/>
      <c r="U490" s="74"/>
      <c r="V490" s="74"/>
      <c r="W490" s="74"/>
      <c r="X490" s="74"/>
      <c r="Y490" s="74"/>
      <c r="Z490" s="74"/>
      <c r="AA490" s="74"/>
      <c r="AB490" s="74"/>
    </row>
    <row r="491" spans="1:28" ht="12" customHeight="1">
      <c r="A491" s="763"/>
      <c r="B491" s="104"/>
      <c r="C491" s="104"/>
      <c r="D491" s="260"/>
      <c r="E491" s="104"/>
      <c r="F491" s="104"/>
      <c r="G491" s="35"/>
      <c r="H491" s="104"/>
      <c r="I491" s="35"/>
      <c r="J491" s="74"/>
      <c r="K491" s="74"/>
      <c r="L491" s="74"/>
      <c r="M491" s="74"/>
      <c r="N491" s="74"/>
      <c r="O491" s="74"/>
      <c r="P491" s="74"/>
      <c r="Q491" s="74"/>
      <c r="R491" s="74"/>
      <c r="S491" s="74"/>
      <c r="T491" s="74"/>
      <c r="U491" s="74"/>
      <c r="V491" s="74"/>
      <c r="W491" s="74"/>
      <c r="X491" s="74"/>
      <c r="Y491" s="74"/>
      <c r="Z491" s="74"/>
      <c r="AA491" s="74"/>
      <c r="AB491" s="74"/>
    </row>
    <row r="492" spans="1:28" ht="12" customHeight="1">
      <c r="A492" s="763"/>
      <c r="B492" s="104"/>
      <c r="C492" s="104"/>
      <c r="D492" s="260"/>
      <c r="E492" s="104"/>
      <c r="F492" s="104"/>
      <c r="G492" s="35"/>
      <c r="H492" s="104"/>
      <c r="I492" s="35"/>
      <c r="J492" s="74"/>
      <c r="K492" s="74"/>
      <c r="L492" s="74"/>
      <c r="M492" s="74"/>
      <c r="N492" s="74"/>
      <c r="O492" s="74"/>
      <c r="P492" s="74"/>
      <c r="Q492" s="74"/>
      <c r="R492" s="74"/>
      <c r="S492" s="74"/>
      <c r="T492" s="74"/>
      <c r="U492" s="74"/>
      <c r="V492" s="74"/>
      <c r="W492" s="74"/>
      <c r="X492" s="74"/>
      <c r="Y492" s="74"/>
      <c r="Z492" s="74"/>
      <c r="AA492" s="74"/>
      <c r="AB492" s="74"/>
    </row>
    <row r="493" spans="1:28" ht="12" customHeight="1">
      <c r="A493" s="763"/>
      <c r="B493" s="104"/>
      <c r="C493" s="104"/>
      <c r="D493" s="260"/>
      <c r="E493" s="104"/>
      <c r="F493" s="104"/>
      <c r="G493" s="35"/>
      <c r="H493" s="104"/>
      <c r="I493" s="35"/>
      <c r="J493" s="74"/>
      <c r="K493" s="74"/>
      <c r="L493" s="74"/>
      <c r="M493" s="74"/>
      <c r="N493" s="74"/>
      <c r="O493" s="74"/>
      <c r="P493" s="74"/>
      <c r="Q493" s="74"/>
      <c r="R493" s="74"/>
      <c r="S493" s="74"/>
      <c r="T493" s="74"/>
      <c r="U493" s="74"/>
      <c r="V493" s="74"/>
      <c r="W493" s="74"/>
      <c r="X493" s="74"/>
      <c r="Y493" s="74"/>
      <c r="Z493" s="74"/>
      <c r="AA493" s="74"/>
      <c r="AB493" s="74"/>
    </row>
    <row r="494" spans="1:28" ht="12" customHeight="1">
      <c r="A494" s="763"/>
      <c r="B494" s="104"/>
      <c r="C494" s="104"/>
      <c r="D494" s="260"/>
      <c r="E494" s="104"/>
      <c r="F494" s="104"/>
      <c r="G494" s="35"/>
      <c r="H494" s="104"/>
      <c r="I494" s="35"/>
      <c r="J494" s="74"/>
      <c r="K494" s="74"/>
      <c r="L494" s="74"/>
      <c r="M494" s="74"/>
      <c r="N494" s="74"/>
      <c r="O494" s="74"/>
      <c r="P494" s="74"/>
      <c r="Q494" s="74"/>
      <c r="R494" s="74"/>
      <c r="S494" s="74"/>
      <c r="T494" s="74"/>
      <c r="U494" s="74"/>
      <c r="V494" s="74"/>
      <c r="W494" s="74"/>
      <c r="X494" s="74"/>
      <c r="Y494" s="74"/>
      <c r="Z494" s="74"/>
      <c r="AA494" s="74"/>
      <c r="AB494" s="74"/>
    </row>
    <row r="495" spans="1:28" ht="12" customHeight="1">
      <c r="A495" s="763"/>
      <c r="B495" s="104"/>
      <c r="C495" s="104"/>
      <c r="D495" s="260"/>
      <c r="E495" s="104"/>
      <c r="F495" s="104"/>
      <c r="G495" s="35"/>
      <c r="H495" s="104"/>
      <c r="I495" s="35"/>
      <c r="J495" s="74"/>
      <c r="K495" s="74"/>
      <c r="L495" s="74"/>
      <c r="M495" s="74"/>
      <c r="N495" s="74"/>
      <c r="O495" s="74"/>
      <c r="P495" s="74"/>
      <c r="Q495" s="74"/>
      <c r="R495" s="74"/>
      <c r="S495" s="74"/>
      <c r="T495" s="74"/>
      <c r="U495" s="74"/>
      <c r="V495" s="74"/>
      <c r="W495" s="74"/>
      <c r="X495" s="74"/>
      <c r="Y495" s="74"/>
      <c r="Z495" s="74"/>
      <c r="AA495" s="74"/>
      <c r="AB495" s="74"/>
    </row>
    <row r="496" spans="1:28" ht="12" customHeight="1">
      <c r="A496" s="763"/>
      <c r="B496" s="104"/>
      <c r="C496" s="104"/>
      <c r="D496" s="260"/>
      <c r="E496" s="104"/>
      <c r="F496" s="104"/>
      <c r="G496" s="35"/>
      <c r="H496" s="104"/>
      <c r="I496" s="35"/>
      <c r="J496" s="74"/>
      <c r="K496" s="74"/>
      <c r="L496" s="74"/>
      <c r="M496" s="74"/>
      <c r="N496" s="74"/>
      <c r="O496" s="74"/>
      <c r="P496" s="74"/>
      <c r="Q496" s="74"/>
      <c r="R496" s="74"/>
      <c r="S496" s="74"/>
      <c r="T496" s="74"/>
      <c r="U496" s="74"/>
      <c r="V496" s="74"/>
      <c r="W496" s="74"/>
      <c r="X496" s="74"/>
      <c r="Y496" s="74"/>
      <c r="Z496" s="74"/>
      <c r="AA496" s="74"/>
      <c r="AB496" s="74"/>
    </row>
    <row r="497" spans="1:28" ht="12" customHeight="1">
      <c r="A497" s="763"/>
      <c r="B497" s="104"/>
      <c r="C497" s="104"/>
      <c r="D497" s="260"/>
      <c r="E497" s="104"/>
      <c r="F497" s="104"/>
      <c r="G497" s="35"/>
      <c r="H497" s="104"/>
      <c r="I497" s="35"/>
      <c r="J497" s="74"/>
      <c r="K497" s="74"/>
      <c r="L497" s="74"/>
      <c r="M497" s="74"/>
      <c r="N497" s="74"/>
      <c r="O497" s="74"/>
      <c r="P497" s="74"/>
      <c r="Q497" s="74"/>
      <c r="R497" s="74"/>
      <c r="S497" s="74"/>
      <c r="T497" s="74"/>
      <c r="U497" s="74"/>
      <c r="V497" s="74"/>
      <c r="W497" s="74"/>
      <c r="X497" s="74"/>
      <c r="Y497" s="74"/>
      <c r="Z497" s="74"/>
      <c r="AA497" s="74"/>
      <c r="AB497" s="74"/>
    </row>
    <row r="498" spans="1:28" ht="12" customHeight="1">
      <c r="A498" s="763"/>
      <c r="B498" s="104"/>
      <c r="C498" s="104"/>
      <c r="D498" s="260"/>
      <c r="E498" s="104"/>
      <c r="F498" s="104"/>
      <c r="G498" s="35"/>
      <c r="H498" s="104"/>
      <c r="I498" s="35"/>
      <c r="J498" s="74"/>
      <c r="K498" s="74"/>
      <c r="L498" s="74"/>
      <c r="M498" s="74"/>
      <c r="N498" s="74"/>
      <c r="O498" s="74"/>
      <c r="P498" s="74"/>
      <c r="Q498" s="74"/>
      <c r="R498" s="74"/>
      <c r="S498" s="74"/>
      <c r="T498" s="74"/>
      <c r="U498" s="74"/>
      <c r="V498" s="74"/>
      <c r="W498" s="74"/>
      <c r="X498" s="74"/>
      <c r="Y498" s="74"/>
      <c r="Z498" s="74"/>
      <c r="AA498" s="74"/>
      <c r="AB498" s="74"/>
    </row>
    <row r="499" spans="1:28" ht="12" customHeight="1">
      <c r="A499" s="763"/>
      <c r="B499" s="104"/>
      <c r="C499" s="104"/>
      <c r="D499" s="260"/>
      <c r="E499" s="104"/>
      <c r="F499" s="104"/>
      <c r="G499" s="35"/>
      <c r="H499" s="104"/>
      <c r="I499" s="35"/>
      <c r="J499" s="74"/>
      <c r="K499" s="74"/>
      <c r="L499" s="74"/>
      <c r="M499" s="74"/>
      <c r="N499" s="74"/>
      <c r="O499" s="74"/>
      <c r="P499" s="74"/>
      <c r="Q499" s="74"/>
      <c r="R499" s="74"/>
      <c r="S499" s="74"/>
      <c r="T499" s="74"/>
      <c r="U499" s="74"/>
      <c r="V499" s="74"/>
      <c r="W499" s="74"/>
      <c r="X499" s="74"/>
      <c r="Y499" s="74"/>
      <c r="Z499" s="74"/>
      <c r="AA499" s="74"/>
      <c r="AB499" s="74"/>
    </row>
    <row r="500" spans="1:28" ht="12" customHeight="1">
      <c r="A500" s="763"/>
      <c r="B500" s="104"/>
      <c r="C500" s="104"/>
      <c r="D500" s="260"/>
      <c r="E500" s="104"/>
      <c r="F500" s="104"/>
      <c r="G500" s="35"/>
      <c r="H500" s="104"/>
      <c r="I500" s="35"/>
      <c r="J500" s="74"/>
      <c r="K500" s="74"/>
      <c r="L500" s="74"/>
      <c r="M500" s="74"/>
      <c r="N500" s="74"/>
      <c r="O500" s="74"/>
      <c r="P500" s="74"/>
      <c r="Q500" s="74"/>
      <c r="R500" s="74"/>
      <c r="S500" s="74"/>
      <c r="T500" s="74"/>
      <c r="U500" s="74"/>
      <c r="V500" s="74"/>
      <c r="W500" s="74"/>
      <c r="X500" s="74"/>
      <c r="Y500" s="74"/>
      <c r="Z500" s="74"/>
      <c r="AA500" s="74"/>
      <c r="AB500" s="74"/>
    </row>
    <row r="501" spans="1:28" ht="12" customHeight="1">
      <c r="A501" s="763"/>
      <c r="B501" s="104"/>
      <c r="C501" s="104"/>
      <c r="D501" s="260"/>
      <c r="E501" s="104"/>
      <c r="F501" s="104"/>
      <c r="G501" s="35"/>
      <c r="H501" s="104"/>
      <c r="I501" s="35"/>
      <c r="J501" s="74"/>
      <c r="K501" s="74"/>
      <c r="L501" s="74"/>
      <c r="M501" s="74"/>
      <c r="N501" s="74"/>
      <c r="O501" s="74"/>
      <c r="P501" s="74"/>
      <c r="Q501" s="74"/>
      <c r="R501" s="74"/>
      <c r="S501" s="74"/>
      <c r="T501" s="74"/>
      <c r="U501" s="74"/>
      <c r="V501" s="74"/>
      <c r="W501" s="74"/>
      <c r="X501" s="74"/>
      <c r="Y501" s="74"/>
      <c r="Z501" s="74"/>
      <c r="AA501" s="74"/>
      <c r="AB501" s="74"/>
    </row>
    <row r="502" spans="1:28" ht="12" customHeight="1">
      <c r="A502" s="763"/>
      <c r="B502" s="104"/>
      <c r="C502" s="104"/>
      <c r="D502" s="260"/>
      <c r="E502" s="104"/>
      <c r="F502" s="104"/>
      <c r="G502" s="35"/>
      <c r="H502" s="104"/>
      <c r="I502" s="35"/>
      <c r="J502" s="74"/>
      <c r="K502" s="74"/>
      <c r="L502" s="74"/>
      <c r="M502" s="74"/>
      <c r="N502" s="74"/>
      <c r="O502" s="74"/>
      <c r="P502" s="74"/>
      <c r="Q502" s="74"/>
      <c r="R502" s="74"/>
      <c r="S502" s="74"/>
      <c r="T502" s="74"/>
      <c r="U502" s="74"/>
      <c r="V502" s="74"/>
      <c r="W502" s="74"/>
      <c r="X502" s="74"/>
      <c r="Y502" s="74"/>
      <c r="Z502" s="74"/>
      <c r="AA502" s="74"/>
      <c r="AB502" s="74"/>
    </row>
    <row r="503" spans="1:28" ht="12" customHeight="1">
      <c r="A503" s="763"/>
      <c r="B503" s="104"/>
      <c r="C503" s="104"/>
      <c r="D503" s="260"/>
      <c r="E503" s="104"/>
      <c r="F503" s="104"/>
      <c r="G503" s="35"/>
      <c r="H503" s="104"/>
      <c r="I503" s="35"/>
      <c r="J503" s="74"/>
      <c r="K503" s="74"/>
      <c r="L503" s="74"/>
      <c r="M503" s="74"/>
      <c r="N503" s="74"/>
      <c r="O503" s="74"/>
      <c r="P503" s="74"/>
      <c r="Q503" s="74"/>
      <c r="R503" s="74"/>
      <c r="S503" s="74"/>
      <c r="T503" s="74"/>
      <c r="U503" s="74"/>
      <c r="V503" s="74"/>
      <c r="W503" s="74"/>
      <c r="X503" s="74"/>
      <c r="Y503" s="74"/>
      <c r="Z503" s="74"/>
      <c r="AA503" s="74"/>
      <c r="AB503" s="74"/>
    </row>
    <row r="504" spans="1:28" ht="12" customHeight="1">
      <c r="A504" s="763"/>
      <c r="B504" s="104"/>
      <c r="C504" s="104"/>
      <c r="D504" s="260"/>
      <c r="E504" s="104"/>
      <c r="F504" s="104"/>
      <c r="G504" s="35"/>
      <c r="H504" s="104"/>
      <c r="I504" s="35"/>
      <c r="J504" s="74"/>
      <c r="K504" s="74"/>
      <c r="L504" s="74"/>
      <c r="M504" s="74"/>
      <c r="N504" s="74"/>
      <c r="O504" s="74"/>
      <c r="P504" s="74"/>
      <c r="Q504" s="74"/>
      <c r="R504" s="74"/>
      <c r="S504" s="74"/>
      <c r="T504" s="74"/>
      <c r="U504" s="74"/>
      <c r="V504" s="74"/>
      <c r="W504" s="74"/>
      <c r="X504" s="74"/>
      <c r="Y504" s="74"/>
      <c r="Z504" s="74"/>
      <c r="AA504" s="74"/>
      <c r="AB504" s="74"/>
    </row>
    <row r="505" spans="1:28" ht="12" customHeight="1">
      <c r="A505" s="763"/>
      <c r="B505" s="104"/>
      <c r="C505" s="104"/>
      <c r="D505" s="260"/>
      <c r="E505" s="104"/>
      <c r="F505" s="104"/>
      <c r="G505" s="35"/>
      <c r="H505" s="104"/>
      <c r="I505" s="35"/>
      <c r="J505" s="74"/>
      <c r="K505" s="74"/>
      <c r="L505" s="74"/>
      <c r="M505" s="74"/>
      <c r="N505" s="74"/>
      <c r="O505" s="74"/>
      <c r="P505" s="74"/>
      <c r="Q505" s="74"/>
      <c r="R505" s="74"/>
      <c r="S505" s="74"/>
      <c r="T505" s="74"/>
      <c r="U505" s="74"/>
      <c r="V505" s="74"/>
      <c r="W505" s="74"/>
      <c r="X505" s="74"/>
      <c r="Y505" s="74"/>
      <c r="Z505" s="74"/>
      <c r="AA505" s="74"/>
      <c r="AB505" s="74"/>
    </row>
    <row r="506" spans="1:28" ht="12" customHeight="1">
      <c r="A506" s="763"/>
      <c r="B506" s="104"/>
      <c r="C506" s="104"/>
      <c r="D506" s="260"/>
      <c r="E506" s="104"/>
      <c r="F506" s="104"/>
      <c r="G506" s="35"/>
      <c r="H506" s="104"/>
      <c r="I506" s="35"/>
      <c r="J506" s="74"/>
      <c r="K506" s="74"/>
      <c r="L506" s="74"/>
      <c r="M506" s="74"/>
      <c r="N506" s="74"/>
      <c r="O506" s="74"/>
      <c r="P506" s="74"/>
      <c r="Q506" s="74"/>
      <c r="R506" s="74"/>
      <c r="S506" s="74"/>
      <c r="T506" s="74"/>
      <c r="U506" s="74"/>
      <c r="V506" s="74"/>
      <c r="W506" s="74"/>
      <c r="X506" s="74"/>
      <c r="Y506" s="74"/>
      <c r="Z506" s="74"/>
      <c r="AA506" s="74"/>
      <c r="AB506" s="74"/>
    </row>
    <row r="507" spans="1:28" ht="12" customHeight="1">
      <c r="A507" s="763"/>
      <c r="B507" s="104"/>
      <c r="C507" s="104"/>
      <c r="D507" s="260"/>
      <c r="E507" s="104"/>
      <c r="F507" s="104"/>
      <c r="G507" s="35"/>
      <c r="H507" s="104"/>
      <c r="I507" s="35"/>
      <c r="J507" s="74"/>
      <c r="K507" s="74"/>
      <c r="L507" s="74"/>
      <c r="M507" s="74"/>
      <c r="N507" s="74"/>
      <c r="O507" s="74"/>
      <c r="P507" s="74"/>
      <c r="Q507" s="74"/>
      <c r="R507" s="74"/>
      <c r="S507" s="74"/>
      <c r="T507" s="74"/>
      <c r="U507" s="74"/>
      <c r="V507" s="74"/>
      <c r="W507" s="74"/>
      <c r="X507" s="74"/>
      <c r="Y507" s="74"/>
      <c r="Z507" s="74"/>
      <c r="AA507" s="74"/>
      <c r="AB507" s="74"/>
    </row>
    <row r="508" spans="1:28" ht="12" customHeight="1">
      <c r="A508" s="763"/>
      <c r="B508" s="104"/>
      <c r="C508" s="104"/>
      <c r="D508" s="260"/>
      <c r="E508" s="104"/>
      <c r="F508" s="104"/>
      <c r="G508" s="35"/>
      <c r="H508" s="104"/>
      <c r="I508" s="35"/>
      <c r="J508" s="74"/>
      <c r="K508" s="74"/>
      <c r="L508" s="74"/>
      <c r="M508" s="74"/>
      <c r="N508" s="74"/>
      <c r="O508" s="74"/>
      <c r="P508" s="74"/>
      <c r="Q508" s="74"/>
      <c r="R508" s="74"/>
      <c r="S508" s="74"/>
      <c r="T508" s="74"/>
      <c r="U508" s="74"/>
      <c r="V508" s="74"/>
      <c r="W508" s="74"/>
      <c r="X508" s="74"/>
      <c r="Y508" s="74"/>
      <c r="Z508" s="74"/>
      <c r="AA508" s="74"/>
      <c r="AB508" s="74"/>
    </row>
    <row r="509" spans="1:28" ht="12" customHeight="1">
      <c r="A509" s="763"/>
      <c r="B509" s="104"/>
      <c r="C509" s="104"/>
      <c r="D509" s="260"/>
      <c r="E509" s="104"/>
      <c r="F509" s="104"/>
      <c r="G509" s="35"/>
      <c r="H509" s="104"/>
      <c r="I509" s="35"/>
      <c r="J509" s="74"/>
      <c r="K509" s="74"/>
      <c r="L509" s="74"/>
      <c r="M509" s="74"/>
      <c r="N509" s="74"/>
      <c r="O509" s="74"/>
      <c r="P509" s="74"/>
      <c r="Q509" s="74"/>
      <c r="R509" s="74"/>
      <c r="S509" s="74"/>
      <c r="T509" s="74"/>
      <c r="U509" s="74"/>
      <c r="V509" s="74"/>
      <c r="W509" s="74"/>
      <c r="X509" s="74"/>
      <c r="Y509" s="74"/>
      <c r="Z509" s="74"/>
      <c r="AA509" s="74"/>
      <c r="AB509" s="74"/>
    </row>
    <row r="510" spans="1:28" ht="12" customHeight="1">
      <c r="A510" s="763"/>
      <c r="B510" s="104"/>
      <c r="C510" s="104"/>
      <c r="D510" s="260"/>
      <c r="E510" s="104"/>
      <c r="F510" s="104"/>
      <c r="G510" s="35"/>
      <c r="H510" s="104"/>
      <c r="I510" s="35"/>
      <c r="J510" s="74"/>
      <c r="K510" s="74"/>
      <c r="L510" s="74"/>
      <c r="M510" s="74"/>
      <c r="N510" s="74"/>
      <c r="O510" s="74"/>
      <c r="P510" s="74"/>
      <c r="Q510" s="74"/>
      <c r="R510" s="74"/>
      <c r="S510" s="74"/>
      <c r="T510" s="74"/>
      <c r="U510" s="74"/>
      <c r="V510" s="74"/>
      <c r="W510" s="74"/>
      <c r="X510" s="74"/>
      <c r="Y510" s="74"/>
      <c r="Z510" s="74"/>
      <c r="AA510" s="74"/>
      <c r="AB510" s="74"/>
    </row>
    <row r="511" spans="1:28" ht="12" customHeight="1">
      <c r="A511" s="763"/>
      <c r="B511" s="104"/>
      <c r="C511" s="104"/>
      <c r="D511" s="260"/>
      <c r="E511" s="104"/>
      <c r="F511" s="104"/>
      <c r="G511" s="35"/>
      <c r="H511" s="104"/>
      <c r="I511" s="35"/>
      <c r="J511" s="74"/>
      <c r="K511" s="74"/>
      <c r="L511" s="74"/>
      <c r="M511" s="74"/>
      <c r="N511" s="74"/>
      <c r="O511" s="74"/>
      <c r="P511" s="74"/>
      <c r="Q511" s="74"/>
      <c r="R511" s="74"/>
      <c r="S511" s="74"/>
      <c r="T511" s="74"/>
      <c r="U511" s="74"/>
      <c r="V511" s="74"/>
      <c r="W511" s="74"/>
      <c r="X511" s="74"/>
      <c r="Y511" s="74"/>
      <c r="Z511" s="74"/>
      <c r="AA511" s="74"/>
      <c r="AB511" s="74"/>
    </row>
    <row r="512" spans="1:28" ht="12" customHeight="1">
      <c r="A512" s="763"/>
      <c r="B512" s="104"/>
      <c r="C512" s="104"/>
      <c r="D512" s="260"/>
      <c r="E512" s="104"/>
      <c r="F512" s="104"/>
      <c r="G512" s="35"/>
      <c r="H512" s="104"/>
      <c r="I512" s="35"/>
      <c r="J512" s="74"/>
      <c r="K512" s="74"/>
      <c r="L512" s="74"/>
      <c r="M512" s="74"/>
      <c r="N512" s="74"/>
      <c r="O512" s="74"/>
      <c r="P512" s="74"/>
      <c r="Q512" s="74"/>
      <c r="R512" s="74"/>
      <c r="S512" s="74"/>
      <c r="T512" s="74"/>
      <c r="U512" s="74"/>
      <c r="V512" s="74"/>
      <c r="W512" s="74"/>
      <c r="X512" s="74"/>
      <c r="Y512" s="74"/>
      <c r="Z512" s="74"/>
      <c r="AA512" s="74"/>
      <c r="AB512" s="74"/>
    </row>
    <row r="513" spans="1:28" ht="12" customHeight="1">
      <c r="A513" s="763"/>
      <c r="B513" s="104"/>
      <c r="C513" s="104"/>
      <c r="D513" s="260"/>
      <c r="E513" s="104"/>
      <c r="F513" s="104"/>
      <c r="G513" s="35"/>
      <c r="H513" s="104"/>
      <c r="I513" s="35"/>
      <c r="J513" s="74"/>
      <c r="K513" s="74"/>
      <c r="L513" s="74"/>
      <c r="M513" s="74"/>
      <c r="N513" s="74"/>
      <c r="O513" s="74"/>
      <c r="P513" s="74"/>
      <c r="Q513" s="74"/>
      <c r="R513" s="74"/>
      <c r="S513" s="74"/>
      <c r="T513" s="74"/>
      <c r="U513" s="74"/>
      <c r="V513" s="74"/>
      <c r="W513" s="74"/>
      <c r="X513" s="74"/>
      <c r="Y513" s="74"/>
      <c r="Z513" s="74"/>
      <c r="AA513" s="74"/>
      <c r="AB513" s="74"/>
    </row>
    <row r="514" spans="1:28" ht="12" customHeight="1">
      <c r="A514" s="763"/>
      <c r="B514" s="104"/>
      <c r="C514" s="104"/>
      <c r="D514" s="260"/>
      <c r="E514" s="104"/>
      <c r="F514" s="104"/>
      <c r="G514" s="35"/>
      <c r="H514" s="104"/>
      <c r="I514" s="35"/>
      <c r="J514" s="74"/>
      <c r="K514" s="74"/>
      <c r="L514" s="74"/>
      <c r="M514" s="74"/>
      <c r="N514" s="74"/>
      <c r="O514" s="74"/>
      <c r="P514" s="74"/>
      <c r="Q514" s="74"/>
      <c r="R514" s="74"/>
      <c r="S514" s="74"/>
      <c r="T514" s="74"/>
      <c r="U514" s="74"/>
      <c r="V514" s="74"/>
      <c r="W514" s="74"/>
      <c r="X514" s="74"/>
      <c r="Y514" s="74"/>
      <c r="Z514" s="74"/>
      <c r="AA514" s="74"/>
      <c r="AB514" s="74"/>
    </row>
    <row r="515" spans="1:28" ht="12" customHeight="1">
      <c r="A515" s="763"/>
      <c r="B515" s="104"/>
      <c r="C515" s="104"/>
      <c r="D515" s="260"/>
      <c r="E515" s="104"/>
      <c r="F515" s="104"/>
      <c r="G515" s="35"/>
      <c r="H515" s="104"/>
      <c r="I515" s="35"/>
      <c r="J515" s="74"/>
      <c r="K515" s="74"/>
      <c r="L515" s="74"/>
      <c r="M515" s="74"/>
      <c r="N515" s="74"/>
      <c r="O515" s="74"/>
      <c r="P515" s="74"/>
      <c r="Q515" s="74"/>
      <c r="R515" s="74"/>
      <c r="S515" s="74"/>
      <c r="T515" s="74"/>
      <c r="U515" s="74"/>
      <c r="V515" s="74"/>
      <c r="W515" s="74"/>
      <c r="X515" s="74"/>
      <c r="Y515" s="74"/>
      <c r="Z515" s="74"/>
      <c r="AA515" s="74"/>
      <c r="AB515" s="74"/>
    </row>
    <row r="516" spans="1:28" ht="12" customHeight="1">
      <c r="A516" s="763"/>
      <c r="B516" s="104"/>
      <c r="C516" s="104"/>
      <c r="D516" s="260"/>
      <c r="E516" s="104"/>
      <c r="F516" s="104"/>
      <c r="G516" s="35"/>
      <c r="H516" s="104"/>
      <c r="I516" s="35"/>
      <c r="J516" s="74"/>
      <c r="K516" s="74"/>
      <c r="L516" s="74"/>
      <c r="M516" s="74"/>
      <c r="N516" s="74"/>
      <c r="O516" s="74"/>
      <c r="P516" s="74"/>
      <c r="Q516" s="74"/>
      <c r="R516" s="74"/>
      <c r="S516" s="74"/>
      <c r="T516" s="74"/>
      <c r="U516" s="74"/>
      <c r="V516" s="74"/>
      <c r="W516" s="74"/>
      <c r="X516" s="74"/>
      <c r="Y516" s="74"/>
      <c r="Z516" s="74"/>
      <c r="AA516" s="74"/>
      <c r="AB516" s="74"/>
    </row>
    <row r="517" spans="1:28" ht="12" customHeight="1">
      <c r="A517" s="763"/>
      <c r="B517" s="104"/>
      <c r="C517" s="104"/>
      <c r="D517" s="260"/>
      <c r="E517" s="104"/>
      <c r="F517" s="104"/>
      <c r="G517" s="35"/>
      <c r="H517" s="104"/>
      <c r="I517" s="35"/>
      <c r="J517" s="74"/>
      <c r="K517" s="74"/>
      <c r="L517" s="74"/>
      <c r="M517" s="74"/>
      <c r="N517" s="74"/>
      <c r="O517" s="74"/>
      <c r="P517" s="74"/>
      <c r="Q517" s="74"/>
      <c r="R517" s="74"/>
      <c r="S517" s="74"/>
      <c r="T517" s="74"/>
      <c r="U517" s="74"/>
      <c r="V517" s="74"/>
      <c r="W517" s="74"/>
      <c r="X517" s="74"/>
      <c r="Y517" s="74"/>
      <c r="Z517" s="74"/>
      <c r="AA517" s="74"/>
      <c r="AB517" s="74"/>
    </row>
    <row r="518" spans="1:28" ht="12" customHeight="1">
      <c r="A518" s="763"/>
      <c r="B518" s="104"/>
      <c r="C518" s="104"/>
      <c r="D518" s="260"/>
      <c r="E518" s="104"/>
      <c r="F518" s="104"/>
      <c r="G518" s="35"/>
      <c r="H518" s="104"/>
      <c r="I518" s="35"/>
      <c r="J518" s="74"/>
      <c r="K518" s="74"/>
      <c r="L518" s="74"/>
      <c r="M518" s="74"/>
      <c r="N518" s="74"/>
      <c r="O518" s="74"/>
      <c r="P518" s="74"/>
      <c r="Q518" s="74"/>
      <c r="R518" s="74"/>
      <c r="S518" s="74"/>
      <c r="T518" s="74"/>
      <c r="U518" s="74"/>
      <c r="V518" s="74"/>
      <c r="W518" s="74"/>
      <c r="X518" s="74"/>
      <c r="Y518" s="74"/>
      <c r="Z518" s="74"/>
      <c r="AA518" s="74"/>
      <c r="AB518" s="74"/>
    </row>
    <row r="519" spans="1:28" ht="12" customHeight="1">
      <c r="A519" s="763"/>
      <c r="B519" s="104"/>
      <c r="C519" s="104"/>
      <c r="D519" s="260"/>
      <c r="E519" s="104"/>
      <c r="F519" s="104"/>
      <c r="G519" s="35"/>
      <c r="H519" s="104"/>
      <c r="I519" s="35"/>
      <c r="J519" s="74"/>
      <c r="K519" s="74"/>
      <c r="L519" s="74"/>
      <c r="M519" s="74"/>
      <c r="N519" s="74"/>
      <c r="O519" s="74"/>
      <c r="P519" s="74"/>
      <c r="Q519" s="74"/>
      <c r="R519" s="74"/>
      <c r="S519" s="74"/>
      <c r="T519" s="74"/>
      <c r="U519" s="74"/>
      <c r="V519" s="74"/>
      <c r="W519" s="74"/>
      <c r="X519" s="74"/>
      <c r="Y519" s="74"/>
      <c r="Z519" s="74"/>
      <c r="AA519" s="74"/>
      <c r="AB519" s="74"/>
    </row>
    <row r="520" spans="1:28" ht="12" customHeight="1">
      <c r="A520" s="763"/>
      <c r="B520" s="104"/>
      <c r="C520" s="104"/>
      <c r="D520" s="260"/>
      <c r="E520" s="104"/>
      <c r="F520" s="104"/>
      <c r="G520" s="35"/>
      <c r="H520" s="104"/>
      <c r="I520" s="35"/>
      <c r="J520" s="74"/>
      <c r="K520" s="74"/>
      <c r="L520" s="74"/>
      <c r="M520" s="74"/>
      <c r="N520" s="74"/>
      <c r="O520" s="74"/>
      <c r="P520" s="74"/>
      <c r="Q520" s="74"/>
      <c r="R520" s="74"/>
      <c r="S520" s="74"/>
      <c r="T520" s="74"/>
      <c r="U520" s="74"/>
      <c r="V520" s="74"/>
      <c r="W520" s="74"/>
      <c r="X520" s="74"/>
      <c r="Y520" s="74"/>
      <c r="Z520" s="74"/>
      <c r="AA520" s="74"/>
      <c r="AB520" s="74"/>
    </row>
    <row r="521" spans="1:28" ht="12" customHeight="1">
      <c r="A521" s="763"/>
      <c r="B521" s="104"/>
      <c r="C521" s="104"/>
      <c r="D521" s="260"/>
      <c r="E521" s="104"/>
      <c r="F521" s="104"/>
      <c r="G521" s="35"/>
      <c r="H521" s="104"/>
      <c r="I521" s="35"/>
      <c r="J521" s="74"/>
      <c r="K521" s="74"/>
      <c r="L521" s="74"/>
      <c r="M521" s="74"/>
      <c r="N521" s="74"/>
      <c r="O521" s="74"/>
      <c r="P521" s="74"/>
      <c r="Q521" s="74"/>
      <c r="R521" s="74"/>
      <c r="S521" s="74"/>
      <c r="T521" s="74"/>
      <c r="U521" s="74"/>
      <c r="V521" s="74"/>
      <c r="W521" s="74"/>
      <c r="X521" s="74"/>
      <c r="Y521" s="74"/>
      <c r="Z521" s="74"/>
      <c r="AA521" s="74"/>
      <c r="AB521" s="74"/>
    </row>
    <row r="522" spans="1:28" ht="12" customHeight="1">
      <c r="A522" s="763"/>
      <c r="B522" s="104"/>
      <c r="C522" s="104"/>
      <c r="D522" s="260"/>
      <c r="E522" s="104"/>
      <c r="F522" s="104"/>
      <c r="G522" s="35"/>
      <c r="H522" s="104"/>
      <c r="I522" s="35"/>
      <c r="J522" s="74"/>
      <c r="K522" s="74"/>
      <c r="L522" s="74"/>
      <c r="M522" s="74"/>
      <c r="N522" s="74"/>
      <c r="O522" s="74"/>
      <c r="P522" s="74"/>
      <c r="Q522" s="74"/>
      <c r="R522" s="74"/>
      <c r="S522" s="74"/>
      <c r="T522" s="74"/>
      <c r="U522" s="74"/>
      <c r="V522" s="74"/>
      <c r="W522" s="74"/>
      <c r="X522" s="74"/>
      <c r="Y522" s="74"/>
      <c r="Z522" s="74"/>
      <c r="AA522" s="74"/>
      <c r="AB522" s="74"/>
    </row>
    <row r="523" spans="1:28" ht="12" customHeight="1">
      <c r="A523" s="763"/>
      <c r="B523" s="104"/>
      <c r="C523" s="104"/>
      <c r="D523" s="260"/>
      <c r="E523" s="104"/>
      <c r="F523" s="104"/>
      <c r="G523" s="35"/>
      <c r="H523" s="104"/>
      <c r="I523" s="35"/>
      <c r="J523" s="74"/>
      <c r="K523" s="74"/>
      <c r="L523" s="74"/>
      <c r="M523" s="74"/>
      <c r="N523" s="74"/>
      <c r="O523" s="74"/>
      <c r="P523" s="74"/>
      <c r="Q523" s="74"/>
      <c r="R523" s="74"/>
      <c r="S523" s="74"/>
      <c r="T523" s="74"/>
      <c r="U523" s="74"/>
      <c r="V523" s="74"/>
      <c r="W523" s="74"/>
      <c r="X523" s="74"/>
      <c r="Y523" s="74"/>
      <c r="Z523" s="74"/>
      <c r="AA523" s="74"/>
      <c r="AB523" s="74"/>
    </row>
    <row r="524" spans="1:28" ht="12" customHeight="1">
      <c r="A524" s="763"/>
      <c r="B524" s="104"/>
      <c r="C524" s="104"/>
      <c r="D524" s="260"/>
      <c r="E524" s="104"/>
      <c r="F524" s="104"/>
      <c r="G524" s="35"/>
      <c r="H524" s="104"/>
      <c r="I524" s="35"/>
      <c r="J524" s="74"/>
      <c r="K524" s="74"/>
      <c r="L524" s="74"/>
      <c r="M524" s="74"/>
      <c r="N524" s="74"/>
      <c r="O524" s="74"/>
      <c r="P524" s="74"/>
      <c r="Q524" s="74"/>
      <c r="R524" s="74"/>
      <c r="S524" s="74"/>
      <c r="T524" s="74"/>
      <c r="U524" s="74"/>
      <c r="V524" s="74"/>
      <c r="W524" s="74"/>
      <c r="X524" s="74"/>
      <c r="Y524" s="74"/>
      <c r="Z524" s="74"/>
      <c r="AA524" s="74"/>
      <c r="AB524" s="74"/>
    </row>
    <row r="525" spans="1:28" ht="12" customHeight="1">
      <c r="A525" s="763"/>
      <c r="B525" s="104"/>
      <c r="C525" s="104"/>
      <c r="D525" s="260"/>
      <c r="E525" s="104"/>
      <c r="F525" s="104"/>
      <c r="G525" s="35"/>
      <c r="H525" s="104"/>
      <c r="I525" s="35"/>
      <c r="J525" s="74"/>
      <c r="K525" s="74"/>
      <c r="L525" s="74"/>
      <c r="M525" s="74"/>
      <c r="N525" s="74"/>
      <c r="O525" s="74"/>
      <c r="P525" s="74"/>
      <c r="Q525" s="74"/>
      <c r="R525" s="74"/>
      <c r="S525" s="74"/>
      <c r="T525" s="74"/>
      <c r="U525" s="74"/>
      <c r="V525" s="74"/>
      <c r="W525" s="74"/>
      <c r="X525" s="74"/>
      <c r="Y525" s="74"/>
      <c r="Z525" s="74"/>
      <c r="AA525" s="74"/>
      <c r="AB525" s="74"/>
    </row>
    <row r="526" spans="1:28" ht="12" customHeight="1">
      <c r="A526" s="763"/>
      <c r="B526" s="104"/>
      <c r="C526" s="104"/>
      <c r="D526" s="260"/>
      <c r="E526" s="104"/>
      <c r="F526" s="104"/>
      <c r="G526" s="35"/>
      <c r="H526" s="104"/>
      <c r="I526" s="35"/>
      <c r="J526" s="74"/>
      <c r="K526" s="74"/>
      <c r="L526" s="74"/>
      <c r="M526" s="74"/>
      <c r="N526" s="74"/>
      <c r="O526" s="74"/>
      <c r="P526" s="74"/>
      <c r="Q526" s="74"/>
      <c r="R526" s="74"/>
      <c r="S526" s="74"/>
      <c r="T526" s="74"/>
      <c r="U526" s="74"/>
      <c r="V526" s="74"/>
      <c r="W526" s="74"/>
      <c r="X526" s="74"/>
      <c r="Y526" s="74"/>
      <c r="Z526" s="74"/>
      <c r="AA526" s="74"/>
      <c r="AB526" s="74"/>
    </row>
    <row r="527" spans="1:28" ht="12" customHeight="1">
      <c r="A527" s="763"/>
      <c r="B527" s="104"/>
      <c r="C527" s="104"/>
      <c r="D527" s="260"/>
      <c r="E527" s="104"/>
      <c r="F527" s="104"/>
      <c r="G527" s="35"/>
      <c r="H527" s="104"/>
      <c r="I527" s="35"/>
      <c r="J527" s="74"/>
      <c r="K527" s="74"/>
      <c r="L527" s="74"/>
      <c r="M527" s="74"/>
      <c r="N527" s="74"/>
      <c r="O527" s="74"/>
      <c r="P527" s="74"/>
      <c r="Q527" s="74"/>
      <c r="R527" s="74"/>
      <c r="S527" s="74"/>
      <c r="T527" s="74"/>
      <c r="U527" s="74"/>
      <c r="V527" s="74"/>
      <c r="W527" s="74"/>
      <c r="X527" s="74"/>
      <c r="Y527" s="74"/>
      <c r="Z527" s="74"/>
      <c r="AA527" s="74"/>
      <c r="AB527" s="74"/>
    </row>
    <row r="528" spans="1:28" ht="12" customHeight="1">
      <c r="A528" s="763"/>
      <c r="B528" s="104"/>
      <c r="C528" s="104"/>
      <c r="D528" s="260"/>
      <c r="E528" s="104"/>
      <c r="F528" s="104"/>
      <c r="G528" s="35"/>
      <c r="H528" s="104"/>
      <c r="I528" s="35"/>
      <c r="J528" s="74"/>
      <c r="K528" s="74"/>
      <c r="L528" s="74"/>
      <c r="M528" s="74"/>
      <c r="N528" s="74"/>
      <c r="O528" s="74"/>
      <c r="P528" s="74"/>
      <c r="Q528" s="74"/>
      <c r="R528" s="74"/>
      <c r="S528" s="74"/>
      <c r="T528" s="74"/>
      <c r="U528" s="74"/>
      <c r="V528" s="74"/>
      <c r="W528" s="74"/>
      <c r="X528" s="74"/>
      <c r="Y528" s="74"/>
      <c r="Z528" s="74"/>
      <c r="AA528" s="74"/>
      <c r="AB528" s="74"/>
    </row>
    <row r="529" spans="1:28" ht="12" customHeight="1">
      <c r="A529" s="763"/>
      <c r="B529" s="104"/>
      <c r="C529" s="104"/>
      <c r="D529" s="260"/>
      <c r="E529" s="104"/>
      <c r="F529" s="104"/>
      <c r="G529" s="35"/>
      <c r="H529" s="104"/>
      <c r="I529" s="35"/>
      <c r="J529" s="74"/>
      <c r="K529" s="74"/>
      <c r="L529" s="74"/>
      <c r="M529" s="74"/>
      <c r="N529" s="74"/>
      <c r="O529" s="74"/>
      <c r="P529" s="74"/>
      <c r="Q529" s="74"/>
      <c r="R529" s="74"/>
      <c r="S529" s="74"/>
      <c r="T529" s="74"/>
      <c r="U529" s="74"/>
      <c r="V529" s="74"/>
      <c r="W529" s="74"/>
      <c r="X529" s="74"/>
      <c r="Y529" s="74"/>
      <c r="Z529" s="74"/>
      <c r="AA529" s="74"/>
      <c r="AB529" s="74"/>
    </row>
    <row r="530" spans="1:28" ht="12" customHeight="1">
      <c r="A530" s="763"/>
      <c r="B530" s="104"/>
      <c r="C530" s="104"/>
      <c r="D530" s="260"/>
      <c r="E530" s="104"/>
      <c r="F530" s="104"/>
      <c r="G530" s="35"/>
      <c r="H530" s="104"/>
      <c r="I530" s="35"/>
      <c r="J530" s="74"/>
      <c r="K530" s="74"/>
      <c r="L530" s="74"/>
      <c r="M530" s="74"/>
      <c r="N530" s="74"/>
      <c r="O530" s="74"/>
      <c r="P530" s="74"/>
      <c r="Q530" s="74"/>
      <c r="R530" s="74"/>
      <c r="S530" s="74"/>
      <c r="T530" s="74"/>
      <c r="U530" s="74"/>
      <c r="V530" s="74"/>
      <c r="W530" s="74"/>
      <c r="X530" s="74"/>
      <c r="Y530" s="74"/>
      <c r="Z530" s="74"/>
      <c r="AA530" s="74"/>
      <c r="AB530" s="74"/>
    </row>
    <row r="531" spans="1:28" ht="12" customHeight="1">
      <c r="A531" s="763"/>
      <c r="B531" s="104"/>
      <c r="C531" s="104"/>
      <c r="D531" s="260"/>
      <c r="E531" s="104"/>
      <c r="F531" s="104"/>
      <c r="G531" s="35"/>
      <c r="H531" s="104"/>
      <c r="I531" s="35"/>
      <c r="J531" s="74"/>
      <c r="K531" s="74"/>
      <c r="L531" s="74"/>
      <c r="M531" s="74"/>
      <c r="N531" s="74"/>
      <c r="O531" s="74"/>
      <c r="P531" s="74"/>
      <c r="Q531" s="74"/>
      <c r="R531" s="74"/>
      <c r="S531" s="74"/>
      <c r="T531" s="74"/>
      <c r="U531" s="74"/>
      <c r="V531" s="74"/>
      <c r="W531" s="74"/>
      <c r="X531" s="74"/>
      <c r="Y531" s="74"/>
      <c r="Z531" s="74"/>
      <c r="AA531" s="74"/>
      <c r="AB531" s="74"/>
    </row>
    <row r="532" spans="1:28" ht="12" customHeight="1">
      <c r="A532" s="763"/>
      <c r="B532" s="104"/>
      <c r="C532" s="104"/>
      <c r="D532" s="260"/>
      <c r="E532" s="104"/>
      <c r="F532" s="104"/>
      <c r="G532" s="35"/>
      <c r="H532" s="104"/>
      <c r="I532" s="35"/>
      <c r="J532" s="74"/>
      <c r="K532" s="74"/>
      <c r="L532" s="74"/>
      <c r="M532" s="74"/>
      <c r="N532" s="74"/>
      <c r="O532" s="74"/>
      <c r="P532" s="74"/>
      <c r="Q532" s="74"/>
      <c r="R532" s="74"/>
      <c r="S532" s="74"/>
      <c r="T532" s="74"/>
      <c r="U532" s="74"/>
      <c r="V532" s="74"/>
      <c r="W532" s="74"/>
      <c r="X532" s="74"/>
      <c r="Y532" s="74"/>
      <c r="Z532" s="74"/>
      <c r="AA532" s="74"/>
      <c r="AB532" s="74"/>
    </row>
    <row r="533" spans="1:28" ht="12" customHeight="1">
      <c r="A533" s="763"/>
      <c r="B533" s="104"/>
      <c r="C533" s="104"/>
      <c r="D533" s="260"/>
      <c r="E533" s="104"/>
      <c r="F533" s="104"/>
      <c r="G533" s="35"/>
      <c r="H533" s="104"/>
      <c r="I533" s="35"/>
      <c r="J533" s="74"/>
      <c r="K533" s="74"/>
      <c r="L533" s="74"/>
      <c r="M533" s="74"/>
      <c r="N533" s="74"/>
      <c r="O533" s="74"/>
      <c r="P533" s="74"/>
      <c r="Q533" s="74"/>
      <c r="R533" s="74"/>
      <c r="S533" s="74"/>
      <c r="T533" s="74"/>
      <c r="U533" s="74"/>
      <c r="V533" s="74"/>
      <c r="W533" s="74"/>
      <c r="X533" s="74"/>
      <c r="Y533" s="74"/>
      <c r="Z533" s="74"/>
      <c r="AA533" s="74"/>
      <c r="AB533" s="74"/>
    </row>
    <row r="534" spans="1:28" ht="12" customHeight="1">
      <c r="A534" s="763"/>
      <c r="B534" s="104"/>
      <c r="C534" s="104"/>
      <c r="D534" s="260"/>
      <c r="E534" s="104"/>
      <c r="F534" s="104"/>
      <c r="G534" s="35"/>
      <c r="H534" s="104"/>
      <c r="I534" s="35"/>
      <c r="J534" s="74"/>
      <c r="K534" s="74"/>
      <c r="L534" s="74"/>
      <c r="M534" s="74"/>
      <c r="N534" s="74"/>
      <c r="O534" s="74"/>
      <c r="P534" s="74"/>
      <c r="Q534" s="74"/>
      <c r="R534" s="74"/>
      <c r="S534" s="74"/>
      <c r="T534" s="74"/>
      <c r="U534" s="74"/>
      <c r="V534" s="74"/>
      <c r="W534" s="74"/>
      <c r="X534" s="74"/>
      <c r="Y534" s="74"/>
      <c r="Z534" s="74"/>
      <c r="AA534" s="74"/>
      <c r="AB534" s="74"/>
    </row>
    <row r="535" spans="1:28" ht="12" customHeight="1">
      <c r="A535" s="763"/>
      <c r="B535" s="104"/>
      <c r="C535" s="104"/>
      <c r="D535" s="260"/>
      <c r="E535" s="104"/>
      <c r="F535" s="104"/>
      <c r="G535" s="35"/>
      <c r="H535" s="104"/>
      <c r="I535" s="35"/>
      <c r="J535" s="74"/>
      <c r="K535" s="74"/>
      <c r="L535" s="74"/>
      <c r="M535" s="74"/>
      <c r="N535" s="74"/>
      <c r="O535" s="74"/>
      <c r="P535" s="74"/>
      <c r="Q535" s="74"/>
      <c r="R535" s="74"/>
      <c r="S535" s="74"/>
      <c r="T535" s="74"/>
      <c r="U535" s="74"/>
      <c r="V535" s="74"/>
      <c r="W535" s="74"/>
      <c r="X535" s="74"/>
      <c r="Y535" s="74"/>
      <c r="Z535" s="74"/>
      <c r="AA535" s="74"/>
      <c r="AB535" s="74"/>
    </row>
    <row r="536" spans="1:28" ht="12" customHeight="1">
      <c r="A536" s="763"/>
      <c r="B536" s="104"/>
      <c r="C536" s="104"/>
      <c r="D536" s="260"/>
      <c r="E536" s="104"/>
      <c r="F536" s="104"/>
      <c r="G536" s="35"/>
      <c r="H536" s="104"/>
      <c r="I536" s="35"/>
      <c r="J536" s="74"/>
      <c r="K536" s="74"/>
      <c r="L536" s="74"/>
      <c r="M536" s="74"/>
      <c r="N536" s="74"/>
      <c r="O536" s="74"/>
      <c r="P536" s="74"/>
      <c r="Q536" s="74"/>
      <c r="R536" s="74"/>
      <c r="S536" s="74"/>
      <c r="T536" s="74"/>
      <c r="U536" s="74"/>
      <c r="V536" s="74"/>
      <c r="W536" s="74"/>
      <c r="X536" s="74"/>
      <c r="Y536" s="74"/>
      <c r="Z536" s="74"/>
      <c r="AA536" s="74"/>
      <c r="AB536" s="74"/>
    </row>
    <row r="537" spans="1:28" ht="12" customHeight="1">
      <c r="A537" s="763"/>
      <c r="B537" s="104"/>
      <c r="C537" s="104"/>
      <c r="D537" s="260"/>
      <c r="E537" s="104"/>
      <c r="F537" s="104"/>
      <c r="G537" s="35"/>
      <c r="H537" s="104"/>
      <c r="I537" s="35"/>
      <c r="J537" s="74"/>
      <c r="K537" s="74"/>
      <c r="L537" s="74"/>
      <c r="M537" s="74"/>
      <c r="N537" s="74"/>
      <c r="O537" s="74"/>
      <c r="P537" s="74"/>
      <c r="Q537" s="74"/>
      <c r="R537" s="74"/>
      <c r="S537" s="74"/>
      <c r="T537" s="74"/>
      <c r="U537" s="74"/>
      <c r="V537" s="74"/>
      <c r="W537" s="74"/>
      <c r="X537" s="74"/>
      <c r="Y537" s="74"/>
      <c r="Z537" s="74"/>
      <c r="AA537" s="74"/>
      <c r="AB537" s="74"/>
    </row>
    <row r="538" spans="1:28" ht="12" customHeight="1">
      <c r="A538" s="763"/>
      <c r="B538" s="104"/>
      <c r="C538" s="104"/>
      <c r="D538" s="260"/>
      <c r="E538" s="104"/>
      <c r="F538" s="104"/>
      <c r="G538" s="35"/>
      <c r="H538" s="104"/>
      <c r="I538" s="35"/>
      <c r="J538" s="74"/>
      <c r="K538" s="74"/>
      <c r="L538" s="74"/>
      <c r="M538" s="74"/>
      <c r="N538" s="74"/>
      <c r="O538" s="74"/>
      <c r="P538" s="74"/>
      <c r="Q538" s="74"/>
      <c r="R538" s="74"/>
      <c r="S538" s="74"/>
      <c r="T538" s="74"/>
      <c r="U538" s="74"/>
      <c r="V538" s="74"/>
      <c r="W538" s="74"/>
      <c r="X538" s="74"/>
      <c r="Y538" s="74"/>
      <c r="Z538" s="74"/>
      <c r="AA538" s="74"/>
      <c r="AB538" s="74"/>
    </row>
    <row r="539" spans="1:28" ht="12" customHeight="1">
      <c r="A539" s="763"/>
      <c r="B539" s="104"/>
      <c r="C539" s="104"/>
      <c r="D539" s="260"/>
      <c r="E539" s="104"/>
      <c r="F539" s="104"/>
      <c r="G539" s="35"/>
      <c r="H539" s="104"/>
      <c r="I539" s="35"/>
      <c r="J539" s="74"/>
      <c r="K539" s="74"/>
      <c r="L539" s="74"/>
      <c r="M539" s="74"/>
      <c r="N539" s="74"/>
      <c r="O539" s="74"/>
      <c r="P539" s="74"/>
      <c r="Q539" s="74"/>
      <c r="R539" s="74"/>
      <c r="S539" s="74"/>
      <c r="T539" s="74"/>
      <c r="U539" s="74"/>
      <c r="V539" s="74"/>
      <c r="W539" s="74"/>
      <c r="X539" s="74"/>
      <c r="Y539" s="74"/>
      <c r="Z539" s="74"/>
      <c r="AA539" s="74"/>
      <c r="AB539" s="74"/>
    </row>
    <row r="540" spans="1:28" ht="12" customHeight="1">
      <c r="A540" s="763"/>
      <c r="B540" s="104"/>
      <c r="C540" s="104"/>
      <c r="D540" s="260"/>
      <c r="E540" s="104"/>
      <c r="F540" s="104"/>
      <c r="G540" s="35"/>
      <c r="H540" s="104"/>
      <c r="I540" s="35"/>
      <c r="J540" s="74"/>
      <c r="K540" s="74"/>
      <c r="L540" s="74"/>
      <c r="M540" s="74"/>
      <c r="N540" s="74"/>
      <c r="O540" s="74"/>
      <c r="P540" s="74"/>
      <c r="Q540" s="74"/>
      <c r="R540" s="74"/>
      <c r="S540" s="74"/>
      <c r="T540" s="74"/>
      <c r="U540" s="74"/>
      <c r="V540" s="74"/>
      <c r="W540" s="74"/>
      <c r="X540" s="74"/>
      <c r="Y540" s="74"/>
      <c r="Z540" s="74"/>
      <c r="AA540" s="74"/>
      <c r="AB540" s="74"/>
    </row>
    <row r="541" spans="1:28" ht="12" customHeight="1">
      <c r="A541" s="763"/>
      <c r="B541" s="104"/>
      <c r="C541" s="104"/>
      <c r="D541" s="260"/>
      <c r="E541" s="104"/>
      <c r="F541" s="104"/>
      <c r="G541" s="35"/>
      <c r="H541" s="104"/>
      <c r="I541" s="35"/>
      <c r="J541" s="74"/>
      <c r="K541" s="74"/>
      <c r="L541" s="74"/>
      <c r="M541" s="74"/>
      <c r="N541" s="74"/>
      <c r="O541" s="74"/>
      <c r="P541" s="74"/>
      <c r="Q541" s="74"/>
      <c r="R541" s="74"/>
      <c r="S541" s="74"/>
      <c r="T541" s="74"/>
      <c r="U541" s="74"/>
      <c r="V541" s="74"/>
      <c r="W541" s="74"/>
      <c r="X541" s="74"/>
      <c r="Y541" s="74"/>
      <c r="Z541" s="74"/>
      <c r="AA541" s="74"/>
      <c r="AB541" s="74"/>
    </row>
    <row r="542" spans="1:28" ht="12" customHeight="1">
      <c r="A542" s="763"/>
      <c r="B542" s="104"/>
      <c r="C542" s="104"/>
      <c r="D542" s="260"/>
      <c r="E542" s="104"/>
      <c r="F542" s="104"/>
      <c r="G542" s="35"/>
      <c r="H542" s="104"/>
      <c r="I542" s="35"/>
      <c r="J542" s="74"/>
      <c r="K542" s="74"/>
      <c r="L542" s="74"/>
      <c r="M542" s="74"/>
      <c r="N542" s="74"/>
      <c r="O542" s="74"/>
      <c r="P542" s="74"/>
      <c r="Q542" s="74"/>
      <c r="R542" s="74"/>
      <c r="S542" s="74"/>
      <c r="T542" s="74"/>
      <c r="U542" s="74"/>
      <c r="V542" s="74"/>
      <c r="W542" s="74"/>
      <c r="X542" s="74"/>
      <c r="Y542" s="74"/>
      <c r="Z542" s="74"/>
      <c r="AA542" s="74"/>
      <c r="AB542" s="74"/>
    </row>
    <row r="543" spans="1:28" ht="12" customHeight="1">
      <c r="A543" s="763"/>
      <c r="B543" s="104"/>
      <c r="C543" s="104"/>
      <c r="D543" s="260"/>
      <c r="E543" s="104"/>
      <c r="F543" s="104"/>
      <c r="G543" s="35"/>
      <c r="H543" s="104"/>
      <c r="I543" s="35"/>
      <c r="J543" s="74"/>
      <c r="K543" s="74"/>
      <c r="L543" s="74"/>
      <c r="M543" s="74"/>
      <c r="N543" s="74"/>
      <c r="O543" s="74"/>
      <c r="P543" s="74"/>
      <c r="Q543" s="74"/>
      <c r="R543" s="74"/>
      <c r="S543" s="74"/>
      <c r="T543" s="74"/>
      <c r="U543" s="74"/>
      <c r="V543" s="74"/>
      <c r="W543" s="74"/>
      <c r="X543" s="74"/>
      <c r="Y543" s="74"/>
      <c r="Z543" s="74"/>
      <c r="AA543" s="74"/>
      <c r="AB543" s="74"/>
    </row>
    <row r="544" spans="1:28" ht="12" customHeight="1">
      <c r="A544" s="763"/>
      <c r="B544" s="104"/>
      <c r="C544" s="104"/>
      <c r="D544" s="260"/>
      <c r="E544" s="104"/>
      <c r="F544" s="104"/>
      <c r="G544" s="35"/>
      <c r="H544" s="104"/>
      <c r="I544" s="35"/>
      <c r="J544" s="74"/>
      <c r="K544" s="74"/>
      <c r="L544" s="74"/>
      <c r="M544" s="74"/>
      <c r="N544" s="74"/>
      <c r="O544" s="74"/>
      <c r="P544" s="74"/>
      <c r="Q544" s="74"/>
      <c r="R544" s="74"/>
      <c r="S544" s="74"/>
      <c r="T544" s="74"/>
      <c r="U544" s="74"/>
      <c r="V544" s="74"/>
      <c r="W544" s="74"/>
      <c r="X544" s="74"/>
      <c r="Y544" s="74"/>
      <c r="Z544" s="74"/>
      <c r="AA544" s="74"/>
      <c r="AB544" s="74"/>
    </row>
    <row r="545" spans="1:28" ht="12" customHeight="1">
      <c r="A545" s="763"/>
      <c r="B545" s="104"/>
      <c r="C545" s="104"/>
      <c r="D545" s="260"/>
      <c r="E545" s="104"/>
      <c r="F545" s="104"/>
      <c r="G545" s="35"/>
      <c r="H545" s="104"/>
      <c r="I545" s="35"/>
      <c r="J545" s="74"/>
      <c r="K545" s="74"/>
      <c r="L545" s="74"/>
      <c r="M545" s="74"/>
      <c r="N545" s="74"/>
      <c r="O545" s="74"/>
      <c r="P545" s="74"/>
      <c r="Q545" s="74"/>
      <c r="R545" s="74"/>
      <c r="S545" s="74"/>
      <c r="T545" s="74"/>
      <c r="U545" s="74"/>
      <c r="V545" s="74"/>
      <c r="W545" s="74"/>
      <c r="X545" s="74"/>
      <c r="Y545" s="74"/>
      <c r="Z545" s="74"/>
      <c r="AA545" s="74"/>
      <c r="AB545" s="74"/>
    </row>
    <row r="546" spans="1:28" ht="12" customHeight="1">
      <c r="A546" s="763"/>
      <c r="B546" s="104"/>
      <c r="C546" s="104"/>
      <c r="D546" s="260"/>
      <c r="E546" s="104"/>
      <c r="F546" s="104"/>
      <c r="G546" s="35"/>
      <c r="H546" s="104"/>
      <c r="I546" s="35"/>
      <c r="J546" s="74"/>
      <c r="K546" s="74"/>
      <c r="L546" s="74"/>
      <c r="M546" s="74"/>
      <c r="N546" s="74"/>
      <c r="O546" s="74"/>
      <c r="P546" s="74"/>
      <c r="Q546" s="74"/>
      <c r="R546" s="74"/>
      <c r="S546" s="74"/>
      <c r="T546" s="74"/>
      <c r="U546" s="74"/>
      <c r="V546" s="74"/>
      <c r="W546" s="74"/>
      <c r="X546" s="74"/>
      <c r="Y546" s="74"/>
      <c r="Z546" s="74"/>
      <c r="AA546" s="74"/>
      <c r="AB546" s="74"/>
    </row>
    <row r="547" spans="1:28" ht="12" customHeight="1">
      <c r="A547" s="763"/>
      <c r="B547" s="104"/>
      <c r="C547" s="104"/>
      <c r="D547" s="260"/>
      <c r="E547" s="104"/>
      <c r="F547" s="104"/>
      <c r="G547" s="35"/>
      <c r="H547" s="104"/>
      <c r="I547" s="35"/>
      <c r="J547" s="74"/>
      <c r="K547" s="74"/>
      <c r="L547" s="74"/>
      <c r="M547" s="74"/>
      <c r="N547" s="74"/>
      <c r="O547" s="74"/>
      <c r="P547" s="74"/>
      <c r="Q547" s="74"/>
      <c r="R547" s="74"/>
      <c r="S547" s="74"/>
      <c r="T547" s="74"/>
      <c r="U547" s="74"/>
      <c r="V547" s="74"/>
      <c r="W547" s="74"/>
      <c r="X547" s="74"/>
      <c r="Y547" s="74"/>
      <c r="Z547" s="74"/>
      <c r="AA547" s="74"/>
      <c r="AB547" s="74"/>
    </row>
    <row r="548" spans="1:28" ht="12" customHeight="1">
      <c r="A548" s="763"/>
      <c r="B548" s="104"/>
      <c r="C548" s="104"/>
      <c r="D548" s="260"/>
      <c r="E548" s="104"/>
      <c r="F548" s="104"/>
      <c r="G548" s="35"/>
      <c r="H548" s="104"/>
      <c r="I548" s="35"/>
      <c r="J548" s="74"/>
      <c r="K548" s="74"/>
      <c r="L548" s="74"/>
      <c r="M548" s="74"/>
      <c r="N548" s="74"/>
      <c r="O548" s="74"/>
      <c r="P548" s="74"/>
      <c r="Q548" s="74"/>
      <c r="R548" s="74"/>
      <c r="S548" s="74"/>
      <c r="T548" s="74"/>
      <c r="U548" s="74"/>
      <c r="V548" s="74"/>
      <c r="W548" s="74"/>
      <c r="X548" s="74"/>
      <c r="Y548" s="74"/>
      <c r="Z548" s="74"/>
      <c r="AA548" s="74"/>
      <c r="AB548" s="74"/>
    </row>
    <row r="549" spans="1:28" ht="12" customHeight="1">
      <c r="A549" s="763"/>
      <c r="B549" s="104"/>
      <c r="C549" s="104"/>
      <c r="D549" s="260"/>
      <c r="E549" s="104"/>
      <c r="F549" s="104"/>
      <c r="G549" s="35"/>
      <c r="H549" s="104"/>
      <c r="I549" s="35"/>
      <c r="J549" s="74"/>
      <c r="K549" s="74"/>
      <c r="L549" s="74"/>
      <c r="M549" s="74"/>
      <c r="N549" s="74"/>
      <c r="O549" s="74"/>
      <c r="P549" s="74"/>
      <c r="Q549" s="74"/>
      <c r="R549" s="74"/>
      <c r="S549" s="74"/>
      <c r="T549" s="74"/>
      <c r="U549" s="74"/>
      <c r="V549" s="74"/>
      <c r="W549" s="74"/>
      <c r="X549" s="74"/>
      <c r="Y549" s="74"/>
      <c r="Z549" s="74"/>
      <c r="AA549" s="74"/>
      <c r="AB549" s="74"/>
    </row>
    <row r="550" spans="1:28" ht="12" customHeight="1">
      <c r="A550" s="763"/>
      <c r="B550" s="104"/>
      <c r="C550" s="104"/>
      <c r="D550" s="260"/>
      <c r="E550" s="104"/>
      <c r="F550" s="104"/>
      <c r="G550" s="35"/>
      <c r="H550" s="104"/>
      <c r="I550" s="35"/>
      <c r="J550" s="74"/>
      <c r="K550" s="74"/>
      <c r="L550" s="74"/>
      <c r="M550" s="74"/>
      <c r="N550" s="74"/>
      <c r="O550" s="74"/>
      <c r="P550" s="74"/>
      <c r="Q550" s="74"/>
      <c r="R550" s="74"/>
      <c r="S550" s="74"/>
      <c r="T550" s="74"/>
      <c r="U550" s="74"/>
      <c r="V550" s="74"/>
      <c r="W550" s="74"/>
      <c r="X550" s="74"/>
      <c r="Y550" s="74"/>
      <c r="Z550" s="74"/>
      <c r="AA550" s="74"/>
      <c r="AB550" s="74"/>
    </row>
    <row r="551" spans="1:28" ht="12" customHeight="1">
      <c r="A551" s="763"/>
      <c r="B551" s="104"/>
      <c r="C551" s="104"/>
      <c r="D551" s="260"/>
      <c r="E551" s="104"/>
      <c r="F551" s="104"/>
      <c r="G551" s="35"/>
      <c r="H551" s="104"/>
      <c r="I551" s="35"/>
      <c r="J551" s="74"/>
      <c r="K551" s="74"/>
      <c r="L551" s="74"/>
      <c r="M551" s="74"/>
      <c r="N551" s="74"/>
      <c r="O551" s="74"/>
      <c r="P551" s="74"/>
      <c r="Q551" s="74"/>
      <c r="R551" s="74"/>
      <c r="S551" s="74"/>
      <c r="T551" s="74"/>
      <c r="U551" s="74"/>
      <c r="V551" s="74"/>
      <c r="W551" s="74"/>
      <c r="X551" s="74"/>
      <c r="Y551" s="74"/>
      <c r="Z551" s="74"/>
      <c r="AA551" s="74"/>
      <c r="AB551" s="74"/>
    </row>
    <row r="552" spans="1:28" ht="12" customHeight="1">
      <c r="A552" s="763"/>
      <c r="B552" s="104"/>
      <c r="C552" s="104"/>
      <c r="D552" s="260"/>
      <c r="E552" s="104"/>
      <c r="F552" s="104"/>
      <c r="G552" s="35"/>
      <c r="H552" s="104"/>
      <c r="I552" s="35"/>
      <c r="J552" s="74"/>
      <c r="K552" s="74"/>
      <c r="L552" s="74"/>
      <c r="M552" s="74"/>
      <c r="N552" s="74"/>
      <c r="O552" s="74"/>
      <c r="P552" s="74"/>
      <c r="Q552" s="74"/>
      <c r="R552" s="74"/>
      <c r="S552" s="74"/>
      <c r="T552" s="74"/>
      <c r="U552" s="74"/>
      <c r="V552" s="74"/>
      <c r="W552" s="74"/>
      <c r="X552" s="74"/>
      <c r="Y552" s="74"/>
      <c r="Z552" s="74"/>
      <c r="AA552" s="74"/>
      <c r="AB552" s="74"/>
    </row>
    <row r="553" spans="1:28" ht="12" customHeight="1">
      <c r="A553" s="763"/>
      <c r="B553" s="104"/>
      <c r="C553" s="104"/>
      <c r="D553" s="260"/>
      <c r="E553" s="104"/>
      <c r="F553" s="104"/>
      <c r="G553" s="35"/>
      <c r="H553" s="104"/>
      <c r="I553" s="35"/>
      <c r="J553" s="74"/>
      <c r="K553" s="74"/>
      <c r="L553" s="74"/>
      <c r="M553" s="74"/>
      <c r="N553" s="74"/>
      <c r="O553" s="74"/>
      <c r="P553" s="74"/>
      <c r="Q553" s="74"/>
      <c r="R553" s="74"/>
      <c r="S553" s="74"/>
      <c r="T553" s="74"/>
      <c r="U553" s="74"/>
      <c r="V553" s="74"/>
      <c r="W553" s="74"/>
      <c r="X553" s="74"/>
      <c r="Y553" s="74"/>
      <c r="Z553" s="74"/>
      <c r="AA553" s="74"/>
      <c r="AB553" s="74"/>
    </row>
    <row r="554" spans="1:28" ht="12" customHeight="1">
      <c r="A554" s="763"/>
      <c r="B554" s="104"/>
      <c r="C554" s="104"/>
      <c r="D554" s="260"/>
      <c r="E554" s="104"/>
      <c r="F554" s="104"/>
      <c r="G554" s="35"/>
      <c r="H554" s="104"/>
      <c r="I554" s="35"/>
      <c r="J554" s="74"/>
      <c r="K554" s="74"/>
      <c r="L554" s="74"/>
      <c r="M554" s="74"/>
      <c r="N554" s="74"/>
      <c r="O554" s="74"/>
      <c r="P554" s="74"/>
      <c r="Q554" s="74"/>
      <c r="R554" s="74"/>
      <c r="S554" s="74"/>
      <c r="T554" s="74"/>
      <c r="U554" s="74"/>
      <c r="V554" s="74"/>
      <c r="W554" s="74"/>
      <c r="X554" s="74"/>
      <c r="Y554" s="74"/>
      <c r="Z554" s="74"/>
      <c r="AA554" s="74"/>
      <c r="AB554" s="74"/>
    </row>
    <row r="555" spans="1:28" ht="12" customHeight="1">
      <c r="A555" s="763"/>
      <c r="B555" s="104"/>
      <c r="C555" s="104"/>
      <c r="D555" s="260"/>
      <c r="E555" s="104"/>
      <c r="F555" s="104"/>
      <c r="G555" s="35"/>
      <c r="H555" s="104"/>
      <c r="I555" s="35"/>
      <c r="J555" s="74"/>
      <c r="K555" s="74"/>
      <c r="L555" s="74"/>
      <c r="M555" s="74"/>
      <c r="N555" s="74"/>
      <c r="O555" s="74"/>
      <c r="P555" s="74"/>
      <c r="Q555" s="74"/>
      <c r="R555" s="74"/>
      <c r="S555" s="74"/>
      <c r="T555" s="74"/>
      <c r="U555" s="74"/>
      <c r="V555" s="74"/>
      <c r="W555" s="74"/>
      <c r="X555" s="74"/>
      <c r="Y555" s="74"/>
      <c r="Z555" s="74"/>
      <c r="AA555" s="74"/>
      <c r="AB555" s="74"/>
    </row>
    <row r="556" spans="1:28" ht="12" customHeight="1">
      <c r="A556" s="763"/>
      <c r="B556" s="104"/>
      <c r="C556" s="104"/>
      <c r="D556" s="260"/>
      <c r="E556" s="104"/>
      <c r="F556" s="104"/>
      <c r="G556" s="35"/>
      <c r="H556" s="104"/>
      <c r="I556" s="35"/>
      <c r="J556" s="74"/>
      <c r="K556" s="74"/>
      <c r="L556" s="74"/>
      <c r="M556" s="74"/>
      <c r="N556" s="74"/>
      <c r="O556" s="74"/>
      <c r="P556" s="74"/>
      <c r="Q556" s="74"/>
      <c r="R556" s="74"/>
      <c r="S556" s="74"/>
      <c r="T556" s="74"/>
      <c r="U556" s="74"/>
      <c r="V556" s="74"/>
      <c r="W556" s="74"/>
      <c r="X556" s="74"/>
      <c r="Y556" s="74"/>
      <c r="Z556" s="74"/>
      <c r="AA556" s="74"/>
      <c r="AB556" s="74"/>
    </row>
    <row r="557" spans="1:28" ht="12" customHeight="1">
      <c r="A557" s="763"/>
      <c r="B557" s="104"/>
      <c r="C557" s="104"/>
      <c r="D557" s="260"/>
      <c r="E557" s="104"/>
      <c r="F557" s="104"/>
      <c r="G557" s="35"/>
      <c r="H557" s="104"/>
      <c r="I557" s="35"/>
      <c r="J557" s="74"/>
      <c r="K557" s="74"/>
      <c r="L557" s="74"/>
      <c r="M557" s="74"/>
      <c r="N557" s="74"/>
      <c r="O557" s="74"/>
      <c r="P557" s="74"/>
      <c r="Q557" s="74"/>
      <c r="R557" s="74"/>
      <c r="S557" s="74"/>
      <c r="T557" s="74"/>
      <c r="U557" s="74"/>
      <c r="V557" s="74"/>
      <c r="W557" s="74"/>
      <c r="X557" s="74"/>
      <c r="Y557" s="74"/>
      <c r="Z557" s="74"/>
      <c r="AA557" s="74"/>
      <c r="AB557" s="74"/>
    </row>
    <row r="558" spans="1:28" ht="12" customHeight="1">
      <c r="A558" s="763"/>
      <c r="B558" s="104"/>
      <c r="C558" s="104"/>
      <c r="D558" s="260"/>
      <c r="E558" s="104"/>
      <c r="F558" s="104"/>
      <c r="G558" s="35"/>
      <c r="H558" s="104"/>
      <c r="I558" s="35"/>
      <c r="J558" s="74"/>
      <c r="K558" s="74"/>
      <c r="L558" s="74"/>
      <c r="M558" s="74"/>
      <c r="N558" s="74"/>
      <c r="O558" s="74"/>
      <c r="P558" s="74"/>
      <c r="Q558" s="74"/>
      <c r="R558" s="74"/>
      <c r="S558" s="74"/>
      <c r="T558" s="74"/>
      <c r="U558" s="74"/>
      <c r="V558" s="74"/>
      <c r="W558" s="74"/>
      <c r="X558" s="74"/>
      <c r="Y558" s="74"/>
      <c r="Z558" s="74"/>
      <c r="AA558" s="74"/>
      <c r="AB558" s="74"/>
    </row>
    <row r="559" spans="1:28" ht="12" customHeight="1">
      <c r="A559" s="763"/>
      <c r="B559" s="104"/>
      <c r="C559" s="104"/>
      <c r="D559" s="260"/>
      <c r="E559" s="104"/>
      <c r="F559" s="104"/>
      <c r="G559" s="35"/>
      <c r="H559" s="104"/>
      <c r="I559" s="35"/>
      <c r="J559" s="74"/>
      <c r="K559" s="74"/>
      <c r="L559" s="74"/>
      <c r="M559" s="74"/>
      <c r="N559" s="74"/>
      <c r="O559" s="74"/>
      <c r="P559" s="74"/>
      <c r="Q559" s="74"/>
      <c r="R559" s="74"/>
      <c r="S559" s="74"/>
      <c r="T559" s="74"/>
      <c r="U559" s="74"/>
      <c r="V559" s="74"/>
      <c r="W559" s="74"/>
      <c r="X559" s="74"/>
      <c r="Y559" s="74"/>
      <c r="Z559" s="74"/>
      <c r="AA559" s="74"/>
      <c r="AB559" s="74"/>
    </row>
    <row r="560" spans="1:28" ht="12" customHeight="1">
      <c r="A560" s="763"/>
      <c r="B560" s="104"/>
      <c r="C560" s="104"/>
      <c r="D560" s="260"/>
      <c r="E560" s="104"/>
      <c r="F560" s="104"/>
      <c r="G560" s="35"/>
      <c r="H560" s="104"/>
      <c r="I560" s="35"/>
      <c r="J560" s="74"/>
      <c r="K560" s="74"/>
      <c r="L560" s="74"/>
      <c r="M560" s="74"/>
      <c r="N560" s="74"/>
      <c r="O560" s="74"/>
      <c r="P560" s="74"/>
      <c r="Q560" s="74"/>
      <c r="R560" s="74"/>
      <c r="S560" s="74"/>
      <c r="T560" s="74"/>
      <c r="U560" s="74"/>
      <c r="V560" s="74"/>
      <c r="W560" s="74"/>
      <c r="X560" s="74"/>
      <c r="Y560" s="74"/>
      <c r="Z560" s="74"/>
      <c r="AA560" s="74"/>
      <c r="AB560" s="74"/>
    </row>
    <row r="561" spans="1:28" ht="12" customHeight="1">
      <c r="A561" s="763"/>
      <c r="B561" s="104"/>
      <c r="C561" s="104"/>
      <c r="D561" s="260"/>
      <c r="E561" s="104"/>
      <c r="F561" s="104"/>
      <c r="G561" s="35"/>
      <c r="H561" s="104"/>
      <c r="I561" s="35"/>
      <c r="J561" s="74"/>
      <c r="K561" s="74"/>
      <c r="L561" s="74"/>
      <c r="M561" s="74"/>
      <c r="N561" s="74"/>
      <c r="O561" s="74"/>
      <c r="P561" s="74"/>
      <c r="Q561" s="74"/>
      <c r="R561" s="74"/>
      <c r="S561" s="74"/>
      <c r="T561" s="74"/>
      <c r="U561" s="74"/>
      <c r="V561" s="74"/>
      <c r="W561" s="74"/>
      <c r="X561" s="74"/>
      <c r="Y561" s="74"/>
      <c r="Z561" s="74"/>
      <c r="AA561" s="74"/>
      <c r="AB561" s="74"/>
    </row>
    <row r="562" spans="1:28" ht="12" customHeight="1">
      <c r="A562" s="763"/>
      <c r="B562" s="104"/>
      <c r="C562" s="104"/>
      <c r="D562" s="260"/>
      <c r="E562" s="104"/>
      <c r="F562" s="104"/>
      <c r="G562" s="35"/>
      <c r="H562" s="104"/>
      <c r="I562" s="35"/>
      <c r="J562" s="74"/>
      <c r="K562" s="74"/>
      <c r="L562" s="74"/>
      <c r="M562" s="74"/>
      <c r="N562" s="74"/>
      <c r="O562" s="74"/>
      <c r="P562" s="74"/>
      <c r="Q562" s="74"/>
      <c r="R562" s="74"/>
      <c r="S562" s="74"/>
      <c r="T562" s="74"/>
      <c r="U562" s="74"/>
      <c r="V562" s="74"/>
      <c r="W562" s="74"/>
      <c r="X562" s="74"/>
      <c r="Y562" s="74"/>
      <c r="Z562" s="74"/>
      <c r="AA562" s="74"/>
      <c r="AB562" s="74"/>
    </row>
    <row r="563" spans="1:28" ht="12" customHeight="1">
      <c r="A563" s="763"/>
      <c r="B563" s="104"/>
      <c r="C563" s="104"/>
      <c r="D563" s="260"/>
      <c r="E563" s="104"/>
      <c r="F563" s="104"/>
      <c r="G563" s="35"/>
      <c r="H563" s="104"/>
      <c r="I563" s="35"/>
      <c r="J563" s="74"/>
      <c r="K563" s="74"/>
      <c r="L563" s="74"/>
      <c r="M563" s="74"/>
      <c r="N563" s="74"/>
      <c r="O563" s="74"/>
      <c r="P563" s="74"/>
      <c r="Q563" s="74"/>
      <c r="R563" s="74"/>
      <c r="S563" s="74"/>
      <c r="T563" s="74"/>
      <c r="U563" s="74"/>
      <c r="V563" s="74"/>
      <c r="W563" s="74"/>
      <c r="X563" s="74"/>
      <c r="Y563" s="74"/>
      <c r="Z563" s="74"/>
      <c r="AA563" s="74"/>
      <c r="AB563" s="74"/>
    </row>
    <row r="564" spans="1:28" ht="12" customHeight="1">
      <c r="A564" s="763"/>
      <c r="B564" s="104"/>
      <c r="C564" s="104"/>
      <c r="D564" s="260"/>
      <c r="E564" s="104"/>
      <c r="F564" s="104"/>
      <c r="G564" s="35"/>
      <c r="H564" s="104"/>
      <c r="I564" s="35"/>
      <c r="J564" s="74"/>
      <c r="K564" s="74"/>
      <c r="L564" s="74"/>
      <c r="M564" s="74"/>
      <c r="N564" s="74"/>
      <c r="O564" s="74"/>
      <c r="P564" s="74"/>
      <c r="Q564" s="74"/>
      <c r="R564" s="74"/>
      <c r="S564" s="74"/>
      <c r="T564" s="74"/>
      <c r="U564" s="74"/>
      <c r="V564" s="74"/>
      <c r="W564" s="74"/>
      <c r="X564" s="74"/>
      <c r="Y564" s="74"/>
      <c r="Z564" s="74"/>
      <c r="AA564" s="74"/>
      <c r="AB564" s="74"/>
    </row>
    <row r="565" spans="1:28" ht="12" customHeight="1">
      <c r="A565" s="763"/>
      <c r="B565" s="104"/>
      <c r="C565" s="104"/>
      <c r="D565" s="260"/>
      <c r="E565" s="104"/>
      <c r="F565" s="104"/>
      <c r="G565" s="35"/>
      <c r="H565" s="104"/>
      <c r="I565" s="35"/>
      <c r="J565" s="74"/>
      <c r="K565" s="74"/>
      <c r="L565" s="74"/>
      <c r="M565" s="74"/>
      <c r="N565" s="74"/>
      <c r="O565" s="74"/>
      <c r="P565" s="74"/>
      <c r="Q565" s="74"/>
      <c r="R565" s="74"/>
      <c r="S565" s="74"/>
      <c r="T565" s="74"/>
      <c r="U565" s="74"/>
      <c r="V565" s="74"/>
      <c r="W565" s="74"/>
      <c r="X565" s="74"/>
      <c r="Y565" s="74"/>
      <c r="Z565" s="74"/>
      <c r="AA565" s="74"/>
      <c r="AB565" s="74"/>
    </row>
    <row r="566" spans="1:28" ht="12" customHeight="1">
      <c r="A566" s="763"/>
      <c r="B566" s="104"/>
      <c r="C566" s="104"/>
      <c r="D566" s="260"/>
      <c r="E566" s="104"/>
      <c r="F566" s="104"/>
      <c r="G566" s="35"/>
      <c r="H566" s="104"/>
      <c r="I566" s="35"/>
      <c r="J566" s="74"/>
      <c r="K566" s="74"/>
      <c r="L566" s="74"/>
      <c r="M566" s="74"/>
      <c r="N566" s="74"/>
      <c r="O566" s="74"/>
      <c r="P566" s="74"/>
      <c r="Q566" s="74"/>
      <c r="R566" s="74"/>
      <c r="S566" s="74"/>
      <c r="T566" s="74"/>
      <c r="U566" s="74"/>
      <c r="V566" s="74"/>
      <c r="W566" s="74"/>
      <c r="X566" s="74"/>
      <c r="Y566" s="74"/>
      <c r="Z566" s="74"/>
      <c r="AA566" s="74"/>
      <c r="AB566" s="74"/>
    </row>
    <row r="567" spans="1:28" ht="12" customHeight="1">
      <c r="A567" s="763"/>
      <c r="B567" s="104"/>
      <c r="C567" s="104"/>
      <c r="D567" s="260"/>
      <c r="E567" s="104"/>
      <c r="F567" s="104"/>
      <c r="G567" s="35"/>
      <c r="H567" s="104"/>
      <c r="I567" s="35"/>
      <c r="J567" s="74"/>
      <c r="K567" s="74"/>
      <c r="L567" s="74"/>
      <c r="M567" s="74"/>
      <c r="N567" s="74"/>
      <c r="O567" s="74"/>
      <c r="P567" s="74"/>
      <c r="Q567" s="74"/>
      <c r="R567" s="74"/>
      <c r="S567" s="74"/>
      <c r="T567" s="74"/>
      <c r="U567" s="74"/>
      <c r="V567" s="74"/>
      <c r="W567" s="74"/>
      <c r="X567" s="74"/>
      <c r="Y567" s="74"/>
      <c r="Z567" s="74"/>
      <c r="AA567" s="74"/>
      <c r="AB567" s="74"/>
    </row>
    <row r="568" spans="1:28" ht="12" customHeight="1">
      <c r="A568" s="763"/>
      <c r="B568" s="104"/>
      <c r="C568" s="104"/>
      <c r="D568" s="260"/>
      <c r="E568" s="104"/>
      <c r="F568" s="104"/>
      <c r="G568" s="35"/>
      <c r="H568" s="104"/>
      <c r="I568" s="35"/>
      <c r="J568" s="74"/>
      <c r="K568" s="74"/>
      <c r="L568" s="74"/>
      <c r="M568" s="74"/>
      <c r="N568" s="74"/>
      <c r="O568" s="74"/>
      <c r="P568" s="74"/>
      <c r="Q568" s="74"/>
      <c r="R568" s="74"/>
      <c r="S568" s="74"/>
      <c r="T568" s="74"/>
      <c r="U568" s="74"/>
      <c r="V568" s="74"/>
      <c r="W568" s="74"/>
      <c r="X568" s="74"/>
      <c r="Y568" s="74"/>
      <c r="Z568" s="74"/>
      <c r="AA568" s="74"/>
      <c r="AB568" s="74"/>
    </row>
    <row r="569" spans="1:28" ht="12" customHeight="1">
      <c r="A569" s="763"/>
      <c r="B569" s="104"/>
      <c r="C569" s="104"/>
      <c r="D569" s="260"/>
      <c r="E569" s="104"/>
      <c r="F569" s="104"/>
      <c r="G569" s="35"/>
      <c r="H569" s="104"/>
      <c r="I569" s="35"/>
      <c r="J569" s="74"/>
      <c r="K569" s="74"/>
      <c r="L569" s="74"/>
      <c r="M569" s="74"/>
      <c r="N569" s="74"/>
      <c r="O569" s="74"/>
      <c r="P569" s="74"/>
      <c r="Q569" s="74"/>
      <c r="R569" s="74"/>
      <c r="S569" s="74"/>
      <c r="T569" s="74"/>
      <c r="U569" s="74"/>
      <c r="V569" s="74"/>
      <c r="W569" s="74"/>
      <c r="X569" s="74"/>
      <c r="Y569" s="74"/>
      <c r="Z569" s="74"/>
      <c r="AA569" s="74"/>
      <c r="AB569" s="74"/>
    </row>
    <row r="570" spans="1:28" ht="12" customHeight="1">
      <c r="A570" s="763"/>
      <c r="B570" s="104"/>
      <c r="C570" s="104"/>
      <c r="D570" s="260"/>
      <c r="E570" s="104"/>
      <c r="F570" s="104"/>
      <c r="G570" s="35"/>
      <c r="H570" s="104"/>
      <c r="I570" s="35"/>
      <c r="J570" s="74"/>
      <c r="K570" s="74"/>
      <c r="L570" s="74"/>
      <c r="M570" s="74"/>
      <c r="N570" s="74"/>
      <c r="O570" s="74"/>
      <c r="P570" s="74"/>
      <c r="Q570" s="74"/>
      <c r="R570" s="74"/>
      <c r="S570" s="74"/>
      <c r="T570" s="74"/>
      <c r="U570" s="74"/>
      <c r="V570" s="74"/>
      <c r="W570" s="74"/>
      <c r="X570" s="74"/>
      <c r="Y570" s="74"/>
      <c r="Z570" s="74"/>
      <c r="AA570" s="74"/>
      <c r="AB570" s="74"/>
    </row>
    <row r="571" spans="1:28" ht="12" customHeight="1">
      <c r="A571" s="763"/>
      <c r="B571" s="104"/>
      <c r="C571" s="104"/>
      <c r="D571" s="260"/>
      <c r="E571" s="104"/>
      <c r="F571" s="104"/>
      <c r="G571" s="35"/>
      <c r="H571" s="104"/>
      <c r="I571" s="35"/>
      <c r="J571" s="74"/>
      <c r="K571" s="74"/>
      <c r="L571" s="74"/>
      <c r="M571" s="74"/>
      <c r="N571" s="74"/>
      <c r="O571" s="74"/>
      <c r="P571" s="74"/>
      <c r="Q571" s="74"/>
      <c r="R571" s="74"/>
      <c r="S571" s="74"/>
      <c r="T571" s="74"/>
      <c r="U571" s="74"/>
      <c r="V571" s="74"/>
      <c r="W571" s="74"/>
      <c r="X571" s="74"/>
      <c r="Y571" s="74"/>
      <c r="Z571" s="74"/>
      <c r="AA571" s="74"/>
      <c r="AB571" s="74"/>
    </row>
    <row r="572" spans="1:28" ht="12" customHeight="1">
      <c r="A572" s="763"/>
      <c r="B572" s="104"/>
      <c r="C572" s="104"/>
      <c r="D572" s="260"/>
      <c r="E572" s="104"/>
      <c r="F572" s="104"/>
      <c r="G572" s="35"/>
      <c r="H572" s="104"/>
      <c r="I572" s="35"/>
      <c r="J572" s="74"/>
      <c r="K572" s="74"/>
      <c r="L572" s="74"/>
      <c r="M572" s="74"/>
      <c r="N572" s="74"/>
      <c r="O572" s="74"/>
      <c r="P572" s="74"/>
      <c r="Q572" s="74"/>
      <c r="R572" s="74"/>
      <c r="S572" s="74"/>
      <c r="T572" s="74"/>
      <c r="U572" s="74"/>
      <c r="V572" s="74"/>
      <c r="W572" s="74"/>
      <c r="X572" s="74"/>
      <c r="Y572" s="74"/>
      <c r="Z572" s="74"/>
      <c r="AA572" s="74"/>
      <c r="AB572" s="74"/>
    </row>
    <row r="573" spans="1:28" ht="12" customHeight="1">
      <c r="A573" s="763"/>
      <c r="B573" s="104"/>
      <c r="C573" s="104"/>
      <c r="D573" s="260"/>
      <c r="E573" s="104"/>
      <c r="F573" s="104"/>
      <c r="G573" s="35"/>
      <c r="H573" s="104"/>
      <c r="I573" s="35"/>
      <c r="J573" s="74"/>
      <c r="K573" s="74"/>
      <c r="L573" s="74"/>
      <c r="M573" s="74"/>
      <c r="N573" s="74"/>
      <c r="O573" s="74"/>
      <c r="P573" s="74"/>
      <c r="Q573" s="74"/>
      <c r="R573" s="74"/>
      <c r="S573" s="74"/>
      <c r="T573" s="74"/>
      <c r="U573" s="74"/>
      <c r="V573" s="74"/>
      <c r="W573" s="74"/>
      <c r="X573" s="74"/>
      <c r="Y573" s="74"/>
      <c r="Z573" s="74"/>
      <c r="AA573" s="74"/>
      <c r="AB573" s="74"/>
    </row>
    <row r="574" spans="1:28" ht="12" customHeight="1">
      <c r="A574" s="763"/>
      <c r="B574" s="104"/>
      <c r="C574" s="104"/>
      <c r="D574" s="260"/>
      <c r="E574" s="104"/>
      <c r="F574" s="104"/>
      <c r="G574" s="35"/>
      <c r="H574" s="104"/>
      <c r="I574" s="35"/>
      <c r="J574" s="74"/>
      <c r="K574" s="74"/>
      <c r="L574" s="74"/>
      <c r="M574" s="74"/>
      <c r="N574" s="74"/>
      <c r="O574" s="74"/>
      <c r="P574" s="74"/>
      <c r="Q574" s="74"/>
      <c r="R574" s="74"/>
      <c r="S574" s="74"/>
      <c r="T574" s="74"/>
      <c r="U574" s="74"/>
      <c r="V574" s="74"/>
      <c r="W574" s="74"/>
      <c r="X574" s="74"/>
      <c r="Y574" s="74"/>
      <c r="Z574" s="74"/>
      <c r="AA574" s="74"/>
      <c r="AB574" s="74"/>
    </row>
    <row r="575" spans="1:28" ht="12" customHeight="1">
      <c r="A575" s="763"/>
      <c r="B575" s="104"/>
      <c r="C575" s="104"/>
      <c r="D575" s="260"/>
      <c r="E575" s="104"/>
      <c r="F575" s="104"/>
      <c r="G575" s="35"/>
      <c r="H575" s="104"/>
      <c r="I575" s="35"/>
      <c r="J575" s="74"/>
      <c r="K575" s="74"/>
      <c r="L575" s="74"/>
      <c r="M575" s="74"/>
      <c r="N575" s="74"/>
      <c r="O575" s="74"/>
      <c r="P575" s="74"/>
      <c r="Q575" s="74"/>
      <c r="R575" s="74"/>
      <c r="S575" s="74"/>
      <c r="T575" s="74"/>
      <c r="U575" s="74"/>
      <c r="V575" s="74"/>
      <c r="W575" s="74"/>
      <c r="X575" s="74"/>
      <c r="Y575" s="74"/>
      <c r="Z575" s="74"/>
      <c r="AA575" s="74"/>
      <c r="AB575" s="74"/>
    </row>
    <row r="576" spans="1:28" ht="12" customHeight="1">
      <c r="A576" s="763"/>
      <c r="B576" s="104"/>
      <c r="C576" s="104"/>
      <c r="D576" s="260"/>
      <c r="E576" s="104"/>
      <c r="F576" s="104"/>
      <c r="G576" s="35"/>
      <c r="H576" s="104"/>
      <c r="I576" s="35"/>
      <c r="J576" s="74"/>
      <c r="K576" s="74"/>
      <c r="L576" s="74"/>
      <c r="M576" s="74"/>
      <c r="N576" s="74"/>
      <c r="O576" s="74"/>
      <c r="P576" s="74"/>
      <c r="Q576" s="74"/>
      <c r="R576" s="74"/>
      <c r="S576" s="74"/>
      <c r="T576" s="74"/>
      <c r="U576" s="74"/>
      <c r="V576" s="74"/>
      <c r="W576" s="74"/>
      <c r="X576" s="74"/>
      <c r="Y576" s="74"/>
      <c r="Z576" s="74"/>
      <c r="AA576" s="74"/>
      <c r="AB576" s="74"/>
    </row>
    <row r="577" spans="1:28" ht="12" customHeight="1">
      <c r="A577" s="763"/>
      <c r="B577" s="104"/>
      <c r="C577" s="104"/>
      <c r="D577" s="260"/>
      <c r="E577" s="104"/>
      <c r="F577" s="104"/>
      <c r="G577" s="35"/>
      <c r="H577" s="104"/>
      <c r="I577" s="35"/>
      <c r="J577" s="74"/>
      <c r="K577" s="74"/>
      <c r="L577" s="74"/>
      <c r="M577" s="74"/>
      <c r="N577" s="74"/>
      <c r="O577" s="74"/>
      <c r="P577" s="74"/>
      <c r="Q577" s="74"/>
      <c r="R577" s="74"/>
      <c r="S577" s="74"/>
      <c r="T577" s="74"/>
      <c r="U577" s="74"/>
      <c r="V577" s="74"/>
      <c r="W577" s="74"/>
      <c r="X577" s="74"/>
      <c r="Y577" s="74"/>
      <c r="Z577" s="74"/>
      <c r="AA577" s="74"/>
      <c r="AB577" s="74"/>
    </row>
    <row r="578" spans="1:28" ht="12" customHeight="1">
      <c r="A578" s="763"/>
      <c r="B578" s="104"/>
      <c r="C578" s="104"/>
      <c r="D578" s="260"/>
      <c r="E578" s="104"/>
      <c r="F578" s="104"/>
      <c r="G578" s="35"/>
      <c r="H578" s="104"/>
      <c r="I578" s="35"/>
      <c r="J578" s="74"/>
      <c r="K578" s="74"/>
      <c r="L578" s="74"/>
      <c r="M578" s="74"/>
      <c r="N578" s="74"/>
      <c r="O578" s="74"/>
      <c r="P578" s="74"/>
      <c r="Q578" s="74"/>
      <c r="R578" s="74"/>
      <c r="S578" s="74"/>
      <c r="T578" s="74"/>
      <c r="U578" s="74"/>
      <c r="V578" s="74"/>
      <c r="W578" s="74"/>
      <c r="X578" s="74"/>
      <c r="Y578" s="74"/>
      <c r="Z578" s="74"/>
      <c r="AA578" s="74"/>
      <c r="AB578" s="74"/>
    </row>
    <row r="579" spans="1:28" ht="12" customHeight="1">
      <c r="A579" s="763"/>
      <c r="B579" s="104"/>
      <c r="C579" s="104"/>
      <c r="D579" s="260"/>
      <c r="E579" s="104"/>
      <c r="F579" s="104"/>
      <c r="G579" s="35"/>
      <c r="H579" s="104"/>
      <c r="I579" s="35"/>
      <c r="J579" s="74"/>
      <c r="K579" s="74"/>
      <c r="L579" s="74"/>
      <c r="M579" s="74"/>
      <c r="N579" s="74"/>
      <c r="O579" s="74"/>
      <c r="P579" s="74"/>
      <c r="Q579" s="74"/>
      <c r="R579" s="74"/>
      <c r="S579" s="74"/>
      <c r="T579" s="74"/>
      <c r="U579" s="74"/>
      <c r="V579" s="74"/>
      <c r="W579" s="74"/>
      <c r="X579" s="74"/>
      <c r="Y579" s="74"/>
      <c r="Z579" s="74"/>
      <c r="AA579" s="74"/>
      <c r="AB579" s="74"/>
    </row>
    <row r="580" spans="1:28" ht="12" customHeight="1">
      <c r="A580" s="763"/>
      <c r="B580" s="104"/>
      <c r="C580" s="104"/>
      <c r="D580" s="260"/>
      <c r="E580" s="104"/>
      <c r="F580" s="104"/>
      <c r="G580" s="35"/>
      <c r="H580" s="104"/>
      <c r="I580" s="35"/>
      <c r="J580" s="74"/>
      <c r="K580" s="74"/>
      <c r="L580" s="74"/>
      <c r="M580" s="74"/>
      <c r="N580" s="74"/>
      <c r="O580" s="74"/>
      <c r="P580" s="74"/>
      <c r="Q580" s="74"/>
      <c r="R580" s="74"/>
      <c r="S580" s="74"/>
      <c r="T580" s="74"/>
      <c r="U580" s="74"/>
      <c r="V580" s="74"/>
      <c r="W580" s="74"/>
      <c r="X580" s="74"/>
      <c r="Y580" s="74"/>
      <c r="Z580" s="74"/>
      <c r="AA580" s="74"/>
      <c r="AB580" s="74"/>
    </row>
    <row r="581" spans="1:28" ht="12" customHeight="1">
      <c r="A581" s="763"/>
      <c r="B581" s="104"/>
      <c r="C581" s="104"/>
      <c r="D581" s="260"/>
      <c r="E581" s="104"/>
      <c r="F581" s="104"/>
      <c r="G581" s="35"/>
      <c r="H581" s="104"/>
      <c r="I581" s="35"/>
      <c r="J581" s="74"/>
      <c r="K581" s="74"/>
      <c r="L581" s="74"/>
      <c r="M581" s="74"/>
      <c r="N581" s="74"/>
      <c r="O581" s="74"/>
      <c r="P581" s="74"/>
      <c r="Q581" s="74"/>
      <c r="R581" s="74"/>
      <c r="S581" s="74"/>
      <c r="T581" s="74"/>
      <c r="U581" s="74"/>
      <c r="V581" s="74"/>
      <c r="W581" s="74"/>
      <c r="X581" s="74"/>
      <c r="Y581" s="74"/>
      <c r="Z581" s="74"/>
      <c r="AA581" s="74"/>
      <c r="AB581" s="74"/>
    </row>
    <row r="582" spans="1:28" ht="12" customHeight="1">
      <c r="A582" s="763"/>
      <c r="B582" s="104"/>
      <c r="C582" s="104"/>
      <c r="D582" s="260"/>
      <c r="E582" s="104"/>
      <c r="F582" s="104"/>
      <c r="G582" s="35"/>
      <c r="H582" s="104"/>
      <c r="I582" s="35"/>
      <c r="J582" s="74"/>
      <c r="K582" s="74"/>
      <c r="L582" s="74"/>
      <c r="M582" s="74"/>
      <c r="N582" s="74"/>
      <c r="O582" s="74"/>
      <c r="P582" s="74"/>
      <c r="Q582" s="74"/>
      <c r="R582" s="74"/>
      <c r="S582" s="74"/>
      <c r="T582" s="74"/>
      <c r="U582" s="74"/>
      <c r="V582" s="74"/>
      <c r="W582" s="74"/>
      <c r="X582" s="74"/>
      <c r="Y582" s="74"/>
      <c r="Z582" s="74"/>
      <c r="AA582" s="74"/>
      <c r="AB582" s="74"/>
    </row>
    <row r="583" spans="1:28" ht="12" customHeight="1">
      <c r="A583" s="763"/>
      <c r="B583" s="104"/>
      <c r="C583" s="104"/>
      <c r="D583" s="260"/>
      <c r="E583" s="104"/>
      <c r="F583" s="104"/>
      <c r="G583" s="35"/>
      <c r="H583" s="104"/>
      <c r="I583" s="35"/>
      <c r="J583" s="74"/>
      <c r="K583" s="74"/>
      <c r="L583" s="74"/>
      <c r="M583" s="74"/>
      <c r="N583" s="74"/>
      <c r="O583" s="74"/>
      <c r="P583" s="74"/>
      <c r="Q583" s="74"/>
      <c r="R583" s="74"/>
      <c r="S583" s="74"/>
      <c r="T583" s="74"/>
      <c r="U583" s="74"/>
      <c r="V583" s="74"/>
      <c r="W583" s="74"/>
      <c r="X583" s="74"/>
      <c r="Y583" s="74"/>
      <c r="Z583" s="74"/>
      <c r="AA583" s="74"/>
      <c r="AB583" s="74"/>
    </row>
    <row r="584" spans="1:28" ht="12" customHeight="1">
      <c r="A584" s="763"/>
      <c r="B584" s="104"/>
      <c r="C584" s="104"/>
      <c r="D584" s="260"/>
      <c r="E584" s="104"/>
      <c r="F584" s="104"/>
      <c r="G584" s="35"/>
      <c r="H584" s="104"/>
      <c r="I584" s="35"/>
      <c r="J584" s="74"/>
      <c r="K584" s="74"/>
      <c r="L584" s="74"/>
      <c r="M584" s="74"/>
      <c r="N584" s="74"/>
      <c r="O584" s="74"/>
      <c r="P584" s="74"/>
      <c r="Q584" s="74"/>
      <c r="R584" s="74"/>
      <c r="S584" s="74"/>
      <c r="T584" s="74"/>
      <c r="U584" s="74"/>
      <c r="V584" s="74"/>
      <c r="W584" s="74"/>
      <c r="X584" s="74"/>
      <c r="Y584" s="74"/>
      <c r="Z584" s="74"/>
      <c r="AA584" s="74"/>
      <c r="AB584" s="74"/>
    </row>
    <row r="585" spans="1:28" ht="12" customHeight="1">
      <c r="A585" s="763"/>
      <c r="B585" s="104"/>
      <c r="C585" s="104"/>
      <c r="D585" s="260"/>
      <c r="E585" s="104"/>
      <c r="F585" s="104"/>
      <c r="G585" s="35"/>
      <c r="H585" s="104"/>
      <c r="I585" s="35"/>
      <c r="J585" s="74"/>
      <c r="K585" s="74"/>
      <c r="L585" s="74"/>
      <c r="M585" s="74"/>
      <c r="N585" s="74"/>
      <c r="O585" s="74"/>
      <c r="P585" s="74"/>
      <c r="Q585" s="74"/>
      <c r="R585" s="74"/>
      <c r="S585" s="74"/>
      <c r="T585" s="74"/>
      <c r="U585" s="74"/>
      <c r="V585" s="74"/>
      <c r="W585" s="74"/>
      <c r="X585" s="74"/>
      <c r="Y585" s="74"/>
      <c r="Z585" s="74"/>
      <c r="AA585" s="74"/>
      <c r="AB585" s="74"/>
    </row>
    <row r="586" spans="1:28" ht="12" customHeight="1">
      <c r="A586" s="763"/>
      <c r="B586" s="104"/>
      <c r="C586" s="104"/>
      <c r="D586" s="260"/>
      <c r="E586" s="104"/>
      <c r="F586" s="104"/>
      <c r="G586" s="35"/>
      <c r="H586" s="104"/>
      <c r="I586" s="35"/>
      <c r="J586" s="74"/>
      <c r="K586" s="74"/>
      <c r="L586" s="74"/>
      <c r="M586" s="74"/>
      <c r="N586" s="74"/>
      <c r="O586" s="74"/>
      <c r="P586" s="74"/>
      <c r="Q586" s="74"/>
      <c r="R586" s="74"/>
      <c r="S586" s="74"/>
      <c r="T586" s="74"/>
      <c r="U586" s="74"/>
      <c r="V586" s="74"/>
      <c r="W586" s="74"/>
      <c r="X586" s="74"/>
      <c r="Y586" s="74"/>
      <c r="Z586" s="74"/>
      <c r="AA586" s="74"/>
      <c r="AB586" s="74"/>
    </row>
    <row r="587" spans="1:28" ht="12" customHeight="1">
      <c r="A587" s="763"/>
      <c r="B587" s="104"/>
      <c r="C587" s="104"/>
      <c r="D587" s="260"/>
      <c r="E587" s="104"/>
      <c r="F587" s="104"/>
      <c r="G587" s="35"/>
      <c r="H587" s="104"/>
      <c r="I587" s="35"/>
      <c r="J587" s="74"/>
      <c r="K587" s="74"/>
      <c r="L587" s="74"/>
      <c r="M587" s="74"/>
      <c r="N587" s="74"/>
      <c r="O587" s="74"/>
      <c r="P587" s="74"/>
      <c r="Q587" s="74"/>
      <c r="R587" s="74"/>
      <c r="S587" s="74"/>
      <c r="T587" s="74"/>
      <c r="U587" s="74"/>
      <c r="V587" s="74"/>
      <c r="W587" s="74"/>
      <c r="X587" s="74"/>
      <c r="Y587" s="74"/>
      <c r="Z587" s="74"/>
      <c r="AA587" s="74"/>
      <c r="AB587" s="74"/>
    </row>
    <row r="588" spans="1:28" ht="12" customHeight="1">
      <c r="A588" s="763"/>
      <c r="B588" s="104"/>
      <c r="C588" s="104"/>
      <c r="D588" s="260"/>
      <c r="E588" s="104"/>
      <c r="F588" s="104"/>
      <c r="G588" s="35"/>
      <c r="H588" s="104"/>
      <c r="I588" s="35"/>
      <c r="J588" s="74"/>
      <c r="K588" s="74"/>
      <c r="L588" s="74"/>
      <c r="M588" s="74"/>
      <c r="N588" s="74"/>
      <c r="O588" s="74"/>
      <c r="P588" s="74"/>
      <c r="Q588" s="74"/>
      <c r="R588" s="74"/>
      <c r="S588" s="74"/>
      <c r="T588" s="74"/>
      <c r="U588" s="74"/>
      <c r="V588" s="74"/>
      <c r="W588" s="74"/>
      <c r="X588" s="74"/>
      <c r="Y588" s="74"/>
      <c r="Z588" s="74"/>
      <c r="AA588" s="74"/>
      <c r="AB588" s="74"/>
    </row>
    <row r="589" spans="1:28" ht="12" customHeight="1">
      <c r="A589" s="763"/>
      <c r="B589" s="104"/>
      <c r="C589" s="104"/>
      <c r="D589" s="260"/>
      <c r="E589" s="104"/>
      <c r="F589" s="104"/>
      <c r="G589" s="35"/>
      <c r="H589" s="104"/>
      <c r="I589" s="35"/>
      <c r="J589" s="74"/>
      <c r="K589" s="74"/>
      <c r="L589" s="74"/>
      <c r="M589" s="74"/>
      <c r="N589" s="74"/>
      <c r="O589" s="74"/>
      <c r="P589" s="74"/>
      <c r="Q589" s="74"/>
      <c r="R589" s="74"/>
      <c r="S589" s="74"/>
      <c r="T589" s="74"/>
      <c r="U589" s="74"/>
      <c r="V589" s="74"/>
      <c r="W589" s="74"/>
      <c r="X589" s="74"/>
      <c r="Y589" s="74"/>
      <c r="Z589" s="74"/>
      <c r="AA589" s="74"/>
      <c r="AB589" s="74"/>
    </row>
    <row r="590" spans="1:28" ht="12" customHeight="1">
      <c r="A590" s="763"/>
      <c r="B590" s="104"/>
      <c r="C590" s="104"/>
      <c r="D590" s="260"/>
      <c r="E590" s="104"/>
      <c r="F590" s="104"/>
      <c r="G590" s="35"/>
      <c r="H590" s="104"/>
      <c r="I590" s="35"/>
      <c r="J590" s="74"/>
      <c r="K590" s="74"/>
      <c r="L590" s="74"/>
      <c r="M590" s="74"/>
      <c r="N590" s="74"/>
      <c r="O590" s="74"/>
      <c r="P590" s="74"/>
      <c r="Q590" s="74"/>
      <c r="R590" s="74"/>
      <c r="S590" s="74"/>
      <c r="T590" s="74"/>
      <c r="U590" s="74"/>
      <c r="V590" s="74"/>
      <c r="W590" s="74"/>
      <c r="X590" s="74"/>
      <c r="Y590" s="74"/>
      <c r="Z590" s="74"/>
      <c r="AA590" s="74"/>
      <c r="AB590" s="74"/>
    </row>
    <row r="591" spans="1:28" ht="12" customHeight="1">
      <c r="A591" s="763"/>
      <c r="B591" s="104"/>
      <c r="C591" s="104"/>
      <c r="D591" s="260"/>
      <c r="E591" s="104"/>
      <c r="F591" s="104"/>
      <c r="G591" s="35"/>
      <c r="H591" s="104"/>
      <c r="I591" s="35"/>
      <c r="J591" s="74"/>
      <c r="K591" s="74"/>
      <c r="L591" s="74"/>
      <c r="M591" s="74"/>
      <c r="N591" s="74"/>
      <c r="O591" s="74"/>
      <c r="P591" s="74"/>
      <c r="Q591" s="74"/>
      <c r="R591" s="74"/>
      <c r="S591" s="74"/>
      <c r="T591" s="74"/>
      <c r="U591" s="74"/>
      <c r="V591" s="74"/>
      <c r="W591" s="74"/>
      <c r="X591" s="74"/>
      <c r="Y591" s="74"/>
      <c r="Z591" s="74"/>
      <c r="AA591" s="74"/>
      <c r="AB591" s="74"/>
    </row>
    <row r="592" spans="1:28" ht="12" customHeight="1">
      <c r="A592" s="763"/>
      <c r="B592" s="104"/>
      <c r="C592" s="104"/>
      <c r="D592" s="260"/>
      <c r="E592" s="104"/>
      <c r="F592" s="104"/>
      <c r="G592" s="35"/>
      <c r="H592" s="104"/>
      <c r="I592" s="35"/>
      <c r="J592" s="74"/>
      <c r="K592" s="74"/>
      <c r="L592" s="74"/>
      <c r="M592" s="74"/>
      <c r="N592" s="74"/>
      <c r="O592" s="74"/>
      <c r="P592" s="74"/>
      <c r="Q592" s="74"/>
      <c r="R592" s="74"/>
      <c r="S592" s="74"/>
      <c r="T592" s="74"/>
      <c r="U592" s="74"/>
      <c r="V592" s="74"/>
      <c r="W592" s="74"/>
      <c r="X592" s="74"/>
      <c r="Y592" s="74"/>
      <c r="Z592" s="74"/>
      <c r="AA592" s="74"/>
      <c r="AB592" s="74"/>
    </row>
    <row r="593" spans="1:28" ht="12" customHeight="1">
      <c r="A593" s="763"/>
      <c r="B593" s="104"/>
      <c r="C593" s="104"/>
      <c r="D593" s="260"/>
      <c r="E593" s="104"/>
      <c r="F593" s="104"/>
      <c r="G593" s="35"/>
      <c r="H593" s="104"/>
      <c r="I593" s="35"/>
      <c r="J593" s="74"/>
      <c r="K593" s="74"/>
      <c r="L593" s="74"/>
      <c r="M593" s="74"/>
      <c r="N593" s="74"/>
      <c r="O593" s="74"/>
      <c r="P593" s="74"/>
      <c r="Q593" s="74"/>
      <c r="R593" s="74"/>
      <c r="S593" s="74"/>
      <c r="T593" s="74"/>
      <c r="U593" s="74"/>
      <c r="V593" s="74"/>
      <c r="W593" s="74"/>
      <c r="X593" s="74"/>
      <c r="Y593" s="74"/>
      <c r="Z593" s="74"/>
      <c r="AA593" s="74"/>
      <c r="AB593" s="74"/>
    </row>
    <row r="594" spans="1:28" ht="12" customHeight="1">
      <c r="A594" s="763"/>
      <c r="B594" s="104"/>
      <c r="C594" s="104"/>
      <c r="D594" s="260"/>
      <c r="E594" s="104"/>
      <c r="F594" s="104"/>
      <c r="G594" s="35"/>
      <c r="H594" s="104"/>
      <c r="I594" s="35"/>
      <c r="J594" s="74"/>
      <c r="K594" s="74"/>
      <c r="L594" s="74"/>
      <c r="M594" s="74"/>
      <c r="N594" s="74"/>
      <c r="O594" s="74"/>
      <c r="P594" s="74"/>
      <c r="Q594" s="74"/>
      <c r="R594" s="74"/>
      <c r="S594" s="74"/>
      <c r="T594" s="74"/>
      <c r="U594" s="74"/>
      <c r="V594" s="74"/>
      <c r="W594" s="74"/>
      <c r="X594" s="74"/>
      <c r="Y594" s="74"/>
      <c r="Z594" s="74"/>
      <c r="AA594" s="74"/>
      <c r="AB594" s="74"/>
    </row>
    <row r="595" spans="1:28" ht="12" customHeight="1">
      <c r="A595" s="763"/>
      <c r="B595" s="104"/>
      <c r="C595" s="104"/>
      <c r="D595" s="260"/>
      <c r="E595" s="104"/>
      <c r="F595" s="104"/>
      <c r="G595" s="35"/>
      <c r="H595" s="104"/>
      <c r="I595" s="35"/>
      <c r="J595" s="74"/>
      <c r="K595" s="74"/>
      <c r="L595" s="74"/>
      <c r="M595" s="74"/>
      <c r="N595" s="74"/>
      <c r="O595" s="74"/>
      <c r="P595" s="74"/>
      <c r="Q595" s="74"/>
      <c r="R595" s="74"/>
      <c r="S595" s="74"/>
      <c r="T595" s="74"/>
      <c r="U595" s="74"/>
      <c r="V595" s="74"/>
      <c r="W595" s="74"/>
      <c r="X595" s="74"/>
      <c r="Y595" s="74"/>
      <c r="Z595" s="74"/>
      <c r="AA595" s="74"/>
      <c r="AB595" s="74"/>
    </row>
    <row r="596" spans="1:28" ht="12" customHeight="1">
      <c r="A596" s="763"/>
      <c r="B596" s="104"/>
      <c r="C596" s="104"/>
      <c r="D596" s="260"/>
      <c r="E596" s="104"/>
      <c r="F596" s="104"/>
      <c r="G596" s="35"/>
      <c r="H596" s="104"/>
      <c r="I596" s="35"/>
      <c r="J596" s="74"/>
      <c r="K596" s="74"/>
      <c r="L596" s="74"/>
      <c r="M596" s="74"/>
      <c r="N596" s="74"/>
      <c r="O596" s="74"/>
      <c r="P596" s="74"/>
      <c r="Q596" s="74"/>
      <c r="R596" s="74"/>
      <c r="S596" s="74"/>
      <c r="T596" s="74"/>
      <c r="U596" s="74"/>
      <c r="V596" s="74"/>
      <c r="W596" s="74"/>
      <c r="X596" s="74"/>
      <c r="Y596" s="74"/>
      <c r="Z596" s="74"/>
      <c r="AA596" s="74"/>
      <c r="AB596" s="74"/>
    </row>
    <row r="597" spans="1:28" ht="12" customHeight="1">
      <c r="A597" s="763"/>
      <c r="B597" s="104"/>
      <c r="C597" s="104"/>
      <c r="D597" s="260"/>
      <c r="E597" s="104"/>
      <c r="F597" s="104"/>
      <c r="G597" s="35"/>
      <c r="H597" s="104"/>
      <c r="I597" s="35"/>
      <c r="J597" s="74"/>
      <c r="K597" s="74"/>
      <c r="L597" s="74"/>
      <c r="M597" s="74"/>
      <c r="N597" s="74"/>
      <c r="O597" s="74"/>
      <c r="P597" s="74"/>
      <c r="Q597" s="74"/>
      <c r="R597" s="74"/>
      <c r="S597" s="74"/>
      <c r="T597" s="74"/>
      <c r="U597" s="74"/>
      <c r="V597" s="74"/>
      <c r="W597" s="74"/>
      <c r="X597" s="74"/>
      <c r="Y597" s="74"/>
      <c r="Z597" s="74"/>
      <c r="AA597" s="74"/>
      <c r="AB597" s="74"/>
    </row>
    <row r="598" spans="1:28" ht="12" customHeight="1">
      <c r="A598" s="763"/>
      <c r="B598" s="104"/>
      <c r="C598" s="104"/>
      <c r="D598" s="260"/>
      <c r="E598" s="104"/>
      <c r="F598" s="104"/>
      <c r="G598" s="35"/>
      <c r="H598" s="104"/>
      <c r="I598" s="35"/>
      <c r="J598" s="74"/>
      <c r="K598" s="74"/>
      <c r="L598" s="74"/>
      <c r="M598" s="74"/>
      <c r="N598" s="74"/>
      <c r="O598" s="74"/>
      <c r="P598" s="74"/>
      <c r="Q598" s="74"/>
      <c r="R598" s="74"/>
      <c r="S598" s="74"/>
      <c r="T598" s="74"/>
      <c r="U598" s="74"/>
      <c r="V598" s="74"/>
      <c r="W598" s="74"/>
      <c r="X598" s="74"/>
      <c r="Y598" s="74"/>
      <c r="Z598" s="74"/>
      <c r="AA598" s="74"/>
      <c r="AB598" s="74"/>
    </row>
    <row r="599" spans="1:28" ht="12" customHeight="1">
      <c r="A599" s="763"/>
      <c r="B599" s="104"/>
      <c r="C599" s="104"/>
      <c r="D599" s="260"/>
      <c r="E599" s="104"/>
      <c r="F599" s="104"/>
      <c r="G599" s="35"/>
      <c r="H599" s="104"/>
      <c r="I599" s="35"/>
      <c r="J599" s="74"/>
      <c r="K599" s="74"/>
      <c r="L599" s="74"/>
      <c r="M599" s="74"/>
      <c r="N599" s="74"/>
      <c r="O599" s="74"/>
      <c r="P599" s="74"/>
      <c r="Q599" s="74"/>
      <c r="R599" s="74"/>
      <c r="S599" s="74"/>
      <c r="T599" s="74"/>
      <c r="U599" s="74"/>
      <c r="V599" s="74"/>
      <c r="W599" s="74"/>
      <c r="X599" s="74"/>
      <c r="Y599" s="74"/>
      <c r="Z599" s="74"/>
      <c r="AA599" s="74"/>
      <c r="AB599" s="74"/>
    </row>
    <row r="600" spans="1:28" ht="12" customHeight="1">
      <c r="A600" s="763"/>
      <c r="B600" s="104"/>
      <c r="C600" s="104"/>
      <c r="D600" s="260"/>
      <c r="E600" s="104"/>
      <c r="F600" s="104"/>
      <c r="G600" s="35"/>
      <c r="H600" s="104"/>
      <c r="I600" s="35"/>
      <c r="J600" s="74"/>
      <c r="K600" s="74"/>
      <c r="L600" s="74"/>
      <c r="M600" s="74"/>
      <c r="N600" s="74"/>
      <c r="O600" s="74"/>
      <c r="P600" s="74"/>
      <c r="Q600" s="74"/>
      <c r="R600" s="74"/>
      <c r="S600" s="74"/>
      <c r="T600" s="74"/>
      <c r="U600" s="74"/>
      <c r="V600" s="74"/>
      <c r="W600" s="74"/>
      <c r="X600" s="74"/>
      <c r="Y600" s="74"/>
      <c r="Z600" s="74"/>
      <c r="AA600" s="74"/>
      <c r="AB600" s="74"/>
    </row>
    <row r="601" spans="1:28" ht="12" customHeight="1">
      <c r="A601" s="763"/>
      <c r="B601" s="104"/>
      <c r="C601" s="104"/>
      <c r="D601" s="260"/>
      <c r="E601" s="104"/>
      <c r="F601" s="104"/>
      <c r="G601" s="35"/>
      <c r="H601" s="104"/>
      <c r="I601" s="35"/>
      <c r="J601" s="74"/>
      <c r="K601" s="74"/>
      <c r="L601" s="74"/>
      <c r="M601" s="74"/>
      <c r="N601" s="74"/>
      <c r="O601" s="74"/>
      <c r="P601" s="74"/>
      <c r="Q601" s="74"/>
      <c r="R601" s="74"/>
      <c r="S601" s="74"/>
      <c r="T601" s="74"/>
      <c r="U601" s="74"/>
      <c r="V601" s="74"/>
      <c r="W601" s="74"/>
      <c r="X601" s="74"/>
      <c r="Y601" s="74"/>
      <c r="Z601" s="74"/>
      <c r="AA601" s="74"/>
      <c r="AB601" s="74"/>
    </row>
    <row r="602" spans="1:28" ht="12" customHeight="1">
      <c r="A602" s="763"/>
      <c r="B602" s="104"/>
      <c r="C602" s="104"/>
      <c r="D602" s="260"/>
      <c r="E602" s="104"/>
      <c r="F602" s="104"/>
      <c r="G602" s="35"/>
      <c r="H602" s="104"/>
      <c r="I602" s="35"/>
      <c r="J602" s="74"/>
      <c r="K602" s="74"/>
      <c r="L602" s="74"/>
      <c r="M602" s="74"/>
      <c r="N602" s="74"/>
      <c r="O602" s="74"/>
      <c r="P602" s="74"/>
      <c r="Q602" s="74"/>
      <c r="R602" s="74"/>
      <c r="S602" s="74"/>
      <c r="T602" s="74"/>
      <c r="U602" s="74"/>
      <c r="V602" s="74"/>
      <c r="W602" s="74"/>
      <c r="X602" s="74"/>
      <c r="Y602" s="74"/>
      <c r="Z602" s="74"/>
      <c r="AA602" s="74"/>
      <c r="AB602" s="74"/>
    </row>
    <row r="603" spans="1:28" ht="12" customHeight="1">
      <c r="A603" s="763"/>
      <c r="B603" s="104"/>
      <c r="C603" s="104"/>
      <c r="D603" s="260"/>
      <c r="E603" s="104"/>
      <c r="F603" s="104"/>
      <c r="G603" s="35"/>
      <c r="H603" s="104"/>
      <c r="I603" s="35"/>
      <c r="J603" s="74"/>
      <c r="K603" s="74"/>
      <c r="L603" s="74"/>
      <c r="M603" s="74"/>
      <c r="N603" s="74"/>
      <c r="O603" s="74"/>
      <c r="P603" s="74"/>
      <c r="Q603" s="74"/>
      <c r="R603" s="74"/>
      <c r="S603" s="74"/>
      <c r="T603" s="74"/>
      <c r="U603" s="74"/>
      <c r="V603" s="74"/>
      <c r="W603" s="74"/>
      <c r="X603" s="74"/>
      <c r="Y603" s="74"/>
      <c r="Z603" s="74"/>
      <c r="AA603" s="74"/>
      <c r="AB603" s="74"/>
    </row>
    <row r="604" spans="1:28" ht="12" customHeight="1">
      <c r="A604" s="763"/>
      <c r="B604" s="104"/>
      <c r="C604" s="104"/>
      <c r="D604" s="260"/>
      <c r="E604" s="104"/>
      <c r="F604" s="104"/>
      <c r="G604" s="35"/>
      <c r="H604" s="104"/>
      <c r="I604" s="35"/>
      <c r="J604" s="74"/>
      <c r="K604" s="74"/>
      <c r="L604" s="74"/>
      <c r="M604" s="74"/>
      <c r="N604" s="74"/>
      <c r="O604" s="74"/>
      <c r="P604" s="74"/>
      <c r="Q604" s="74"/>
      <c r="R604" s="74"/>
      <c r="S604" s="74"/>
      <c r="T604" s="74"/>
      <c r="U604" s="74"/>
      <c r="V604" s="74"/>
      <c r="W604" s="74"/>
      <c r="X604" s="74"/>
      <c r="Y604" s="74"/>
      <c r="Z604" s="74"/>
      <c r="AA604" s="74"/>
      <c r="AB604" s="74"/>
    </row>
    <row r="605" spans="1:28" ht="12" customHeight="1">
      <c r="A605" s="763"/>
      <c r="B605" s="104"/>
      <c r="C605" s="104"/>
      <c r="D605" s="260"/>
      <c r="E605" s="104"/>
      <c r="F605" s="104"/>
      <c r="G605" s="35"/>
      <c r="H605" s="104"/>
      <c r="I605" s="35"/>
      <c r="J605" s="74"/>
      <c r="K605" s="74"/>
      <c r="L605" s="74"/>
      <c r="M605" s="74"/>
      <c r="N605" s="74"/>
      <c r="O605" s="74"/>
      <c r="P605" s="74"/>
      <c r="Q605" s="74"/>
      <c r="R605" s="74"/>
      <c r="S605" s="74"/>
      <c r="T605" s="74"/>
      <c r="U605" s="74"/>
      <c r="V605" s="74"/>
      <c r="W605" s="74"/>
      <c r="X605" s="74"/>
      <c r="Y605" s="74"/>
      <c r="Z605" s="74"/>
      <c r="AA605" s="74"/>
      <c r="AB605" s="74"/>
    </row>
    <row r="606" spans="1:28" ht="12" customHeight="1">
      <c r="A606" s="763"/>
      <c r="B606" s="104"/>
      <c r="C606" s="104"/>
      <c r="D606" s="260"/>
      <c r="E606" s="104"/>
      <c r="F606" s="104"/>
      <c r="G606" s="35"/>
      <c r="H606" s="104"/>
      <c r="I606" s="35"/>
      <c r="J606" s="74"/>
      <c r="K606" s="74"/>
      <c r="L606" s="74"/>
      <c r="M606" s="74"/>
      <c r="N606" s="74"/>
      <c r="O606" s="74"/>
      <c r="P606" s="74"/>
      <c r="Q606" s="74"/>
      <c r="R606" s="74"/>
      <c r="S606" s="74"/>
      <c r="T606" s="74"/>
      <c r="U606" s="74"/>
      <c r="V606" s="74"/>
      <c r="W606" s="74"/>
      <c r="X606" s="74"/>
      <c r="Y606" s="74"/>
      <c r="Z606" s="74"/>
      <c r="AA606" s="74"/>
      <c r="AB606" s="74"/>
    </row>
    <row r="607" spans="1:28" ht="12" customHeight="1">
      <c r="A607" s="763"/>
      <c r="B607" s="104"/>
      <c r="C607" s="104"/>
      <c r="D607" s="260"/>
      <c r="E607" s="104"/>
      <c r="F607" s="104"/>
      <c r="G607" s="35"/>
      <c r="H607" s="104"/>
      <c r="I607" s="35"/>
      <c r="J607" s="74"/>
      <c r="K607" s="74"/>
      <c r="L607" s="74"/>
      <c r="M607" s="74"/>
      <c r="N607" s="74"/>
      <c r="O607" s="74"/>
      <c r="P607" s="74"/>
      <c r="Q607" s="74"/>
      <c r="R607" s="74"/>
      <c r="S607" s="74"/>
      <c r="T607" s="74"/>
      <c r="U607" s="74"/>
      <c r="V607" s="74"/>
      <c r="W607" s="74"/>
      <c r="X607" s="74"/>
      <c r="Y607" s="74"/>
      <c r="Z607" s="74"/>
      <c r="AA607" s="74"/>
      <c r="AB607" s="74"/>
    </row>
    <row r="608" spans="1:28" ht="12" customHeight="1">
      <c r="A608" s="763"/>
      <c r="B608" s="104"/>
      <c r="C608" s="104"/>
      <c r="D608" s="260"/>
      <c r="E608" s="104"/>
      <c r="F608" s="104"/>
      <c r="G608" s="35"/>
      <c r="H608" s="104"/>
      <c r="I608" s="35"/>
      <c r="J608" s="74"/>
      <c r="K608" s="74"/>
      <c r="L608" s="74"/>
      <c r="M608" s="74"/>
      <c r="N608" s="74"/>
      <c r="O608" s="74"/>
      <c r="P608" s="74"/>
      <c r="Q608" s="74"/>
      <c r="R608" s="74"/>
      <c r="S608" s="74"/>
      <c r="T608" s="74"/>
      <c r="U608" s="74"/>
      <c r="V608" s="74"/>
      <c r="W608" s="74"/>
      <c r="X608" s="74"/>
      <c r="Y608" s="74"/>
      <c r="Z608" s="74"/>
      <c r="AA608" s="74"/>
      <c r="AB608" s="74"/>
    </row>
    <row r="609" spans="1:28" ht="12" customHeight="1">
      <c r="A609" s="763"/>
      <c r="B609" s="104"/>
      <c r="C609" s="104"/>
      <c r="D609" s="260"/>
      <c r="E609" s="104"/>
      <c r="F609" s="104"/>
      <c r="G609" s="35"/>
      <c r="H609" s="104"/>
      <c r="I609" s="35"/>
      <c r="J609" s="74"/>
      <c r="K609" s="74"/>
      <c r="L609" s="74"/>
      <c r="M609" s="74"/>
      <c r="N609" s="74"/>
      <c r="O609" s="74"/>
      <c r="P609" s="74"/>
      <c r="Q609" s="74"/>
      <c r="R609" s="74"/>
      <c r="S609" s="74"/>
      <c r="T609" s="74"/>
      <c r="U609" s="74"/>
      <c r="V609" s="74"/>
      <c r="W609" s="74"/>
      <c r="X609" s="74"/>
      <c r="Y609" s="74"/>
      <c r="Z609" s="74"/>
      <c r="AA609" s="74"/>
      <c r="AB609" s="74"/>
    </row>
    <row r="610" spans="1:28" ht="12" customHeight="1">
      <c r="A610" s="763"/>
      <c r="B610" s="104"/>
      <c r="C610" s="104"/>
      <c r="D610" s="260"/>
      <c r="E610" s="104"/>
      <c r="F610" s="104"/>
      <c r="G610" s="35"/>
      <c r="H610" s="104"/>
      <c r="I610" s="35"/>
      <c r="J610" s="74"/>
      <c r="K610" s="74"/>
      <c r="L610" s="74"/>
      <c r="M610" s="74"/>
      <c r="N610" s="74"/>
      <c r="O610" s="74"/>
      <c r="P610" s="74"/>
      <c r="Q610" s="74"/>
      <c r="R610" s="74"/>
      <c r="S610" s="74"/>
      <c r="T610" s="74"/>
      <c r="U610" s="74"/>
      <c r="V610" s="74"/>
      <c r="W610" s="74"/>
      <c r="X610" s="74"/>
      <c r="Y610" s="74"/>
      <c r="Z610" s="74"/>
      <c r="AA610" s="74"/>
      <c r="AB610" s="74"/>
    </row>
    <row r="611" spans="1:28" ht="12" customHeight="1">
      <c r="A611" s="763"/>
      <c r="B611" s="104"/>
      <c r="C611" s="104"/>
      <c r="D611" s="260"/>
      <c r="E611" s="104"/>
      <c r="F611" s="104"/>
      <c r="G611" s="35"/>
      <c r="H611" s="104"/>
      <c r="I611" s="35"/>
      <c r="J611" s="74"/>
      <c r="K611" s="74"/>
      <c r="L611" s="74"/>
      <c r="M611" s="74"/>
      <c r="N611" s="74"/>
      <c r="O611" s="74"/>
      <c r="P611" s="74"/>
      <c r="Q611" s="74"/>
      <c r="R611" s="74"/>
      <c r="S611" s="74"/>
      <c r="T611" s="74"/>
      <c r="U611" s="74"/>
      <c r="V611" s="74"/>
      <c r="W611" s="74"/>
      <c r="X611" s="74"/>
      <c r="Y611" s="74"/>
      <c r="Z611" s="74"/>
      <c r="AA611" s="74"/>
      <c r="AB611" s="74"/>
    </row>
    <row r="612" spans="1:28" ht="12" customHeight="1">
      <c r="A612" s="763"/>
      <c r="B612" s="104"/>
      <c r="C612" s="104"/>
      <c r="D612" s="260"/>
      <c r="E612" s="104"/>
      <c r="F612" s="104"/>
      <c r="G612" s="35"/>
      <c r="H612" s="104"/>
      <c r="I612" s="35"/>
      <c r="J612" s="74"/>
      <c r="K612" s="74"/>
      <c r="L612" s="74"/>
      <c r="M612" s="74"/>
      <c r="N612" s="74"/>
      <c r="O612" s="74"/>
      <c r="P612" s="74"/>
      <c r="Q612" s="74"/>
      <c r="R612" s="74"/>
      <c r="S612" s="74"/>
      <c r="T612" s="74"/>
      <c r="U612" s="74"/>
      <c r="V612" s="74"/>
      <c r="W612" s="74"/>
      <c r="X612" s="74"/>
      <c r="Y612" s="74"/>
      <c r="Z612" s="74"/>
      <c r="AA612" s="74"/>
      <c r="AB612" s="74"/>
    </row>
    <row r="613" spans="1:28" ht="12" customHeight="1">
      <c r="A613" s="763"/>
      <c r="B613" s="104"/>
      <c r="C613" s="104"/>
      <c r="D613" s="260"/>
      <c r="E613" s="104"/>
      <c r="F613" s="104"/>
      <c r="G613" s="35"/>
      <c r="H613" s="104"/>
      <c r="I613" s="35"/>
      <c r="J613" s="74"/>
      <c r="K613" s="74"/>
      <c r="L613" s="74"/>
      <c r="M613" s="74"/>
      <c r="N613" s="74"/>
      <c r="O613" s="74"/>
      <c r="P613" s="74"/>
      <c r="Q613" s="74"/>
      <c r="R613" s="74"/>
      <c r="S613" s="74"/>
      <c r="T613" s="74"/>
      <c r="U613" s="74"/>
      <c r="V613" s="74"/>
      <c r="W613" s="74"/>
      <c r="X613" s="74"/>
      <c r="Y613" s="74"/>
      <c r="Z613" s="74"/>
      <c r="AA613" s="74"/>
      <c r="AB613" s="74"/>
    </row>
    <row r="614" spans="1:28" ht="12" customHeight="1">
      <c r="A614" s="763"/>
      <c r="B614" s="104"/>
      <c r="C614" s="104"/>
      <c r="D614" s="260"/>
      <c r="E614" s="104"/>
      <c r="F614" s="104"/>
      <c r="G614" s="35"/>
      <c r="H614" s="104"/>
      <c r="I614" s="35"/>
      <c r="J614" s="74"/>
      <c r="K614" s="74"/>
      <c r="L614" s="74"/>
      <c r="M614" s="74"/>
      <c r="N614" s="74"/>
      <c r="O614" s="74"/>
      <c r="P614" s="74"/>
      <c r="Q614" s="74"/>
      <c r="R614" s="74"/>
      <c r="S614" s="74"/>
      <c r="T614" s="74"/>
      <c r="U614" s="74"/>
      <c r="V614" s="74"/>
      <c r="W614" s="74"/>
      <c r="X614" s="74"/>
      <c r="Y614" s="74"/>
      <c r="Z614" s="74"/>
      <c r="AA614" s="74"/>
      <c r="AB614" s="74"/>
    </row>
    <row r="615" spans="1:28" ht="12" customHeight="1">
      <c r="A615" s="763"/>
      <c r="B615" s="104"/>
      <c r="C615" s="104"/>
      <c r="D615" s="260"/>
      <c r="E615" s="104"/>
      <c r="F615" s="104"/>
      <c r="G615" s="35"/>
      <c r="H615" s="104"/>
      <c r="I615" s="35"/>
      <c r="J615" s="74"/>
      <c r="K615" s="74"/>
      <c r="L615" s="74"/>
      <c r="M615" s="74"/>
      <c r="N615" s="74"/>
      <c r="O615" s="74"/>
      <c r="P615" s="74"/>
      <c r="Q615" s="74"/>
      <c r="R615" s="74"/>
      <c r="S615" s="74"/>
      <c r="T615" s="74"/>
      <c r="U615" s="74"/>
      <c r="V615" s="74"/>
      <c r="W615" s="74"/>
      <c r="X615" s="74"/>
      <c r="Y615" s="74"/>
      <c r="Z615" s="74"/>
      <c r="AA615" s="74"/>
      <c r="AB615" s="74"/>
    </row>
    <row r="616" spans="1:28" ht="12" customHeight="1">
      <c r="A616" s="763"/>
      <c r="B616" s="104"/>
      <c r="C616" s="104"/>
      <c r="D616" s="260"/>
      <c r="E616" s="104"/>
      <c r="F616" s="104"/>
      <c r="G616" s="35"/>
      <c r="H616" s="104"/>
      <c r="I616" s="35"/>
      <c r="J616" s="74"/>
      <c r="K616" s="74"/>
      <c r="L616" s="74"/>
      <c r="M616" s="74"/>
      <c r="N616" s="74"/>
      <c r="O616" s="74"/>
      <c r="P616" s="74"/>
      <c r="Q616" s="74"/>
      <c r="R616" s="74"/>
      <c r="S616" s="74"/>
      <c r="T616" s="74"/>
      <c r="U616" s="74"/>
      <c r="V616" s="74"/>
      <c r="W616" s="74"/>
      <c r="X616" s="74"/>
      <c r="Y616" s="74"/>
      <c r="Z616" s="74"/>
      <c r="AA616" s="74"/>
      <c r="AB616" s="74"/>
    </row>
    <row r="617" spans="1:28" ht="12" customHeight="1">
      <c r="A617" s="763"/>
      <c r="B617" s="104"/>
      <c r="C617" s="104"/>
      <c r="D617" s="260"/>
      <c r="E617" s="104"/>
      <c r="F617" s="104"/>
      <c r="G617" s="35"/>
      <c r="H617" s="104"/>
      <c r="I617" s="35"/>
      <c r="J617" s="74"/>
      <c r="K617" s="74"/>
      <c r="L617" s="74"/>
      <c r="M617" s="74"/>
      <c r="N617" s="74"/>
      <c r="O617" s="74"/>
      <c r="P617" s="74"/>
      <c r="Q617" s="74"/>
      <c r="R617" s="74"/>
      <c r="S617" s="74"/>
      <c r="T617" s="74"/>
      <c r="U617" s="74"/>
      <c r="V617" s="74"/>
      <c r="W617" s="74"/>
      <c r="X617" s="74"/>
      <c r="Y617" s="74"/>
      <c r="Z617" s="74"/>
      <c r="AA617" s="74"/>
      <c r="AB617" s="74"/>
    </row>
    <row r="618" spans="1:28" ht="12" customHeight="1">
      <c r="A618" s="763"/>
      <c r="B618" s="104"/>
      <c r="C618" s="104"/>
      <c r="D618" s="260"/>
      <c r="E618" s="104"/>
      <c r="F618" s="104"/>
      <c r="G618" s="35"/>
      <c r="H618" s="104"/>
      <c r="I618" s="35"/>
      <c r="J618" s="74"/>
      <c r="K618" s="74"/>
      <c r="L618" s="74"/>
      <c r="M618" s="74"/>
      <c r="N618" s="74"/>
      <c r="O618" s="74"/>
      <c r="P618" s="74"/>
      <c r="Q618" s="74"/>
      <c r="R618" s="74"/>
      <c r="S618" s="74"/>
      <c r="T618" s="74"/>
      <c r="U618" s="74"/>
      <c r="V618" s="74"/>
      <c r="W618" s="74"/>
      <c r="X618" s="74"/>
      <c r="Y618" s="74"/>
      <c r="Z618" s="74"/>
      <c r="AA618" s="74"/>
      <c r="AB618" s="74"/>
    </row>
    <row r="619" spans="1:28" ht="12" customHeight="1">
      <c r="A619" s="763"/>
      <c r="B619" s="104"/>
      <c r="C619" s="104"/>
      <c r="D619" s="260"/>
      <c r="E619" s="104"/>
      <c r="F619" s="104"/>
      <c r="G619" s="35"/>
      <c r="H619" s="104"/>
      <c r="I619" s="35"/>
      <c r="J619" s="74"/>
      <c r="K619" s="74"/>
      <c r="L619" s="74"/>
      <c r="M619" s="74"/>
      <c r="N619" s="74"/>
      <c r="O619" s="74"/>
      <c r="P619" s="74"/>
      <c r="Q619" s="74"/>
      <c r="R619" s="74"/>
      <c r="S619" s="74"/>
      <c r="T619" s="74"/>
      <c r="U619" s="74"/>
      <c r="V619" s="74"/>
      <c r="W619" s="74"/>
      <c r="X619" s="74"/>
      <c r="Y619" s="74"/>
      <c r="Z619" s="74"/>
      <c r="AA619" s="74"/>
      <c r="AB619" s="74"/>
    </row>
    <row r="620" spans="1:28" ht="12" customHeight="1">
      <c r="A620" s="763"/>
      <c r="B620" s="104"/>
      <c r="C620" s="104"/>
      <c r="D620" s="260"/>
      <c r="E620" s="104"/>
      <c r="F620" s="104"/>
      <c r="G620" s="35"/>
      <c r="H620" s="104"/>
      <c r="I620" s="35"/>
      <c r="J620" s="74"/>
      <c r="K620" s="74"/>
      <c r="L620" s="74"/>
      <c r="M620" s="74"/>
      <c r="N620" s="74"/>
      <c r="O620" s="74"/>
      <c r="P620" s="74"/>
      <c r="Q620" s="74"/>
      <c r="R620" s="74"/>
      <c r="S620" s="74"/>
      <c r="T620" s="74"/>
      <c r="U620" s="74"/>
      <c r="V620" s="74"/>
      <c r="W620" s="74"/>
      <c r="X620" s="74"/>
      <c r="Y620" s="74"/>
      <c r="Z620" s="74"/>
      <c r="AA620" s="74"/>
      <c r="AB620" s="74"/>
    </row>
    <row r="621" spans="1:28" ht="12" customHeight="1">
      <c r="A621" s="763"/>
      <c r="B621" s="104"/>
      <c r="C621" s="104"/>
      <c r="D621" s="260"/>
      <c r="E621" s="104"/>
      <c r="F621" s="104"/>
      <c r="G621" s="35"/>
      <c r="H621" s="104"/>
      <c r="I621" s="35"/>
      <c r="J621" s="74"/>
      <c r="K621" s="74"/>
      <c r="L621" s="74"/>
      <c r="M621" s="74"/>
      <c r="N621" s="74"/>
      <c r="O621" s="74"/>
      <c r="P621" s="74"/>
      <c r="Q621" s="74"/>
      <c r="R621" s="74"/>
      <c r="S621" s="74"/>
      <c r="T621" s="74"/>
      <c r="U621" s="74"/>
      <c r="V621" s="74"/>
      <c r="W621" s="74"/>
      <c r="X621" s="74"/>
      <c r="Y621" s="74"/>
      <c r="Z621" s="74"/>
      <c r="AA621" s="74"/>
      <c r="AB621" s="74"/>
    </row>
    <row r="622" spans="1:28" ht="12" customHeight="1">
      <c r="A622" s="763"/>
      <c r="B622" s="104"/>
      <c r="C622" s="104"/>
      <c r="D622" s="260"/>
      <c r="E622" s="104"/>
      <c r="F622" s="104"/>
      <c r="G622" s="35"/>
      <c r="H622" s="104"/>
      <c r="I622" s="35"/>
      <c r="J622" s="74"/>
      <c r="K622" s="74"/>
      <c r="L622" s="74"/>
      <c r="M622" s="74"/>
      <c r="N622" s="74"/>
      <c r="O622" s="74"/>
      <c r="P622" s="74"/>
      <c r="Q622" s="74"/>
      <c r="R622" s="74"/>
      <c r="S622" s="74"/>
      <c r="T622" s="74"/>
      <c r="U622" s="74"/>
      <c r="V622" s="74"/>
      <c r="W622" s="74"/>
      <c r="X622" s="74"/>
      <c r="Y622" s="74"/>
      <c r="Z622" s="74"/>
      <c r="AA622" s="74"/>
      <c r="AB622" s="74"/>
    </row>
    <row r="623" spans="1:28" ht="12" customHeight="1">
      <c r="A623" s="763"/>
      <c r="B623" s="104"/>
      <c r="C623" s="104"/>
      <c r="D623" s="260"/>
      <c r="E623" s="104"/>
      <c r="F623" s="104"/>
      <c r="G623" s="35"/>
      <c r="H623" s="104"/>
      <c r="I623" s="35"/>
      <c r="J623" s="74"/>
      <c r="K623" s="74"/>
      <c r="L623" s="74"/>
      <c r="M623" s="74"/>
      <c r="N623" s="74"/>
      <c r="O623" s="74"/>
      <c r="P623" s="74"/>
      <c r="Q623" s="74"/>
      <c r="R623" s="74"/>
      <c r="S623" s="74"/>
      <c r="T623" s="74"/>
      <c r="U623" s="74"/>
      <c r="V623" s="74"/>
      <c r="W623" s="74"/>
      <c r="X623" s="74"/>
      <c r="Y623" s="74"/>
      <c r="Z623" s="74"/>
      <c r="AA623" s="74"/>
      <c r="AB623" s="74"/>
    </row>
    <row r="624" spans="1:28" ht="12" customHeight="1">
      <c r="A624" s="763"/>
      <c r="B624" s="104"/>
      <c r="C624" s="104"/>
      <c r="D624" s="260"/>
      <c r="E624" s="104"/>
      <c r="F624" s="104"/>
      <c r="G624" s="35"/>
      <c r="H624" s="104"/>
      <c r="I624" s="35"/>
      <c r="J624" s="74"/>
      <c r="K624" s="74"/>
      <c r="L624" s="74"/>
      <c r="M624" s="74"/>
      <c r="N624" s="74"/>
      <c r="O624" s="74"/>
      <c r="P624" s="74"/>
      <c r="Q624" s="74"/>
      <c r="R624" s="74"/>
      <c r="S624" s="74"/>
      <c r="T624" s="74"/>
      <c r="U624" s="74"/>
      <c r="V624" s="74"/>
      <c r="W624" s="74"/>
      <c r="X624" s="74"/>
      <c r="Y624" s="74"/>
      <c r="Z624" s="74"/>
      <c r="AA624" s="74"/>
      <c r="AB624" s="74"/>
    </row>
    <row r="625" spans="1:28" ht="12" customHeight="1">
      <c r="A625" s="763"/>
      <c r="B625" s="104"/>
      <c r="C625" s="104"/>
      <c r="D625" s="260"/>
      <c r="E625" s="104"/>
      <c r="F625" s="104"/>
      <c r="G625" s="35"/>
      <c r="H625" s="104"/>
      <c r="I625" s="35"/>
      <c r="J625" s="74"/>
      <c r="K625" s="74"/>
      <c r="L625" s="74"/>
      <c r="M625" s="74"/>
      <c r="N625" s="74"/>
      <c r="O625" s="74"/>
      <c r="P625" s="74"/>
      <c r="Q625" s="74"/>
      <c r="R625" s="74"/>
      <c r="S625" s="74"/>
      <c r="T625" s="74"/>
      <c r="U625" s="74"/>
      <c r="V625" s="74"/>
      <c r="W625" s="74"/>
      <c r="X625" s="74"/>
      <c r="Y625" s="74"/>
      <c r="Z625" s="74"/>
      <c r="AA625" s="74"/>
      <c r="AB625" s="74"/>
    </row>
    <row r="626" spans="1:28" ht="12" customHeight="1">
      <c r="A626" s="763"/>
      <c r="B626" s="104"/>
      <c r="C626" s="104"/>
      <c r="D626" s="260"/>
      <c r="E626" s="104"/>
      <c r="F626" s="104"/>
      <c r="G626" s="35"/>
      <c r="H626" s="104"/>
      <c r="I626" s="35"/>
      <c r="J626" s="74"/>
      <c r="K626" s="74"/>
      <c r="L626" s="74"/>
      <c r="M626" s="74"/>
      <c r="N626" s="74"/>
      <c r="O626" s="74"/>
      <c r="P626" s="74"/>
      <c r="Q626" s="74"/>
      <c r="R626" s="74"/>
      <c r="S626" s="74"/>
      <c r="T626" s="74"/>
      <c r="U626" s="74"/>
      <c r="V626" s="74"/>
      <c r="W626" s="74"/>
      <c r="X626" s="74"/>
      <c r="Y626" s="74"/>
      <c r="Z626" s="74"/>
      <c r="AA626" s="74"/>
      <c r="AB626" s="74"/>
    </row>
    <row r="627" spans="1:28" ht="12" customHeight="1">
      <c r="A627" s="763"/>
      <c r="B627" s="104"/>
      <c r="C627" s="104"/>
      <c r="D627" s="260"/>
      <c r="E627" s="104"/>
      <c r="F627" s="104"/>
      <c r="G627" s="35"/>
      <c r="H627" s="104"/>
      <c r="I627" s="35"/>
      <c r="J627" s="74"/>
      <c r="K627" s="74"/>
      <c r="L627" s="74"/>
      <c r="M627" s="74"/>
      <c r="N627" s="74"/>
      <c r="O627" s="74"/>
      <c r="P627" s="74"/>
      <c r="Q627" s="74"/>
      <c r="R627" s="74"/>
      <c r="S627" s="74"/>
      <c r="T627" s="74"/>
      <c r="U627" s="74"/>
      <c r="V627" s="74"/>
      <c r="W627" s="74"/>
      <c r="X627" s="74"/>
      <c r="Y627" s="74"/>
      <c r="Z627" s="74"/>
      <c r="AA627" s="74"/>
      <c r="AB627" s="74"/>
    </row>
    <row r="628" spans="1:28" ht="12" customHeight="1">
      <c r="A628" s="763"/>
      <c r="B628" s="104"/>
      <c r="C628" s="104"/>
      <c r="D628" s="260"/>
      <c r="E628" s="104"/>
      <c r="F628" s="104"/>
      <c r="G628" s="35"/>
      <c r="H628" s="104"/>
      <c r="I628" s="35"/>
      <c r="J628" s="74"/>
      <c r="K628" s="74"/>
      <c r="L628" s="74"/>
      <c r="M628" s="74"/>
      <c r="N628" s="74"/>
      <c r="O628" s="74"/>
      <c r="P628" s="74"/>
      <c r="Q628" s="74"/>
      <c r="R628" s="74"/>
      <c r="S628" s="74"/>
      <c r="T628" s="74"/>
      <c r="U628" s="74"/>
      <c r="V628" s="74"/>
      <c r="W628" s="74"/>
      <c r="X628" s="74"/>
      <c r="Y628" s="74"/>
      <c r="Z628" s="74"/>
      <c r="AA628" s="74"/>
      <c r="AB628" s="74"/>
    </row>
    <row r="629" spans="1:28" ht="12" customHeight="1">
      <c r="A629" s="763"/>
      <c r="B629" s="104"/>
      <c r="C629" s="104"/>
      <c r="D629" s="260"/>
      <c r="E629" s="104"/>
      <c r="F629" s="104"/>
      <c r="G629" s="35"/>
      <c r="H629" s="104"/>
      <c r="I629" s="35"/>
      <c r="J629" s="74"/>
      <c r="K629" s="74"/>
      <c r="L629" s="74"/>
      <c r="M629" s="74"/>
      <c r="N629" s="74"/>
      <c r="O629" s="74"/>
      <c r="P629" s="74"/>
      <c r="Q629" s="74"/>
      <c r="R629" s="74"/>
      <c r="S629" s="74"/>
      <c r="T629" s="74"/>
      <c r="U629" s="74"/>
      <c r="V629" s="74"/>
      <c r="W629" s="74"/>
      <c r="X629" s="74"/>
      <c r="Y629" s="74"/>
      <c r="Z629" s="74"/>
      <c r="AA629" s="74"/>
      <c r="AB629" s="74"/>
    </row>
    <row r="630" spans="1:28" ht="12" customHeight="1">
      <c r="A630" s="763"/>
      <c r="B630" s="104"/>
      <c r="C630" s="104"/>
      <c r="D630" s="260"/>
      <c r="E630" s="104"/>
      <c r="F630" s="104"/>
      <c r="G630" s="35"/>
      <c r="H630" s="104"/>
      <c r="I630" s="35"/>
      <c r="J630" s="74"/>
      <c r="K630" s="74"/>
      <c r="L630" s="74"/>
      <c r="M630" s="74"/>
      <c r="N630" s="74"/>
      <c r="O630" s="74"/>
      <c r="P630" s="74"/>
      <c r="Q630" s="74"/>
      <c r="R630" s="74"/>
      <c r="S630" s="74"/>
      <c r="T630" s="74"/>
      <c r="U630" s="74"/>
      <c r="V630" s="74"/>
      <c r="W630" s="74"/>
      <c r="X630" s="74"/>
      <c r="Y630" s="74"/>
      <c r="Z630" s="74"/>
      <c r="AA630" s="74"/>
      <c r="AB630" s="74"/>
    </row>
    <row r="631" spans="1:28" ht="12" customHeight="1">
      <c r="A631" s="763"/>
      <c r="B631" s="104"/>
      <c r="C631" s="104"/>
      <c r="D631" s="260"/>
      <c r="E631" s="104"/>
      <c r="F631" s="104"/>
      <c r="G631" s="35"/>
      <c r="H631" s="104"/>
      <c r="I631" s="35"/>
      <c r="J631" s="74"/>
      <c r="K631" s="74"/>
      <c r="L631" s="74"/>
      <c r="M631" s="74"/>
      <c r="N631" s="74"/>
      <c r="O631" s="74"/>
      <c r="P631" s="74"/>
      <c r="Q631" s="74"/>
      <c r="R631" s="74"/>
      <c r="S631" s="74"/>
      <c r="T631" s="74"/>
      <c r="U631" s="74"/>
      <c r="V631" s="74"/>
      <c r="W631" s="74"/>
      <c r="X631" s="74"/>
      <c r="Y631" s="74"/>
      <c r="Z631" s="74"/>
      <c r="AA631" s="74"/>
      <c r="AB631" s="74"/>
    </row>
    <row r="632" spans="1:28" ht="12" customHeight="1">
      <c r="A632" s="763"/>
      <c r="B632" s="104"/>
      <c r="C632" s="104"/>
      <c r="D632" s="260"/>
      <c r="E632" s="104"/>
      <c r="F632" s="104"/>
      <c r="G632" s="35"/>
      <c r="H632" s="104"/>
      <c r="I632" s="35"/>
      <c r="J632" s="74"/>
      <c r="K632" s="74"/>
      <c r="L632" s="74"/>
      <c r="M632" s="74"/>
      <c r="N632" s="74"/>
      <c r="O632" s="74"/>
      <c r="P632" s="74"/>
      <c r="Q632" s="74"/>
      <c r="R632" s="74"/>
      <c r="S632" s="74"/>
      <c r="T632" s="74"/>
      <c r="U632" s="74"/>
      <c r="V632" s="74"/>
      <c r="W632" s="74"/>
      <c r="X632" s="74"/>
      <c r="Y632" s="74"/>
      <c r="Z632" s="74"/>
      <c r="AA632" s="74"/>
      <c r="AB632" s="74"/>
    </row>
    <row r="633" spans="1:28" ht="12" customHeight="1">
      <c r="A633" s="763"/>
      <c r="B633" s="104"/>
      <c r="C633" s="104"/>
      <c r="D633" s="260"/>
      <c r="E633" s="104"/>
      <c r="F633" s="104"/>
      <c r="G633" s="35"/>
      <c r="H633" s="104"/>
      <c r="I633" s="35"/>
      <c r="J633" s="74"/>
      <c r="K633" s="74"/>
      <c r="L633" s="74"/>
      <c r="M633" s="74"/>
      <c r="N633" s="74"/>
      <c r="O633" s="74"/>
      <c r="P633" s="74"/>
      <c r="Q633" s="74"/>
      <c r="R633" s="74"/>
      <c r="S633" s="74"/>
      <c r="T633" s="74"/>
      <c r="U633" s="74"/>
      <c r="V633" s="74"/>
      <c r="W633" s="74"/>
      <c r="X633" s="74"/>
      <c r="Y633" s="74"/>
      <c r="Z633" s="74"/>
      <c r="AA633" s="74"/>
      <c r="AB633" s="74"/>
    </row>
    <row r="634" spans="1:28" ht="12" customHeight="1">
      <c r="A634" s="763"/>
      <c r="B634" s="104"/>
      <c r="C634" s="104"/>
      <c r="D634" s="260"/>
      <c r="E634" s="104"/>
      <c r="F634" s="104"/>
      <c r="G634" s="35"/>
      <c r="H634" s="104"/>
      <c r="I634" s="35"/>
      <c r="J634" s="74"/>
      <c r="K634" s="74"/>
      <c r="L634" s="74"/>
      <c r="M634" s="74"/>
      <c r="N634" s="74"/>
      <c r="O634" s="74"/>
      <c r="P634" s="74"/>
      <c r="Q634" s="74"/>
      <c r="R634" s="74"/>
      <c r="S634" s="74"/>
      <c r="T634" s="74"/>
      <c r="U634" s="74"/>
      <c r="V634" s="74"/>
      <c r="W634" s="74"/>
      <c r="X634" s="74"/>
      <c r="Y634" s="74"/>
      <c r="Z634" s="74"/>
      <c r="AA634" s="74"/>
      <c r="AB634" s="74"/>
    </row>
    <row r="635" spans="1:28" ht="12" customHeight="1">
      <c r="A635" s="763"/>
      <c r="B635" s="104"/>
      <c r="C635" s="104"/>
      <c r="D635" s="260"/>
      <c r="E635" s="104"/>
      <c r="F635" s="104"/>
      <c r="G635" s="35"/>
      <c r="H635" s="104"/>
      <c r="I635" s="35"/>
      <c r="J635" s="74"/>
      <c r="K635" s="74"/>
      <c r="L635" s="74"/>
      <c r="M635" s="74"/>
      <c r="N635" s="74"/>
      <c r="O635" s="74"/>
      <c r="P635" s="74"/>
      <c r="Q635" s="74"/>
      <c r="R635" s="74"/>
      <c r="S635" s="74"/>
      <c r="T635" s="74"/>
      <c r="U635" s="74"/>
      <c r="V635" s="74"/>
      <c r="W635" s="74"/>
      <c r="X635" s="74"/>
      <c r="Y635" s="74"/>
      <c r="Z635" s="74"/>
      <c r="AA635" s="74"/>
      <c r="AB635" s="74"/>
    </row>
    <row r="636" spans="1:28" ht="12" customHeight="1">
      <c r="A636" s="763"/>
      <c r="B636" s="104"/>
      <c r="C636" s="104"/>
      <c r="D636" s="260"/>
      <c r="E636" s="104"/>
      <c r="F636" s="104"/>
      <c r="G636" s="35"/>
      <c r="H636" s="104"/>
      <c r="I636" s="35"/>
      <c r="J636" s="74"/>
      <c r="K636" s="74"/>
      <c r="L636" s="74"/>
      <c r="M636" s="74"/>
      <c r="N636" s="74"/>
      <c r="O636" s="74"/>
      <c r="P636" s="74"/>
      <c r="Q636" s="74"/>
      <c r="R636" s="74"/>
      <c r="S636" s="74"/>
      <c r="T636" s="74"/>
      <c r="U636" s="74"/>
      <c r="V636" s="74"/>
      <c r="W636" s="74"/>
      <c r="X636" s="74"/>
      <c r="Y636" s="74"/>
      <c r="Z636" s="74"/>
      <c r="AA636" s="74"/>
      <c r="AB636" s="74"/>
    </row>
    <row r="637" spans="1:28" ht="12" customHeight="1">
      <c r="A637" s="763"/>
      <c r="B637" s="104"/>
      <c r="C637" s="104"/>
      <c r="D637" s="260"/>
      <c r="E637" s="104"/>
      <c r="F637" s="104"/>
      <c r="G637" s="35"/>
      <c r="H637" s="104"/>
      <c r="I637" s="35"/>
      <c r="J637" s="74"/>
      <c r="K637" s="74"/>
      <c r="L637" s="74"/>
      <c r="M637" s="74"/>
      <c r="N637" s="74"/>
      <c r="O637" s="74"/>
      <c r="P637" s="74"/>
      <c r="Q637" s="74"/>
      <c r="R637" s="74"/>
      <c r="S637" s="74"/>
      <c r="T637" s="74"/>
      <c r="U637" s="74"/>
      <c r="V637" s="74"/>
      <c r="W637" s="74"/>
      <c r="X637" s="74"/>
      <c r="Y637" s="74"/>
      <c r="Z637" s="74"/>
      <c r="AA637" s="74"/>
      <c r="AB637" s="74"/>
    </row>
    <row r="638" spans="1:28" ht="12" customHeight="1">
      <c r="A638" s="763"/>
      <c r="B638" s="104"/>
      <c r="C638" s="104"/>
      <c r="D638" s="260"/>
      <c r="E638" s="104"/>
      <c r="F638" s="104"/>
      <c r="G638" s="35"/>
      <c r="H638" s="104"/>
      <c r="I638" s="35"/>
      <c r="J638" s="74"/>
      <c r="K638" s="74"/>
      <c r="L638" s="74"/>
      <c r="M638" s="74"/>
      <c r="N638" s="74"/>
      <c r="O638" s="74"/>
      <c r="P638" s="74"/>
      <c r="Q638" s="74"/>
      <c r="R638" s="74"/>
      <c r="S638" s="74"/>
      <c r="T638" s="74"/>
      <c r="U638" s="74"/>
      <c r="V638" s="74"/>
      <c r="W638" s="74"/>
      <c r="X638" s="74"/>
      <c r="Y638" s="74"/>
      <c r="Z638" s="74"/>
      <c r="AA638" s="74"/>
      <c r="AB638" s="74"/>
    </row>
    <row r="639" spans="1:28" ht="12" customHeight="1">
      <c r="A639" s="763"/>
      <c r="B639" s="104"/>
      <c r="C639" s="104"/>
      <c r="D639" s="260"/>
      <c r="E639" s="104"/>
      <c r="F639" s="104"/>
      <c r="G639" s="35"/>
      <c r="H639" s="104"/>
      <c r="I639" s="35"/>
      <c r="J639" s="74"/>
      <c r="K639" s="74"/>
      <c r="L639" s="74"/>
      <c r="M639" s="74"/>
      <c r="N639" s="74"/>
      <c r="O639" s="74"/>
      <c r="P639" s="74"/>
      <c r="Q639" s="74"/>
      <c r="R639" s="74"/>
      <c r="S639" s="74"/>
      <c r="T639" s="74"/>
      <c r="U639" s="74"/>
      <c r="V639" s="74"/>
      <c r="W639" s="74"/>
      <c r="X639" s="74"/>
      <c r="Y639" s="74"/>
      <c r="Z639" s="74"/>
      <c r="AA639" s="74"/>
      <c r="AB639" s="74"/>
    </row>
    <row r="640" spans="1:28" ht="12" customHeight="1">
      <c r="A640" s="763"/>
      <c r="B640" s="104"/>
      <c r="C640" s="104"/>
      <c r="D640" s="260"/>
      <c r="E640" s="104"/>
      <c r="F640" s="104"/>
      <c r="G640" s="35"/>
      <c r="H640" s="104"/>
      <c r="I640" s="35"/>
      <c r="J640" s="74"/>
      <c r="K640" s="74"/>
      <c r="L640" s="74"/>
      <c r="M640" s="74"/>
      <c r="N640" s="74"/>
      <c r="O640" s="74"/>
      <c r="P640" s="74"/>
      <c r="Q640" s="74"/>
      <c r="R640" s="74"/>
      <c r="S640" s="74"/>
      <c r="T640" s="74"/>
      <c r="U640" s="74"/>
      <c r="V640" s="74"/>
      <c r="W640" s="74"/>
      <c r="X640" s="74"/>
      <c r="Y640" s="74"/>
      <c r="Z640" s="74"/>
      <c r="AA640" s="74"/>
      <c r="AB640" s="74"/>
    </row>
    <row r="641" spans="1:28" ht="12" customHeight="1">
      <c r="A641" s="763"/>
      <c r="B641" s="104"/>
      <c r="C641" s="104"/>
      <c r="D641" s="260"/>
      <c r="E641" s="104"/>
      <c r="F641" s="104"/>
      <c r="G641" s="35"/>
      <c r="H641" s="104"/>
      <c r="I641" s="35"/>
      <c r="J641" s="74"/>
      <c r="K641" s="74"/>
      <c r="L641" s="74"/>
      <c r="M641" s="74"/>
      <c r="N641" s="74"/>
      <c r="O641" s="74"/>
      <c r="P641" s="74"/>
      <c r="Q641" s="74"/>
      <c r="R641" s="74"/>
      <c r="S641" s="74"/>
      <c r="T641" s="74"/>
      <c r="U641" s="74"/>
      <c r="V641" s="74"/>
      <c r="W641" s="74"/>
      <c r="X641" s="74"/>
      <c r="Y641" s="74"/>
      <c r="Z641" s="74"/>
      <c r="AA641" s="74"/>
      <c r="AB641" s="74"/>
    </row>
    <row r="642" spans="1:28" ht="12" customHeight="1">
      <c r="A642" s="763"/>
      <c r="B642" s="104"/>
      <c r="C642" s="104"/>
      <c r="D642" s="260"/>
      <c r="E642" s="104"/>
      <c r="F642" s="104"/>
      <c r="G642" s="35"/>
      <c r="H642" s="104"/>
      <c r="I642" s="35"/>
      <c r="J642" s="74"/>
      <c r="K642" s="74"/>
      <c r="L642" s="74"/>
      <c r="M642" s="74"/>
      <c r="N642" s="74"/>
      <c r="O642" s="74"/>
      <c r="P642" s="74"/>
      <c r="Q642" s="74"/>
      <c r="R642" s="74"/>
      <c r="S642" s="74"/>
      <c r="T642" s="74"/>
      <c r="U642" s="74"/>
      <c r="V642" s="74"/>
      <c r="W642" s="74"/>
      <c r="X642" s="74"/>
      <c r="Y642" s="74"/>
      <c r="Z642" s="74"/>
      <c r="AA642" s="74"/>
      <c r="AB642" s="74"/>
    </row>
    <row r="643" spans="1:28" ht="12" customHeight="1">
      <c r="A643" s="763"/>
      <c r="B643" s="104"/>
      <c r="C643" s="104"/>
      <c r="D643" s="260"/>
      <c r="E643" s="104"/>
      <c r="F643" s="104"/>
      <c r="G643" s="35"/>
      <c r="H643" s="104"/>
      <c r="I643" s="35"/>
      <c r="J643" s="74"/>
      <c r="K643" s="74"/>
      <c r="L643" s="74"/>
      <c r="M643" s="74"/>
      <c r="N643" s="74"/>
      <c r="O643" s="74"/>
      <c r="P643" s="74"/>
      <c r="Q643" s="74"/>
      <c r="R643" s="74"/>
      <c r="S643" s="74"/>
      <c r="T643" s="74"/>
      <c r="U643" s="74"/>
      <c r="V643" s="74"/>
      <c r="W643" s="74"/>
      <c r="X643" s="74"/>
      <c r="Y643" s="74"/>
      <c r="Z643" s="74"/>
      <c r="AA643" s="74"/>
      <c r="AB643" s="74"/>
    </row>
    <row r="644" spans="1:28" ht="12" customHeight="1">
      <c r="A644" s="763"/>
      <c r="B644" s="104"/>
      <c r="C644" s="104"/>
      <c r="D644" s="260"/>
      <c r="E644" s="104"/>
      <c r="F644" s="104"/>
      <c r="G644" s="35"/>
      <c r="H644" s="104"/>
      <c r="I644" s="35"/>
      <c r="J644" s="74"/>
      <c r="K644" s="74"/>
      <c r="L644" s="74"/>
      <c r="M644" s="74"/>
      <c r="N644" s="74"/>
      <c r="O644" s="74"/>
      <c r="P644" s="74"/>
      <c r="Q644" s="74"/>
      <c r="R644" s="74"/>
      <c r="S644" s="74"/>
      <c r="T644" s="74"/>
      <c r="U644" s="74"/>
      <c r="V644" s="74"/>
      <c r="W644" s="74"/>
      <c r="X644" s="74"/>
      <c r="Y644" s="74"/>
      <c r="Z644" s="74"/>
      <c r="AA644" s="74"/>
      <c r="AB644" s="74"/>
    </row>
    <row r="645" spans="1:28" ht="12" customHeight="1">
      <c r="A645" s="763"/>
      <c r="B645" s="104"/>
      <c r="C645" s="104"/>
      <c r="D645" s="260"/>
      <c r="E645" s="104"/>
      <c r="F645" s="104"/>
      <c r="G645" s="35"/>
      <c r="H645" s="104"/>
      <c r="I645" s="35"/>
      <c r="J645" s="74"/>
      <c r="K645" s="74"/>
      <c r="L645" s="74"/>
      <c r="M645" s="74"/>
      <c r="N645" s="74"/>
      <c r="O645" s="74"/>
      <c r="P645" s="74"/>
      <c r="Q645" s="74"/>
      <c r="R645" s="74"/>
      <c r="S645" s="74"/>
      <c r="T645" s="74"/>
      <c r="U645" s="74"/>
      <c r="V645" s="74"/>
      <c r="W645" s="74"/>
      <c r="X645" s="74"/>
      <c r="Y645" s="74"/>
      <c r="Z645" s="74"/>
      <c r="AA645" s="74"/>
      <c r="AB645" s="74"/>
    </row>
    <row r="646" spans="1:28" ht="12" customHeight="1">
      <c r="A646" s="763"/>
      <c r="B646" s="104"/>
      <c r="C646" s="104"/>
      <c r="D646" s="260"/>
      <c r="E646" s="104"/>
      <c r="F646" s="104"/>
      <c r="G646" s="35"/>
      <c r="H646" s="104"/>
      <c r="I646" s="35"/>
      <c r="J646" s="74"/>
      <c r="K646" s="74"/>
      <c r="L646" s="74"/>
      <c r="M646" s="74"/>
      <c r="N646" s="74"/>
      <c r="O646" s="74"/>
      <c r="P646" s="74"/>
      <c r="Q646" s="74"/>
      <c r="R646" s="74"/>
      <c r="S646" s="74"/>
      <c r="T646" s="74"/>
      <c r="U646" s="74"/>
      <c r="V646" s="74"/>
      <c r="W646" s="74"/>
      <c r="X646" s="74"/>
      <c r="Y646" s="74"/>
      <c r="Z646" s="74"/>
      <c r="AA646" s="74"/>
      <c r="AB646" s="74"/>
    </row>
    <row r="647" spans="1:28" ht="12" customHeight="1">
      <c r="A647" s="763"/>
      <c r="B647" s="104"/>
      <c r="C647" s="104"/>
      <c r="D647" s="260"/>
      <c r="E647" s="104"/>
      <c r="F647" s="104"/>
      <c r="G647" s="35"/>
      <c r="H647" s="104"/>
      <c r="I647" s="35"/>
      <c r="J647" s="74"/>
      <c r="K647" s="74"/>
      <c r="L647" s="74"/>
      <c r="M647" s="74"/>
      <c r="N647" s="74"/>
      <c r="O647" s="74"/>
      <c r="P647" s="74"/>
      <c r="Q647" s="74"/>
      <c r="R647" s="74"/>
      <c r="S647" s="74"/>
      <c r="T647" s="74"/>
      <c r="U647" s="74"/>
      <c r="V647" s="74"/>
      <c r="W647" s="74"/>
      <c r="X647" s="74"/>
      <c r="Y647" s="74"/>
      <c r="Z647" s="74"/>
      <c r="AA647" s="74"/>
      <c r="AB647" s="74"/>
    </row>
    <row r="648" spans="1:28" ht="12" customHeight="1">
      <c r="A648" s="763"/>
      <c r="B648" s="104"/>
      <c r="C648" s="104"/>
      <c r="D648" s="260"/>
      <c r="E648" s="104"/>
      <c r="F648" s="104"/>
      <c r="G648" s="35"/>
      <c r="H648" s="104"/>
      <c r="I648" s="35"/>
      <c r="J648" s="74"/>
      <c r="K648" s="74"/>
      <c r="L648" s="74"/>
      <c r="M648" s="74"/>
      <c r="N648" s="74"/>
      <c r="O648" s="74"/>
      <c r="P648" s="74"/>
      <c r="Q648" s="74"/>
      <c r="R648" s="74"/>
      <c r="S648" s="74"/>
      <c r="T648" s="74"/>
      <c r="U648" s="74"/>
      <c r="V648" s="74"/>
      <c r="W648" s="74"/>
      <c r="X648" s="74"/>
      <c r="Y648" s="74"/>
      <c r="Z648" s="74"/>
      <c r="AA648" s="74"/>
      <c r="AB648" s="74"/>
    </row>
    <row r="649" spans="1:28" ht="12" customHeight="1">
      <c r="A649" s="763"/>
      <c r="B649" s="104"/>
      <c r="C649" s="104"/>
      <c r="D649" s="260"/>
      <c r="E649" s="104"/>
      <c r="F649" s="104"/>
      <c r="G649" s="35"/>
      <c r="H649" s="104"/>
      <c r="I649" s="35"/>
      <c r="J649" s="74"/>
      <c r="K649" s="74"/>
      <c r="L649" s="74"/>
      <c r="M649" s="74"/>
      <c r="N649" s="74"/>
      <c r="O649" s="74"/>
      <c r="P649" s="74"/>
      <c r="Q649" s="74"/>
      <c r="R649" s="74"/>
      <c r="S649" s="74"/>
      <c r="T649" s="74"/>
      <c r="U649" s="74"/>
      <c r="V649" s="74"/>
      <c r="W649" s="74"/>
      <c r="X649" s="74"/>
      <c r="Y649" s="74"/>
      <c r="Z649" s="74"/>
      <c r="AA649" s="74"/>
      <c r="AB649" s="74"/>
    </row>
    <row r="650" spans="1:28" ht="12" customHeight="1">
      <c r="A650" s="763"/>
      <c r="B650" s="104"/>
      <c r="C650" s="104"/>
      <c r="D650" s="260"/>
      <c r="E650" s="104"/>
      <c r="F650" s="104"/>
      <c r="G650" s="35"/>
      <c r="H650" s="104"/>
      <c r="I650" s="35"/>
      <c r="J650" s="74"/>
      <c r="K650" s="74"/>
      <c r="L650" s="74"/>
      <c r="M650" s="74"/>
      <c r="N650" s="74"/>
      <c r="O650" s="74"/>
      <c r="P650" s="74"/>
      <c r="Q650" s="74"/>
      <c r="R650" s="74"/>
      <c r="S650" s="74"/>
      <c r="T650" s="74"/>
      <c r="U650" s="74"/>
      <c r="V650" s="74"/>
      <c r="W650" s="74"/>
      <c r="X650" s="74"/>
      <c r="Y650" s="74"/>
      <c r="Z650" s="74"/>
      <c r="AA650" s="74"/>
      <c r="AB650" s="74"/>
    </row>
    <row r="651" spans="1:28" ht="12" customHeight="1">
      <c r="A651" s="763"/>
      <c r="B651" s="104"/>
      <c r="C651" s="104"/>
      <c r="D651" s="260"/>
      <c r="E651" s="104"/>
      <c r="F651" s="104"/>
      <c r="G651" s="35"/>
      <c r="H651" s="104"/>
      <c r="I651" s="35"/>
      <c r="J651" s="74"/>
      <c r="K651" s="74"/>
      <c r="L651" s="74"/>
      <c r="M651" s="74"/>
      <c r="N651" s="74"/>
      <c r="O651" s="74"/>
      <c r="P651" s="74"/>
      <c r="Q651" s="74"/>
      <c r="R651" s="74"/>
      <c r="S651" s="74"/>
      <c r="T651" s="74"/>
      <c r="U651" s="74"/>
      <c r="V651" s="74"/>
      <c r="W651" s="74"/>
      <c r="X651" s="74"/>
      <c r="Y651" s="74"/>
      <c r="Z651" s="74"/>
      <c r="AA651" s="74"/>
      <c r="AB651" s="74"/>
    </row>
    <row r="652" spans="1:28" ht="12" customHeight="1">
      <c r="A652" s="763"/>
      <c r="B652" s="104"/>
      <c r="C652" s="104"/>
      <c r="D652" s="260"/>
      <c r="E652" s="104"/>
      <c r="F652" s="104"/>
      <c r="G652" s="35"/>
      <c r="H652" s="104"/>
      <c r="I652" s="35"/>
      <c r="J652" s="74"/>
      <c r="K652" s="74"/>
      <c r="L652" s="74"/>
      <c r="M652" s="74"/>
      <c r="N652" s="74"/>
      <c r="O652" s="74"/>
      <c r="P652" s="74"/>
      <c r="Q652" s="74"/>
      <c r="R652" s="74"/>
      <c r="S652" s="74"/>
      <c r="T652" s="74"/>
      <c r="U652" s="74"/>
      <c r="V652" s="74"/>
      <c r="W652" s="74"/>
      <c r="X652" s="74"/>
      <c r="Y652" s="74"/>
      <c r="Z652" s="74"/>
      <c r="AA652" s="74"/>
      <c r="AB652" s="74"/>
    </row>
    <row r="653" spans="1:28" ht="12" customHeight="1">
      <c r="A653" s="763"/>
      <c r="B653" s="104"/>
      <c r="C653" s="104"/>
      <c r="D653" s="260"/>
      <c r="E653" s="104"/>
      <c r="F653" s="104"/>
      <c r="G653" s="35"/>
      <c r="H653" s="104"/>
      <c r="I653" s="35"/>
      <c r="J653" s="74"/>
      <c r="K653" s="74"/>
      <c r="L653" s="74"/>
      <c r="M653" s="74"/>
      <c r="N653" s="74"/>
      <c r="O653" s="74"/>
      <c r="P653" s="74"/>
      <c r="Q653" s="74"/>
      <c r="R653" s="74"/>
      <c r="S653" s="74"/>
      <c r="T653" s="74"/>
      <c r="U653" s="74"/>
      <c r="V653" s="74"/>
      <c r="W653" s="74"/>
      <c r="X653" s="74"/>
      <c r="Y653" s="74"/>
      <c r="Z653" s="74"/>
      <c r="AA653" s="74"/>
      <c r="AB653" s="74"/>
    </row>
    <row r="654" spans="1:28" ht="12" customHeight="1">
      <c r="A654" s="763"/>
      <c r="B654" s="104"/>
      <c r="C654" s="104"/>
      <c r="D654" s="260"/>
      <c r="E654" s="104"/>
      <c r="F654" s="104"/>
      <c r="G654" s="35"/>
      <c r="H654" s="104"/>
      <c r="I654" s="35"/>
      <c r="J654" s="74"/>
      <c r="K654" s="74"/>
      <c r="L654" s="74"/>
      <c r="M654" s="74"/>
      <c r="N654" s="74"/>
      <c r="O654" s="74"/>
      <c r="P654" s="74"/>
      <c r="Q654" s="74"/>
      <c r="R654" s="74"/>
      <c r="S654" s="74"/>
      <c r="T654" s="74"/>
      <c r="U654" s="74"/>
      <c r="V654" s="74"/>
      <c r="W654" s="74"/>
      <c r="X654" s="74"/>
      <c r="Y654" s="74"/>
      <c r="Z654" s="74"/>
      <c r="AA654" s="74"/>
      <c r="AB654" s="74"/>
    </row>
    <row r="655" spans="1:28" ht="12" customHeight="1">
      <c r="A655" s="763"/>
      <c r="B655" s="104"/>
      <c r="C655" s="104"/>
      <c r="D655" s="260"/>
      <c r="E655" s="104"/>
      <c r="F655" s="104"/>
      <c r="G655" s="35"/>
      <c r="H655" s="104"/>
      <c r="I655" s="35"/>
      <c r="J655" s="74"/>
      <c r="K655" s="74"/>
      <c r="L655" s="74"/>
      <c r="M655" s="74"/>
      <c r="N655" s="74"/>
      <c r="O655" s="74"/>
      <c r="P655" s="74"/>
      <c r="Q655" s="74"/>
      <c r="R655" s="74"/>
      <c r="S655" s="74"/>
      <c r="T655" s="74"/>
      <c r="U655" s="74"/>
      <c r="V655" s="74"/>
      <c r="W655" s="74"/>
      <c r="X655" s="74"/>
      <c r="Y655" s="74"/>
      <c r="Z655" s="74"/>
      <c r="AA655" s="74"/>
      <c r="AB655" s="74"/>
    </row>
    <row r="656" spans="1:28" ht="12" customHeight="1">
      <c r="A656" s="763"/>
      <c r="B656" s="104"/>
      <c r="C656" s="104"/>
      <c r="D656" s="260"/>
      <c r="E656" s="104"/>
      <c r="F656" s="104"/>
      <c r="G656" s="35"/>
      <c r="H656" s="104"/>
      <c r="I656" s="35"/>
      <c r="J656" s="74"/>
      <c r="K656" s="74"/>
      <c r="L656" s="74"/>
      <c r="M656" s="74"/>
      <c r="N656" s="74"/>
      <c r="O656" s="74"/>
      <c r="P656" s="74"/>
      <c r="Q656" s="74"/>
      <c r="R656" s="74"/>
      <c r="S656" s="74"/>
      <c r="T656" s="74"/>
      <c r="U656" s="74"/>
      <c r="V656" s="74"/>
      <c r="W656" s="74"/>
      <c r="X656" s="74"/>
      <c r="Y656" s="74"/>
      <c r="Z656" s="74"/>
      <c r="AA656" s="74"/>
      <c r="AB656" s="74"/>
    </row>
    <row r="657" spans="1:28" ht="12" customHeight="1">
      <c r="A657" s="763"/>
      <c r="B657" s="104"/>
      <c r="C657" s="104"/>
      <c r="D657" s="260"/>
      <c r="E657" s="104"/>
      <c r="F657" s="104"/>
      <c r="G657" s="35"/>
      <c r="H657" s="104"/>
      <c r="I657" s="35"/>
      <c r="J657" s="74"/>
      <c r="K657" s="74"/>
      <c r="L657" s="74"/>
      <c r="M657" s="74"/>
      <c r="N657" s="74"/>
      <c r="O657" s="74"/>
      <c r="P657" s="74"/>
      <c r="Q657" s="74"/>
      <c r="R657" s="74"/>
      <c r="S657" s="74"/>
      <c r="T657" s="74"/>
      <c r="U657" s="74"/>
      <c r="V657" s="74"/>
      <c r="W657" s="74"/>
      <c r="X657" s="74"/>
      <c r="Y657" s="74"/>
      <c r="Z657" s="74"/>
      <c r="AA657" s="74"/>
      <c r="AB657" s="74"/>
    </row>
    <row r="658" spans="1:28" ht="12" customHeight="1">
      <c r="A658" s="763"/>
      <c r="B658" s="104"/>
      <c r="C658" s="104"/>
      <c r="D658" s="260"/>
      <c r="E658" s="104"/>
      <c r="F658" s="104"/>
      <c r="G658" s="35"/>
      <c r="H658" s="104"/>
      <c r="I658" s="35"/>
      <c r="J658" s="74"/>
      <c r="K658" s="74"/>
      <c r="L658" s="74"/>
      <c r="M658" s="74"/>
      <c r="N658" s="74"/>
      <c r="O658" s="74"/>
      <c r="P658" s="74"/>
      <c r="Q658" s="74"/>
      <c r="R658" s="74"/>
      <c r="S658" s="74"/>
      <c r="T658" s="74"/>
      <c r="U658" s="74"/>
      <c r="V658" s="74"/>
      <c r="W658" s="74"/>
      <c r="X658" s="74"/>
      <c r="Y658" s="74"/>
      <c r="Z658" s="74"/>
      <c r="AA658" s="74"/>
      <c r="AB658" s="74"/>
    </row>
    <row r="659" spans="1:28" ht="12" customHeight="1">
      <c r="A659" s="763"/>
      <c r="B659" s="104"/>
      <c r="C659" s="104"/>
      <c r="D659" s="260"/>
      <c r="E659" s="104"/>
      <c r="F659" s="104"/>
      <c r="G659" s="35"/>
      <c r="H659" s="104"/>
      <c r="I659" s="35"/>
      <c r="J659" s="74"/>
      <c r="K659" s="74"/>
      <c r="L659" s="74"/>
      <c r="M659" s="74"/>
      <c r="N659" s="74"/>
      <c r="O659" s="74"/>
      <c r="P659" s="74"/>
      <c r="Q659" s="74"/>
      <c r="R659" s="74"/>
      <c r="S659" s="74"/>
      <c r="T659" s="74"/>
      <c r="U659" s="74"/>
      <c r="V659" s="74"/>
      <c r="W659" s="74"/>
      <c r="X659" s="74"/>
      <c r="Y659" s="74"/>
      <c r="Z659" s="74"/>
      <c r="AA659" s="74"/>
      <c r="AB659" s="74"/>
    </row>
    <row r="660" spans="1:28" ht="12" customHeight="1">
      <c r="A660" s="763"/>
      <c r="B660" s="104"/>
      <c r="C660" s="104"/>
      <c r="D660" s="260"/>
      <c r="E660" s="104"/>
      <c r="F660" s="104"/>
      <c r="G660" s="35"/>
      <c r="H660" s="104"/>
      <c r="I660" s="35"/>
      <c r="J660" s="74"/>
      <c r="K660" s="74"/>
      <c r="L660" s="74"/>
      <c r="M660" s="74"/>
      <c r="N660" s="74"/>
      <c r="O660" s="74"/>
      <c r="P660" s="74"/>
      <c r="Q660" s="74"/>
      <c r="R660" s="74"/>
      <c r="S660" s="74"/>
      <c r="T660" s="74"/>
      <c r="U660" s="74"/>
      <c r="V660" s="74"/>
      <c r="W660" s="74"/>
      <c r="X660" s="74"/>
      <c r="Y660" s="74"/>
      <c r="Z660" s="74"/>
      <c r="AA660" s="74"/>
      <c r="AB660" s="74"/>
    </row>
    <row r="661" spans="1:28" ht="12" customHeight="1">
      <c r="A661" s="763"/>
      <c r="B661" s="104"/>
      <c r="C661" s="104"/>
      <c r="D661" s="260"/>
      <c r="E661" s="104"/>
      <c r="F661" s="104"/>
      <c r="G661" s="35"/>
      <c r="H661" s="104"/>
      <c r="I661" s="35"/>
      <c r="J661" s="74"/>
      <c r="K661" s="74"/>
      <c r="L661" s="74"/>
      <c r="M661" s="74"/>
      <c r="N661" s="74"/>
      <c r="O661" s="74"/>
      <c r="P661" s="74"/>
      <c r="Q661" s="74"/>
      <c r="R661" s="74"/>
      <c r="S661" s="74"/>
      <c r="T661" s="74"/>
      <c r="U661" s="74"/>
      <c r="V661" s="74"/>
      <c r="W661" s="74"/>
      <c r="X661" s="74"/>
      <c r="Y661" s="74"/>
      <c r="Z661" s="74"/>
      <c r="AA661" s="74"/>
      <c r="AB661" s="74"/>
    </row>
    <row r="662" spans="1:28" ht="12" customHeight="1">
      <c r="A662" s="763"/>
      <c r="B662" s="104"/>
      <c r="C662" s="104"/>
      <c r="D662" s="260"/>
      <c r="E662" s="104"/>
      <c r="F662" s="104"/>
      <c r="G662" s="35"/>
      <c r="H662" s="104"/>
      <c r="I662" s="35"/>
      <c r="J662" s="74"/>
      <c r="K662" s="74"/>
      <c r="L662" s="74"/>
      <c r="M662" s="74"/>
      <c r="N662" s="74"/>
      <c r="O662" s="74"/>
      <c r="P662" s="74"/>
      <c r="Q662" s="74"/>
      <c r="R662" s="74"/>
      <c r="S662" s="74"/>
      <c r="T662" s="74"/>
      <c r="U662" s="74"/>
      <c r="V662" s="74"/>
      <c r="W662" s="74"/>
      <c r="X662" s="74"/>
      <c r="Y662" s="74"/>
      <c r="Z662" s="74"/>
      <c r="AA662" s="74"/>
      <c r="AB662" s="74"/>
    </row>
    <row r="663" spans="1:28" ht="12" customHeight="1">
      <c r="A663" s="763"/>
      <c r="B663" s="104"/>
      <c r="C663" s="104"/>
      <c r="D663" s="260"/>
      <c r="E663" s="104"/>
      <c r="F663" s="104"/>
      <c r="G663" s="35"/>
      <c r="H663" s="104"/>
      <c r="I663" s="35"/>
      <c r="J663" s="74"/>
      <c r="K663" s="74"/>
      <c r="L663" s="74"/>
      <c r="M663" s="74"/>
      <c r="N663" s="74"/>
      <c r="O663" s="74"/>
      <c r="P663" s="74"/>
      <c r="Q663" s="74"/>
      <c r="R663" s="74"/>
      <c r="S663" s="74"/>
      <c r="T663" s="74"/>
      <c r="U663" s="74"/>
      <c r="V663" s="74"/>
      <c r="W663" s="74"/>
      <c r="X663" s="74"/>
      <c r="Y663" s="74"/>
      <c r="Z663" s="74"/>
      <c r="AA663" s="74"/>
      <c r="AB663" s="74"/>
    </row>
    <row r="664" spans="1:28" ht="12" customHeight="1">
      <c r="A664" s="763"/>
      <c r="B664" s="104"/>
      <c r="C664" s="104"/>
      <c r="D664" s="260"/>
      <c r="E664" s="104"/>
      <c r="F664" s="104"/>
      <c r="G664" s="35"/>
      <c r="H664" s="104"/>
      <c r="I664" s="35"/>
      <c r="J664" s="74"/>
      <c r="K664" s="74"/>
      <c r="L664" s="74"/>
      <c r="M664" s="74"/>
      <c r="N664" s="74"/>
      <c r="O664" s="74"/>
      <c r="P664" s="74"/>
      <c r="Q664" s="74"/>
      <c r="R664" s="74"/>
      <c r="S664" s="74"/>
      <c r="T664" s="74"/>
      <c r="U664" s="74"/>
      <c r="V664" s="74"/>
      <c r="W664" s="74"/>
      <c r="X664" s="74"/>
      <c r="Y664" s="74"/>
      <c r="Z664" s="74"/>
      <c r="AA664" s="74"/>
      <c r="AB664" s="74"/>
    </row>
    <row r="665" spans="1:28" ht="12" customHeight="1">
      <c r="A665" s="763"/>
      <c r="B665" s="104"/>
      <c r="C665" s="104"/>
      <c r="D665" s="260"/>
      <c r="E665" s="104"/>
      <c r="F665" s="104"/>
      <c r="G665" s="35"/>
      <c r="H665" s="104"/>
      <c r="I665" s="35"/>
      <c r="J665" s="74"/>
      <c r="K665" s="74"/>
      <c r="L665" s="74"/>
      <c r="M665" s="74"/>
      <c r="N665" s="74"/>
      <c r="O665" s="74"/>
      <c r="P665" s="74"/>
      <c r="Q665" s="74"/>
      <c r="R665" s="74"/>
      <c r="S665" s="74"/>
      <c r="T665" s="74"/>
      <c r="U665" s="74"/>
      <c r="V665" s="74"/>
      <c r="W665" s="74"/>
      <c r="X665" s="74"/>
      <c r="Y665" s="74"/>
      <c r="Z665" s="74"/>
      <c r="AA665" s="74"/>
      <c r="AB665" s="74"/>
    </row>
    <row r="666" spans="1:28" ht="12" customHeight="1">
      <c r="A666" s="763"/>
      <c r="B666" s="104"/>
      <c r="C666" s="104"/>
      <c r="D666" s="260"/>
      <c r="E666" s="104"/>
      <c r="F666" s="104"/>
      <c r="G666" s="35"/>
      <c r="H666" s="104"/>
      <c r="I666" s="35"/>
      <c r="J666" s="74"/>
      <c r="K666" s="74"/>
      <c r="L666" s="74"/>
      <c r="M666" s="74"/>
      <c r="N666" s="74"/>
      <c r="O666" s="74"/>
      <c r="P666" s="74"/>
      <c r="Q666" s="74"/>
      <c r="R666" s="74"/>
      <c r="S666" s="74"/>
      <c r="T666" s="74"/>
      <c r="U666" s="74"/>
      <c r="V666" s="74"/>
      <c r="W666" s="74"/>
      <c r="X666" s="74"/>
      <c r="Y666" s="74"/>
      <c r="Z666" s="74"/>
      <c r="AA666" s="74"/>
      <c r="AB666" s="74"/>
    </row>
    <row r="667" spans="1:28" ht="12" customHeight="1">
      <c r="A667" s="763"/>
      <c r="B667" s="104"/>
      <c r="C667" s="104"/>
      <c r="D667" s="260"/>
      <c r="E667" s="104"/>
      <c r="F667" s="104"/>
      <c r="G667" s="35"/>
      <c r="H667" s="104"/>
      <c r="I667" s="35"/>
      <c r="J667" s="74"/>
      <c r="K667" s="74"/>
      <c r="L667" s="74"/>
      <c r="M667" s="74"/>
      <c r="N667" s="74"/>
      <c r="O667" s="74"/>
      <c r="P667" s="74"/>
      <c r="Q667" s="74"/>
      <c r="R667" s="74"/>
      <c r="S667" s="74"/>
      <c r="T667" s="74"/>
      <c r="U667" s="74"/>
      <c r="V667" s="74"/>
      <c r="W667" s="74"/>
      <c r="X667" s="74"/>
      <c r="Y667" s="74"/>
      <c r="Z667" s="74"/>
      <c r="AA667" s="74"/>
      <c r="AB667" s="74"/>
    </row>
    <row r="668" spans="1:28" ht="12" customHeight="1">
      <c r="A668" s="763"/>
      <c r="B668" s="104"/>
      <c r="C668" s="104"/>
      <c r="D668" s="260"/>
      <c r="E668" s="104"/>
      <c r="F668" s="104"/>
      <c r="G668" s="35"/>
      <c r="H668" s="104"/>
      <c r="I668" s="35"/>
      <c r="J668" s="74"/>
      <c r="K668" s="74"/>
      <c r="L668" s="74"/>
      <c r="M668" s="74"/>
      <c r="N668" s="74"/>
      <c r="O668" s="74"/>
      <c r="P668" s="74"/>
      <c r="Q668" s="74"/>
      <c r="R668" s="74"/>
      <c r="S668" s="74"/>
      <c r="T668" s="74"/>
      <c r="U668" s="74"/>
      <c r="V668" s="74"/>
      <c r="W668" s="74"/>
      <c r="X668" s="74"/>
      <c r="Y668" s="74"/>
      <c r="Z668" s="74"/>
      <c r="AA668" s="74"/>
      <c r="AB668" s="74"/>
    </row>
    <row r="669" spans="1:28" ht="12" customHeight="1">
      <c r="A669" s="763"/>
      <c r="B669" s="104"/>
      <c r="C669" s="104"/>
      <c r="D669" s="260"/>
      <c r="E669" s="104"/>
      <c r="F669" s="104"/>
      <c r="G669" s="35"/>
      <c r="H669" s="104"/>
      <c r="I669" s="35"/>
      <c r="J669" s="74"/>
      <c r="K669" s="74"/>
      <c r="L669" s="74"/>
      <c r="M669" s="74"/>
      <c r="N669" s="74"/>
      <c r="O669" s="74"/>
      <c r="P669" s="74"/>
      <c r="Q669" s="74"/>
      <c r="R669" s="74"/>
      <c r="S669" s="74"/>
      <c r="T669" s="74"/>
      <c r="U669" s="74"/>
      <c r="V669" s="74"/>
      <c r="W669" s="74"/>
      <c r="X669" s="74"/>
      <c r="Y669" s="74"/>
      <c r="Z669" s="74"/>
      <c r="AA669" s="74"/>
      <c r="AB669" s="74"/>
    </row>
    <row r="670" spans="1:28" ht="12" customHeight="1">
      <c r="A670" s="763"/>
      <c r="B670" s="104"/>
      <c r="C670" s="104"/>
      <c r="D670" s="260"/>
      <c r="E670" s="104"/>
      <c r="F670" s="104"/>
      <c r="G670" s="35"/>
      <c r="H670" s="104"/>
      <c r="I670" s="35"/>
      <c r="J670" s="74"/>
      <c r="K670" s="74"/>
      <c r="L670" s="74"/>
      <c r="M670" s="74"/>
      <c r="N670" s="74"/>
      <c r="O670" s="74"/>
      <c r="P670" s="74"/>
      <c r="Q670" s="74"/>
      <c r="R670" s="74"/>
      <c r="S670" s="74"/>
      <c r="T670" s="74"/>
      <c r="U670" s="74"/>
      <c r="V670" s="74"/>
      <c r="W670" s="74"/>
      <c r="X670" s="74"/>
      <c r="Y670" s="74"/>
      <c r="Z670" s="74"/>
      <c r="AA670" s="74"/>
      <c r="AB670" s="74"/>
    </row>
    <row r="671" spans="1:28" ht="12" customHeight="1">
      <c r="A671" s="763"/>
      <c r="B671" s="104"/>
      <c r="C671" s="104"/>
      <c r="D671" s="260"/>
      <c r="E671" s="104"/>
      <c r="F671" s="104"/>
      <c r="G671" s="35"/>
      <c r="H671" s="104"/>
      <c r="I671" s="35"/>
      <c r="J671" s="74"/>
      <c r="K671" s="74"/>
      <c r="L671" s="74"/>
      <c r="M671" s="74"/>
      <c r="N671" s="74"/>
      <c r="O671" s="74"/>
      <c r="P671" s="74"/>
      <c r="Q671" s="74"/>
      <c r="R671" s="74"/>
      <c r="S671" s="74"/>
      <c r="T671" s="74"/>
      <c r="U671" s="74"/>
      <c r="V671" s="74"/>
      <c r="W671" s="74"/>
      <c r="X671" s="74"/>
      <c r="Y671" s="74"/>
      <c r="Z671" s="74"/>
      <c r="AA671" s="74"/>
      <c r="AB671" s="74"/>
    </row>
    <row r="672" spans="1:28" ht="12" customHeight="1">
      <c r="A672" s="763"/>
      <c r="B672" s="104"/>
      <c r="C672" s="104"/>
      <c r="D672" s="260"/>
      <c r="E672" s="104"/>
      <c r="F672" s="104"/>
      <c r="G672" s="35"/>
      <c r="H672" s="104"/>
      <c r="I672" s="35"/>
      <c r="J672" s="74"/>
      <c r="K672" s="74"/>
      <c r="L672" s="74"/>
      <c r="M672" s="74"/>
      <c r="N672" s="74"/>
      <c r="O672" s="74"/>
      <c r="P672" s="74"/>
      <c r="Q672" s="74"/>
      <c r="R672" s="74"/>
      <c r="S672" s="74"/>
      <c r="T672" s="74"/>
      <c r="U672" s="74"/>
      <c r="V672" s="74"/>
      <c r="W672" s="74"/>
      <c r="X672" s="74"/>
      <c r="Y672" s="74"/>
      <c r="Z672" s="74"/>
      <c r="AA672" s="74"/>
      <c r="AB672" s="74"/>
    </row>
    <row r="673" spans="1:28" ht="12" customHeight="1">
      <c r="A673" s="763"/>
      <c r="B673" s="104"/>
      <c r="C673" s="104"/>
      <c r="D673" s="260"/>
      <c r="E673" s="104"/>
      <c r="F673" s="104"/>
      <c r="G673" s="35"/>
      <c r="H673" s="104"/>
      <c r="I673" s="35"/>
      <c r="J673" s="74"/>
      <c r="K673" s="74"/>
      <c r="L673" s="74"/>
      <c r="M673" s="74"/>
      <c r="N673" s="74"/>
      <c r="O673" s="74"/>
      <c r="P673" s="74"/>
      <c r="Q673" s="74"/>
      <c r="R673" s="74"/>
      <c r="S673" s="74"/>
      <c r="T673" s="74"/>
      <c r="U673" s="74"/>
      <c r="V673" s="74"/>
      <c r="W673" s="74"/>
      <c r="X673" s="74"/>
      <c r="Y673" s="74"/>
      <c r="Z673" s="74"/>
      <c r="AA673" s="74"/>
      <c r="AB673" s="74"/>
    </row>
    <row r="674" spans="1:28" ht="12" customHeight="1">
      <c r="A674" s="763"/>
      <c r="B674" s="104"/>
      <c r="C674" s="104"/>
      <c r="D674" s="260"/>
      <c r="E674" s="104"/>
      <c r="F674" s="104"/>
      <c r="G674" s="35"/>
      <c r="H674" s="104"/>
      <c r="I674" s="35"/>
      <c r="J674" s="74"/>
      <c r="K674" s="74"/>
      <c r="L674" s="74"/>
      <c r="M674" s="74"/>
      <c r="N674" s="74"/>
      <c r="O674" s="74"/>
      <c r="P674" s="74"/>
      <c r="Q674" s="74"/>
      <c r="R674" s="74"/>
      <c r="S674" s="74"/>
      <c r="T674" s="74"/>
      <c r="U674" s="74"/>
      <c r="V674" s="74"/>
      <c r="W674" s="74"/>
      <c r="X674" s="74"/>
      <c r="Y674" s="74"/>
      <c r="Z674" s="74"/>
      <c r="AA674" s="74"/>
      <c r="AB674" s="74"/>
    </row>
    <row r="675" spans="1:28" ht="12" customHeight="1">
      <c r="A675" s="763"/>
      <c r="B675" s="104"/>
      <c r="C675" s="104"/>
      <c r="D675" s="260"/>
      <c r="E675" s="104"/>
      <c r="F675" s="104"/>
      <c r="G675" s="35"/>
      <c r="H675" s="104"/>
      <c r="I675" s="35"/>
      <c r="J675" s="74"/>
      <c r="K675" s="74"/>
      <c r="L675" s="74"/>
      <c r="M675" s="74"/>
      <c r="N675" s="74"/>
      <c r="O675" s="74"/>
      <c r="P675" s="74"/>
      <c r="Q675" s="74"/>
      <c r="R675" s="74"/>
      <c r="S675" s="74"/>
      <c r="T675" s="74"/>
      <c r="U675" s="74"/>
      <c r="V675" s="74"/>
      <c r="W675" s="74"/>
      <c r="X675" s="74"/>
      <c r="Y675" s="74"/>
      <c r="Z675" s="74"/>
      <c r="AA675" s="74"/>
      <c r="AB675" s="74"/>
    </row>
    <row r="676" spans="1:28" ht="12" customHeight="1">
      <c r="A676" s="763"/>
      <c r="B676" s="104"/>
      <c r="C676" s="104"/>
      <c r="D676" s="260"/>
      <c r="E676" s="104"/>
      <c r="F676" s="104"/>
      <c r="G676" s="35"/>
      <c r="H676" s="104"/>
      <c r="I676" s="35"/>
      <c r="J676" s="74"/>
      <c r="K676" s="74"/>
      <c r="L676" s="74"/>
      <c r="M676" s="74"/>
      <c r="N676" s="74"/>
      <c r="O676" s="74"/>
      <c r="P676" s="74"/>
      <c r="Q676" s="74"/>
      <c r="R676" s="74"/>
      <c r="S676" s="74"/>
      <c r="T676" s="74"/>
      <c r="U676" s="74"/>
      <c r="V676" s="74"/>
      <c r="W676" s="74"/>
      <c r="X676" s="74"/>
      <c r="Y676" s="74"/>
      <c r="Z676" s="74"/>
      <c r="AA676" s="74"/>
      <c r="AB676" s="74"/>
    </row>
    <row r="677" spans="1:28" ht="12" customHeight="1">
      <c r="A677" s="763"/>
      <c r="B677" s="104"/>
      <c r="C677" s="104"/>
      <c r="D677" s="260"/>
      <c r="E677" s="104"/>
      <c r="F677" s="104"/>
      <c r="G677" s="35"/>
      <c r="H677" s="104"/>
      <c r="I677" s="35"/>
      <c r="J677" s="74"/>
      <c r="K677" s="74"/>
      <c r="L677" s="74"/>
      <c r="M677" s="74"/>
      <c r="N677" s="74"/>
      <c r="O677" s="74"/>
      <c r="P677" s="74"/>
      <c r="Q677" s="74"/>
      <c r="R677" s="74"/>
      <c r="S677" s="74"/>
      <c r="T677" s="74"/>
      <c r="U677" s="74"/>
      <c r="V677" s="74"/>
      <c r="W677" s="74"/>
      <c r="X677" s="74"/>
      <c r="Y677" s="74"/>
      <c r="Z677" s="74"/>
      <c r="AA677" s="74"/>
      <c r="AB677" s="74"/>
    </row>
    <row r="678" spans="1:28" ht="12" customHeight="1">
      <c r="A678" s="763"/>
      <c r="B678" s="104"/>
      <c r="C678" s="104"/>
      <c r="D678" s="260"/>
      <c r="E678" s="104"/>
      <c r="F678" s="104"/>
      <c r="G678" s="35"/>
      <c r="H678" s="104"/>
      <c r="I678" s="35"/>
      <c r="J678" s="74"/>
      <c r="K678" s="74"/>
      <c r="L678" s="74"/>
      <c r="M678" s="74"/>
      <c r="N678" s="74"/>
      <c r="O678" s="74"/>
      <c r="P678" s="74"/>
      <c r="Q678" s="74"/>
      <c r="R678" s="74"/>
      <c r="S678" s="74"/>
      <c r="T678" s="74"/>
      <c r="U678" s="74"/>
      <c r="V678" s="74"/>
      <c r="W678" s="74"/>
      <c r="X678" s="74"/>
      <c r="Y678" s="74"/>
      <c r="Z678" s="74"/>
      <c r="AA678" s="74"/>
      <c r="AB678" s="74"/>
    </row>
    <row r="679" spans="1:28" ht="12" customHeight="1">
      <c r="A679" s="763"/>
      <c r="B679" s="104"/>
      <c r="C679" s="104"/>
      <c r="D679" s="260"/>
      <c r="E679" s="104"/>
      <c r="F679" s="104"/>
      <c r="G679" s="35"/>
      <c r="H679" s="104"/>
      <c r="I679" s="35"/>
      <c r="J679" s="74"/>
      <c r="K679" s="74"/>
      <c r="L679" s="74"/>
      <c r="M679" s="74"/>
      <c r="N679" s="74"/>
      <c r="O679" s="74"/>
      <c r="P679" s="74"/>
      <c r="Q679" s="74"/>
      <c r="R679" s="74"/>
      <c r="S679" s="74"/>
      <c r="T679" s="74"/>
      <c r="U679" s="74"/>
      <c r="V679" s="74"/>
      <c r="W679" s="74"/>
      <c r="X679" s="74"/>
      <c r="Y679" s="74"/>
      <c r="Z679" s="74"/>
      <c r="AA679" s="74"/>
      <c r="AB679" s="74"/>
    </row>
    <row r="680" spans="1:28" ht="12" customHeight="1">
      <c r="A680" s="763"/>
      <c r="B680" s="104"/>
      <c r="C680" s="104"/>
      <c r="D680" s="260"/>
      <c r="E680" s="104"/>
      <c r="F680" s="104"/>
      <c r="G680" s="35"/>
      <c r="H680" s="104"/>
      <c r="I680" s="35"/>
      <c r="J680" s="74"/>
      <c r="K680" s="74"/>
      <c r="L680" s="74"/>
      <c r="M680" s="74"/>
      <c r="N680" s="74"/>
      <c r="O680" s="74"/>
      <c r="P680" s="74"/>
      <c r="Q680" s="74"/>
      <c r="R680" s="74"/>
      <c r="S680" s="74"/>
      <c r="T680" s="74"/>
      <c r="U680" s="74"/>
      <c r="V680" s="74"/>
      <c r="W680" s="74"/>
      <c r="X680" s="74"/>
      <c r="Y680" s="74"/>
      <c r="Z680" s="74"/>
      <c r="AA680" s="74"/>
      <c r="AB680" s="74"/>
    </row>
    <row r="681" spans="1:28" ht="12" customHeight="1">
      <c r="A681" s="763"/>
      <c r="B681" s="104"/>
      <c r="C681" s="104"/>
      <c r="D681" s="260"/>
      <c r="E681" s="104"/>
      <c r="F681" s="104"/>
      <c r="G681" s="35"/>
      <c r="H681" s="104"/>
      <c r="I681" s="35"/>
      <c r="J681" s="74"/>
      <c r="K681" s="74"/>
      <c r="L681" s="74"/>
      <c r="M681" s="74"/>
      <c r="N681" s="74"/>
      <c r="O681" s="74"/>
      <c r="P681" s="74"/>
      <c r="Q681" s="74"/>
      <c r="R681" s="74"/>
      <c r="S681" s="74"/>
      <c r="T681" s="74"/>
      <c r="U681" s="74"/>
      <c r="V681" s="74"/>
      <c r="W681" s="74"/>
      <c r="X681" s="74"/>
      <c r="Y681" s="74"/>
      <c r="Z681" s="74"/>
      <c r="AA681" s="74"/>
      <c r="AB681" s="74"/>
    </row>
    <row r="682" spans="1:28" ht="12" customHeight="1">
      <c r="A682" s="763"/>
      <c r="B682" s="104"/>
      <c r="C682" s="104"/>
      <c r="D682" s="260"/>
      <c r="E682" s="104"/>
      <c r="F682" s="104"/>
      <c r="G682" s="35"/>
      <c r="H682" s="104"/>
      <c r="I682" s="35"/>
      <c r="J682" s="74"/>
      <c r="K682" s="74"/>
      <c r="L682" s="74"/>
      <c r="M682" s="74"/>
      <c r="N682" s="74"/>
      <c r="O682" s="74"/>
      <c r="P682" s="74"/>
      <c r="Q682" s="74"/>
      <c r="R682" s="74"/>
      <c r="S682" s="74"/>
      <c r="T682" s="74"/>
      <c r="U682" s="74"/>
      <c r="V682" s="74"/>
      <c r="W682" s="74"/>
      <c r="X682" s="74"/>
      <c r="Y682" s="74"/>
      <c r="Z682" s="74"/>
      <c r="AA682" s="74"/>
      <c r="AB682" s="74"/>
    </row>
    <row r="683" spans="1:28" ht="12" customHeight="1">
      <c r="A683" s="763"/>
      <c r="B683" s="104"/>
      <c r="C683" s="104"/>
      <c r="D683" s="260"/>
      <c r="E683" s="104"/>
      <c r="F683" s="104"/>
      <c r="G683" s="35"/>
      <c r="H683" s="104"/>
      <c r="I683" s="35"/>
      <c r="J683" s="74"/>
      <c r="K683" s="74"/>
      <c r="L683" s="74"/>
      <c r="M683" s="74"/>
      <c r="N683" s="74"/>
      <c r="O683" s="74"/>
      <c r="P683" s="74"/>
      <c r="Q683" s="74"/>
      <c r="R683" s="74"/>
      <c r="S683" s="74"/>
      <c r="T683" s="74"/>
      <c r="U683" s="74"/>
      <c r="V683" s="74"/>
      <c r="W683" s="74"/>
      <c r="X683" s="74"/>
      <c r="Y683" s="74"/>
      <c r="Z683" s="74"/>
      <c r="AA683" s="74"/>
      <c r="AB683" s="74"/>
    </row>
    <row r="684" spans="1:28" ht="12" customHeight="1">
      <c r="A684" s="763"/>
      <c r="B684" s="104"/>
      <c r="C684" s="104"/>
      <c r="D684" s="260"/>
      <c r="E684" s="104"/>
      <c r="F684" s="104"/>
      <c r="G684" s="35"/>
      <c r="H684" s="104"/>
      <c r="I684" s="35"/>
      <c r="J684" s="74"/>
      <c r="K684" s="74"/>
      <c r="L684" s="74"/>
      <c r="M684" s="74"/>
      <c r="N684" s="74"/>
      <c r="O684" s="74"/>
      <c r="P684" s="74"/>
      <c r="Q684" s="74"/>
      <c r="R684" s="74"/>
      <c r="S684" s="74"/>
      <c r="T684" s="74"/>
      <c r="U684" s="74"/>
      <c r="V684" s="74"/>
      <c r="W684" s="74"/>
      <c r="X684" s="74"/>
      <c r="Y684" s="74"/>
      <c r="Z684" s="74"/>
      <c r="AA684" s="74"/>
      <c r="AB684" s="74"/>
    </row>
    <row r="685" spans="1:28" ht="12" customHeight="1">
      <c r="A685" s="763"/>
      <c r="B685" s="104"/>
      <c r="C685" s="104"/>
      <c r="D685" s="260"/>
      <c r="E685" s="104"/>
      <c r="F685" s="104"/>
      <c r="G685" s="35"/>
      <c r="H685" s="104"/>
      <c r="I685" s="35"/>
      <c r="J685" s="74"/>
      <c r="K685" s="74"/>
      <c r="L685" s="74"/>
      <c r="M685" s="74"/>
      <c r="N685" s="74"/>
      <c r="O685" s="74"/>
      <c r="P685" s="74"/>
      <c r="Q685" s="74"/>
      <c r="R685" s="74"/>
      <c r="S685" s="74"/>
      <c r="T685" s="74"/>
      <c r="U685" s="74"/>
      <c r="V685" s="74"/>
      <c r="W685" s="74"/>
      <c r="X685" s="74"/>
      <c r="Y685" s="74"/>
      <c r="Z685" s="74"/>
      <c r="AA685" s="74"/>
      <c r="AB685" s="74"/>
    </row>
    <row r="686" spans="1:28" ht="12" customHeight="1">
      <c r="A686" s="763"/>
      <c r="B686" s="104"/>
      <c r="C686" s="104"/>
      <c r="D686" s="260"/>
      <c r="E686" s="104"/>
      <c r="F686" s="104"/>
      <c r="G686" s="35"/>
      <c r="H686" s="104"/>
      <c r="I686" s="35"/>
      <c r="J686" s="74"/>
      <c r="K686" s="74"/>
      <c r="L686" s="74"/>
      <c r="M686" s="74"/>
      <c r="N686" s="74"/>
      <c r="O686" s="74"/>
      <c r="P686" s="74"/>
      <c r="Q686" s="74"/>
      <c r="R686" s="74"/>
      <c r="S686" s="74"/>
      <c r="T686" s="74"/>
      <c r="U686" s="74"/>
      <c r="V686" s="74"/>
      <c r="W686" s="74"/>
      <c r="X686" s="74"/>
      <c r="Y686" s="74"/>
      <c r="Z686" s="74"/>
      <c r="AA686" s="74"/>
      <c r="AB686" s="74"/>
    </row>
    <row r="687" spans="1:28" ht="12" customHeight="1">
      <c r="A687" s="763"/>
      <c r="B687" s="104"/>
      <c r="C687" s="104"/>
      <c r="D687" s="260"/>
      <c r="E687" s="104"/>
      <c r="F687" s="104"/>
      <c r="G687" s="35"/>
      <c r="H687" s="104"/>
      <c r="I687" s="35"/>
      <c r="J687" s="74"/>
      <c r="K687" s="74"/>
      <c r="L687" s="74"/>
      <c r="M687" s="74"/>
      <c r="N687" s="74"/>
      <c r="O687" s="74"/>
      <c r="P687" s="74"/>
      <c r="Q687" s="74"/>
      <c r="R687" s="74"/>
      <c r="S687" s="74"/>
      <c r="T687" s="74"/>
      <c r="U687" s="74"/>
      <c r="V687" s="74"/>
      <c r="W687" s="74"/>
      <c r="X687" s="74"/>
      <c r="Y687" s="74"/>
      <c r="Z687" s="74"/>
      <c r="AA687" s="74"/>
      <c r="AB687" s="74"/>
    </row>
    <row r="688" spans="1:28" ht="12" customHeight="1">
      <c r="A688" s="763"/>
      <c r="B688" s="104"/>
      <c r="C688" s="104"/>
      <c r="D688" s="260"/>
      <c r="E688" s="104"/>
      <c r="F688" s="104"/>
      <c r="G688" s="35"/>
      <c r="H688" s="104"/>
      <c r="I688" s="35"/>
      <c r="J688" s="74"/>
      <c r="K688" s="74"/>
      <c r="L688" s="74"/>
      <c r="M688" s="74"/>
      <c r="N688" s="74"/>
      <c r="O688" s="74"/>
      <c r="P688" s="74"/>
      <c r="Q688" s="74"/>
      <c r="R688" s="74"/>
      <c r="S688" s="74"/>
      <c r="T688" s="74"/>
      <c r="U688" s="74"/>
      <c r="V688" s="74"/>
      <c r="W688" s="74"/>
      <c r="X688" s="74"/>
      <c r="Y688" s="74"/>
      <c r="Z688" s="74"/>
      <c r="AA688" s="74"/>
      <c r="AB688" s="74"/>
    </row>
    <row r="689" spans="1:28" ht="12" customHeight="1">
      <c r="A689" s="763"/>
      <c r="B689" s="104"/>
      <c r="C689" s="104"/>
      <c r="D689" s="260"/>
      <c r="E689" s="104"/>
      <c r="F689" s="104"/>
      <c r="G689" s="35"/>
      <c r="H689" s="104"/>
      <c r="I689" s="35"/>
      <c r="J689" s="74"/>
      <c r="K689" s="74"/>
      <c r="L689" s="74"/>
      <c r="M689" s="74"/>
      <c r="N689" s="74"/>
      <c r="O689" s="74"/>
      <c r="P689" s="74"/>
      <c r="Q689" s="74"/>
      <c r="R689" s="74"/>
      <c r="S689" s="74"/>
      <c r="T689" s="74"/>
      <c r="U689" s="74"/>
      <c r="V689" s="74"/>
      <c r="W689" s="74"/>
      <c r="X689" s="74"/>
      <c r="Y689" s="74"/>
      <c r="Z689" s="74"/>
      <c r="AA689" s="74"/>
      <c r="AB689" s="74"/>
    </row>
    <row r="690" spans="1:28" ht="12" customHeight="1">
      <c r="A690" s="763"/>
      <c r="B690" s="104"/>
      <c r="C690" s="104"/>
      <c r="D690" s="260"/>
      <c r="E690" s="104"/>
      <c r="F690" s="104"/>
      <c r="G690" s="35"/>
      <c r="H690" s="104"/>
      <c r="I690" s="35"/>
      <c r="J690" s="74"/>
      <c r="K690" s="74"/>
      <c r="L690" s="74"/>
      <c r="M690" s="74"/>
      <c r="N690" s="74"/>
      <c r="O690" s="74"/>
      <c r="P690" s="74"/>
      <c r="Q690" s="74"/>
      <c r="R690" s="74"/>
      <c r="S690" s="74"/>
      <c r="T690" s="74"/>
      <c r="U690" s="74"/>
      <c r="V690" s="74"/>
      <c r="W690" s="74"/>
      <c r="X690" s="74"/>
      <c r="Y690" s="74"/>
      <c r="Z690" s="74"/>
      <c r="AA690" s="74"/>
      <c r="AB690" s="74"/>
    </row>
    <row r="691" spans="1:28" ht="12" customHeight="1">
      <c r="A691" s="763"/>
      <c r="B691" s="104"/>
      <c r="C691" s="104"/>
      <c r="D691" s="260"/>
      <c r="E691" s="104"/>
      <c r="F691" s="104"/>
      <c r="G691" s="35"/>
      <c r="H691" s="104"/>
      <c r="I691" s="35"/>
      <c r="J691" s="74"/>
      <c r="K691" s="74"/>
      <c r="L691" s="74"/>
      <c r="M691" s="74"/>
      <c r="N691" s="74"/>
      <c r="O691" s="74"/>
      <c r="P691" s="74"/>
      <c r="Q691" s="74"/>
      <c r="R691" s="74"/>
      <c r="S691" s="74"/>
      <c r="T691" s="74"/>
      <c r="U691" s="74"/>
      <c r="V691" s="74"/>
      <c r="W691" s="74"/>
      <c r="X691" s="74"/>
      <c r="Y691" s="74"/>
      <c r="Z691" s="74"/>
      <c r="AA691" s="74"/>
      <c r="AB691" s="74"/>
    </row>
    <row r="692" spans="1:28" ht="12" customHeight="1">
      <c r="A692" s="763"/>
      <c r="B692" s="104"/>
      <c r="C692" s="104"/>
      <c r="D692" s="260"/>
      <c r="E692" s="104"/>
      <c r="F692" s="104"/>
      <c r="G692" s="35"/>
      <c r="H692" s="104"/>
      <c r="I692" s="35"/>
      <c r="J692" s="74"/>
      <c r="K692" s="74"/>
      <c r="L692" s="74"/>
      <c r="M692" s="74"/>
      <c r="N692" s="74"/>
      <c r="O692" s="74"/>
      <c r="P692" s="74"/>
      <c r="Q692" s="74"/>
      <c r="R692" s="74"/>
      <c r="S692" s="74"/>
      <c r="T692" s="74"/>
      <c r="U692" s="74"/>
      <c r="V692" s="74"/>
      <c r="W692" s="74"/>
      <c r="X692" s="74"/>
      <c r="Y692" s="74"/>
      <c r="Z692" s="74"/>
      <c r="AA692" s="74"/>
      <c r="AB692" s="74"/>
    </row>
    <row r="693" spans="1:28" ht="12" customHeight="1">
      <c r="A693" s="763"/>
      <c r="B693" s="104"/>
      <c r="C693" s="104"/>
      <c r="D693" s="260"/>
      <c r="E693" s="104"/>
      <c r="F693" s="104"/>
      <c r="G693" s="35"/>
      <c r="H693" s="104"/>
      <c r="I693" s="35"/>
      <c r="J693" s="74"/>
      <c r="K693" s="74"/>
      <c r="L693" s="74"/>
      <c r="M693" s="74"/>
      <c r="N693" s="74"/>
      <c r="O693" s="74"/>
      <c r="P693" s="74"/>
      <c r="Q693" s="74"/>
      <c r="R693" s="74"/>
      <c r="S693" s="74"/>
      <c r="T693" s="74"/>
      <c r="U693" s="74"/>
      <c r="V693" s="74"/>
      <c r="W693" s="74"/>
      <c r="X693" s="74"/>
      <c r="Y693" s="74"/>
      <c r="Z693" s="74"/>
      <c r="AA693" s="74"/>
      <c r="AB693" s="74"/>
    </row>
    <row r="694" spans="1:28" ht="12" customHeight="1">
      <c r="A694" s="763"/>
      <c r="B694" s="104"/>
      <c r="C694" s="104"/>
      <c r="D694" s="260"/>
      <c r="E694" s="104"/>
      <c r="F694" s="104"/>
      <c r="G694" s="35"/>
      <c r="H694" s="104"/>
      <c r="I694" s="35"/>
      <c r="J694" s="74"/>
      <c r="K694" s="74"/>
      <c r="L694" s="74"/>
      <c r="M694" s="74"/>
      <c r="N694" s="74"/>
      <c r="O694" s="74"/>
      <c r="P694" s="74"/>
      <c r="Q694" s="74"/>
      <c r="R694" s="74"/>
      <c r="S694" s="74"/>
      <c r="T694" s="74"/>
      <c r="U694" s="74"/>
      <c r="V694" s="74"/>
      <c r="W694" s="74"/>
      <c r="X694" s="74"/>
      <c r="Y694" s="74"/>
      <c r="Z694" s="74"/>
      <c r="AA694" s="74"/>
      <c r="AB694" s="74"/>
    </row>
    <row r="695" spans="1:28" ht="12" customHeight="1">
      <c r="A695" s="763"/>
      <c r="B695" s="104"/>
      <c r="C695" s="104"/>
      <c r="D695" s="260"/>
      <c r="E695" s="104"/>
      <c r="F695" s="104"/>
      <c r="G695" s="35"/>
      <c r="H695" s="104"/>
      <c r="I695" s="35"/>
      <c r="J695" s="74"/>
      <c r="K695" s="74"/>
      <c r="L695" s="74"/>
      <c r="M695" s="74"/>
      <c r="N695" s="74"/>
      <c r="O695" s="74"/>
      <c r="P695" s="74"/>
      <c r="Q695" s="74"/>
      <c r="R695" s="74"/>
      <c r="S695" s="74"/>
      <c r="T695" s="74"/>
      <c r="U695" s="74"/>
      <c r="V695" s="74"/>
      <c r="W695" s="74"/>
      <c r="X695" s="74"/>
      <c r="Y695" s="74"/>
      <c r="Z695" s="74"/>
      <c r="AA695" s="74"/>
      <c r="AB695" s="74"/>
    </row>
    <row r="696" spans="1:28" ht="12" customHeight="1">
      <c r="A696" s="763"/>
      <c r="B696" s="104"/>
      <c r="C696" s="104"/>
      <c r="D696" s="260"/>
      <c r="E696" s="104"/>
      <c r="F696" s="104"/>
      <c r="G696" s="35"/>
      <c r="H696" s="104"/>
      <c r="I696" s="35"/>
      <c r="J696" s="74"/>
      <c r="K696" s="74"/>
      <c r="L696" s="74"/>
      <c r="M696" s="74"/>
      <c r="N696" s="74"/>
      <c r="O696" s="74"/>
      <c r="P696" s="74"/>
      <c r="Q696" s="74"/>
      <c r="R696" s="74"/>
      <c r="S696" s="74"/>
      <c r="T696" s="74"/>
      <c r="U696" s="74"/>
      <c r="V696" s="74"/>
      <c r="W696" s="74"/>
      <c r="X696" s="74"/>
      <c r="Y696" s="74"/>
      <c r="Z696" s="74"/>
      <c r="AA696" s="74"/>
      <c r="AB696" s="74"/>
    </row>
    <row r="697" spans="1:28" ht="12" customHeight="1">
      <c r="A697" s="763"/>
      <c r="B697" s="104"/>
      <c r="C697" s="104"/>
      <c r="D697" s="260"/>
      <c r="E697" s="104"/>
      <c r="F697" s="104"/>
      <c r="G697" s="35"/>
      <c r="H697" s="104"/>
      <c r="I697" s="35"/>
      <c r="J697" s="74"/>
      <c r="K697" s="74"/>
      <c r="L697" s="74"/>
      <c r="M697" s="74"/>
      <c r="N697" s="74"/>
      <c r="O697" s="74"/>
      <c r="P697" s="74"/>
      <c r="Q697" s="74"/>
      <c r="R697" s="74"/>
      <c r="S697" s="74"/>
      <c r="T697" s="74"/>
      <c r="U697" s="74"/>
      <c r="V697" s="74"/>
      <c r="W697" s="74"/>
      <c r="X697" s="74"/>
      <c r="Y697" s="74"/>
      <c r="Z697" s="74"/>
      <c r="AA697" s="74"/>
      <c r="AB697" s="74"/>
    </row>
    <row r="698" spans="1:28" ht="12" customHeight="1">
      <c r="A698" s="763"/>
      <c r="B698" s="104"/>
      <c r="C698" s="104"/>
      <c r="D698" s="260"/>
      <c r="E698" s="104"/>
      <c r="F698" s="104"/>
      <c r="G698" s="35"/>
      <c r="H698" s="104"/>
      <c r="I698" s="35"/>
      <c r="J698" s="74"/>
      <c r="K698" s="74"/>
      <c r="L698" s="74"/>
      <c r="M698" s="74"/>
      <c r="N698" s="74"/>
      <c r="O698" s="74"/>
      <c r="P698" s="74"/>
      <c r="Q698" s="74"/>
      <c r="R698" s="74"/>
      <c r="S698" s="74"/>
      <c r="T698" s="74"/>
      <c r="U698" s="74"/>
      <c r="V698" s="74"/>
      <c r="W698" s="74"/>
      <c r="X698" s="74"/>
      <c r="Y698" s="74"/>
      <c r="Z698" s="74"/>
      <c r="AA698" s="74"/>
      <c r="AB698" s="74"/>
    </row>
    <row r="699" spans="1:28" ht="12" customHeight="1">
      <c r="A699" s="763"/>
      <c r="B699" s="104"/>
      <c r="C699" s="104"/>
      <c r="D699" s="260"/>
      <c r="E699" s="104"/>
      <c r="F699" s="104"/>
      <c r="G699" s="35"/>
      <c r="H699" s="104"/>
      <c r="I699" s="35"/>
      <c r="J699" s="74"/>
      <c r="K699" s="74"/>
      <c r="L699" s="74"/>
      <c r="M699" s="74"/>
      <c r="N699" s="74"/>
      <c r="O699" s="74"/>
      <c r="P699" s="74"/>
      <c r="Q699" s="74"/>
      <c r="R699" s="74"/>
      <c r="S699" s="74"/>
      <c r="T699" s="74"/>
      <c r="U699" s="74"/>
      <c r="V699" s="74"/>
      <c r="W699" s="74"/>
      <c r="X699" s="74"/>
      <c r="Y699" s="74"/>
      <c r="Z699" s="74"/>
      <c r="AA699" s="74"/>
      <c r="AB699" s="74"/>
    </row>
    <row r="700" spans="1:28" ht="12" customHeight="1">
      <c r="A700" s="763"/>
      <c r="B700" s="104"/>
      <c r="C700" s="104"/>
      <c r="D700" s="260"/>
      <c r="E700" s="104"/>
      <c r="F700" s="104"/>
      <c r="G700" s="35"/>
      <c r="H700" s="104"/>
      <c r="I700" s="35"/>
      <c r="J700" s="74"/>
      <c r="K700" s="74"/>
      <c r="L700" s="74"/>
      <c r="M700" s="74"/>
      <c r="N700" s="74"/>
      <c r="O700" s="74"/>
      <c r="P700" s="74"/>
      <c r="Q700" s="74"/>
      <c r="R700" s="74"/>
      <c r="S700" s="74"/>
      <c r="T700" s="74"/>
      <c r="U700" s="74"/>
      <c r="V700" s="74"/>
      <c r="W700" s="74"/>
      <c r="X700" s="74"/>
      <c r="Y700" s="74"/>
      <c r="Z700" s="74"/>
      <c r="AA700" s="74"/>
      <c r="AB700" s="74"/>
    </row>
    <row r="701" spans="1:28" ht="12" customHeight="1">
      <c r="A701" s="763"/>
      <c r="B701" s="104"/>
      <c r="C701" s="104"/>
      <c r="D701" s="260"/>
      <c r="E701" s="104"/>
      <c r="F701" s="104"/>
      <c r="G701" s="35"/>
      <c r="H701" s="104"/>
      <c r="I701" s="35"/>
      <c r="J701" s="74"/>
      <c r="K701" s="74"/>
      <c r="L701" s="74"/>
      <c r="M701" s="74"/>
      <c r="N701" s="74"/>
      <c r="O701" s="74"/>
      <c r="P701" s="74"/>
      <c r="Q701" s="74"/>
      <c r="R701" s="74"/>
      <c r="S701" s="74"/>
      <c r="T701" s="74"/>
      <c r="U701" s="74"/>
      <c r="V701" s="74"/>
      <c r="W701" s="74"/>
      <c r="X701" s="74"/>
      <c r="Y701" s="74"/>
      <c r="Z701" s="74"/>
      <c r="AA701" s="74"/>
      <c r="AB701" s="74"/>
    </row>
    <row r="702" spans="1:28" ht="12" customHeight="1">
      <c r="A702" s="763"/>
      <c r="B702" s="104"/>
      <c r="C702" s="104"/>
      <c r="D702" s="260"/>
      <c r="E702" s="104"/>
      <c r="F702" s="104"/>
      <c r="G702" s="35"/>
      <c r="H702" s="104"/>
      <c r="I702" s="35"/>
      <c r="J702" s="74"/>
      <c r="K702" s="74"/>
      <c r="L702" s="74"/>
      <c r="M702" s="74"/>
      <c r="N702" s="74"/>
      <c r="O702" s="74"/>
      <c r="P702" s="74"/>
      <c r="Q702" s="74"/>
      <c r="R702" s="74"/>
      <c r="S702" s="74"/>
      <c r="T702" s="74"/>
      <c r="U702" s="74"/>
      <c r="V702" s="74"/>
      <c r="W702" s="74"/>
      <c r="X702" s="74"/>
      <c r="Y702" s="74"/>
      <c r="Z702" s="74"/>
      <c r="AA702" s="74"/>
      <c r="AB702" s="74"/>
    </row>
    <row r="703" spans="1:28" ht="12" customHeight="1">
      <c r="A703" s="763"/>
      <c r="B703" s="104"/>
      <c r="C703" s="104"/>
      <c r="D703" s="260"/>
      <c r="E703" s="104"/>
      <c r="F703" s="104"/>
      <c r="G703" s="35"/>
      <c r="H703" s="104"/>
      <c r="I703" s="35"/>
      <c r="J703" s="74"/>
      <c r="K703" s="74"/>
      <c r="L703" s="74"/>
      <c r="M703" s="74"/>
      <c r="N703" s="74"/>
      <c r="O703" s="74"/>
      <c r="P703" s="74"/>
      <c r="Q703" s="74"/>
      <c r="R703" s="74"/>
      <c r="S703" s="74"/>
      <c r="T703" s="74"/>
      <c r="U703" s="74"/>
      <c r="V703" s="74"/>
      <c r="W703" s="74"/>
      <c r="X703" s="74"/>
      <c r="Y703" s="74"/>
      <c r="Z703" s="74"/>
      <c r="AA703" s="74"/>
      <c r="AB703" s="74"/>
    </row>
    <row r="704" spans="1:28" ht="12" customHeight="1">
      <c r="A704" s="763"/>
      <c r="B704" s="104"/>
      <c r="C704" s="104"/>
      <c r="D704" s="260"/>
      <c r="E704" s="104"/>
      <c r="F704" s="104"/>
      <c r="G704" s="35"/>
      <c r="H704" s="104"/>
      <c r="I704" s="35"/>
      <c r="J704" s="74"/>
      <c r="K704" s="74"/>
      <c r="L704" s="74"/>
      <c r="M704" s="74"/>
      <c r="N704" s="74"/>
      <c r="O704" s="74"/>
      <c r="P704" s="74"/>
      <c r="Q704" s="74"/>
      <c r="R704" s="74"/>
      <c r="S704" s="74"/>
      <c r="T704" s="74"/>
      <c r="U704" s="74"/>
      <c r="V704" s="74"/>
      <c r="W704" s="74"/>
      <c r="X704" s="74"/>
      <c r="Y704" s="74"/>
      <c r="Z704" s="74"/>
      <c r="AA704" s="74"/>
      <c r="AB704" s="74"/>
    </row>
    <row r="705" spans="1:28" ht="12" customHeight="1">
      <c r="A705" s="763"/>
      <c r="B705" s="104"/>
      <c r="C705" s="104"/>
      <c r="D705" s="260"/>
      <c r="E705" s="104"/>
      <c r="F705" s="104"/>
      <c r="G705" s="35"/>
      <c r="H705" s="104"/>
      <c r="I705" s="35"/>
      <c r="J705" s="74"/>
      <c r="K705" s="74"/>
      <c r="L705" s="74"/>
      <c r="M705" s="74"/>
      <c r="N705" s="74"/>
      <c r="O705" s="74"/>
      <c r="P705" s="74"/>
      <c r="Q705" s="74"/>
      <c r="R705" s="74"/>
      <c r="S705" s="74"/>
      <c r="T705" s="74"/>
      <c r="U705" s="74"/>
      <c r="V705" s="74"/>
      <c r="W705" s="74"/>
      <c r="X705" s="74"/>
      <c r="Y705" s="74"/>
      <c r="Z705" s="74"/>
      <c r="AA705" s="74"/>
      <c r="AB705" s="74"/>
    </row>
    <row r="706" spans="1:28" ht="12" customHeight="1">
      <c r="A706" s="763"/>
      <c r="B706" s="104"/>
      <c r="C706" s="104"/>
      <c r="D706" s="260"/>
      <c r="E706" s="104"/>
      <c r="F706" s="104"/>
      <c r="G706" s="35"/>
      <c r="H706" s="104"/>
      <c r="I706" s="35"/>
      <c r="J706" s="74"/>
      <c r="K706" s="74"/>
      <c r="L706" s="74"/>
      <c r="M706" s="74"/>
      <c r="N706" s="74"/>
      <c r="O706" s="74"/>
      <c r="P706" s="74"/>
      <c r="Q706" s="74"/>
      <c r="R706" s="74"/>
      <c r="S706" s="74"/>
      <c r="T706" s="74"/>
      <c r="U706" s="74"/>
      <c r="V706" s="74"/>
      <c r="W706" s="74"/>
      <c r="X706" s="74"/>
      <c r="Y706" s="74"/>
      <c r="Z706" s="74"/>
      <c r="AA706" s="74"/>
      <c r="AB706" s="74"/>
    </row>
    <row r="707" spans="1:28" ht="12" customHeight="1">
      <c r="A707" s="763"/>
      <c r="B707" s="104"/>
      <c r="C707" s="104"/>
      <c r="D707" s="260"/>
      <c r="E707" s="104"/>
      <c r="F707" s="104"/>
      <c r="G707" s="35"/>
      <c r="H707" s="104"/>
      <c r="I707" s="35"/>
      <c r="J707" s="74"/>
      <c r="K707" s="74"/>
      <c r="L707" s="74"/>
      <c r="M707" s="74"/>
      <c r="N707" s="74"/>
      <c r="O707" s="74"/>
      <c r="P707" s="74"/>
      <c r="Q707" s="74"/>
      <c r="R707" s="74"/>
      <c r="S707" s="74"/>
      <c r="T707" s="74"/>
      <c r="U707" s="74"/>
      <c r="V707" s="74"/>
      <c r="W707" s="74"/>
      <c r="X707" s="74"/>
      <c r="Y707" s="74"/>
      <c r="Z707" s="74"/>
      <c r="AA707" s="74"/>
      <c r="AB707" s="74"/>
    </row>
    <row r="708" spans="1:28" ht="12" customHeight="1">
      <c r="A708" s="763"/>
      <c r="B708" s="104"/>
      <c r="C708" s="104"/>
      <c r="D708" s="260"/>
      <c r="E708" s="104"/>
      <c r="F708" s="104"/>
      <c r="G708" s="35"/>
      <c r="H708" s="104"/>
      <c r="I708" s="35"/>
      <c r="J708" s="74"/>
      <c r="K708" s="74"/>
      <c r="L708" s="74"/>
      <c r="M708" s="74"/>
      <c r="N708" s="74"/>
      <c r="O708" s="74"/>
      <c r="P708" s="74"/>
      <c r="Q708" s="74"/>
      <c r="R708" s="74"/>
      <c r="S708" s="74"/>
      <c r="T708" s="74"/>
      <c r="U708" s="74"/>
      <c r="V708" s="74"/>
      <c r="W708" s="74"/>
      <c r="X708" s="74"/>
      <c r="Y708" s="74"/>
      <c r="Z708" s="74"/>
      <c r="AA708" s="74"/>
      <c r="AB708" s="74"/>
    </row>
    <row r="709" spans="1:28" ht="12" customHeight="1">
      <c r="A709" s="763"/>
      <c r="B709" s="104"/>
      <c r="C709" s="104"/>
      <c r="D709" s="260"/>
      <c r="E709" s="104"/>
      <c r="F709" s="104"/>
      <c r="G709" s="35"/>
      <c r="H709" s="104"/>
      <c r="I709" s="35"/>
      <c r="J709" s="74"/>
      <c r="K709" s="74"/>
      <c r="L709" s="74"/>
      <c r="M709" s="74"/>
      <c r="N709" s="74"/>
      <c r="O709" s="74"/>
      <c r="P709" s="74"/>
      <c r="Q709" s="74"/>
      <c r="R709" s="74"/>
      <c r="S709" s="74"/>
      <c r="T709" s="74"/>
      <c r="U709" s="74"/>
      <c r="V709" s="74"/>
      <c r="W709" s="74"/>
      <c r="X709" s="74"/>
      <c r="Y709" s="74"/>
      <c r="Z709" s="74"/>
      <c r="AA709" s="74"/>
      <c r="AB709" s="74"/>
    </row>
    <row r="710" spans="1:28" ht="12" customHeight="1">
      <c r="A710" s="763"/>
      <c r="B710" s="104"/>
      <c r="C710" s="104"/>
      <c r="D710" s="260"/>
      <c r="E710" s="104"/>
      <c r="F710" s="104"/>
      <c r="G710" s="35"/>
      <c r="H710" s="104"/>
      <c r="I710" s="35"/>
      <c r="J710" s="74"/>
      <c r="K710" s="74"/>
      <c r="L710" s="74"/>
      <c r="M710" s="74"/>
      <c r="N710" s="74"/>
      <c r="O710" s="74"/>
      <c r="P710" s="74"/>
      <c r="Q710" s="74"/>
      <c r="R710" s="74"/>
      <c r="S710" s="74"/>
      <c r="T710" s="74"/>
      <c r="U710" s="74"/>
      <c r="V710" s="74"/>
      <c r="W710" s="74"/>
      <c r="X710" s="74"/>
      <c r="Y710" s="74"/>
      <c r="Z710" s="74"/>
      <c r="AA710" s="74"/>
      <c r="AB710" s="74"/>
    </row>
    <row r="711" spans="1:28" ht="12" customHeight="1">
      <c r="A711" s="763"/>
      <c r="B711" s="104"/>
      <c r="C711" s="104"/>
      <c r="D711" s="260"/>
      <c r="E711" s="104"/>
      <c r="F711" s="104"/>
      <c r="G711" s="35"/>
      <c r="H711" s="104"/>
      <c r="I711" s="35"/>
      <c r="J711" s="74"/>
      <c r="K711" s="74"/>
      <c r="L711" s="74"/>
      <c r="M711" s="74"/>
      <c r="N711" s="74"/>
      <c r="O711" s="74"/>
      <c r="P711" s="74"/>
      <c r="Q711" s="74"/>
      <c r="R711" s="74"/>
      <c r="S711" s="74"/>
      <c r="T711" s="74"/>
      <c r="U711" s="74"/>
      <c r="V711" s="74"/>
      <c r="W711" s="74"/>
      <c r="X711" s="74"/>
      <c r="Y711" s="74"/>
      <c r="Z711" s="74"/>
      <c r="AA711" s="74"/>
      <c r="AB711" s="74"/>
    </row>
    <row r="712" spans="1:28" ht="12" customHeight="1">
      <c r="A712" s="763"/>
      <c r="B712" s="104"/>
      <c r="C712" s="104"/>
      <c r="D712" s="260"/>
      <c r="E712" s="104"/>
      <c r="F712" s="104"/>
      <c r="G712" s="35"/>
      <c r="H712" s="104"/>
      <c r="I712" s="35"/>
      <c r="J712" s="74"/>
      <c r="K712" s="74"/>
      <c r="L712" s="74"/>
      <c r="M712" s="74"/>
      <c r="N712" s="74"/>
      <c r="O712" s="74"/>
      <c r="P712" s="74"/>
      <c r="Q712" s="74"/>
      <c r="R712" s="74"/>
      <c r="S712" s="74"/>
      <c r="T712" s="74"/>
      <c r="U712" s="74"/>
      <c r="V712" s="74"/>
      <c r="W712" s="74"/>
      <c r="X712" s="74"/>
      <c r="Y712" s="74"/>
      <c r="Z712" s="74"/>
      <c r="AA712" s="74"/>
      <c r="AB712" s="74"/>
    </row>
    <row r="713" spans="1:28" ht="12" customHeight="1">
      <c r="A713" s="763"/>
      <c r="B713" s="104"/>
      <c r="C713" s="104"/>
      <c r="D713" s="260"/>
      <c r="E713" s="104"/>
      <c r="F713" s="104"/>
      <c r="G713" s="35"/>
      <c r="H713" s="104"/>
      <c r="I713" s="35"/>
      <c r="J713" s="74"/>
      <c r="K713" s="74"/>
      <c r="L713" s="74"/>
      <c r="M713" s="74"/>
      <c r="N713" s="74"/>
      <c r="O713" s="74"/>
      <c r="P713" s="74"/>
      <c r="Q713" s="74"/>
      <c r="R713" s="74"/>
      <c r="S713" s="74"/>
      <c r="T713" s="74"/>
      <c r="U713" s="74"/>
      <c r="V713" s="74"/>
      <c r="W713" s="74"/>
      <c r="X713" s="74"/>
      <c r="Y713" s="74"/>
      <c r="Z713" s="74"/>
      <c r="AA713" s="74"/>
      <c r="AB713" s="74"/>
    </row>
    <row r="714" spans="1:28" ht="12" customHeight="1">
      <c r="A714" s="763"/>
      <c r="B714" s="104"/>
      <c r="C714" s="104"/>
      <c r="D714" s="260"/>
      <c r="E714" s="104"/>
      <c r="F714" s="104"/>
      <c r="G714" s="35"/>
      <c r="H714" s="104"/>
      <c r="I714" s="35"/>
      <c r="J714" s="74"/>
      <c r="K714" s="74"/>
      <c r="L714" s="74"/>
      <c r="M714" s="74"/>
      <c r="N714" s="74"/>
      <c r="O714" s="74"/>
      <c r="P714" s="74"/>
      <c r="Q714" s="74"/>
      <c r="R714" s="74"/>
      <c r="S714" s="74"/>
      <c r="T714" s="74"/>
      <c r="U714" s="74"/>
      <c r="V714" s="74"/>
      <c r="W714" s="74"/>
      <c r="X714" s="74"/>
      <c r="Y714" s="74"/>
      <c r="Z714" s="74"/>
      <c r="AA714" s="74"/>
      <c r="AB714" s="74"/>
    </row>
    <row r="715" spans="1:28" ht="12" customHeight="1">
      <c r="A715" s="763"/>
      <c r="B715" s="104"/>
      <c r="C715" s="104"/>
      <c r="D715" s="260"/>
      <c r="E715" s="104"/>
      <c r="F715" s="104"/>
      <c r="G715" s="35"/>
      <c r="H715" s="104"/>
      <c r="I715" s="35"/>
      <c r="J715" s="74"/>
      <c r="K715" s="74"/>
      <c r="L715" s="74"/>
      <c r="M715" s="74"/>
      <c r="N715" s="74"/>
      <c r="O715" s="74"/>
      <c r="P715" s="74"/>
      <c r="Q715" s="74"/>
      <c r="R715" s="74"/>
      <c r="S715" s="74"/>
      <c r="T715" s="74"/>
      <c r="U715" s="74"/>
      <c r="V715" s="74"/>
      <c r="W715" s="74"/>
      <c r="X715" s="74"/>
      <c r="Y715" s="74"/>
      <c r="Z715" s="74"/>
      <c r="AA715" s="74"/>
      <c r="AB715" s="74"/>
    </row>
    <row r="716" spans="1:28" ht="12" customHeight="1">
      <c r="A716" s="763"/>
      <c r="B716" s="104"/>
      <c r="C716" s="104"/>
      <c r="D716" s="260"/>
      <c r="E716" s="104"/>
      <c r="F716" s="104"/>
      <c r="G716" s="35"/>
      <c r="H716" s="104"/>
      <c r="I716" s="35"/>
      <c r="J716" s="74"/>
      <c r="K716" s="74"/>
      <c r="L716" s="74"/>
      <c r="M716" s="74"/>
      <c r="N716" s="74"/>
      <c r="O716" s="74"/>
      <c r="P716" s="74"/>
      <c r="Q716" s="74"/>
      <c r="R716" s="74"/>
      <c r="S716" s="74"/>
      <c r="T716" s="74"/>
      <c r="U716" s="74"/>
      <c r="V716" s="74"/>
      <c r="W716" s="74"/>
      <c r="X716" s="74"/>
      <c r="Y716" s="74"/>
      <c r="Z716" s="74"/>
      <c r="AA716" s="74"/>
      <c r="AB716" s="74"/>
    </row>
    <row r="717" spans="1:28" ht="12" customHeight="1">
      <c r="A717" s="763"/>
      <c r="B717" s="104"/>
      <c r="C717" s="104"/>
      <c r="D717" s="260"/>
      <c r="E717" s="104"/>
      <c r="F717" s="104"/>
      <c r="G717" s="35"/>
      <c r="H717" s="104"/>
      <c r="I717" s="35"/>
      <c r="J717" s="74"/>
      <c r="K717" s="74"/>
      <c r="L717" s="74"/>
      <c r="M717" s="74"/>
      <c r="N717" s="74"/>
      <c r="O717" s="74"/>
      <c r="P717" s="74"/>
      <c r="Q717" s="74"/>
      <c r="R717" s="74"/>
      <c r="S717" s="74"/>
      <c r="T717" s="74"/>
      <c r="U717" s="74"/>
      <c r="V717" s="74"/>
      <c r="W717" s="74"/>
      <c r="X717" s="74"/>
      <c r="Y717" s="74"/>
      <c r="Z717" s="74"/>
      <c r="AA717" s="74"/>
      <c r="AB717" s="74"/>
    </row>
    <row r="718" spans="1:28" ht="12" customHeight="1">
      <c r="A718" s="763"/>
      <c r="B718" s="104"/>
      <c r="C718" s="104"/>
      <c r="D718" s="260"/>
      <c r="E718" s="104"/>
      <c r="F718" s="104"/>
      <c r="G718" s="35"/>
      <c r="H718" s="104"/>
      <c r="I718" s="35"/>
      <c r="J718" s="74"/>
      <c r="K718" s="74"/>
      <c r="L718" s="74"/>
      <c r="M718" s="74"/>
      <c r="N718" s="74"/>
      <c r="O718" s="74"/>
      <c r="P718" s="74"/>
      <c r="Q718" s="74"/>
      <c r="R718" s="74"/>
      <c r="S718" s="74"/>
      <c r="T718" s="74"/>
      <c r="U718" s="74"/>
      <c r="V718" s="74"/>
      <c r="W718" s="74"/>
      <c r="X718" s="74"/>
      <c r="Y718" s="74"/>
      <c r="Z718" s="74"/>
      <c r="AA718" s="74"/>
      <c r="AB718" s="74"/>
    </row>
    <row r="719" spans="1:28" ht="12" customHeight="1">
      <c r="A719" s="763"/>
      <c r="B719" s="104"/>
      <c r="C719" s="104"/>
      <c r="D719" s="260"/>
      <c r="E719" s="104"/>
      <c r="F719" s="104"/>
      <c r="G719" s="35"/>
      <c r="H719" s="104"/>
      <c r="I719" s="35"/>
      <c r="J719" s="74"/>
      <c r="K719" s="74"/>
      <c r="L719" s="74"/>
      <c r="M719" s="74"/>
      <c r="N719" s="74"/>
      <c r="O719" s="74"/>
      <c r="P719" s="74"/>
      <c r="Q719" s="74"/>
      <c r="R719" s="74"/>
      <c r="S719" s="74"/>
      <c r="T719" s="74"/>
      <c r="U719" s="74"/>
      <c r="V719" s="74"/>
      <c r="W719" s="74"/>
      <c r="X719" s="74"/>
      <c r="Y719" s="74"/>
      <c r="Z719" s="74"/>
      <c r="AA719" s="74"/>
      <c r="AB719" s="74"/>
    </row>
    <row r="720" spans="1:28" ht="12" customHeight="1">
      <c r="A720" s="763"/>
      <c r="B720" s="104"/>
      <c r="C720" s="104"/>
      <c r="D720" s="260"/>
      <c r="E720" s="104"/>
      <c r="F720" s="104"/>
      <c r="G720" s="35"/>
      <c r="H720" s="104"/>
      <c r="I720" s="35"/>
      <c r="J720" s="74"/>
      <c r="K720" s="74"/>
      <c r="L720" s="74"/>
      <c r="M720" s="74"/>
      <c r="N720" s="74"/>
      <c r="O720" s="74"/>
      <c r="P720" s="74"/>
      <c r="Q720" s="74"/>
      <c r="R720" s="74"/>
      <c r="S720" s="74"/>
      <c r="T720" s="74"/>
      <c r="U720" s="74"/>
      <c r="V720" s="74"/>
      <c r="W720" s="74"/>
      <c r="X720" s="74"/>
      <c r="Y720" s="74"/>
      <c r="Z720" s="74"/>
      <c r="AA720" s="74"/>
      <c r="AB720" s="74"/>
    </row>
    <row r="721" spans="1:28" ht="12" customHeight="1">
      <c r="A721" s="763"/>
      <c r="B721" s="104"/>
      <c r="C721" s="104"/>
      <c r="D721" s="260"/>
      <c r="E721" s="104"/>
      <c r="F721" s="104"/>
      <c r="G721" s="35"/>
      <c r="H721" s="104"/>
      <c r="I721" s="35"/>
      <c r="J721" s="74"/>
      <c r="K721" s="74"/>
      <c r="L721" s="74"/>
      <c r="M721" s="74"/>
      <c r="N721" s="74"/>
      <c r="O721" s="74"/>
      <c r="P721" s="74"/>
      <c r="Q721" s="74"/>
      <c r="R721" s="74"/>
      <c r="S721" s="74"/>
      <c r="T721" s="74"/>
      <c r="U721" s="74"/>
      <c r="V721" s="74"/>
      <c r="W721" s="74"/>
      <c r="X721" s="74"/>
      <c r="Y721" s="74"/>
      <c r="Z721" s="74"/>
      <c r="AA721" s="74"/>
      <c r="AB721" s="74"/>
    </row>
    <row r="722" spans="1:28" ht="12" customHeight="1">
      <c r="A722" s="763"/>
      <c r="B722" s="104"/>
      <c r="C722" s="104"/>
      <c r="D722" s="260"/>
      <c r="E722" s="104"/>
      <c r="F722" s="104"/>
      <c r="G722" s="35"/>
      <c r="H722" s="104"/>
      <c r="I722" s="35"/>
      <c r="J722" s="74"/>
      <c r="K722" s="74"/>
      <c r="L722" s="74"/>
      <c r="M722" s="74"/>
      <c r="N722" s="74"/>
      <c r="O722" s="74"/>
      <c r="P722" s="74"/>
      <c r="Q722" s="74"/>
      <c r="R722" s="74"/>
      <c r="S722" s="74"/>
      <c r="T722" s="74"/>
      <c r="U722" s="74"/>
      <c r="V722" s="74"/>
      <c r="W722" s="74"/>
      <c r="X722" s="74"/>
      <c r="Y722" s="74"/>
      <c r="Z722" s="74"/>
      <c r="AA722" s="74"/>
      <c r="AB722" s="74"/>
    </row>
    <row r="723" spans="1:28" ht="12" customHeight="1">
      <c r="A723" s="763"/>
      <c r="B723" s="104"/>
      <c r="C723" s="104"/>
      <c r="D723" s="260"/>
      <c r="E723" s="104"/>
      <c r="F723" s="104"/>
      <c r="G723" s="35"/>
      <c r="H723" s="104"/>
      <c r="I723" s="35"/>
      <c r="J723" s="74"/>
      <c r="K723" s="74"/>
      <c r="L723" s="74"/>
      <c r="M723" s="74"/>
      <c r="N723" s="74"/>
      <c r="O723" s="74"/>
      <c r="P723" s="74"/>
      <c r="Q723" s="74"/>
      <c r="R723" s="74"/>
      <c r="S723" s="74"/>
      <c r="T723" s="74"/>
      <c r="U723" s="74"/>
      <c r="V723" s="74"/>
      <c r="W723" s="74"/>
      <c r="X723" s="74"/>
      <c r="Y723" s="74"/>
      <c r="Z723" s="74"/>
      <c r="AA723" s="74"/>
      <c r="AB723" s="74"/>
    </row>
    <row r="724" spans="1:28" ht="12" customHeight="1">
      <c r="A724" s="763"/>
      <c r="B724" s="104"/>
      <c r="C724" s="104"/>
      <c r="D724" s="260"/>
      <c r="E724" s="104"/>
      <c r="F724" s="104"/>
      <c r="G724" s="35"/>
      <c r="H724" s="104"/>
      <c r="I724" s="35"/>
      <c r="J724" s="74"/>
      <c r="K724" s="74"/>
      <c r="L724" s="74"/>
      <c r="M724" s="74"/>
      <c r="N724" s="74"/>
      <c r="O724" s="74"/>
      <c r="P724" s="74"/>
      <c r="Q724" s="74"/>
      <c r="R724" s="74"/>
      <c r="S724" s="74"/>
      <c r="T724" s="74"/>
      <c r="U724" s="74"/>
      <c r="V724" s="74"/>
      <c r="W724" s="74"/>
      <c r="X724" s="74"/>
      <c r="Y724" s="74"/>
      <c r="Z724" s="74"/>
      <c r="AA724" s="74"/>
      <c r="AB724" s="74"/>
    </row>
    <row r="725" spans="1:28" ht="12" customHeight="1">
      <c r="A725" s="763"/>
      <c r="B725" s="104"/>
      <c r="C725" s="104"/>
      <c r="D725" s="260"/>
      <c r="E725" s="104"/>
      <c r="F725" s="104"/>
      <c r="G725" s="35"/>
      <c r="H725" s="104"/>
      <c r="I725" s="35"/>
      <c r="J725" s="74"/>
      <c r="K725" s="74"/>
      <c r="L725" s="74"/>
      <c r="M725" s="74"/>
      <c r="N725" s="74"/>
      <c r="O725" s="74"/>
      <c r="P725" s="74"/>
      <c r="Q725" s="74"/>
      <c r="R725" s="74"/>
      <c r="S725" s="74"/>
      <c r="T725" s="74"/>
      <c r="U725" s="74"/>
      <c r="V725" s="74"/>
      <c r="W725" s="74"/>
      <c r="X725" s="74"/>
      <c r="Y725" s="74"/>
      <c r="Z725" s="74"/>
      <c r="AA725" s="74"/>
      <c r="AB725" s="74"/>
    </row>
    <row r="726" spans="1:28" ht="12" customHeight="1">
      <c r="A726" s="763"/>
      <c r="B726" s="104"/>
      <c r="C726" s="104"/>
      <c r="D726" s="260"/>
      <c r="E726" s="104"/>
      <c r="F726" s="104"/>
      <c r="G726" s="35"/>
      <c r="H726" s="104"/>
      <c r="I726" s="35"/>
      <c r="J726" s="74"/>
      <c r="K726" s="74"/>
      <c r="L726" s="74"/>
      <c r="M726" s="74"/>
      <c r="N726" s="74"/>
      <c r="O726" s="74"/>
      <c r="P726" s="74"/>
      <c r="Q726" s="74"/>
      <c r="R726" s="74"/>
      <c r="S726" s="74"/>
      <c r="T726" s="74"/>
      <c r="U726" s="74"/>
      <c r="V726" s="74"/>
      <c r="W726" s="74"/>
      <c r="X726" s="74"/>
      <c r="Y726" s="74"/>
      <c r="Z726" s="74"/>
      <c r="AA726" s="74"/>
      <c r="AB726" s="74"/>
    </row>
    <row r="727" spans="1:28" ht="12" customHeight="1">
      <c r="A727" s="763"/>
      <c r="B727" s="104"/>
      <c r="C727" s="104"/>
      <c r="D727" s="260"/>
      <c r="E727" s="104"/>
      <c r="F727" s="104"/>
      <c r="G727" s="35"/>
      <c r="H727" s="104"/>
      <c r="I727" s="35"/>
      <c r="J727" s="74"/>
      <c r="K727" s="74"/>
      <c r="L727" s="74"/>
      <c r="M727" s="74"/>
      <c r="N727" s="74"/>
      <c r="O727" s="74"/>
      <c r="P727" s="74"/>
      <c r="Q727" s="74"/>
      <c r="R727" s="74"/>
      <c r="S727" s="74"/>
      <c r="T727" s="74"/>
      <c r="U727" s="74"/>
      <c r="V727" s="74"/>
      <c r="W727" s="74"/>
      <c r="X727" s="74"/>
      <c r="Y727" s="74"/>
      <c r="Z727" s="74"/>
      <c r="AA727" s="74"/>
      <c r="AB727" s="74"/>
    </row>
    <row r="728" spans="1:28" ht="12" customHeight="1">
      <c r="A728" s="763"/>
      <c r="B728" s="104"/>
      <c r="C728" s="104"/>
      <c r="D728" s="260"/>
      <c r="E728" s="104"/>
      <c r="F728" s="104"/>
      <c r="G728" s="35"/>
      <c r="H728" s="104"/>
      <c r="I728" s="35"/>
      <c r="J728" s="74"/>
      <c r="K728" s="74"/>
      <c r="L728" s="74"/>
      <c r="M728" s="74"/>
      <c r="N728" s="74"/>
      <c r="O728" s="74"/>
      <c r="P728" s="74"/>
      <c r="Q728" s="74"/>
      <c r="R728" s="74"/>
      <c r="S728" s="74"/>
      <c r="T728" s="74"/>
      <c r="U728" s="74"/>
      <c r="V728" s="74"/>
      <c r="W728" s="74"/>
      <c r="X728" s="74"/>
      <c r="Y728" s="74"/>
      <c r="Z728" s="74"/>
      <c r="AA728" s="74"/>
      <c r="AB728" s="74"/>
    </row>
    <row r="729" spans="1:28" ht="12" customHeight="1">
      <c r="A729" s="763"/>
      <c r="B729" s="104"/>
      <c r="C729" s="104"/>
      <c r="D729" s="260"/>
      <c r="E729" s="104"/>
      <c r="F729" s="104"/>
      <c r="G729" s="35"/>
      <c r="H729" s="104"/>
      <c r="I729" s="35"/>
      <c r="J729" s="74"/>
      <c r="K729" s="74"/>
      <c r="L729" s="74"/>
      <c r="M729" s="74"/>
      <c r="N729" s="74"/>
      <c r="O729" s="74"/>
      <c r="P729" s="74"/>
      <c r="Q729" s="74"/>
      <c r="R729" s="74"/>
      <c r="S729" s="74"/>
      <c r="T729" s="74"/>
      <c r="U729" s="74"/>
      <c r="V729" s="74"/>
      <c r="W729" s="74"/>
      <c r="X729" s="74"/>
      <c r="Y729" s="74"/>
      <c r="Z729" s="74"/>
      <c r="AA729" s="74"/>
      <c r="AB729" s="74"/>
    </row>
    <row r="730" spans="1:28" ht="12" customHeight="1">
      <c r="A730" s="763"/>
      <c r="B730" s="104"/>
      <c r="C730" s="104"/>
      <c r="D730" s="260"/>
      <c r="E730" s="104"/>
      <c r="F730" s="104"/>
      <c r="G730" s="35"/>
      <c r="H730" s="104"/>
      <c r="I730" s="35"/>
      <c r="J730" s="74"/>
      <c r="K730" s="74"/>
      <c r="L730" s="74"/>
      <c r="M730" s="74"/>
      <c r="N730" s="74"/>
      <c r="O730" s="74"/>
      <c r="P730" s="74"/>
      <c r="Q730" s="74"/>
      <c r="R730" s="74"/>
      <c r="S730" s="74"/>
      <c r="T730" s="74"/>
      <c r="U730" s="74"/>
      <c r="V730" s="74"/>
      <c r="W730" s="74"/>
      <c r="X730" s="74"/>
      <c r="Y730" s="74"/>
      <c r="Z730" s="74"/>
      <c r="AA730" s="74"/>
      <c r="AB730" s="74"/>
    </row>
    <row r="731" spans="1:28" ht="12" customHeight="1">
      <c r="A731" s="763"/>
      <c r="B731" s="104"/>
      <c r="C731" s="104"/>
      <c r="D731" s="260"/>
      <c r="E731" s="104"/>
      <c r="F731" s="104"/>
      <c r="G731" s="35"/>
      <c r="H731" s="104"/>
      <c r="I731" s="35"/>
      <c r="J731" s="74"/>
      <c r="K731" s="74"/>
      <c r="L731" s="74"/>
      <c r="M731" s="74"/>
      <c r="N731" s="74"/>
      <c r="O731" s="74"/>
      <c r="P731" s="74"/>
      <c r="Q731" s="74"/>
      <c r="R731" s="74"/>
      <c r="S731" s="74"/>
      <c r="T731" s="74"/>
      <c r="U731" s="74"/>
      <c r="V731" s="74"/>
      <c r="W731" s="74"/>
      <c r="X731" s="74"/>
      <c r="Y731" s="74"/>
      <c r="Z731" s="74"/>
      <c r="AA731" s="74"/>
      <c r="AB731" s="74"/>
    </row>
    <row r="732" spans="1:28" ht="12" customHeight="1">
      <c r="A732" s="763"/>
      <c r="B732" s="104"/>
      <c r="C732" s="104"/>
      <c r="D732" s="260"/>
      <c r="E732" s="104"/>
      <c r="F732" s="104"/>
      <c r="G732" s="35"/>
      <c r="H732" s="104"/>
      <c r="I732" s="35"/>
      <c r="J732" s="74"/>
      <c r="K732" s="74"/>
      <c r="L732" s="74"/>
      <c r="M732" s="74"/>
      <c r="N732" s="74"/>
      <c r="O732" s="74"/>
      <c r="P732" s="74"/>
      <c r="Q732" s="74"/>
      <c r="R732" s="74"/>
      <c r="S732" s="74"/>
      <c r="T732" s="74"/>
      <c r="U732" s="74"/>
      <c r="V732" s="74"/>
      <c r="W732" s="74"/>
      <c r="X732" s="74"/>
      <c r="Y732" s="74"/>
      <c r="Z732" s="74"/>
      <c r="AA732" s="74"/>
      <c r="AB732" s="74"/>
    </row>
    <row r="733" spans="1:28" ht="12" customHeight="1">
      <c r="A733" s="763"/>
      <c r="B733" s="104"/>
      <c r="C733" s="104"/>
      <c r="D733" s="260"/>
      <c r="E733" s="104"/>
      <c r="F733" s="104"/>
      <c r="G733" s="35"/>
      <c r="H733" s="104"/>
      <c r="I733" s="35"/>
      <c r="J733" s="74"/>
      <c r="K733" s="74"/>
      <c r="L733" s="74"/>
      <c r="M733" s="74"/>
      <c r="N733" s="74"/>
      <c r="O733" s="74"/>
      <c r="P733" s="74"/>
      <c r="Q733" s="74"/>
      <c r="R733" s="74"/>
      <c r="S733" s="74"/>
      <c r="T733" s="74"/>
      <c r="U733" s="74"/>
      <c r="V733" s="74"/>
      <c r="W733" s="74"/>
      <c r="X733" s="74"/>
      <c r="Y733" s="74"/>
      <c r="Z733" s="74"/>
      <c r="AA733" s="74"/>
      <c r="AB733" s="74"/>
    </row>
    <row r="734" spans="1:28" ht="12" customHeight="1">
      <c r="A734" s="763"/>
      <c r="B734" s="104"/>
      <c r="C734" s="104"/>
      <c r="D734" s="260"/>
      <c r="E734" s="104"/>
      <c r="F734" s="104"/>
      <c r="G734" s="35"/>
      <c r="H734" s="104"/>
      <c r="I734" s="35"/>
      <c r="J734" s="74"/>
      <c r="K734" s="74"/>
      <c r="L734" s="74"/>
      <c r="M734" s="74"/>
      <c r="N734" s="74"/>
      <c r="O734" s="74"/>
      <c r="P734" s="74"/>
      <c r="Q734" s="74"/>
      <c r="R734" s="74"/>
      <c r="S734" s="74"/>
      <c r="T734" s="74"/>
      <c r="U734" s="74"/>
      <c r="V734" s="74"/>
      <c r="W734" s="74"/>
      <c r="X734" s="74"/>
      <c r="Y734" s="74"/>
      <c r="Z734" s="74"/>
      <c r="AA734" s="74"/>
      <c r="AB734" s="74"/>
    </row>
    <row r="735" spans="1:28" ht="12" customHeight="1">
      <c r="A735" s="763"/>
      <c r="B735" s="104"/>
      <c r="C735" s="104"/>
      <c r="D735" s="260"/>
      <c r="E735" s="104"/>
      <c r="F735" s="104"/>
      <c r="G735" s="35"/>
      <c r="H735" s="104"/>
      <c r="I735" s="35"/>
      <c r="J735" s="74"/>
      <c r="K735" s="74"/>
      <c r="L735" s="74"/>
      <c r="M735" s="74"/>
      <c r="N735" s="74"/>
      <c r="O735" s="74"/>
      <c r="P735" s="74"/>
      <c r="Q735" s="74"/>
      <c r="R735" s="74"/>
      <c r="S735" s="74"/>
      <c r="T735" s="74"/>
      <c r="U735" s="74"/>
      <c r="V735" s="74"/>
      <c r="W735" s="74"/>
      <c r="X735" s="74"/>
      <c r="Y735" s="74"/>
      <c r="Z735" s="74"/>
      <c r="AA735" s="74"/>
      <c r="AB735" s="74"/>
    </row>
    <row r="736" spans="1:28" ht="12" customHeight="1">
      <c r="A736" s="763"/>
      <c r="B736" s="104"/>
      <c r="C736" s="104"/>
      <c r="D736" s="260"/>
      <c r="E736" s="104"/>
      <c r="F736" s="104"/>
      <c r="G736" s="35"/>
      <c r="H736" s="104"/>
      <c r="I736" s="35"/>
      <c r="J736" s="74"/>
      <c r="K736" s="74"/>
      <c r="L736" s="74"/>
      <c r="M736" s="74"/>
      <c r="N736" s="74"/>
      <c r="O736" s="74"/>
      <c r="P736" s="74"/>
      <c r="Q736" s="74"/>
      <c r="R736" s="74"/>
      <c r="S736" s="74"/>
      <c r="T736" s="74"/>
      <c r="U736" s="74"/>
      <c r="V736" s="74"/>
      <c r="W736" s="74"/>
      <c r="X736" s="74"/>
      <c r="Y736" s="74"/>
      <c r="Z736" s="74"/>
      <c r="AA736" s="74"/>
      <c r="AB736" s="74"/>
    </row>
    <row r="737" spans="1:28" ht="12" customHeight="1">
      <c r="A737" s="763"/>
      <c r="B737" s="104"/>
      <c r="C737" s="104"/>
      <c r="D737" s="260"/>
      <c r="E737" s="104"/>
      <c r="F737" s="104"/>
      <c r="G737" s="35"/>
      <c r="H737" s="104"/>
      <c r="I737" s="35"/>
      <c r="J737" s="74"/>
      <c r="K737" s="74"/>
      <c r="L737" s="74"/>
      <c r="M737" s="74"/>
      <c r="N737" s="74"/>
      <c r="O737" s="74"/>
      <c r="P737" s="74"/>
      <c r="Q737" s="74"/>
      <c r="R737" s="74"/>
      <c r="S737" s="74"/>
      <c r="T737" s="74"/>
      <c r="U737" s="74"/>
      <c r="V737" s="74"/>
      <c r="W737" s="74"/>
      <c r="X737" s="74"/>
      <c r="Y737" s="74"/>
      <c r="Z737" s="74"/>
      <c r="AA737" s="74"/>
      <c r="AB737" s="74"/>
    </row>
    <row r="738" spans="1:28" ht="12" customHeight="1">
      <c r="A738" s="763"/>
      <c r="B738" s="104"/>
      <c r="C738" s="104"/>
      <c r="D738" s="260"/>
      <c r="E738" s="104"/>
      <c r="F738" s="104"/>
      <c r="G738" s="35"/>
      <c r="H738" s="104"/>
      <c r="I738" s="35"/>
      <c r="J738" s="74"/>
      <c r="K738" s="74"/>
      <c r="L738" s="74"/>
      <c r="M738" s="74"/>
      <c r="N738" s="74"/>
      <c r="O738" s="74"/>
      <c r="P738" s="74"/>
      <c r="Q738" s="74"/>
      <c r="R738" s="74"/>
      <c r="S738" s="74"/>
      <c r="T738" s="74"/>
      <c r="U738" s="74"/>
      <c r="V738" s="74"/>
      <c r="W738" s="74"/>
      <c r="X738" s="74"/>
      <c r="Y738" s="74"/>
      <c r="Z738" s="74"/>
      <c r="AA738" s="74"/>
      <c r="AB738" s="74"/>
    </row>
    <row r="739" spans="1:28" ht="12" customHeight="1">
      <c r="A739" s="763"/>
      <c r="B739" s="104"/>
      <c r="C739" s="104"/>
      <c r="D739" s="260"/>
      <c r="E739" s="104"/>
      <c r="F739" s="104"/>
      <c r="G739" s="35"/>
      <c r="H739" s="104"/>
      <c r="I739" s="35"/>
      <c r="J739" s="74"/>
      <c r="K739" s="74"/>
      <c r="L739" s="74"/>
      <c r="M739" s="74"/>
      <c r="N739" s="74"/>
      <c r="O739" s="74"/>
      <c r="P739" s="74"/>
      <c r="Q739" s="74"/>
      <c r="R739" s="74"/>
      <c r="S739" s="74"/>
      <c r="T739" s="74"/>
      <c r="U739" s="74"/>
      <c r="V739" s="74"/>
      <c r="W739" s="74"/>
      <c r="X739" s="74"/>
      <c r="Y739" s="74"/>
      <c r="Z739" s="74"/>
      <c r="AA739" s="74"/>
      <c r="AB739" s="74"/>
    </row>
    <row r="740" spans="1:28" ht="12" customHeight="1">
      <c r="A740" s="763"/>
      <c r="B740" s="104"/>
      <c r="C740" s="104"/>
      <c r="D740" s="260"/>
      <c r="E740" s="104"/>
      <c r="F740" s="104"/>
      <c r="G740" s="35"/>
      <c r="H740" s="104"/>
      <c r="I740" s="35"/>
      <c r="J740" s="74"/>
      <c r="K740" s="74"/>
      <c r="L740" s="74"/>
      <c r="M740" s="74"/>
      <c r="N740" s="74"/>
      <c r="O740" s="74"/>
      <c r="P740" s="74"/>
      <c r="Q740" s="74"/>
      <c r="R740" s="74"/>
      <c r="S740" s="74"/>
      <c r="T740" s="74"/>
      <c r="U740" s="74"/>
      <c r="V740" s="74"/>
      <c r="W740" s="74"/>
      <c r="X740" s="74"/>
      <c r="Y740" s="74"/>
      <c r="Z740" s="74"/>
      <c r="AA740" s="74"/>
      <c r="AB740" s="74"/>
    </row>
    <row r="741" spans="1:28" ht="12" customHeight="1">
      <c r="A741" s="763"/>
      <c r="B741" s="104"/>
      <c r="C741" s="104"/>
      <c r="D741" s="260"/>
      <c r="E741" s="104"/>
      <c r="F741" s="104"/>
      <c r="G741" s="35"/>
      <c r="H741" s="104"/>
      <c r="I741" s="35"/>
      <c r="J741" s="74"/>
      <c r="K741" s="74"/>
      <c r="L741" s="74"/>
      <c r="M741" s="74"/>
      <c r="N741" s="74"/>
      <c r="O741" s="74"/>
      <c r="P741" s="74"/>
      <c r="Q741" s="74"/>
      <c r="R741" s="74"/>
      <c r="S741" s="74"/>
      <c r="T741" s="74"/>
      <c r="U741" s="74"/>
      <c r="V741" s="74"/>
      <c r="W741" s="74"/>
      <c r="X741" s="74"/>
      <c r="Y741" s="74"/>
      <c r="Z741" s="74"/>
      <c r="AA741" s="74"/>
      <c r="AB741" s="74"/>
    </row>
    <row r="742" spans="1:28" ht="12" customHeight="1">
      <c r="A742" s="763"/>
      <c r="B742" s="104"/>
      <c r="C742" s="104"/>
      <c r="D742" s="260"/>
      <c r="E742" s="104"/>
      <c r="F742" s="104"/>
      <c r="G742" s="35"/>
      <c r="H742" s="104"/>
      <c r="I742" s="35"/>
      <c r="J742" s="74"/>
      <c r="K742" s="74"/>
      <c r="L742" s="74"/>
      <c r="M742" s="74"/>
      <c r="N742" s="74"/>
      <c r="O742" s="74"/>
      <c r="P742" s="74"/>
      <c r="Q742" s="74"/>
      <c r="R742" s="74"/>
      <c r="S742" s="74"/>
      <c r="T742" s="74"/>
      <c r="U742" s="74"/>
      <c r="V742" s="74"/>
      <c r="W742" s="74"/>
      <c r="X742" s="74"/>
      <c r="Y742" s="74"/>
      <c r="Z742" s="74"/>
      <c r="AA742" s="74"/>
      <c r="AB742" s="74"/>
    </row>
    <row r="743" spans="1:28" ht="12" customHeight="1">
      <c r="A743" s="763"/>
      <c r="B743" s="104"/>
      <c r="C743" s="104"/>
      <c r="D743" s="260"/>
      <c r="E743" s="104"/>
      <c r="F743" s="104"/>
      <c r="G743" s="35"/>
      <c r="H743" s="104"/>
      <c r="I743" s="35"/>
      <c r="J743" s="74"/>
      <c r="K743" s="74"/>
      <c r="L743" s="74"/>
      <c r="M743" s="74"/>
      <c r="N743" s="74"/>
      <c r="O743" s="74"/>
      <c r="P743" s="74"/>
      <c r="Q743" s="74"/>
      <c r="R743" s="74"/>
      <c r="S743" s="74"/>
      <c r="T743" s="74"/>
      <c r="U743" s="74"/>
      <c r="V743" s="74"/>
      <c r="W743" s="74"/>
      <c r="X743" s="74"/>
      <c r="Y743" s="74"/>
      <c r="Z743" s="74"/>
      <c r="AA743" s="74"/>
      <c r="AB743" s="74"/>
    </row>
    <row r="744" spans="1:28" ht="12" customHeight="1">
      <c r="A744" s="763"/>
      <c r="B744" s="104"/>
      <c r="C744" s="104"/>
      <c r="D744" s="260"/>
      <c r="E744" s="104"/>
      <c r="F744" s="104"/>
      <c r="G744" s="35"/>
      <c r="H744" s="104"/>
      <c r="I744" s="35"/>
      <c r="J744" s="74"/>
      <c r="K744" s="74"/>
      <c r="L744" s="74"/>
      <c r="M744" s="74"/>
      <c r="N744" s="74"/>
      <c r="O744" s="74"/>
      <c r="P744" s="74"/>
      <c r="Q744" s="74"/>
      <c r="R744" s="74"/>
      <c r="S744" s="74"/>
      <c r="T744" s="74"/>
      <c r="U744" s="74"/>
      <c r="V744" s="74"/>
      <c r="W744" s="74"/>
      <c r="X744" s="74"/>
      <c r="Y744" s="74"/>
      <c r="Z744" s="74"/>
      <c r="AA744" s="74"/>
      <c r="AB744" s="74"/>
    </row>
    <row r="745" spans="1:28" ht="12" customHeight="1">
      <c r="A745" s="763"/>
      <c r="B745" s="104"/>
      <c r="C745" s="104"/>
      <c r="D745" s="260"/>
      <c r="E745" s="104"/>
      <c r="F745" s="104"/>
      <c r="G745" s="35"/>
      <c r="H745" s="104"/>
      <c r="I745" s="35"/>
      <c r="J745" s="74"/>
      <c r="K745" s="74"/>
      <c r="L745" s="74"/>
      <c r="M745" s="74"/>
      <c r="N745" s="74"/>
      <c r="O745" s="74"/>
      <c r="P745" s="74"/>
      <c r="Q745" s="74"/>
      <c r="R745" s="74"/>
      <c r="S745" s="74"/>
      <c r="T745" s="74"/>
      <c r="U745" s="74"/>
      <c r="V745" s="74"/>
      <c r="W745" s="74"/>
      <c r="X745" s="74"/>
      <c r="Y745" s="74"/>
      <c r="Z745" s="74"/>
      <c r="AA745" s="74"/>
      <c r="AB745" s="74"/>
    </row>
    <row r="746" spans="1:28" ht="12" customHeight="1">
      <c r="A746" s="763"/>
      <c r="B746" s="104"/>
      <c r="C746" s="104"/>
      <c r="D746" s="260"/>
      <c r="E746" s="104"/>
      <c r="F746" s="104"/>
      <c r="G746" s="35"/>
      <c r="H746" s="104"/>
      <c r="I746" s="35"/>
      <c r="J746" s="74"/>
      <c r="K746" s="74"/>
      <c r="L746" s="74"/>
      <c r="M746" s="74"/>
      <c r="N746" s="74"/>
      <c r="O746" s="74"/>
      <c r="P746" s="74"/>
      <c r="Q746" s="74"/>
      <c r="R746" s="74"/>
      <c r="S746" s="74"/>
      <c r="T746" s="74"/>
      <c r="U746" s="74"/>
      <c r="V746" s="74"/>
      <c r="W746" s="74"/>
      <c r="X746" s="74"/>
      <c r="Y746" s="74"/>
      <c r="Z746" s="74"/>
      <c r="AA746" s="74"/>
      <c r="AB746" s="74"/>
    </row>
    <row r="747" spans="1:28" ht="12" customHeight="1">
      <c r="A747" s="763"/>
      <c r="B747" s="104"/>
      <c r="C747" s="104"/>
      <c r="D747" s="260"/>
      <c r="E747" s="104"/>
      <c r="F747" s="104"/>
      <c r="G747" s="35"/>
      <c r="H747" s="104"/>
      <c r="I747" s="35"/>
      <c r="J747" s="74"/>
      <c r="K747" s="74"/>
      <c r="L747" s="74"/>
      <c r="M747" s="74"/>
      <c r="N747" s="74"/>
      <c r="O747" s="74"/>
      <c r="P747" s="74"/>
      <c r="Q747" s="74"/>
      <c r="R747" s="74"/>
      <c r="S747" s="74"/>
      <c r="T747" s="74"/>
      <c r="U747" s="74"/>
      <c r="V747" s="74"/>
      <c r="W747" s="74"/>
      <c r="X747" s="74"/>
      <c r="Y747" s="74"/>
      <c r="Z747" s="74"/>
      <c r="AA747" s="74"/>
      <c r="AB747" s="74"/>
    </row>
    <row r="748" spans="1:28" ht="12" customHeight="1">
      <c r="A748" s="763"/>
      <c r="B748" s="104"/>
      <c r="C748" s="104"/>
      <c r="D748" s="260"/>
      <c r="E748" s="104"/>
      <c r="F748" s="104"/>
      <c r="G748" s="35"/>
      <c r="H748" s="104"/>
      <c r="I748" s="35"/>
      <c r="J748" s="74"/>
      <c r="K748" s="74"/>
      <c r="L748" s="74"/>
      <c r="M748" s="74"/>
      <c r="N748" s="74"/>
      <c r="O748" s="74"/>
      <c r="P748" s="74"/>
      <c r="Q748" s="74"/>
      <c r="R748" s="74"/>
      <c r="S748" s="74"/>
      <c r="T748" s="74"/>
      <c r="U748" s="74"/>
      <c r="V748" s="74"/>
      <c r="W748" s="74"/>
      <c r="X748" s="74"/>
      <c r="Y748" s="74"/>
      <c r="Z748" s="74"/>
      <c r="AA748" s="74"/>
      <c r="AB748" s="74"/>
    </row>
    <row r="749" spans="1:28" ht="12" customHeight="1">
      <c r="A749" s="763"/>
      <c r="B749" s="104"/>
      <c r="C749" s="104"/>
      <c r="D749" s="260"/>
      <c r="E749" s="104"/>
      <c r="F749" s="104"/>
      <c r="G749" s="35"/>
      <c r="H749" s="104"/>
      <c r="I749" s="35"/>
      <c r="J749" s="74"/>
      <c r="K749" s="74"/>
      <c r="L749" s="74"/>
      <c r="M749" s="74"/>
      <c r="N749" s="74"/>
      <c r="O749" s="74"/>
      <c r="P749" s="74"/>
      <c r="Q749" s="74"/>
      <c r="R749" s="74"/>
      <c r="S749" s="74"/>
      <c r="T749" s="74"/>
      <c r="U749" s="74"/>
      <c r="V749" s="74"/>
      <c r="W749" s="74"/>
      <c r="X749" s="74"/>
      <c r="Y749" s="74"/>
      <c r="Z749" s="74"/>
      <c r="AA749" s="74"/>
      <c r="AB749" s="74"/>
    </row>
    <row r="750" spans="1:28" ht="12" customHeight="1">
      <c r="A750" s="763"/>
      <c r="B750" s="104"/>
      <c r="C750" s="104"/>
      <c r="D750" s="260"/>
      <c r="E750" s="104"/>
      <c r="F750" s="104"/>
      <c r="G750" s="35"/>
      <c r="H750" s="104"/>
      <c r="I750" s="35"/>
      <c r="J750" s="74"/>
      <c r="K750" s="74"/>
      <c r="L750" s="74"/>
      <c r="M750" s="74"/>
      <c r="N750" s="74"/>
      <c r="O750" s="74"/>
      <c r="P750" s="74"/>
      <c r="Q750" s="74"/>
      <c r="R750" s="74"/>
      <c r="S750" s="74"/>
      <c r="T750" s="74"/>
      <c r="U750" s="74"/>
      <c r="V750" s="74"/>
      <c r="W750" s="74"/>
      <c r="X750" s="74"/>
      <c r="Y750" s="74"/>
      <c r="Z750" s="74"/>
      <c r="AA750" s="74"/>
      <c r="AB750" s="74"/>
    </row>
    <row r="751" spans="1:28" ht="12" customHeight="1">
      <c r="A751" s="763"/>
      <c r="B751" s="104"/>
      <c r="C751" s="104"/>
      <c r="D751" s="260"/>
      <c r="E751" s="104"/>
      <c r="F751" s="104"/>
      <c r="G751" s="35"/>
      <c r="H751" s="104"/>
      <c r="I751" s="35"/>
      <c r="J751" s="74"/>
      <c r="K751" s="74"/>
      <c r="L751" s="74"/>
      <c r="M751" s="74"/>
      <c r="N751" s="74"/>
      <c r="O751" s="74"/>
      <c r="P751" s="74"/>
      <c r="Q751" s="74"/>
      <c r="R751" s="74"/>
      <c r="S751" s="74"/>
      <c r="T751" s="74"/>
      <c r="U751" s="74"/>
      <c r="V751" s="74"/>
      <c r="W751" s="74"/>
      <c r="X751" s="74"/>
      <c r="Y751" s="74"/>
      <c r="Z751" s="74"/>
      <c r="AA751" s="74"/>
      <c r="AB751" s="74"/>
    </row>
    <row r="752" spans="1:28" ht="12" customHeight="1">
      <c r="A752" s="763"/>
      <c r="B752" s="104"/>
      <c r="C752" s="104"/>
      <c r="D752" s="260"/>
      <c r="E752" s="104"/>
      <c r="F752" s="104"/>
      <c r="G752" s="35"/>
      <c r="H752" s="104"/>
      <c r="I752" s="35"/>
      <c r="J752" s="74"/>
      <c r="K752" s="74"/>
      <c r="L752" s="74"/>
      <c r="M752" s="74"/>
      <c r="N752" s="74"/>
      <c r="O752" s="74"/>
      <c r="P752" s="74"/>
      <c r="Q752" s="74"/>
      <c r="R752" s="74"/>
      <c r="S752" s="74"/>
      <c r="T752" s="74"/>
      <c r="U752" s="74"/>
      <c r="V752" s="74"/>
      <c r="W752" s="74"/>
      <c r="X752" s="74"/>
      <c r="Y752" s="74"/>
      <c r="Z752" s="74"/>
      <c r="AA752" s="74"/>
      <c r="AB752" s="74"/>
    </row>
    <row r="753" spans="1:28" ht="12" customHeight="1">
      <c r="A753" s="763"/>
      <c r="B753" s="104"/>
      <c r="C753" s="104"/>
      <c r="D753" s="260"/>
      <c r="E753" s="104"/>
      <c r="F753" s="104"/>
      <c r="G753" s="35"/>
      <c r="H753" s="104"/>
      <c r="I753" s="35"/>
      <c r="J753" s="74"/>
      <c r="K753" s="74"/>
      <c r="L753" s="74"/>
      <c r="M753" s="74"/>
      <c r="N753" s="74"/>
      <c r="O753" s="74"/>
      <c r="P753" s="74"/>
      <c r="Q753" s="74"/>
      <c r="R753" s="74"/>
      <c r="S753" s="74"/>
      <c r="T753" s="74"/>
      <c r="U753" s="74"/>
      <c r="V753" s="74"/>
      <c r="W753" s="74"/>
      <c r="X753" s="74"/>
      <c r="Y753" s="74"/>
      <c r="Z753" s="74"/>
      <c r="AA753" s="74"/>
      <c r="AB753" s="74"/>
    </row>
    <row r="754" spans="1:28" ht="12" customHeight="1">
      <c r="A754" s="763"/>
      <c r="B754" s="104"/>
      <c r="C754" s="104"/>
      <c r="D754" s="260"/>
      <c r="E754" s="104"/>
      <c r="F754" s="104"/>
      <c r="G754" s="35"/>
      <c r="H754" s="104"/>
      <c r="I754" s="35"/>
      <c r="J754" s="74"/>
      <c r="K754" s="74"/>
      <c r="L754" s="74"/>
      <c r="M754" s="74"/>
      <c r="N754" s="74"/>
      <c r="O754" s="74"/>
      <c r="P754" s="74"/>
      <c r="Q754" s="74"/>
      <c r="R754" s="74"/>
      <c r="S754" s="74"/>
      <c r="T754" s="74"/>
      <c r="U754" s="74"/>
      <c r="V754" s="74"/>
      <c r="W754" s="74"/>
      <c r="X754" s="74"/>
      <c r="Y754" s="74"/>
      <c r="Z754" s="74"/>
      <c r="AA754" s="74"/>
      <c r="AB754" s="74"/>
    </row>
    <row r="755" spans="1:28" ht="12" customHeight="1">
      <c r="A755" s="763"/>
      <c r="B755" s="104"/>
      <c r="C755" s="104"/>
      <c r="D755" s="260"/>
      <c r="E755" s="104"/>
      <c r="F755" s="104"/>
      <c r="G755" s="35"/>
      <c r="H755" s="104"/>
      <c r="I755" s="35"/>
      <c r="J755" s="74"/>
      <c r="K755" s="74"/>
      <c r="L755" s="74"/>
      <c r="M755" s="74"/>
      <c r="N755" s="74"/>
      <c r="O755" s="74"/>
      <c r="P755" s="74"/>
      <c r="Q755" s="74"/>
      <c r="R755" s="74"/>
      <c r="S755" s="74"/>
      <c r="T755" s="74"/>
      <c r="U755" s="74"/>
      <c r="V755" s="74"/>
      <c r="W755" s="74"/>
      <c r="X755" s="74"/>
      <c r="Y755" s="74"/>
      <c r="Z755" s="74"/>
      <c r="AA755" s="74"/>
      <c r="AB755" s="74"/>
    </row>
    <row r="756" spans="1:28" ht="12" customHeight="1">
      <c r="A756" s="763"/>
      <c r="B756" s="104"/>
      <c r="C756" s="104"/>
      <c r="D756" s="260"/>
      <c r="E756" s="104"/>
      <c r="F756" s="104"/>
      <c r="G756" s="35"/>
      <c r="H756" s="104"/>
      <c r="I756" s="35"/>
      <c r="J756" s="74"/>
      <c r="K756" s="74"/>
      <c r="L756" s="74"/>
      <c r="M756" s="74"/>
      <c r="N756" s="74"/>
      <c r="O756" s="74"/>
      <c r="P756" s="74"/>
      <c r="Q756" s="74"/>
      <c r="R756" s="74"/>
      <c r="S756" s="74"/>
      <c r="T756" s="74"/>
      <c r="U756" s="74"/>
      <c r="V756" s="74"/>
      <c r="W756" s="74"/>
      <c r="X756" s="74"/>
      <c r="Y756" s="74"/>
      <c r="Z756" s="74"/>
      <c r="AA756" s="74"/>
      <c r="AB756" s="74"/>
    </row>
    <row r="757" spans="1:28" ht="12" customHeight="1">
      <c r="A757" s="763"/>
      <c r="B757" s="104"/>
      <c r="C757" s="104"/>
      <c r="D757" s="260"/>
      <c r="E757" s="104"/>
      <c r="F757" s="104"/>
      <c r="G757" s="35"/>
      <c r="H757" s="104"/>
      <c r="I757" s="35"/>
      <c r="J757" s="74"/>
      <c r="K757" s="74"/>
      <c r="L757" s="74"/>
      <c r="M757" s="74"/>
      <c r="N757" s="74"/>
      <c r="O757" s="74"/>
      <c r="P757" s="74"/>
      <c r="Q757" s="74"/>
      <c r="R757" s="74"/>
      <c r="S757" s="74"/>
      <c r="T757" s="74"/>
      <c r="U757" s="74"/>
      <c r="V757" s="74"/>
      <c r="W757" s="74"/>
      <c r="X757" s="74"/>
      <c r="Y757" s="74"/>
      <c r="Z757" s="74"/>
      <c r="AA757" s="74"/>
      <c r="AB757" s="74"/>
    </row>
    <row r="758" spans="1:28" ht="12" customHeight="1">
      <c r="A758" s="763"/>
      <c r="B758" s="104"/>
      <c r="C758" s="104"/>
      <c r="D758" s="260"/>
      <c r="E758" s="104"/>
      <c r="F758" s="104"/>
      <c r="G758" s="35"/>
      <c r="H758" s="104"/>
      <c r="I758" s="35"/>
      <c r="J758" s="74"/>
      <c r="K758" s="74"/>
      <c r="L758" s="74"/>
      <c r="M758" s="74"/>
      <c r="N758" s="74"/>
      <c r="O758" s="74"/>
      <c r="P758" s="74"/>
      <c r="Q758" s="74"/>
      <c r="R758" s="74"/>
      <c r="S758" s="74"/>
      <c r="T758" s="74"/>
      <c r="U758" s="74"/>
      <c r="V758" s="74"/>
      <c r="W758" s="74"/>
      <c r="X758" s="74"/>
      <c r="Y758" s="74"/>
      <c r="Z758" s="74"/>
      <c r="AA758" s="74"/>
      <c r="AB758" s="74"/>
    </row>
    <row r="759" spans="1:28" ht="12" customHeight="1">
      <c r="A759" s="763"/>
      <c r="B759" s="104"/>
      <c r="C759" s="104"/>
      <c r="D759" s="260"/>
      <c r="E759" s="104"/>
      <c r="F759" s="104"/>
      <c r="G759" s="35"/>
      <c r="H759" s="104"/>
      <c r="I759" s="35"/>
      <c r="J759" s="74"/>
      <c r="K759" s="74"/>
      <c r="L759" s="74"/>
      <c r="M759" s="74"/>
      <c r="N759" s="74"/>
      <c r="O759" s="74"/>
      <c r="P759" s="74"/>
      <c r="Q759" s="74"/>
      <c r="R759" s="74"/>
      <c r="S759" s="74"/>
      <c r="T759" s="74"/>
      <c r="U759" s="74"/>
      <c r="V759" s="74"/>
      <c r="W759" s="74"/>
      <c r="X759" s="74"/>
      <c r="Y759" s="74"/>
      <c r="Z759" s="74"/>
      <c r="AA759" s="74"/>
      <c r="AB759" s="74"/>
    </row>
    <row r="760" spans="1:28" ht="12" customHeight="1">
      <c r="A760" s="763"/>
      <c r="B760" s="104"/>
      <c r="C760" s="104"/>
      <c r="D760" s="260"/>
      <c r="E760" s="104"/>
      <c r="F760" s="104"/>
      <c r="G760" s="35"/>
      <c r="H760" s="104"/>
      <c r="I760" s="35"/>
      <c r="J760" s="74"/>
      <c r="K760" s="74"/>
      <c r="L760" s="74"/>
      <c r="M760" s="74"/>
      <c r="N760" s="74"/>
      <c r="O760" s="74"/>
      <c r="P760" s="74"/>
      <c r="Q760" s="74"/>
      <c r="R760" s="74"/>
      <c r="S760" s="74"/>
      <c r="T760" s="74"/>
      <c r="U760" s="74"/>
      <c r="V760" s="74"/>
      <c r="W760" s="74"/>
      <c r="X760" s="74"/>
      <c r="Y760" s="74"/>
      <c r="Z760" s="74"/>
      <c r="AA760" s="74"/>
      <c r="AB760" s="74"/>
    </row>
    <row r="761" spans="1:28" ht="12" customHeight="1">
      <c r="A761" s="763"/>
      <c r="B761" s="104"/>
      <c r="C761" s="104"/>
      <c r="D761" s="260"/>
      <c r="E761" s="104"/>
      <c r="F761" s="104"/>
      <c r="G761" s="35"/>
      <c r="H761" s="104"/>
      <c r="I761" s="35"/>
      <c r="J761" s="74"/>
      <c r="K761" s="74"/>
      <c r="L761" s="74"/>
      <c r="M761" s="74"/>
      <c r="N761" s="74"/>
      <c r="O761" s="74"/>
      <c r="P761" s="74"/>
      <c r="Q761" s="74"/>
      <c r="R761" s="74"/>
      <c r="S761" s="74"/>
      <c r="T761" s="74"/>
      <c r="U761" s="74"/>
      <c r="V761" s="74"/>
      <c r="W761" s="74"/>
      <c r="X761" s="74"/>
      <c r="Y761" s="74"/>
      <c r="Z761" s="74"/>
      <c r="AA761" s="74"/>
      <c r="AB761" s="74"/>
    </row>
    <row r="762" spans="1:28" ht="12" customHeight="1">
      <c r="A762" s="763"/>
      <c r="B762" s="104"/>
      <c r="C762" s="104"/>
      <c r="D762" s="260"/>
      <c r="E762" s="104"/>
      <c r="F762" s="104"/>
      <c r="G762" s="35"/>
      <c r="H762" s="104"/>
      <c r="I762" s="35"/>
      <c r="J762" s="74"/>
      <c r="K762" s="74"/>
      <c r="L762" s="74"/>
      <c r="M762" s="74"/>
      <c r="N762" s="74"/>
      <c r="O762" s="74"/>
      <c r="P762" s="74"/>
      <c r="Q762" s="74"/>
      <c r="R762" s="74"/>
      <c r="S762" s="74"/>
      <c r="T762" s="74"/>
      <c r="U762" s="74"/>
      <c r="V762" s="74"/>
      <c r="W762" s="74"/>
      <c r="X762" s="74"/>
      <c r="Y762" s="74"/>
      <c r="Z762" s="74"/>
      <c r="AA762" s="74"/>
      <c r="AB762" s="74"/>
    </row>
    <row r="763" spans="1:28" ht="12" customHeight="1">
      <c r="A763" s="763"/>
      <c r="B763" s="104"/>
      <c r="C763" s="104"/>
      <c r="D763" s="260"/>
      <c r="E763" s="104"/>
      <c r="F763" s="104"/>
      <c r="G763" s="35"/>
      <c r="H763" s="104"/>
      <c r="I763" s="35"/>
      <c r="J763" s="74"/>
      <c r="K763" s="74"/>
      <c r="L763" s="74"/>
      <c r="M763" s="74"/>
      <c r="N763" s="74"/>
      <c r="O763" s="74"/>
      <c r="P763" s="74"/>
      <c r="Q763" s="74"/>
      <c r="R763" s="74"/>
      <c r="S763" s="74"/>
      <c r="T763" s="74"/>
      <c r="U763" s="74"/>
      <c r="V763" s="74"/>
      <c r="W763" s="74"/>
      <c r="X763" s="74"/>
      <c r="Y763" s="74"/>
      <c r="Z763" s="74"/>
      <c r="AA763" s="74"/>
      <c r="AB763" s="74"/>
    </row>
    <row r="764" spans="1:28" ht="12" customHeight="1">
      <c r="A764" s="763"/>
      <c r="B764" s="104"/>
      <c r="C764" s="104"/>
      <c r="D764" s="260"/>
      <c r="E764" s="104"/>
      <c r="F764" s="104"/>
      <c r="G764" s="35"/>
      <c r="H764" s="104"/>
      <c r="I764" s="35"/>
      <c r="J764" s="74"/>
      <c r="K764" s="74"/>
      <c r="L764" s="74"/>
      <c r="M764" s="74"/>
      <c r="N764" s="74"/>
      <c r="O764" s="74"/>
      <c r="P764" s="74"/>
      <c r="Q764" s="74"/>
      <c r="R764" s="74"/>
      <c r="S764" s="74"/>
      <c r="T764" s="74"/>
      <c r="U764" s="74"/>
      <c r="V764" s="74"/>
      <c r="W764" s="74"/>
      <c r="X764" s="74"/>
      <c r="Y764" s="74"/>
      <c r="Z764" s="74"/>
      <c r="AA764" s="74"/>
      <c r="AB764" s="74"/>
    </row>
    <row r="765" spans="1:28" ht="12" customHeight="1">
      <c r="A765" s="763"/>
      <c r="B765" s="104"/>
      <c r="C765" s="104"/>
      <c r="D765" s="260"/>
      <c r="E765" s="104"/>
      <c r="F765" s="104"/>
      <c r="G765" s="35"/>
      <c r="H765" s="104"/>
      <c r="I765" s="35"/>
      <c r="J765" s="74"/>
      <c r="K765" s="74"/>
      <c r="L765" s="74"/>
      <c r="M765" s="74"/>
      <c r="N765" s="74"/>
      <c r="O765" s="74"/>
      <c r="P765" s="74"/>
      <c r="Q765" s="74"/>
      <c r="R765" s="74"/>
      <c r="S765" s="74"/>
      <c r="T765" s="74"/>
      <c r="U765" s="74"/>
      <c r="V765" s="74"/>
      <c r="W765" s="74"/>
      <c r="X765" s="74"/>
      <c r="Y765" s="74"/>
      <c r="Z765" s="74"/>
      <c r="AA765" s="74"/>
      <c r="AB765" s="74"/>
    </row>
    <row r="766" spans="1:28" ht="12" customHeight="1">
      <c r="A766" s="763"/>
      <c r="B766" s="104"/>
      <c r="C766" s="104"/>
      <c r="D766" s="260"/>
      <c r="E766" s="104"/>
      <c r="F766" s="104"/>
      <c r="G766" s="35"/>
      <c r="H766" s="104"/>
      <c r="I766" s="35"/>
      <c r="J766" s="74"/>
      <c r="K766" s="74"/>
      <c r="L766" s="74"/>
      <c r="M766" s="74"/>
      <c r="N766" s="74"/>
      <c r="O766" s="74"/>
      <c r="P766" s="74"/>
      <c r="Q766" s="74"/>
      <c r="R766" s="74"/>
      <c r="S766" s="74"/>
      <c r="T766" s="74"/>
      <c r="U766" s="74"/>
      <c r="V766" s="74"/>
      <c r="W766" s="74"/>
      <c r="X766" s="74"/>
      <c r="Y766" s="74"/>
      <c r="Z766" s="74"/>
      <c r="AA766" s="74"/>
      <c r="AB766" s="74"/>
    </row>
    <row r="767" spans="1:28" ht="12" customHeight="1">
      <c r="A767" s="763"/>
      <c r="B767" s="104"/>
      <c r="C767" s="104"/>
      <c r="D767" s="260"/>
      <c r="E767" s="104"/>
      <c r="F767" s="104"/>
      <c r="G767" s="35"/>
      <c r="H767" s="104"/>
      <c r="I767" s="35"/>
      <c r="J767" s="74"/>
      <c r="K767" s="74"/>
      <c r="L767" s="74"/>
      <c r="M767" s="74"/>
      <c r="N767" s="74"/>
      <c r="O767" s="74"/>
      <c r="P767" s="74"/>
      <c r="Q767" s="74"/>
      <c r="R767" s="74"/>
      <c r="S767" s="74"/>
      <c r="T767" s="74"/>
      <c r="U767" s="74"/>
      <c r="V767" s="74"/>
      <c r="W767" s="74"/>
      <c r="X767" s="74"/>
      <c r="Y767" s="74"/>
      <c r="Z767" s="74"/>
      <c r="AA767" s="74"/>
      <c r="AB767" s="74"/>
    </row>
    <row r="768" spans="1:28" ht="12" customHeight="1">
      <c r="A768" s="763"/>
      <c r="B768" s="104"/>
      <c r="C768" s="104"/>
      <c r="D768" s="260"/>
      <c r="E768" s="104"/>
      <c r="F768" s="104"/>
      <c r="G768" s="35"/>
      <c r="H768" s="104"/>
      <c r="I768" s="35"/>
      <c r="J768" s="74"/>
      <c r="K768" s="74"/>
      <c r="L768" s="74"/>
      <c r="M768" s="74"/>
      <c r="N768" s="74"/>
      <c r="O768" s="74"/>
      <c r="P768" s="74"/>
      <c r="Q768" s="74"/>
      <c r="R768" s="74"/>
      <c r="S768" s="74"/>
      <c r="T768" s="74"/>
      <c r="U768" s="74"/>
      <c r="V768" s="74"/>
      <c r="W768" s="74"/>
      <c r="X768" s="74"/>
      <c r="Y768" s="74"/>
      <c r="Z768" s="74"/>
      <c r="AA768" s="74"/>
      <c r="AB768" s="74"/>
    </row>
    <row r="769" spans="1:28" ht="12" customHeight="1">
      <c r="A769" s="763"/>
      <c r="B769" s="104"/>
      <c r="C769" s="104"/>
      <c r="D769" s="260"/>
      <c r="E769" s="104"/>
      <c r="F769" s="104"/>
      <c r="G769" s="35"/>
      <c r="H769" s="104"/>
      <c r="I769" s="35"/>
      <c r="J769" s="74"/>
      <c r="K769" s="74"/>
      <c r="L769" s="74"/>
      <c r="M769" s="74"/>
      <c r="N769" s="74"/>
      <c r="O769" s="74"/>
      <c r="P769" s="74"/>
      <c r="Q769" s="74"/>
      <c r="R769" s="74"/>
      <c r="S769" s="74"/>
      <c r="T769" s="74"/>
      <c r="U769" s="74"/>
      <c r="V769" s="74"/>
      <c r="W769" s="74"/>
      <c r="X769" s="74"/>
      <c r="Y769" s="74"/>
      <c r="Z769" s="74"/>
      <c r="AA769" s="74"/>
      <c r="AB769" s="74"/>
    </row>
    <row r="770" spans="1:28" ht="12" customHeight="1">
      <c r="A770" s="763"/>
      <c r="B770" s="104"/>
      <c r="C770" s="104"/>
      <c r="D770" s="260"/>
      <c r="E770" s="104"/>
      <c r="F770" s="104"/>
      <c r="G770" s="35"/>
      <c r="H770" s="104"/>
      <c r="I770" s="35"/>
      <c r="J770" s="74"/>
      <c r="K770" s="74"/>
      <c r="L770" s="74"/>
      <c r="M770" s="74"/>
      <c r="N770" s="74"/>
      <c r="O770" s="74"/>
      <c r="P770" s="74"/>
      <c r="Q770" s="74"/>
      <c r="R770" s="74"/>
      <c r="S770" s="74"/>
      <c r="T770" s="74"/>
      <c r="U770" s="74"/>
      <c r="V770" s="74"/>
      <c r="W770" s="74"/>
      <c r="X770" s="74"/>
      <c r="Y770" s="74"/>
      <c r="Z770" s="74"/>
      <c r="AA770" s="74"/>
      <c r="AB770" s="74"/>
    </row>
    <row r="771" spans="1:28" ht="12" customHeight="1">
      <c r="A771" s="763"/>
      <c r="B771" s="104"/>
      <c r="C771" s="104"/>
      <c r="D771" s="260"/>
      <c r="E771" s="104"/>
      <c r="F771" s="104"/>
      <c r="G771" s="35"/>
      <c r="H771" s="104"/>
      <c r="I771" s="35"/>
      <c r="J771" s="74"/>
      <c r="K771" s="74"/>
      <c r="L771" s="74"/>
      <c r="M771" s="74"/>
      <c r="N771" s="74"/>
      <c r="O771" s="74"/>
      <c r="P771" s="74"/>
      <c r="Q771" s="74"/>
      <c r="R771" s="74"/>
      <c r="S771" s="74"/>
      <c r="T771" s="74"/>
      <c r="U771" s="74"/>
      <c r="V771" s="74"/>
      <c r="W771" s="74"/>
      <c r="X771" s="74"/>
      <c r="Y771" s="74"/>
      <c r="Z771" s="74"/>
      <c r="AA771" s="74"/>
      <c r="AB771" s="74"/>
    </row>
    <row r="772" spans="1:28" ht="12" customHeight="1">
      <c r="A772" s="763"/>
      <c r="B772" s="104"/>
      <c r="C772" s="104"/>
      <c r="D772" s="260"/>
      <c r="E772" s="104"/>
      <c r="F772" s="104"/>
      <c r="G772" s="35"/>
      <c r="H772" s="104"/>
      <c r="I772" s="35"/>
      <c r="J772" s="74"/>
      <c r="K772" s="74"/>
      <c r="L772" s="74"/>
      <c r="M772" s="74"/>
      <c r="N772" s="74"/>
      <c r="O772" s="74"/>
      <c r="P772" s="74"/>
      <c r="Q772" s="74"/>
      <c r="R772" s="74"/>
      <c r="S772" s="74"/>
      <c r="T772" s="74"/>
      <c r="U772" s="74"/>
      <c r="V772" s="74"/>
      <c r="W772" s="74"/>
      <c r="X772" s="74"/>
      <c r="Y772" s="74"/>
      <c r="Z772" s="74"/>
      <c r="AA772" s="74"/>
      <c r="AB772" s="74"/>
    </row>
    <row r="773" spans="1:28" ht="12" customHeight="1">
      <c r="A773" s="763"/>
      <c r="B773" s="104"/>
      <c r="C773" s="104"/>
      <c r="D773" s="260"/>
      <c r="E773" s="104"/>
      <c r="F773" s="104"/>
      <c r="G773" s="35"/>
      <c r="H773" s="104"/>
      <c r="I773" s="35"/>
      <c r="J773" s="74"/>
      <c r="K773" s="74"/>
      <c r="L773" s="74"/>
      <c r="M773" s="74"/>
      <c r="N773" s="74"/>
      <c r="O773" s="74"/>
      <c r="P773" s="74"/>
      <c r="Q773" s="74"/>
      <c r="R773" s="74"/>
      <c r="S773" s="74"/>
      <c r="T773" s="74"/>
      <c r="U773" s="74"/>
      <c r="V773" s="74"/>
      <c r="W773" s="74"/>
      <c r="X773" s="74"/>
      <c r="Y773" s="74"/>
      <c r="Z773" s="74"/>
      <c r="AA773" s="74"/>
      <c r="AB773" s="74"/>
    </row>
    <row r="774" spans="1:28" ht="12" customHeight="1">
      <c r="A774" s="763"/>
      <c r="B774" s="104"/>
      <c r="C774" s="104"/>
      <c r="D774" s="260"/>
      <c r="E774" s="104"/>
      <c r="F774" s="104"/>
      <c r="G774" s="35"/>
      <c r="H774" s="104"/>
      <c r="I774" s="35"/>
      <c r="J774" s="74"/>
      <c r="K774" s="74"/>
      <c r="L774" s="74"/>
      <c r="M774" s="74"/>
      <c r="N774" s="74"/>
      <c r="O774" s="74"/>
      <c r="P774" s="74"/>
      <c r="Q774" s="74"/>
      <c r="R774" s="74"/>
      <c r="S774" s="74"/>
      <c r="T774" s="74"/>
      <c r="U774" s="74"/>
      <c r="V774" s="74"/>
      <c r="W774" s="74"/>
      <c r="X774" s="74"/>
      <c r="Y774" s="74"/>
      <c r="Z774" s="74"/>
      <c r="AA774" s="74"/>
      <c r="AB774" s="74"/>
    </row>
    <row r="775" spans="1:28" ht="12" customHeight="1">
      <c r="A775" s="763"/>
      <c r="B775" s="104"/>
      <c r="C775" s="104"/>
      <c r="D775" s="260"/>
      <c r="E775" s="104"/>
      <c r="F775" s="104"/>
      <c r="G775" s="35"/>
      <c r="H775" s="104"/>
      <c r="I775" s="35"/>
      <c r="J775" s="74"/>
      <c r="K775" s="74"/>
      <c r="L775" s="74"/>
      <c r="M775" s="74"/>
      <c r="N775" s="74"/>
      <c r="O775" s="74"/>
      <c r="P775" s="74"/>
      <c r="Q775" s="74"/>
      <c r="R775" s="74"/>
      <c r="S775" s="74"/>
      <c r="T775" s="74"/>
      <c r="U775" s="74"/>
      <c r="V775" s="74"/>
      <c r="W775" s="74"/>
      <c r="X775" s="74"/>
      <c r="Y775" s="74"/>
      <c r="Z775" s="74"/>
      <c r="AA775" s="74"/>
      <c r="AB775" s="74"/>
    </row>
    <row r="776" spans="1:28" ht="12" customHeight="1">
      <c r="A776" s="763"/>
      <c r="B776" s="104"/>
      <c r="C776" s="104"/>
      <c r="D776" s="260"/>
      <c r="E776" s="104"/>
      <c r="F776" s="104"/>
      <c r="G776" s="35"/>
      <c r="H776" s="104"/>
      <c r="I776" s="35"/>
      <c r="J776" s="74"/>
      <c r="K776" s="74"/>
      <c r="L776" s="74"/>
      <c r="M776" s="74"/>
      <c r="N776" s="74"/>
      <c r="O776" s="74"/>
      <c r="P776" s="74"/>
      <c r="Q776" s="74"/>
      <c r="R776" s="74"/>
      <c r="S776" s="74"/>
      <c r="T776" s="74"/>
      <c r="U776" s="74"/>
      <c r="V776" s="74"/>
      <c r="W776" s="74"/>
      <c r="X776" s="74"/>
      <c r="Y776" s="74"/>
      <c r="Z776" s="74"/>
      <c r="AA776" s="74"/>
      <c r="AB776" s="74"/>
    </row>
    <row r="777" spans="1:28" ht="12" customHeight="1">
      <c r="A777" s="763"/>
      <c r="B777" s="104"/>
      <c r="C777" s="104"/>
      <c r="D777" s="260"/>
      <c r="E777" s="104"/>
      <c r="F777" s="104"/>
      <c r="G777" s="35"/>
      <c r="H777" s="104"/>
      <c r="I777" s="35"/>
      <c r="J777" s="74"/>
      <c r="K777" s="74"/>
      <c r="L777" s="74"/>
      <c r="M777" s="74"/>
      <c r="N777" s="74"/>
      <c r="O777" s="74"/>
      <c r="P777" s="74"/>
      <c r="Q777" s="74"/>
      <c r="R777" s="74"/>
      <c r="S777" s="74"/>
      <c r="T777" s="74"/>
      <c r="U777" s="74"/>
      <c r="V777" s="74"/>
      <c r="W777" s="74"/>
      <c r="X777" s="74"/>
      <c r="Y777" s="74"/>
      <c r="Z777" s="74"/>
      <c r="AA777" s="74"/>
      <c r="AB777" s="74"/>
    </row>
    <row r="778" spans="1:28" ht="12" customHeight="1">
      <c r="A778" s="763"/>
      <c r="B778" s="104"/>
      <c r="C778" s="104"/>
      <c r="D778" s="260"/>
      <c r="E778" s="104"/>
      <c r="F778" s="104"/>
      <c r="G778" s="35"/>
      <c r="H778" s="104"/>
      <c r="I778" s="35"/>
      <c r="J778" s="74"/>
      <c r="K778" s="74"/>
      <c r="L778" s="74"/>
      <c r="M778" s="74"/>
      <c r="N778" s="74"/>
      <c r="O778" s="74"/>
      <c r="P778" s="74"/>
      <c r="Q778" s="74"/>
      <c r="R778" s="74"/>
      <c r="S778" s="74"/>
      <c r="T778" s="74"/>
      <c r="U778" s="74"/>
      <c r="V778" s="74"/>
      <c r="W778" s="74"/>
      <c r="X778" s="74"/>
      <c r="Y778" s="74"/>
      <c r="Z778" s="74"/>
      <c r="AA778" s="74"/>
      <c r="AB778" s="74"/>
    </row>
    <row r="779" spans="1:28" ht="12" customHeight="1">
      <c r="A779" s="763"/>
      <c r="B779" s="104"/>
      <c r="C779" s="104"/>
      <c r="D779" s="260"/>
      <c r="E779" s="104"/>
      <c r="F779" s="104"/>
      <c r="G779" s="35"/>
      <c r="H779" s="104"/>
      <c r="I779" s="35"/>
      <c r="J779" s="74"/>
      <c r="K779" s="74"/>
      <c r="L779" s="74"/>
      <c r="M779" s="74"/>
      <c r="N779" s="74"/>
      <c r="O779" s="74"/>
      <c r="P779" s="74"/>
      <c r="Q779" s="74"/>
      <c r="R779" s="74"/>
      <c r="S779" s="74"/>
      <c r="T779" s="74"/>
      <c r="U779" s="74"/>
      <c r="V779" s="74"/>
      <c r="W779" s="74"/>
      <c r="X779" s="74"/>
      <c r="Y779" s="74"/>
      <c r="Z779" s="74"/>
      <c r="AA779" s="74"/>
      <c r="AB779" s="74"/>
    </row>
    <row r="780" spans="1:28" ht="12" customHeight="1">
      <c r="A780" s="763"/>
      <c r="B780" s="104"/>
      <c r="C780" s="104"/>
      <c r="D780" s="260"/>
      <c r="E780" s="104"/>
      <c r="F780" s="104"/>
      <c r="G780" s="35"/>
      <c r="H780" s="104"/>
      <c r="I780" s="35"/>
      <c r="J780" s="74"/>
      <c r="K780" s="74"/>
      <c r="L780" s="74"/>
      <c r="M780" s="74"/>
      <c r="N780" s="74"/>
      <c r="O780" s="74"/>
      <c r="P780" s="74"/>
      <c r="Q780" s="74"/>
      <c r="R780" s="74"/>
      <c r="S780" s="74"/>
      <c r="T780" s="74"/>
      <c r="U780" s="74"/>
      <c r="V780" s="74"/>
      <c r="W780" s="74"/>
      <c r="X780" s="74"/>
      <c r="Y780" s="74"/>
      <c r="Z780" s="74"/>
      <c r="AA780" s="74"/>
      <c r="AB780" s="74"/>
    </row>
    <row r="781" spans="1:28" ht="12" customHeight="1">
      <c r="A781" s="763"/>
      <c r="B781" s="104"/>
      <c r="C781" s="104"/>
      <c r="D781" s="260"/>
      <c r="E781" s="104"/>
      <c r="F781" s="104"/>
      <c r="G781" s="35"/>
      <c r="H781" s="104"/>
      <c r="I781" s="35"/>
      <c r="J781" s="74"/>
      <c r="K781" s="74"/>
      <c r="L781" s="74"/>
      <c r="M781" s="74"/>
      <c r="N781" s="74"/>
      <c r="O781" s="74"/>
      <c r="P781" s="74"/>
      <c r="Q781" s="74"/>
      <c r="R781" s="74"/>
      <c r="S781" s="74"/>
      <c r="T781" s="74"/>
      <c r="U781" s="74"/>
      <c r="V781" s="74"/>
      <c r="W781" s="74"/>
      <c r="X781" s="74"/>
      <c r="Y781" s="74"/>
      <c r="Z781" s="74"/>
      <c r="AA781" s="74"/>
      <c r="AB781" s="74"/>
    </row>
    <row r="782" spans="1:28" ht="12" customHeight="1">
      <c r="A782" s="763"/>
      <c r="B782" s="104"/>
      <c r="C782" s="104"/>
      <c r="D782" s="260"/>
      <c r="E782" s="104"/>
      <c r="F782" s="104"/>
      <c r="G782" s="35"/>
      <c r="H782" s="104"/>
      <c r="I782" s="35"/>
      <c r="J782" s="74"/>
      <c r="K782" s="74"/>
      <c r="L782" s="74"/>
      <c r="M782" s="74"/>
      <c r="N782" s="74"/>
      <c r="O782" s="74"/>
      <c r="P782" s="74"/>
      <c r="Q782" s="74"/>
      <c r="R782" s="74"/>
      <c r="S782" s="74"/>
      <c r="T782" s="74"/>
      <c r="U782" s="74"/>
      <c r="V782" s="74"/>
      <c r="W782" s="74"/>
      <c r="X782" s="74"/>
      <c r="Y782" s="74"/>
      <c r="Z782" s="74"/>
      <c r="AA782" s="74"/>
      <c r="AB782" s="74"/>
    </row>
    <row r="783" spans="1:28" ht="12" customHeight="1">
      <c r="A783" s="763"/>
      <c r="B783" s="104"/>
      <c r="C783" s="104"/>
      <c r="D783" s="260"/>
      <c r="E783" s="104"/>
      <c r="F783" s="104"/>
      <c r="G783" s="35"/>
      <c r="H783" s="104"/>
      <c r="I783" s="35"/>
      <c r="J783" s="74"/>
      <c r="K783" s="74"/>
      <c r="L783" s="74"/>
      <c r="M783" s="74"/>
      <c r="N783" s="74"/>
      <c r="O783" s="74"/>
      <c r="P783" s="74"/>
      <c r="Q783" s="74"/>
      <c r="R783" s="74"/>
      <c r="S783" s="74"/>
      <c r="T783" s="74"/>
      <c r="U783" s="74"/>
      <c r="V783" s="74"/>
      <c r="W783" s="74"/>
      <c r="X783" s="74"/>
      <c r="Y783" s="74"/>
      <c r="Z783" s="74"/>
      <c r="AA783" s="74"/>
      <c r="AB783" s="74"/>
    </row>
    <row r="784" spans="1:28" ht="12" customHeight="1">
      <c r="A784" s="763"/>
      <c r="B784" s="104"/>
      <c r="C784" s="104"/>
      <c r="D784" s="260"/>
      <c r="E784" s="104"/>
      <c r="F784" s="104"/>
      <c r="G784" s="35"/>
      <c r="H784" s="104"/>
      <c r="I784" s="35"/>
      <c r="J784" s="74"/>
      <c r="K784" s="74"/>
      <c r="L784" s="74"/>
      <c r="M784" s="74"/>
      <c r="N784" s="74"/>
      <c r="O784" s="74"/>
      <c r="P784" s="74"/>
      <c r="Q784" s="74"/>
      <c r="R784" s="74"/>
      <c r="S784" s="74"/>
      <c r="T784" s="74"/>
      <c r="U784" s="74"/>
      <c r="V784" s="74"/>
      <c r="W784" s="74"/>
      <c r="X784" s="74"/>
      <c r="Y784" s="74"/>
      <c r="Z784" s="74"/>
      <c r="AA784" s="74"/>
      <c r="AB784" s="74"/>
    </row>
    <row r="785" spans="1:28" ht="12" customHeight="1">
      <c r="A785" s="763"/>
      <c r="B785" s="104"/>
      <c r="C785" s="104"/>
      <c r="D785" s="260"/>
      <c r="E785" s="104"/>
      <c r="F785" s="104"/>
      <c r="G785" s="35"/>
      <c r="H785" s="104"/>
      <c r="I785" s="35"/>
      <c r="J785" s="74"/>
      <c r="K785" s="74"/>
      <c r="L785" s="74"/>
      <c r="M785" s="74"/>
      <c r="N785" s="74"/>
      <c r="O785" s="74"/>
      <c r="P785" s="74"/>
      <c r="Q785" s="74"/>
      <c r="R785" s="74"/>
      <c r="S785" s="74"/>
      <c r="T785" s="74"/>
      <c r="U785" s="74"/>
      <c r="V785" s="74"/>
      <c r="W785" s="74"/>
      <c r="X785" s="74"/>
      <c r="Y785" s="74"/>
      <c r="Z785" s="74"/>
      <c r="AA785" s="74"/>
      <c r="AB785" s="74"/>
    </row>
    <row r="786" spans="1:28" ht="12" customHeight="1">
      <c r="A786" s="763"/>
      <c r="B786" s="104"/>
      <c r="C786" s="104"/>
      <c r="D786" s="260"/>
      <c r="E786" s="104"/>
      <c r="F786" s="104"/>
      <c r="G786" s="35"/>
      <c r="H786" s="104"/>
      <c r="I786" s="35"/>
      <c r="J786" s="74"/>
      <c r="K786" s="74"/>
      <c r="L786" s="74"/>
      <c r="M786" s="74"/>
      <c r="N786" s="74"/>
      <c r="O786" s="74"/>
      <c r="P786" s="74"/>
      <c r="Q786" s="74"/>
      <c r="R786" s="74"/>
      <c r="S786" s="74"/>
      <c r="T786" s="74"/>
      <c r="U786" s="74"/>
      <c r="V786" s="74"/>
      <c r="W786" s="74"/>
      <c r="X786" s="74"/>
      <c r="Y786" s="74"/>
      <c r="Z786" s="74"/>
      <c r="AA786" s="74"/>
      <c r="AB786" s="74"/>
    </row>
    <row r="787" spans="1:28" ht="12" customHeight="1">
      <c r="A787" s="763"/>
      <c r="B787" s="104"/>
      <c r="C787" s="104"/>
      <c r="D787" s="260"/>
      <c r="E787" s="104"/>
      <c r="F787" s="104"/>
      <c r="G787" s="35"/>
      <c r="H787" s="104"/>
      <c r="I787" s="35"/>
      <c r="J787" s="74"/>
      <c r="K787" s="74"/>
      <c r="L787" s="74"/>
      <c r="M787" s="74"/>
      <c r="N787" s="74"/>
      <c r="O787" s="74"/>
      <c r="P787" s="74"/>
      <c r="Q787" s="74"/>
      <c r="R787" s="74"/>
      <c r="S787" s="74"/>
      <c r="T787" s="74"/>
      <c r="U787" s="74"/>
      <c r="V787" s="74"/>
      <c r="W787" s="74"/>
      <c r="X787" s="74"/>
      <c r="Y787" s="74"/>
      <c r="Z787" s="74"/>
      <c r="AA787" s="74"/>
      <c r="AB787" s="74"/>
    </row>
    <row r="788" spans="1:28" ht="12" customHeight="1">
      <c r="A788" s="763"/>
      <c r="B788" s="104"/>
      <c r="C788" s="104"/>
      <c r="D788" s="260"/>
      <c r="E788" s="104"/>
      <c r="F788" s="104"/>
      <c r="G788" s="35"/>
      <c r="H788" s="104"/>
      <c r="I788" s="35"/>
      <c r="J788" s="74"/>
      <c r="K788" s="74"/>
      <c r="L788" s="74"/>
      <c r="M788" s="74"/>
      <c r="N788" s="74"/>
      <c r="O788" s="74"/>
      <c r="P788" s="74"/>
      <c r="Q788" s="74"/>
      <c r="R788" s="74"/>
      <c r="S788" s="74"/>
      <c r="T788" s="74"/>
      <c r="U788" s="74"/>
      <c r="V788" s="74"/>
      <c r="W788" s="74"/>
      <c r="X788" s="74"/>
      <c r="Y788" s="74"/>
      <c r="Z788" s="74"/>
      <c r="AA788" s="74"/>
      <c r="AB788" s="74"/>
    </row>
    <row r="789" spans="1:28" ht="12" customHeight="1">
      <c r="A789" s="763"/>
      <c r="B789" s="104"/>
      <c r="C789" s="104"/>
      <c r="D789" s="260"/>
      <c r="E789" s="104"/>
      <c r="F789" s="104"/>
      <c r="G789" s="35"/>
      <c r="H789" s="104"/>
      <c r="I789" s="35"/>
      <c r="J789" s="74"/>
      <c r="K789" s="74"/>
      <c r="L789" s="74"/>
      <c r="M789" s="74"/>
      <c r="N789" s="74"/>
      <c r="O789" s="74"/>
      <c r="P789" s="74"/>
      <c r="Q789" s="74"/>
      <c r="R789" s="74"/>
      <c r="S789" s="74"/>
      <c r="T789" s="74"/>
      <c r="U789" s="74"/>
      <c r="V789" s="74"/>
      <c r="W789" s="74"/>
      <c r="X789" s="74"/>
      <c r="Y789" s="74"/>
      <c r="Z789" s="74"/>
      <c r="AA789" s="74"/>
      <c r="AB789" s="74"/>
    </row>
    <row r="790" spans="1:28" ht="12" customHeight="1">
      <c r="A790" s="763"/>
      <c r="B790" s="104"/>
      <c r="C790" s="104"/>
      <c r="D790" s="260"/>
      <c r="E790" s="104"/>
      <c r="F790" s="104"/>
      <c r="G790" s="35"/>
      <c r="H790" s="104"/>
      <c r="I790" s="35"/>
      <c r="J790" s="74"/>
      <c r="K790" s="74"/>
      <c r="L790" s="74"/>
      <c r="M790" s="74"/>
      <c r="N790" s="74"/>
      <c r="O790" s="74"/>
      <c r="P790" s="74"/>
      <c r="Q790" s="74"/>
      <c r="R790" s="74"/>
      <c r="S790" s="74"/>
      <c r="T790" s="74"/>
      <c r="U790" s="74"/>
      <c r="V790" s="74"/>
      <c r="W790" s="74"/>
      <c r="X790" s="74"/>
      <c r="Y790" s="74"/>
      <c r="Z790" s="74"/>
      <c r="AA790" s="74"/>
      <c r="AB790" s="74"/>
    </row>
    <row r="791" spans="1:28" ht="12" customHeight="1">
      <c r="A791" s="763"/>
      <c r="B791" s="104"/>
      <c r="C791" s="104"/>
      <c r="D791" s="260"/>
      <c r="E791" s="104"/>
      <c r="F791" s="104"/>
      <c r="G791" s="35"/>
      <c r="H791" s="104"/>
      <c r="I791" s="35"/>
      <c r="J791" s="74"/>
      <c r="K791" s="74"/>
      <c r="L791" s="74"/>
      <c r="M791" s="74"/>
      <c r="N791" s="74"/>
      <c r="O791" s="74"/>
      <c r="P791" s="74"/>
      <c r="Q791" s="74"/>
      <c r="R791" s="74"/>
      <c r="S791" s="74"/>
      <c r="T791" s="74"/>
      <c r="U791" s="74"/>
      <c r="V791" s="74"/>
      <c r="W791" s="74"/>
      <c r="X791" s="74"/>
      <c r="Y791" s="74"/>
      <c r="Z791" s="74"/>
      <c r="AA791" s="74"/>
      <c r="AB791" s="74"/>
    </row>
    <row r="792" spans="1:28" ht="12" customHeight="1">
      <c r="A792" s="763"/>
      <c r="B792" s="104"/>
      <c r="C792" s="104"/>
      <c r="D792" s="260"/>
      <c r="E792" s="104"/>
      <c r="F792" s="104"/>
      <c r="G792" s="35"/>
      <c r="H792" s="104"/>
      <c r="I792" s="35"/>
      <c r="J792" s="74"/>
      <c r="K792" s="74"/>
      <c r="L792" s="74"/>
      <c r="M792" s="74"/>
      <c r="N792" s="74"/>
      <c r="O792" s="74"/>
      <c r="P792" s="74"/>
      <c r="Q792" s="74"/>
      <c r="R792" s="74"/>
      <c r="S792" s="74"/>
      <c r="T792" s="74"/>
      <c r="U792" s="74"/>
      <c r="V792" s="74"/>
      <c r="W792" s="74"/>
      <c r="X792" s="74"/>
      <c r="Y792" s="74"/>
      <c r="Z792" s="74"/>
      <c r="AA792" s="74"/>
      <c r="AB792" s="74"/>
    </row>
    <row r="793" spans="1:28" ht="12" customHeight="1">
      <c r="A793" s="763"/>
      <c r="B793" s="104"/>
      <c r="C793" s="104"/>
      <c r="D793" s="260"/>
      <c r="E793" s="104"/>
      <c r="F793" s="104"/>
      <c r="G793" s="35"/>
      <c r="H793" s="104"/>
      <c r="I793" s="35"/>
      <c r="J793" s="74"/>
      <c r="K793" s="74"/>
      <c r="L793" s="74"/>
      <c r="M793" s="74"/>
      <c r="N793" s="74"/>
      <c r="O793" s="74"/>
      <c r="P793" s="74"/>
      <c r="Q793" s="74"/>
      <c r="R793" s="74"/>
      <c r="S793" s="74"/>
      <c r="T793" s="74"/>
      <c r="U793" s="74"/>
      <c r="V793" s="74"/>
      <c r="W793" s="74"/>
      <c r="X793" s="74"/>
      <c r="Y793" s="74"/>
      <c r="Z793" s="74"/>
      <c r="AA793" s="74"/>
      <c r="AB793" s="74"/>
    </row>
    <row r="794" spans="1:28" ht="12" customHeight="1">
      <c r="A794" s="763"/>
      <c r="B794" s="104"/>
      <c r="C794" s="104"/>
      <c r="D794" s="260"/>
      <c r="E794" s="104"/>
      <c r="F794" s="104"/>
      <c r="G794" s="35"/>
      <c r="H794" s="104"/>
      <c r="I794" s="35"/>
      <c r="J794" s="74"/>
      <c r="K794" s="74"/>
      <c r="L794" s="74"/>
      <c r="M794" s="74"/>
      <c r="N794" s="74"/>
      <c r="O794" s="74"/>
      <c r="P794" s="74"/>
      <c r="Q794" s="74"/>
      <c r="R794" s="74"/>
      <c r="S794" s="74"/>
      <c r="T794" s="74"/>
      <c r="U794" s="74"/>
      <c r="V794" s="74"/>
      <c r="W794" s="74"/>
      <c r="X794" s="74"/>
      <c r="Y794" s="74"/>
      <c r="Z794" s="74"/>
      <c r="AA794" s="74"/>
      <c r="AB794" s="74"/>
    </row>
    <row r="795" spans="1:28" ht="12" customHeight="1">
      <c r="A795" s="763"/>
      <c r="B795" s="104"/>
      <c r="C795" s="104"/>
      <c r="D795" s="260"/>
      <c r="E795" s="104"/>
      <c r="F795" s="104"/>
      <c r="G795" s="35"/>
      <c r="H795" s="104"/>
      <c r="I795" s="35"/>
      <c r="J795" s="74"/>
      <c r="K795" s="74"/>
      <c r="L795" s="74"/>
      <c r="M795" s="74"/>
      <c r="N795" s="74"/>
      <c r="O795" s="74"/>
      <c r="P795" s="74"/>
      <c r="Q795" s="74"/>
      <c r="R795" s="74"/>
      <c r="S795" s="74"/>
      <c r="T795" s="74"/>
      <c r="U795" s="74"/>
      <c r="V795" s="74"/>
      <c r="W795" s="74"/>
      <c r="X795" s="74"/>
      <c r="Y795" s="74"/>
      <c r="Z795" s="74"/>
      <c r="AA795" s="74"/>
      <c r="AB795" s="74"/>
    </row>
    <row r="796" spans="1:28" ht="12" customHeight="1">
      <c r="A796" s="763"/>
      <c r="B796" s="104"/>
      <c r="C796" s="104"/>
      <c r="D796" s="260"/>
      <c r="E796" s="104"/>
      <c r="F796" s="104"/>
      <c r="G796" s="35"/>
      <c r="H796" s="104"/>
      <c r="I796" s="35"/>
      <c r="J796" s="74"/>
      <c r="K796" s="74"/>
      <c r="L796" s="74"/>
      <c r="M796" s="74"/>
      <c r="N796" s="74"/>
      <c r="O796" s="74"/>
      <c r="P796" s="74"/>
      <c r="Q796" s="74"/>
      <c r="R796" s="74"/>
      <c r="S796" s="74"/>
      <c r="T796" s="74"/>
      <c r="U796" s="74"/>
      <c r="V796" s="74"/>
      <c r="W796" s="74"/>
      <c r="X796" s="74"/>
      <c r="Y796" s="74"/>
      <c r="Z796" s="74"/>
      <c r="AA796" s="74"/>
      <c r="AB796" s="74"/>
    </row>
    <row r="797" spans="1:28" ht="12" customHeight="1">
      <c r="A797" s="763"/>
      <c r="B797" s="104"/>
      <c r="C797" s="104"/>
      <c r="D797" s="260"/>
      <c r="E797" s="104"/>
      <c r="F797" s="104"/>
      <c r="G797" s="35"/>
      <c r="H797" s="104"/>
      <c r="I797" s="35"/>
      <c r="J797" s="74"/>
      <c r="K797" s="74"/>
      <c r="L797" s="74"/>
      <c r="M797" s="74"/>
      <c r="N797" s="74"/>
      <c r="O797" s="74"/>
      <c r="P797" s="74"/>
      <c r="Q797" s="74"/>
      <c r="R797" s="74"/>
      <c r="S797" s="74"/>
      <c r="T797" s="74"/>
      <c r="U797" s="74"/>
      <c r="V797" s="74"/>
      <c r="W797" s="74"/>
      <c r="X797" s="74"/>
      <c r="Y797" s="74"/>
      <c r="Z797" s="74"/>
      <c r="AA797" s="74"/>
      <c r="AB797" s="74"/>
    </row>
    <row r="798" spans="1:28" ht="12" customHeight="1">
      <c r="A798" s="763"/>
      <c r="B798" s="104"/>
      <c r="C798" s="104"/>
      <c r="D798" s="260"/>
      <c r="E798" s="104"/>
      <c r="F798" s="104"/>
      <c r="G798" s="35"/>
      <c r="H798" s="104"/>
      <c r="I798" s="35"/>
      <c r="J798" s="74"/>
      <c r="K798" s="74"/>
      <c r="L798" s="74"/>
      <c r="M798" s="74"/>
      <c r="N798" s="74"/>
      <c r="O798" s="74"/>
      <c r="P798" s="74"/>
      <c r="Q798" s="74"/>
      <c r="R798" s="74"/>
      <c r="S798" s="74"/>
      <c r="T798" s="74"/>
      <c r="U798" s="74"/>
      <c r="V798" s="74"/>
      <c r="W798" s="74"/>
      <c r="X798" s="74"/>
      <c r="Y798" s="74"/>
      <c r="Z798" s="74"/>
      <c r="AA798" s="74"/>
      <c r="AB798" s="74"/>
    </row>
    <row r="799" spans="1:28" ht="12" customHeight="1">
      <c r="A799" s="763"/>
      <c r="B799" s="104"/>
      <c r="C799" s="104"/>
      <c r="D799" s="260"/>
      <c r="E799" s="104"/>
      <c r="F799" s="104"/>
      <c r="G799" s="35"/>
      <c r="H799" s="104"/>
      <c r="I799" s="35"/>
      <c r="J799" s="74"/>
      <c r="K799" s="74"/>
      <c r="L799" s="74"/>
      <c r="M799" s="74"/>
      <c r="N799" s="74"/>
      <c r="O799" s="74"/>
      <c r="P799" s="74"/>
      <c r="Q799" s="74"/>
      <c r="R799" s="74"/>
      <c r="S799" s="74"/>
      <c r="T799" s="74"/>
      <c r="U799" s="74"/>
      <c r="V799" s="74"/>
      <c r="W799" s="74"/>
      <c r="X799" s="74"/>
      <c r="Y799" s="74"/>
      <c r="Z799" s="74"/>
      <c r="AA799" s="74"/>
      <c r="AB799" s="74"/>
    </row>
    <row r="800" spans="1:28" ht="12" customHeight="1">
      <c r="A800" s="763"/>
      <c r="B800" s="104"/>
      <c r="C800" s="104"/>
      <c r="D800" s="260"/>
      <c r="E800" s="104"/>
      <c r="F800" s="104"/>
      <c r="G800" s="35"/>
      <c r="H800" s="104"/>
      <c r="I800" s="35"/>
      <c r="J800" s="74"/>
      <c r="K800" s="74"/>
      <c r="L800" s="74"/>
      <c r="M800" s="74"/>
      <c r="N800" s="74"/>
      <c r="O800" s="74"/>
      <c r="P800" s="74"/>
      <c r="Q800" s="74"/>
      <c r="R800" s="74"/>
      <c r="S800" s="74"/>
      <c r="T800" s="74"/>
      <c r="U800" s="74"/>
      <c r="V800" s="74"/>
      <c r="W800" s="74"/>
      <c r="X800" s="74"/>
      <c r="Y800" s="74"/>
      <c r="Z800" s="74"/>
      <c r="AA800" s="74"/>
      <c r="AB800" s="74"/>
    </row>
    <row r="801" spans="1:28" ht="12" customHeight="1">
      <c r="A801" s="763"/>
      <c r="B801" s="104"/>
      <c r="C801" s="104"/>
      <c r="D801" s="260"/>
      <c r="E801" s="104"/>
      <c r="F801" s="104"/>
      <c r="G801" s="35"/>
      <c r="H801" s="104"/>
      <c r="I801" s="35"/>
      <c r="J801" s="74"/>
      <c r="K801" s="74"/>
      <c r="L801" s="74"/>
      <c r="M801" s="74"/>
      <c r="N801" s="74"/>
      <c r="O801" s="74"/>
      <c r="P801" s="74"/>
      <c r="Q801" s="74"/>
      <c r="R801" s="74"/>
      <c r="S801" s="74"/>
      <c r="T801" s="74"/>
      <c r="U801" s="74"/>
      <c r="V801" s="74"/>
      <c r="W801" s="74"/>
      <c r="X801" s="74"/>
      <c r="Y801" s="74"/>
      <c r="Z801" s="74"/>
      <c r="AA801" s="74"/>
      <c r="AB801" s="74"/>
    </row>
    <row r="802" spans="1:28" ht="12" customHeight="1">
      <c r="A802" s="763"/>
      <c r="B802" s="104"/>
      <c r="C802" s="104"/>
      <c r="D802" s="260"/>
      <c r="E802" s="104"/>
      <c r="F802" s="104"/>
      <c r="G802" s="35"/>
      <c r="H802" s="104"/>
      <c r="I802" s="35"/>
      <c r="J802" s="74"/>
      <c r="K802" s="74"/>
      <c r="L802" s="74"/>
      <c r="M802" s="74"/>
      <c r="N802" s="74"/>
      <c r="O802" s="74"/>
      <c r="P802" s="74"/>
      <c r="Q802" s="74"/>
      <c r="R802" s="74"/>
      <c r="S802" s="74"/>
      <c r="T802" s="74"/>
      <c r="U802" s="74"/>
      <c r="V802" s="74"/>
      <c r="W802" s="74"/>
      <c r="X802" s="74"/>
      <c r="Y802" s="74"/>
      <c r="Z802" s="74"/>
      <c r="AA802" s="74"/>
      <c r="AB802" s="74"/>
    </row>
    <row r="803" spans="1:28" ht="12" customHeight="1">
      <c r="A803" s="763"/>
      <c r="B803" s="104"/>
      <c r="C803" s="104"/>
      <c r="D803" s="260"/>
      <c r="E803" s="104"/>
      <c r="F803" s="104"/>
      <c r="G803" s="35"/>
      <c r="H803" s="104"/>
      <c r="I803" s="35"/>
      <c r="J803" s="74"/>
      <c r="K803" s="74"/>
      <c r="L803" s="74"/>
      <c r="M803" s="74"/>
      <c r="N803" s="74"/>
      <c r="O803" s="74"/>
      <c r="P803" s="74"/>
      <c r="Q803" s="74"/>
      <c r="R803" s="74"/>
      <c r="S803" s="74"/>
      <c r="T803" s="74"/>
      <c r="U803" s="74"/>
      <c r="V803" s="74"/>
      <c r="W803" s="74"/>
      <c r="X803" s="74"/>
      <c r="Y803" s="74"/>
      <c r="Z803" s="74"/>
      <c r="AA803" s="74"/>
      <c r="AB803" s="74"/>
    </row>
    <row r="804" spans="1:28" ht="12" customHeight="1">
      <c r="A804" s="763"/>
      <c r="B804" s="104"/>
      <c r="C804" s="104"/>
      <c r="D804" s="260"/>
      <c r="E804" s="104"/>
      <c r="F804" s="104"/>
      <c r="G804" s="35"/>
      <c r="H804" s="104"/>
      <c r="I804" s="35"/>
      <c r="J804" s="74"/>
      <c r="K804" s="74"/>
      <c r="L804" s="74"/>
      <c r="M804" s="74"/>
      <c r="N804" s="74"/>
      <c r="O804" s="74"/>
      <c r="P804" s="74"/>
      <c r="Q804" s="74"/>
      <c r="R804" s="74"/>
      <c r="S804" s="74"/>
      <c r="T804" s="74"/>
      <c r="U804" s="74"/>
      <c r="V804" s="74"/>
      <c r="W804" s="74"/>
      <c r="X804" s="74"/>
      <c r="Y804" s="74"/>
      <c r="Z804" s="74"/>
      <c r="AA804" s="74"/>
      <c r="AB804" s="74"/>
    </row>
    <row r="805" spans="1:28" ht="12" customHeight="1">
      <c r="A805" s="763"/>
      <c r="B805" s="104"/>
      <c r="C805" s="104"/>
      <c r="D805" s="260"/>
      <c r="E805" s="104"/>
      <c r="F805" s="104"/>
      <c r="G805" s="35"/>
      <c r="H805" s="104"/>
      <c r="I805" s="35"/>
      <c r="J805" s="74"/>
      <c r="K805" s="74"/>
      <c r="L805" s="74"/>
      <c r="M805" s="74"/>
      <c r="N805" s="74"/>
      <c r="O805" s="74"/>
      <c r="P805" s="74"/>
      <c r="Q805" s="74"/>
      <c r="R805" s="74"/>
      <c r="S805" s="74"/>
      <c r="T805" s="74"/>
      <c r="U805" s="74"/>
      <c r="V805" s="74"/>
      <c r="W805" s="74"/>
      <c r="X805" s="74"/>
      <c r="Y805" s="74"/>
      <c r="Z805" s="74"/>
      <c r="AA805" s="74"/>
      <c r="AB805" s="74"/>
    </row>
    <row r="806" spans="1:28" ht="12" customHeight="1">
      <c r="A806" s="763"/>
      <c r="B806" s="104"/>
      <c r="C806" s="104"/>
      <c r="D806" s="260"/>
      <c r="E806" s="104"/>
      <c r="F806" s="104"/>
      <c r="G806" s="35"/>
      <c r="H806" s="104"/>
      <c r="I806" s="35"/>
      <c r="J806" s="74"/>
      <c r="K806" s="74"/>
      <c r="L806" s="74"/>
      <c r="M806" s="74"/>
      <c r="N806" s="74"/>
      <c r="O806" s="74"/>
      <c r="P806" s="74"/>
      <c r="Q806" s="74"/>
      <c r="R806" s="74"/>
      <c r="S806" s="74"/>
      <c r="T806" s="74"/>
      <c r="U806" s="74"/>
      <c r="V806" s="74"/>
      <c r="W806" s="74"/>
      <c r="X806" s="74"/>
      <c r="Y806" s="74"/>
      <c r="Z806" s="74"/>
      <c r="AA806" s="74"/>
      <c r="AB806" s="74"/>
    </row>
    <row r="807" spans="1:28" ht="12" customHeight="1">
      <c r="A807" s="763"/>
      <c r="B807" s="104"/>
      <c r="C807" s="104"/>
      <c r="D807" s="260"/>
      <c r="E807" s="104"/>
      <c r="F807" s="104"/>
      <c r="G807" s="35"/>
      <c r="H807" s="104"/>
      <c r="I807" s="35"/>
      <c r="J807" s="74"/>
      <c r="K807" s="74"/>
      <c r="L807" s="74"/>
      <c r="M807" s="74"/>
      <c r="N807" s="74"/>
      <c r="O807" s="74"/>
      <c r="P807" s="74"/>
      <c r="Q807" s="74"/>
      <c r="R807" s="74"/>
      <c r="S807" s="74"/>
      <c r="T807" s="74"/>
      <c r="U807" s="74"/>
      <c r="V807" s="74"/>
      <c r="W807" s="74"/>
      <c r="X807" s="74"/>
      <c r="Y807" s="74"/>
      <c r="Z807" s="74"/>
      <c r="AA807" s="74"/>
      <c r="AB807" s="74"/>
    </row>
    <row r="808" spans="1:28" ht="12" customHeight="1">
      <c r="A808" s="763"/>
      <c r="B808" s="104"/>
      <c r="C808" s="104"/>
      <c r="D808" s="260"/>
      <c r="E808" s="104"/>
      <c r="F808" s="104"/>
      <c r="G808" s="35"/>
      <c r="H808" s="104"/>
      <c r="I808" s="35"/>
      <c r="J808" s="74"/>
      <c r="K808" s="74"/>
      <c r="L808" s="74"/>
      <c r="M808" s="74"/>
      <c r="N808" s="74"/>
      <c r="O808" s="74"/>
      <c r="P808" s="74"/>
      <c r="Q808" s="74"/>
      <c r="R808" s="74"/>
      <c r="S808" s="74"/>
      <c r="T808" s="74"/>
      <c r="U808" s="74"/>
      <c r="V808" s="74"/>
      <c r="W808" s="74"/>
      <c r="X808" s="74"/>
      <c r="Y808" s="74"/>
      <c r="Z808" s="74"/>
      <c r="AA808" s="74"/>
      <c r="AB808" s="74"/>
    </row>
    <row r="809" spans="1:28" ht="12" customHeight="1">
      <c r="A809" s="763"/>
      <c r="B809" s="104"/>
      <c r="C809" s="104"/>
      <c r="D809" s="260"/>
      <c r="E809" s="104"/>
      <c r="F809" s="104"/>
      <c r="G809" s="35"/>
      <c r="H809" s="104"/>
      <c r="I809" s="35"/>
      <c r="J809" s="74"/>
      <c r="K809" s="74"/>
      <c r="L809" s="74"/>
      <c r="M809" s="74"/>
      <c r="N809" s="74"/>
      <c r="O809" s="74"/>
      <c r="P809" s="74"/>
      <c r="Q809" s="74"/>
      <c r="R809" s="74"/>
      <c r="S809" s="74"/>
      <c r="T809" s="74"/>
      <c r="U809" s="74"/>
      <c r="V809" s="74"/>
      <c r="W809" s="74"/>
      <c r="X809" s="74"/>
      <c r="Y809" s="74"/>
      <c r="Z809" s="74"/>
      <c r="AA809" s="74"/>
      <c r="AB809" s="74"/>
    </row>
    <row r="810" spans="1:28" ht="12" customHeight="1">
      <c r="A810" s="763"/>
      <c r="B810" s="104"/>
      <c r="C810" s="104"/>
      <c r="D810" s="260"/>
      <c r="E810" s="104"/>
      <c r="F810" s="104"/>
      <c r="G810" s="35"/>
      <c r="H810" s="104"/>
      <c r="I810" s="35"/>
      <c r="J810" s="74"/>
      <c r="K810" s="74"/>
      <c r="L810" s="74"/>
      <c r="M810" s="74"/>
      <c r="N810" s="74"/>
      <c r="O810" s="74"/>
      <c r="P810" s="74"/>
      <c r="Q810" s="74"/>
      <c r="R810" s="74"/>
      <c r="S810" s="74"/>
      <c r="T810" s="74"/>
      <c r="U810" s="74"/>
      <c r="V810" s="74"/>
      <c r="W810" s="74"/>
      <c r="X810" s="74"/>
      <c r="Y810" s="74"/>
      <c r="Z810" s="74"/>
      <c r="AA810" s="74"/>
      <c r="AB810" s="74"/>
    </row>
    <row r="811" spans="1:28" ht="12" customHeight="1">
      <c r="A811" s="763"/>
      <c r="B811" s="104"/>
      <c r="C811" s="104"/>
      <c r="D811" s="260"/>
      <c r="E811" s="104"/>
      <c r="F811" s="104"/>
      <c r="G811" s="35"/>
      <c r="H811" s="104"/>
      <c r="I811" s="35"/>
      <c r="J811" s="74"/>
      <c r="K811" s="74"/>
      <c r="L811" s="74"/>
      <c r="M811" s="74"/>
      <c r="N811" s="74"/>
      <c r="O811" s="74"/>
      <c r="P811" s="74"/>
      <c r="Q811" s="74"/>
      <c r="R811" s="74"/>
      <c r="S811" s="74"/>
      <c r="T811" s="74"/>
      <c r="U811" s="74"/>
      <c r="V811" s="74"/>
      <c r="W811" s="74"/>
      <c r="X811" s="74"/>
      <c r="Y811" s="74"/>
      <c r="Z811" s="74"/>
      <c r="AA811" s="74"/>
      <c r="AB811" s="74"/>
    </row>
    <row r="812" spans="1:28" ht="12" customHeight="1">
      <c r="A812" s="763"/>
      <c r="B812" s="104"/>
      <c r="C812" s="104"/>
      <c r="D812" s="260"/>
      <c r="E812" s="104"/>
      <c r="F812" s="104"/>
      <c r="G812" s="35"/>
      <c r="H812" s="104"/>
      <c r="I812" s="35"/>
      <c r="J812" s="74"/>
      <c r="K812" s="74"/>
      <c r="L812" s="74"/>
      <c r="M812" s="74"/>
      <c r="N812" s="74"/>
      <c r="O812" s="74"/>
      <c r="P812" s="74"/>
      <c r="Q812" s="74"/>
      <c r="R812" s="74"/>
      <c r="S812" s="74"/>
      <c r="T812" s="74"/>
      <c r="U812" s="74"/>
      <c r="V812" s="74"/>
      <c r="W812" s="74"/>
      <c r="X812" s="74"/>
      <c r="Y812" s="74"/>
      <c r="Z812" s="74"/>
      <c r="AA812" s="74"/>
      <c r="AB812" s="74"/>
    </row>
    <row r="813" spans="1:28" ht="12" customHeight="1">
      <c r="A813" s="763"/>
      <c r="B813" s="104"/>
      <c r="C813" s="104"/>
      <c r="D813" s="260"/>
      <c r="E813" s="104"/>
      <c r="F813" s="104"/>
      <c r="G813" s="35"/>
      <c r="H813" s="104"/>
      <c r="I813" s="35"/>
      <c r="J813" s="74"/>
      <c r="K813" s="74"/>
      <c r="L813" s="74"/>
      <c r="M813" s="74"/>
      <c r="N813" s="74"/>
      <c r="O813" s="74"/>
      <c r="P813" s="74"/>
      <c r="Q813" s="74"/>
      <c r="R813" s="74"/>
      <c r="S813" s="74"/>
      <c r="T813" s="74"/>
      <c r="U813" s="74"/>
      <c r="V813" s="74"/>
      <c r="W813" s="74"/>
      <c r="X813" s="74"/>
      <c r="Y813" s="74"/>
      <c r="Z813" s="74"/>
      <c r="AA813" s="74"/>
      <c r="AB813" s="74"/>
    </row>
    <row r="814" spans="1:28" ht="12" customHeight="1">
      <c r="A814" s="763"/>
      <c r="B814" s="104"/>
      <c r="C814" s="104"/>
      <c r="D814" s="260"/>
      <c r="E814" s="104"/>
      <c r="F814" s="104"/>
      <c r="G814" s="35"/>
      <c r="H814" s="104"/>
      <c r="I814" s="35"/>
      <c r="J814" s="74"/>
      <c r="K814" s="74"/>
      <c r="L814" s="74"/>
      <c r="M814" s="74"/>
      <c r="N814" s="74"/>
      <c r="O814" s="74"/>
      <c r="P814" s="74"/>
      <c r="Q814" s="74"/>
      <c r="R814" s="74"/>
      <c r="S814" s="74"/>
      <c r="T814" s="74"/>
      <c r="U814" s="74"/>
      <c r="V814" s="74"/>
      <c r="W814" s="74"/>
      <c r="X814" s="74"/>
      <c r="Y814" s="74"/>
      <c r="Z814" s="74"/>
      <c r="AA814" s="74"/>
      <c r="AB814" s="74"/>
    </row>
    <row r="815" spans="1:28" ht="12" customHeight="1">
      <c r="A815" s="763"/>
      <c r="B815" s="104"/>
      <c r="C815" s="104"/>
      <c r="D815" s="260"/>
      <c r="E815" s="104"/>
      <c r="F815" s="104"/>
      <c r="G815" s="35"/>
      <c r="H815" s="104"/>
      <c r="I815" s="35"/>
      <c r="J815" s="74"/>
      <c r="K815" s="74"/>
      <c r="L815" s="74"/>
      <c r="M815" s="74"/>
      <c r="N815" s="74"/>
      <c r="O815" s="74"/>
      <c r="P815" s="74"/>
      <c r="Q815" s="74"/>
      <c r="R815" s="74"/>
      <c r="S815" s="74"/>
      <c r="T815" s="74"/>
      <c r="U815" s="74"/>
      <c r="V815" s="74"/>
      <c r="W815" s="74"/>
      <c r="X815" s="74"/>
      <c r="Y815" s="74"/>
      <c r="Z815" s="74"/>
      <c r="AA815" s="74"/>
      <c r="AB815" s="74"/>
    </row>
    <row r="816" spans="1:28" ht="12" customHeight="1">
      <c r="A816" s="763"/>
      <c r="B816" s="104"/>
      <c r="C816" s="104"/>
      <c r="D816" s="260"/>
      <c r="E816" s="104"/>
      <c r="F816" s="104"/>
      <c r="G816" s="35"/>
      <c r="H816" s="104"/>
      <c r="I816" s="35"/>
      <c r="J816" s="74"/>
      <c r="K816" s="74"/>
      <c r="L816" s="74"/>
      <c r="M816" s="74"/>
      <c r="N816" s="74"/>
      <c r="O816" s="74"/>
      <c r="P816" s="74"/>
      <c r="Q816" s="74"/>
      <c r="R816" s="74"/>
      <c r="S816" s="74"/>
      <c r="T816" s="74"/>
      <c r="U816" s="74"/>
      <c r="V816" s="74"/>
      <c r="W816" s="74"/>
      <c r="X816" s="74"/>
      <c r="Y816" s="74"/>
      <c r="Z816" s="74"/>
      <c r="AA816" s="74"/>
      <c r="AB816" s="74"/>
    </row>
    <row r="817" spans="1:28" ht="12" customHeight="1">
      <c r="A817" s="763"/>
      <c r="B817" s="104"/>
      <c r="C817" s="104"/>
      <c r="D817" s="260"/>
      <c r="E817" s="104"/>
      <c r="F817" s="104"/>
      <c r="G817" s="35"/>
      <c r="H817" s="104"/>
      <c r="I817" s="35"/>
      <c r="J817" s="74"/>
      <c r="K817" s="74"/>
      <c r="L817" s="74"/>
      <c r="M817" s="74"/>
      <c r="N817" s="74"/>
      <c r="O817" s="74"/>
      <c r="P817" s="74"/>
      <c r="Q817" s="74"/>
      <c r="R817" s="74"/>
      <c r="S817" s="74"/>
      <c r="T817" s="74"/>
      <c r="U817" s="74"/>
      <c r="V817" s="74"/>
      <c r="W817" s="74"/>
      <c r="X817" s="74"/>
      <c r="Y817" s="74"/>
      <c r="Z817" s="74"/>
      <c r="AA817" s="74"/>
      <c r="AB817" s="74"/>
    </row>
    <row r="818" spans="1:28" ht="12" customHeight="1">
      <c r="A818" s="763"/>
      <c r="B818" s="104"/>
      <c r="C818" s="104"/>
      <c r="D818" s="260"/>
      <c r="E818" s="104"/>
      <c r="F818" s="104"/>
      <c r="G818" s="35"/>
      <c r="H818" s="104"/>
      <c r="I818" s="35"/>
      <c r="J818" s="74"/>
      <c r="K818" s="74"/>
      <c r="L818" s="74"/>
      <c r="M818" s="74"/>
      <c r="N818" s="74"/>
      <c r="O818" s="74"/>
      <c r="P818" s="74"/>
      <c r="Q818" s="74"/>
      <c r="R818" s="74"/>
      <c r="S818" s="74"/>
      <c r="T818" s="74"/>
      <c r="U818" s="74"/>
      <c r="V818" s="74"/>
      <c r="W818" s="74"/>
      <c r="X818" s="74"/>
      <c r="Y818" s="74"/>
      <c r="Z818" s="74"/>
      <c r="AA818" s="74"/>
      <c r="AB818" s="74"/>
    </row>
    <row r="819" spans="1:28" ht="12" customHeight="1">
      <c r="A819" s="763"/>
      <c r="B819" s="104"/>
      <c r="C819" s="104"/>
      <c r="D819" s="260"/>
      <c r="E819" s="104"/>
      <c r="F819" s="104"/>
      <c r="G819" s="35"/>
      <c r="H819" s="104"/>
      <c r="I819" s="35"/>
      <c r="J819" s="74"/>
      <c r="K819" s="74"/>
      <c r="L819" s="74"/>
      <c r="M819" s="74"/>
      <c r="N819" s="74"/>
      <c r="O819" s="74"/>
      <c r="P819" s="74"/>
      <c r="Q819" s="74"/>
      <c r="R819" s="74"/>
      <c r="S819" s="74"/>
      <c r="T819" s="74"/>
      <c r="U819" s="74"/>
      <c r="V819" s="74"/>
      <c r="W819" s="74"/>
      <c r="X819" s="74"/>
      <c r="Y819" s="74"/>
      <c r="Z819" s="74"/>
      <c r="AA819" s="74"/>
      <c r="AB819" s="74"/>
    </row>
    <row r="820" spans="1:28" ht="12" customHeight="1">
      <c r="A820" s="763"/>
      <c r="B820" s="104"/>
      <c r="C820" s="104"/>
      <c r="D820" s="260"/>
      <c r="E820" s="104"/>
      <c r="F820" s="104"/>
      <c r="G820" s="35"/>
      <c r="H820" s="104"/>
      <c r="I820" s="35"/>
      <c r="J820" s="74"/>
      <c r="K820" s="74"/>
      <c r="L820" s="74"/>
      <c r="M820" s="74"/>
      <c r="N820" s="74"/>
      <c r="O820" s="74"/>
      <c r="P820" s="74"/>
      <c r="Q820" s="74"/>
      <c r="R820" s="74"/>
      <c r="S820" s="74"/>
      <c r="T820" s="74"/>
      <c r="U820" s="74"/>
      <c r="V820" s="74"/>
      <c r="W820" s="74"/>
      <c r="X820" s="74"/>
      <c r="Y820" s="74"/>
      <c r="Z820" s="74"/>
      <c r="AA820" s="74"/>
      <c r="AB820" s="74"/>
    </row>
    <row r="821" spans="1:28" ht="12" customHeight="1">
      <c r="A821" s="763"/>
      <c r="B821" s="104"/>
      <c r="C821" s="104"/>
      <c r="D821" s="260"/>
      <c r="E821" s="104"/>
      <c r="F821" s="104"/>
      <c r="G821" s="35"/>
      <c r="H821" s="104"/>
      <c r="I821" s="35"/>
      <c r="J821" s="74"/>
      <c r="K821" s="74"/>
      <c r="L821" s="74"/>
      <c r="M821" s="74"/>
      <c r="N821" s="74"/>
      <c r="O821" s="74"/>
      <c r="P821" s="74"/>
      <c r="Q821" s="74"/>
      <c r="R821" s="74"/>
      <c r="S821" s="74"/>
      <c r="T821" s="74"/>
      <c r="U821" s="74"/>
      <c r="V821" s="74"/>
      <c r="W821" s="74"/>
      <c r="X821" s="74"/>
      <c r="Y821" s="74"/>
      <c r="Z821" s="74"/>
      <c r="AA821" s="74"/>
      <c r="AB821" s="74"/>
    </row>
    <row r="822" spans="1:28" ht="12" customHeight="1">
      <c r="A822" s="763"/>
      <c r="B822" s="104"/>
      <c r="C822" s="104"/>
      <c r="D822" s="260"/>
      <c r="E822" s="104"/>
      <c r="F822" s="104"/>
      <c r="G822" s="35"/>
      <c r="H822" s="104"/>
      <c r="I822" s="35"/>
      <c r="J822" s="74"/>
      <c r="K822" s="74"/>
      <c r="L822" s="74"/>
      <c r="M822" s="74"/>
      <c r="N822" s="74"/>
      <c r="O822" s="74"/>
      <c r="P822" s="74"/>
      <c r="Q822" s="74"/>
      <c r="R822" s="74"/>
      <c r="S822" s="74"/>
      <c r="T822" s="74"/>
      <c r="U822" s="74"/>
      <c r="V822" s="74"/>
      <c r="W822" s="74"/>
      <c r="X822" s="74"/>
      <c r="Y822" s="74"/>
      <c r="Z822" s="74"/>
      <c r="AA822" s="74"/>
      <c r="AB822" s="74"/>
    </row>
    <row r="823" spans="1:28" ht="12" customHeight="1">
      <c r="A823" s="763"/>
      <c r="B823" s="104"/>
      <c r="C823" s="104"/>
      <c r="D823" s="260"/>
      <c r="E823" s="104"/>
      <c r="F823" s="104"/>
      <c r="G823" s="35"/>
      <c r="H823" s="104"/>
      <c r="I823" s="35"/>
      <c r="J823" s="74"/>
      <c r="K823" s="74"/>
      <c r="L823" s="74"/>
      <c r="M823" s="74"/>
      <c r="N823" s="74"/>
      <c r="O823" s="74"/>
      <c r="P823" s="74"/>
      <c r="Q823" s="74"/>
      <c r="R823" s="74"/>
      <c r="S823" s="74"/>
      <c r="T823" s="74"/>
      <c r="U823" s="74"/>
      <c r="V823" s="74"/>
      <c r="W823" s="74"/>
      <c r="X823" s="74"/>
      <c r="Y823" s="74"/>
      <c r="Z823" s="74"/>
      <c r="AA823" s="74"/>
      <c r="AB823" s="74"/>
    </row>
    <row r="824" spans="1:28" ht="12" customHeight="1">
      <c r="A824" s="763"/>
      <c r="B824" s="104"/>
      <c r="C824" s="104"/>
      <c r="D824" s="260"/>
      <c r="E824" s="104"/>
      <c r="F824" s="104"/>
      <c r="G824" s="35"/>
      <c r="H824" s="104"/>
      <c r="I824" s="35"/>
      <c r="J824" s="74"/>
      <c r="K824" s="74"/>
      <c r="L824" s="74"/>
      <c r="M824" s="74"/>
      <c r="N824" s="74"/>
      <c r="O824" s="74"/>
      <c r="P824" s="74"/>
      <c r="Q824" s="74"/>
      <c r="R824" s="74"/>
      <c r="S824" s="74"/>
      <c r="T824" s="74"/>
      <c r="U824" s="74"/>
      <c r="V824" s="74"/>
      <c r="W824" s="74"/>
      <c r="X824" s="74"/>
      <c r="Y824" s="74"/>
      <c r="Z824" s="74"/>
      <c r="AA824" s="74"/>
      <c r="AB824" s="74"/>
    </row>
    <row r="825" spans="1:28" ht="12" customHeight="1">
      <c r="A825" s="763"/>
      <c r="B825" s="104"/>
      <c r="C825" s="104"/>
      <c r="D825" s="260"/>
      <c r="E825" s="104"/>
      <c r="F825" s="104"/>
      <c r="G825" s="35"/>
      <c r="H825" s="104"/>
      <c r="I825" s="35"/>
      <c r="J825" s="74"/>
      <c r="K825" s="74"/>
      <c r="L825" s="74"/>
      <c r="M825" s="74"/>
      <c r="N825" s="74"/>
      <c r="O825" s="74"/>
      <c r="P825" s="74"/>
      <c r="Q825" s="74"/>
      <c r="R825" s="74"/>
      <c r="S825" s="74"/>
      <c r="T825" s="74"/>
      <c r="U825" s="74"/>
      <c r="V825" s="74"/>
      <c r="W825" s="74"/>
      <c r="X825" s="74"/>
      <c r="Y825" s="74"/>
      <c r="Z825" s="74"/>
      <c r="AA825" s="74"/>
      <c r="AB825" s="74"/>
    </row>
    <row r="826" spans="1:28" ht="12" customHeight="1">
      <c r="A826" s="763"/>
      <c r="B826" s="104"/>
      <c r="C826" s="104"/>
      <c r="D826" s="260"/>
      <c r="E826" s="104"/>
      <c r="F826" s="104"/>
      <c r="G826" s="35"/>
      <c r="H826" s="104"/>
      <c r="I826" s="35"/>
      <c r="J826" s="74"/>
      <c r="K826" s="74"/>
      <c r="L826" s="74"/>
      <c r="M826" s="74"/>
      <c r="N826" s="74"/>
      <c r="O826" s="74"/>
      <c r="P826" s="74"/>
      <c r="Q826" s="74"/>
      <c r="R826" s="74"/>
      <c r="S826" s="74"/>
      <c r="T826" s="74"/>
      <c r="U826" s="74"/>
      <c r="V826" s="74"/>
      <c r="W826" s="74"/>
      <c r="X826" s="74"/>
      <c r="Y826" s="74"/>
      <c r="Z826" s="74"/>
      <c r="AA826" s="74"/>
      <c r="AB826" s="74"/>
    </row>
    <row r="827" spans="1:28" ht="12" customHeight="1">
      <c r="A827" s="763"/>
      <c r="B827" s="104"/>
      <c r="C827" s="104"/>
      <c r="D827" s="260"/>
      <c r="E827" s="104"/>
      <c r="F827" s="104"/>
      <c r="G827" s="35"/>
      <c r="H827" s="104"/>
      <c r="I827" s="35"/>
      <c r="J827" s="74"/>
      <c r="K827" s="74"/>
      <c r="L827" s="74"/>
      <c r="M827" s="74"/>
      <c r="N827" s="74"/>
      <c r="O827" s="74"/>
      <c r="P827" s="74"/>
      <c r="Q827" s="74"/>
      <c r="R827" s="74"/>
      <c r="S827" s="74"/>
      <c r="T827" s="74"/>
      <c r="U827" s="74"/>
      <c r="V827" s="74"/>
      <c r="W827" s="74"/>
      <c r="X827" s="74"/>
      <c r="Y827" s="74"/>
      <c r="Z827" s="74"/>
      <c r="AA827" s="74"/>
      <c r="AB827" s="74"/>
    </row>
    <row r="828" spans="1:28" ht="12" customHeight="1">
      <c r="A828" s="763"/>
      <c r="B828" s="104"/>
      <c r="C828" s="104"/>
      <c r="D828" s="260"/>
      <c r="E828" s="104"/>
      <c r="F828" s="104"/>
      <c r="G828" s="35"/>
      <c r="H828" s="104"/>
      <c r="I828" s="35"/>
      <c r="J828" s="74"/>
      <c r="K828" s="74"/>
      <c r="L828" s="74"/>
      <c r="M828" s="74"/>
      <c r="N828" s="74"/>
      <c r="O828" s="74"/>
      <c r="P828" s="74"/>
      <c r="Q828" s="74"/>
      <c r="R828" s="74"/>
      <c r="S828" s="74"/>
      <c r="T828" s="74"/>
      <c r="U828" s="74"/>
      <c r="V828" s="74"/>
      <c r="W828" s="74"/>
      <c r="X828" s="74"/>
      <c r="Y828" s="74"/>
      <c r="Z828" s="74"/>
      <c r="AA828" s="74"/>
      <c r="AB828" s="74"/>
    </row>
    <row r="829" spans="1:28" ht="12" customHeight="1">
      <c r="A829" s="763"/>
      <c r="B829" s="104"/>
      <c r="C829" s="104"/>
      <c r="D829" s="260"/>
      <c r="E829" s="104"/>
      <c r="F829" s="104"/>
      <c r="G829" s="35"/>
      <c r="H829" s="104"/>
      <c r="I829" s="35"/>
      <c r="J829" s="74"/>
      <c r="K829" s="74"/>
      <c r="L829" s="74"/>
      <c r="M829" s="74"/>
      <c r="N829" s="74"/>
      <c r="O829" s="74"/>
      <c r="P829" s="74"/>
      <c r="Q829" s="74"/>
      <c r="R829" s="74"/>
      <c r="S829" s="74"/>
      <c r="T829" s="74"/>
      <c r="U829" s="74"/>
      <c r="V829" s="74"/>
      <c r="W829" s="74"/>
      <c r="X829" s="74"/>
      <c r="Y829" s="74"/>
      <c r="Z829" s="74"/>
      <c r="AA829" s="74"/>
      <c r="AB829" s="74"/>
    </row>
    <row r="830" spans="1:28" ht="12" customHeight="1">
      <c r="A830" s="763"/>
      <c r="B830" s="104"/>
      <c r="C830" s="104"/>
      <c r="D830" s="260"/>
      <c r="E830" s="104"/>
      <c r="F830" s="104"/>
      <c r="G830" s="35"/>
      <c r="H830" s="104"/>
      <c r="I830" s="35"/>
      <c r="J830" s="74"/>
      <c r="K830" s="74"/>
      <c r="L830" s="74"/>
      <c r="M830" s="74"/>
      <c r="N830" s="74"/>
      <c r="O830" s="74"/>
      <c r="P830" s="74"/>
      <c r="Q830" s="74"/>
      <c r="R830" s="74"/>
      <c r="S830" s="74"/>
      <c r="T830" s="74"/>
      <c r="U830" s="74"/>
      <c r="V830" s="74"/>
      <c r="W830" s="74"/>
      <c r="X830" s="74"/>
      <c r="Y830" s="74"/>
      <c r="Z830" s="74"/>
      <c r="AA830" s="74"/>
      <c r="AB830" s="74"/>
    </row>
    <row r="831" spans="1:28" ht="12" customHeight="1">
      <c r="A831" s="763"/>
      <c r="B831" s="104"/>
      <c r="C831" s="104"/>
      <c r="D831" s="260"/>
      <c r="E831" s="104"/>
      <c r="F831" s="104"/>
      <c r="G831" s="35"/>
      <c r="H831" s="104"/>
      <c r="I831" s="35"/>
      <c r="J831" s="74"/>
      <c r="K831" s="74"/>
      <c r="L831" s="74"/>
      <c r="M831" s="74"/>
      <c r="N831" s="74"/>
      <c r="O831" s="74"/>
      <c r="P831" s="74"/>
      <c r="Q831" s="74"/>
      <c r="R831" s="74"/>
      <c r="S831" s="74"/>
      <c r="T831" s="74"/>
      <c r="U831" s="74"/>
      <c r="V831" s="74"/>
      <c r="W831" s="74"/>
      <c r="X831" s="74"/>
      <c r="Y831" s="74"/>
      <c r="Z831" s="74"/>
      <c r="AA831" s="74"/>
      <c r="AB831" s="74"/>
    </row>
    <row r="832" spans="1:28" ht="12" customHeight="1">
      <c r="A832" s="763"/>
      <c r="B832" s="104"/>
      <c r="C832" s="104"/>
      <c r="D832" s="260"/>
      <c r="E832" s="104"/>
      <c r="F832" s="104"/>
      <c r="G832" s="35"/>
      <c r="H832" s="104"/>
      <c r="I832" s="35"/>
      <c r="J832" s="74"/>
      <c r="K832" s="74"/>
      <c r="L832" s="74"/>
      <c r="M832" s="74"/>
      <c r="N832" s="74"/>
      <c r="O832" s="74"/>
      <c r="P832" s="74"/>
      <c r="Q832" s="74"/>
      <c r="R832" s="74"/>
      <c r="S832" s="74"/>
      <c r="T832" s="74"/>
      <c r="U832" s="74"/>
      <c r="V832" s="74"/>
      <c r="W832" s="74"/>
      <c r="X832" s="74"/>
      <c r="Y832" s="74"/>
      <c r="Z832" s="74"/>
      <c r="AA832" s="74"/>
      <c r="AB832" s="74"/>
    </row>
    <row r="833" spans="1:28" ht="12" customHeight="1">
      <c r="A833" s="763"/>
      <c r="B833" s="104"/>
      <c r="C833" s="104"/>
      <c r="D833" s="260"/>
      <c r="E833" s="104"/>
      <c r="F833" s="104"/>
      <c r="G833" s="35"/>
      <c r="H833" s="104"/>
      <c r="I833" s="35"/>
      <c r="J833" s="74"/>
      <c r="K833" s="74"/>
      <c r="L833" s="74"/>
      <c r="M833" s="74"/>
      <c r="N833" s="74"/>
      <c r="O833" s="74"/>
      <c r="P833" s="74"/>
      <c r="Q833" s="74"/>
      <c r="R833" s="74"/>
      <c r="S833" s="74"/>
      <c r="T833" s="74"/>
      <c r="U833" s="74"/>
      <c r="V833" s="74"/>
      <c r="W833" s="74"/>
      <c r="X833" s="74"/>
      <c r="Y833" s="74"/>
      <c r="Z833" s="74"/>
      <c r="AA833" s="74"/>
      <c r="AB833" s="74"/>
    </row>
    <row r="834" spans="1:28" ht="12" customHeight="1">
      <c r="A834" s="763"/>
      <c r="B834" s="104"/>
      <c r="C834" s="104"/>
      <c r="D834" s="260"/>
      <c r="E834" s="104"/>
      <c r="F834" s="104"/>
      <c r="G834" s="35"/>
      <c r="H834" s="104"/>
      <c r="I834" s="35"/>
      <c r="J834" s="74"/>
      <c r="K834" s="74"/>
      <c r="L834" s="74"/>
      <c r="M834" s="74"/>
      <c r="N834" s="74"/>
      <c r="O834" s="74"/>
      <c r="P834" s="74"/>
      <c r="Q834" s="74"/>
      <c r="R834" s="74"/>
      <c r="S834" s="74"/>
      <c r="T834" s="74"/>
      <c r="U834" s="74"/>
      <c r="V834" s="74"/>
      <c r="W834" s="74"/>
      <c r="X834" s="74"/>
      <c r="Y834" s="74"/>
      <c r="Z834" s="74"/>
      <c r="AA834" s="74"/>
      <c r="AB834" s="74"/>
    </row>
    <row r="835" spans="1:28" ht="12" customHeight="1">
      <c r="A835" s="763"/>
      <c r="B835" s="104"/>
      <c r="C835" s="104"/>
      <c r="D835" s="260"/>
      <c r="E835" s="104"/>
      <c r="F835" s="104"/>
      <c r="G835" s="35"/>
      <c r="H835" s="104"/>
      <c r="I835" s="35"/>
      <c r="J835" s="74"/>
      <c r="K835" s="74"/>
      <c r="L835" s="74"/>
      <c r="M835" s="74"/>
      <c r="N835" s="74"/>
      <c r="O835" s="74"/>
      <c r="P835" s="74"/>
      <c r="Q835" s="74"/>
      <c r="R835" s="74"/>
      <c r="S835" s="74"/>
      <c r="T835" s="74"/>
      <c r="U835" s="74"/>
      <c r="V835" s="74"/>
      <c r="W835" s="74"/>
      <c r="X835" s="74"/>
      <c r="Y835" s="74"/>
      <c r="Z835" s="74"/>
      <c r="AA835" s="74"/>
      <c r="AB835" s="74"/>
    </row>
    <row r="836" spans="1:28" ht="12" customHeight="1">
      <c r="A836" s="763"/>
      <c r="B836" s="104"/>
      <c r="C836" s="104"/>
      <c r="D836" s="260"/>
      <c r="E836" s="104"/>
      <c r="F836" s="104"/>
      <c r="G836" s="35"/>
      <c r="H836" s="104"/>
      <c r="I836" s="35"/>
      <c r="J836" s="74"/>
      <c r="K836" s="74"/>
      <c r="L836" s="74"/>
      <c r="M836" s="74"/>
      <c r="N836" s="74"/>
      <c r="O836" s="74"/>
      <c r="P836" s="74"/>
      <c r="Q836" s="74"/>
      <c r="R836" s="74"/>
      <c r="S836" s="74"/>
      <c r="T836" s="74"/>
      <c r="U836" s="74"/>
      <c r="V836" s="74"/>
      <c r="W836" s="74"/>
      <c r="X836" s="74"/>
      <c r="Y836" s="74"/>
      <c r="Z836" s="74"/>
      <c r="AA836" s="74"/>
      <c r="AB836" s="74"/>
    </row>
    <row r="837" spans="1:28" ht="12" customHeight="1">
      <c r="A837" s="763"/>
      <c r="B837" s="104"/>
      <c r="C837" s="104"/>
      <c r="D837" s="260"/>
      <c r="E837" s="104"/>
      <c r="F837" s="104"/>
      <c r="G837" s="35"/>
      <c r="H837" s="104"/>
      <c r="I837" s="35"/>
      <c r="J837" s="74"/>
      <c r="K837" s="74"/>
      <c r="L837" s="74"/>
      <c r="M837" s="74"/>
      <c r="N837" s="74"/>
      <c r="O837" s="74"/>
      <c r="P837" s="74"/>
      <c r="Q837" s="74"/>
      <c r="R837" s="74"/>
      <c r="S837" s="74"/>
      <c r="T837" s="74"/>
      <c r="U837" s="74"/>
      <c r="V837" s="74"/>
      <c r="W837" s="74"/>
      <c r="X837" s="74"/>
      <c r="Y837" s="74"/>
      <c r="Z837" s="74"/>
      <c r="AA837" s="74"/>
      <c r="AB837" s="74"/>
    </row>
    <row r="838" spans="1:28" ht="12" customHeight="1">
      <c r="A838" s="763"/>
      <c r="B838" s="104"/>
      <c r="C838" s="104"/>
      <c r="D838" s="260"/>
      <c r="E838" s="104"/>
      <c r="F838" s="104"/>
      <c r="G838" s="35"/>
      <c r="H838" s="104"/>
      <c r="I838" s="35"/>
      <c r="J838" s="74"/>
      <c r="K838" s="74"/>
      <c r="L838" s="74"/>
      <c r="M838" s="74"/>
      <c r="N838" s="74"/>
      <c r="O838" s="74"/>
      <c r="P838" s="74"/>
      <c r="Q838" s="74"/>
      <c r="R838" s="74"/>
      <c r="S838" s="74"/>
      <c r="T838" s="74"/>
      <c r="U838" s="74"/>
      <c r="V838" s="74"/>
      <c r="W838" s="74"/>
      <c r="X838" s="74"/>
      <c r="Y838" s="74"/>
      <c r="Z838" s="74"/>
      <c r="AA838" s="74"/>
      <c r="AB838" s="74"/>
    </row>
    <row r="839" spans="1:28" ht="12" customHeight="1">
      <c r="A839" s="763"/>
      <c r="B839" s="104"/>
      <c r="C839" s="104"/>
      <c r="D839" s="260"/>
      <c r="E839" s="104"/>
      <c r="F839" s="104"/>
      <c r="G839" s="35"/>
      <c r="H839" s="104"/>
      <c r="I839" s="35"/>
      <c r="J839" s="74"/>
      <c r="K839" s="74"/>
      <c r="L839" s="74"/>
      <c r="M839" s="74"/>
      <c r="N839" s="74"/>
      <c r="O839" s="74"/>
      <c r="P839" s="74"/>
      <c r="Q839" s="74"/>
      <c r="R839" s="74"/>
      <c r="S839" s="74"/>
      <c r="T839" s="74"/>
      <c r="U839" s="74"/>
      <c r="V839" s="74"/>
      <c r="W839" s="74"/>
      <c r="X839" s="74"/>
      <c r="Y839" s="74"/>
      <c r="Z839" s="74"/>
      <c r="AA839" s="74"/>
      <c r="AB839" s="74"/>
    </row>
    <row r="840" spans="1:28" ht="12" customHeight="1">
      <c r="A840" s="763"/>
      <c r="B840" s="104"/>
      <c r="C840" s="104"/>
      <c r="D840" s="260"/>
      <c r="E840" s="104"/>
      <c r="F840" s="104"/>
      <c r="G840" s="35"/>
      <c r="H840" s="104"/>
      <c r="I840" s="35"/>
      <c r="J840" s="74"/>
      <c r="K840" s="74"/>
      <c r="L840" s="74"/>
      <c r="M840" s="74"/>
      <c r="N840" s="74"/>
      <c r="O840" s="74"/>
      <c r="P840" s="74"/>
      <c r="Q840" s="74"/>
      <c r="R840" s="74"/>
      <c r="S840" s="74"/>
      <c r="T840" s="74"/>
      <c r="U840" s="74"/>
      <c r="V840" s="74"/>
      <c r="W840" s="74"/>
      <c r="X840" s="74"/>
      <c r="Y840" s="74"/>
      <c r="Z840" s="74"/>
      <c r="AA840" s="74"/>
      <c r="AB840" s="74"/>
    </row>
    <row r="841" spans="1:28" ht="12" customHeight="1">
      <c r="A841" s="763"/>
      <c r="B841" s="104"/>
      <c r="C841" s="104"/>
      <c r="D841" s="260"/>
      <c r="E841" s="104"/>
      <c r="F841" s="104"/>
      <c r="G841" s="35"/>
      <c r="H841" s="104"/>
      <c r="I841" s="35"/>
      <c r="J841" s="74"/>
      <c r="K841" s="74"/>
      <c r="L841" s="74"/>
      <c r="M841" s="74"/>
      <c r="N841" s="74"/>
      <c r="O841" s="74"/>
      <c r="P841" s="74"/>
      <c r="Q841" s="74"/>
      <c r="R841" s="74"/>
      <c r="S841" s="74"/>
      <c r="T841" s="74"/>
      <c r="U841" s="74"/>
      <c r="V841" s="74"/>
      <c r="W841" s="74"/>
      <c r="X841" s="74"/>
      <c r="Y841" s="74"/>
      <c r="Z841" s="74"/>
      <c r="AA841" s="74"/>
      <c r="AB841" s="74"/>
    </row>
    <row r="842" spans="1:28" ht="12" customHeight="1">
      <c r="A842" s="763"/>
      <c r="B842" s="104"/>
      <c r="C842" s="104"/>
      <c r="D842" s="260"/>
      <c r="E842" s="104"/>
      <c r="F842" s="104"/>
      <c r="G842" s="35"/>
      <c r="H842" s="104"/>
      <c r="I842" s="35"/>
      <c r="J842" s="74"/>
      <c r="K842" s="74"/>
      <c r="L842" s="74"/>
      <c r="M842" s="74"/>
      <c r="N842" s="74"/>
      <c r="O842" s="74"/>
      <c r="P842" s="74"/>
      <c r="Q842" s="74"/>
      <c r="R842" s="74"/>
      <c r="S842" s="74"/>
      <c r="T842" s="74"/>
      <c r="U842" s="74"/>
      <c r="V842" s="74"/>
      <c r="W842" s="74"/>
      <c r="X842" s="74"/>
      <c r="Y842" s="74"/>
      <c r="Z842" s="74"/>
      <c r="AA842" s="74"/>
      <c r="AB842" s="74"/>
    </row>
    <row r="843" spans="1:28" ht="12" customHeight="1">
      <c r="A843" s="763"/>
      <c r="B843" s="104"/>
      <c r="C843" s="104"/>
      <c r="D843" s="260"/>
      <c r="E843" s="104"/>
      <c r="F843" s="104"/>
      <c r="G843" s="35"/>
      <c r="H843" s="104"/>
      <c r="I843" s="35"/>
      <c r="J843" s="74"/>
      <c r="K843" s="74"/>
      <c r="L843" s="74"/>
      <c r="M843" s="74"/>
      <c r="N843" s="74"/>
      <c r="O843" s="74"/>
      <c r="P843" s="74"/>
      <c r="Q843" s="74"/>
      <c r="R843" s="74"/>
      <c r="S843" s="74"/>
      <c r="T843" s="74"/>
      <c r="U843" s="74"/>
      <c r="V843" s="74"/>
      <c r="W843" s="74"/>
      <c r="X843" s="74"/>
      <c r="Y843" s="74"/>
      <c r="Z843" s="74"/>
      <c r="AA843" s="74"/>
      <c r="AB843" s="74"/>
    </row>
    <row r="844" spans="1:28" ht="12" customHeight="1">
      <c r="A844" s="763"/>
      <c r="B844" s="104"/>
      <c r="C844" s="104"/>
      <c r="D844" s="260"/>
      <c r="E844" s="104"/>
      <c r="F844" s="104"/>
      <c r="G844" s="35"/>
      <c r="H844" s="104"/>
      <c r="I844" s="35"/>
      <c r="J844" s="74"/>
      <c r="K844" s="74"/>
      <c r="L844" s="74"/>
      <c r="M844" s="74"/>
      <c r="N844" s="74"/>
      <c r="O844" s="74"/>
      <c r="P844" s="74"/>
      <c r="Q844" s="74"/>
      <c r="R844" s="74"/>
      <c r="S844" s="74"/>
      <c r="T844" s="74"/>
      <c r="U844" s="74"/>
      <c r="V844" s="74"/>
      <c r="W844" s="74"/>
      <c r="X844" s="74"/>
      <c r="Y844" s="74"/>
      <c r="Z844" s="74"/>
      <c r="AA844" s="74"/>
      <c r="AB844" s="74"/>
    </row>
    <row r="845" spans="1:28" ht="12" customHeight="1">
      <c r="A845" s="763"/>
      <c r="B845" s="104"/>
      <c r="C845" s="104"/>
      <c r="D845" s="260"/>
      <c r="E845" s="104"/>
      <c r="F845" s="104"/>
      <c r="G845" s="35"/>
      <c r="H845" s="104"/>
      <c r="I845" s="35"/>
      <c r="J845" s="74"/>
      <c r="K845" s="74"/>
      <c r="L845" s="74"/>
      <c r="M845" s="74"/>
      <c r="N845" s="74"/>
      <c r="O845" s="74"/>
      <c r="P845" s="74"/>
      <c r="Q845" s="74"/>
      <c r="R845" s="74"/>
      <c r="S845" s="74"/>
      <c r="T845" s="74"/>
      <c r="U845" s="74"/>
      <c r="V845" s="74"/>
      <c r="W845" s="74"/>
      <c r="X845" s="74"/>
      <c r="Y845" s="74"/>
      <c r="Z845" s="74"/>
      <c r="AA845" s="74"/>
      <c r="AB845" s="74"/>
    </row>
    <row r="846" spans="1:28" ht="12" customHeight="1">
      <c r="A846" s="763"/>
      <c r="B846" s="104"/>
      <c r="C846" s="104"/>
      <c r="D846" s="260"/>
      <c r="E846" s="104"/>
      <c r="F846" s="104"/>
      <c r="G846" s="35"/>
      <c r="H846" s="104"/>
      <c r="I846" s="35"/>
      <c r="J846" s="74"/>
      <c r="K846" s="74"/>
      <c r="L846" s="74"/>
      <c r="M846" s="74"/>
      <c r="N846" s="74"/>
      <c r="O846" s="74"/>
      <c r="P846" s="74"/>
      <c r="Q846" s="74"/>
      <c r="R846" s="74"/>
      <c r="S846" s="74"/>
      <c r="T846" s="74"/>
      <c r="U846" s="74"/>
      <c r="V846" s="74"/>
      <c r="W846" s="74"/>
      <c r="X846" s="74"/>
      <c r="Y846" s="74"/>
      <c r="Z846" s="74"/>
      <c r="AA846" s="74"/>
      <c r="AB846" s="74"/>
    </row>
    <row r="847" spans="1:28" ht="12" customHeight="1">
      <c r="A847" s="763"/>
      <c r="B847" s="104"/>
      <c r="C847" s="104"/>
      <c r="D847" s="260"/>
      <c r="E847" s="104"/>
      <c r="F847" s="104"/>
      <c r="G847" s="35"/>
      <c r="H847" s="104"/>
      <c r="I847" s="35"/>
      <c r="J847" s="74"/>
      <c r="K847" s="74"/>
      <c r="L847" s="74"/>
      <c r="M847" s="74"/>
      <c r="N847" s="74"/>
      <c r="O847" s="74"/>
      <c r="P847" s="74"/>
      <c r="Q847" s="74"/>
      <c r="R847" s="74"/>
      <c r="S847" s="74"/>
      <c r="T847" s="74"/>
      <c r="U847" s="74"/>
      <c r="V847" s="74"/>
      <c r="W847" s="74"/>
      <c r="X847" s="74"/>
      <c r="Y847" s="74"/>
      <c r="Z847" s="74"/>
      <c r="AA847" s="74"/>
      <c r="AB847" s="74"/>
    </row>
    <row r="848" spans="1:28" ht="12" customHeight="1">
      <c r="A848" s="763"/>
      <c r="B848" s="104"/>
      <c r="C848" s="104"/>
      <c r="D848" s="260"/>
      <c r="E848" s="104"/>
      <c r="F848" s="104"/>
      <c r="G848" s="35"/>
      <c r="H848" s="104"/>
      <c r="I848" s="35"/>
      <c r="J848" s="74"/>
      <c r="K848" s="74"/>
      <c r="L848" s="74"/>
      <c r="M848" s="74"/>
      <c r="N848" s="74"/>
      <c r="O848" s="74"/>
      <c r="P848" s="74"/>
      <c r="Q848" s="74"/>
      <c r="R848" s="74"/>
      <c r="S848" s="74"/>
      <c r="T848" s="74"/>
      <c r="U848" s="74"/>
      <c r="V848" s="74"/>
      <c r="W848" s="74"/>
      <c r="X848" s="74"/>
      <c r="Y848" s="74"/>
      <c r="Z848" s="74"/>
      <c r="AA848" s="74"/>
      <c r="AB848" s="74"/>
    </row>
    <row r="849" spans="1:28" ht="12" customHeight="1">
      <c r="A849" s="763"/>
      <c r="B849" s="104"/>
      <c r="C849" s="104"/>
      <c r="D849" s="260"/>
      <c r="E849" s="104"/>
      <c r="F849" s="104"/>
      <c r="G849" s="35"/>
      <c r="H849" s="104"/>
      <c r="I849" s="35"/>
      <c r="J849" s="74"/>
      <c r="K849" s="74"/>
      <c r="L849" s="74"/>
      <c r="M849" s="74"/>
      <c r="N849" s="74"/>
      <c r="O849" s="74"/>
      <c r="P849" s="74"/>
      <c r="Q849" s="74"/>
      <c r="R849" s="74"/>
      <c r="S849" s="74"/>
      <c r="T849" s="74"/>
      <c r="U849" s="74"/>
      <c r="V849" s="74"/>
      <c r="W849" s="74"/>
      <c r="X849" s="74"/>
      <c r="Y849" s="74"/>
      <c r="Z849" s="74"/>
      <c r="AA849" s="74"/>
      <c r="AB849" s="74"/>
    </row>
    <row r="850" spans="1:28" ht="12" customHeight="1">
      <c r="A850" s="763"/>
      <c r="B850" s="104"/>
      <c r="C850" s="104"/>
      <c r="D850" s="260"/>
      <c r="E850" s="104"/>
      <c r="F850" s="104"/>
      <c r="G850" s="35"/>
      <c r="H850" s="104"/>
      <c r="I850" s="35"/>
      <c r="J850" s="74"/>
      <c r="K850" s="74"/>
      <c r="L850" s="74"/>
      <c r="M850" s="74"/>
      <c r="N850" s="74"/>
      <c r="O850" s="74"/>
      <c r="P850" s="74"/>
      <c r="Q850" s="74"/>
      <c r="R850" s="74"/>
      <c r="S850" s="74"/>
      <c r="T850" s="74"/>
      <c r="U850" s="74"/>
      <c r="V850" s="74"/>
      <c r="W850" s="74"/>
      <c r="X850" s="74"/>
      <c r="Y850" s="74"/>
      <c r="Z850" s="74"/>
      <c r="AA850" s="74"/>
      <c r="AB850" s="74"/>
    </row>
    <row r="851" spans="1:28" ht="12" customHeight="1">
      <c r="A851" s="763"/>
      <c r="B851" s="104"/>
      <c r="C851" s="104"/>
      <c r="D851" s="260"/>
      <c r="E851" s="104"/>
      <c r="F851" s="104"/>
      <c r="G851" s="35"/>
      <c r="H851" s="104"/>
      <c r="I851" s="35"/>
      <c r="J851" s="74"/>
      <c r="K851" s="74"/>
      <c r="L851" s="74"/>
      <c r="M851" s="74"/>
      <c r="N851" s="74"/>
      <c r="O851" s="74"/>
      <c r="P851" s="74"/>
      <c r="Q851" s="74"/>
      <c r="R851" s="74"/>
      <c r="S851" s="74"/>
      <c r="T851" s="74"/>
      <c r="U851" s="74"/>
      <c r="V851" s="74"/>
      <c r="W851" s="74"/>
      <c r="X851" s="74"/>
      <c r="Y851" s="74"/>
      <c r="Z851" s="74"/>
      <c r="AA851" s="74"/>
      <c r="AB851" s="74"/>
    </row>
    <row r="852" spans="1:28" ht="12" customHeight="1">
      <c r="A852" s="763"/>
      <c r="B852" s="104"/>
      <c r="C852" s="104"/>
      <c r="D852" s="260"/>
      <c r="E852" s="104"/>
      <c r="F852" s="104"/>
      <c r="G852" s="35"/>
      <c r="H852" s="104"/>
      <c r="I852" s="35"/>
      <c r="J852" s="74"/>
      <c r="K852" s="74"/>
      <c r="L852" s="74"/>
      <c r="M852" s="74"/>
      <c r="N852" s="74"/>
      <c r="O852" s="74"/>
      <c r="P852" s="74"/>
      <c r="Q852" s="74"/>
      <c r="R852" s="74"/>
      <c r="S852" s="74"/>
      <c r="T852" s="74"/>
      <c r="U852" s="74"/>
      <c r="V852" s="74"/>
      <c r="W852" s="74"/>
      <c r="X852" s="74"/>
      <c r="Y852" s="74"/>
      <c r="Z852" s="74"/>
      <c r="AA852" s="74"/>
      <c r="AB852" s="74"/>
    </row>
    <row r="853" spans="1:28" ht="12" customHeight="1">
      <c r="A853" s="763"/>
      <c r="B853" s="104"/>
      <c r="C853" s="104"/>
      <c r="D853" s="260"/>
      <c r="E853" s="104"/>
      <c r="F853" s="104"/>
      <c r="G853" s="35"/>
      <c r="H853" s="104"/>
      <c r="I853" s="35"/>
      <c r="J853" s="74"/>
      <c r="K853" s="74"/>
      <c r="L853" s="74"/>
      <c r="M853" s="74"/>
      <c r="N853" s="74"/>
      <c r="O853" s="74"/>
      <c r="P853" s="74"/>
      <c r="Q853" s="74"/>
      <c r="R853" s="74"/>
      <c r="S853" s="74"/>
      <c r="T853" s="74"/>
      <c r="U853" s="74"/>
      <c r="V853" s="74"/>
      <c r="W853" s="74"/>
      <c r="X853" s="74"/>
      <c r="Y853" s="74"/>
      <c r="Z853" s="74"/>
      <c r="AA853" s="74"/>
      <c r="AB853" s="74"/>
    </row>
    <row r="854" spans="1:28" ht="12" customHeight="1">
      <c r="A854" s="763"/>
      <c r="B854" s="104"/>
      <c r="C854" s="104"/>
      <c r="D854" s="260"/>
      <c r="E854" s="104"/>
      <c r="F854" s="104"/>
      <c r="G854" s="35"/>
      <c r="H854" s="104"/>
      <c r="I854" s="35"/>
      <c r="J854" s="74"/>
      <c r="K854" s="74"/>
      <c r="L854" s="74"/>
      <c r="M854" s="74"/>
      <c r="N854" s="74"/>
      <c r="O854" s="74"/>
      <c r="P854" s="74"/>
      <c r="Q854" s="74"/>
      <c r="R854" s="74"/>
      <c r="S854" s="74"/>
      <c r="T854" s="74"/>
      <c r="U854" s="74"/>
      <c r="V854" s="74"/>
      <c r="W854" s="74"/>
      <c r="X854" s="74"/>
      <c r="Y854" s="74"/>
      <c r="Z854" s="74"/>
      <c r="AA854" s="74"/>
      <c r="AB854" s="74"/>
    </row>
    <row r="855" spans="1:28" ht="12" customHeight="1">
      <c r="A855" s="763"/>
      <c r="B855" s="104"/>
      <c r="C855" s="104"/>
      <c r="D855" s="260"/>
      <c r="E855" s="104"/>
      <c r="F855" s="104"/>
      <c r="G855" s="35"/>
      <c r="H855" s="104"/>
      <c r="I855" s="35"/>
      <c r="J855" s="74"/>
      <c r="K855" s="74"/>
      <c r="L855" s="74"/>
      <c r="M855" s="74"/>
      <c r="N855" s="74"/>
      <c r="O855" s="74"/>
      <c r="P855" s="74"/>
      <c r="Q855" s="74"/>
      <c r="R855" s="74"/>
      <c r="S855" s="74"/>
      <c r="T855" s="74"/>
      <c r="U855" s="74"/>
      <c r="V855" s="74"/>
      <c r="W855" s="74"/>
      <c r="X855" s="74"/>
      <c r="Y855" s="74"/>
      <c r="Z855" s="74"/>
      <c r="AA855" s="74"/>
      <c r="AB855" s="74"/>
    </row>
    <row r="856" spans="1:28" ht="12" customHeight="1">
      <c r="A856" s="763"/>
      <c r="B856" s="104"/>
      <c r="C856" s="104"/>
      <c r="D856" s="260"/>
      <c r="E856" s="104"/>
      <c r="F856" s="104"/>
      <c r="G856" s="35"/>
      <c r="H856" s="104"/>
      <c r="I856" s="35"/>
      <c r="J856" s="74"/>
      <c r="K856" s="74"/>
      <c r="L856" s="74"/>
      <c r="M856" s="74"/>
      <c r="N856" s="74"/>
      <c r="O856" s="74"/>
      <c r="P856" s="74"/>
      <c r="Q856" s="74"/>
      <c r="R856" s="74"/>
      <c r="S856" s="74"/>
      <c r="T856" s="74"/>
      <c r="U856" s="74"/>
      <c r="V856" s="74"/>
      <c r="W856" s="74"/>
      <c r="X856" s="74"/>
      <c r="Y856" s="74"/>
      <c r="Z856" s="74"/>
      <c r="AA856" s="74"/>
      <c r="AB856" s="74"/>
    </row>
    <row r="857" spans="1:28" ht="12" customHeight="1">
      <c r="A857" s="763"/>
      <c r="B857" s="104"/>
      <c r="C857" s="104"/>
      <c r="D857" s="260"/>
      <c r="E857" s="104"/>
      <c r="F857" s="104"/>
      <c r="G857" s="35"/>
      <c r="H857" s="104"/>
      <c r="I857" s="35"/>
      <c r="J857" s="74"/>
      <c r="K857" s="74"/>
      <c r="L857" s="74"/>
      <c r="M857" s="74"/>
      <c r="N857" s="74"/>
      <c r="O857" s="74"/>
      <c r="P857" s="74"/>
      <c r="Q857" s="74"/>
      <c r="R857" s="74"/>
      <c r="S857" s="74"/>
      <c r="T857" s="74"/>
      <c r="U857" s="74"/>
      <c r="V857" s="74"/>
      <c r="W857" s="74"/>
      <c r="X857" s="74"/>
      <c r="Y857" s="74"/>
      <c r="Z857" s="74"/>
      <c r="AA857" s="74"/>
      <c r="AB857" s="74"/>
    </row>
    <row r="858" spans="1:28" ht="12" customHeight="1">
      <c r="A858" s="763"/>
      <c r="B858" s="104"/>
      <c r="C858" s="104"/>
      <c r="D858" s="260"/>
      <c r="E858" s="104"/>
      <c r="F858" s="104"/>
      <c r="G858" s="35"/>
      <c r="H858" s="104"/>
      <c r="I858" s="35"/>
      <c r="J858" s="74"/>
      <c r="K858" s="74"/>
      <c r="L858" s="74"/>
      <c r="M858" s="74"/>
      <c r="N858" s="74"/>
      <c r="O858" s="74"/>
      <c r="P858" s="74"/>
      <c r="Q858" s="74"/>
      <c r="R858" s="74"/>
      <c r="S858" s="74"/>
      <c r="T858" s="74"/>
      <c r="U858" s="74"/>
      <c r="V858" s="74"/>
      <c r="W858" s="74"/>
      <c r="X858" s="74"/>
      <c r="Y858" s="74"/>
      <c r="Z858" s="74"/>
      <c r="AA858" s="74"/>
      <c r="AB858" s="74"/>
    </row>
    <row r="859" spans="1:28" ht="12" customHeight="1">
      <c r="A859" s="763"/>
      <c r="B859" s="104"/>
      <c r="C859" s="104"/>
      <c r="D859" s="260"/>
      <c r="E859" s="104"/>
      <c r="F859" s="104"/>
      <c r="G859" s="35"/>
      <c r="H859" s="104"/>
      <c r="I859" s="35"/>
      <c r="J859" s="74"/>
      <c r="K859" s="74"/>
      <c r="L859" s="74"/>
      <c r="M859" s="74"/>
      <c r="N859" s="74"/>
      <c r="O859" s="74"/>
      <c r="P859" s="74"/>
      <c r="Q859" s="74"/>
      <c r="R859" s="74"/>
      <c r="S859" s="74"/>
      <c r="T859" s="74"/>
      <c r="U859" s="74"/>
      <c r="V859" s="74"/>
      <c r="W859" s="74"/>
      <c r="X859" s="74"/>
      <c r="Y859" s="74"/>
      <c r="Z859" s="74"/>
      <c r="AA859" s="74"/>
      <c r="AB859" s="74"/>
    </row>
    <row r="860" spans="1:28" ht="12" customHeight="1">
      <c r="A860" s="763"/>
      <c r="B860" s="104"/>
      <c r="C860" s="104"/>
      <c r="D860" s="260"/>
      <c r="E860" s="104"/>
      <c r="F860" s="104"/>
      <c r="G860" s="35"/>
      <c r="H860" s="104"/>
      <c r="I860" s="35"/>
      <c r="J860" s="74"/>
      <c r="K860" s="74"/>
      <c r="L860" s="74"/>
      <c r="M860" s="74"/>
      <c r="N860" s="74"/>
      <c r="O860" s="74"/>
      <c r="P860" s="74"/>
      <c r="Q860" s="74"/>
      <c r="R860" s="74"/>
      <c r="S860" s="74"/>
      <c r="T860" s="74"/>
      <c r="U860" s="74"/>
      <c r="V860" s="74"/>
      <c r="W860" s="74"/>
      <c r="X860" s="74"/>
      <c r="Y860" s="74"/>
      <c r="Z860" s="74"/>
      <c r="AA860" s="74"/>
      <c r="AB860" s="74"/>
    </row>
    <row r="861" spans="1:28" ht="12" customHeight="1">
      <c r="A861" s="763"/>
      <c r="B861" s="104"/>
      <c r="C861" s="104"/>
      <c r="D861" s="260"/>
      <c r="E861" s="104"/>
      <c r="F861" s="104"/>
      <c r="G861" s="35"/>
      <c r="H861" s="104"/>
      <c r="I861" s="35"/>
      <c r="J861" s="74"/>
      <c r="K861" s="74"/>
      <c r="L861" s="74"/>
      <c r="M861" s="74"/>
      <c r="N861" s="74"/>
      <c r="O861" s="74"/>
      <c r="P861" s="74"/>
      <c r="Q861" s="74"/>
      <c r="R861" s="74"/>
      <c r="S861" s="74"/>
      <c r="T861" s="74"/>
      <c r="U861" s="74"/>
      <c r="V861" s="74"/>
      <c r="W861" s="74"/>
      <c r="X861" s="74"/>
      <c r="Y861" s="74"/>
      <c r="Z861" s="74"/>
      <c r="AA861" s="74"/>
      <c r="AB861" s="74"/>
    </row>
    <row r="862" spans="1:28" ht="12" customHeight="1">
      <c r="A862" s="763"/>
      <c r="B862" s="104"/>
      <c r="C862" s="104"/>
      <c r="D862" s="260"/>
      <c r="E862" s="104"/>
      <c r="F862" s="104"/>
      <c r="G862" s="35"/>
      <c r="H862" s="104"/>
      <c r="I862" s="35"/>
      <c r="J862" s="74"/>
      <c r="K862" s="74"/>
      <c r="L862" s="74"/>
      <c r="M862" s="74"/>
      <c r="N862" s="74"/>
      <c r="O862" s="74"/>
      <c r="P862" s="74"/>
      <c r="Q862" s="74"/>
      <c r="R862" s="74"/>
      <c r="S862" s="74"/>
      <c r="T862" s="74"/>
      <c r="U862" s="74"/>
      <c r="V862" s="74"/>
      <c r="W862" s="74"/>
      <c r="X862" s="74"/>
      <c r="Y862" s="74"/>
      <c r="Z862" s="74"/>
      <c r="AA862" s="74"/>
      <c r="AB862" s="74"/>
    </row>
    <row r="863" spans="1:28" ht="12" customHeight="1">
      <c r="A863" s="763"/>
      <c r="B863" s="104"/>
      <c r="C863" s="104"/>
      <c r="D863" s="260"/>
      <c r="E863" s="104"/>
      <c r="F863" s="104"/>
      <c r="G863" s="35"/>
      <c r="H863" s="104"/>
      <c r="I863" s="35"/>
      <c r="J863" s="74"/>
      <c r="K863" s="74"/>
      <c r="L863" s="74"/>
      <c r="M863" s="74"/>
      <c r="N863" s="74"/>
      <c r="O863" s="74"/>
      <c r="P863" s="74"/>
      <c r="Q863" s="74"/>
      <c r="R863" s="74"/>
      <c r="S863" s="74"/>
      <c r="T863" s="74"/>
      <c r="U863" s="74"/>
      <c r="V863" s="74"/>
      <c r="W863" s="74"/>
      <c r="X863" s="74"/>
      <c r="Y863" s="74"/>
      <c r="Z863" s="74"/>
      <c r="AA863" s="74"/>
      <c r="AB863" s="74"/>
    </row>
    <row r="864" spans="1:28" ht="12" customHeight="1">
      <c r="A864" s="763"/>
      <c r="B864" s="104"/>
      <c r="C864" s="104"/>
      <c r="D864" s="260"/>
      <c r="E864" s="104"/>
      <c r="F864" s="104"/>
      <c r="G864" s="35"/>
      <c r="H864" s="104"/>
      <c r="I864" s="35"/>
      <c r="J864" s="74"/>
      <c r="K864" s="74"/>
      <c r="L864" s="74"/>
      <c r="M864" s="74"/>
      <c r="N864" s="74"/>
      <c r="O864" s="74"/>
      <c r="P864" s="74"/>
      <c r="Q864" s="74"/>
      <c r="R864" s="74"/>
      <c r="S864" s="74"/>
      <c r="T864" s="74"/>
      <c r="U864" s="74"/>
      <c r="V864" s="74"/>
      <c r="W864" s="74"/>
      <c r="X864" s="74"/>
      <c r="Y864" s="74"/>
      <c r="Z864" s="74"/>
      <c r="AA864" s="74"/>
      <c r="AB864" s="74"/>
    </row>
    <row r="865" spans="1:28" ht="12" customHeight="1">
      <c r="A865" s="763"/>
      <c r="B865" s="104"/>
      <c r="C865" s="104"/>
      <c r="D865" s="260"/>
      <c r="E865" s="104"/>
      <c r="F865" s="104"/>
      <c r="G865" s="35"/>
      <c r="H865" s="104"/>
      <c r="I865" s="35"/>
      <c r="J865" s="74"/>
      <c r="K865" s="74"/>
      <c r="L865" s="74"/>
      <c r="M865" s="74"/>
      <c r="N865" s="74"/>
      <c r="O865" s="74"/>
      <c r="P865" s="74"/>
      <c r="Q865" s="74"/>
      <c r="R865" s="74"/>
      <c r="S865" s="74"/>
      <c r="T865" s="74"/>
      <c r="U865" s="74"/>
      <c r="V865" s="74"/>
      <c r="W865" s="74"/>
      <c r="X865" s="74"/>
      <c r="Y865" s="74"/>
      <c r="Z865" s="74"/>
      <c r="AA865" s="74"/>
      <c r="AB865" s="74"/>
    </row>
    <row r="866" spans="1:28" ht="12" customHeight="1">
      <c r="A866" s="763"/>
      <c r="B866" s="104"/>
      <c r="C866" s="104"/>
      <c r="D866" s="260"/>
      <c r="E866" s="104"/>
      <c r="F866" s="104"/>
      <c r="G866" s="35"/>
      <c r="H866" s="104"/>
      <c r="I866" s="35"/>
      <c r="J866" s="74"/>
      <c r="K866" s="74"/>
      <c r="L866" s="74"/>
      <c r="M866" s="74"/>
      <c r="N866" s="74"/>
      <c r="O866" s="74"/>
      <c r="P866" s="74"/>
      <c r="Q866" s="74"/>
      <c r="R866" s="74"/>
      <c r="S866" s="74"/>
      <c r="T866" s="74"/>
      <c r="U866" s="74"/>
      <c r="V866" s="74"/>
      <c r="W866" s="74"/>
      <c r="X866" s="74"/>
      <c r="Y866" s="74"/>
      <c r="Z866" s="74"/>
      <c r="AA866" s="74"/>
      <c r="AB866" s="74"/>
    </row>
    <row r="867" spans="1:28" ht="12" customHeight="1">
      <c r="A867" s="763"/>
      <c r="B867" s="104"/>
      <c r="C867" s="104"/>
      <c r="D867" s="260"/>
      <c r="E867" s="104"/>
      <c r="F867" s="104"/>
      <c r="G867" s="35"/>
      <c r="H867" s="104"/>
      <c r="I867" s="35"/>
      <c r="J867" s="74"/>
      <c r="K867" s="74"/>
      <c r="L867" s="74"/>
      <c r="M867" s="74"/>
      <c r="N867" s="74"/>
      <c r="O867" s="74"/>
      <c r="P867" s="74"/>
      <c r="Q867" s="74"/>
      <c r="R867" s="74"/>
      <c r="S867" s="74"/>
      <c r="T867" s="74"/>
      <c r="U867" s="74"/>
      <c r="V867" s="74"/>
      <c r="W867" s="74"/>
      <c r="X867" s="74"/>
      <c r="Y867" s="74"/>
      <c r="Z867" s="74"/>
      <c r="AA867" s="74"/>
      <c r="AB867" s="74"/>
    </row>
    <row r="868" spans="1:28" ht="12" customHeight="1">
      <c r="A868" s="763"/>
      <c r="B868" s="104"/>
      <c r="C868" s="104"/>
      <c r="D868" s="260"/>
      <c r="E868" s="104"/>
      <c r="F868" s="104"/>
      <c r="G868" s="35"/>
      <c r="H868" s="104"/>
      <c r="I868" s="35"/>
      <c r="J868" s="74"/>
      <c r="K868" s="74"/>
      <c r="L868" s="74"/>
      <c r="M868" s="74"/>
      <c r="N868" s="74"/>
      <c r="O868" s="74"/>
      <c r="P868" s="74"/>
      <c r="Q868" s="74"/>
      <c r="R868" s="74"/>
      <c r="S868" s="74"/>
      <c r="T868" s="74"/>
      <c r="U868" s="74"/>
      <c r="V868" s="74"/>
      <c r="W868" s="74"/>
      <c r="X868" s="74"/>
      <c r="Y868" s="74"/>
      <c r="Z868" s="74"/>
      <c r="AA868" s="74"/>
      <c r="AB868" s="74"/>
    </row>
    <row r="869" spans="1:28" ht="12" customHeight="1">
      <c r="A869" s="763"/>
      <c r="B869" s="104"/>
      <c r="C869" s="104"/>
      <c r="D869" s="260"/>
      <c r="E869" s="104"/>
      <c r="F869" s="104"/>
      <c r="G869" s="35"/>
      <c r="H869" s="104"/>
      <c r="I869" s="35"/>
      <c r="J869" s="74"/>
      <c r="K869" s="74"/>
      <c r="L869" s="74"/>
      <c r="M869" s="74"/>
      <c r="N869" s="74"/>
      <c r="O869" s="74"/>
      <c r="P869" s="74"/>
      <c r="Q869" s="74"/>
      <c r="R869" s="74"/>
      <c r="S869" s="74"/>
      <c r="T869" s="74"/>
      <c r="U869" s="74"/>
      <c r="V869" s="74"/>
      <c r="W869" s="74"/>
      <c r="X869" s="74"/>
      <c r="Y869" s="74"/>
      <c r="Z869" s="74"/>
      <c r="AA869" s="74"/>
      <c r="AB869" s="74"/>
    </row>
    <row r="870" spans="1:28" ht="12" customHeight="1">
      <c r="A870" s="763"/>
      <c r="B870" s="104"/>
      <c r="C870" s="104"/>
      <c r="D870" s="260"/>
      <c r="E870" s="104"/>
      <c r="F870" s="104"/>
      <c r="G870" s="35"/>
      <c r="H870" s="104"/>
      <c r="I870" s="35"/>
      <c r="J870" s="74"/>
      <c r="K870" s="74"/>
      <c r="L870" s="74"/>
      <c r="M870" s="74"/>
      <c r="N870" s="74"/>
      <c r="O870" s="74"/>
      <c r="P870" s="74"/>
      <c r="Q870" s="74"/>
      <c r="R870" s="74"/>
      <c r="S870" s="74"/>
      <c r="T870" s="74"/>
      <c r="U870" s="74"/>
      <c r="V870" s="74"/>
      <c r="W870" s="74"/>
      <c r="X870" s="74"/>
      <c r="Y870" s="74"/>
      <c r="Z870" s="74"/>
      <c r="AA870" s="74"/>
      <c r="AB870" s="74"/>
    </row>
    <row r="871" spans="1:28" ht="12" customHeight="1">
      <c r="A871" s="763"/>
      <c r="B871" s="104"/>
      <c r="C871" s="104"/>
      <c r="D871" s="260"/>
      <c r="E871" s="104"/>
      <c r="F871" s="104"/>
      <c r="G871" s="35"/>
      <c r="H871" s="104"/>
      <c r="I871" s="35"/>
      <c r="J871" s="74"/>
      <c r="K871" s="74"/>
      <c r="L871" s="74"/>
      <c r="M871" s="74"/>
      <c r="N871" s="74"/>
      <c r="O871" s="74"/>
      <c r="P871" s="74"/>
      <c r="Q871" s="74"/>
      <c r="R871" s="74"/>
      <c r="S871" s="74"/>
      <c r="T871" s="74"/>
      <c r="U871" s="74"/>
      <c r="V871" s="74"/>
      <c r="W871" s="74"/>
      <c r="X871" s="74"/>
      <c r="Y871" s="74"/>
      <c r="Z871" s="74"/>
      <c r="AA871" s="74"/>
      <c r="AB871" s="74"/>
    </row>
    <row r="872" spans="1:28" ht="12" customHeight="1">
      <c r="A872" s="763"/>
      <c r="B872" s="104"/>
      <c r="C872" s="104"/>
      <c r="D872" s="260"/>
      <c r="E872" s="104"/>
      <c r="F872" s="104"/>
      <c r="G872" s="35"/>
      <c r="H872" s="104"/>
      <c r="I872" s="35"/>
      <c r="J872" s="74"/>
      <c r="K872" s="74"/>
      <c r="L872" s="74"/>
      <c r="M872" s="74"/>
      <c r="N872" s="74"/>
      <c r="O872" s="74"/>
      <c r="P872" s="74"/>
      <c r="Q872" s="74"/>
      <c r="R872" s="74"/>
      <c r="S872" s="74"/>
      <c r="T872" s="74"/>
      <c r="U872" s="74"/>
      <c r="V872" s="74"/>
      <c r="W872" s="74"/>
      <c r="X872" s="74"/>
      <c r="Y872" s="74"/>
      <c r="Z872" s="74"/>
      <c r="AA872" s="74"/>
      <c r="AB872" s="74"/>
    </row>
    <row r="873" spans="1:28" ht="12" customHeight="1">
      <c r="A873" s="763"/>
      <c r="B873" s="104"/>
      <c r="C873" s="104"/>
      <c r="D873" s="260"/>
      <c r="E873" s="104"/>
      <c r="F873" s="104"/>
      <c r="G873" s="35"/>
      <c r="H873" s="104"/>
      <c r="I873" s="35"/>
      <c r="J873" s="74"/>
      <c r="K873" s="74"/>
      <c r="L873" s="74"/>
      <c r="M873" s="74"/>
      <c r="N873" s="74"/>
      <c r="O873" s="74"/>
      <c r="P873" s="74"/>
      <c r="Q873" s="74"/>
      <c r="R873" s="74"/>
      <c r="S873" s="74"/>
      <c r="T873" s="74"/>
      <c r="U873" s="74"/>
      <c r="V873" s="74"/>
      <c r="W873" s="74"/>
      <c r="X873" s="74"/>
      <c r="Y873" s="74"/>
      <c r="Z873" s="74"/>
      <c r="AA873" s="74"/>
      <c r="AB873" s="74"/>
    </row>
    <row r="874" spans="1:28" ht="12" customHeight="1">
      <c r="A874" s="763"/>
      <c r="B874" s="104"/>
      <c r="C874" s="104"/>
      <c r="D874" s="260"/>
      <c r="E874" s="104"/>
      <c r="F874" s="104"/>
      <c r="G874" s="35"/>
      <c r="H874" s="104"/>
      <c r="I874" s="35"/>
      <c r="J874" s="74"/>
      <c r="K874" s="74"/>
      <c r="L874" s="74"/>
      <c r="M874" s="74"/>
      <c r="N874" s="74"/>
      <c r="O874" s="74"/>
      <c r="P874" s="74"/>
      <c r="Q874" s="74"/>
      <c r="R874" s="74"/>
      <c r="S874" s="74"/>
      <c r="T874" s="74"/>
      <c r="U874" s="74"/>
      <c r="V874" s="74"/>
      <c r="W874" s="74"/>
      <c r="X874" s="74"/>
      <c r="Y874" s="74"/>
      <c r="Z874" s="74"/>
      <c r="AA874" s="74"/>
      <c r="AB874" s="74"/>
    </row>
    <row r="875" spans="1:28" ht="12" customHeight="1">
      <c r="A875" s="763"/>
      <c r="B875" s="104"/>
      <c r="C875" s="104"/>
      <c r="D875" s="260"/>
      <c r="E875" s="104"/>
      <c r="F875" s="104"/>
      <c r="G875" s="35"/>
      <c r="H875" s="104"/>
      <c r="I875" s="35"/>
      <c r="J875" s="74"/>
      <c r="K875" s="74"/>
      <c r="L875" s="74"/>
      <c r="M875" s="74"/>
      <c r="N875" s="74"/>
      <c r="O875" s="74"/>
      <c r="P875" s="74"/>
      <c r="Q875" s="74"/>
      <c r="R875" s="74"/>
      <c r="S875" s="74"/>
      <c r="T875" s="74"/>
      <c r="U875" s="74"/>
      <c r="V875" s="74"/>
      <c r="W875" s="74"/>
      <c r="X875" s="74"/>
      <c r="Y875" s="74"/>
      <c r="Z875" s="74"/>
      <c r="AA875" s="74"/>
      <c r="AB875" s="74"/>
    </row>
    <row r="876" spans="1:28" ht="12" customHeight="1">
      <c r="A876" s="763"/>
      <c r="B876" s="104"/>
      <c r="C876" s="104"/>
      <c r="D876" s="260"/>
      <c r="E876" s="104"/>
      <c r="F876" s="104"/>
      <c r="G876" s="35"/>
      <c r="H876" s="104"/>
      <c r="I876" s="35"/>
      <c r="J876" s="74"/>
      <c r="K876" s="74"/>
      <c r="L876" s="74"/>
      <c r="M876" s="74"/>
      <c r="N876" s="74"/>
      <c r="O876" s="74"/>
      <c r="P876" s="74"/>
      <c r="Q876" s="74"/>
      <c r="R876" s="74"/>
      <c r="S876" s="74"/>
      <c r="T876" s="74"/>
      <c r="U876" s="74"/>
      <c r="V876" s="74"/>
      <c r="W876" s="74"/>
      <c r="X876" s="74"/>
      <c r="Y876" s="74"/>
      <c r="Z876" s="74"/>
      <c r="AA876" s="74"/>
      <c r="AB876" s="74"/>
    </row>
    <row r="877" spans="1:28" ht="12" customHeight="1">
      <c r="A877" s="763"/>
      <c r="B877" s="104"/>
      <c r="C877" s="104"/>
      <c r="D877" s="260"/>
      <c r="E877" s="104"/>
      <c r="F877" s="104"/>
      <c r="G877" s="35"/>
      <c r="H877" s="104"/>
      <c r="I877" s="35"/>
      <c r="J877" s="74"/>
      <c r="K877" s="74"/>
      <c r="L877" s="74"/>
      <c r="M877" s="74"/>
      <c r="N877" s="74"/>
      <c r="O877" s="74"/>
      <c r="P877" s="74"/>
      <c r="Q877" s="74"/>
      <c r="R877" s="74"/>
      <c r="S877" s="74"/>
      <c r="T877" s="74"/>
      <c r="U877" s="74"/>
      <c r="V877" s="74"/>
      <c r="W877" s="74"/>
      <c r="X877" s="74"/>
      <c r="Y877" s="74"/>
      <c r="Z877" s="74"/>
      <c r="AA877" s="74"/>
      <c r="AB877" s="74"/>
    </row>
    <row r="878" spans="1:28" ht="12" customHeight="1">
      <c r="A878" s="763"/>
      <c r="B878" s="104"/>
      <c r="C878" s="104"/>
      <c r="D878" s="260"/>
      <c r="E878" s="104"/>
      <c r="F878" s="104"/>
      <c r="G878" s="35"/>
      <c r="H878" s="104"/>
      <c r="I878" s="35"/>
      <c r="J878" s="74"/>
      <c r="K878" s="74"/>
      <c r="L878" s="74"/>
      <c r="M878" s="74"/>
      <c r="N878" s="74"/>
      <c r="O878" s="74"/>
      <c r="P878" s="74"/>
      <c r="Q878" s="74"/>
      <c r="R878" s="74"/>
      <c r="S878" s="74"/>
      <c r="T878" s="74"/>
      <c r="U878" s="74"/>
      <c r="V878" s="74"/>
      <c r="W878" s="74"/>
      <c r="X878" s="74"/>
      <c r="Y878" s="74"/>
      <c r="Z878" s="74"/>
      <c r="AA878" s="74"/>
      <c r="AB878" s="74"/>
    </row>
    <row r="879" spans="1:28" ht="12" customHeight="1">
      <c r="A879" s="763"/>
      <c r="B879" s="104"/>
      <c r="C879" s="104"/>
      <c r="D879" s="260"/>
      <c r="E879" s="104"/>
      <c r="F879" s="104"/>
      <c r="G879" s="35"/>
      <c r="H879" s="104"/>
      <c r="I879" s="35"/>
      <c r="J879" s="74"/>
      <c r="K879" s="74"/>
      <c r="L879" s="74"/>
      <c r="M879" s="74"/>
      <c r="N879" s="74"/>
      <c r="O879" s="74"/>
      <c r="P879" s="74"/>
      <c r="Q879" s="74"/>
      <c r="R879" s="74"/>
      <c r="S879" s="74"/>
      <c r="T879" s="74"/>
      <c r="U879" s="74"/>
      <c r="V879" s="74"/>
      <c r="W879" s="74"/>
      <c r="X879" s="74"/>
      <c r="Y879" s="74"/>
      <c r="Z879" s="74"/>
      <c r="AA879" s="74"/>
      <c r="AB879" s="74"/>
    </row>
    <row r="880" spans="1:28" ht="12" customHeight="1">
      <c r="A880" s="763"/>
      <c r="B880" s="104"/>
      <c r="C880" s="104"/>
      <c r="D880" s="260"/>
      <c r="E880" s="104"/>
      <c r="F880" s="104"/>
      <c r="G880" s="35"/>
      <c r="H880" s="104"/>
      <c r="I880" s="35"/>
      <c r="J880" s="74"/>
      <c r="K880" s="74"/>
      <c r="L880" s="74"/>
      <c r="M880" s="74"/>
      <c r="N880" s="74"/>
      <c r="O880" s="74"/>
      <c r="P880" s="74"/>
      <c r="Q880" s="74"/>
      <c r="R880" s="74"/>
      <c r="S880" s="74"/>
      <c r="T880" s="74"/>
      <c r="U880" s="74"/>
      <c r="V880" s="74"/>
      <c r="W880" s="74"/>
      <c r="X880" s="74"/>
      <c r="Y880" s="74"/>
      <c r="Z880" s="74"/>
      <c r="AA880" s="74"/>
      <c r="AB880" s="74"/>
    </row>
    <row r="881" spans="1:28" ht="12" customHeight="1">
      <c r="A881" s="763"/>
      <c r="B881" s="104"/>
      <c r="C881" s="104"/>
      <c r="D881" s="260"/>
      <c r="E881" s="104"/>
      <c r="F881" s="104"/>
      <c r="G881" s="35"/>
      <c r="H881" s="104"/>
      <c r="I881" s="35"/>
      <c r="J881" s="74"/>
      <c r="K881" s="74"/>
      <c r="L881" s="74"/>
      <c r="M881" s="74"/>
      <c r="N881" s="74"/>
      <c r="O881" s="74"/>
      <c r="P881" s="74"/>
      <c r="Q881" s="74"/>
      <c r="R881" s="74"/>
      <c r="S881" s="74"/>
      <c r="T881" s="74"/>
      <c r="U881" s="74"/>
      <c r="V881" s="74"/>
      <c r="W881" s="74"/>
      <c r="X881" s="74"/>
      <c r="Y881" s="74"/>
      <c r="Z881" s="74"/>
      <c r="AA881" s="74"/>
      <c r="AB881" s="74"/>
    </row>
    <row r="882" spans="1:28" ht="12" customHeight="1">
      <c r="A882" s="763"/>
      <c r="B882" s="104"/>
      <c r="C882" s="104"/>
      <c r="D882" s="260"/>
      <c r="E882" s="104"/>
      <c r="F882" s="104"/>
      <c r="G882" s="35"/>
      <c r="H882" s="104"/>
      <c r="I882" s="35"/>
      <c r="J882" s="74"/>
      <c r="K882" s="74"/>
      <c r="L882" s="74"/>
      <c r="M882" s="74"/>
      <c r="N882" s="74"/>
      <c r="O882" s="74"/>
      <c r="P882" s="74"/>
      <c r="Q882" s="74"/>
      <c r="R882" s="74"/>
      <c r="S882" s="74"/>
      <c r="T882" s="74"/>
      <c r="U882" s="74"/>
      <c r="V882" s="74"/>
      <c r="W882" s="74"/>
      <c r="X882" s="74"/>
      <c r="Y882" s="74"/>
      <c r="Z882" s="74"/>
      <c r="AA882" s="74"/>
      <c r="AB882" s="74"/>
    </row>
    <row r="883" spans="1:28" ht="12" customHeight="1">
      <c r="A883" s="763"/>
      <c r="B883" s="104"/>
      <c r="C883" s="104"/>
      <c r="D883" s="260"/>
      <c r="E883" s="104"/>
      <c r="F883" s="104"/>
      <c r="G883" s="35"/>
      <c r="H883" s="104"/>
      <c r="I883" s="35"/>
      <c r="J883" s="74"/>
      <c r="K883" s="74"/>
      <c r="L883" s="74"/>
      <c r="M883" s="74"/>
      <c r="N883" s="74"/>
      <c r="O883" s="74"/>
      <c r="P883" s="74"/>
      <c r="Q883" s="74"/>
      <c r="R883" s="74"/>
      <c r="S883" s="74"/>
      <c r="T883" s="74"/>
      <c r="U883" s="74"/>
      <c r="V883" s="74"/>
      <c r="W883" s="74"/>
      <c r="X883" s="74"/>
      <c r="Y883" s="74"/>
      <c r="Z883" s="74"/>
      <c r="AA883" s="74"/>
      <c r="AB883" s="74"/>
    </row>
    <row r="884" spans="1:28" ht="12" customHeight="1">
      <c r="A884" s="763"/>
      <c r="B884" s="104"/>
      <c r="C884" s="104"/>
      <c r="D884" s="260"/>
      <c r="E884" s="104"/>
      <c r="F884" s="104"/>
      <c r="G884" s="35"/>
      <c r="H884" s="104"/>
      <c r="I884" s="35"/>
      <c r="J884" s="74"/>
      <c r="K884" s="74"/>
      <c r="L884" s="74"/>
      <c r="M884" s="74"/>
      <c r="N884" s="74"/>
      <c r="O884" s="74"/>
      <c r="P884" s="74"/>
      <c r="Q884" s="74"/>
      <c r="R884" s="74"/>
      <c r="S884" s="74"/>
      <c r="T884" s="74"/>
      <c r="U884" s="74"/>
      <c r="V884" s="74"/>
      <c r="W884" s="74"/>
      <c r="X884" s="74"/>
      <c r="Y884" s="74"/>
      <c r="Z884" s="74"/>
      <c r="AA884" s="74"/>
      <c r="AB884" s="74"/>
    </row>
    <row r="885" spans="1:28" ht="12" customHeight="1">
      <c r="A885" s="763"/>
      <c r="B885" s="104"/>
      <c r="C885" s="104"/>
      <c r="D885" s="260"/>
      <c r="E885" s="104"/>
      <c r="F885" s="104"/>
      <c r="G885" s="35"/>
      <c r="H885" s="104"/>
      <c r="I885" s="35"/>
      <c r="J885" s="74"/>
      <c r="K885" s="74"/>
      <c r="L885" s="74"/>
      <c r="M885" s="74"/>
      <c r="N885" s="74"/>
      <c r="O885" s="74"/>
      <c r="P885" s="74"/>
      <c r="Q885" s="74"/>
      <c r="R885" s="74"/>
      <c r="S885" s="74"/>
      <c r="T885" s="74"/>
      <c r="U885" s="74"/>
      <c r="V885" s="74"/>
      <c r="W885" s="74"/>
      <c r="X885" s="74"/>
      <c r="Y885" s="74"/>
      <c r="Z885" s="74"/>
      <c r="AA885" s="74"/>
      <c r="AB885" s="74"/>
    </row>
    <row r="886" spans="1:28" ht="12" customHeight="1">
      <c r="A886" s="763"/>
      <c r="B886" s="104"/>
      <c r="C886" s="104"/>
      <c r="D886" s="260"/>
      <c r="E886" s="104"/>
      <c r="F886" s="104"/>
      <c r="G886" s="35"/>
      <c r="H886" s="104"/>
      <c r="I886" s="35"/>
      <c r="J886" s="74"/>
      <c r="K886" s="74"/>
      <c r="L886" s="74"/>
      <c r="M886" s="74"/>
      <c r="N886" s="74"/>
      <c r="O886" s="74"/>
      <c r="P886" s="74"/>
      <c r="Q886" s="74"/>
      <c r="R886" s="74"/>
      <c r="S886" s="74"/>
      <c r="T886" s="74"/>
      <c r="U886" s="74"/>
      <c r="V886" s="74"/>
      <c r="W886" s="74"/>
      <c r="X886" s="74"/>
      <c r="Y886" s="74"/>
      <c r="Z886" s="74"/>
      <c r="AA886" s="74"/>
      <c r="AB886" s="74"/>
    </row>
    <row r="887" spans="1:28" ht="12" customHeight="1">
      <c r="A887" s="763"/>
      <c r="B887" s="104"/>
      <c r="C887" s="104"/>
      <c r="D887" s="260"/>
      <c r="E887" s="104"/>
      <c r="F887" s="104"/>
      <c r="G887" s="35"/>
      <c r="H887" s="104"/>
      <c r="I887" s="35"/>
      <c r="J887" s="74"/>
      <c r="K887" s="74"/>
      <c r="L887" s="74"/>
      <c r="M887" s="74"/>
      <c r="N887" s="74"/>
      <c r="O887" s="74"/>
      <c r="P887" s="74"/>
      <c r="Q887" s="74"/>
      <c r="R887" s="74"/>
      <c r="S887" s="74"/>
      <c r="T887" s="74"/>
      <c r="U887" s="74"/>
      <c r="V887" s="74"/>
      <c r="W887" s="74"/>
      <c r="X887" s="74"/>
      <c r="Y887" s="74"/>
      <c r="Z887" s="74"/>
      <c r="AA887" s="74"/>
      <c r="AB887" s="74"/>
    </row>
    <row r="888" spans="1:28" ht="12" customHeight="1">
      <c r="A888" s="763"/>
      <c r="B888" s="104"/>
      <c r="C888" s="104"/>
      <c r="D888" s="260"/>
      <c r="E888" s="104"/>
      <c r="F888" s="104"/>
      <c r="G888" s="35"/>
      <c r="H888" s="104"/>
      <c r="I888" s="35"/>
      <c r="J888" s="74"/>
      <c r="K888" s="74"/>
      <c r="L888" s="74"/>
      <c r="M888" s="74"/>
      <c r="N888" s="74"/>
      <c r="O888" s="74"/>
      <c r="P888" s="74"/>
      <c r="Q888" s="74"/>
      <c r="R888" s="74"/>
      <c r="S888" s="74"/>
      <c r="T888" s="74"/>
      <c r="U888" s="74"/>
      <c r="V888" s="74"/>
      <c r="W888" s="74"/>
      <c r="X888" s="74"/>
      <c r="Y888" s="74"/>
      <c r="Z888" s="74"/>
      <c r="AA888" s="74"/>
      <c r="AB888" s="74"/>
    </row>
    <row r="889" spans="1:28" ht="12" customHeight="1">
      <c r="A889" s="763"/>
      <c r="B889" s="104"/>
      <c r="C889" s="104"/>
      <c r="D889" s="260"/>
      <c r="E889" s="104"/>
      <c r="F889" s="104"/>
      <c r="G889" s="35"/>
      <c r="H889" s="104"/>
      <c r="I889" s="35"/>
      <c r="J889" s="74"/>
      <c r="K889" s="74"/>
      <c r="L889" s="74"/>
      <c r="M889" s="74"/>
      <c r="N889" s="74"/>
      <c r="O889" s="74"/>
      <c r="P889" s="74"/>
      <c r="Q889" s="74"/>
      <c r="R889" s="74"/>
      <c r="S889" s="74"/>
      <c r="T889" s="74"/>
      <c r="U889" s="74"/>
      <c r="V889" s="74"/>
      <c r="W889" s="74"/>
      <c r="X889" s="74"/>
      <c r="Y889" s="74"/>
      <c r="Z889" s="74"/>
      <c r="AA889" s="74"/>
      <c r="AB889" s="74"/>
    </row>
    <row r="890" spans="1:28" ht="12" customHeight="1">
      <c r="A890" s="763"/>
      <c r="B890" s="104"/>
      <c r="C890" s="104"/>
      <c r="D890" s="260"/>
      <c r="E890" s="104"/>
      <c r="F890" s="104"/>
      <c r="G890" s="35"/>
      <c r="H890" s="104"/>
      <c r="I890" s="35"/>
      <c r="J890" s="74"/>
      <c r="K890" s="74"/>
      <c r="L890" s="74"/>
      <c r="M890" s="74"/>
      <c r="N890" s="74"/>
      <c r="O890" s="74"/>
      <c r="P890" s="74"/>
      <c r="Q890" s="74"/>
      <c r="R890" s="74"/>
      <c r="S890" s="74"/>
      <c r="T890" s="74"/>
      <c r="U890" s="74"/>
      <c r="V890" s="74"/>
      <c r="W890" s="74"/>
      <c r="X890" s="74"/>
      <c r="Y890" s="74"/>
      <c r="Z890" s="74"/>
      <c r="AA890" s="74"/>
      <c r="AB890" s="74"/>
    </row>
    <row r="891" spans="1:28" ht="12" customHeight="1">
      <c r="A891" s="763"/>
      <c r="B891" s="104"/>
      <c r="C891" s="104"/>
      <c r="D891" s="260"/>
      <c r="E891" s="104"/>
      <c r="F891" s="104"/>
      <c r="G891" s="35"/>
      <c r="H891" s="104"/>
      <c r="I891" s="35"/>
      <c r="J891" s="74"/>
      <c r="K891" s="74"/>
      <c r="L891" s="74"/>
      <c r="M891" s="74"/>
      <c r="N891" s="74"/>
      <c r="O891" s="74"/>
      <c r="P891" s="74"/>
      <c r="Q891" s="74"/>
      <c r="R891" s="74"/>
      <c r="S891" s="74"/>
      <c r="T891" s="74"/>
      <c r="U891" s="74"/>
      <c r="V891" s="74"/>
      <c r="W891" s="74"/>
      <c r="X891" s="74"/>
      <c r="Y891" s="74"/>
      <c r="Z891" s="74"/>
      <c r="AA891" s="74"/>
      <c r="AB891" s="74"/>
    </row>
    <row r="892" spans="1:28" ht="12" customHeight="1">
      <c r="A892" s="763"/>
      <c r="B892" s="104"/>
      <c r="C892" s="104"/>
      <c r="D892" s="260"/>
      <c r="E892" s="104"/>
      <c r="F892" s="104"/>
      <c r="G892" s="35"/>
      <c r="H892" s="104"/>
      <c r="I892" s="35"/>
      <c r="J892" s="74"/>
      <c r="K892" s="74"/>
      <c r="L892" s="74"/>
      <c r="M892" s="74"/>
      <c r="N892" s="74"/>
      <c r="O892" s="74"/>
      <c r="P892" s="74"/>
      <c r="Q892" s="74"/>
      <c r="R892" s="74"/>
      <c r="S892" s="74"/>
      <c r="T892" s="74"/>
      <c r="U892" s="74"/>
      <c r="V892" s="74"/>
      <c r="W892" s="74"/>
      <c r="X892" s="74"/>
      <c r="Y892" s="74"/>
      <c r="Z892" s="74"/>
      <c r="AA892" s="74"/>
      <c r="AB892" s="74"/>
    </row>
    <row r="893" spans="1:28" ht="12" customHeight="1">
      <c r="A893" s="763"/>
      <c r="B893" s="104"/>
      <c r="C893" s="104"/>
      <c r="D893" s="260"/>
      <c r="E893" s="104"/>
      <c r="F893" s="104"/>
      <c r="G893" s="35"/>
      <c r="H893" s="104"/>
      <c r="I893" s="35"/>
      <c r="J893" s="74"/>
      <c r="K893" s="74"/>
      <c r="L893" s="74"/>
      <c r="M893" s="74"/>
      <c r="N893" s="74"/>
      <c r="O893" s="74"/>
      <c r="P893" s="74"/>
      <c r="Q893" s="74"/>
      <c r="R893" s="74"/>
      <c r="S893" s="74"/>
      <c r="T893" s="74"/>
      <c r="U893" s="74"/>
      <c r="V893" s="74"/>
      <c r="W893" s="74"/>
      <c r="X893" s="74"/>
      <c r="Y893" s="74"/>
      <c r="Z893" s="74"/>
      <c r="AA893" s="74"/>
      <c r="AB893" s="74"/>
    </row>
    <row r="894" spans="1:28" ht="12" customHeight="1">
      <c r="A894" s="763"/>
      <c r="B894" s="104"/>
      <c r="C894" s="104"/>
      <c r="D894" s="260"/>
      <c r="E894" s="104"/>
      <c r="F894" s="104"/>
      <c r="G894" s="35"/>
      <c r="H894" s="104"/>
      <c r="I894" s="35"/>
      <c r="J894" s="74"/>
      <c r="K894" s="74"/>
      <c r="L894" s="74"/>
      <c r="M894" s="74"/>
      <c r="N894" s="74"/>
      <c r="O894" s="74"/>
      <c r="P894" s="74"/>
      <c r="Q894" s="74"/>
      <c r="R894" s="74"/>
      <c r="S894" s="74"/>
      <c r="T894" s="74"/>
      <c r="U894" s="74"/>
      <c r="V894" s="74"/>
      <c r="W894" s="74"/>
      <c r="X894" s="74"/>
      <c r="Y894" s="74"/>
      <c r="Z894" s="74"/>
      <c r="AA894" s="74"/>
      <c r="AB894" s="74"/>
    </row>
    <row r="895" spans="1:28" ht="12" customHeight="1">
      <c r="A895" s="763"/>
      <c r="B895" s="104"/>
      <c r="C895" s="104"/>
      <c r="D895" s="260"/>
      <c r="E895" s="104"/>
      <c r="F895" s="104"/>
      <c r="G895" s="35"/>
      <c r="H895" s="104"/>
      <c r="I895" s="35"/>
      <c r="J895" s="74"/>
      <c r="K895" s="74"/>
      <c r="L895" s="74"/>
      <c r="M895" s="74"/>
      <c r="N895" s="74"/>
      <c r="O895" s="74"/>
      <c r="P895" s="74"/>
      <c r="Q895" s="74"/>
      <c r="R895" s="74"/>
      <c r="S895" s="74"/>
      <c r="T895" s="74"/>
      <c r="U895" s="74"/>
      <c r="V895" s="74"/>
      <c r="W895" s="74"/>
      <c r="X895" s="74"/>
      <c r="Y895" s="74"/>
      <c r="Z895" s="74"/>
      <c r="AA895" s="74"/>
      <c r="AB895" s="74"/>
    </row>
    <row r="896" spans="1:28" ht="12" customHeight="1">
      <c r="A896" s="763"/>
      <c r="B896" s="104"/>
      <c r="C896" s="104"/>
      <c r="D896" s="260"/>
      <c r="E896" s="104"/>
      <c r="F896" s="104"/>
      <c r="G896" s="35"/>
      <c r="H896" s="104"/>
      <c r="I896" s="35"/>
      <c r="J896" s="74"/>
      <c r="K896" s="74"/>
      <c r="L896" s="74"/>
      <c r="M896" s="74"/>
      <c r="N896" s="74"/>
      <c r="O896" s="74"/>
      <c r="P896" s="74"/>
      <c r="Q896" s="74"/>
      <c r="R896" s="74"/>
      <c r="S896" s="74"/>
      <c r="T896" s="74"/>
      <c r="U896" s="74"/>
      <c r="V896" s="74"/>
      <c r="W896" s="74"/>
      <c r="X896" s="74"/>
      <c r="Y896" s="74"/>
      <c r="Z896" s="74"/>
      <c r="AA896" s="74"/>
      <c r="AB896" s="74"/>
    </row>
    <row r="897" spans="1:28" ht="12" customHeight="1">
      <c r="A897" s="763"/>
      <c r="B897" s="104"/>
      <c r="C897" s="104"/>
      <c r="D897" s="260"/>
      <c r="E897" s="104"/>
      <c r="F897" s="104"/>
      <c r="G897" s="35"/>
      <c r="H897" s="104"/>
      <c r="I897" s="35"/>
      <c r="J897" s="74"/>
      <c r="K897" s="74"/>
      <c r="L897" s="74"/>
      <c r="M897" s="74"/>
      <c r="N897" s="74"/>
      <c r="O897" s="74"/>
      <c r="P897" s="74"/>
      <c r="Q897" s="74"/>
      <c r="R897" s="74"/>
      <c r="S897" s="74"/>
      <c r="T897" s="74"/>
      <c r="U897" s="74"/>
      <c r="V897" s="74"/>
      <c r="W897" s="74"/>
      <c r="X897" s="74"/>
      <c r="Y897" s="74"/>
      <c r="Z897" s="74"/>
      <c r="AA897" s="74"/>
      <c r="AB897" s="74"/>
    </row>
    <row r="898" spans="1:28" ht="12" customHeight="1">
      <c r="A898" s="763"/>
      <c r="B898" s="104"/>
      <c r="C898" s="104"/>
      <c r="D898" s="260"/>
      <c r="E898" s="104"/>
      <c r="F898" s="104"/>
      <c r="G898" s="35"/>
      <c r="H898" s="104"/>
      <c r="I898" s="35"/>
      <c r="J898" s="74"/>
      <c r="K898" s="74"/>
      <c r="L898" s="74"/>
      <c r="M898" s="74"/>
      <c r="N898" s="74"/>
      <c r="O898" s="74"/>
      <c r="P898" s="74"/>
      <c r="Q898" s="74"/>
      <c r="R898" s="74"/>
      <c r="S898" s="74"/>
      <c r="T898" s="74"/>
      <c r="U898" s="74"/>
      <c r="V898" s="74"/>
      <c r="W898" s="74"/>
      <c r="X898" s="74"/>
      <c r="Y898" s="74"/>
      <c r="Z898" s="74"/>
      <c r="AA898" s="74"/>
      <c r="AB898" s="74"/>
    </row>
    <row r="899" spans="1:28" ht="12" customHeight="1">
      <c r="A899" s="763"/>
      <c r="B899" s="104"/>
      <c r="C899" s="104"/>
      <c r="D899" s="260"/>
      <c r="E899" s="104"/>
      <c r="F899" s="104"/>
      <c r="G899" s="35"/>
      <c r="H899" s="104"/>
      <c r="I899" s="35"/>
      <c r="J899" s="74"/>
      <c r="K899" s="74"/>
      <c r="L899" s="74"/>
      <c r="M899" s="74"/>
      <c r="N899" s="74"/>
      <c r="O899" s="74"/>
      <c r="P899" s="74"/>
      <c r="Q899" s="74"/>
      <c r="R899" s="74"/>
      <c r="S899" s="74"/>
      <c r="T899" s="74"/>
      <c r="U899" s="74"/>
      <c r="V899" s="74"/>
      <c r="W899" s="74"/>
      <c r="X899" s="74"/>
      <c r="Y899" s="74"/>
      <c r="Z899" s="74"/>
      <c r="AA899" s="74"/>
      <c r="AB899" s="74"/>
    </row>
    <row r="900" spans="1:28" ht="12" customHeight="1">
      <c r="A900" s="763"/>
      <c r="B900" s="104"/>
      <c r="C900" s="104"/>
      <c r="D900" s="260"/>
      <c r="E900" s="104"/>
      <c r="F900" s="104"/>
      <c r="G900" s="35"/>
      <c r="H900" s="104"/>
      <c r="I900" s="35"/>
      <c r="J900" s="74"/>
      <c r="K900" s="74"/>
      <c r="L900" s="74"/>
      <c r="M900" s="74"/>
      <c r="N900" s="74"/>
      <c r="O900" s="74"/>
      <c r="P900" s="74"/>
      <c r="Q900" s="74"/>
      <c r="R900" s="74"/>
      <c r="S900" s="74"/>
      <c r="T900" s="74"/>
      <c r="U900" s="74"/>
      <c r="V900" s="74"/>
      <c r="W900" s="74"/>
      <c r="X900" s="74"/>
      <c r="Y900" s="74"/>
      <c r="Z900" s="74"/>
      <c r="AA900" s="74"/>
      <c r="AB900" s="74"/>
    </row>
    <row r="901" spans="1:28" ht="12" customHeight="1">
      <c r="A901" s="763"/>
      <c r="B901" s="104"/>
      <c r="C901" s="104"/>
      <c r="D901" s="260"/>
      <c r="E901" s="104"/>
      <c r="F901" s="104"/>
      <c r="G901" s="35"/>
      <c r="H901" s="104"/>
      <c r="I901" s="35"/>
      <c r="J901" s="74"/>
      <c r="K901" s="74"/>
      <c r="L901" s="74"/>
      <c r="M901" s="74"/>
      <c r="N901" s="74"/>
      <c r="O901" s="74"/>
      <c r="P901" s="74"/>
      <c r="Q901" s="74"/>
      <c r="R901" s="74"/>
      <c r="S901" s="74"/>
      <c r="T901" s="74"/>
      <c r="U901" s="74"/>
      <c r="V901" s="74"/>
      <c r="W901" s="74"/>
      <c r="X901" s="74"/>
      <c r="Y901" s="74"/>
      <c r="Z901" s="74"/>
      <c r="AA901" s="74"/>
      <c r="AB901" s="74"/>
    </row>
    <row r="902" spans="1:28" ht="12" customHeight="1">
      <c r="A902" s="763"/>
      <c r="B902" s="104"/>
      <c r="C902" s="104"/>
      <c r="D902" s="260"/>
      <c r="E902" s="104"/>
      <c r="F902" s="104"/>
      <c r="G902" s="35"/>
      <c r="H902" s="104"/>
      <c r="I902" s="35"/>
      <c r="J902" s="74"/>
      <c r="K902" s="74"/>
      <c r="L902" s="74"/>
      <c r="M902" s="74"/>
      <c r="N902" s="74"/>
      <c r="O902" s="74"/>
      <c r="P902" s="74"/>
      <c r="Q902" s="74"/>
      <c r="R902" s="74"/>
      <c r="S902" s="74"/>
      <c r="T902" s="74"/>
      <c r="U902" s="74"/>
      <c r="V902" s="74"/>
      <c r="W902" s="74"/>
      <c r="X902" s="74"/>
      <c r="Y902" s="74"/>
      <c r="Z902" s="74"/>
      <c r="AA902" s="74"/>
      <c r="AB902" s="74"/>
    </row>
    <row r="903" spans="1:28" ht="12" customHeight="1">
      <c r="A903" s="763"/>
      <c r="B903" s="104"/>
      <c r="C903" s="104"/>
      <c r="D903" s="260"/>
      <c r="E903" s="104"/>
      <c r="F903" s="104"/>
      <c r="G903" s="35"/>
      <c r="H903" s="104"/>
      <c r="I903" s="35"/>
      <c r="J903" s="74"/>
      <c r="K903" s="74"/>
      <c r="L903" s="74"/>
      <c r="M903" s="74"/>
      <c r="N903" s="74"/>
      <c r="O903" s="74"/>
      <c r="P903" s="74"/>
      <c r="Q903" s="74"/>
      <c r="R903" s="74"/>
      <c r="S903" s="74"/>
      <c r="T903" s="74"/>
      <c r="U903" s="74"/>
      <c r="V903" s="74"/>
      <c r="W903" s="74"/>
      <c r="X903" s="74"/>
      <c r="Y903" s="74"/>
      <c r="Z903" s="74"/>
      <c r="AA903" s="74"/>
      <c r="AB903" s="74"/>
    </row>
    <row r="904" spans="1:28" ht="12" customHeight="1">
      <c r="A904" s="763"/>
      <c r="B904" s="104"/>
      <c r="C904" s="104"/>
      <c r="D904" s="260"/>
      <c r="E904" s="104"/>
      <c r="F904" s="104"/>
      <c r="G904" s="35"/>
      <c r="H904" s="104"/>
      <c r="I904" s="35"/>
      <c r="J904" s="74"/>
      <c r="K904" s="74"/>
      <c r="L904" s="74"/>
      <c r="M904" s="74"/>
      <c r="N904" s="74"/>
      <c r="O904" s="74"/>
      <c r="P904" s="74"/>
      <c r="Q904" s="74"/>
      <c r="R904" s="74"/>
      <c r="S904" s="74"/>
      <c r="T904" s="74"/>
      <c r="U904" s="74"/>
      <c r="V904" s="74"/>
      <c r="W904" s="74"/>
      <c r="X904" s="74"/>
      <c r="Y904" s="74"/>
      <c r="Z904" s="74"/>
      <c r="AA904" s="74"/>
      <c r="AB904" s="74"/>
    </row>
    <row r="905" spans="1:28" ht="12" customHeight="1">
      <c r="A905" s="763"/>
      <c r="B905" s="104"/>
      <c r="C905" s="104"/>
      <c r="D905" s="260"/>
      <c r="E905" s="104"/>
      <c r="F905" s="104"/>
      <c r="G905" s="35"/>
      <c r="H905" s="104"/>
      <c r="I905" s="35"/>
      <c r="J905" s="74"/>
      <c r="K905" s="74"/>
      <c r="L905" s="74"/>
      <c r="M905" s="74"/>
      <c r="N905" s="74"/>
      <c r="O905" s="74"/>
      <c r="P905" s="74"/>
      <c r="Q905" s="74"/>
      <c r="R905" s="74"/>
      <c r="S905" s="74"/>
      <c r="T905" s="74"/>
      <c r="U905" s="74"/>
      <c r="V905" s="74"/>
      <c r="W905" s="74"/>
      <c r="X905" s="74"/>
      <c r="Y905" s="74"/>
      <c r="Z905" s="74"/>
      <c r="AA905" s="74"/>
      <c r="AB905" s="74"/>
    </row>
    <row r="906" spans="1:28" ht="12" customHeight="1">
      <c r="A906" s="763"/>
      <c r="B906" s="104"/>
      <c r="C906" s="104"/>
      <c r="D906" s="260"/>
      <c r="E906" s="104"/>
      <c r="F906" s="104"/>
      <c r="G906" s="35"/>
      <c r="H906" s="104"/>
      <c r="I906" s="35"/>
      <c r="J906" s="74"/>
      <c r="K906" s="74"/>
      <c r="L906" s="74"/>
      <c r="M906" s="74"/>
      <c r="N906" s="74"/>
      <c r="O906" s="74"/>
      <c r="P906" s="74"/>
      <c r="Q906" s="74"/>
      <c r="R906" s="74"/>
      <c r="S906" s="74"/>
      <c r="T906" s="74"/>
      <c r="U906" s="74"/>
      <c r="V906" s="74"/>
      <c r="W906" s="74"/>
      <c r="X906" s="74"/>
      <c r="Y906" s="74"/>
      <c r="Z906" s="74"/>
      <c r="AA906" s="74"/>
      <c r="AB906" s="74"/>
    </row>
    <row r="907" spans="1:28" ht="12" customHeight="1">
      <c r="A907" s="763"/>
      <c r="B907" s="104"/>
      <c r="C907" s="104"/>
      <c r="D907" s="260"/>
      <c r="E907" s="104"/>
      <c r="F907" s="104"/>
      <c r="G907" s="35"/>
      <c r="H907" s="104"/>
      <c r="I907" s="35"/>
      <c r="J907" s="74"/>
      <c r="K907" s="74"/>
      <c r="L907" s="74"/>
      <c r="M907" s="74"/>
      <c r="N907" s="74"/>
      <c r="O907" s="74"/>
      <c r="P907" s="74"/>
      <c r="Q907" s="74"/>
      <c r="R907" s="74"/>
      <c r="S907" s="74"/>
      <c r="T907" s="74"/>
      <c r="U907" s="74"/>
      <c r="V907" s="74"/>
      <c r="W907" s="74"/>
      <c r="X907" s="74"/>
      <c r="Y907" s="74"/>
      <c r="Z907" s="74"/>
      <c r="AA907" s="74"/>
      <c r="AB907" s="74"/>
    </row>
    <row r="908" spans="1:28" ht="12" customHeight="1">
      <c r="A908" s="763"/>
      <c r="B908" s="104"/>
      <c r="C908" s="104"/>
      <c r="D908" s="260"/>
      <c r="E908" s="104"/>
      <c r="F908" s="104"/>
      <c r="G908" s="35"/>
      <c r="H908" s="104"/>
      <c r="I908" s="35"/>
      <c r="J908" s="74"/>
      <c r="K908" s="74"/>
      <c r="L908" s="74"/>
      <c r="M908" s="74"/>
      <c r="N908" s="74"/>
      <c r="O908" s="74"/>
      <c r="P908" s="74"/>
      <c r="Q908" s="74"/>
      <c r="R908" s="74"/>
      <c r="S908" s="74"/>
      <c r="T908" s="74"/>
      <c r="U908" s="74"/>
      <c r="V908" s="74"/>
      <c r="W908" s="74"/>
      <c r="X908" s="74"/>
      <c r="Y908" s="74"/>
      <c r="Z908" s="74"/>
      <c r="AA908" s="74"/>
      <c r="AB908" s="74"/>
    </row>
    <row r="909" spans="1:28" ht="12" customHeight="1">
      <c r="A909" s="763"/>
      <c r="B909" s="104"/>
      <c r="C909" s="104"/>
      <c r="D909" s="260"/>
      <c r="E909" s="104"/>
      <c r="F909" s="104"/>
      <c r="G909" s="35"/>
      <c r="H909" s="104"/>
      <c r="I909" s="35"/>
      <c r="J909" s="74"/>
      <c r="K909" s="74"/>
      <c r="L909" s="74"/>
      <c r="M909" s="74"/>
      <c r="N909" s="74"/>
      <c r="O909" s="74"/>
      <c r="P909" s="74"/>
      <c r="Q909" s="74"/>
      <c r="R909" s="74"/>
      <c r="S909" s="74"/>
      <c r="T909" s="74"/>
      <c r="U909" s="74"/>
      <c r="V909" s="74"/>
      <c r="W909" s="74"/>
      <c r="X909" s="74"/>
      <c r="Y909" s="74"/>
      <c r="Z909" s="74"/>
      <c r="AA909" s="74"/>
      <c r="AB909" s="74"/>
    </row>
    <row r="910" spans="1:28" ht="12" customHeight="1">
      <c r="A910" s="763"/>
      <c r="B910" s="104"/>
      <c r="C910" s="104"/>
      <c r="D910" s="260"/>
      <c r="E910" s="104"/>
      <c r="F910" s="104"/>
      <c r="G910" s="35"/>
      <c r="H910" s="104"/>
      <c r="I910" s="35"/>
      <c r="J910" s="74"/>
      <c r="K910" s="74"/>
      <c r="L910" s="74"/>
      <c r="M910" s="74"/>
      <c r="N910" s="74"/>
      <c r="O910" s="74"/>
      <c r="P910" s="74"/>
      <c r="Q910" s="74"/>
      <c r="R910" s="74"/>
      <c r="S910" s="74"/>
      <c r="T910" s="74"/>
      <c r="U910" s="74"/>
      <c r="V910" s="74"/>
      <c r="W910" s="74"/>
      <c r="X910" s="74"/>
      <c r="Y910" s="74"/>
      <c r="Z910" s="74"/>
      <c r="AA910" s="74"/>
      <c r="AB910" s="74"/>
    </row>
    <row r="911" spans="1:28" ht="12" customHeight="1">
      <c r="A911" s="763"/>
      <c r="B911" s="104"/>
      <c r="C911" s="104"/>
      <c r="D911" s="260"/>
      <c r="E911" s="104"/>
      <c r="F911" s="104"/>
      <c r="G911" s="35"/>
      <c r="H911" s="104"/>
      <c r="I911" s="35"/>
      <c r="J911" s="74"/>
      <c r="K911" s="74"/>
      <c r="L911" s="74"/>
      <c r="M911" s="74"/>
      <c r="N911" s="74"/>
      <c r="O911" s="74"/>
      <c r="P911" s="74"/>
      <c r="Q911" s="74"/>
      <c r="R911" s="74"/>
      <c r="S911" s="74"/>
      <c r="T911" s="74"/>
      <c r="U911" s="74"/>
      <c r="V911" s="74"/>
      <c r="W911" s="74"/>
      <c r="X911" s="74"/>
      <c r="Y911" s="74"/>
      <c r="Z911" s="74"/>
      <c r="AA911" s="74"/>
      <c r="AB911" s="74"/>
    </row>
    <row r="912" spans="1:28" ht="12" customHeight="1">
      <c r="A912" s="763"/>
      <c r="B912" s="104"/>
      <c r="C912" s="104"/>
      <c r="D912" s="260"/>
      <c r="E912" s="104"/>
      <c r="F912" s="104"/>
      <c r="G912" s="35"/>
      <c r="H912" s="104"/>
      <c r="I912" s="35"/>
      <c r="J912" s="74"/>
      <c r="K912" s="74"/>
      <c r="L912" s="74"/>
      <c r="M912" s="74"/>
      <c r="N912" s="74"/>
      <c r="O912" s="74"/>
      <c r="P912" s="74"/>
      <c r="Q912" s="74"/>
      <c r="R912" s="74"/>
      <c r="S912" s="74"/>
      <c r="T912" s="74"/>
      <c r="U912" s="74"/>
      <c r="V912" s="74"/>
      <c r="W912" s="74"/>
      <c r="X912" s="74"/>
      <c r="Y912" s="74"/>
      <c r="Z912" s="74"/>
      <c r="AA912" s="74"/>
      <c r="AB912" s="74"/>
    </row>
    <row r="913" spans="1:28" ht="12" customHeight="1">
      <c r="A913" s="763"/>
      <c r="B913" s="104"/>
      <c r="C913" s="104"/>
      <c r="D913" s="260"/>
      <c r="E913" s="104"/>
      <c r="F913" s="104"/>
      <c r="G913" s="35"/>
      <c r="H913" s="104"/>
      <c r="I913" s="35"/>
      <c r="J913" s="74"/>
      <c r="K913" s="74"/>
      <c r="L913" s="74"/>
      <c r="M913" s="74"/>
      <c r="N913" s="74"/>
      <c r="O913" s="74"/>
      <c r="P913" s="74"/>
      <c r="Q913" s="74"/>
      <c r="R913" s="74"/>
      <c r="S913" s="74"/>
      <c r="T913" s="74"/>
      <c r="U913" s="74"/>
      <c r="V913" s="74"/>
      <c r="W913" s="74"/>
      <c r="X913" s="74"/>
      <c r="Y913" s="74"/>
      <c r="Z913" s="74"/>
      <c r="AA913" s="74"/>
      <c r="AB913" s="74"/>
    </row>
    <row r="914" spans="1:28" ht="12" customHeight="1">
      <c r="A914" s="763"/>
      <c r="B914" s="104"/>
      <c r="C914" s="104"/>
      <c r="D914" s="260"/>
      <c r="E914" s="104"/>
      <c r="F914" s="104"/>
      <c r="G914" s="35"/>
      <c r="H914" s="104"/>
      <c r="I914" s="35"/>
      <c r="J914" s="74"/>
      <c r="K914" s="74"/>
      <c r="L914" s="74"/>
      <c r="M914" s="74"/>
      <c r="N914" s="74"/>
      <c r="O914" s="74"/>
      <c r="P914" s="74"/>
      <c r="Q914" s="74"/>
      <c r="R914" s="74"/>
      <c r="S914" s="74"/>
      <c r="T914" s="74"/>
      <c r="U914" s="74"/>
      <c r="V914" s="74"/>
      <c r="W914" s="74"/>
      <c r="X914" s="74"/>
      <c r="Y914" s="74"/>
      <c r="Z914" s="74"/>
      <c r="AA914" s="74"/>
      <c r="AB914" s="74"/>
    </row>
    <row r="915" spans="1:28" ht="12" customHeight="1">
      <c r="A915" s="763"/>
      <c r="B915" s="104"/>
      <c r="C915" s="104"/>
      <c r="D915" s="260"/>
      <c r="E915" s="104"/>
      <c r="F915" s="104"/>
      <c r="G915" s="35"/>
      <c r="H915" s="104"/>
      <c r="I915" s="35"/>
      <c r="J915" s="74"/>
      <c r="K915" s="74"/>
      <c r="L915" s="74"/>
      <c r="M915" s="74"/>
      <c r="N915" s="74"/>
      <c r="O915" s="74"/>
      <c r="P915" s="74"/>
      <c r="Q915" s="74"/>
      <c r="R915" s="74"/>
      <c r="S915" s="74"/>
      <c r="T915" s="74"/>
      <c r="U915" s="74"/>
      <c r="V915" s="74"/>
      <c r="W915" s="74"/>
      <c r="X915" s="74"/>
      <c r="Y915" s="74"/>
      <c r="Z915" s="74"/>
      <c r="AA915" s="74"/>
      <c r="AB915" s="74"/>
    </row>
    <row r="916" spans="1:28" ht="12" customHeight="1">
      <c r="A916" s="763"/>
      <c r="B916" s="104"/>
      <c r="C916" s="104"/>
      <c r="D916" s="260"/>
      <c r="E916" s="104"/>
      <c r="F916" s="104"/>
      <c r="G916" s="35"/>
      <c r="H916" s="104"/>
      <c r="I916" s="35"/>
      <c r="J916" s="74"/>
      <c r="K916" s="74"/>
      <c r="L916" s="74"/>
      <c r="M916" s="74"/>
      <c r="N916" s="74"/>
      <c r="O916" s="74"/>
      <c r="P916" s="74"/>
      <c r="Q916" s="74"/>
      <c r="R916" s="74"/>
      <c r="S916" s="74"/>
      <c r="T916" s="74"/>
      <c r="U916" s="74"/>
      <c r="V916" s="74"/>
      <c r="W916" s="74"/>
      <c r="X916" s="74"/>
      <c r="Y916" s="74"/>
      <c r="Z916" s="74"/>
      <c r="AA916" s="74"/>
      <c r="AB916" s="74"/>
    </row>
    <row r="917" spans="1:28" ht="12" customHeight="1">
      <c r="A917" s="763"/>
      <c r="B917" s="104"/>
      <c r="C917" s="104"/>
      <c r="D917" s="260"/>
      <c r="E917" s="104"/>
      <c r="F917" s="104"/>
      <c r="G917" s="35"/>
      <c r="H917" s="104"/>
      <c r="I917" s="35"/>
      <c r="J917" s="74"/>
      <c r="K917" s="74"/>
      <c r="L917" s="74"/>
      <c r="M917" s="74"/>
      <c r="N917" s="74"/>
      <c r="O917" s="74"/>
      <c r="P917" s="74"/>
      <c r="Q917" s="74"/>
      <c r="R917" s="74"/>
      <c r="S917" s="74"/>
      <c r="T917" s="74"/>
      <c r="U917" s="74"/>
      <c r="V917" s="74"/>
      <c r="W917" s="74"/>
      <c r="X917" s="74"/>
      <c r="Y917" s="74"/>
      <c r="Z917" s="74"/>
      <c r="AA917" s="74"/>
      <c r="AB917" s="74"/>
    </row>
    <row r="918" spans="1:28" ht="12" customHeight="1">
      <c r="A918" s="763"/>
      <c r="B918" s="104"/>
      <c r="C918" s="104"/>
      <c r="D918" s="260"/>
      <c r="E918" s="104"/>
      <c r="F918" s="104"/>
      <c r="G918" s="35"/>
      <c r="H918" s="104"/>
      <c r="I918" s="35"/>
      <c r="J918" s="74"/>
      <c r="K918" s="74"/>
      <c r="L918" s="74"/>
      <c r="M918" s="74"/>
      <c r="N918" s="74"/>
      <c r="O918" s="74"/>
      <c r="P918" s="74"/>
      <c r="Q918" s="74"/>
      <c r="R918" s="74"/>
      <c r="S918" s="74"/>
      <c r="T918" s="74"/>
      <c r="U918" s="74"/>
      <c r="V918" s="74"/>
      <c r="W918" s="74"/>
      <c r="X918" s="74"/>
      <c r="Y918" s="74"/>
      <c r="Z918" s="74"/>
      <c r="AA918" s="74"/>
      <c r="AB918" s="74"/>
    </row>
    <row r="919" spans="1:28" ht="12" customHeight="1">
      <c r="A919" s="763"/>
      <c r="B919" s="104"/>
      <c r="C919" s="104"/>
      <c r="D919" s="260"/>
      <c r="E919" s="104"/>
      <c r="F919" s="104"/>
      <c r="G919" s="35"/>
      <c r="H919" s="104"/>
      <c r="I919" s="35"/>
      <c r="J919" s="74"/>
      <c r="K919" s="74"/>
      <c r="L919" s="74"/>
      <c r="M919" s="74"/>
      <c r="N919" s="74"/>
      <c r="O919" s="74"/>
      <c r="P919" s="74"/>
      <c r="Q919" s="74"/>
      <c r="R919" s="74"/>
      <c r="S919" s="74"/>
      <c r="T919" s="74"/>
      <c r="U919" s="74"/>
      <c r="V919" s="74"/>
      <c r="W919" s="74"/>
      <c r="X919" s="74"/>
      <c r="Y919" s="74"/>
      <c r="Z919" s="74"/>
      <c r="AA919" s="74"/>
      <c r="AB919" s="74"/>
    </row>
    <row r="920" spans="1:28" ht="12" customHeight="1">
      <c r="A920" s="763"/>
      <c r="B920" s="104"/>
      <c r="C920" s="104"/>
      <c r="D920" s="260"/>
      <c r="E920" s="104"/>
      <c r="F920" s="104"/>
      <c r="G920" s="35"/>
      <c r="H920" s="104"/>
      <c r="I920" s="35"/>
      <c r="J920" s="74"/>
      <c r="K920" s="74"/>
      <c r="L920" s="74"/>
      <c r="M920" s="74"/>
      <c r="N920" s="74"/>
      <c r="O920" s="74"/>
      <c r="P920" s="74"/>
      <c r="Q920" s="74"/>
      <c r="R920" s="74"/>
      <c r="S920" s="74"/>
      <c r="T920" s="74"/>
      <c r="U920" s="74"/>
      <c r="V920" s="74"/>
      <c r="W920" s="74"/>
      <c r="X920" s="74"/>
      <c r="Y920" s="74"/>
      <c r="Z920" s="74"/>
      <c r="AA920" s="74"/>
      <c r="AB920" s="74"/>
    </row>
    <row r="921" spans="1:28" ht="12" customHeight="1">
      <c r="A921" s="763"/>
      <c r="B921" s="104"/>
      <c r="C921" s="104"/>
      <c r="D921" s="260"/>
      <c r="E921" s="104"/>
      <c r="F921" s="104"/>
      <c r="G921" s="35"/>
      <c r="H921" s="104"/>
      <c r="I921" s="35"/>
      <c r="J921" s="74"/>
      <c r="K921" s="74"/>
      <c r="L921" s="74"/>
      <c r="M921" s="74"/>
      <c r="N921" s="74"/>
      <c r="O921" s="74"/>
      <c r="P921" s="74"/>
      <c r="Q921" s="74"/>
      <c r="R921" s="74"/>
      <c r="S921" s="74"/>
      <c r="T921" s="74"/>
      <c r="U921" s="74"/>
      <c r="V921" s="74"/>
      <c r="W921" s="74"/>
      <c r="X921" s="74"/>
      <c r="Y921" s="74"/>
      <c r="Z921" s="74"/>
      <c r="AA921" s="74"/>
      <c r="AB921" s="74"/>
    </row>
    <row r="922" spans="1:28" ht="12" customHeight="1">
      <c r="A922" s="763"/>
      <c r="B922" s="104"/>
      <c r="C922" s="104"/>
      <c r="D922" s="260"/>
      <c r="E922" s="104"/>
      <c r="F922" s="104"/>
      <c r="G922" s="35"/>
      <c r="H922" s="104"/>
      <c r="I922" s="35"/>
      <c r="J922" s="74"/>
      <c r="K922" s="74"/>
      <c r="L922" s="74"/>
      <c r="M922" s="74"/>
      <c r="N922" s="74"/>
      <c r="O922" s="74"/>
      <c r="P922" s="74"/>
      <c r="Q922" s="74"/>
      <c r="R922" s="74"/>
      <c r="S922" s="74"/>
      <c r="T922" s="74"/>
      <c r="U922" s="74"/>
      <c r="V922" s="74"/>
      <c r="W922" s="74"/>
      <c r="X922" s="74"/>
      <c r="Y922" s="74"/>
      <c r="Z922" s="74"/>
      <c r="AA922" s="74"/>
      <c r="AB922" s="74"/>
    </row>
    <row r="923" spans="1:28" ht="12" customHeight="1">
      <c r="A923" s="763"/>
      <c r="B923" s="104"/>
      <c r="C923" s="104"/>
      <c r="D923" s="260"/>
      <c r="E923" s="104"/>
      <c r="F923" s="104"/>
      <c r="G923" s="35"/>
      <c r="H923" s="104"/>
      <c r="I923" s="35"/>
      <c r="J923" s="74"/>
      <c r="K923" s="74"/>
      <c r="L923" s="74"/>
      <c r="M923" s="74"/>
      <c r="N923" s="74"/>
      <c r="O923" s="74"/>
      <c r="P923" s="74"/>
      <c r="Q923" s="74"/>
      <c r="R923" s="74"/>
      <c r="S923" s="74"/>
      <c r="T923" s="74"/>
      <c r="U923" s="74"/>
      <c r="V923" s="74"/>
      <c r="W923" s="74"/>
      <c r="X923" s="74"/>
      <c r="Y923" s="74"/>
      <c r="Z923" s="74"/>
      <c r="AA923" s="74"/>
      <c r="AB923" s="74"/>
    </row>
    <row r="924" spans="1:28" ht="12" customHeight="1">
      <c r="A924" s="763"/>
      <c r="B924" s="104"/>
      <c r="C924" s="104"/>
      <c r="D924" s="260"/>
      <c r="E924" s="104"/>
      <c r="F924" s="104"/>
      <c r="G924" s="35"/>
      <c r="H924" s="104"/>
      <c r="I924" s="35"/>
      <c r="J924" s="74"/>
      <c r="K924" s="74"/>
      <c r="L924" s="74"/>
      <c r="M924" s="74"/>
      <c r="N924" s="74"/>
      <c r="O924" s="74"/>
      <c r="P924" s="74"/>
      <c r="Q924" s="74"/>
      <c r="R924" s="74"/>
      <c r="S924" s="74"/>
      <c r="T924" s="74"/>
      <c r="U924" s="74"/>
      <c r="V924" s="74"/>
      <c r="W924" s="74"/>
      <c r="X924" s="74"/>
      <c r="Y924" s="74"/>
      <c r="Z924" s="74"/>
      <c r="AA924" s="74"/>
      <c r="AB924" s="74"/>
    </row>
    <row r="925" spans="1:28" ht="12" customHeight="1">
      <c r="A925" s="763"/>
      <c r="B925" s="104"/>
      <c r="C925" s="104"/>
      <c r="D925" s="260"/>
      <c r="E925" s="104"/>
      <c r="F925" s="104"/>
      <c r="G925" s="35"/>
      <c r="H925" s="104"/>
      <c r="I925" s="35"/>
      <c r="J925" s="74"/>
      <c r="K925" s="74"/>
      <c r="L925" s="74"/>
      <c r="M925" s="74"/>
      <c r="N925" s="74"/>
      <c r="O925" s="74"/>
      <c r="P925" s="74"/>
      <c r="Q925" s="74"/>
      <c r="R925" s="74"/>
      <c r="S925" s="74"/>
      <c r="T925" s="74"/>
      <c r="U925" s="74"/>
      <c r="V925" s="74"/>
      <c r="W925" s="74"/>
      <c r="X925" s="74"/>
      <c r="Y925" s="74"/>
      <c r="Z925" s="74"/>
      <c r="AA925" s="74"/>
      <c r="AB925" s="74"/>
    </row>
    <row r="926" spans="1:28" ht="12" customHeight="1">
      <c r="A926" s="763"/>
      <c r="B926" s="104"/>
      <c r="C926" s="104"/>
      <c r="D926" s="260"/>
      <c r="E926" s="104"/>
      <c r="F926" s="104"/>
      <c r="G926" s="35"/>
      <c r="H926" s="104"/>
      <c r="I926" s="35"/>
      <c r="J926" s="74"/>
      <c r="K926" s="74"/>
      <c r="L926" s="74"/>
      <c r="M926" s="74"/>
      <c r="N926" s="74"/>
      <c r="O926" s="74"/>
      <c r="P926" s="74"/>
      <c r="Q926" s="74"/>
      <c r="R926" s="74"/>
      <c r="S926" s="74"/>
      <c r="T926" s="74"/>
      <c r="U926" s="74"/>
      <c r="V926" s="74"/>
      <c r="W926" s="74"/>
      <c r="X926" s="74"/>
      <c r="Y926" s="74"/>
      <c r="Z926" s="74"/>
      <c r="AA926" s="74"/>
      <c r="AB926" s="74"/>
    </row>
    <row r="927" spans="1:28" ht="12" customHeight="1">
      <c r="A927" s="763"/>
      <c r="B927" s="104"/>
      <c r="C927" s="104"/>
      <c r="D927" s="260"/>
      <c r="E927" s="104"/>
      <c r="F927" s="104"/>
      <c r="G927" s="35"/>
      <c r="H927" s="104"/>
      <c r="I927" s="35"/>
      <c r="J927" s="74"/>
      <c r="K927" s="74"/>
      <c r="L927" s="74"/>
      <c r="M927" s="74"/>
      <c r="N927" s="74"/>
      <c r="O927" s="74"/>
      <c r="P927" s="74"/>
      <c r="Q927" s="74"/>
      <c r="R927" s="74"/>
      <c r="S927" s="74"/>
      <c r="T927" s="74"/>
      <c r="U927" s="74"/>
      <c r="V927" s="74"/>
      <c r="W927" s="74"/>
      <c r="X927" s="74"/>
      <c r="Y927" s="74"/>
      <c r="Z927" s="74"/>
      <c r="AA927" s="74"/>
      <c r="AB927" s="74"/>
    </row>
    <row r="928" spans="1:28" ht="12" customHeight="1">
      <c r="A928" s="763"/>
      <c r="B928" s="104"/>
      <c r="C928" s="104"/>
      <c r="D928" s="260"/>
      <c r="E928" s="104"/>
      <c r="F928" s="104"/>
      <c r="G928" s="35"/>
      <c r="H928" s="104"/>
      <c r="I928" s="35"/>
      <c r="J928" s="74"/>
      <c r="K928" s="74"/>
      <c r="L928" s="74"/>
      <c r="M928" s="74"/>
      <c r="N928" s="74"/>
      <c r="O928" s="74"/>
      <c r="P928" s="74"/>
      <c r="Q928" s="74"/>
      <c r="R928" s="74"/>
      <c r="S928" s="74"/>
      <c r="T928" s="74"/>
      <c r="U928" s="74"/>
      <c r="V928" s="74"/>
      <c r="W928" s="74"/>
      <c r="X928" s="74"/>
      <c r="Y928" s="74"/>
      <c r="Z928" s="74"/>
      <c r="AA928" s="74"/>
      <c r="AB928" s="74"/>
    </row>
    <row r="929" spans="1:28" ht="12" customHeight="1">
      <c r="A929" s="763"/>
      <c r="B929" s="104"/>
      <c r="C929" s="104"/>
      <c r="D929" s="260"/>
      <c r="E929" s="104"/>
      <c r="F929" s="104"/>
      <c r="G929" s="35"/>
      <c r="H929" s="104"/>
      <c r="I929" s="35"/>
      <c r="J929" s="74"/>
      <c r="K929" s="74"/>
      <c r="L929" s="74"/>
      <c r="M929" s="74"/>
      <c r="N929" s="74"/>
      <c r="O929" s="74"/>
      <c r="P929" s="74"/>
      <c r="Q929" s="74"/>
      <c r="R929" s="74"/>
      <c r="S929" s="74"/>
      <c r="T929" s="74"/>
      <c r="U929" s="74"/>
      <c r="V929" s="74"/>
      <c r="W929" s="74"/>
      <c r="X929" s="74"/>
      <c r="Y929" s="74"/>
      <c r="Z929" s="74"/>
      <c r="AA929" s="74"/>
      <c r="AB929" s="74"/>
    </row>
    <row r="930" spans="1:28" ht="12" customHeight="1">
      <c r="A930" s="763"/>
      <c r="B930" s="104"/>
      <c r="C930" s="104"/>
      <c r="D930" s="260"/>
      <c r="E930" s="104"/>
      <c r="F930" s="104"/>
      <c r="G930" s="35"/>
      <c r="H930" s="104"/>
      <c r="I930" s="35"/>
      <c r="J930" s="74"/>
      <c r="K930" s="74"/>
      <c r="L930" s="74"/>
      <c r="M930" s="74"/>
      <c r="N930" s="74"/>
      <c r="O930" s="74"/>
      <c r="P930" s="74"/>
      <c r="Q930" s="74"/>
      <c r="R930" s="74"/>
      <c r="S930" s="74"/>
      <c r="T930" s="74"/>
      <c r="U930" s="74"/>
      <c r="V930" s="74"/>
      <c r="W930" s="74"/>
      <c r="X930" s="74"/>
      <c r="Y930" s="74"/>
      <c r="Z930" s="74"/>
      <c r="AA930" s="74"/>
      <c r="AB930" s="74"/>
    </row>
    <row r="931" spans="1:28" ht="12" customHeight="1">
      <c r="A931" s="763"/>
      <c r="B931" s="104"/>
      <c r="C931" s="104"/>
      <c r="D931" s="260"/>
      <c r="E931" s="104"/>
      <c r="F931" s="104"/>
      <c r="G931" s="35"/>
      <c r="H931" s="104"/>
      <c r="I931" s="35"/>
      <c r="J931" s="74"/>
      <c r="K931" s="74"/>
      <c r="L931" s="74"/>
      <c r="M931" s="74"/>
      <c r="N931" s="74"/>
      <c r="O931" s="74"/>
      <c r="P931" s="74"/>
      <c r="Q931" s="74"/>
      <c r="R931" s="74"/>
      <c r="S931" s="74"/>
      <c r="T931" s="74"/>
      <c r="U931" s="74"/>
      <c r="V931" s="74"/>
      <c r="W931" s="74"/>
      <c r="X931" s="74"/>
      <c r="Y931" s="74"/>
      <c r="Z931" s="74"/>
      <c r="AA931" s="74"/>
      <c r="AB931" s="74"/>
    </row>
    <row r="932" spans="1:28" ht="12" customHeight="1">
      <c r="A932" s="763"/>
      <c r="B932" s="104"/>
      <c r="C932" s="104"/>
      <c r="D932" s="260"/>
      <c r="E932" s="104"/>
      <c r="F932" s="104"/>
      <c r="G932" s="35"/>
      <c r="H932" s="104"/>
      <c r="I932" s="35"/>
      <c r="J932" s="74"/>
      <c r="K932" s="74"/>
      <c r="L932" s="74"/>
      <c r="M932" s="74"/>
      <c r="N932" s="74"/>
      <c r="O932" s="74"/>
      <c r="P932" s="74"/>
      <c r="Q932" s="74"/>
      <c r="R932" s="74"/>
      <c r="S932" s="74"/>
      <c r="T932" s="74"/>
      <c r="U932" s="74"/>
      <c r="V932" s="74"/>
      <c r="W932" s="74"/>
      <c r="X932" s="74"/>
      <c r="Y932" s="74"/>
      <c r="Z932" s="74"/>
      <c r="AA932" s="74"/>
      <c r="AB932" s="74"/>
    </row>
    <row r="933" spans="1:28" ht="12" customHeight="1">
      <c r="A933" s="763"/>
      <c r="B933" s="104"/>
      <c r="C933" s="104"/>
      <c r="D933" s="260"/>
      <c r="E933" s="104"/>
      <c r="F933" s="104"/>
      <c r="G933" s="35"/>
      <c r="H933" s="104"/>
      <c r="I933" s="35"/>
      <c r="J933" s="74"/>
      <c r="K933" s="74"/>
      <c r="L933" s="74"/>
      <c r="M933" s="74"/>
      <c r="N933" s="74"/>
      <c r="O933" s="74"/>
      <c r="P933" s="74"/>
      <c r="Q933" s="74"/>
      <c r="R933" s="74"/>
      <c r="S933" s="74"/>
      <c r="T933" s="74"/>
      <c r="U933" s="74"/>
      <c r="V933" s="74"/>
      <c r="W933" s="74"/>
      <c r="X933" s="74"/>
      <c r="Y933" s="74"/>
      <c r="Z933" s="74"/>
      <c r="AA933" s="74"/>
      <c r="AB933" s="74"/>
    </row>
    <row r="934" spans="1:28" ht="12" customHeight="1">
      <c r="A934" s="763"/>
      <c r="B934" s="104"/>
      <c r="C934" s="104"/>
      <c r="D934" s="260"/>
      <c r="E934" s="104"/>
      <c r="F934" s="104"/>
      <c r="G934" s="35"/>
      <c r="H934" s="104"/>
      <c r="I934" s="35"/>
      <c r="J934" s="74"/>
      <c r="K934" s="74"/>
      <c r="L934" s="74"/>
      <c r="M934" s="74"/>
      <c r="N934" s="74"/>
      <c r="O934" s="74"/>
      <c r="P934" s="74"/>
      <c r="Q934" s="74"/>
      <c r="R934" s="74"/>
      <c r="S934" s="74"/>
      <c r="T934" s="74"/>
      <c r="U934" s="74"/>
      <c r="V934" s="74"/>
      <c r="W934" s="74"/>
      <c r="X934" s="74"/>
      <c r="Y934" s="74"/>
      <c r="Z934" s="74"/>
      <c r="AA934" s="74"/>
      <c r="AB934" s="74"/>
    </row>
    <row r="935" spans="1:28" ht="12" customHeight="1">
      <c r="A935" s="763"/>
      <c r="B935" s="104"/>
      <c r="C935" s="104"/>
      <c r="D935" s="260"/>
      <c r="E935" s="104"/>
      <c r="F935" s="104"/>
      <c r="G935" s="35"/>
      <c r="H935" s="104"/>
      <c r="I935" s="35"/>
      <c r="J935" s="74"/>
      <c r="K935" s="74"/>
      <c r="L935" s="74"/>
      <c r="M935" s="74"/>
      <c r="N935" s="74"/>
      <c r="O935" s="74"/>
      <c r="P935" s="74"/>
      <c r="Q935" s="74"/>
      <c r="R935" s="74"/>
      <c r="S935" s="74"/>
      <c r="T935" s="74"/>
      <c r="U935" s="74"/>
      <c r="V935" s="74"/>
      <c r="W935" s="74"/>
      <c r="X935" s="74"/>
      <c r="Y935" s="74"/>
      <c r="Z935" s="74"/>
      <c r="AA935" s="74"/>
      <c r="AB935" s="74"/>
    </row>
    <row r="936" spans="1:28" ht="12" customHeight="1">
      <c r="A936" s="763"/>
      <c r="B936" s="104"/>
      <c r="C936" s="104"/>
      <c r="D936" s="260"/>
      <c r="E936" s="104"/>
      <c r="F936" s="104"/>
      <c r="G936" s="35"/>
      <c r="H936" s="104"/>
      <c r="I936" s="35"/>
      <c r="J936" s="74"/>
      <c r="K936" s="74"/>
      <c r="L936" s="74"/>
      <c r="M936" s="74"/>
      <c r="N936" s="74"/>
      <c r="O936" s="74"/>
      <c r="P936" s="74"/>
      <c r="Q936" s="74"/>
      <c r="R936" s="74"/>
      <c r="S936" s="74"/>
      <c r="T936" s="74"/>
      <c r="U936" s="74"/>
      <c r="V936" s="74"/>
      <c r="W936" s="74"/>
      <c r="X936" s="74"/>
      <c r="Y936" s="74"/>
      <c r="Z936" s="74"/>
      <c r="AA936" s="74"/>
      <c r="AB936" s="74"/>
    </row>
    <row r="937" spans="1:28" ht="12" customHeight="1">
      <c r="A937" s="763"/>
      <c r="B937" s="104"/>
      <c r="C937" s="104"/>
      <c r="D937" s="260"/>
      <c r="E937" s="104"/>
      <c r="F937" s="104"/>
      <c r="G937" s="35"/>
      <c r="H937" s="104"/>
      <c r="I937" s="35"/>
      <c r="J937" s="74"/>
      <c r="K937" s="74"/>
      <c r="L937" s="74"/>
      <c r="M937" s="74"/>
      <c r="N937" s="74"/>
      <c r="O937" s="74"/>
      <c r="P937" s="74"/>
      <c r="Q937" s="74"/>
      <c r="R937" s="74"/>
      <c r="S937" s="74"/>
      <c r="T937" s="74"/>
      <c r="U937" s="74"/>
      <c r="V937" s="74"/>
      <c r="W937" s="74"/>
      <c r="X937" s="74"/>
      <c r="Y937" s="74"/>
      <c r="Z937" s="74"/>
      <c r="AA937" s="74"/>
      <c r="AB937" s="74"/>
    </row>
    <row r="938" spans="1:28" ht="12" customHeight="1">
      <c r="A938" s="763"/>
      <c r="B938" s="104"/>
      <c r="C938" s="104"/>
      <c r="D938" s="260"/>
      <c r="E938" s="104"/>
      <c r="F938" s="104"/>
      <c r="G938" s="35"/>
      <c r="H938" s="104"/>
      <c r="I938" s="35"/>
      <c r="J938" s="74"/>
      <c r="K938" s="74"/>
      <c r="L938" s="74"/>
      <c r="M938" s="74"/>
      <c r="N938" s="74"/>
      <c r="O938" s="74"/>
      <c r="P938" s="74"/>
      <c r="Q938" s="74"/>
      <c r="R938" s="74"/>
      <c r="S938" s="74"/>
      <c r="T938" s="74"/>
      <c r="U938" s="74"/>
      <c r="V938" s="74"/>
      <c r="W938" s="74"/>
      <c r="X938" s="74"/>
      <c r="Y938" s="74"/>
      <c r="Z938" s="74"/>
      <c r="AA938" s="74"/>
      <c r="AB938" s="74"/>
    </row>
    <row r="939" spans="1:28" ht="12" customHeight="1">
      <c r="A939" s="763"/>
      <c r="B939" s="104"/>
      <c r="C939" s="104"/>
      <c r="D939" s="260"/>
      <c r="E939" s="104"/>
      <c r="F939" s="104"/>
      <c r="G939" s="35"/>
      <c r="H939" s="104"/>
      <c r="I939" s="35"/>
      <c r="J939" s="74"/>
      <c r="K939" s="74"/>
      <c r="L939" s="74"/>
      <c r="M939" s="74"/>
      <c r="N939" s="74"/>
      <c r="O939" s="74"/>
      <c r="P939" s="74"/>
      <c r="Q939" s="74"/>
      <c r="R939" s="74"/>
      <c r="S939" s="74"/>
      <c r="T939" s="74"/>
      <c r="U939" s="74"/>
      <c r="V939" s="74"/>
      <c r="W939" s="74"/>
      <c r="X939" s="74"/>
      <c r="Y939" s="74"/>
      <c r="Z939" s="74"/>
      <c r="AA939" s="74"/>
      <c r="AB939" s="74"/>
    </row>
    <row r="940" spans="1:28" ht="12" customHeight="1">
      <c r="A940" s="763"/>
      <c r="B940" s="104"/>
      <c r="C940" s="104"/>
      <c r="D940" s="260"/>
      <c r="E940" s="104"/>
      <c r="F940" s="104"/>
      <c r="G940" s="35"/>
      <c r="H940" s="104"/>
      <c r="I940" s="35"/>
      <c r="J940" s="74"/>
      <c r="K940" s="74"/>
      <c r="L940" s="74"/>
      <c r="M940" s="74"/>
      <c r="N940" s="74"/>
      <c r="O940" s="74"/>
      <c r="P940" s="74"/>
      <c r="Q940" s="74"/>
      <c r="R940" s="74"/>
      <c r="S940" s="74"/>
      <c r="T940" s="74"/>
      <c r="U940" s="74"/>
      <c r="V940" s="74"/>
      <c r="W940" s="74"/>
      <c r="X940" s="74"/>
      <c r="Y940" s="74"/>
      <c r="Z940" s="74"/>
      <c r="AA940" s="74"/>
      <c r="AB940" s="74"/>
    </row>
    <row r="941" spans="1:28" ht="12" customHeight="1">
      <c r="A941" s="763"/>
      <c r="B941" s="104"/>
      <c r="C941" s="104"/>
      <c r="D941" s="260"/>
      <c r="E941" s="104"/>
      <c r="F941" s="104"/>
      <c r="G941" s="35"/>
      <c r="H941" s="104"/>
      <c r="I941" s="35"/>
      <c r="J941" s="74"/>
      <c r="K941" s="74"/>
      <c r="L941" s="74"/>
      <c r="M941" s="74"/>
      <c r="N941" s="74"/>
      <c r="O941" s="74"/>
      <c r="P941" s="74"/>
      <c r="Q941" s="74"/>
      <c r="R941" s="74"/>
      <c r="S941" s="74"/>
      <c r="T941" s="74"/>
      <c r="U941" s="74"/>
      <c r="V941" s="74"/>
      <c r="W941" s="74"/>
      <c r="X941" s="74"/>
      <c r="Y941" s="74"/>
      <c r="Z941" s="74"/>
      <c r="AA941" s="74"/>
      <c r="AB941" s="74"/>
    </row>
    <row r="942" spans="1:28" ht="12" customHeight="1">
      <c r="A942" s="763"/>
      <c r="B942" s="104"/>
      <c r="C942" s="104"/>
      <c r="D942" s="260"/>
      <c r="E942" s="104"/>
      <c r="F942" s="104"/>
      <c r="G942" s="35"/>
      <c r="H942" s="104"/>
      <c r="I942" s="35"/>
      <c r="J942" s="74"/>
      <c r="K942" s="74"/>
      <c r="L942" s="74"/>
      <c r="M942" s="74"/>
      <c r="N942" s="74"/>
      <c r="O942" s="74"/>
      <c r="P942" s="74"/>
      <c r="Q942" s="74"/>
      <c r="R942" s="74"/>
      <c r="S942" s="74"/>
      <c r="T942" s="74"/>
      <c r="U942" s="74"/>
      <c r="V942" s="74"/>
      <c r="W942" s="74"/>
      <c r="X942" s="74"/>
      <c r="Y942" s="74"/>
      <c r="Z942" s="74"/>
      <c r="AA942" s="74"/>
      <c r="AB942" s="74"/>
    </row>
    <row r="943" spans="1:28" ht="12" customHeight="1">
      <c r="A943" s="763"/>
      <c r="B943" s="104"/>
      <c r="C943" s="104"/>
      <c r="D943" s="260"/>
      <c r="E943" s="104"/>
      <c r="F943" s="104"/>
      <c r="G943" s="35"/>
      <c r="H943" s="104"/>
      <c r="I943" s="35"/>
      <c r="J943" s="74"/>
      <c r="K943" s="74"/>
      <c r="L943" s="74"/>
      <c r="M943" s="74"/>
      <c r="N943" s="74"/>
      <c r="O943" s="74"/>
      <c r="P943" s="74"/>
      <c r="Q943" s="74"/>
      <c r="R943" s="74"/>
      <c r="S943" s="74"/>
      <c r="T943" s="74"/>
      <c r="U943" s="74"/>
      <c r="V943" s="74"/>
      <c r="W943" s="74"/>
      <c r="X943" s="74"/>
      <c r="Y943" s="74"/>
      <c r="Z943" s="74"/>
      <c r="AA943" s="74"/>
      <c r="AB943" s="74"/>
    </row>
    <row r="944" spans="1:28" ht="12" customHeight="1">
      <c r="A944" s="763"/>
      <c r="B944" s="104"/>
      <c r="C944" s="104"/>
      <c r="D944" s="260"/>
      <c r="E944" s="104"/>
      <c r="F944" s="104"/>
      <c r="G944" s="35"/>
      <c r="H944" s="104"/>
      <c r="I944" s="35"/>
      <c r="J944" s="74"/>
      <c r="K944" s="74"/>
      <c r="L944" s="74"/>
      <c r="M944" s="74"/>
      <c r="N944" s="74"/>
      <c r="O944" s="74"/>
      <c r="P944" s="74"/>
      <c r="Q944" s="74"/>
      <c r="R944" s="74"/>
      <c r="S944" s="74"/>
      <c r="T944" s="74"/>
      <c r="U944" s="74"/>
      <c r="V944" s="74"/>
      <c r="W944" s="74"/>
      <c r="X944" s="74"/>
      <c r="Y944" s="74"/>
      <c r="Z944" s="74"/>
      <c r="AA944" s="74"/>
      <c r="AB944" s="74"/>
    </row>
    <row r="945" spans="1:28" ht="12" customHeight="1">
      <c r="A945" s="763"/>
      <c r="B945" s="104"/>
      <c r="C945" s="104"/>
      <c r="D945" s="260"/>
      <c r="E945" s="104"/>
      <c r="F945" s="104"/>
      <c r="G945" s="35"/>
      <c r="H945" s="104"/>
      <c r="I945" s="35"/>
      <c r="J945" s="74"/>
      <c r="K945" s="74"/>
      <c r="L945" s="74"/>
      <c r="M945" s="74"/>
      <c r="N945" s="74"/>
      <c r="O945" s="74"/>
      <c r="P945" s="74"/>
      <c r="Q945" s="74"/>
      <c r="R945" s="74"/>
      <c r="S945" s="74"/>
      <c r="T945" s="74"/>
      <c r="U945" s="74"/>
      <c r="V945" s="74"/>
      <c r="W945" s="74"/>
      <c r="X945" s="74"/>
      <c r="Y945" s="74"/>
      <c r="Z945" s="74"/>
      <c r="AA945" s="74"/>
      <c r="AB945" s="74"/>
    </row>
    <row r="946" spans="1:28" ht="12" customHeight="1">
      <c r="A946" s="763"/>
      <c r="B946" s="104"/>
      <c r="C946" s="104"/>
      <c r="D946" s="260"/>
      <c r="E946" s="104"/>
      <c r="F946" s="104"/>
      <c r="G946" s="35"/>
      <c r="H946" s="104"/>
      <c r="I946" s="35"/>
      <c r="J946" s="74"/>
      <c r="K946" s="74"/>
      <c r="L946" s="74"/>
      <c r="M946" s="74"/>
      <c r="N946" s="74"/>
      <c r="O946" s="74"/>
      <c r="P946" s="74"/>
      <c r="Q946" s="74"/>
      <c r="R946" s="74"/>
      <c r="S946" s="74"/>
      <c r="T946" s="74"/>
      <c r="U946" s="74"/>
      <c r="V946" s="74"/>
      <c r="W946" s="74"/>
      <c r="X946" s="74"/>
      <c r="Y946" s="74"/>
      <c r="Z946" s="74"/>
      <c r="AA946" s="74"/>
      <c r="AB946" s="74"/>
    </row>
    <row r="947" spans="1:28" ht="12" customHeight="1">
      <c r="A947" s="763"/>
      <c r="B947" s="104"/>
      <c r="C947" s="104"/>
      <c r="D947" s="260"/>
      <c r="E947" s="104"/>
      <c r="F947" s="104"/>
      <c r="G947" s="35"/>
      <c r="H947" s="104"/>
      <c r="I947" s="35"/>
      <c r="J947" s="74"/>
      <c r="K947" s="74"/>
      <c r="L947" s="74"/>
      <c r="M947" s="74"/>
      <c r="N947" s="74"/>
      <c r="O947" s="74"/>
      <c r="P947" s="74"/>
      <c r="Q947" s="74"/>
      <c r="R947" s="74"/>
      <c r="S947" s="74"/>
      <c r="T947" s="74"/>
      <c r="U947" s="74"/>
      <c r="V947" s="74"/>
      <c r="W947" s="74"/>
      <c r="X947" s="74"/>
      <c r="Y947" s="74"/>
      <c r="Z947" s="74"/>
      <c r="AA947" s="74"/>
      <c r="AB947" s="74"/>
    </row>
    <row r="948" spans="1:28" ht="12" customHeight="1">
      <c r="A948" s="763"/>
      <c r="B948" s="104"/>
      <c r="C948" s="104"/>
      <c r="D948" s="260"/>
      <c r="E948" s="104"/>
      <c r="F948" s="104"/>
      <c r="G948" s="35"/>
      <c r="H948" s="104"/>
      <c r="I948" s="35"/>
      <c r="J948" s="74"/>
      <c r="K948" s="74"/>
      <c r="L948" s="74"/>
      <c r="M948" s="74"/>
      <c r="N948" s="74"/>
      <c r="O948" s="74"/>
      <c r="P948" s="74"/>
      <c r="Q948" s="74"/>
      <c r="R948" s="74"/>
      <c r="S948" s="74"/>
      <c r="T948" s="74"/>
      <c r="U948" s="74"/>
      <c r="V948" s="74"/>
      <c r="W948" s="74"/>
      <c r="X948" s="74"/>
      <c r="Y948" s="74"/>
      <c r="Z948" s="74"/>
      <c r="AA948" s="74"/>
      <c r="AB948" s="74"/>
    </row>
    <row r="949" spans="1:28" ht="12" customHeight="1">
      <c r="A949" s="763"/>
      <c r="B949" s="104"/>
      <c r="C949" s="104"/>
      <c r="D949" s="260"/>
      <c r="E949" s="104"/>
      <c r="F949" s="104"/>
      <c r="G949" s="35"/>
      <c r="H949" s="104"/>
      <c r="I949" s="35"/>
      <c r="J949" s="74"/>
      <c r="K949" s="74"/>
      <c r="L949" s="74"/>
      <c r="M949" s="74"/>
      <c r="N949" s="74"/>
      <c r="O949" s="74"/>
      <c r="P949" s="74"/>
      <c r="Q949" s="74"/>
      <c r="R949" s="74"/>
      <c r="S949" s="74"/>
      <c r="T949" s="74"/>
      <c r="U949" s="74"/>
      <c r="V949" s="74"/>
      <c r="W949" s="74"/>
      <c r="X949" s="74"/>
      <c r="Y949" s="74"/>
      <c r="Z949" s="74"/>
      <c r="AA949" s="74"/>
      <c r="AB949" s="74"/>
    </row>
    <row r="950" spans="1:28" ht="12" customHeight="1">
      <c r="A950" s="763"/>
      <c r="B950" s="104"/>
      <c r="C950" s="104"/>
      <c r="D950" s="260"/>
      <c r="E950" s="104"/>
      <c r="F950" s="104"/>
      <c r="G950" s="35"/>
      <c r="H950" s="104"/>
      <c r="I950" s="35"/>
      <c r="J950" s="74"/>
      <c r="K950" s="74"/>
      <c r="L950" s="74"/>
      <c r="M950" s="74"/>
      <c r="N950" s="74"/>
      <c r="O950" s="74"/>
      <c r="P950" s="74"/>
      <c r="Q950" s="74"/>
      <c r="R950" s="74"/>
      <c r="S950" s="74"/>
      <c r="T950" s="74"/>
      <c r="U950" s="74"/>
      <c r="V950" s="74"/>
      <c r="W950" s="74"/>
      <c r="X950" s="74"/>
      <c r="Y950" s="74"/>
      <c r="Z950" s="74"/>
      <c r="AA950" s="74"/>
      <c r="AB950" s="74"/>
    </row>
    <row r="951" spans="1:28" ht="12" customHeight="1">
      <c r="A951" s="763"/>
      <c r="B951" s="104"/>
      <c r="C951" s="104"/>
      <c r="D951" s="260"/>
      <c r="E951" s="104"/>
      <c r="F951" s="104"/>
      <c r="G951" s="35"/>
      <c r="H951" s="104"/>
      <c r="I951" s="35"/>
      <c r="J951" s="74"/>
      <c r="K951" s="74"/>
      <c r="L951" s="74"/>
      <c r="M951" s="74"/>
      <c r="N951" s="74"/>
      <c r="O951" s="74"/>
      <c r="P951" s="74"/>
      <c r="Q951" s="74"/>
      <c r="R951" s="74"/>
      <c r="S951" s="74"/>
      <c r="T951" s="74"/>
      <c r="U951" s="74"/>
      <c r="V951" s="74"/>
      <c r="W951" s="74"/>
      <c r="X951" s="74"/>
      <c r="Y951" s="74"/>
      <c r="Z951" s="74"/>
      <c r="AA951" s="74"/>
      <c r="AB951" s="74"/>
    </row>
    <row r="952" spans="1:28" ht="12" customHeight="1">
      <c r="A952" s="763"/>
      <c r="B952" s="104"/>
      <c r="C952" s="104"/>
      <c r="D952" s="260"/>
      <c r="E952" s="104"/>
      <c r="F952" s="104"/>
      <c r="G952" s="35"/>
      <c r="H952" s="104"/>
      <c r="I952" s="35"/>
      <c r="J952" s="74"/>
      <c r="K952" s="74"/>
      <c r="L952" s="74"/>
      <c r="M952" s="74"/>
      <c r="N952" s="74"/>
      <c r="O952" s="74"/>
      <c r="P952" s="74"/>
      <c r="Q952" s="74"/>
      <c r="R952" s="74"/>
      <c r="S952" s="74"/>
      <c r="T952" s="74"/>
      <c r="U952" s="74"/>
      <c r="V952" s="74"/>
      <c r="W952" s="74"/>
      <c r="X952" s="74"/>
      <c r="Y952" s="74"/>
      <c r="Z952" s="74"/>
      <c r="AA952" s="74"/>
      <c r="AB952" s="74"/>
    </row>
    <row r="953" spans="1:28" ht="12" customHeight="1">
      <c r="A953" s="763"/>
      <c r="B953" s="104"/>
      <c r="C953" s="104"/>
      <c r="D953" s="260"/>
      <c r="E953" s="104"/>
      <c r="F953" s="104"/>
      <c r="G953" s="35"/>
      <c r="H953" s="104"/>
      <c r="I953" s="35"/>
      <c r="J953" s="74"/>
      <c r="K953" s="74"/>
      <c r="L953" s="74"/>
      <c r="M953" s="74"/>
      <c r="N953" s="74"/>
      <c r="O953" s="74"/>
      <c r="P953" s="74"/>
      <c r="Q953" s="74"/>
      <c r="R953" s="74"/>
      <c r="S953" s="74"/>
      <c r="T953" s="74"/>
      <c r="U953" s="74"/>
      <c r="V953" s="74"/>
      <c r="W953" s="74"/>
      <c r="X953" s="74"/>
      <c r="Y953" s="74"/>
      <c r="Z953" s="74"/>
      <c r="AA953" s="74"/>
      <c r="AB953" s="74"/>
    </row>
    <row r="954" spans="1:28" ht="12" customHeight="1">
      <c r="A954" s="763"/>
      <c r="B954" s="104"/>
      <c r="C954" s="104"/>
      <c r="D954" s="260"/>
      <c r="E954" s="104"/>
      <c r="F954" s="104"/>
      <c r="G954" s="35"/>
      <c r="H954" s="104"/>
      <c r="I954" s="35"/>
      <c r="J954" s="74"/>
      <c r="K954" s="74"/>
      <c r="L954" s="74"/>
      <c r="M954" s="74"/>
      <c r="N954" s="74"/>
      <c r="O954" s="74"/>
      <c r="P954" s="74"/>
      <c r="Q954" s="74"/>
      <c r="R954" s="74"/>
      <c r="S954" s="74"/>
      <c r="T954" s="74"/>
      <c r="U954" s="74"/>
      <c r="V954" s="74"/>
      <c r="W954" s="74"/>
      <c r="X954" s="74"/>
      <c r="Y954" s="74"/>
      <c r="Z954" s="74"/>
      <c r="AA954" s="74"/>
      <c r="AB954" s="74"/>
    </row>
    <row r="955" spans="1:28" ht="12" customHeight="1">
      <c r="A955" s="763"/>
      <c r="B955" s="104"/>
      <c r="C955" s="104"/>
      <c r="D955" s="260"/>
      <c r="E955" s="104"/>
      <c r="F955" s="104"/>
      <c r="G955" s="35"/>
      <c r="H955" s="104"/>
      <c r="I955" s="35"/>
      <c r="J955" s="74"/>
      <c r="K955" s="74"/>
      <c r="L955" s="74"/>
      <c r="M955" s="74"/>
      <c r="N955" s="74"/>
      <c r="O955" s="74"/>
      <c r="P955" s="74"/>
      <c r="Q955" s="74"/>
      <c r="R955" s="74"/>
      <c r="S955" s="74"/>
      <c r="T955" s="74"/>
      <c r="U955" s="74"/>
      <c r="V955" s="74"/>
      <c r="W955" s="74"/>
      <c r="X955" s="74"/>
      <c r="Y955" s="74"/>
      <c r="Z955" s="74"/>
      <c r="AA955" s="74"/>
      <c r="AB955" s="74"/>
    </row>
    <row r="956" spans="1:28" ht="12" customHeight="1">
      <c r="A956" s="763"/>
      <c r="B956" s="104"/>
      <c r="C956" s="104"/>
      <c r="D956" s="260"/>
      <c r="E956" s="104"/>
      <c r="F956" s="104"/>
      <c r="G956" s="35"/>
      <c r="H956" s="104"/>
      <c r="I956" s="35"/>
      <c r="J956" s="74"/>
      <c r="K956" s="74"/>
      <c r="L956" s="74"/>
      <c r="M956" s="74"/>
      <c r="N956" s="74"/>
      <c r="O956" s="74"/>
      <c r="P956" s="74"/>
      <c r="Q956" s="74"/>
      <c r="R956" s="74"/>
      <c r="S956" s="74"/>
      <c r="T956" s="74"/>
      <c r="U956" s="74"/>
      <c r="V956" s="74"/>
      <c r="W956" s="74"/>
      <c r="X956" s="74"/>
      <c r="Y956" s="74"/>
      <c r="Z956" s="74"/>
      <c r="AA956" s="74"/>
      <c r="AB956" s="74"/>
    </row>
    <row r="957" spans="1:28" ht="12" customHeight="1">
      <c r="A957" s="763"/>
      <c r="B957" s="104"/>
      <c r="C957" s="104"/>
      <c r="D957" s="260"/>
      <c r="E957" s="104"/>
      <c r="F957" s="104"/>
      <c r="G957" s="35"/>
      <c r="H957" s="104"/>
      <c r="I957" s="35"/>
      <c r="J957" s="74"/>
      <c r="K957" s="74"/>
      <c r="L957" s="74"/>
      <c r="M957" s="74"/>
      <c r="N957" s="74"/>
      <c r="O957" s="74"/>
      <c r="P957" s="74"/>
      <c r="Q957" s="74"/>
      <c r="R957" s="74"/>
      <c r="S957" s="74"/>
      <c r="T957" s="74"/>
      <c r="U957" s="74"/>
      <c r="V957" s="74"/>
      <c r="W957" s="74"/>
      <c r="X957" s="74"/>
      <c r="Y957" s="74"/>
      <c r="Z957" s="74"/>
      <c r="AA957" s="74"/>
      <c r="AB957" s="74"/>
    </row>
    <row r="958" spans="1:28" ht="12" customHeight="1">
      <c r="A958" s="763"/>
      <c r="B958" s="104"/>
      <c r="C958" s="104"/>
      <c r="D958" s="260"/>
      <c r="E958" s="104"/>
      <c r="F958" s="104"/>
      <c r="G958" s="35"/>
      <c r="H958" s="104"/>
      <c r="I958" s="35"/>
      <c r="J958" s="74"/>
      <c r="K958" s="74"/>
      <c r="L958" s="74"/>
      <c r="M958" s="74"/>
      <c r="N958" s="74"/>
      <c r="O958" s="74"/>
      <c r="P958" s="74"/>
      <c r="Q958" s="74"/>
      <c r="R958" s="74"/>
      <c r="S958" s="74"/>
      <c r="T958" s="74"/>
      <c r="U958" s="74"/>
      <c r="V958" s="74"/>
      <c r="W958" s="74"/>
      <c r="X958" s="74"/>
      <c r="Y958" s="74"/>
      <c r="Z958" s="74"/>
      <c r="AA958" s="74"/>
      <c r="AB958" s="74"/>
    </row>
    <row r="959" spans="1:28" ht="12" customHeight="1">
      <c r="A959" s="763"/>
      <c r="B959" s="104"/>
      <c r="C959" s="104"/>
      <c r="D959" s="260"/>
      <c r="E959" s="104"/>
      <c r="F959" s="104"/>
      <c r="G959" s="35"/>
      <c r="H959" s="104"/>
      <c r="I959" s="35"/>
      <c r="J959" s="74"/>
      <c r="K959" s="74"/>
      <c r="L959" s="74"/>
      <c r="M959" s="74"/>
      <c r="N959" s="74"/>
      <c r="O959" s="74"/>
      <c r="P959" s="74"/>
      <c r="Q959" s="74"/>
      <c r="R959" s="74"/>
      <c r="S959" s="74"/>
      <c r="T959" s="74"/>
      <c r="U959" s="74"/>
      <c r="V959" s="74"/>
      <c r="W959" s="74"/>
      <c r="X959" s="74"/>
      <c r="Y959" s="74"/>
      <c r="Z959" s="74"/>
      <c r="AA959" s="74"/>
      <c r="AB959" s="74"/>
    </row>
    <row r="960" spans="1:28" ht="12" customHeight="1">
      <c r="A960" s="763"/>
      <c r="B960" s="104"/>
      <c r="C960" s="104"/>
      <c r="D960" s="260"/>
      <c r="E960" s="104"/>
      <c r="F960" s="104"/>
      <c r="G960" s="35"/>
      <c r="H960" s="104"/>
      <c r="I960" s="35"/>
      <c r="J960" s="74"/>
      <c r="K960" s="74"/>
      <c r="L960" s="74"/>
      <c r="M960" s="74"/>
      <c r="N960" s="74"/>
      <c r="O960" s="74"/>
      <c r="P960" s="74"/>
      <c r="Q960" s="74"/>
      <c r="R960" s="74"/>
      <c r="S960" s="74"/>
      <c r="T960" s="74"/>
      <c r="U960" s="74"/>
      <c r="V960" s="74"/>
      <c r="W960" s="74"/>
      <c r="X960" s="74"/>
      <c r="Y960" s="74"/>
      <c r="Z960" s="74"/>
      <c r="AA960" s="74"/>
      <c r="AB960" s="74"/>
    </row>
    <row r="961" spans="1:28" ht="12" customHeight="1">
      <c r="A961" s="763"/>
      <c r="B961" s="104"/>
      <c r="C961" s="104"/>
      <c r="D961" s="260"/>
      <c r="E961" s="104"/>
      <c r="F961" s="104"/>
      <c r="G961" s="35"/>
      <c r="H961" s="104"/>
      <c r="I961" s="35"/>
      <c r="J961" s="74"/>
      <c r="K961" s="74"/>
      <c r="L961" s="74"/>
      <c r="M961" s="74"/>
      <c r="N961" s="74"/>
      <c r="O961" s="74"/>
      <c r="P961" s="74"/>
      <c r="Q961" s="74"/>
      <c r="R961" s="74"/>
      <c r="S961" s="74"/>
      <c r="T961" s="74"/>
      <c r="U961" s="74"/>
      <c r="V961" s="74"/>
      <c r="W961" s="74"/>
      <c r="X961" s="74"/>
      <c r="Y961" s="74"/>
      <c r="Z961" s="74"/>
      <c r="AA961" s="74"/>
      <c r="AB961" s="74"/>
    </row>
    <row r="962" spans="1:28" ht="12" customHeight="1">
      <c r="A962" s="763"/>
      <c r="B962" s="104"/>
      <c r="C962" s="104"/>
      <c r="D962" s="260"/>
      <c r="E962" s="104"/>
      <c r="F962" s="104"/>
      <c r="G962" s="35"/>
      <c r="H962" s="104"/>
      <c r="I962" s="35"/>
      <c r="J962" s="74"/>
      <c r="K962" s="74"/>
      <c r="L962" s="74"/>
      <c r="M962" s="74"/>
      <c r="N962" s="74"/>
      <c r="O962" s="74"/>
      <c r="P962" s="74"/>
      <c r="Q962" s="74"/>
      <c r="R962" s="74"/>
      <c r="S962" s="74"/>
      <c r="T962" s="74"/>
      <c r="U962" s="74"/>
      <c r="V962" s="74"/>
      <c r="W962" s="74"/>
      <c r="X962" s="74"/>
      <c r="Y962" s="74"/>
      <c r="Z962" s="74"/>
      <c r="AA962" s="74"/>
      <c r="AB962" s="74"/>
    </row>
    <row r="963" spans="1:28" ht="12" customHeight="1">
      <c r="A963" s="763"/>
      <c r="B963" s="104"/>
      <c r="C963" s="104"/>
      <c r="D963" s="260"/>
      <c r="E963" s="104"/>
      <c r="F963" s="104"/>
      <c r="G963" s="35"/>
      <c r="H963" s="104"/>
      <c r="I963" s="35"/>
      <c r="J963" s="74"/>
      <c r="K963" s="74"/>
      <c r="L963" s="74"/>
      <c r="M963" s="74"/>
      <c r="N963" s="74"/>
      <c r="O963" s="74"/>
      <c r="P963" s="74"/>
      <c r="Q963" s="74"/>
      <c r="R963" s="74"/>
      <c r="S963" s="74"/>
      <c r="T963" s="74"/>
      <c r="U963" s="74"/>
      <c r="V963" s="74"/>
      <c r="W963" s="74"/>
      <c r="X963" s="74"/>
      <c r="Y963" s="74"/>
      <c r="Z963" s="74"/>
      <c r="AA963" s="74"/>
      <c r="AB963" s="74"/>
    </row>
    <row r="964" spans="1:28" ht="12" customHeight="1">
      <c r="A964" s="763"/>
      <c r="B964" s="104"/>
      <c r="C964" s="104"/>
      <c r="D964" s="260"/>
      <c r="E964" s="104"/>
      <c r="F964" s="104"/>
      <c r="G964" s="35"/>
      <c r="H964" s="104"/>
      <c r="I964" s="35"/>
      <c r="J964" s="74"/>
      <c r="K964" s="74"/>
      <c r="L964" s="74"/>
      <c r="M964" s="74"/>
      <c r="N964" s="74"/>
      <c r="O964" s="74"/>
      <c r="P964" s="74"/>
      <c r="Q964" s="74"/>
      <c r="R964" s="74"/>
      <c r="S964" s="74"/>
      <c r="T964" s="74"/>
      <c r="U964" s="74"/>
      <c r="V964" s="74"/>
      <c r="W964" s="74"/>
      <c r="X964" s="74"/>
      <c r="Y964" s="74"/>
      <c r="Z964" s="74"/>
      <c r="AA964" s="74"/>
      <c r="AB964" s="74"/>
    </row>
    <row r="965" spans="1:28" ht="12" customHeight="1">
      <c r="A965" s="763"/>
      <c r="B965" s="104"/>
      <c r="C965" s="104"/>
      <c r="D965" s="260"/>
      <c r="E965" s="104"/>
      <c r="F965" s="104"/>
      <c r="G965" s="35"/>
      <c r="H965" s="104"/>
      <c r="I965" s="35"/>
      <c r="J965" s="74"/>
      <c r="K965" s="74"/>
      <c r="L965" s="74"/>
      <c r="M965" s="74"/>
      <c r="N965" s="74"/>
      <c r="O965" s="74"/>
      <c r="P965" s="74"/>
      <c r="Q965" s="74"/>
      <c r="R965" s="74"/>
      <c r="S965" s="74"/>
      <c r="T965" s="74"/>
      <c r="U965" s="74"/>
      <c r="V965" s="74"/>
      <c r="W965" s="74"/>
      <c r="X965" s="74"/>
      <c r="Y965" s="74"/>
      <c r="Z965" s="74"/>
      <c r="AA965" s="74"/>
      <c r="AB965" s="74"/>
    </row>
    <row r="966" spans="1:28" ht="12" customHeight="1">
      <c r="A966" s="763"/>
      <c r="B966" s="104"/>
      <c r="C966" s="104"/>
      <c r="D966" s="260"/>
      <c r="E966" s="104"/>
      <c r="F966" s="104"/>
      <c r="G966" s="35"/>
      <c r="H966" s="104"/>
      <c r="I966" s="35"/>
      <c r="J966" s="74"/>
      <c r="K966" s="74"/>
      <c r="L966" s="74"/>
      <c r="M966" s="74"/>
      <c r="N966" s="74"/>
      <c r="O966" s="74"/>
      <c r="P966" s="74"/>
      <c r="Q966" s="74"/>
      <c r="R966" s="74"/>
      <c r="S966" s="74"/>
      <c r="T966" s="74"/>
      <c r="U966" s="74"/>
      <c r="V966" s="74"/>
      <c r="W966" s="74"/>
      <c r="X966" s="74"/>
      <c r="Y966" s="74"/>
      <c r="Z966" s="74"/>
      <c r="AA966" s="74"/>
      <c r="AB966" s="74"/>
    </row>
    <row r="967" spans="1:28" ht="12" customHeight="1">
      <c r="A967" s="763"/>
      <c r="B967" s="104"/>
      <c r="C967" s="104"/>
      <c r="D967" s="260"/>
      <c r="E967" s="104"/>
      <c r="F967" s="104"/>
      <c r="G967" s="35"/>
      <c r="H967" s="104"/>
      <c r="I967" s="35"/>
      <c r="J967" s="74"/>
      <c r="K967" s="74"/>
      <c r="L967" s="74"/>
      <c r="M967" s="74"/>
      <c r="N967" s="74"/>
      <c r="O967" s="74"/>
      <c r="P967" s="74"/>
      <c r="Q967" s="74"/>
      <c r="R967" s="74"/>
      <c r="S967" s="74"/>
      <c r="T967" s="74"/>
      <c r="U967" s="74"/>
      <c r="V967" s="74"/>
      <c r="W967" s="74"/>
      <c r="X967" s="74"/>
      <c r="Y967" s="74"/>
      <c r="Z967" s="74"/>
      <c r="AA967" s="74"/>
      <c r="AB967" s="74"/>
    </row>
    <row r="968" spans="1:28" ht="12" customHeight="1">
      <c r="A968" s="763"/>
      <c r="B968" s="104"/>
      <c r="C968" s="104"/>
      <c r="D968" s="260"/>
      <c r="E968" s="104"/>
      <c r="F968" s="104"/>
      <c r="G968" s="35"/>
      <c r="H968" s="104"/>
      <c r="I968" s="35"/>
      <c r="J968" s="74"/>
      <c r="K968" s="74"/>
      <c r="L968" s="74"/>
      <c r="M968" s="74"/>
      <c r="N968" s="74"/>
      <c r="O968" s="74"/>
      <c r="P968" s="74"/>
      <c r="Q968" s="74"/>
      <c r="R968" s="74"/>
      <c r="S968" s="74"/>
      <c r="T968" s="74"/>
      <c r="U968" s="74"/>
      <c r="V968" s="74"/>
      <c r="W968" s="74"/>
      <c r="X968" s="74"/>
      <c r="Y968" s="74"/>
      <c r="Z968" s="74"/>
      <c r="AA968" s="74"/>
      <c r="AB968" s="74"/>
    </row>
    <row r="969" spans="1:28" ht="12" customHeight="1">
      <c r="A969" s="763"/>
      <c r="B969" s="104"/>
      <c r="C969" s="104"/>
      <c r="D969" s="260"/>
      <c r="E969" s="104"/>
      <c r="F969" s="104"/>
      <c r="G969" s="35"/>
      <c r="H969" s="104"/>
      <c r="I969" s="35"/>
      <c r="J969" s="74"/>
      <c r="K969" s="74"/>
      <c r="L969" s="74"/>
      <c r="M969" s="74"/>
      <c r="N969" s="74"/>
      <c r="O969" s="74"/>
      <c r="P969" s="74"/>
      <c r="Q969" s="74"/>
      <c r="R969" s="74"/>
      <c r="S969" s="74"/>
      <c r="T969" s="74"/>
      <c r="U969" s="74"/>
      <c r="V969" s="74"/>
      <c r="W969" s="74"/>
      <c r="X969" s="74"/>
      <c r="Y969" s="74"/>
      <c r="Z969" s="74"/>
      <c r="AA969" s="74"/>
      <c r="AB969" s="74"/>
    </row>
    <row r="970" spans="1:28" ht="12" customHeight="1">
      <c r="A970" s="763"/>
      <c r="B970" s="104"/>
      <c r="C970" s="104"/>
      <c r="D970" s="260"/>
      <c r="E970" s="104"/>
      <c r="F970" s="104"/>
      <c r="G970" s="35"/>
      <c r="H970" s="104"/>
      <c r="I970" s="35"/>
      <c r="J970" s="74"/>
      <c r="K970" s="74"/>
      <c r="L970" s="74"/>
      <c r="M970" s="74"/>
      <c r="N970" s="74"/>
      <c r="O970" s="74"/>
      <c r="P970" s="74"/>
      <c r="Q970" s="74"/>
      <c r="R970" s="74"/>
      <c r="S970" s="74"/>
      <c r="T970" s="74"/>
      <c r="U970" s="74"/>
      <c r="V970" s="74"/>
      <c r="W970" s="74"/>
      <c r="X970" s="74"/>
      <c r="Y970" s="74"/>
      <c r="Z970" s="74"/>
      <c r="AA970" s="74"/>
      <c r="AB970" s="74"/>
    </row>
    <row r="971" spans="1:28" ht="12" customHeight="1">
      <c r="A971" s="763"/>
      <c r="B971" s="104"/>
      <c r="C971" s="104"/>
      <c r="D971" s="260"/>
      <c r="E971" s="104"/>
      <c r="F971" s="104"/>
      <c r="G971" s="35"/>
      <c r="H971" s="104"/>
      <c r="I971" s="35"/>
      <c r="J971" s="74"/>
      <c r="K971" s="74"/>
      <c r="L971" s="74"/>
      <c r="M971" s="74"/>
      <c r="N971" s="74"/>
      <c r="O971" s="74"/>
      <c r="P971" s="74"/>
      <c r="Q971" s="74"/>
      <c r="R971" s="74"/>
      <c r="S971" s="74"/>
      <c r="T971" s="74"/>
      <c r="U971" s="74"/>
      <c r="V971" s="74"/>
      <c r="W971" s="74"/>
      <c r="X971" s="74"/>
      <c r="Y971" s="74"/>
      <c r="Z971" s="74"/>
      <c r="AA971" s="74"/>
      <c r="AB971" s="74"/>
    </row>
    <row r="972" spans="1:28" ht="12" customHeight="1">
      <c r="A972" s="763"/>
      <c r="B972" s="104"/>
      <c r="C972" s="104"/>
      <c r="D972" s="260"/>
      <c r="E972" s="104"/>
      <c r="F972" s="104"/>
      <c r="G972" s="35"/>
      <c r="H972" s="104"/>
      <c r="I972" s="35"/>
      <c r="J972" s="74"/>
      <c r="K972" s="74"/>
      <c r="L972" s="74"/>
      <c r="M972" s="74"/>
      <c r="N972" s="74"/>
      <c r="O972" s="74"/>
      <c r="P972" s="74"/>
      <c r="Q972" s="74"/>
      <c r="R972" s="74"/>
      <c r="S972" s="74"/>
      <c r="T972" s="74"/>
      <c r="U972" s="74"/>
      <c r="V972" s="74"/>
      <c r="W972" s="74"/>
      <c r="X972" s="74"/>
      <c r="Y972" s="74"/>
      <c r="Z972" s="74"/>
      <c r="AA972" s="74"/>
      <c r="AB972" s="74"/>
    </row>
    <row r="973" spans="1:28" ht="12" customHeight="1">
      <c r="A973" s="763"/>
      <c r="B973" s="104"/>
      <c r="C973" s="104"/>
      <c r="D973" s="260"/>
      <c r="E973" s="104"/>
      <c r="F973" s="104"/>
      <c r="G973" s="35"/>
      <c r="H973" s="104"/>
      <c r="I973" s="35"/>
      <c r="J973" s="74"/>
      <c r="K973" s="74"/>
      <c r="L973" s="74"/>
      <c r="M973" s="74"/>
      <c r="N973" s="74"/>
      <c r="O973" s="74"/>
      <c r="P973" s="74"/>
      <c r="Q973" s="74"/>
      <c r="R973" s="74"/>
      <c r="S973" s="74"/>
      <c r="T973" s="74"/>
      <c r="U973" s="74"/>
      <c r="V973" s="74"/>
      <c r="W973" s="74"/>
      <c r="X973" s="74"/>
      <c r="Y973" s="74"/>
      <c r="Z973" s="74"/>
      <c r="AA973" s="74"/>
      <c r="AB973" s="74"/>
    </row>
    <row r="974" spans="1:28" ht="12" customHeight="1">
      <c r="A974" s="763"/>
      <c r="B974" s="104"/>
      <c r="C974" s="104"/>
      <c r="D974" s="260"/>
      <c r="E974" s="104"/>
      <c r="F974" s="104"/>
      <c r="G974" s="35"/>
      <c r="H974" s="104"/>
      <c r="I974" s="35"/>
      <c r="J974" s="74"/>
      <c r="K974" s="74"/>
      <c r="L974" s="74"/>
      <c r="M974" s="74"/>
      <c r="N974" s="74"/>
      <c r="O974" s="74"/>
      <c r="P974" s="74"/>
      <c r="Q974" s="74"/>
      <c r="R974" s="74"/>
      <c r="S974" s="74"/>
      <c r="T974" s="74"/>
      <c r="U974" s="74"/>
      <c r="V974" s="74"/>
      <c r="W974" s="74"/>
      <c r="X974" s="74"/>
      <c r="Y974" s="74"/>
      <c r="Z974" s="74"/>
      <c r="AA974" s="74"/>
      <c r="AB974" s="74"/>
    </row>
    <row r="975" spans="1:28" ht="12" customHeight="1">
      <c r="A975" s="763"/>
      <c r="B975" s="104"/>
      <c r="C975" s="104"/>
      <c r="D975" s="260"/>
      <c r="E975" s="104"/>
      <c r="F975" s="104"/>
      <c r="G975" s="35"/>
      <c r="H975" s="104"/>
      <c r="I975" s="35"/>
      <c r="J975" s="74"/>
      <c r="K975" s="74"/>
      <c r="L975" s="74"/>
      <c r="M975" s="74"/>
      <c r="N975" s="74"/>
      <c r="O975" s="74"/>
      <c r="P975" s="74"/>
      <c r="Q975" s="74"/>
      <c r="R975" s="74"/>
      <c r="S975" s="74"/>
      <c r="T975" s="74"/>
      <c r="U975" s="74"/>
      <c r="V975" s="74"/>
      <c r="W975" s="74"/>
      <c r="X975" s="74"/>
      <c r="Y975" s="74"/>
      <c r="Z975" s="74"/>
      <c r="AA975" s="74"/>
      <c r="AB975" s="74"/>
    </row>
    <row r="976" spans="1:28" ht="12" customHeight="1">
      <c r="A976" s="763"/>
      <c r="B976" s="104"/>
      <c r="C976" s="104"/>
      <c r="D976" s="260"/>
      <c r="E976" s="104"/>
      <c r="F976" s="104"/>
      <c r="G976" s="35"/>
      <c r="H976" s="104"/>
      <c r="I976" s="35"/>
      <c r="J976" s="74"/>
      <c r="K976" s="74"/>
      <c r="L976" s="74"/>
      <c r="M976" s="74"/>
      <c r="N976" s="74"/>
      <c r="O976" s="74"/>
      <c r="P976" s="74"/>
      <c r="Q976" s="74"/>
      <c r="R976" s="74"/>
      <c r="S976" s="74"/>
      <c r="T976" s="74"/>
      <c r="U976" s="74"/>
      <c r="V976" s="74"/>
      <c r="W976" s="74"/>
      <c r="X976" s="74"/>
      <c r="Y976" s="74"/>
      <c r="Z976" s="74"/>
      <c r="AA976" s="74"/>
      <c r="AB976" s="74"/>
    </row>
    <row r="977" spans="1:28" ht="12" customHeight="1">
      <c r="A977" s="763"/>
      <c r="B977" s="104"/>
      <c r="C977" s="104"/>
      <c r="D977" s="260"/>
      <c r="E977" s="104"/>
      <c r="F977" s="104"/>
      <c r="G977" s="35"/>
      <c r="H977" s="104"/>
      <c r="I977" s="35"/>
      <c r="J977" s="74"/>
      <c r="K977" s="74"/>
      <c r="L977" s="74"/>
      <c r="M977" s="74"/>
      <c r="N977" s="74"/>
      <c r="O977" s="74"/>
      <c r="P977" s="74"/>
      <c r="Q977" s="74"/>
      <c r="R977" s="74"/>
      <c r="S977" s="74"/>
      <c r="T977" s="74"/>
      <c r="U977" s="74"/>
      <c r="V977" s="74"/>
      <c r="W977" s="74"/>
      <c r="X977" s="74"/>
      <c r="Y977" s="74"/>
      <c r="Z977" s="74"/>
      <c r="AA977" s="74"/>
      <c r="AB977" s="74"/>
    </row>
    <row r="978" spans="1:28" ht="12" customHeight="1">
      <c r="A978" s="763"/>
      <c r="B978" s="104"/>
      <c r="C978" s="104"/>
      <c r="D978" s="260"/>
      <c r="E978" s="104"/>
      <c r="F978" s="104"/>
      <c r="G978" s="35"/>
      <c r="H978" s="104"/>
      <c r="I978" s="35"/>
      <c r="J978" s="74"/>
      <c r="K978" s="74"/>
      <c r="L978" s="74"/>
      <c r="M978" s="74"/>
      <c r="N978" s="74"/>
      <c r="O978" s="74"/>
      <c r="P978" s="74"/>
      <c r="Q978" s="74"/>
      <c r="R978" s="74"/>
      <c r="S978" s="74"/>
      <c r="T978" s="74"/>
      <c r="U978" s="74"/>
      <c r="V978" s="74"/>
      <c r="W978" s="74"/>
      <c r="X978" s="74"/>
      <c r="Y978" s="74"/>
      <c r="Z978" s="74"/>
      <c r="AA978" s="74"/>
      <c r="AB978" s="74"/>
    </row>
    <row r="979" spans="1:28" ht="12" customHeight="1">
      <c r="A979" s="763"/>
      <c r="B979" s="104"/>
      <c r="C979" s="104"/>
      <c r="D979" s="260"/>
      <c r="E979" s="104"/>
      <c r="F979" s="104"/>
      <c r="G979" s="35"/>
      <c r="H979" s="104"/>
      <c r="I979" s="35"/>
      <c r="J979" s="74"/>
      <c r="K979" s="74"/>
      <c r="L979" s="74"/>
      <c r="M979" s="74"/>
      <c r="N979" s="74"/>
      <c r="O979" s="74"/>
      <c r="P979" s="74"/>
      <c r="Q979" s="74"/>
      <c r="R979" s="74"/>
      <c r="S979" s="74"/>
      <c r="T979" s="74"/>
      <c r="U979" s="74"/>
      <c r="V979" s="74"/>
      <c r="W979" s="74"/>
      <c r="X979" s="74"/>
      <c r="Y979" s="74"/>
      <c r="Z979" s="74"/>
      <c r="AA979" s="74"/>
      <c r="AB979" s="74"/>
    </row>
    <row r="980" spans="1:28" ht="12" customHeight="1">
      <c r="A980" s="763"/>
      <c r="B980" s="104"/>
      <c r="C980" s="104"/>
      <c r="D980" s="260"/>
      <c r="E980" s="104"/>
      <c r="F980" s="104"/>
      <c r="G980" s="35"/>
      <c r="H980" s="104"/>
      <c r="I980" s="35"/>
      <c r="J980" s="74"/>
      <c r="K980" s="74"/>
      <c r="L980" s="74"/>
      <c r="M980" s="74"/>
      <c r="N980" s="74"/>
      <c r="O980" s="74"/>
      <c r="P980" s="74"/>
      <c r="Q980" s="74"/>
      <c r="R980" s="74"/>
      <c r="S980" s="74"/>
      <c r="T980" s="74"/>
      <c r="U980" s="74"/>
      <c r="V980" s="74"/>
      <c r="W980" s="74"/>
      <c r="X980" s="74"/>
      <c r="Y980" s="74"/>
      <c r="Z980" s="74"/>
      <c r="AA980" s="74"/>
      <c r="AB980" s="74"/>
    </row>
    <row r="981" spans="1:28" ht="12" customHeight="1">
      <c r="A981" s="763"/>
      <c r="B981" s="104"/>
      <c r="C981" s="104"/>
      <c r="D981" s="260"/>
      <c r="E981" s="104"/>
      <c r="F981" s="104"/>
      <c r="G981" s="35"/>
      <c r="H981" s="104"/>
      <c r="I981" s="35"/>
      <c r="J981" s="74"/>
      <c r="K981" s="74"/>
      <c r="L981" s="74"/>
      <c r="M981" s="74"/>
      <c r="N981" s="74"/>
      <c r="O981" s="74"/>
      <c r="P981" s="74"/>
      <c r="Q981" s="74"/>
      <c r="R981" s="74"/>
      <c r="S981" s="74"/>
      <c r="T981" s="74"/>
      <c r="U981" s="74"/>
      <c r="V981" s="74"/>
      <c r="W981" s="74"/>
      <c r="X981" s="74"/>
      <c r="Y981" s="74"/>
      <c r="Z981" s="74"/>
      <c r="AA981" s="74"/>
      <c r="AB981" s="74"/>
    </row>
    <row r="982" spans="1:28" ht="12" customHeight="1">
      <c r="A982" s="763"/>
      <c r="B982" s="104"/>
      <c r="C982" s="104"/>
      <c r="D982" s="260"/>
      <c r="E982" s="104"/>
      <c r="F982" s="104"/>
      <c r="G982" s="35"/>
      <c r="H982" s="104"/>
      <c r="I982" s="35"/>
      <c r="J982" s="74"/>
      <c r="K982" s="74"/>
      <c r="L982" s="74"/>
      <c r="M982" s="74"/>
      <c r="N982" s="74"/>
      <c r="O982" s="74"/>
      <c r="P982" s="74"/>
      <c r="Q982" s="74"/>
      <c r="R982" s="74"/>
      <c r="S982" s="74"/>
      <c r="T982" s="74"/>
      <c r="U982" s="74"/>
      <c r="V982" s="74"/>
      <c r="W982" s="74"/>
      <c r="X982" s="74"/>
      <c r="Y982" s="74"/>
      <c r="Z982" s="74"/>
      <c r="AA982" s="74"/>
      <c r="AB982" s="74"/>
    </row>
    <row r="983" spans="1:28" ht="12" customHeight="1">
      <c r="A983" s="763"/>
      <c r="B983" s="104"/>
      <c r="C983" s="104"/>
      <c r="D983" s="260"/>
      <c r="E983" s="104"/>
      <c r="F983" s="104"/>
      <c r="G983" s="35"/>
      <c r="H983" s="104"/>
      <c r="I983" s="35"/>
      <c r="J983" s="74"/>
      <c r="K983" s="74"/>
      <c r="L983" s="74"/>
      <c r="M983" s="74"/>
      <c r="N983" s="74"/>
      <c r="O983" s="74"/>
      <c r="P983" s="74"/>
      <c r="Q983" s="74"/>
      <c r="R983" s="74"/>
      <c r="S983" s="74"/>
      <c r="T983" s="74"/>
      <c r="U983" s="74"/>
      <c r="V983" s="74"/>
      <c r="W983" s="74"/>
      <c r="X983" s="74"/>
      <c r="Y983" s="74"/>
      <c r="Z983" s="74"/>
      <c r="AA983" s="74"/>
      <c r="AB983" s="74"/>
    </row>
    <row r="984" spans="1:28" ht="12" customHeight="1">
      <c r="A984" s="763"/>
      <c r="B984" s="104"/>
      <c r="C984" s="104"/>
      <c r="D984" s="260"/>
      <c r="E984" s="104"/>
      <c r="F984" s="104"/>
      <c r="G984" s="35"/>
      <c r="H984" s="104"/>
      <c r="I984" s="35"/>
      <c r="J984" s="74"/>
      <c r="K984" s="74"/>
      <c r="L984" s="74"/>
      <c r="M984" s="74"/>
      <c r="N984" s="74"/>
      <c r="O984" s="74"/>
      <c r="P984" s="74"/>
      <c r="Q984" s="74"/>
      <c r="R984" s="74"/>
      <c r="S984" s="74"/>
      <c r="T984" s="74"/>
      <c r="U984" s="74"/>
      <c r="V984" s="74"/>
      <c r="W984" s="74"/>
      <c r="X984" s="74"/>
      <c r="Y984" s="74"/>
      <c r="Z984" s="74"/>
      <c r="AA984" s="74"/>
      <c r="AB984" s="74"/>
    </row>
    <row r="985" spans="1:28" ht="12" customHeight="1">
      <c r="A985" s="763"/>
      <c r="B985" s="104"/>
      <c r="C985" s="104"/>
      <c r="D985" s="260"/>
      <c r="E985" s="104"/>
      <c r="F985" s="104"/>
      <c r="G985" s="35"/>
      <c r="H985" s="104"/>
      <c r="I985" s="35"/>
      <c r="J985" s="74"/>
      <c r="K985" s="74"/>
      <c r="L985" s="74"/>
      <c r="M985" s="74"/>
      <c r="N985" s="74"/>
      <c r="O985" s="74"/>
      <c r="P985" s="74"/>
      <c r="Q985" s="74"/>
      <c r="R985" s="74"/>
      <c r="S985" s="74"/>
      <c r="T985" s="74"/>
      <c r="U985" s="74"/>
      <c r="V985" s="74"/>
      <c r="W985" s="74"/>
      <c r="X985" s="74"/>
      <c r="Y985" s="74"/>
      <c r="Z985" s="74"/>
      <c r="AA985" s="74"/>
      <c r="AB985" s="74"/>
    </row>
    <row r="986" spans="1:28" ht="12" customHeight="1">
      <c r="A986" s="763"/>
      <c r="B986" s="104"/>
      <c r="C986" s="104"/>
      <c r="D986" s="260"/>
      <c r="E986" s="104"/>
      <c r="F986" s="104"/>
      <c r="G986" s="35"/>
      <c r="H986" s="104"/>
      <c r="I986" s="35"/>
      <c r="J986" s="74"/>
      <c r="K986" s="74"/>
      <c r="L986" s="74"/>
      <c r="M986" s="74"/>
      <c r="N986" s="74"/>
      <c r="O986" s="74"/>
      <c r="P986" s="74"/>
      <c r="Q986" s="74"/>
      <c r="R986" s="74"/>
      <c r="S986" s="74"/>
      <c r="T986" s="74"/>
      <c r="U986" s="74"/>
      <c r="V986" s="74"/>
      <c r="W986" s="74"/>
      <c r="X986" s="74"/>
      <c r="Y986" s="74"/>
      <c r="Z986" s="74"/>
      <c r="AA986" s="74"/>
      <c r="AB986" s="74"/>
    </row>
    <row r="987" spans="1:28" ht="12" customHeight="1">
      <c r="A987" s="763"/>
      <c r="B987" s="104"/>
      <c r="C987" s="104"/>
      <c r="D987" s="260"/>
      <c r="E987" s="104"/>
      <c r="F987" s="104"/>
      <c r="G987" s="35"/>
      <c r="H987" s="104"/>
      <c r="I987" s="35"/>
      <c r="J987" s="74"/>
      <c r="K987" s="74"/>
      <c r="L987" s="74"/>
      <c r="M987" s="74"/>
      <c r="N987" s="74"/>
      <c r="O987" s="74"/>
      <c r="P987" s="74"/>
      <c r="Q987" s="74"/>
      <c r="R987" s="74"/>
      <c r="S987" s="74"/>
      <c r="T987" s="74"/>
      <c r="U987" s="74"/>
      <c r="V987" s="74"/>
      <c r="W987" s="74"/>
      <c r="X987" s="74"/>
      <c r="Y987" s="74"/>
      <c r="Z987" s="74"/>
      <c r="AA987" s="74"/>
      <c r="AB987" s="74"/>
    </row>
    <row r="988" spans="1:28" ht="12" customHeight="1">
      <c r="A988" s="763"/>
      <c r="B988" s="104"/>
      <c r="C988" s="104"/>
      <c r="D988" s="260"/>
      <c r="E988" s="104"/>
      <c r="F988" s="104"/>
      <c r="G988" s="35"/>
      <c r="H988" s="104"/>
      <c r="I988" s="35"/>
      <c r="J988" s="74"/>
      <c r="K988" s="74"/>
      <c r="L988" s="74"/>
      <c r="M988" s="74"/>
      <c r="N988" s="74"/>
      <c r="O988" s="74"/>
      <c r="P988" s="74"/>
      <c r="Q988" s="74"/>
      <c r="R988" s="74"/>
      <c r="S988" s="74"/>
      <c r="T988" s="74"/>
      <c r="U988" s="74"/>
      <c r="V988" s="74"/>
      <c r="W988" s="74"/>
      <c r="X988" s="74"/>
      <c r="Y988" s="74"/>
      <c r="Z988" s="74"/>
      <c r="AA988" s="74"/>
      <c r="AB988" s="74"/>
    </row>
    <row r="989" spans="1:28" ht="12" customHeight="1">
      <c r="A989" s="763"/>
      <c r="B989" s="104"/>
      <c r="C989" s="104"/>
      <c r="D989" s="260"/>
      <c r="E989" s="104"/>
      <c r="F989" s="104"/>
      <c r="G989" s="35"/>
      <c r="H989" s="104"/>
      <c r="I989" s="35"/>
      <c r="J989" s="74"/>
      <c r="K989" s="74"/>
      <c r="L989" s="74"/>
      <c r="M989" s="74"/>
      <c r="N989" s="74"/>
      <c r="O989" s="74"/>
      <c r="P989" s="74"/>
      <c r="Q989" s="74"/>
      <c r="R989" s="74"/>
      <c r="S989" s="74"/>
      <c r="T989" s="74"/>
      <c r="U989" s="74"/>
      <c r="V989" s="74"/>
      <c r="W989" s="74"/>
      <c r="X989" s="74"/>
      <c r="Y989" s="74"/>
      <c r="Z989" s="74"/>
      <c r="AA989" s="74"/>
      <c r="AB989" s="74"/>
    </row>
    <row r="990" spans="1:28" ht="12" customHeight="1">
      <c r="A990" s="763"/>
      <c r="B990" s="104"/>
      <c r="C990" s="104"/>
      <c r="D990" s="260"/>
      <c r="E990" s="104"/>
      <c r="F990" s="104"/>
      <c r="G990" s="35"/>
      <c r="H990" s="104"/>
      <c r="I990" s="35"/>
      <c r="J990" s="74"/>
      <c r="K990" s="74"/>
      <c r="L990" s="74"/>
      <c r="M990" s="74"/>
      <c r="N990" s="74"/>
      <c r="O990" s="74"/>
      <c r="P990" s="74"/>
      <c r="Q990" s="74"/>
      <c r="R990" s="74"/>
      <c r="S990" s="74"/>
      <c r="T990" s="74"/>
      <c r="U990" s="74"/>
      <c r="V990" s="74"/>
      <c r="W990" s="74"/>
      <c r="X990" s="74"/>
      <c r="Y990" s="74"/>
      <c r="Z990" s="74"/>
      <c r="AA990" s="74"/>
      <c r="AB990" s="74"/>
    </row>
    <row r="991" spans="1:28" ht="12" customHeight="1">
      <c r="A991" s="763"/>
      <c r="B991" s="104"/>
      <c r="C991" s="104"/>
      <c r="D991" s="260"/>
      <c r="E991" s="104"/>
      <c r="F991" s="104"/>
      <c r="G991" s="35"/>
      <c r="H991" s="104"/>
      <c r="I991" s="35"/>
      <c r="J991" s="74"/>
      <c r="K991" s="74"/>
      <c r="L991" s="74"/>
      <c r="M991" s="74"/>
      <c r="N991" s="74"/>
      <c r="O991" s="74"/>
      <c r="P991" s="74"/>
      <c r="Q991" s="74"/>
      <c r="R991" s="74"/>
      <c r="S991" s="74"/>
      <c r="T991" s="74"/>
      <c r="U991" s="74"/>
      <c r="V991" s="74"/>
      <c r="W991" s="74"/>
      <c r="X991" s="74"/>
      <c r="Y991" s="74"/>
      <c r="Z991" s="74"/>
      <c r="AA991" s="74"/>
      <c r="AB991" s="74"/>
    </row>
    <row r="992" spans="1:28" ht="12" customHeight="1">
      <c r="A992" s="763"/>
      <c r="B992" s="104"/>
      <c r="C992" s="104"/>
      <c r="D992" s="260"/>
      <c r="E992" s="104"/>
      <c r="F992" s="104"/>
      <c r="G992" s="35"/>
      <c r="H992" s="104"/>
      <c r="I992" s="35"/>
      <c r="J992" s="74"/>
      <c r="K992" s="74"/>
      <c r="L992" s="74"/>
      <c r="M992" s="74"/>
      <c r="N992" s="74"/>
      <c r="O992" s="74"/>
      <c r="P992" s="74"/>
      <c r="Q992" s="74"/>
      <c r="R992" s="74"/>
      <c r="S992" s="74"/>
      <c r="T992" s="74"/>
      <c r="U992" s="74"/>
      <c r="V992" s="74"/>
      <c r="W992" s="74"/>
      <c r="X992" s="74"/>
      <c r="Y992" s="74"/>
      <c r="Z992" s="74"/>
      <c r="AA992" s="74"/>
      <c r="AB992" s="74"/>
    </row>
    <row r="993" spans="1:28" ht="12" customHeight="1">
      <c r="A993" s="763"/>
      <c r="B993" s="104"/>
      <c r="C993" s="104"/>
      <c r="D993" s="260"/>
      <c r="E993" s="104"/>
      <c r="F993" s="104"/>
      <c r="G993" s="35"/>
      <c r="H993" s="104"/>
      <c r="I993" s="35"/>
      <c r="J993" s="74"/>
      <c r="K993" s="74"/>
      <c r="L993" s="74"/>
      <c r="M993" s="74"/>
      <c r="N993" s="74"/>
      <c r="O993" s="74"/>
      <c r="P993" s="74"/>
      <c r="Q993" s="74"/>
      <c r="R993" s="74"/>
      <c r="S993" s="74"/>
      <c r="T993" s="74"/>
      <c r="U993" s="74"/>
      <c r="V993" s="74"/>
      <c r="W993" s="74"/>
      <c r="X993" s="74"/>
      <c r="Y993" s="74"/>
      <c r="Z993" s="74"/>
      <c r="AA993" s="74"/>
      <c r="AB993" s="74"/>
    </row>
    <row r="994" spans="1:28" ht="12" customHeight="1">
      <c r="A994" s="763"/>
      <c r="B994" s="104"/>
      <c r="C994" s="104"/>
      <c r="D994" s="260"/>
      <c r="E994" s="104"/>
      <c r="F994" s="104"/>
      <c r="G994" s="35"/>
      <c r="H994" s="104"/>
      <c r="I994" s="35"/>
      <c r="J994" s="74"/>
      <c r="K994" s="74"/>
      <c r="L994" s="74"/>
      <c r="M994" s="74"/>
      <c r="N994" s="74"/>
      <c r="O994" s="74"/>
      <c r="P994" s="74"/>
      <c r="Q994" s="74"/>
      <c r="R994" s="74"/>
      <c r="S994" s="74"/>
      <c r="T994" s="74"/>
      <c r="U994" s="74"/>
      <c r="V994" s="74"/>
      <c r="W994" s="74"/>
      <c r="X994" s="74"/>
      <c r="Y994" s="74"/>
      <c r="Z994" s="74"/>
      <c r="AA994" s="74"/>
      <c r="AB994" s="74"/>
    </row>
    <row r="995" spans="1:28" ht="12" customHeight="1">
      <c r="A995" s="763"/>
      <c r="B995" s="104"/>
      <c r="C995" s="104"/>
      <c r="D995" s="260"/>
      <c r="E995" s="104"/>
      <c r="F995" s="104"/>
      <c r="G995" s="35"/>
      <c r="H995" s="104"/>
      <c r="I995" s="35"/>
      <c r="J995" s="74"/>
      <c r="K995" s="74"/>
      <c r="L995" s="74"/>
      <c r="M995" s="74"/>
      <c r="N995" s="74"/>
      <c r="O995" s="74"/>
      <c r="P995" s="74"/>
      <c r="Q995" s="74"/>
      <c r="R995" s="74"/>
      <c r="S995" s="74"/>
      <c r="T995" s="74"/>
      <c r="U995" s="74"/>
      <c r="V995" s="74"/>
      <c r="W995" s="74"/>
      <c r="X995" s="74"/>
      <c r="Y995" s="74"/>
      <c r="Z995" s="74"/>
      <c r="AA995" s="74"/>
      <c r="AB995" s="74"/>
    </row>
    <row r="996" spans="1:28" ht="12" customHeight="1">
      <c r="A996" s="763"/>
      <c r="B996" s="104"/>
      <c r="C996" s="104"/>
      <c r="D996" s="260"/>
      <c r="E996" s="104"/>
      <c r="F996" s="104"/>
      <c r="G996" s="35"/>
      <c r="H996" s="104"/>
      <c r="I996" s="35"/>
      <c r="J996" s="74"/>
      <c r="K996" s="74"/>
      <c r="L996" s="74"/>
      <c r="M996" s="74"/>
      <c r="N996" s="74"/>
      <c r="O996" s="74"/>
      <c r="P996" s="74"/>
      <c r="Q996" s="74"/>
      <c r="R996" s="74"/>
      <c r="S996" s="74"/>
      <c r="T996" s="74"/>
      <c r="U996" s="74"/>
      <c r="V996" s="74"/>
      <c r="W996" s="74"/>
      <c r="X996" s="74"/>
      <c r="Y996" s="74"/>
      <c r="Z996" s="74"/>
      <c r="AA996" s="74"/>
      <c r="AB996" s="74"/>
    </row>
    <row r="997" spans="1:28" ht="12" customHeight="1">
      <c r="A997" s="763"/>
      <c r="B997" s="104"/>
      <c r="C997" s="104"/>
      <c r="D997" s="260"/>
      <c r="E997" s="104"/>
      <c r="F997" s="104"/>
      <c r="G997" s="35"/>
      <c r="H997" s="104"/>
      <c r="I997" s="35"/>
      <c r="J997" s="74"/>
      <c r="K997" s="74"/>
      <c r="L997" s="74"/>
      <c r="M997" s="74"/>
      <c r="N997" s="74"/>
      <c r="O997" s="74"/>
      <c r="P997" s="74"/>
      <c r="Q997" s="74"/>
      <c r="R997" s="74"/>
      <c r="S997" s="74"/>
      <c r="T997" s="74"/>
      <c r="U997" s="74"/>
      <c r="V997" s="74"/>
      <c r="W997" s="74"/>
      <c r="X997" s="74"/>
      <c r="Y997" s="74"/>
      <c r="Z997" s="74"/>
      <c r="AA997" s="74"/>
      <c r="AB997" s="74"/>
    </row>
    <row r="998" spans="1:28" ht="12" customHeight="1">
      <c r="A998" s="763"/>
      <c r="B998" s="104"/>
      <c r="C998" s="104"/>
      <c r="D998" s="260"/>
      <c r="E998" s="104"/>
      <c r="F998" s="104"/>
      <c r="G998" s="35"/>
      <c r="H998" s="104"/>
      <c r="I998" s="35"/>
      <c r="J998" s="74"/>
      <c r="K998" s="74"/>
      <c r="L998" s="74"/>
      <c r="M998" s="74"/>
      <c r="N998" s="74"/>
      <c r="O998" s="74"/>
      <c r="P998" s="74"/>
      <c r="Q998" s="74"/>
      <c r="R998" s="74"/>
      <c r="S998" s="74"/>
      <c r="T998" s="74"/>
      <c r="U998" s="74"/>
      <c r="V998" s="74"/>
      <c r="W998" s="74"/>
      <c r="X998" s="74"/>
      <c r="Y998" s="74"/>
      <c r="Z998" s="74"/>
      <c r="AA998" s="74"/>
      <c r="AB998" s="74"/>
    </row>
    <row r="999" spans="1:28" ht="12" customHeight="1">
      <c r="A999" s="763"/>
      <c r="B999" s="104"/>
      <c r="C999" s="104"/>
      <c r="D999" s="260"/>
      <c r="E999" s="104"/>
      <c r="F999" s="104"/>
      <c r="G999" s="35"/>
      <c r="H999" s="104"/>
      <c r="I999" s="35"/>
      <c r="J999" s="74"/>
      <c r="K999" s="74"/>
      <c r="L999" s="74"/>
      <c r="M999" s="74"/>
      <c r="N999" s="74"/>
      <c r="O999" s="74"/>
      <c r="P999" s="74"/>
      <c r="Q999" s="74"/>
      <c r="R999" s="74"/>
      <c r="S999" s="74"/>
      <c r="T999" s="74"/>
      <c r="U999" s="74"/>
      <c r="V999" s="74"/>
      <c r="W999" s="74"/>
      <c r="X999" s="74"/>
      <c r="Y999" s="74"/>
      <c r="Z999" s="74"/>
      <c r="AA999" s="74"/>
      <c r="AB999" s="74"/>
    </row>
    <row r="1000" spans="1:28" ht="12" customHeight="1">
      <c r="A1000" s="763"/>
      <c r="B1000" s="104"/>
      <c r="C1000" s="104"/>
      <c r="D1000" s="260"/>
      <c r="E1000" s="104"/>
      <c r="F1000" s="104"/>
      <c r="G1000" s="35"/>
      <c r="H1000" s="104"/>
      <c r="I1000" s="35"/>
      <c r="J1000" s="74"/>
      <c r="K1000" s="74"/>
      <c r="L1000" s="74"/>
      <c r="M1000" s="74"/>
      <c r="N1000" s="74"/>
      <c r="O1000" s="74"/>
      <c r="P1000" s="74"/>
      <c r="Q1000" s="74"/>
      <c r="R1000" s="74"/>
      <c r="S1000" s="74"/>
      <c r="T1000" s="74"/>
      <c r="U1000" s="74"/>
      <c r="V1000" s="74"/>
      <c r="W1000" s="74"/>
      <c r="X1000" s="74"/>
      <c r="Y1000" s="74"/>
      <c r="Z1000" s="74"/>
      <c r="AA1000" s="74"/>
      <c r="AB1000" s="74"/>
    </row>
    <row r="1001" spans="1:28" ht="12" customHeight="1">
      <c r="A1001" s="763"/>
      <c r="B1001" s="104"/>
      <c r="C1001" s="104"/>
      <c r="D1001" s="260"/>
      <c r="E1001" s="104"/>
      <c r="F1001" s="104"/>
      <c r="G1001" s="35"/>
      <c r="H1001" s="104"/>
      <c r="I1001" s="35"/>
      <c r="J1001" s="74"/>
      <c r="K1001" s="74"/>
      <c r="L1001" s="74"/>
      <c r="M1001" s="74"/>
      <c r="N1001" s="74"/>
      <c r="O1001" s="74"/>
      <c r="P1001" s="74"/>
      <c r="Q1001" s="74"/>
      <c r="R1001" s="74"/>
      <c r="S1001" s="74"/>
      <c r="T1001" s="74"/>
      <c r="U1001" s="74"/>
      <c r="V1001" s="74"/>
      <c r="W1001" s="74"/>
      <c r="X1001" s="74"/>
      <c r="Y1001" s="74"/>
      <c r="Z1001" s="74"/>
      <c r="AA1001" s="74"/>
      <c r="AB1001" s="74"/>
    </row>
    <row r="1002" spans="1:28" ht="12" customHeight="1">
      <c r="A1002" s="763"/>
      <c r="B1002" s="104"/>
      <c r="C1002" s="104"/>
      <c r="D1002" s="260"/>
      <c r="E1002" s="104"/>
      <c r="F1002" s="104"/>
      <c r="G1002" s="35"/>
      <c r="H1002" s="104"/>
      <c r="I1002" s="35"/>
      <c r="J1002" s="74"/>
      <c r="K1002" s="74"/>
      <c r="L1002" s="74"/>
      <c r="M1002" s="74"/>
      <c r="N1002" s="74"/>
      <c r="O1002" s="74"/>
      <c r="P1002" s="74"/>
      <c r="Q1002" s="74"/>
      <c r="R1002" s="74"/>
      <c r="S1002" s="74"/>
      <c r="T1002" s="74"/>
      <c r="U1002" s="74"/>
      <c r="V1002" s="74"/>
      <c r="W1002" s="74"/>
      <c r="X1002" s="74"/>
      <c r="Y1002" s="74"/>
      <c r="Z1002" s="74"/>
      <c r="AA1002" s="74"/>
      <c r="AB1002" s="74"/>
    </row>
    <row r="1003" spans="1:28" ht="12" customHeight="1">
      <c r="A1003" s="763"/>
      <c r="B1003" s="104"/>
      <c r="C1003" s="104"/>
      <c r="D1003" s="260"/>
      <c r="E1003" s="104"/>
      <c r="F1003" s="104"/>
      <c r="G1003" s="35"/>
      <c r="H1003" s="104"/>
      <c r="I1003" s="35"/>
      <c r="J1003" s="74"/>
      <c r="K1003" s="74"/>
      <c r="L1003" s="74"/>
      <c r="M1003" s="74"/>
      <c r="N1003" s="74"/>
      <c r="O1003" s="74"/>
      <c r="P1003" s="74"/>
      <c r="Q1003" s="74"/>
      <c r="R1003" s="74"/>
      <c r="S1003" s="74"/>
      <c r="T1003" s="74"/>
      <c r="U1003" s="74"/>
      <c r="V1003" s="74"/>
      <c r="W1003" s="74"/>
      <c r="X1003" s="74"/>
      <c r="Y1003" s="74"/>
      <c r="Z1003" s="74"/>
      <c r="AA1003" s="74"/>
      <c r="AB1003" s="74"/>
    </row>
    <row r="1004" spans="1:28" ht="12" customHeight="1">
      <c r="A1004" s="763"/>
      <c r="B1004" s="104"/>
      <c r="C1004" s="104"/>
      <c r="D1004" s="260"/>
      <c r="E1004" s="104"/>
      <c r="F1004" s="104"/>
      <c r="G1004" s="35"/>
      <c r="H1004" s="104"/>
      <c r="I1004" s="35"/>
      <c r="J1004" s="74"/>
      <c r="K1004" s="74"/>
      <c r="L1004" s="74"/>
      <c r="M1004" s="74"/>
      <c r="N1004" s="74"/>
      <c r="O1004" s="74"/>
      <c r="P1004" s="74"/>
      <c r="Q1004" s="74"/>
      <c r="R1004" s="74"/>
      <c r="S1004" s="74"/>
      <c r="T1004" s="74"/>
      <c r="U1004" s="74"/>
      <c r="V1004" s="74"/>
      <c r="W1004" s="74"/>
      <c r="X1004" s="74"/>
      <c r="Y1004" s="74"/>
      <c r="Z1004" s="74"/>
      <c r="AA1004" s="74"/>
      <c r="AB1004" s="74"/>
    </row>
    <row r="1005" spans="1:28" ht="12" customHeight="1">
      <c r="A1005" s="763"/>
      <c r="B1005" s="104"/>
      <c r="C1005" s="104"/>
      <c r="D1005" s="260"/>
      <c r="E1005" s="104"/>
      <c r="F1005" s="104"/>
      <c r="G1005" s="35"/>
      <c r="H1005" s="104"/>
      <c r="I1005" s="35"/>
      <c r="J1005" s="74"/>
      <c r="K1005" s="74"/>
      <c r="L1005" s="74"/>
      <c r="M1005" s="74"/>
      <c r="N1005" s="74"/>
      <c r="O1005" s="74"/>
      <c r="P1005" s="74"/>
      <c r="Q1005" s="74"/>
      <c r="R1005" s="74"/>
      <c r="S1005" s="74"/>
      <c r="T1005" s="74"/>
      <c r="U1005" s="74"/>
      <c r="V1005" s="74"/>
      <c r="W1005" s="74"/>
      <c r="X1005" s="74"/>
      <c r="Y1005" s="74"/>
      <c r="Z1005" s="74"/>
      <c r="AA1005" s="74"/>
      <c r="AB1005" s="74"/>
    </row>
    <row r="1006" spans="1:28" ht="12" customHeight="1">
      <c r="A1006" s="763"/>
      <c r="B1006" s="104"/>
      <c r="C1006" s="104"/>
      <c r="D1006" s="260"/>
      <c r="E1006" s="104"/>
      <c r="F1006" s="104"/>
      <c r="G1006" s="35"/>
      <c r="H1006" s="104"/>
      <c r="I1006" s="35"/>
      <c r="J1006" s="74"/>
      <c r="K1006" s="74"/>
      <c r="L1006" s="74"/>
      <c r="M1006" s="74"/>
      <c r="N1006" s="74"/>
      <c r="O1006" s="74"/>
      <c r="P1006" s="74"/>
      <c r="Q1006" s="74"/>
      <c r="R1006" s="74"/>
      <c r="S1006" s="74"/>
      <c r="T1006" s="74"/>
      <c r="U1006" s="74"/>
      <c r="V1006" s="74"/>
      <c r="W1006" s="74"/>
      <c r="X1006" s="74"/>
      <c r="Y1006" s="74"/>
      <c r="Z1006" s="74"/>
      <c r="AA1006" s="74"/>
      <c r="AB1006" s="74"/>
    </row>
    <row r="1007" spans="1:28" ht="12" customHeight="1">
      <c r="A1007" s="763"/>
      <c r="B1007" s="104"/>
      <c r="C1007" s="104"/>
      <c r="D1007" s="260"/>
      <c r="E1007" s="104"/>
      <c r="F1007" s="104"/>
      <c r="G1007" s="35"/>
      <c r="H1007" s="104"/>
      <c r="I1007" s="35"/>
      <c r="J1007" s="74"/>
      <c r="K1007" s="74"/>
      <c r="L1007" s="74"/>
      <c r="M1007" s="74"/>
      <c r="N1007" s="74"/>
      <c r="O1007" s="74"/>
      <c r="P1007" s="74"/>
      <c r="Q1007" s="74"/>
      <c r="R1007" s="74"/>
      <c r="S1007" s="74"/>
      <c r="T1007" s="74"/>
      <c r="U1007" s="74"/>
      <c r="V1007" s="74"/>
      <c r="W1007" s="74"/>
      <c r="X1007" s="74"/>
      <c r="Y1007" s="74"/>
      <c r="Z1007" s="74"/>
      <c r="AA1007" s="74"/>
      <c r="AB1007" s="74"/>
    </row>
    <row r="1008" spans="1:28" ht="12" customHeight="1">
      <c r="A1008" s="763"/>
      <c r="B1008" s="104"/>
      <c r="C1008" s="104"/>
      <c r="D1008" s="260"/>
      <c r="E1008" s="104"/>
      <c r="F1008" s="104"/>
      <c r="G1008" s="35"/>
      <c r="H1008" s="104"/>
      <c r="I1008" s="35"/>
      <c r="J1008" s="74"/>
      <c r="K1008" s="74"/>
      <c r="L1008" s="74"/>
      <c r="M1008" s="74"/>
      <c r="N1008" s="74"/>
      <c r="O1008" s="74"/>
      <c r="P1008" s="74"/>
      <c r="Q1008" s="74"/>
      <c r="R1008" s="74"/>
      <c r="S1008" s="74"/>
      <c r="T1008" s="74"/>
      <c r="U1008" s="74"/>
      <c r="V1008" s="74"/>
      <c r="W1008" s="74"/>
      <c r="X1008" s="74"/>
      <c r="Y1008" s="74"/>
      <c r="Z1008" s="74"/>
      <c r="AA1008" s="74"/>
      <c r="AB1008" s="74"/>
    </row>
    <row r="1009" spans="1:28" ht="12" customHeight="1">
      <c r="A1009" s="763"/>
      <c r="B1009" s="104"/>
      <c r="C1009" s="104"/>
      <c r="D1009" s="260"/>
      <c r="E1009" s="104"/>
      <c r="F1009" s="104"/>
      <c r="G1009" s="35"/>
      <c r="H1009" s="104"/>
      <c r="I1009" s="35"/>
      <c r="J1009" s="74"/>
      <c r="K1009" s="74"/>
      <c r="L1009" s="74"/>
      <c r="M1009" s="74"/>
      <c r="N1009" s="74"/>
      <c r="O1009" s="74"/>
      <c r="P1009" s="74"/>
      <c r="Q1009" s="74"/>
      <c r="R1009" s="74"/>
      <c r="S1009" s="74"/>
      <c r="T1009" s="74"/>
      <c r="U1009" s="74"/>
      <c r="V1009" s="74"/>
      <c r="W1009" s="74"/>
      <c r="X1009" s="74"/>
      <c r="Y1009" s="74"/>
      <c r="Z1009" s="74"/>
      <c r="AA1009" s="74"/>
      <c r="AB1009" s="74"/>
    </row>
    <row r="1010" spans="1:28" ht="12" customHeight="1">
      <c r="A1010" s="763"/>
      <c r="B1010" s="104"/>
      <c r="C1010" s="104"/>
      <c r="D1010" s="260"/>
      <c r="E1010" s="104"/>
      <c r="F1010" s="104"/>
      <c r="G1010" s="35"/>
      <c r="H1010" s="104"/>
      <c r="I1010" s="35"/>
      <c r="J1010" s="74"/>
      <c r="K1010" s="74"/>
      <c r="L1010" s="74"/>
      <c r="M1010" s="74"/>
      <c r="N1010" s="74"/>
      <c r="O1010" s="74"/>
      <c r="P1010" s="74"/>
      <c r="Q1010" s="74"/>
      <c r="R1010" s="74"/>
      <c r="S1010" s="74"/>
      <c r="T1010" s="74"/>
      <c r="U1010" s="74"/>
      <c r="V1010" s="74"/>
      <c r="W1010" s="74"/>
      <c r="X1010" s="74"/>
      <c r="Y1010" s="74"/>
      <c r="Z1010" s="74"/>
      <c r="AA1010" s="74"/>
      <c r="AB1010" s="74"/>
    </row>
    <row r="1011" spans="1:28" ht="12" customHeight="1">
      <c r="A1011" s="763"/>
      <c r="B1011" s="104"/>
      <c r="C1011" s="104"/>
      <c r="D1011" s="260"/>
      <c r="E1011" s="104"/>
      <c r="F1011" s="104"/>
      <c r="G1011" s="35"/>
      <c r="H1011" s="104"/>
      <c r="I1011" s="35"/>
      <c r="J1011" s="74"/>
      <c r="K1011" s="74"/>
      <c r="L1011" s="74"/>
      <c r="M1011" s="74"/>
      <c r="N1011" s="74"/>
      <c r="O1011" s="74"/>
      <c r="P1011" s="74"/>
      <c r="Q1011" s="74"/>
      <c r="R1011" s="74"/>
      <c r="S1011" s="74"/>
      <c r="T1011" s="74"/>
      <c r="U1011" s="74"/>
      <c r="V1011" s="74"/>
      <c r="W1011" s="74"/>
      <c r="X1011" s="74"/>
      <c r="Y1011" s="74"/>
      <c r="Z1011" s="74"/>
      <c r="AA1011" s="74"/>
      <c r="AB1011" s="74"/>
    </row>
    <row r="1012" spans="1:28" ht="12" customHeight="1">
      <c r="A1012" s="763"/>
      <c r="B1012" s="104"/>
      <c r="C1012" s="104"/>
      <c r="D1012" s="260"/>
      <c r="E1012" s="104"/>
      <c r="F1012" s="104"/>
      <c r="G1012" s="35"/>
      <c r="H1012" s="104"/>
      <c r="I1012" s="35"/>
      <c r="J1012" s="74"/>
      <c r="K1012" s="74"/>
      <c r="L1012" s="74"/>
      <c r="M1012" s="74"/>
      <c r="N1012" s="74"/>
      <c r="O1012" s="74"/>
      <c r="P1012" s="74"/>
      <c r="Q1012" s="74"/>
      <c r="R1012" s="74"/>
      <c r="S1012" s="74"/>
      <c r="T1012" s="74"/>
      <c r="U1012" s="74"/>
      <c r="V1012" s="74"/>
      <c r="W1012" s="74"/>
      <c r="X1012" s="74"/>
      <c r="Y1012" s="74"/>
      <c r="Z1012" s="74"/>
      <c r="AA1012" s="74"/>
      <c r="AB1012" s="74"/>
    </row>
    <row r="1013" spans="1:28" ht="12" customHeight="1">
      <c r="A1013" s="763"/>
      <c r="B1013" s="104"/>
      <c r="C1013" s="104"/>
      <c r="D1013" s="260"/>
      <c r="E1013" s="104"/>
      <c r="F1013" s="104"/>
      <c r="G1013" s="35"/>
      <c r="H1013" s="104"/>
      <c r="I1013" s="35"/>
      <c r="J1013" s="74"/>
      <c r="K1013" s="74"/>
      <c r="L1013" s="74"/>
      <c r="M1013" s="74"/>
      <c r="N1013" s="74"/>
      <c r="O1013" s="74"/>
      <c r="P1013" s="74"/>
      <c r="Q1013" s="74"/>
      <c r="R1013" s="74"/>
      <c r="S1013" s="74"/>
      <c r="T1013" s="74"/>
      <c r="U1013" s="74"/>
      <c r="V1013" s="74"/>
      <c r="W1013" s="74"/>
      <c r="X1013" s="74"/>
      <c r="Y1013" s="74"/>
      <c r="Z1013" s="74"/>
      <c r="AA1013" s="74"/>
      <c r="AB1013" s="74"/>
    </row>
    <row r="1014" spans="1:28" ht="12" customHeight="1">
      <c r="A1014" s="763"/>
      <c r="B1014" s="104"/>
      <c r="C1014" s="104"/>
      <c r="D1014" s="260"/>
      <c r="E1014" s="104"/>
      <c r="F1014" s="104"/>
      <c r="G1014" s="35"/>
      <c r="H1014" s="104"/>
      <c r="I1014" s="35"/>
      <c r="J1014" s="74"/>
      <c r="K1014" s="74"/>
      <c r="L1014" s="74"/>
      <c r="M1014" s="74"/>
      <c r="N1014" s="74"/>
      <c r="O1014" s="74"/>
      <c r="P1014" s="74"/>
      <c r="Q1014" s="74"/>
      <c r="R1014" s="74"/>
      <c r="S1014" s="74"/>
      <c r="T1014" s="74"/>
      <c r="U1014" s="74"/>
      <c r="V1014" s="74"/>
      <c r="W1014" s="74"/>
      <c r="X1014" s="74"/>
      <c r="Y1014" s="74"/>
      <c r="Z1014" s="74"/>
      <c r="AA1014" s="74"/>
      <c r="AB1014" s="74"/>
    </row>
    <row r="1015" spans="1:28" ht="12" customHeight="1">
      <c r="A1015" s="763"/>
      <c r="B1015" s="104"/>
      <c r="C1015" s="104"/>
      <c r="D1015" s="260"/>
      <c r="E1015" s="104"/>
      <c r="F1015" s="104"/>
      <c r="G1015" s="35"/>
      <c r="H1015" s="104"/>
      <c r="I1015" s="35"/>
      <c r="J1015" s="74"/>
      <c r="K1015" s="74"/>
      <c r="L1015" s="74"/>
      <c r="M1015" s="74"/>
      <c r="N1015" s="74"/>
      <c r="O1015" s="74"/>
      <c r="P1015" s="74"/>
      <c r="Q1015" s="74"/>
      <c r="R1015" s="74"/>
      <c r="S1015" s="74"/>
      <c r="T1015" s="74"/>
      <c r="U1015" s="74"/>
      <c r="V1015" s="74"/>
      <c r="W1015" s="74"/>
      <c r="X1015" s="74"/>
      <c r="Y1015" s="74"/>
      <c r="Z1015" s="74"/>
      <c r="AA1015" s="74"/>
      <c r="AB1015" s="74"/>
    </row>
    <row r="1016" spans="1:28" ht="12" customHeight="1">
      <c r="A1016" s="763"/>
      <c r="B1016" s="104"/>
      <c r="C1016" s="104"/>
      <c r="D1016" s="260"/>
      <c r="E1016" s="104"/>
      <c r="F1016" s="104"/>
      <c r="G1016" s="35"/>
      <c r="H1016" s="104"/>
      <c r="I1016" s="35"/>
      <c r="J1016" s="74"/>
      <c r="K1016" s="74"/>
      <c r="L1016" s="74"/>
      <c r="M1016" s="74"/>
      <c r="N1016" s="74"/>
      <c r="O1016" s="74"/>
      <c r="P1016" s="74"/>
      <c r="Q1016" s="74"/>
      <c r="R1016" s="74"/>
      <c r="S1016" s="74"/>
      <c r="T1016" s="74"/>
      <c r="U1016" s="74"/>
      <c r="V1016" s="74"/>
      <c r="W1016" s="74"/>
      <c r="X1016" s="74"/>
      <c r="Y1016" s="74"/>
      <c r="Z1016" s="74"/>
      <c r="AA1016" s="74"/>
      <c r="AB1016" s="74"/>
    </row>
    <row r="1017" spans="1:28" ht="12" customHeight="1">
      <c r="A1017" s="763"/>
      <c r="B1017" s="104"/>
      <c r="C1017" s="104"/>
      <c r="D1017" s="260"/>
      <c r="E1017" s="104"/>
      <c r="F1017" s="104"/>
      <c r="G1017" s="35"/>
      <c r="H1017" s="104"/>
      <c r="I1017" s="35"/>
      <c r="J1017" s="74"/>
      <c r="K1017" s="74"/>
      <c r="L1017" s="74"/>
      <c r="M1017" s="74"/>
      <c r="N1017" s="74"/>
      <c r="O1017" s="74"/>
      <c r="P1017" s="74"/>
      <c r="Q1017" s="74"/>
      <c r="R1017" s="74"/>
      <c r="S1017" s="74"/>
      <c r="T1017" s="74"/>
      <c r="U1017" s="74"/>
      <c r="V1017" s="74"/>
      <c r="W1017" s="74"/>
      <c r="X1017" s="74"/>
      <c r="Y1017" s="74"/>
      <c r="Z1017" s="74"/>
      <c r="AA1017" s="74"/>
      <c r="AB1017" s="74"/>
    </row>
    <row r="1018" spans="1:28" ht="12" customHeight="1">
      <c r="A1018" s="763"/>
      <c r="B1018" s="104"/>
      <c r="C1018" s="104"/>
      <c r="D1018" s="260"/>
      <c r="E1018" s="104"/>
      <c r="F1018" s="104"/>
      <c r="G1018" s="35"/>
      <c r="H1018" s="104"/>
      <c r="I1018" s="35"/>
      <c r="J1018" s="74"/>
      <c r="K1018" s="74"/>
      <c r="L1018" s="74"/>
      <c r="M1018" s="74"/>
      <c r="N1018" s="74"/>
      <c r="O1018" s="74"/>
      <c r="P1018" s="74"/>
      <c r="Q1018" s="74"/>
      <c r="R1018" s="74"/>
      <c r="S1018" s="74"/>
      <c r="T1018" s="74"/>
      <c r="U1018" s="74"/>
      <c r="V1018" s="74"/>
      <c r="W1018" s="74"/>
      <c r="X1018" s="74"/>
      <c r="Y1018" s="74"/>
      <c r="Z1018" s="74"/>
      <c r="AA1018" s="74"/>
      <c r="AB1018" s="74"/>
    </row>
    <row r="1019" spans="1:28" ht="12" customHeight="1">
      <c r="A1019" s="763"/>
      <c r="B1019" s="104"/>
      <c r="C1019" s="104"/>
      <c r="D1019" s="260"/>
      <c r="E1019" s="104"/>
      <c r="F1019" s="104"/>
      <c r="G1019" s="35"/>
      <c r="H1019" s="104"/>
      <c r="I1019" s="35"/>
      <c r="J1019" s="74"/>
      <c r="K1019" s="74"/>
      <c r="L1019" s="74"/>
      <c r="M1019" s="74"/>
      <c r="N1019" s="74"/>
      <c r="O1019" s="74"/>
      <c r="P1019" s="74"/>
      <c r="Q1019" s="74"/>
      <c r="R1019" s="74"/>
      <c r="S1019" s="74"/>
      <c r="T1019" s="74"/>
      <c r="U1019" s="74"/>
      <c r="V1019" s="74"/>
      <c r="W1019" s="74"/>
      <c r="X1019" s="74"/>
      <c r="Y1019" s="74"/>
      <c r="Z1019" s="74"/>
      <c r="AA1019" s="74"/>
      <c r="AB1019" s="74"/>
    </row>
    <row r="1020" spans="1:28" ht="12" customHeight="1">
      <c r="A1020" s="763"/>
      <c r="B1020" s="104"/>
      <c r="C1020" s="104"/>
      <c r="D1020" s="260"/>
      <c r="E1020" s="104"/>
      <c r="F1020" s="104"/>
      <c r="G1020" s="35"/>
      <c r="H1020" s="104"/>
      <c r="I1020" s="35"/>
      <c r="J1020" s="74"/>
      <c r="K1020" s="74"/>
      <c r="L1020" s="74"/>
      <c r="M1020" s="74"/>
      <c r="N1020" s="74"/>
      <c r="O1020" s="74"/>
      <c r="P1020" s="74"/>
      <c r="Q1020" s="74"/>
      <c r="R1020" s="74"/>
      <c r="S1020" s="74"/>
      <c r="T1020" s="74"/>
      <c r="U1020" s="74"/>
      <c r="V1020" s="74"/>
      <c r="W1020" s="74"/>
      <c r="X1020" s="74"/>
      <c r="Y1020" s="74"/>
      <c r="Z1020" s="74"/>
      <c r="AA1020" s="74"/>
      <c r="AB1020" s="74"/>
    </row>
    <row r="1021" spans="1:28" ht="12" customHeight="1">
      <c r="A1021" s="763"/>
      <c r="B1021" s="104"/>
      <c r="C1021" s="104"/>
      <c r="D1021" s="260"/>
      <c r="E1021" s="104"/>
      <c r="F1021" s="104"/>
      <c r="G1021" s="35"/>
      <c r="H1021" s="104"/>
      <c r="I1021" s="35"/>
      <c r="J1021" s="74"/>
      <c r="K1021" s="74"/>
      <c r="L1021" s="74"/>
      <c r="M1021" s="74"/>
      <c r="N1021" s="74"/>
      <c r="O1021" s="74"/>
      <c r="P1021" s="74"/>
      <c r="Q1021" s="74"/>
      <c r="R1021" s="74"/>
      <c r="S1021" s="74"/>
      <c r="T1021" s="74"/>
      <c r="U1021" s="74"/>
      <c r="V1021" s="74"/>
      <c r="W1021" s="74"/>
      <c r="X1021" s="74"/>
      <c r="Y1021" s="74"/>
      <c r="Z1021" s="74"/>
      <c r="AA1021" s="74"/>
      <c r="AB1021" s="74"/>
    </row>
    <row r="1022" spans="1:28" ht="12" customHeight="1">
      <c r="A1022" s="763"/>
      <c r="B1022" s="104"/>
      <c r="C1022" s="104"/>
      <c r="D1022" s="260"/>
      <c r="E1022" s="104"/>
      <c r="F1022" s="104"/>
      <c r="G1022" s="35"/>
      <c r="H1022" s="104"/>
      <c r="I1022" s="35"/>
      <c r="J1022" s="74"/>
      <c r="K1022" s="74"/>
      <c r="L1022" s="74"/>
      <c r="M1022" s="74"/>
      <c r="N1022" s="74"/>
      <c r="O1022" s="74"/>
      <c r="P1022" s="74"/>
      <c r="Q1022" s="74"/>
      <c r="R1022" s="74"/>
      <c r="S1022" s="74"/>
      <c r="T1022" s="74"/>
      <c r="U1022" s="74"/>
      <c r="V1022" s="74"/>
      <c r="W1022" s="74"/>
      <c r="X1022" s="74"/>
      <c r="Y1022" s="74"/>
      <c r="Z1022" s="74"/>
      <c r="AA1022" s="74"/>
      <c r="AB1022" s="74"/>
    </row>
    <row r="1023" spans="1:28" ht="12" customHeight="1">
      <c r="A1023" s="763"/>
      <c r="B1023" s="104"/>
      <c r="C1023" s="104"/>
      <c r="D1023" s="260"/>
      <c r="E1023" s="104"/>
      <c r="F1023" s="104"/>
      <c r="G1023" s="35"/>
      <c r="H1023" s="104"/>
      <c r="I1023" s="35"/>
      <c r="J1023" s="74"/>
      <c r="K1023" s="74"/>
      <c r="L1023" s="74"/>
      <c r="M1023" s="74"/>
      <c r="N1023" s="74"/>
      <c r="O1023" s="74"/>
      <c r="P1023" s="74"/>
      <c r="Q1023" s="74"/>
      <c r="R1023" s="74"/>
      <c r="S1023" s="74"/>
      <c r="T1023" s="74"/>
      <c r="U1023" s="74"/>
      <c r="V1023" s="74"/>
      <c r="W1023" s="74"/>
      <c r="X1023" s="74"/>
      <c r="Y1023" s="74"/>
      <c r="Z1023" s="74"/>
      <c r="AA1023" s="74"/>
      <c r="AB1023" s="74"/>
    </row>
    <row r="1024" spans="1:28" ht="12" customHeight="1">
      <c r="A1024" s="763"/>
      <c r="B1024" s="104"/>
      <c r="C1024" s="104"/>
      <c r="D1024" s="260"/>
      <c r="E1024" s="104"/>
      <c r="F1024" s="104"/>
      <c r="G1024" s="35"/>
      <c r="H1024" s="104"/>
      <c r="I1024" s="35"/>
      <c r="J1024" s="74"/>
      <c r="K1024" s="74"/>
      <c r="L1024" s="74"/>
      <c r="M1024" s="74"/>
      <c r="N1024" s="74"/>
      <c r="O1024" s="74"/>
      <c r="P1024" s="74"/>
      <c r="Q1024" s="74"/>
      <c r="R1024" s="74"/>
      <c r="S1024" s="74"/>
      <c r="T1024" s="74"/>
      <c r="U1024" s="74"/>
      <c r="V1024" s="74"/>
      <c r="W1024" s="74"/>
      <c r="X1024" s="74"/>
      <c r="Y1024" s="74"/>
      <c r="Z1024" s="74"/>
      <c r="AA1024" s="74"/>
      <c r="AB1024" s="74"/>
    </row>
    <row r="1025" spans="1:28" ht="12" customHeight="1">
      <c r="A1025" s="763"/>
      <c r="B1025" s="104"/>
      <c r="C1025" s="104"/>
      <c r="D1025" s="260"/>
      <c r="E1025" s="104"/>
      <c r="F1025" s="104"/>
      <c r="G1025" s="35"/>
      <c r="H1025" s="104"/>
      <c r="I1025" s="35"/>
      <c r="J1025" s="74"/>
      <c r="K1025" s="74"/>
      <c r="L1025" s="74"/>
      <c r="M1025" s="74"/>
      <c r="N1025" s="74"/>
      <c r="O1025" s="74"/>
      <c r="P1025" s="74"/>
      <c r="Q1025" s="74"/>
      <c r="R1025" s="74"/>
      <c r="S1025" s="74"/>
      <c r="T1025" s="74"/>
      <c r="U1025" s="74"/>
      <c r="V1025" s="74"/>
      <c r="W1025" s="74"/>
      <c r="X1025" s="74"/>
      <c r="Y1025" s="74"/>
      <c r="Z1025" s="74"/>
      <c r="AA1025" s="74"/>
      <c r="AB1025" s="74"/>
    </row>
    <row r="1026" spans="1:28" ht="12" customHeight="1">
      <c r="A1026" s="763"/>
      <c r="B1026" s="104"/>
      <c r="C1026" s="104"/>
      <c r="D1026" s="260"/>
      <c r="E1026" s="104"/>
      <c r="F1026" s="104"/>
      <c r="G1026" s="35"/>
      <c r="H1026" s="104"/>
      <c r="I1026" s="35"/>
      <c r="J1026" s="74"/>
      <c r="K1026" s="74"/>
      <c r="L1026" s="74"/>
      <c r="M1026" s="74"/>
      <c r="N1026" s="74"/>
      <c r="O1026" s="74"/>
      <c r="P1026" s="74"/>
      <c r="Q1026" s="74"/>
      <c r="R1026" s="74"/>
      <c r="S1026" s="74"/>
      <c r="T1026" s="74"/>
      <c r="U1026" s="74"/>
      <c r="V1026" s="74"/>
      <c r="W1026" s="74"/>
      <c r="X1026" s="74"/>
      <c r="Y1026" s="74"/>
      <c r="Z1026" s="74"/>
      <c r="AA1026" s="74"/>
      <c r="AB1026" s="74"/>
    </row>
    <row r="1027" spans="1:28" ht="12" customHeight="1">
      <c r="A1027" s="763"/>
      <c r="B1027" s="104"/>
      <c r="C1027" s="104"/>
      <c r="D1027" s="260"/>
      <c r="E1027" s="104"/>
      <c r="F1027" s="104"/>
      <c r="G1027" s="35"/>
      <c r="H1027" s="104"/>
      <c r="I1027" s="35"/>
      <c r="J1027" s="74"/>
      <c r="K1027" s="74"/>
      <c r="L1027" s="74"/>
      <c r="M1027" s="74"/>
      <c r="N1027" s="74"/>
      <c r="O1027" s="74"/>
      <c r="P1027" s="74"/>
      <c r="Q1027" s="74"/>
      <c r="R1027" s="74"/>
      <c r="S1027" s="74"/>
      <c r="T1027" s="74"/>
      <c r="U1027" s="74"/>
      <c r="V1027" s="74"/>
      <c r="W1027" s="74"/>
      <c r="X1027" s="74"/>
      <c r="Y1027" s="74"/>
      <c r="Z1027" s="74"/>
      <c r="AA1027" s="74"/>
      <c r="AB1027" s="74"/>
    </row>
    <row r="1028" spans="1:28" ht="12" customHeight="1">
      <c r="A1028" s="763"/>
      <c r="B1028" s="104"/>
      <c r="C1028" s="104"/>
      <c r="D1028" s="260"/>
      <c r="E1028" s="104"/>
      <c r="F1028" s="104"/>
      <c r="G1028" s="35"/>
      <c r="H1028" s="104"/>
      <c r="I1028" s="35"/>
      <c r="J1028" s="74"/>
      <c r="K1028" s="74"/>
      <c r="L1028" s="74"/>
      <c r="M1028" s="74"/>
      <c r="N1028" s="74"/>
      <c r="O1028" s="74"/>
      <c r="P1028" s="74"/>
      <c r="Q1028" s="74"/>
      <c r="R1028" s="74"/>
      <c r="S1028" s="74"/>
      <c r="T1028" s="74"/>
      <c r="U1028" s="74"/>
      <c r="V1028" s="74"/>
      <c r="W1028" s="74"/>
      <c r="X1028" s="74"/>
      <c r="Y1028" s="74"/>
      <c r="Z1028" s="74"/>
      <c r="AA1028" s="74"/>
      <c r="AB1028" s="74"/>
    </row>
    <row r="1029" spans="1:28" ht="12" customHeight="1">
      <c r="A1029" s="763"/>
      <c r="B1029" s="104"/>
      <c r="C1029" s="104"/>
      <c r="D1029" s="260"/>
      <c r="E1029" s="104"/>
      <c r="F1029" s="104"/>
      <c r="G1029" s="35"/>
      <c r="H1029" s="104"/>
      <c r="I1029" s="35"/>
      <c r="J1029" s="74"/>
      <c r="K1029" s="74"/>
      <c r="L1029" s="74"/>
      <c r="M1029" s="74"/>
      <c r="N1029" s="74"/>
      <c r="O1029" s="74"/>
      <c r="P1029" s="74"/>
      <c r="Q1029" s="74"/>
      <c r="R1029" s="74"/>
      <c r="S1029" s="74"/>
      <c r="T1029" s="74"/>
      <c r="U1029" s="74"/>
      <c r="V1029" s="74"/>
      <c r="W1029" s="74"/>
      <c r="X1029" s="74"/>
      <c r="Y1029" s="74"/>
      <c r="Z1029" s="74"/>
      <c r="AA1029" s="74"/>
      <c r="AB1029" s="74"/>
    </row>
    <row r="1030" spans="1:28" ht="12" customHeight="1">
      <c r="A1030" s="763"/>
      <c r="B1030" s="104"/>
      <c r="C1030" s="104"/>
      <c r="D1030" s="260"/>
      <c r="E1030" s="104"/>
      <c r="F1030" s="104"/>
      <c r="G1030" s="35"/>
      <c r="H1030" s="104"/>
      <c r="I1030" s="35"/>
      <c r="J1030" s="74"/>
      <c r="K1030" s="74"/>
      <c r="L1030" s="74"/>
      <c r="M1030" s="74"/>
      <c r="N1030" s="74"/>
      <c r="O1030" s="74"/>
      <c r="P1030" s="74"/>
      <c r="Q1030" s="74"/>
      <c r="R1030" s="74"/>
      <c r="S1030" s="74"/>
      <c r="T1030" s="74"/>
      <c r="U1030" s="74"/>
      <c r="V1030" s="74"/>
      <c r="W1030" s="74"/>
      <c r="X1030" s="74"/>
      <c r="Y1030" s="74"/>
      <c r="Z1030" s="74"/>
      <c r="AA1030" s="74"/>
      <c r="AB1030" s="74"/>
    </row>
    <row r="1031" spans="1:28" ht="12" customHeight="1">
      <c r="A1031" s="763"/>
      <c r="B1031" s="104"/>
      <c r="C1031" s="104"/>
      <c r="D1031" s="260"/>
      <c r="E1031" s="104"/>
      <c r="F1031" s="104"/>
      <c r="G1031" s="35"/>
      <c r="H1031" s="104"/>
      <c r="I1031" s="35"/>
      <c r="J1031" s="74"/>
      <c r="K1031" s="74"/>
      <c r="L1031" s="74"/>
      <c r="M1031" s="74"/>
      <c r="N1031" s="74"/>
      <c r="O1031" s="74"/>
      <c r="P1031" s="74"/>
      <c r="Q1031" s="74"/>
      <c r="R1031" s="74"/>
      <c r="S1031" s="74"/>
      <c r="T1031" s="74"/>
      <c r="U1031" s="74"/>
      <c r="V1031" s="74"/>
      <c r="W1031" s="74"/>
      <c r="X1031" s="74"/>
      <c r="Y1031" s="74"/>
      <c r="Z1031" s="74"/>
      <c r="AA1031" s="74"/>
      <c r="AB1031" s="74"/>
    </row>
    <row r="1032" spans="1:28" ht="12" customHeight="1">
      <c r="A1032" s="763"/>
      <c r="B1032" s="104"/>
      <c r="C1032" s="104"/>
      <c r="D1032" s="260"/>
      <c r="E1032" s="104"/>
      <c r="F1032" s="104"/>
      <c r="G1032" s="35"/>
      <c r="H1032" s="104"/>
      <c r="I1032" s="35"/>
      <c r="J1032" s="74"/>
      <c r="K1032" s="74"/>
      <c r="L1032" s="74"/>
      <c r="M1032" s="74"/>
      <c r="N1032" s="74"/>
      <c r="O1032" s="74"/>
      <c r="P1032" s="74"/>
      <c r="Q1032" s="74"/>
      <c r="R1032" s="74"/>
      <c r="S1032" s="74"/>
      <c r="T1032" s="74"/>
      <c r="U1032" s="74"/>
      <c r="V1032" s="74"/>
      <c r="W1032" s="74"/>
      <c r="X1032" s="74"/>
      <c r="Y1032" s="74"/>
      <c r="Z1032" s="74"/>
      <c r="AA1032" s="74"/>
      <c r="AB1032" s="74"/>
    </row>
    <row r="1033" spans="1:28" ht="12" customHeight="1">
      <c r="A1033" s="763"/>
      <c r="B1033" s="104"/>
      <c r="C1033" s="104"/>
      <c r="D1033" s="260"/>
      <c r="E1033" s="104"/>
      <c r="F1033" s="104"/>
      <c r="G1033" s="35"/>
      <c r="H1033" s="104"/>
      <c r="I1033" s="35"/>
      <c r="J1033" s="74"/>
      <c r="K1033" s="74"/>
      <c r="L1033" s="74"/>
      <c r="M1033" s="74"/>
      <c r="N1033" s="74"/>
      <c r="O1033" s="74"/>
      <c r="P1033" s="74"/>
      <c r="Q1033" s="74"/>
      <c r="R1033" s="74"/>
      <c r="S1033" s="74"/>
      <c r="T1033" s="74"/>
      <c r="U1033" s="74"/>
      <c r="V1033" s="74"/>
      <c r="W1033" s="74"/>
      <c r="X1033" s="74"/>
      <c r="Y1033" s="74"/>
      <c r="Z1033" s="74"/>
      <c r="AA1033" s="74"/>
      <c r="AB1033" s="74"/>
    </row>
    <row r="1034" spans="1:28" ht="12" customHeight="1">
      <c r="A1034" s="763"/>
      <c r="B1034" s="104"/>
      <c r="C1034" s="104"/>
      <c r="D1034" s="260"/>
      <c r="E1034" s="104"/>
      <c r="F1034" s="104"/>
      <c r="G1034" s="35"/>
      <c r="H1034" s="104"/>
      <c r="I1034" s="35"/>
      <c r="J1034" s="74"/>
      <c r="K1034" s="74"/>
      <c r="L1034" s="74"/>
      <c r="M1034" s="74"/>
      <c r="N1034" s="74"/>
      <c r="O1034" s="74"/>
      <c r="P1034" s="74"/>
      <c r="Q1034" s="74"/>
      <c r="R1034" s="74"/>
      <c r="S1034" s="74"/>
      <c r="T1034" s="74"/>
      <c r="U1034" s="74"/>
      <c r="V1034" s="74"/>
      <c r="W1034" s="74"/>
      <c r="X1034" s="74"/>
      <c r="Y1034" s="74"/>
      <c r="Z1034" s="74"/>
      <c r="AA1034" s="74"/>
      <c r="AB1034" s="74"/>
    </row>
    <row r="1035" spans="1:28" ht="12" customHeight="1">
      <c r="A1035" s="763"/>
      <c r="B1035" s="104"/>
      <c r="C1035" s="104"/>
      <c r="D1035" s="260"/>
      <c r="E1035" s="104"/>
      <c r="F1035" s="104"/>
      <c r="G1035" s="35"/>
      <c r="H1035" s="104"/>
      <c r="I1035" s="35"/>
      <c r="J1035" s="74"/>
      <c r="K1035" s="74"/>
      <c r="L1035" s="74"/>
      <c r="M1035" s="74"/>
      <c r="N1035" s="74"/>
      <c r="O1035" s="74"/>
      <c r="P1035" s="74"/>
      <c r="Q1035" s="74"/>
      <c r="R1035" s="74"/>
      <c r="S1035" s="74"/>
      <c r="T1035" s="74"/>
      <c r="U1035" s="74"/>
      <c r="V1035" s="74"/>
      <c r="W1035" s="74"/>
      <c r="X1035" s="74"/>
      <c r="Y1035" s="74"/>
      <c r="Z1035" s="74"/>
      <c r="AA1035" s="74"/>
      <c r="AB1035" s="74"/>
    </row>
    <row r="1036" spans="1:28" ht="12" customHeight="1">
      <c r="A1036" s="763"/>
      <c r="B1036" s="104"/>
      <c r="C1036" s="104"/>
      <c r="D1036" s="260"/>
      <c r="E1036" s="104"/>
      <c r="F1036" s="104"/>
      <c r="G1036" s="35"/>
      <c r="H1036" s="104"/>
      <c r="I1036" s="35"/>
      <c r="J1036" s="74"/>
      <c r="K1036" s="74"/>
      <c r="L1036" s="74"/>
      <c r="M1036" s="74"/>
      <c r="N1036" s="74"/>
      <c r="O1036" s="74"/>
      <c r="P1036" s="74"/>
      <c r="Q1036" s="74"/>
      <c r="R1036" s="74"/>
      <c r="S1036" s="74"/>
      <c r="T1036" s="74"/>
      <c r="U1036" s="74"/>
      <c r="V1036" s="74"/>
      <c r="W1036" s="74"/>
      <c r="X1036" s="74"/>
      <c r="Y1036" s="74"/>
      <c r="Z1036" s="74"/>
      <c r="AA1036" s="74"/>
      <c r="AB1036" s="74"/>
    </row>
    <row r="1037" spans="1:28" ht="12" customHeight="1">
      <c r="A1037" s="763"/>
      <c r="B1037" s="104"/>
      <c r="C1037" s="104"/>
      <c r="D1037" s="260"/>
      <c r="E1037" s="104"/>
      <c r="F1037" s="104"/>
      <c r="G1037" s="35"/>
      <c r="H1037" s="104"/>
      <c r="I1037" s="35"/>
      <c r="J1037" s="74"/>
      <c r="K1037" s="74"/>
      <c r="L1037" s="74"/>
      <c r="M1037" s="74"/>
      <c r="N1037" s="74"/>
      <c r="O1037" s="74"/>
      <c r="P1037" s="74"/>
      <c r="Q1037" s="74"/>
      <c r="R1037" s="74"/>
      <c r="S1037" s="74"/>
      <c r="T1037" s="74"/>
      <c r="U1037" s="74"/>
      <c r="V1037" s="74"/>
      <c r="W1037" s="74"/>
      <c r="X1037" s="74"/>
      <c r="Y1037" s="74"/>
      <c r="Z1037" s="74"/>
      <c r="AA1037" s="74"/>
      <c r="AB1037" s="74"/>
    </row>
    <row r="1038" spans="1:28" ht="12" customHeight="1">
      <c r="A1038" s="763"/>
      <c r="B1038" s="104"/>
      <c r="C1038" s="104"/>
      <c r="D1038" s="260"/>
      <c r="E1038" s="104"/>
      <c r="F1038" s="104"/>
      <c r="G1038" s="35"/>
      <c r="H1038" s="104"/>
      <c r="I1038" s="35"/>
      <c r="J1038" s="74"/>
      <c r="K1038" s="74"/>
      <c r="L1038" s="74"/>
      <c r="M1038" s="74"/>
      <c r="N1038" s="74"/>
      <c r="O1038" s="74"/>
      <c r="P1038" s="74"/>
      <c r="Q1038" s="74"/>
      <c r="R1038" s="74"/>
      <c r="S1038" s="74"/>
      <c r="T1038" s="74"/>
      <c r="U1038" s="74"/>
      <c r="V1038" s="74"/>
      <c r="W1038" s="74"/>
      <c r="X1038" s="74"/>
      <c r="Y1038" s="74"/>
      <c r="Z1038" s="74"/>
      <c r="AA1038" s="74"/>
      <c r="AB1038" s="74"/>
    </row>
    <row r="1039" spans="1:28" ht="12" customHeight="1">
      <c r="A1039" s="763"/>
      <c r="B1039" s="104"/>
      <c r="C1039" s="104"/>
      <c r="D1039" s="260"/>
      <c r="E1039" s="104"/>
      <c r="F1039" s="104"/>
      <c r="G1039" s="35"/>
      <c r="H1039" s="104"/>
      <c r="I1039" s="35"/>
      <c r="J1039" s="74"/>
      <c r="K1039" s="74"/>
      <c r="L1039" s="74"/>
      <c r="M1039" s="74"/>
      <c r="N1039" s="74"/>
      <c r="O1039" s="74"/>
      <c r="P1039" s="74"/>
      <c r="Q1039" s="74"/>
      <c r="R1039" s="74"/>
      <c r="S1039" s="74"/>
      <c r="T1039" s="74"/>
      <c r="U1039" s="74"/>
      <c r="V1039" s="74"/>
      <c r="W1039" s="74"/>
      <c r="X1039" s="74"/>
      <c r="Y1039" s="74"/>
      <c r="Z1039" s="74"/>
      <c r="AA1039" s="74"/>
      <c r="AB1039" s="74"/>
    </row>
    <row r="1040" spans="1:28" ht="12" customHeight="1">
      <c r="A1040" s="763"/>
      <c r="B1040" s="104"/>
      <c r="C1040" s="104"/>
      <c r="D1040" s="260"/>
      <c r="E1040" s="104"/>
      <c r="F1040" s="104"/>
      <c r="G1040" s="35"/>
      <c r="H1040" s="104"/>
      <c r="I1040" s="35"/>
      <c r="J1040" s="74"/>
      <c r="K1040" s="74"/>
      <c r="L1040" s="74"/>
      <c r="M1040" s="74"/>
      <c r="N1040" s="74"/>
      <c r="O1040" s="74"/>
      <c r="P1040" s="74"/>
      <c r="Q1040" s="74"/>
      <c r="R1040" s="74"/>
      <c r="S1040" s="74"/>
      <c r="T1040" s="74"/>
      <c r="U1040" s="74"/>
      <c r="V1040" s="74"/>
      <c r="W1040" s="74"/>
      <c r="X1040" s="74"/>
      <c r="Y1040" s="74"/>
      <c r="Z1040" s="74"/>
      <c r="AA1040" s="74"/>
      <c r="AB1040" s="74"/>
    </row>
    <row r="1041" spans="1:28" ht="12" customHeight="1">
      <c r="A1041" s="763"/>
      <c r="B1041" s="104"/>
      <c r="C1041" s="104"/>
      <c r="D1041" s="260"/>
      <c r="E1041" s="104"/>
      <c r="F1041" s="104"/>
      <c r="G1041" s="35"/>
      <c r="H1041" s="104"/>
      <c r="I1041" s="35"/>
      <c r="J1041" s="74"/>
      <c r="K1041" s="74"/>
      <c r="L1041" s="74"/>
      <c r="M1041" s="74"/>
      <c r="N1041" s="74"/>
      <c r="O1041" s="74"/>
      <c r="P1041" s="74"/>
      <c r="Q1041" s="74"/>
      <c r="R1041" s="74"/>
      <c r="S1041" s="74"/>
      <c r="T1041" s="74"/>
      <c r="U1041" s="74"/>
      <c r="V1041" s="74"/>
      <c r="W1041" s="74"/>
      <c r="X1041" s="74"/>
      <c r="Y1041" s="74"/>
      <c r="Z1041" s="74"/>
      <c r="AA1041" s="74"/>
      <c r="AB1041" s="74"/>
    </row>
    <row r="1042" spans="1:28" ht="12" customHeight="1">
      <c r="A1042" s="763"/>
      <c r="B1042" s="104"/>
      <c r="C1042" s="104"/>
      <c r="D1042" s="260"/>
      <c r="E1042" s="104"/>
      <c r="F1042" s="104"/>
      <c r="G1042" s="35"/>
      <c r="H1042" s="104"/>
      <c r="I1042" s="35"/>
      <c r="J1042" s="74"/>
      <c r="K1042" s="74"/>
      <c r="L1042" s="74"/>
      <c r="M1042" s="74"/>
      <c r="N1042" s="74"/>
      <c r="O1042" s="74"/>
      <c r="P1042" s="74"/>
      <c r="Q1042" s="74"/>
      <c r="R1042" s="74"/>
      <c r="S1042" s="74"/>
      <c r="T1042" s="74"/>
      <c r="U1042" s="74"/>
      <c r="V1042" s="74"/>
      <c r="W1042" s="74"/>
      <c r="X1042" s="74"/>
      <c r="Y1042" s="74"/>
      <c r="Z1042" s="74"/>
      <c r="AA1042" s="74"/>
      <c r="AB1042" s="74"/>
    </row>
    <row r="1043" spans="1:28" ht="12" customHeight="1">
      <c r="A1043" s="763"/>
      <c r="B1043" s="104"/>
      <c r="C1043" s="104"/>
      <c r="D1043" s="260"/>
      <c r="E1043" s="104"/>
      <c r="F1043" s="104"/>
      <c r="G1043" s="35"/>
      <c r="H1043" s="104"/>
      <c r="I1043" s="35"/>
      <c r="J1043" s="74"/>
      <c r="K1043" s="74"/>
      <c r="L1043" s="74"/>
      <c r="M1043" s="74"/>
      <c r="N1043" s="74"/>
      <c r="O1043" s="74"/>
      <c r="P1043" s="74"/>
      <c r="Q1043" s="74"/>
      <c r="R1043" s="74"/>
      <c r="S1043" s="74"/>
      <c r="T1043" s="74"/>
      <c r="U1043" s="74"/>
      <c r="V1043" s="74"/>
      <c r="W1043" s="74"/>
      <c r="X1043" s="74"/>
      <c r="Y1043" s="74"/>
      <c r="Z1043" s="74"/>
      <c r="AA1043" s="74"/>
      <c r="AB1043" s="74"/>
    </row>
    <row r="1044" spans="1:28" ht="12" customHeight="1">
      <c r="A1044" s="763"/>
      <c r="B1044" s="104"/>
      <c r="C1044" s="104"/>
      <c r="D1044" s="260"/>
      <c r="E1044" s="104"/>
      <c r="F1044" s="104"/>
      <c r="G1044" s="35"/>
      <c r="H1044" s="104"/>
      <c r="I1044" s="35"/>
      <c r="J1044" s="74"/>
      <c r="K1044" s="74"/>
      <c r="L1044" s="74"/>
      <c r="M1044" s="74"/>
      <c r="N1044" s="74"/>
      <c r="O1044" s="74"/>
      <c r="P1044" s="74"/>
      <c r="Q1044" s="74"/>
      <c r="R1044" s="74"/>
      <c r="S1044" s="74"/>
      <c r="T1044" s="74"/>
      <c r="U1044" s="74"/>
      <c r="V1044" s="74"/>
      <c r="W1044" s="74"/>
      <c r="X1044" s="74"/>
      <c r="Y1044" s="74"/>
      <c r="Z1044" s="74"/>
      <c r="AA1044" s="74"/>
      <c r="AB1044" s="74"/>
    </row>
    <row r="1045" spans="1:28" ht="12" customHeight="1">
      <c r="A1045" s="763"/>
      <c r="B1045" s="104"/>
      <c r="C1045" s="104"/>
      <c r="D1045" s="260"/>
      <c r="E1045" s="104"/>
      <c r="F1045" s="104"/>
      <c r="G1045" s="35"/>
      <c r="H1045" s="104"/>
      <c r="I1045" s="35"/>
      <c r="J1045" s="74"/>
      <c r="K1045" s="74"/>
      <c r="L1045" s="74"/>
      <c r="M1045" s="74"/>
      <c r="N1045" s="74"/>
      <c r="O1045" s="74"/>
      <c r="P1045" s="74"/>
      <c r="Q1045" s="74"/>
      <c r="R1045" s="74"/>
      <c r="S1045" s="74"/>
      <c r="T1045" s="74"/>
      <c r="U1045" s="74"/>
      <c r="V1045" s="74"/>
      <c r="W1045" s="74"/>
      <c r="X1045" s="74"/>
      <c r="Y1045" s="74"/>
      <c r="Z1045" s="74"/>
      <c r="AA1045" s="74"/>
      <c r="AB1045" s="74"/>
    </row>
    <row r="1046" spans="1:28" ht="12" customHeight="1">
      <c r="A1046" s="763"/>
      <c r="B1046" s="104"/>
      <c r="C1046" s="104"/>
      <c r="D1046" s="260"/>
      <c r="E1046" s="104"/>
      <c r="F1046" s="104"/>
      <c r="G1046" s="35"/>
      <c r="H1046" s="104"/>
      <c r="I1046" s="35"/>
      <c r="J1046" s="74"/>
      <c r="K1046" s="74"/>
      <c r="L1046" s="74"/>
      <c r="M1046" s="74"/>
      <c r="N1046" s="74"/>
      <c r="O1046" s="74"/>
      <c r="P1046" s="74"/>
      <c r="Q1046" s="74"/>
      <c r="R1046" s="74"/>
      <c r="S1046" s="74"/>
      <c r="T1046" s="74"/>
      <c r="U1046" s="74"/>
      <c r="V1046" s="74"/>
      <c r="W1046" s="74"/>
      <c r="X1046" s="74"/>
      <c r="Y1046" s="74"/>
      <c r="Z1046" s="74"/>
      <c r="AA1046" s="74"/>
      <c r="AB1046" s="74"/>
    </row>
    <row r="1047" spans="1:28" ht="12" customHeight="1">
      <c r="A1047" s="763"/>
      <c r="B1047" s="104"/>
      <c r="C1047" s="104"/>
      <c r="D1047" s="260"/>
      <c r="E1047" s="104"/>
      <c r="F1047" s="104"/>
      <c r="G1047" s="35"/>
      <c r="H1047" s="104"/>
      <c r="I1047" s="35"/>
      <c r="J1047" s="74"/>
      <c r="K1047" s="74"/>
      <c r="L1047" s="74"/>
      <c r="M1047" s="74"/>
      <c r="N1047" s="74"/>
      <c r="O1047" s="74"/>
      <c r="P1047" s="74"/>
      <c r="Q1047" s="74"/>
      <c r="R1047" s="74"/>
      <c r="S1047" s="74"/>
      <c r="T1047" s="74"/>
      <c r="U1047" s="74"/>
      <c r="V1047" s="74"/>
      <c r="W1047" s="74"/>
      <c r="X1047" s="74"/>
      <c r="Y1047" s="74"/>
      <c r="Z1047" s="74"/>
      <c r="AA1047" s="74"/>
      <c r="AB1047" s="74"/>
    </row>
    <row r="1048" spans="1:28" ht="12" customHeight="1">
      <c r="A1048" s="763"/>
      <c r="B1048" s="104"/>
      <c r="C1048" s="104"/>
      <c r="D1048" s="260"/>
      <c r="E1048" s="104"/>
      <c r="F1048" s="104"/>
      <c r="G1048" s="35"/>
      <c r="H1048" s="104"/>
      <c r="I1048" s="35"/>
      <c r="J1048" s="74"/>
      <c r="K1048" s="74"/>
      <c r="L1048" s="74"/>
      <c r="M1048" s="74"/>
      <c r="N1048" s="74"/>
      <c r="O1048" s="74"/>
      <c r="P1048" s="74"/>
      <c r="Q1048" s="74"/>
      <c r="R1048" s="74"/>
      <c r="S1048" s="74"/>
      <c r="T1048" s="74"/>
      <c r="U1048" s="74"/>
      <c r="V1048" s="74"/>
      <c r="W1048" s="74"/>
      <c r="X1048" s="74"/>
      <c r="Y1048" s="74"/>
      <c r="Z1048" s="74"/>
      <c r="AA1048" s="74"/>
      <c r="AB1048" s="74"/>
    </row>
    <row r="1049" spans="1:28" ht="12" customHeight="1">
      <c r="A1049" s="763"/>
      <c r="B1049" s="104"/>
      <c r="C1049" s="104"/>
      <c r="D1049" s="260"/>
      <c r="E1049" s="104"/>
      <c r="F1049" s="104"/>
      <c r="G1049" s="35"/>
      <c r="H1049" s="104"/>
      <c r="I1049" s="35"/>
      <c r="J1049" s="74"/>
      <c r="K1049" s="74"/>
      <c r="L1049" s="74"/>
      <c r="M1049" s="74"/>
      <c r="N1049" s="74"/>
      <c r="O1049" s="74"/>
      <c r="P1049" s="74"/>
      <c r="Q1049" s="74"/>
      <c r="R1049" s="74"/>
      <c r="S1049" s="74"/>
      <c r="T1049" s="74"/>
      <c r="U1049" s="74"/>
      <c r="V1049" s="74"/>
      <c r="W1049" s="74"/>
      <c r="X1049" s="74"/>
      <c r="Y1049" s="74"/>
      <c r="Z1049" s="74"/>
      <c r="AA1049" s="74"/>
      <c r="AB1049" s="74"/>
    </row>
    <row r="1050" spans="1:28" ht="12" customHeight="1">
      <c r="A1050" s="763"/>
      <c r="B1050" s="104"/>
      <c r="C1050" s="104"/>
      <c r="D1050" s="260"/>
      <c r="E1050" s="104"/>
      <c r="F1050" s="104"/>
      <c r="G1050" s="35"/>
      <c r="H1050" s="104"/>
      <c r="I1050" s="35"/>
      <c r="J1050" s="74"/>
      <c r="K1050" s="74"/>
      <c r="L1050" s="74"/>
      <c r="M1050" s="74"/>
      <c r="N1050" s="74"/>
      <c r="O1050" s="74"/>
      <c r="P1050" s="74"/>
      <c r="Q1050" s="74"/>
      <c r="R1050" s="74"/>
      <c r="S1050" s="74"/>
      <c r="T1050" s="74"/>
      <c r="U1050" s="74"/>
      <c r="V1050" s="74"/>
      <c r="W1050" s="74"/>
      <c r="X1050" s="74"/>
      <c r="Y1050" s="74"/>
      <c r="Z1050" s="74"/>
      <c r="AA1050" s="74"/>
      <c r="AB1050" s="74"/>
    </row>
    <row r="1051" spans="1:28" ht="12" customHeight="1">
      <c r="A1051" s="763"/>
      <c r="B1051" s="104"/>
      <c r="C1051" s="104"/>
      <c r="D1051" s="260"/>
      <c r="E1051" s="104"/>
      <c r="F1051" s="104"/>
      <c r="G1051" s="35"/>
      <c r="H1051" s="104"/>
      <c r="I1051" s="35"/>
      <c r="J1051" s="74"/>
      <c r="K1051" s="74"/>
      <c r="L1051" s="74"/>
      <c r="M1051" s="74"/>
      <c r="N1051" s="74"/>
      <c r="O1051" s="74"/>
      <c r="P1051" s="74"/>
      <c r="Q1051" s="74"/>
      <c r="R1051" s="74"/>
      <c r="S1051" s="74"/>
      <c r="T1051" s="74"/>
      <c r="U1051" s="74"/>
      <c r="V1051" s="74"/>
      <c r="W1051" s="74"/>
      <c r="X1051" s="74"/>
      <c r="Y1051" s="74"/>
      <c r="Z1051" s="74"/>
      <c r="AA1051" s="74"/>
      <c r="AB1051" s="74"/>
    </row>
    <row r="1052" spans="1:28" ht="12" customHeight="1">
      <c r="A1052" s="763"/>
      <c r="B1052" s="104"/>
      <c r="C1052" s="104"/>
      <c r="D1052" s="260"/>
      <c r="E1052" s="104"/>
      <c r="F1052" s="104"/>
      <c r="G1052" s="35"/>
      <c r="H1052" s="104"/>
      <c r="I1052" s="35"/>
      <c r="J1052" s="74"/>
      <c r="K1052" s="74"/>
      <c r="L1052" s="74"/>
      <c r="M1052" s="74"/>
      <c r="N1052" s="74"/>
      <c r="O1052" s="74"/>
      <c r="P1052" s="74"/>
      <c r="Q1052" s="74"/>
      <c r="R1052" s="74"/>
      <c r="S1052" s="74"/>
      <c r="T1052" s="74"/>
      <c r="U1052" s="74"/>
      <c r="V1052" s="74"/>
      <c r="W1052" s="74"/>
      <c r="X1052" s="74"/>
      <c r="Y1052" s="74"/>
      <c r="Z1052" s="74"/>
      <c r="AA1052" s="74"/>
      <c r="AB1052" s="74"/>
    </row>
    <row r="1053" spans="1:28" ht="12" customHeight="1">
      <c r="A1053" s="763"/>
      <c r="B1053" s="104"/>
      <c r="C1053" s="104"/>
      <c r="D1053" s="260"/>
      <c r="E1053" s="104"/>
      <c r="F1053" s="104"/>
      <c r="G1053" s="35"/>
      <c r="H1053" s="104"/>
      <c r="I1053" s="35"/>
      <c r="J1053" s="74"/>
      <c r="K1053" s="74"/>
      <c r="L1053" s="74"/>
      <c r="M1053" s="74"/>
      <c r="N1053" s="74"/>
      <c r="O1053" s="74"/>
      <c r="P1053" s="74"/>
      <c r="Q1053" s="74"/>
      <c r="R1053" s="74"/>
      <c r="S1053" s="74"/>
      <c r="T1053" s="74"/>
      <c r="U1053" s="74"/>
      <c r="V1053" s="74"/>
      <c r="W1053" s="74"/>
      <c r="X1053" s="74"/>
      <c r="Y1053" s="74"/>
      <c r="Z1053" s="74"/>
      <c r="AA1053" s="74"/>
      <c r="AB1053" s="74"/>
    </row>
    <row r="1054" spans="1:28" ht="12" customHeight="1">
      <c r="A1054" s="763"/>
      <c r="B1054" s="104"/>
      <c r="C1054" s="104"/>
      <c r="D1054" s="260"/>
      <c r="E1054" s="104"/>
      <c r="F1054" s="104"/>
      <c r="G1054" s="35"/>
      <c r="H1054" s="104"/>
      <c r="I1054" s="35"/>
      <c r="J1054" s="74"/>
      <c r="K1054" s="74"/>
      <c r="L1054" s="74"/>
      <c r="M1054" s="74"/>
      <c r="N1054" s="74"/>
      <c r="O1054" s="74"/>
      <c r="P1054" s="74"/>
      <c r="Q1054" s="74"/>
      <c r="R1054" s="74"/>
      <c r="S1054" s="74"/>
      <c r="T1054" s="74"/>
      <c r="U1054" s="74"/>
      <c r="V1054" s="74"/>
      <c r="W1054" s="74"/>
      <c r="X1054" s="74"/>
      <c r="Y1054" s="74"/>
      <c r="Z1054" s="74"/>
      <c r="AA1054" s="74"/>
      <c r="AB1054" s="74"/>
    </row>
    <row r="1055" spans="1:28" ht="12" customHeight="1">
      <c r="A1055" s="763"/>
      <c r="B1055" s="104"/>
      <c r="C1055" s="104"/>
      <c r="D1055" s="260"/>
      <c r="E1055" s="104"/>
      <c r="F1055" s="104"/>
      <c r="G1055" s="35"/>
      <c r="H1055" s="104"/>
      <c r="I1055" s="35"/>
      <c r="J1055" s="74"/>
      <c r="K1055" s="74"/>
      <c r="L1055" s="74"/>
      <c r="M1055" s="74"/>
      <c r="N1055" s="74"/>
      <c r="O1055" s="74"/>
      <c r="P1055" s="74"/>
      <c r="Q1055" s="74"/>
      <c r="R1055" s="74"/>
      <c r="S1055" s="74"/>
      <c r="T1055" s="74"/>
      <c r="U1055" s="74"/>
      <c r="V1055" s="74"/>
      <c r="W1055" s="74"/>
      <c r="X1055" s="74"/>
      <c r="Y1055" s="74"/>
      <c r="Z1055" s="74"/>
      <c r="AA1055" s="74"/>
      <c r="AB1055" s="74"/>
    </row>
    <row r="1056" spans="1:28" ht="12" customHeight="1">
      <c r="A1056" s="763"/>
      <c r="B1056" s="104"/>
      <c r="C1056" s="104"/>
      <c r="D1056" s="260"/>
      <c r="E1056" s="104"/>
      <c r="F1056" s="104"/>
      <c r="G1056" s="35"/>
      <c r="H1056" s="104"/>
      <c r="I1056" s="35"/>
      <c r="J1056" s="74"/>
      <c r="K1056" s="74"/>
      <c r="L1056" s="74"/>
      <c r="M1056" s="74"/>
      <c r="N1056" s="74"/>
      <c r="O1056" s="74"/>
      <c r="P1056" s="74"/>
      <c r="Q1056" s="74"/>
      <c r="R1056" s="74"/>
      <c r="S1056" s="74"/>
      <c r="T1056" s="74"/>
      <c r="U1056" s="74"/>
      <c r="V1056" s="74"/>
      <c r="W1056" s="74"/>
      <c r="X1056" s="74"/>
      <c r="Y1056" s="74"/>
      <c r="Z1056" s="74"/>
      <c r="AA1056" s="74"/>
      <c r="AB1056" s="74"/>
    </row>
    <row r="1057" spans="1:28" ht="12" customHeight="1">
      <c r="A1057" s="763"/>
      <c r="B1057" s="104"/>
      <c r="C1057" s="104"/>
      <c r="D1057" s="260"/>
      <c r="E1057" s="104"/>
      <c r="F1057" s="104"/>
      <c r="G1057" s="35"/>
      <c r="H1057" s="104"/>
      <c r="I1057" s="35"/>
      <c r="J1057" s="74"/>
      <c r="K1057" s="74"/>
      <c r="L1057" s="74"/>
      <c r="M1057" s="74"/>
      <c r="N1057" s="74"/>
      <c r="O1057" s="74"/>
      <c r="P1057" s="74"/>
      <c r="Q1057" s="74"/>
      <c r="R1057" s="74"/>
      <c r="S1057" s="74"/>
      <c r="T1057" s="74"/>
      <c r="U1057" s="74"/>
      <c r="V1057" s="74"/>
      <c r="W1057" s="74"/>
      <c r="X1057" s="74"/>
      <c r="Y1057" s="74"/>
      <c r="Z1057" s="74"/>
      <c r="AA1057" s="74"/>
      <c r="AB1057" s="74"/>
    </row>
    <row r="1058" spans="1:28" ht="12" customHeight="1">
      <c r="A1058" s="763"/>
      <c r="B1058" s="104"/>
      <c r="C1058" s="104"/>
      <c r="D1058" s="260"/>
      <c r="E1058" s="104"/>
      <c r="F1058" s="104"/>
      <c r="G1058" s="35"/>
      <c r="H1058" s="104"/>
      <c r="I1058" s="35"/>
      <c r="J1058" s="74"/>
      <c r="K1058" s="74"/>
      <c r="L1058" s="74"/>
      <c r="M1058" s="74"/>
      <c r="N1058" s="74"/>
      <c r="O1058" s="74"/>
      <c r="P1058" s="74"/>
      <c r="Q1058" s="74"/>
      <c r="R1058" s="74"/>
      <c r="S1058" s="74"/>
      <c r="T1058" s="74"/>
      <c r="U1058" s="74"/>
      <c r="V1058" s="74"/>
      <c r="W1058" s="74"/>
      <c r="X1058" s="74"/>
      <c r="Y1058" s="74"/>
      <c r="Z1058" s="74"/>
      <c r="AA1058" s="74"/>
      <c r="AB1058" s="74"/>
    </row>
    <row r="1059" spans="1:28" ht="12" customHeight="1">
      <c r="A1059" s="763"/>
      <c r="B1059" s="104"/>
      <c r="C1059" s="104"/>
      <c r="D1059" s="260"/>
      <c r="E1059" s="104"/>
      <c r="F1059" s="104"/>
      <c r="G1059" s="35"/>
      <c r="H1059" s="104"/>
      <c r="I1059" s="35"/>
      <c r="J1059" s="74"/>
      <c r="K1059" s="74"/>
      <c r="L1059" s="74"/>
      <c r="M1059" s="74"/>
      <c r="N1059" s="74"/>
      <c r="O1059" s="74"/>
      <c r="P1059" s="74"/>
      <c r="Q1059" s="74"/>
      <c r="R1059" s="74"/>
      <c r="S1059" s="74"/>
      <c r="T1059" s="74"/>
      <c r="U1059" s="74"/>
      <c r="V1059" s="74"/>
      <c r="W1059" s="74"/>
      <c r="X1059" s="74"/>
      <c r="Y1059" s="74"/>
      <c r="Z1059" s="74"/>
      <c r="AA1059" s="74"/>
      <c r="AB1059" s="74"/>
    </row>
    <row r="1060" spans="1:28" ht="12" customHeight="1">
      <c r="A1060" s="763"/>
      <c r="B1060" s="104"/>
      <c r="C1060" s="104"/>
      <c r="D1060" s="260"/>
      <c r="E1060" s="104"/>
      <c r="F1060" s="104"/>
      <c r="G1060" s="35"/>
      <c r="H1060" s="104"/>
      <c r="I1060" s="35"/>
      <c r="J1060" s="74"/>
      <c r="K1060" s="74"/>
      <c r="L1060" s="74"/>
      <c r="M1060" s="74"/>
      <c r="N1060" s="74"/>
      <c r="O1060" s="74"/>
      <c r="P1060" s="74"/>
      <c r="Q1060" s="74"/>
      <c r="R1060" s="74"/>
      <c r="S1060" s="74"/>
      <c r="T1060" s="74"/>
      <c r="U1060" s="74"/>
      <c r="V1060" s="74"/>
      <c r="W1060" s="74"/>
      <c r="X1060" s="74"/>
      <c r="Y1060" s="74"/>
      <c r="Z1060" s="74"/>
      <c r="AA1060" s="74"/>
      <c r="AB1060" s="74"/>
    </row>
    <row r="1061" spans="1:28" ht="12" customHeight="1">
      <c r="A1061" s="763"/>
      <c r="B1061" s="104"/>
      <c r="C1061" s="104"/>
      <c r="D1061" s="260"/>
      <c r="E1061" s="104"/>
      <c r="F1061" s="104"/>
      <c r="G1061" s="35"/>
      <c r="H1061" s="104"/>
      <c r="I1061" s="35"/>
      <c r="J1061" s="74"/>
      <c r="K1061" s="74"/>
      <c r="L1061" s="74"/>
      <c r="M1061" s="74"/>
      <c r="N1061" s="74"/>
      <c r="O1061" s="74"/>
      <c r="P1061" s="74"/>
      <c r="Q1061" s="74"/>
      <c r="R1061" s="74"/>
      <c r="S1061" s="74"/>
      <c r="T1061" s="74"/>
      <c r="U1061" s="74"/>
      <c r="V1061" s="74"/>
      <c r="W1061" s="74"/>
      <c r="X1061" s="74"/>
      <c r="Y1061" s="74"/>
      <c r="Z1061" s="74"/>
      <c r="AA1061" s="74"/>
      <c r="AB1061" s="74"/>
    </row>
    <row r="1062" spans="1:28" ht="12" customHeight="1">
      <c r="A1062" s="763"/>
      <c r="B1062" s="104"/>
      <c r="C1062" s="104"/>
      <c r="D1062" s="260"/>
      <c r="E1062" s="104"/>
      <c r="F1062" s="104"/>
      <c r="G1062" s="35"/>
      <c r="H1062" s="104"/>
      <c r="I1062" s="35"/>
      <c r="J1062" s="74"/>
      <c r="K1062" s="74"/>
      <c r="L1062" s="74"/>
      <c r="M1062" s="74"/>
      <c r="N1062" s="74"/>
      <c r="O1062" s="74"/>
      <c r="P1062" s="74"/>
      <c r="Q1062" s="74"/>
      <c r="R1062" s="74"/>
      <c r="S1062" s="74"/>
      <c r="T1062" s="74"/>
      <c r="U1062" s="74"/>
      <c r="V1062" s="74"/>
      <c r="W1062" s="74"/>
      <c r="X1062" s="74"/>
      <c r="Y1062" s="74"/>
      <c r="Z1062" s="74"/>
      <c r="AA1062" s="74"/>
      <c r="AB1062" s="74"/>
    </row>
    <row r="1063" spans="1:28" ht="12" customHeight="1">
      <c r="A1063" s="763"/>
      <c r="B1063" s="104"/>
      <c r="C1063" s="104"/>
      <c r="D1063" s="260"/>
      <c r="E1063" s="104"/>
      <c r="F1063" s="104"/>
      <c r="G1063" s="35"/>
      <c r="H1063" s="104"/>
      <c r="I1063" s="35"/>
      <c r="J1063" s="74"/>
      <c r="K1063" s="74"/>
      <c r="L1063" s="74"/>
      <c r="M1063" s="74"/>
      <c r="N1063" s="74"/>
      <c r="O1063" s="74"/>
      <c r="P1063" s="74"/>
      <c r="Q1063" s="74"/>
      <c r="R1063" s="74"/>
      <c r="S1063" s="74"/>
      <c r="T1063" s="74"/>
      <c r="U1063" s="74"/>
      <c r="V1063" s="74"/>
      <c r="W1063" s="74"/>
      <c r="X1063" s="74"/>
      <c r="Y1063" s="74"/>
      <c r="Z1063" s="74"/>
      <c r="AA1063" s="74"/>
      <c r="AB1063" s="74"/>
    </row>
    <row r="1064" spans="1:28" ht="12" customHeight="1">
      <c r="A1064" s="763"/>
      <c r="B1064" s="104"/>
      <c r="C1064" s="104"/>
      <c r="D1064" s="260"/>
      <c r="E1064" s="104"/>
      <c r="F1064" s="104"/>
      <c r="G1064" s="35"/>
      <c r="H1064" s="104"/>
      <c r="I1064" s="35"/>
      <c r="J1064" s="74"/>
      <c r="K1064" s="74"/>
      <c r="L1064" s="74"/>
      <c r="M1064" s="74"/>
      <c r="N1064" s="74"/>
      <c r="O1064" s="74"/>
      <c r="P1064" s="74"/>
      <c r="Q1064" s="74"/>
      <c r="R1064" s="74"/>
      <c r="S1064" s="74"/>
      <c r="T1064" s="74"/>
      <c r="U1064" s="74"/>
      <c r="V1064" s="74"/>
      <c r="W1064" s="74"/>
      <c r="X1064" s="74"/>
      <c r="Y1064" s="74"/>
      <c r="Z1064" s="74"/>
      <c r="AA1064" s="74"/>
      <c r="AB1064" s="74"/>
    </row>
    <row r="1065" spans="1:28" ht="12" customHeight="1">
      <c r="A1065" s="763"/>
      <c r="B1065" s="104"/>
      <c r="C1065" s="104"/>
      <c r="D1065" s="260"/>
      <c r="E1065" s="104"/>
      <c r="F1065" s="104"/>
      <c r="G1065" s="35"/>
      <c r="H1065" s="104"/>
      <c r="I1065" s="35"/>
      <c r="J1065" s="74"/>
      <c r="K1065" s="74"/>
      <c r="L1065" s="74"/>
      <c r="M1065" s="74"/>
      <c r="N1065" s="74"/>
      <c r="O1065" s="74"/>
      <c r="P1065" s="74"/>
      <c r="Q1065" s="74"/>
      <c r="R1065" s="74"/>
      <c r="S1065" s="74"/>
      <c r="T1065" s="74"/>
      <c r="U1065" s="74"/>
      <c r="V1065" s="74"/>
      <c r="W1065" s="74"/>
      <c r="X1065" s="74"/>
      <c r="Y1065" s="74"/>
      <c r="Z1065" s="74"/>
      <c r="AA1065" s="74"/>
      <c r="AB1065" s="74"/>
    </row>
    <row r="1066" spans="1:28" ht="12" customHeight="1">
      <c r="A1066" s="763"/>
      <c r="B1066" s="104"/>
      <c r="C1066" s="104"/>
      <c r="D1066" s="260"/>
      <c r="E1066" s="104"/>
      <c r="F1066" s="104"/>
      <c r="G1066" s="35"/>
      <c r="H1066" s="104"/>
      <c r="I1066" s="35"/>
      <c r="J1066" s="74"/>
      <c r="K1066" s="74"/>
      <c r="L1066" s="74"/>
      <c r="M1066" s="74"/>
      <c r="N1066" s="74"/>
      <c r="O1066" s="74"/>
      <c r="P1066" s="74"/>
      <c r="Q1066" s="74"/>
      <c r="R1066" s="74"/>
      <c r="S1066" s="74"/>
      <c r="T1066" s="74"/>
      <c r="U1066" s="74"/>
      <c r="V1066" s="74"/>
      <c r="W1066" s="74"/>
      <c r="X1066" s="74"/>
      <c r="Y1066" s="74"/>
      <c r="Z1066" s="74"/>
      <c r="AA1066" s="74"/>
      <c r="AB1066" s="74"/>
    </row>
    <row r="1067" spans="1:28" ht="12" customHeight="1">
      <c r="A1067" s="763"/>
      <c r="B1067" s="104"/>
      <c r="C1067" s="104"/>
      <c r="D1067" s="260"/>
      <c r="E1067" s="104"/>
      <c r="F1067" s="104"/>
      <c r="G1067" s="35"/>
      <c r="H1067" s="104"/>
      <c r="I1067" s="35"/>
      <c r="J1067" s="74"/>
      <c r="K1067" s="74"/>
      <c r="L1067" s="74"/>
      <c r="M1067" s="74"/>
      <c r="N1067" s="74"/>
      <c r="O1067" s="74"/>
      <c r="P1067" s="74"/>
      <c r="Q1067" s="74"/>
      <c r="R1067" s="74"/>
      <c r="S1067" s="74"/>
      <c r="T1067" s="74"/>
      <c r="U1067" s="74"/>
      <c r="V1067" s="74"/>
      <c r="W1067" s="74"/>
      <c r="X1067" s="74"/>
      <c r="Y1067" s="74"/>
      <c r="Z1067" s="74"/>
      <c r="AA1067" s="74"/>
      <c r="AB1067" s="74"/>
    </row>
    <row r="1068" spans="1:28" ht="12" customHeight="1">
      <c r="A1068" s="763"/>
      <c r="B1068" s="104"/>
      <c r="C1068" s="104"/>
      <c r="D1068" s="260"/>
      <c r="E1068" s="104"/>
      <c r="F1068" s="104"/>
      <c r="G1068" s="35"/>
      <c r="H1068" s="104"/>
      <c r="I1068" s="35"/>
      <c r="J1068" s="74"/>
      <c r="K1068" s="74"/>
      <c r="L1068" s="74"/>
      <c r="M1068" s="74"/>
      <c r="N1068" s="74"/>
      <c r="O1068" s="74"/>
      <c r="P1068" s="74"/>
      <c r="Q1068" s="74"/>
      <c r="R1068" s="74"/>
      <c r="S1068" s="74"/>
      <c r="T1068" s="74"/>
      <c r="U1068" s="74"/>
      <c r="V1068" s="74"/>
      <c r="W1068" s="74"/>
      <c r="X1068" s="74"/>
      <c r="Y1068" s="74"/>
      <c r="Z1068" s="74"/>
      <c r="AA1068" s="74"/>
      <c r="AB1068" s="74"/>
    </row>
    <row r="1069" spans="1:28" ht="12" customHeight="1">
      <c r="A1069" s="763"/>
      <c r="B1069" s="104"/>
      <c r="C1069" s="104"/>
      <c r="D1069" s="260"/>
      <c r="E1069" s="104"/>
      <c r="F1069" s="104"/>
      <c r="G1069" s="35"/>
      <c r="H1069" s="104"/>
      <c r="I1069" s="35"/>
      <c r="J1069" s="74"/>
      <c r="K1069" s="74"/>
      <c r="L1069" s="74"/>
      <c r="M1069" s="74"/>
      <c r="N1069" s="74"/>
      <c r="O1069" s="74"/>
      <c r="P1069" s="74"/>
      <c r="Q1069" s="74"/>
      <c r="R1069" s="74"/>
      <c r="S1069" s="74"/>
      <c r="T1069" s="74"/>
      <c r="U1069" s="74"/>
      <c r="V1069" s="74"/>
      <c r="W1069" s="74"/>
      <c r="X1069" s="74"/>
      <c r="Y1069" s="74"/>
      <c r="Z1069" s="74"/>
      <c r="AA1069" s="74"/>
      <c r="AB1069" s="74"/>
    </row>
    <row r="1070" spans="1:28" ht="12" customHeight="1">
      <c r="A1070" s="763"/>
      <c r="B1070" s="104"/>
      <c r="C1070" s="104"/>
      <c r="D1070" s="260"/>
      <c r="E1070" s="104"/>
      <c r="F1070" s="104"/>
      <c r="G1070" s="35"/>
      <c r="H1070" s="104"/>
      <c r="I1070" s="35"/>
      <c r="J1070" s="74"/>
      <c r="K1070" s="74"/>
      <c r="L1070" s="74"/>
      <c r="M1070" s="74"/>
      <c r="N1070" s="74"/>
      <c r="O1070" s="74"/>
      <c r="P1070" s="74"/>
      <c r="Q1070" s="74"/>
      <c r="R1070" s="74"/>
      <c r="S1070" s="74"/>
      <c r="T1070" s="74"/>
      <c r="U1070" s="74"/>
      <c r="V1070" s="74"/>
      <c r="W1070" s="74"/>
      <c r="X1070" s="74"/>
      <c r="Y1070" s="74"/>
      <c r="Z1070" s="74"/>
      <c r="AA1070" s="74"/>
      <c r="AB1070" s="74"/>
    </row>
    <row r="1071" spans="1:28" ht="12" customHeight="1">
      <c r="A1071" s="763"/>
      <c r="B1071" s="104"/>
      <c r="C1071" s="104"/>
      <c r="D1071" s="260"/>
      <c r="E1071" s="104"/>
      <c r="F1071" s="104"/>
      <c r="G1071" s="35"/>
      <c r="H1071" s="104"/>
      <c r="I1071" s="35"/>
      <c r="J1071" s="74"/>
      <c r="K1071" s="74"/>
      <c r="L1071" s="74"/>
      <c r="M1071" s="74"/>
      <c r="N1071" s="74"/>
      <c r="O1071" s="74"/>
      <c r="P1071" s="74"/>
      <c r="Q1071" s="74"/>
      <c r="R1071" s="74"/>
      <c r="S1071" s="74"/>
      <c r="T1071" s="74"/>
      <c r="U1071" s="74"/>
      <c r="V1071" s="74"/>
      <c r="W1071" s="74"/>
      <c r="X1071" s="74"/>
      <c r="Y1071" s="74"/>
      <c r="Z1071" s="74"/>
      <c r="AA1071" s="74"/>
      <c r="AB1071" s="74"/>
    </row>
    <row r="1072" spans="1:28" ht="12" customHeight="1">
      <c r="A1072" s="763"/>
      <c r="B1072" s="104"/>
      <c r="C1072" s="104"/>
      <c r="D1072" s="260"/>
      <c r="E1072" s="104"/>
      <c r="F1072" s="104"/>
      <c r="G1072" s="35"/>
      <c r="H1072" s="104"/>
      <c r="I1072" s="35"/>
      <c r="J1072" s="74"/>
      <c r="K1072" s="74"/>
      <c r="L1072" s="74"/>
      <c r="M1072" s="74"/>
      <c r="N1072" s="74"/>
      <c r="O1072" s="74"/>
      <c r="P1072" s="74"/>
      <c r="Q1072" s="74"/>
      <c r="R1072" s="74"/>
      <c r="S1072" s="74"/>
      <c r="T1072" s="74"/>
      <c r="U1072" s="74"/>
      <c r="V1072" s="74"/>
      <c r="W1072" s="74"/>
      <c r="X1072" s="74"/>
      <c r="Y1072" s="74"/>
      <c r="Z1072" s="74"/>
      <c r="AA1072" s="74"/>
      <c r="AB1072" s="74"/>
    </row>
    <row r="1073" spans="1:28" ht="12" customHeight="1">
      <c r="A1073" s="763"/>
      <c r="B1073" s="104"/>
      <c r="C1073" s="104"/>
      <c r="D1073" s="260"/>
      <c r="E1073" s="104"/>
      <c r="F1073" s="104"/>
      <c r="G1073" s="35"/>
      <c r="H1073" s="104"/>
      <c r="I1073" s="35"/>
      <c r="J1073" s="74"/>
      <c r="K1073" s="74"/>
      <c r="L1073" s="74"/>
      <c r="M1073" s="74"/>
      <c r="N1073" s="74"/>
      <c r="O1073" s="74"/>
      <c r="P1073" s="74"/>
      <c r="Q1073" s="74"/>
      <c r="R1073" s="74"/>
      <c r="S1073" s="74"/>
      <c r="T1073" s="74"/>
      <c r="U1073" s="74"/>
      <c r="V1073" s="74"/>
      <c r="W1073" s="74"/>
      <c r="X1073" s="74"/>
      <c r="Y1073" s="74"/>
      <c r="Z1073" s="74"/>
      <c r="AA1073" s="74"/>
      <c r="AB1073" s="74"/>
    </row>
    <row r="1074" spans="1:28" ht="12" customHeight="1">
      <c r="A1074" s="763"/>
      <c r="B1074" s="104"/>
      <c r="C1074" s="104"/>
      <c r="D1074" s="260"/>
      <c r="E1074" s="104"/>
      <c r="F1074" s="104"/>
      <c r="G1074" s="35"/>
      <c r="H1074" s="104"/>
      <c r="I1074" s="35"/>
      <c r="J1074" s="74"/>
      <c r="K1074" s="74"/>
      <c r="L1074" s="74"/>
      <c r="M1074" s="74"/>
      <c r="N1074" s="74"/>
      <c r="O1074" s="74"/>
      <c r="P1074" s="74"/>
      <c r="Q1074" s="74"/>
      <c r="R1074" s="74"/>
      <c r="S1074" s="74"/>
      <c r="T1074" s="74"/>
      <c r="U1074" s="74"/>
      <c r="V1074" s="74"/>
      <c r="W1074" s="74"/>
      <c r="X1074" s="74"/>
      <c r="Y1074" s="74"/>
      <c r="Z1074" s="74"/>
      <c r="AA1074" s="74"/>
      <c r="AB1074" s="74"/>
    </row>
    <row r="1075" spans="1:28" ht="12" customHeight="1">
      <c r="A1075" s="763"/>
      <c r="B1075" s="104"/>
      <c r="C1075" s="104"/>
      <c r="D1075" s="260"/>
      <c r="E1075" s="104"/>
      <c r="F1075" s="104"/>
      <c r="G1075" s="35"/>
      <c r="H1075" s="104"/>
      <c r="I1075" s="35"/>
      <c r="J1075" s="74"/>
      <c r="K1075" s="74"/>
      <c r="L1075" s="74"/>
      <c r="M1075" s="74"/>
      <c r="N1075" s="74"/>
      <c r="O1075" s="74"/>
      <c r="P1075" s="74"/>
      <c r="Q1075" s="74"/>
      <c r="R1075" s="74"/>
      <c r="S1075" s="74"/>
      <c r="T1075" s="74"/>
      <c r="U1075" s="74"/>
      <c r="V1075" s="74"/>
      <c r="W1075" s="74"/>
      <c r="X1075" s="74"/>
      <c r="Y1075" s="74"/>
      <c r="Z1075" s="74"/>
      <c r="AA1075" s="74"/>
      <c r="AB1075" s="74"/>
    </row>
    <row r="1076" spans="1:28" ht="12" customHeight="1">
      <c r="A1076" s="763"/>
      <c r="B1076" s="104"/>
      <c r="C1076" s="104"/>
      <c r="D1076" s="260"/>
      <c r="E1076" s="104"/>
      <c r="F1076" s="104"/>
      <c r="G1076" s="35"/>
      <c r="H1076" s="104"/>
      <c r="I1076" s="35"/>
      <c r="J1076" s="74"/>
      <c r="K1076" s="74"/>
      <c r="L1076" s="74"/>
      <c r="M1076" s="74"/>
      <c r="N1076" s="74"/>
      <c r="O1076" s="74"/>
      <c r="P1076" s="74"/>
      <c r="Q1076" s="74"/>
      <c r="R1076" s="74"/>
      <c r="S1076" s="74"/>
      <c r="T1076" s="74"/>
      <c r="U1076" s="74"/>
      <c r="V1076" s="74"/>
      <c r="W1076" s="74"/>
      <c r="X1076" s="74"/>
      <c r="Y1076" s="74"/>
      <c r="Z1076" s="74"/>
      <c r="AA1076" s="74"/>
      <c r="AB1076" s="74"/>
    </row>
    <row r="1077" spans="1:28" ht="12" customHeight="1">
      <c r="A1077" s="763"/>
      <c r="B1077" s="104"/>
      <c r="C1077" s="104"/>
      <c r="D1077" s="260"/>
      <c r="E1077" s="104"/>
      <c r="F1077" s="104"/>
      <c r="G1077" s="35"/>
      <c r="H1077" s="104"/>
      <c r="I1077" s="35"/>
      <c r="J1077" s="74"/>
      <c r="K1077" s="74"/>
      <c r="L1077" s="74"/>
      <c r="M1077" s="74"/>
      <c r="N1077" s="74"/>
      <c r="O1077" s="74"/>
      <c r="P1077" s="74"/>
      <c r="Q1077" s="74"/>
      <c r="R1077" s="74"/>
      <c r="S1077" s="74"/>
      <c r="T1077" s="74"/>
      <c r="U1077" s="74"/>
      <c r="V1077" s="74"/>
      <c r="W1077" s="74"/>
      <c r="X1077" s="74"/>
      <c r="Y1077" s="74"/>
      <c r="Z1077" s="74"/>
      <c r="AA1077" s="74"/>
      <c r="AB1077" s="74"/>
    </row>
    <row r="1078" spans="1:28" ht="12" customHeight="1">
      <c r="A1078" s="763"/>
      <c r="B1078" s="104"/>
      <c r="C1078" s="104"/>
      <c r="D1078" s="260"/>
      <c r="E1078" s="104"/>
      <c r="F1078" s="104"/>
      <c r="G1078" s="35"/>
      <c r="H1078" s="104"/>
      <c r="I1078" s="35"/>
      <c r="J1078" s="74"/>
      <c r="K1078" s="74"/>
      <c r="L1078" s="74"/>
      <c r="M1078" s="74"/>
      <c r="N1078" s="74"/>
      <c r="O1078" s="74"/>
      <c r="P1078" s="74"/>
      <c r="Q1078" s="74"/>
      <c r="R1078" s="74"/>
      <c r="S1078" s="74"/>
      <c r="T1078" s="74"/>
      <c r="U1078" s="74"/>
      <c r="V1078" s="74"/>
      <c r="W1078" s="74"/>
      <c r="X1078" s="74"/>
      <c r="Y1078" s="74"/>
      <c r="Z1078" s="74"/>
      <c r="AA1078" s="74"/>
      <c r="AB1078" s="74"/>
    </row>
    <row r="1079" spans="1:28" ht="12" customHeight="1">
      <c r="A1079" s="763"/>
      <c r="B1079" s="104"/>
      <c r="C1079" s="104"/>
      <c r="D1079" s="260"/>
      <c r="E1079" s="104"/>
      <c r="F1079" s="104"/>
      <c r="G1079" s="35"/>
      <c r="H1079" s="104"/>
      <c r="I1079" s="35"/>
      <c r="J1079" s="74"/>
      <c r="K1079" s="74"/>
      <c r="L1079" s="74"/>
      <c r="M1079" s="74"/>
      <c r="N1079" s="74"/>
      <c r="O1079" s="74"/>
      <c r="P1079" s="74"/>
      <c r="Q1079" s="74"/>
      <c r="R1079" s="74"/>
      <c r="S1079" s="74"/>
      <c r="T1079" s="74"/>
      <c r="U1079" s="74"/>
      <c r="V1079" s="74"/>
      <c r="W1079" s="74"/>
      <c r="X1079" s="74"/>
      <c r="Y1079" s="74"/>
      <c r="Z1079" s="74"/>
      <c r="AA1079" s="74"/>
      <c r="AB1079" s="74"/>
    </row>
    <row r="1080" spans="1:28" ht="12" customHeight="1">
      <c r="A1080" s="763"/>
      <c r="B1080" s="104"/>
      <c r="C1080" s="104"/>
      <c r="D1080" s="260"/>
      <c r="E1080" s="104"/>
      <c r="F1080" s="104"/>
      <c r="G1080" s="35"/>
      <c r="H1080" s="104"/>
      <c r="I1080" s="35"/>
      <c r="J1080" s="74"/>
      <c r="K1080" s="74"/>
      <c r="L1080" s="74"/>
      <c r="M1080" s="74"/>
      <c r="N1080" s="74"/>
      <c r="O1080" s="74"/>
      <c r="P1080" s="74"/>
      <c r="Q1080" s="74"/>
      <c r="R1080" s="74"/>
      <c r="S1080" s="74"/>
      <c r="T1080" s="74"/>
      <c r="U1080" s="74"/>
      <c r="V1080" s="74"/>
      <c r="W1080" s="74"/>
      <c r="X1080" s="74"/>
      <c r="Y1080" s="74"/>
      <c r="Z1080" s="74"/>
      <c r="AA1080" s="74"/>
      <c r="AB1080" s="74"/>
    </row>
    <row r="1081" spans="1:28" ht="12" customHeight="1">
      <c r="A1081" s="763"/>
      <c r="B1081" s="104"/>
      <c r="C1081" s="104"/>
      <c r="D1081" s="260"/>
      <c r="E1081" s="104"/>
      <c r="F1081" s="104"/>
      <c r="G1081" s="35"/>
      <c r="H1081" s="104"/>
      <c r="I1081" s="35"/>
      <c r="J1081" s="74"/>
      <c r="K1081" s="74"/>
      <c r="L1081" s="74"/>
      <c r="M1081" s="74"/>
      <c r="N1081" s="74"/>
      <c r="O1081" s="74"/>
      <c r="P1081" s="74"/>
      <c r="Q1081" s="74"/>
      <c r="R1081" s="74"/>
      <c r="S1081" s="74"/>
      <c r="T1081" s="74"/>
      <c r="U1081" s="74"/>
      <c r="V1081" s="74"/>
      <c r="W1081" s="74"/>
      <c r="X1081" s="74"/>
      <c r="Y1081" s="74"/>
      <c r="Z1081" s="74"/>
      <c r="AA1081" s="74"/>
      <c r="AB1081" s="74"/>
    </row>
    <row r="1082" spans="1:28" ht="12" customHeight="1">
      <c r="A1082" s="763"/>
      <c r="B1082" s="104"/>
      <c r="C1082" s="104"/>
      <c r="D1082" s="260"/>
      <c r="E1082" s="104"/>
      <c r="F1082" s="104"/>
      <c r="G1082" s="35"/>
      <c r="H1082" s="104"/>
      <c r="I1082" s="35"/>
      <c r="J1082" s="74"/>
      <c r="K1082" s="74"/>
      <c r="L1082" s="74"/>
      <c r="M1082" s="74"/>
      <c r="N1082" s="74"/>
      <c r="O1082" s="74"/>
      <c r="P1082" s="74"/>
      <c r="Q1082" s="74"/>
      <c r="R1082" s="74"/>
      <c r="S1082" s="74"/>
      <c r="T1082" s="74"/>
      <c r="U1082" s="74"/>
      <c r="V1082" s="74"/>
      <c r="W1082" s="74"/>
      <c r="X1082" s="74"/>
      <c r="Y1082" s="74"/>
      <c r="Z1082" s="74"/>
      <c r="AA1082" s="74"/>
      <c r="AB1082" s="74"/>
    </row>
    <row r="1083" spans="1:28" ht="12" customHeight="1">
      <c r="A1083" s="763"/>
      <c r="B1083" s="104"/>
      <c r="C1083" s="104"/>
      <c r="D1083" s="260"/>
      <c r="E1083" s="104"/>
      <c r="F1083" s="104"/>
      <c r="G1083" s="35"/>
      <c r="H1083" s="104"/>
      <c r="I1083" s="35"/>
      <c r="J1083" s="74"/>
      <c r="K1083" s="74"/>
      <c r="L1083" s="74"/>
      <c r="M1083" s="74"/>
      <c r="N1083" s="74"/>
      <c r="O1083" s="74"/>
      <c r="P1083" s="74"/>
      <c r="Q1083" s="74"/>
      <c r="R1083" s="74"/>
      <c r="S1083" s="74"/>
      <c r="T1083" s="74"/>
      <c r="U1083" s="74"/>
      <c r="V1083" s="74"/>
      <c r="W1083" s="74"/>
      <c r="X1083" s="74"/>
      <c r="Y1083" s="74"/>
      <c r="Z1083" s="74"/>
      <c r="AA1083" s="74"/>
      <c r="AB1083" s="74"/>
    </row>
    <row r="1084" spans="1:28" ht="12" customHeight="1">
      <c r="A1084" s="763"/>
      <c r="B1084" s="104"/>
      <c r="C1084" s="104"/>
      <c r="D1084" s="260"/>
      <c r="E1084" s="104"/>
      <c r="F1084" s="104"/>
      <c r="G1084" s="35"/>
      <c r="H1084" s="104"/>
      <c r="I1084" s="35"/>
      <c r="J1084" s="74"/>
      <c r="K1084" s="74"/>
      <c r="L1084" s="74"/>
      <c r="M1084" s="74"/>
      <c r="N1084" s="74"/>
      <c r="O1084" s="74"/>
      <c r="P1084" s="74"/>
      <c r="Q1084" s="74"/>
      <c r="R1084" s="74"/>
      <c r="S1084" s="74"/>
      <c r="T1084" s="74"/>
      <c r="U1084" s="74"/>
      <c r="V1084" s="74"/>
      <c r="W1084" s="74"/>
      <c r="X1084" s="74"/>
      <c r="Y1084" s="74"/>
      <c r="Z1084" s="74"/>
      <c r="AA1084" s="74"/>
      <c r="AB1084" s="74"/>
    </row>
    <row r="1085" spans="1:28" ht="12" customHeight="1">
      <c r="A1085" s="763"/>
      <c r="B1085" s="104"/>
      <c r="C1085" s="104"/>
      <c r="D1085" s="260"/>
      <c r="E1085" s="104"/>
      <c r="F1085" s="104"/>
      <c r="G1085" s="35"/>
      <c r="H1085" s="104"/>
      <c r="I1085" s="35"/>
      <c r="J1085" s="74"/>
      <c r="K1085" s="74"/>
      <c r="L1085" s="74"/>
      <c r="M1085" s="74"/>
      <c r="N1085" s="74"/>
      <c r="O1085" s="74"/>
      <c r="P1085" s="74"/>
      <c r="Q1085" s="74"/>
      <c r="R1085" s="74"/>
      <c r="S1085" s="74"/>
      <c r="T1085" s="74"/>
      <c r="U1085" s="74"/>
      <c r="V1085" s="74"/>
      <c r="W1085" s="74"/>
      <c r="X1085" s="74"/>
      <c r="Y1085" s="74"/>
      <c r="Z1085" s="74"/>
      <c r="AA1085" s="74"/>
      <c r="AB1085" s="74"/>
    </row>
    <row r="1086" spans="1:28" ht="12" customHeight="1">
      <c r="A1086" s="763"/>
      <c r="B1086" s="104"/>
      <c r="C1086" s="104"/>
      <c r="D1086" s="260"/>
      <c r="E1086" s="104"/>
      <c r="F1086" s="104"/>
      <c r="G1086" s="35"/>
      <c r="H1086" s="104"/>
      <c r="I1086" s="35"/>
      <c r="J1086" s="74"/>
      <c r="K1086" s="74"/>
      <c r="L1086" s="74"/>
      <c r="M1086" s="74"/>
      <c r="N1086" s="74"/>
      <c r="O1086" s="74"/>
      <c r="P1086" s="74"/>
      <c r="Q1086" s="74"/>
      <c r="R1086" s="74"/>
      <c r="S1086" s="74"/>
      <c r="T1086" s="74"/>
      <c r="U1086" s="74"/>
      <c r="V1086" s="74"/>
      <c r="W1086" s="74"/>
      <c r="X1086" s="74"/>
      <c r="Y1086" s="74"/>
      <c r="Z1086" s="74"/>
      <c r="AA1086" s="74"/>
      <c r="AB1086" s="74"/>
    </row>
    <row r="1087" spans="1:28" ht="12" customHeight="1">
      <c r="A1087" s="763"/>
      <c r="B1087" s="104"/>
      <c r="C1087" s="104"/>
      <c r="D1087" s="260"/>
      <c r="E1087" s="104"/>
      <c r="F1087" s="104"/>
      <c r="G1087" s="35"/>
      <c r="H1087" s="104"/>
      <c r="I1087" s="35"/>
      <c r="J1087" s="74"/>
      <c r="K1087" s="74"/>
      <c r="L1087" s="74"/>
      <c r="M1087" s="74"/>
      <c r="N1087" s="74"/>
      <c r="O1087" s="74"/>
      <c r="P1087" s="74"/>
      <c r="Q1087" s="74"/>
      <c r="R1087" s="74"/>
      <c r="S1087" s="74"/>
      <c r="T1087" s="74"/>
      <c r="U1087" s="74"/>
      <c r="V1087" s="74"/>
      <c r="W1087" s="74"/>
      <c r="X1087" s="74"/>
      <c r="Y1087" s="74"/>
      <c r="Z1087" s="74"/>
      <c r="AA1087" s="74"/>
      <c r="AB1087" s="74"/>
    </row>
    <row r="1088" spans="1:28" ht="12" customHeight="1">
      <c r="A1088" s="763"/>
      <c r="B1088" s="104"/>
      <c r="C1088" s="104"/>
      <c r="D1088" s="260"/>
      <c r="E1088" s="104"/>
      <c r="F1088" s="104"/>
      <c r="G1088" s="35"/>
      <c r="H1088" s="104"/>
      <c r="I1088" s="35"/>
      <c r="J1088" s="74"/>
      <c r="K1088" s="74"/>
      <c r="L1088" s="74"/>
      <c r="M1088" s="74"/>
      <c r="N1088" s="74"/>
      <c r="O1088" s="74"/>
      <c r="P1088" s="74"/>
      <c r="Q1088" s="74"/>
      <c r="R1088" s="74"/>
      <c r="S1088" s="74"/>
      <c r="T1088" s="74"/>
      <c r="U1088" s="74"/>
      <c r="V1088" s="74"/>
      <c r="W1088" s="74"/>
      <c r="X1088" s="74"/>
      <c r="Y1088" s="74"/>
      <c r="Z1088" s="74"/>
      <c r="AA1088" s="74"/>
      <c r="AB1088" s="74"/>
    </row>
    <row r="1089" spans="1:28" ht="12" customHeight="1">
      <c r="A1089" s="763"/>
      <c r="B1089" s="104"/>
      <c r="C1089" s="104"/>
      <c r="D1089" s="260"/>
      <c r="E1089" s="104"/>
      <c r="F1089" s="104"/>
      <c r="G1089" s="35"/>
      <c r="H1089" s="104"/>
      <c r="I1089" s="35"/>
      <c r="J1089" s="74"/>
      <c r="K1089" s="74"/>
      <c r="L1089" s="74"/>
      <c r="M1089" s="74"/>
      <c r="N1089" s="74"/>
      <c r="O1089" s="74"/>
      <c r="P1089" s="74"/>
      <c r="Q1089" s="74"/>
      <c r="R1089" s="74"/>
      <c r="S1089" s="74"/>
      <c r="T1089" s="74"/>
      <c r="U1089" s="74"/>
      <c r="V1089" s="74"/>
      <c r="W1089" s="74"/>
      <c r="X1089" s="74"/>
      <c r="Y1089" s="74"/>
      <c r="Z1089" s="74"/>
      <c r="AA1089" s="74"/>
      <c r="AB1089" s="74"/>
    </row>
    <row r="1090" spans="1:28" ht="12" customHeight="1">
      <c r="A1090" s="763"/>
      <c r="B1090" s="104"/>
      <c r="C1090" s="104"/>
      <c r="D1090" s="260"/>
      <c r="E1090" s="104"/>
      <c r="F1090" s="104"/>
      <c r="G1090" s="35"/>
      <c r="H1090" s="104"/>
      <c r="I1090" s="35"/>
      <c r="J1090" s="74"/>
      <c r="K1090" s="74"/>
      <c r="L1090" s="74"/>
      <c r="M1090" s="74"/>
      <c r="N1090" s="74"/>
      <c r="O1090" s="74"/>
      <c r="P1090" s="74"/>
      <c r="Q1090" s="74"/>
      <c r="R1090" s="74"/>
      <c r="S1090" s="74"/>
      <c r="T1090" s="74"/>
      <c r="U1090" s="74"/>
      <c r="V1090" s="74"/>
      <c r="W1090" s="74"/>
      <c r="X1090" s="74"/>
      <c r="Y1090" s="74"/>
      <c r="Z1090" s="74"/>
      <c r="AA1090" s="74"/>
      <c r="AB1090" s="74"/>
    </row>
    <row r="1091" spans="1:28" ht="12" customHeight="1">
      <c r="A1091" s="763"/>
      <c r="B1091" s="104"/>
      <c r="C1091" s="104"/>
      <c r="D1091" s="260"/>
      <c r="E1091" s="104"/>
      <c r="F1091" s="104"/>
      <c r="G1091" s="35"/>
      <c r="H1091" s="104"/>
      <c r="I1091" s="35"/>
      <c r="J1091" s="74"/>
      <c r="K1091" s="74"/>
      <c r="L1091" s="74"/>
      <c r="M1091" s="74"/>
      <c r="N1091" s="74"/>
      <c r="O1091" s="74"/>
      <c r="P1091" s="74"/>
      <c r="Q1091" s="74"/>
      <c r="R1091" s="74"/>
      <c r="S1091" s="74"/>
      <c r="T1091" s="74"/>
      <c r="U1091" s="74"/>
      <c r="V1091" s="74"/>
      <c r="W1091" s="74"/>
      <c r="X1091" s="74"/>
      <c r="Y1091" s="74"/>
      <c r="Z1091" s="74"/>
      <c r="AA1091" s="74"/>
      <c r="AB1091" s="74"/>
    </row>
    <row r="1092" spans="1:28" ht="12" customHeight="1">
      <c r="A1092" s="763"/>
      <c r="B1092" s="104"/>
      <c r="C1092" s="104"/>
      <c r="D1092" s="260"/>
      <c r="E1092" s="104"/>
      <c r="F1092" s="104"/>
      <c r="G1092" s="35"/>
      <c r="H1092" s="104"/>
      <c r="I1092" s="35"/>
      <c r="J1092" s="74"/>
      <c r="K1092" s="74"/>
      <c r="L1092" s="74"/>
      <c r="M1092" s="74"/>
      <c r="N1092" s="74"/>
      <c r="O1092" s="74"/>
      <c r="P1092" s="74"/>
      <c r="Q1092" s="74"/>
      <c r="R1092" s="74"/>
      <c r="S1092" s="74"/>
      <c r="T1092" s="74"/>
      <c r="U1092" s="74"/>
      <c r="V1092" s="74"/>
      <c r="W1092" s="74"/>
      <c r="X1092" s="74"/>
      <c r="Y1092" s="74"/>
      <c r="Z1092" s="74"/>
      <c r="AA1092" s="74"/>
      <c r="AB1092" s="74"/>
    </row>
    <row r="1093" spans="1:28" ht="12" customHeight="1">
      <c r="A1093" s="763"/>
      <c r="B1093" s="104"/>
      <c r="C1093" s="104"/>
      <c r="D1093" s="260"/>
      <c r="E1093" s="104"/>
      <c r="F1093" s="104"/>
      <c r="G1093" s="35"/>
      <c r="H1093" s="104"/>
      <c r="I1093" s="35"/>
      <c r="J1093" s="74"/>
      <c r="K1093" s="74"/>
      <c r="L1093" s="74"/>
      <c r="M1093" s="74"/>
      <c r="N1093" s="74"/>
      <c r="O1093" s="74"/>
      <c r="P1093" s="74"/>
      <c r="Q1093" s="74"/>
      <c r="R1093" s="74"/>
      <c r="S1093" s="74"/>
      <c r="T1093" s="74"/>
      <c r="U1093" s="74"/>
      <c r="V1093" s="74"/>
      <c r="W1093" s="74"/>
      <c r="X1093" s="74"/>
      <c r="Y1093" s="74"/>
      <c r="Z1093" s="74"/>
      <c r="AA1093" s="74"/>
      <c r="AB1093" s="74"/>
    </row>
    <row r="1094" spans="1:28" ht="12" customHeight="1">
      <c r="A1094" s="763"/>
      <c r="B1094" s="104"/>
      <c r="C1094" s="104"/>
      <c r="D1094" s="260"/>
      <c r="E1094" s="104"/>
      <c r="F1094" s="104"/>
      <c r="G1094" s="35"/>
      <c r="H1094" s="104"/>
      <c r="I1094" s="35"/>
      <c r="J1094" s="74"/>
      <c r="K1094" s="74"/>
      <c r="L1094" s="74"/>
      <c r="M1094" s="74"/>
      <c r="N1094" s="74"/>
      <c r="O1094" s="74"/>
      <c r="P1094" s="74"/>
      <c r="Q1094" s="74"/>
      <c r="R1094" s="74"/>
      <c r="S1094" s="74"/>
      <c r="T1094" s="74"/>
      <c r="U1094" s="74"/>
      <c r="V1094" s="74"/>
      <c r="W1094" s="74"/>
      <c r="X1094" s="74"/>
      <c r="Y1094" s="74"/>
      <c r="Z1094" s="74"/>
      <c r="AA1094" s="74"/>
      <c r="AB1094" s="74"/>
    </row>
    <row r="1095" spans="1:28" ht="12" customHeight="1">
      <c r="A1095" s="763"/>
      <c r="B1095" s="104"/>
      <c r="C1095" s="104"/>
      <c r="D1095" s="260"/>
      <c r="E1095" s="104"/>
      <c r="F1095" s="104"/>
      <c r="G1095" s="35"/>
      <c r="H1095" s="104"/>
      <c r="I1095" s="35"/>
      <c r="J1095" s="74"/>
      <c r="K1095" s="74"/>
      <c r="L1095" s="74"/>
      <c r="M1095" s="74"/>
      <c r="N1095" s="74"/>
      <c r="O1095" s="74"/>
      <c r="P1095" s="74"/>
      <c r="Q1095" s="74"/>
      <c r="R1095" s="74"/>
      <c r="S1095" s="74"/>
      <c r="T1095" s="74"/>
      <c r="U1095" s="74"/>
      <c r="V1095" s="74"/>
      <c r="W1095" s="74"/>
      <c r="X1095" s="74"/>
      <c r="Y1095" s="74"/>
      <c r="Z1095" s="74"/>
      <c r="AA1095" s="74"/>
      <c r="AB1095" s="74"/>
    </row>
    <row r="1096" spans="1:28" ht="12" customHeight="1">
      <c r="A1096" s="763"/>
      <c r="B1096" s="104"/>
      <c r="C1096" s="104"/>
      <c r="D1096" s="260"/>
      <c r="E1096" s="104"/>
      <c r="F1096" s="104"/>
      <c r="G1096" s="35"/>
      <c r="H1096" s="104"/>
      <c r="I1096" s="35"/>
      <c r="J1096" s="74"/>
      <c r="K1096" s="74"/>
      <c r="L1096" s="74"/>
      <c r="M1096" s="74"/>
      <c r="N1096" s="74"/>
      <c r="O1096" s="74"/>
      <c r="P1096" s="74"/>
      <c r="Q1096" s="74"/>
      <c r="R1096" s="74"/>
      <c r="S1096" s="74"/>
      <c r="T1096" s="74"/>
      <c r="U1096" s="74"/>
      <c r="V1096" s="74"/>
      <c r="W1096" s="74"/>
      <c r="X1096" s="74"/>
      <c r="Y1096" s="74"/>
      <c r="Z1096" s="74"/>
      <c r="AA1096" s="74"/>
      <c r="AB1096" s="74"/>
    </row>
  </sheetData>
  <autoFilter ref="A5:AB120" xr:uid="{00000000-0009-0000-0000-00001B000000}"/>
  <mergeCells count="3">
    <mergeCell ref="A1:H1"/>
    <mergeCell ref="A2:F2"/>
    <mergeCell ref="A4:F4"/>
  </mergeCells>
  <hyperlinks>
    <hyperlink ref="F3" location="Menu por Procesos!A1" display="MENU" xr:uid="{00000000-0004-0000-1B00-000000000000}"/>
    <hyperlink ref="A6" r:id="rId1" xr:uid="{00000000-0004-0000-1B00-000001000000}"/>
    <hyperlink ref="A7" r:id="rId2" xr:uid="{00000000-0004-0000-1B00-000002000000}"/>
    <hyperlink ref="A8" r:id="rId3" xr:uid="{00000000-0004-0000-1B00-000003000000}"/>
    <hyperlink ref="A9" r:id="rId4" xr:uid="{00000000-0004-0000-1B00-000004000000}"/>
    <hyperlink ref="A10" r:id="rId5" xr:uid="{00000000-0004-0000-1B00-000005000000}"/>
    <hyperlink ref="A11" r:id="rId6" xr:uid="{00000000-0004-0000-1B00-000006000000}"/>
    <hyperlink ref="A12" r:id="rId7" xr:uid="{00000000-0004-0000-1B00-000007000000}"/>
    <hyperlink ref="A13" r:id="rId8" xr:uid="{00000000-0004-0000-1B00-000008000000}"/>
    <hyperlink ref="A14" r:id="rId9" xr:uid="{00000000-0004-0000-1B00-000009000000}"/>
    <hyperlink ref="A15" r:id="rId10" xr:uid="{00000000-0004-0000-1B00-00000A000000}"/>
    <hyperlink ref="A17" r:id="rId11" xr:uid="{00000000-0004-0000-1B00-00000B000000}"/>
    <hyperlink ref="A18" r:id="rId12" xr:uid="{00000000-0004-0000-1B00-00000C000000}"/>
    <hyperlink ref="A19" r:id="rId13" xr:uid="{00000000-0004-0000-1B00-00000D000000}"/>
    <hyperlink ref="A20" r:id="rId14" xr:uid="{00000000-0004-0000-1B00-00000E000000}"/>
    <hyperlink ref="A21" r:id="rId15" xr:uid="{00000000-0004-0000-1B00-00000F000000}"/>
    <hyperlink ref="A22" r:id="rId16" xr:uid="{00000000-0004-0000-1B00-000010000000}"/>
    <hyperlink ref="A23" r:id="rId17" xr:uid="{00000000-0004-0000-1B00-000011000000}"/>
    <hyperlink ref="A24" r:id="rId18" xr:uid="{00000000-0004-0000-1B00-000012000000}"/>
    <hyperlink ref="A25" r:id="rId19" xr:uid="{00000000-0004-0000-1B00-000013000000}"/>
    <hyperlink ref="A26" r:id="rId20" xr:uid="{00000000-0004-0000-1B00-000014000000}"/>
    <hyperlink ref="A27" r:id="rId21" xr:uid="{00000000-0004-0000-1B00-000015000000}"/>
    <hyperlink ref="A28" r:id="rId22" xr:uid="{00000000-0004-0000-1B00-000016000000}"/>
    <hyperlink ref="A29" r:id="rId23" xr:uid="{00000000-0004-0000-1B00-000017000000}"/>
    <hyperlink ref="A30" r:id="rId24" xr:uid="{00000000-0004-0000-1B00-000018000000}"/>
    <hyperlink ref="A31" r:id="rId25" location="608" xr:uid="{00000000-0004-0000-1B00-000019000000}"/>
  </hyperlinks>
  <pageMargins left="0.7" right="0.7" top="0.75" bottom="0.75" header="0" footer="0"/>
  <pageSetup orientation="landscape"/>
  <drawing r:id="rId26"/>
  <legacyDrawing r:id="rId2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9D18E"/>
  </sheetPr>
  <dimension ref="A1:AB1088"/>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30.7109375" customWidth="1"/>
    <col min="4" max="4" width="61.7109375" customWidth="1"/>
    <col min="5" max="5" width="28.5703125" customWidth="1"/>
    <col min="6" max="6" width="32.28515625" customWidth="1"/>
    <col min="7" max="8" width="0.42578125"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771" t="s">
        <v>232</v>
      </c>
      <c r="B1" s="772"/>
      <c r="C1" s="772"/>
      <c r="D1" s="772"/>
      <c r="E1" s="772"/>
      <c r="F1" s="772"/>
      <c r="G1" s="772"/>
      <c r="H1" s="772"/>
      <c r="I1" s="17"/>
      <c r="J1" s="18"/>
      <c r="K1" s="18"/>
      <c r="L1" s="18"/>
      <c r="M1" s="18"/>
      <c r="N1" s="18"/>
      <c r="O1" s="18"/>
      <c r="P1" s="18"/>
      <c r="Q1" s="18"/>
      <c r="R1" s="18"/>
      <c r="S1" s="18"/>
      <c r="T1" s="18"/>
      <c r="U1" s="18"/>
      <c r="V1" s="18"/>
      <c r="W1" s="18"/>
      <c r="X1" s="18"/>
      <c r="Y1" s="18"/>
      <c r="Z1" s="18"/>
      <c r="AA1" s="18"/>
      <c r="AB1" s="18"/>
    </row>
    <row r="2" spans="1:28" ht="31.5" customHeight="1">
      <c r="A2" s="767" t="s">
        <v>28</v>
      </c>
      <c r="B2" s="765"/>
      <c r="C2" s="765"/>
      <c r="D2" s="765"/>
      <c r="E2" s="765"/>
      <c r="F2" s="766"/>
      <c r="G2" s="15"/>
      <c r="H2" s="16"/>
      <c r="I2" s="17"/>
      <c r="J2" s="18"/>
      <c r="K2" s="18"/>
      <c r="L2" s="18"/>
      <c r="M2" s="18"/>
      <c r="N2" s="18"/>
      <c r="O2" s="18"/>
      <c r="P2" s="18"/>
      <c r="Q2" s="18"/>
      <c r="R2" s="18"/>
      <c r="S2" s="18"/>
      <c r="T2" s="18"/>
      <c r="U2" s="18"/>
      <c r="V2" s="18"/>
      <c r="W2" s="18"/>
      <c r="X2" s="18"/>
      <c r="Y2" s="18"/>
      <c r="Z2" s="18"/>
      <c r="AA2" s="18"/>
      <c r="AB2" s="18"/>
    </row>
    <row r="3" spans="1:28" ht="24.75" customHeight="1">
      <c r="A3" s="75" t="s">
        <v>233</v>
      </c>
      <c r="B3" s="19"/>
      <c r="C3" s="19"/>
      <c r="D3" s="19"/>
      <c r="E3" s="19"/>
      <c r="F3" s="20" t="s">
        <v>30</v>
      </c>
      <c r="G3" s="19"/>
      <c r="H3" s="21"/>
      <c r="I3" s="17"/>
      <c r="J3" s="18"/>
      <c r="K3" s="18"/>
      <c r="L3" s="18"/>
      <c r="M3" s="18"/>
      <c r="N3" s="18"/>
      <c r="O3" s="18"/>
      <c r="P3" s="18"/>
      <c r="Q3" s="18"/>
      <c r="R3" s="18"/>
      <c r="S3" s="18"/>
      <c r="T3" s="18"/>
      <c r="U3" s="18"/>
      <c r="V3" s="18"/>
      <c r="W3" s="18"/>
      <c r="X3" s="18"/>
      <c r="Y3" s="18"/>
      <c r="Z3" s="18"/>
      <c r="AA3" s="18"/>
      <c r="AB3" s="18"/>
    </row>
    <row r="4" spans="1:28" ht="33" customHeight="1">
      <c r="A4" s="770" t="s">
        <v>234</v>
      </c>
      <c r="B4" s="765"/>
      <c r="C4" s="765"/>
      <c r="D4" s="765"/>
      <c r="E4" s="765"/>
      <c r="F4" s="766"/>
      <c r="G4" s="16"/>
      <c r="H4" s="22"/>
      <c r="I4" s="17"/>
      <c r="J4" s="18"/>
      <c r="K4" s="18"/>
      <c r="L4" s="18"/>
      <c r="M4" s="18"/>
      <c r="N4" s="18"/>
      <c r="O4" s="18"/>
      <c r="P4" s="18"/>
      <c r="Q4" s="18"/>
      <c r="R4" s="18"/>
      <c r="S4" s="18"/>
      <c r="T4" s="18"/>
      <c r="U4" s="18"/>
      <c r="V4" s="18"/>
      <c r="W4" s="18"/>
      <c r="X4" s="18"/>
      <c r="Y4" s="18"/>
      <c r="Z4" s="18"/>
      <c r="AA4" s="18"/>
      <c r="AB4" s="18"/>
    </row>
    <row r="5" spans="1:28" ht="34.5" customHeight="1">
      <c r="A5" s="76" t="s">
        <v>235</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c r="A6" s="77" t="s">
        <v>236</v>
      </c>
      <c r="B6" s="78" t="s">
        <v>237</v>
      </c>
      <c r="C6" s="79" t="s">
        <v>238</v>
      </c>
      <c r="D6" s="80" t="s">
        <v>239</v>
      </c>
      <c r="E6" s="81" t="s">
        <v>41</v>
      </c>
      <c r="F6" s="81" t="s">
        <v>42</v>
      </c>
      <c r="G6" s="82"/>
      <c r="H6" s="81" t="s">
        <v>240</v>
      </c>
      <c r="I6" s="83"/>
      <c r="J6" s="36"/>
      <c r="K6" s="36"/>
      <c r="L6" s="36"/>
      <c r="M6" s="36"/>
      <c r="N6" s="36"/>
      <c r="O6" s="36"/>
      <c r="P6" s="36"/>
      <c r="Q6" s="36"/>
      <c r="R6" s="36"/>
      <c r="S6" s="36"/>
      <c r="T6" s="36"/>
      <c r="U6" s="36"/>
      <c r="V6" s="36"/>
      <c r="W6" s="36"/>
      <c r="X6" s="36"/>
      <c r="Y6" s="36"/>
      <c r="Z6" s="36"/>
      <c r="AA6" s="36"/>
      <c r="AB6" s="36"/>
    </row>
    <row r="7" spans="1:28" ht="24" customHeight="1">
      <c r="A7" s="77" t="s">
        <v>241</v>
      </c>
      <c r="B7" s="78">
        <v>26019</v>
      </c>
      <c r="C7" s="79" t="s">
        <v>57</v>
      </c>
      <c r="D7" s="80" t="s">
        <v>242</v>
      </c>
      <c r="E7" s="81" t="s">
        <v>41</v>
      </c>
      <c r="F7" s="81" t="s">
        <v>42</v>
      </c>
      <c r="G7" s="82"/>
      <c r="H7" s="81" t="s">
        <v>240</v>
      </c>
      <c r="I7" s="83"/>
      <c r="J7" s="36"/>
      <c r="K7" s="36"/>
      <c r="L7" s="36"/>
      <c r="M7" s="36"/>
      <c r="N7" s="36"/>
      <c r="O7" s="36"/>
      <c r="P7" s="36"/>
      <c r="Q7" s="36"/>
      <c r="R7" s="36"/>
      <c r="S7" s="36"/>
      <c r="T7" s="36"/>
      <c r="U7" s="36"/>
      <c r="V7" s="36"/>
      <c r="W7" s="36"/>
      <c r="X7" s="36"/>
      <c r="Y7" s="36"/>
      <c r="Z7" s="36"/>
      <c r="AA7" s="36"/>
      <c r="AB7" s="36"/>
    </row>
    <row r="8" spans="1:28" ht="24" customHeight="1">
      <c r="A8" s="77" t="s">
        <v>243</v>
      </c>
      <c r="B8" s="84">
        <v>28529</v>
      </c>
      <c r="C8" s="79" t="s">
        <v>195</v>
      </c>
      <c r="D8" s="80" t="s">
        <v>244</v>
      </c>
      <c r="E8" s="81" t="s">
        <v>41</v>
      </c>
      <c r="F8" s="81" t="s">
        <v>42</v>
      </c>
      <c r="G8" s="82"/>
      <c r="H8" s="81" t="s">
        <v>240</v>
      </c>
      <c r="I8" s="83"/>
      <c r="J8" s="36"/>
      <c r="K8" s="36"/>
      <c r="L8" s="36"/>
      <c r="M8" s="36"/>
      <c r="N8" s="36"/>
      <c r="O8" s="36"/>
      <c r="P8" s="36"/>
      <c r="Q8" s="36"/>
      <c r="R8" s="36"/>
      <c r="S8" s="36"/>
      <c r="T8" s="36"/>
      <c r="U8" s="36"/>
      <c r="V8" s="36"/>
      <c r="W8" s="36"/>
      <c r="X8" s="36"/>
      <c r="Y8" s="36"/>
      <c r="Z8" s="36"/>
      <c r="AA8" s="36"/>
      <c r="AB8" s="36"/>
    </row>
    <row r="9" spans="1:28" ht="36" customHeight="1">
      <c r="A9" s="77" t="s">
        <v>245</v>
      </c>
      <c r="B9" s="85">
        <v>34270</v>
      </c>
      <c r="C9" s="79" t="s">
        <v>39</v>
      </c>
      <c r="D9" s="80" t="s">
        <v>246</v>
      </c>
      <c r="E9" s="81" t="s">
        <v>41</v>
      </c>
      <c r="F9" s="81" t="s">
        <v>42</v>
      </c>
      <c r="G9" s="82"/>
      <c r="H9" s="81" t="s">
        <v>240</v>
      </c>
      <c r="I9" s="83"/>
      <c r="J9" s="36"/>
      <c r="K9" s="36"/>
      <c r="L9" s="36"/>
      <c r="M9" s="36"/>
      <c r="N9" s="36"/>
      <c r="O9" s="36"/>
      <c r="P9" s="36"/>
      <c r="Q9" s="36"/>
      <c r="R9" s="36"/>
      <c r="S9" s="36"/>
      <c r="T9" s="36"/>
      <c r="U9" s="36"/>
      <c r="V9" s="36"/>
      <c r="W9" s="36"/>
      <c r="X9" s="36"/>
      <c r="Y9" s="36"/>
      <c r="Z9" s="36"/>
      <c r="AA9" s="36"/>
      <c r="AB9" s="36"/>
    </row>
    <row r="10" spans="1:28" ht="24" customHeight="1">
      <c r="A10" s="77" t="s">
        <v>247</v>
      </c>
      <c r="B10" s="86">
        <v>34326</v>
      </c>
      <c r="C10" s="79" t="s">
        <v>39</v>
      </c>
      <c r="D10" s="87" t="s">
        <v>248</v>
      </c>
      <c r="E10" s="81" t="s">
        <v>41</v>
      </c>
      <c r="F10" s="81" t="s">
        <v>42</v>
      </c>
      <c r="G10" s="82"/>
      <c r="H10" s="81" t="s">
        <v>240</v>
      </c>
      <c r="I10" s="83"/>
      <c r="J10" s="36"/>
      <c r="K10" s="36"/>
      <c r="L10" s="36"/>
      <c r="M10" s="36"/>
      <c r="N10" s="36"/>
      <c r="O10" s="36"/>
      <c r="P10" s="36"/>
      <c r="Q10" s="36"/>
      <c r="R10" s="36"/>
      <c r="S10" s="36"/>
      <c r="T10" s="36"/>
      <c r="U10" s="36"/>
      <c r="V10" s="36"/>
      <c r="W10" s="36"/>
      <c r="X10" s="36"/>
      <c r="Y10" s="36"/>
      <c r="Z10" s="36"/>
      <c r="AA10" s="36"/>
      <c r="AB10" s="36"/>
    </row>
    <row r="11" spans="1:28" ht="24" customHeight="1">
      <c r="A11" s="77" t="s">
        <v>249</v>
      </c>
      <c r="B11" s="78">
        <v>34855</v>
      </c>
      <c r="C11" s="79" t="s">
        <v>39</v>
      </c>
      <c r="D11" s="80" t="s">
        <v>250</v>
      </c>
      <c r="E11" s="81" t="s">
        <v>41</v>
      </c>
      <c r="F11" s="81" t="s">
        <v>42</v>
      </c>
      <c r="G11" s="82"/>
      <c r="H11" s="81" t="s">
        <v>240</v>
      </c>
      <c r="I11" s="83"/>
      <c r="J11" s="36"/>
      <c r="K11" s="36"/>
      <c r="L11" s="36"/>
      <c r="M11" s="36"/>
      <c r="N11" s="36"/>
      <c r="O11" s="36"/>
      <c r="P11" s="36"/>
      <c r="Q11" s="36"/>
      <c r="R11" s="36"/>
      <c r="S11" s="36"/>
      <c r="T11" s="36"/>
      <c r="U11" s="36"/>
      <c r="V11" s="36"/>
      <c r="W11" s="36"/>
      <c r="X11" s="36"/>
      <c r="Y11" s="36"/>
      <c r="Z11" s="36"/>
      <c r="AA11" s="36"/>
      <c r="AB11" s="36"/>
    </row>
    <row r="12" spans="1:28" ht="24" customHeight="1">
      <c r="A12" s="77" t="s">
        <v>251</v>
      </c>
      <c r="B12" s="78">
        <v>35062</v>
      </c>
      <c r="C12" s="79" t="s">
        <v>57</v>
      </c>
      <c r="D12" s="80" t="s">
        <v>252</v>
      </c>
      <c r="E12" s="81" t="s">
        <v>41</v>
      </c>
      <c r="F12" s="81" t="s">
        <v>42</v>
      </c>
      <c r="G12" s="82"/>
      <c r="H12" s="81" t="s">
        <v>240</v>
      </c>
      <c r="I12" s="83"/>
      <c r="J12" s="36"/>
      <c r="K12" s="36"/>
      <c r="L12" s="36"/>
      <c r="M12" s="36"/>
      <c r="N12" s="36"/>
      <c r="O12" s="36"/>
      <c r="P12" s="36"/>
      <c r="Q12" s="36"/>
      <c r="R12" s="36"/>
      <c r="S12" s="36"/>
      <c r="T12" s="36"/>
      <c r="U12" s="36"/>
      <c r="V12" s="36"/>
      <c r="W12" s="36"/>
      <c r="X12" s="36"/>
      <c r="Y12" s="36"/>
      <c r="Z12" s="36"/>
      <c r="AA12" s="36"/>
      <c r="AB12" s="36"/>
    </row>
    <row r="13" spans="1:28" ht="24" customHeight="1">
      <c r="A13" s="77" t="s">
        <v>253</v>
      </c>
      <c r="B13" s="78">
        <v>35069</v>
      </c>
      <c r="C13" s="79" t="s">
        <v>57</v>
      </c>
      <c r="D13" s="80" t="s">
        <v>254</v>
      </c>
      <c r="E13" s="81" t="s">
        <v>41</v>
      </c>
      <c r="F13" s="81" t="s">
        <v>42</v>
      </c>
      <c r="G13" s="82"/>
      <c r="H13" s="81" t="s">
        <v>240</v>
      </c>
      <c r="I13" s="83"/>
      <c r="J13" s="36"/>
      <c r="K13" s="36"/>
      <c r="L13" s="36"/>
      <c r="M13" s="36"/>
      <c r="N13" s="36"/>
      <c r="O13" s="36"/>
      <c r="P13" s="36"/>
      <c r="Q13" s="36"/>
      <c r="R13" s="36"/>
      <c r="S13" s="36"/>
      <c r="T13" s="36"/>
      <c r="U13" s="36"/>
      <c r="V13" s="36"/>
      <c r="W13" s="36"/>
      <c r="X13" s="36"/>
      <c r="Y13" s="36"/>
      <c r="Z13" s="36"/>
      <c r="AA13" s="36"/>
      <c r="AB13" s="36"/>
    </row>
    <row r="14" spans="1:28" ht="36" customHeight="1">
      <c r="A14" s="88" t="str">
        <f>HYPERLINK("https://www.alcaldiabogota.gov.co/sisjur/normas/Norma1.jsp?i=6372","LEY 418")</f>
        <v>LEY 418</v>
      </c>
      <c r="B14" s="85">
        <v>35790</v>
      </c>
      <c r="C14" s="79" t="s">
        <v>255</v>
      </c>
      <c r="D14" s="89" t="s">
        <v>256</v>
      </c>
      <c r="E14" s="81">
        <v>90</v>
      </c>
      <c r="F14" s="79" t="s">
        <v>257</v>
      </c>
      <c r="G14" s="90" t="s">
        <v>258</v>
      </c>
      <c r="H14" s="81" t="s">
        <v>240</v>
      </c>
      <c r="I14" s="83"/>
      <c r="J14" s="36"/>
      <c r="K14" s="36"/>
      <c r="L14" s="36"/>
      <c r="M14" s="36"/>
      <c r="N14" s="36"/>
      <c r="O14" s="36"/>
      <c r="P14" s="36"/>
      <c r="Q14" s="36"/>
      <c r="R14" s="36"/>
      <c r="S14" s="36"/>
      <c r="T14" s="36"/>
      <c r="U14" s="36"/>
      <c r="V14" s="36"/>
      <c r="W14" s="36"/>
      <c r="X14" s="36"/>
      <c r="Y14" s="36"/>
      <c r="Z14" s="36"/>
      <c r="AA14" s="36"/>
      <c r="AB14" s="36"/>
    </row>
    <row r="15" spans="1:28" ht="36">
      <c r="A15" s="77" t="s">
        <v>259</v>
      </c>
      <c r="B15" s="78">
        <v>36028</v>
      </c>
      <c r="C15" s="79" t="s">
        <v>260</v>
      </c>
      <c r="D15" s="80" t="s">
        <v>261</v>
      </c>
      <c r="E15" s="81" t="s">
        <v>41</v>
      </c>
      <c r="F15" s="81" t="s">
        <v>42</v>
      </c>
      <c r="G15" s="82"/>
      <c r="H15" s="81" t="s">
        <v>240</v>
      </c>
      <c r="I15" s="90"/>
      <c r="J15" s="36"/>
      <c r="K15" s="36"/>
      <c r="L15" s="36"/>
      <c r="M15" s="36"/>
      <c r="N15" s="36"/>
      <c r="O15" s="36"/>
      <c r="P15" s="36"/>
      <c r="Q15" s="36"/>
      <c r="R15" s="36"/>
      <c r="S15" s="36"/>
      <c r="T15" s="36"/>
      <c r="U15" s="36"/>
      <c r="V15" s="36"/>
      <c r="W15" s="36"/>
      <c r="X15" s="36"/>
      <c r="Y15" s="36"/>
      <c r="Z15" s="36"/>
      <c r="AA15" s="36"/>
      <c r="AB15" s="36"/>
    </row>
    <row r="16" spans="1:28" ht="41.25" customHeight="1">
      <c r="A16" s="77" t="s">
        <v>262</v>
      </c>
      <c r="B16" s="78">
        <v>36097</v>
      </c>
      <c r="C16" s="79" t="s">
        <v>260</v>
      </c>
      <c r="D16" s="80" t="s">
        <v>263</v>
      </c>
      <c r="E16" s="81" t="s">
        <v>41</v>
      </c>
      <c r="F16" s="81" t="s">
        <v>42</v>
      </c>
      <c r="G16" s="83"/>
      <c r="H16" s="91"/>
      <c r="I16" s="83"/>
      <c r="J16" s="36"/>
      <c r="K16" s="36"/>
      <c r="L16" s="36"/>
      <c r="M16" s="36"/>
      <c r="N16" s="36"/>
      <c r="O16" s="36"/>
      <c r="P16" s="36"/>
      <c r="Q16" s="36"/>
      <c r="R16" s="36"/>
      <c r="S16" s="36"/>
      <c r="T16" s="36"/>
      <c r="U16" s="36"/>
      <c r="V16" s="36"/>
      <c r="W16" s="36"/>
      <c r="X16" s="36"/>
      <c r="Y16" s="36"/>
      <c r="Z16" s="36"/>
      <c r="AA16" s="36"/>
      <c r="AB16" s="36"/>
    </row>
    <row r="17" spans="1:28" ht="48" customHeight="1">
      <c r="A17" s="77" t="s">
        <v>264</v>
      </c>
      <c r="B17" s="78">
        <v>36158</v>
      </c>
      <c r="C17" s="79" t="s">
        <v>39</v>
      </c>
      <c r="D17" s="80" t="s">
        <v>265</v>
      </c>
      <c r="E17" s="81" t="s">
        <v>41</v>
      </c>
      <c r="F17" s="81" t="s">
        <v>42</v>
      </c>
      <c r="G17" s="82"/>
      <c r="H17" s="81" t="s">
        <v>240</v>
      </c>
      <c r="I17" s="83"/>
      <c r="J17" s="36"/>
      <c r="K17" s="36"/>
      <c r="L17" s="36"/>
      <c r="M17" s="36"/>
      <c r="N17" s="36"/>
      <c r="O17" s="36"/>
      <c r="P17" s="36"/>
      <c r="Q17" s="36"/>
      <c r="R17" s="36"/>
      <c r="S17" s="36"/>
      <c r="T17" s="36"/>
      <c r="U17" s="36"/>
      <c r="V17" s="36"/>
      <c r="W17" s="36"/>
      <c r="X17" s="36"/>
      <c r="Y17" s="36"/>
      <c r="Z17" s="36"/>
      <c r="AA17" s="36"/>
      <c r="AB17" s="36"/>
    </row>
    <row r="18" spans="1:28" ht="39" customHeight="1">
      <c r="A18" s="77" t="s">
        <v>266</v>
      </c>
      <c r="B18" s="78">
        <v>36390</v>
      </c>
      <c r="C18" s="79" t="s">
        <v>255</v>
      </c>
      <c r="D18" s="80" t="s">
        <v>267</v>
      </c>
      <c r="E18" s="81" t="s">
        <v>41</v>
      </c>
      <c r="F18" s="81" t="s">
        <v>42</v>
      </c>
      <c r="G18" s="82"/>
      <c r="H18" s="81" t="s">
        <v>240</v>
      </c>
      <c r="I18" s="83"/>
      <c r="J18" s="36"/>
      <c r="K18" s="36"/>
      <c r="L18" s="36"/>
      <c r="M18" s="36"/>
      <c r="N18" s="36"/>
      <c r="O18" s="36"/>
      <c r="P18" s="36"/>
      <c r="Q18" s="36"/>
      <c r="R18" s="36"/>
      <c r="S18" s="36"/>
      <c r="T18" s="36"/>
      <c r="U18" s="36"/>
      <c r="V18" s="36"/>
      <c r="W18" s="36"/>
      <c r="X18" s="36"/>
      <c r="Y18" s="36"/>
      <c r="Z18" s="36"/>
      <c r="AA18" s="36"/>
      <c r="AB18" s="36"/>
    </row>
    <row r="19" spans="1:28" ht="36" customHeight="1">
      <c r="A19" s="77" t="s">
        <v>268</v>
      </c>
      <c r="B19" s="85">
        <v>37809</v>
      </c>
      <c r="C19" s="79" t="s">
        <v>39</v>
      </c>
      <c r="D19" s="80" t="s">
        <v>269</v>
      </c>
      <c r="E19" s="81" t="s">
        <v>41</v>
      </c>
      <c r="F19" s="81" t="s">
        <v>42</v>
      </c>
      <c r="G19" s="82"/>
      <c r="H19" s="81" t="s">
        <v>240</v>
      </c>
      <c r="I19" s="83"/>
      <c r="J19" s="36"/>
      <c r="K19" s="36"/>
      <c r="L19" s="36"/>
      <c r="M19" s="36"/>
      <c r="N19" s="36"/>
      <c r="O19" s="36"/>
      <c r="P19" s="36"/>
      <c r="Q19" s="36"/>
      <c r="R19" s="36"/>
      <c r="S19" s="36"/>
      <c r="T19" s="36"/>
      <c r="U19" s="36"/>
      <c r="V19" s="36"/>
      <c r="W19" s="36"/>
      <c r="X19" s="36"/>
      <c r="Y19" s="36"/>
      <c r="Z19" s="36"/>
      <c r="AA19" s="36"/>
      <c r="AB19" s="36"/>
    </row>
    <row r="20" spans="1:28" ht="24" customHeight="1">
      <c r="A20" s="77" t="s">
        <v>270</v>
      </c>
      <c r="B20" s="78">
        <v>37903</v>
      </c>
      <c r="C20" s="79" t="s">
        <v>39</v>
      </c>
      <c r="D20" s="80" t="s">
        <v>271</v>
      </c>
      <c r="E20" s="81" t="s">
        <v>41</v>
      </c>
      <c r="F20" s="81" t="s">
        <v>42</v>
      </c>
      <c r="G20" s="82"/>
      <c r="H20" s="81" t="s">
        <v>240</v>
      </c>
      <c r="I20" s="83"/>
      <c r="J20" s="36"/>
      <c r="K20" s="36"/>
      <c r="L20" s="36"/>
      <c r="M20" s="36"/>
      <c r="N20" s="36"/>
      <c r="O20" s="36"/>
      <c r="P20" s="36"/>
      <c r="Q20" s="36"/>
      <c r="R20" s="36"/>
      <c r="S20" s="36"/>
      <c r="T20" s="36"/>
      <c r="U20" s="36"/>
      <c r="V20" s="36"/>
      <c r="W20" s="36"/>
      <c r="X20" s="36"/>
      <c r="Y20" s="36"/>
      <c r="Z20" s="36"/>
      <c r="AA20" s="36"/>
      <c r="AB20" s="36"/>
    </row>
    <row r="21" spans="1:28" ht="25.5" customHeight="1">
      <c r="A21" s="77" t="s">
        <v>272</v>
      </c>
      <c r="B21" s="85">
        <v>38295</v>
      </c>
      <c r="C21" s="79" t="s">
        <v>273</v>
      </c>
      <c r="D21" s="80" t="s">
        <v>274</v>
      </c>
      <c r="E21" s="81" t="s">
        <v>41</v>
      </c>
      <c r="F21" s="81" t="s">
        <v>42</v>
      </c>
      <c r="G21" s="82"/>
      <c r="H21" s="81" t="s">
        <v>240</v>
      </c>
      <c r="I21" s="90"/>
      <c r="J21" s="36"/>
      <c r="K21" s="36"/>
      <c r="L21" s="36"/>
      <c r="M21" s="36"/>
      <c r="N21" s="36"/>
      <c r="O21" s="36"/>
      <c r="P21" s="36"/>
      <c r="Q21" s="36"/>
      <c r="R21" s="36"/>
      <c r="S21" s="36"/>
      <c r="T21" s="36"/>
      <c r="U21" s="36"/>
      <c r="V21" s="36"/>
      <c r="W21" s="36"/>
      <c r="X21" s="36"/>
      <c r="Y21" s="36"/>
      <c r="Z21" s="36"/>
      <c r="AA21" s="36"/>
      <c r="AB21" s="36"/>
    </row>
    <row r="22" spans="1:28" ht="36" customHeight="1">
      <c r="A22" s="77" t="s">
        <v>275</v>
      </c>
      <c r="B22" s="78">
        <v>39279</v>
      </c>
      <c r="C22" s="79" t="s">
        <v>39</v>
      </c>
      <c r="D22" s="80" t="s">
        <v>276</v>
      </c>
      <c r="E22" s="81" t="s">
        <v>41</v>
      </c>
      <c r="F22" s="81" t="s">
        <v>42</v>
      </c>
      <c r="G22" s="82"/>
      <c r="H22" s="81" t="s">
        <v>240</v>
      </c>
      <c r="I22" s="83"/>
      <c r="J22" s="36"/>
      <c r="K22" s="36"/>
      <c r="L22" s="36"/>
      <c r="M22" s="36"/>
      <c r="N22" s="36"/>
      <c r="O22" s="36"/>
      <c r="P22" s="36"/>
      <c r="Q22" s="36"/>
      <c r="R22" s="36"/>
      <c r="S22" s="36"/>
      <c r="T22" s="36"/>
      <c r="U22" s="36"/>
      <c r="V22" s="36"/>
      <c r="W22" s="36"/>
      <c r="X22" s="36"/>
      <c r="Y22" s="36"/>
      <c r="Z22" s="36"/>
      <c r="AA22" s="36"/>
      <c r="AB22" s="36"/>
    </row>
    <row r="23" spans="1:28" ht="38.25" customHeight="1">
      <c r="A23" s="77" t="s">
        <v>277</v>
      </c>
      <c r="B23" s="85">
        <v>40420</v>
      </c>
      <c r="C23" s="79" t="s">
        <v>61</v>
      </c>
      <c r="D23" s="80" t="s">
        <v>278</v>
      </c>
      <c r="E23" s="81">
        <v>2</v>
      </c>
      <c r="F23" s="79" t="s">
        <v>279</v>
      </c>
      <c r="G23" s="82"/>
      <c r="H23" s="81" t="s">
        <v>240</v>
      </c>
      <c r="I23" s="90"/>
      <c r="J23" s="36"/>
      <c r="K23" s="36"/>
      <c r="L23" s="36"/>
      <c r="M23" s="36"/>
      <c r="N23" s="36"/>
      <c r="O23" s="36"/>
      <c r="P23" s="36"/>
      <c r="Q23" s="36"/>
      <c r="R23" s="36"/>
      <c r="S23" s="36"/>
      <c r="T23" s="36"/>
      <c r="U23" s="36"/>
      <c r="V23" s="36"/>
      <c r="W23" s="36"/>
      <c r="X23" s="36"/>
      <c r="Y23" s="36"/>
      <c r="Z23" s="36"/>
      <c r="AA23" s="36"/>
      <c r="AB23" s="36"/>
    </row>
    <row r="24" spans="1:28" ht="24" customHeight="1">
      <c r="A24" s="77" t="s">
        <v>280</v>
      </c>
      <c r="B24" s="84">
        <v>40561</v>
      </c>
      <c r="C24" s="79" t="s">
        <v>39</v>
      </c>
      <c r="D24" s="80" t="s">
        <v>281</v>
      </c>
      <c r="E24" s="81" t="s">
        <v>41</v>
      </c>
      <c r="F24" s="81" t="s">
        <v>42</v>
      </c>
      <c r="G24" s="82"/>
      <c r="H24" s="81" t="s">
        <v>240</v>
      </c>
      <c r="I24" s="90"/>
      <c r="J24" s="36"/>
      <c r="K24" s="36"/>
      <c r="L24" s="36"/>
      <c r="M24" s="36"/>
      <c r="N24" s="36"/>
      <c r="O24" s="36"/>
      <c r="P24" s="36"/>
      <c r="Q24" s="36"/>
      <c r="R24" s="36"/>
      <c r="S24" s="36"/>
      <c r="T24" s="36"/>
      <c r="U24" s="36"/>
      <c r="V24" s="36"/>
      <c r="W24" s="36"/>
      <c r="X24" s="36"/>
      <c r="Y24" s="36"/>
      <c r="Z24" s="36"/>
      <c r="AA24" s="36"/>
      <c r="AB24" s="36"/>
    </row>
    <row r="25" spans="1:28" ht="48" customHeight="1">
      <c r="A25" s="92" t="s">
        <v>282</v>
      </c>
      <c r="B25" s="78">
        <v>40574</v>
      </c>
      <c r="C25" s="79" t="s">
        <v>61</v>
      </c>
      <c r="D25" s="80" t="s">
        <v>283</v>
      </c>
      <c r="E25" s="81" t="s">
        <v>41</v>
      </c>
      <c r="F25" s="81" t="s">
        <v>42</v>
      </c>
      <c r="G25" s="82"/>
      <c r="H25" s="81" t="s">
        <v>240</v>
      </c>
      <c r="I25" s="83"/>
      <c r="J25" s="36"/>
      <c r="K25" s="36"/>
      <c r="L25" s="36"/>
      <c r="M25" s="36"/>
      <c r="N25" s="36"/>
      <c r="O25" s="36"/>
      <c r="P25" s="36"/>
      <c r="Q25" s="36"/>
      <c r="R25" s="36"/>
      <c r="S25" s="36"/>
      <c r="T25" s="36"/>
      <c r="U25" s="36"/>
      <c r="V25" s="36"/>
      <c r="W25" s="36"/>
      <c r="X25" s="36"/>
      <c r="Y25" s="36"/>
      <c r="Z25" s="36"/>
      <c r="AA25" s="36"/>
      <c r="AB25" s="36"/>
    </row>
    <row r="26" spans="1:28" ht="24" customHeight="1">
      <c r="A26" s="77" t="s">
        <v>284</v>
      </c>
      <c r="B26" s="78">
        <v>40723</v>
      </c>
      <c r="C26" s="79" t="s">
        <v>61</v>
      </c>
      <c r="D26" s="80" t="s">
        <v>285</v>
      </c>
      <c r="E26" s="81" t="s">
        <v>41</v>
      </c>
      <c r="F26" s="81" t="s">
        <v>42</v>
      </c>
      <c r="G26" s="82"/>
      <c r="H26" s="81" t="s">
        <v>240</v>
      </c>
      <c r="I26" s="83"/>
      <c r="J26" s="36"/>
      <c r="K26" s="36"/>
      <c r="L26" s="36"/>
      <c r="M26" s="36"/>
      <c r="N26" s="36"/>
      <c r="O26" s="36"/>
      <c r="P26" s="36"/>
      <c r="Q26" s="36"/>
      <c r="R26" s="36"/>
      <c r="S26" s="36"/>
      <c r="T26" s="36"/>
      <c r="U26" s="36"/>
      <c r="V26" s="36"/>
      <c r="W26" s="36"/>
      <c r="X26" s="36"/>
      <c r="Y26" s="36"/>
      <c r="Z26" s="36"/>
      <c r="AA26" s="36"/>
      <c r="AB26" s="36"/>
    </row>
    <row r="27" spans="1:28" ht="41.25" customHeight="1">
      <c r="A27" s="77" t="s">
        <v>286</v>
      </c>
      <c r="B27" s="84">
        <v>40736</v>
      </c>
      <c r="C27" s="79" t="s">
        <v>39</v>
      </c>
      <c r="D27" s="80" t="s">
        <v>54</v>
      </c>
      <c r="E27" s="81" t="s">
        <v>41</v>
      </c>
      <c r="F27" s="81" t="s">
        <v>42</v>
      </c>
      <c r="G27" s="82"/>
      <c r="H27" s="81" t="s">
        <v>240</v>
      </c>
      <c r="I27" s="90"/>
      <c r="J27" s="36"/>
      <c r="K27" s="36"/>
      <c r="L27" s="36"/>
      <c r="M27" s="36"/>
      <c r="N27" s="36"/>
      <c r="O27" s="36"/>
      <c r="P27" s="36"/>
      <c r="Q27" s="36"/>
      <c r="R27" s="36"/>
      <c r="S27" s="36"/>
      <c r="T27" s="36"/>
      <c r="U27" s="36"/>
      <c r="V27" s="36"/>
      <c r="W27" s="36"/>
      <c r="X27" s="36"/>
      <c r="Y27" s="36"/>
      <c r="Z27" s="36"/>
      <c r="AA27" s="36"/>
      <c r="AB27" s="36"/>
    </row>
    <row r="28" spans="1:28" ht="36" customHeight="1">
      <c r="A28" s="77" t="s">
        <v>287</v>
      </c>
      <c r="B28" s="78">
        <v>40786</v>
      </c>
      <c r="C28" s="79" t="s">
        <v>130</v>
      </c>
      <c r="D28" s="80" t="s">
        <v>288</v>
      </c>
      <c r="E28" s="81" t="s">
        <v>41</v>
      </c>
      <c r="F28" s="81" t="s">
        <v>42</v>
      </c>
      <c r="G28" s="82"/>
      <c r="H28" s="81" t="s">
        <v>240</v>
      </c>
      <c r="I28" s="83"/>
      <c r="J28" s="36"/>
      <c r="K28" s="36"/>
      <c r="L28" s="36"/>
      <c r="M28" s="36"/>
      <c r="N28" s="36"/>
      <c r="O28" s="36"/>
      <c r="P28" s="36"/>
      <c r="Q28" s="36"/>
      <c r="R28" s="36"/>
      <c r="S28" s="36"/>
      <c r="T28" s="36"/>
      <c r="U28" s="36"/>
      <c r="V28" s="36"/>
      <c r="W28" s="36"/>
      <c r="X28" s="36"/>
      <c r="Y28" s="36"/>
      <c r="Z28" s="36"/>
      <c r="AA28" s="36"/>
      <c r="AB28" s="36"/>
    </row>
    <row r="29" spans="1:28" ht="24" customHeight="1">
      <c r="A29" s="88" t="str">
        <f>HYPERLINK("https://www.alcaldiabogota.gov.co/sisjur/normas/Norma1.jsp?i=44643","DECRETO 4170")</f>
        <v>DECRETO 4170</v>
      </c>
      <c r="B29" s="86">
        <v>40850</v>
      </c>
      <c r="C29" s="79" t="s">
        <v>57</v>
      </c>
      <c r="D29" s="80" t="s">
        <v>289</v>
      </c>
      <c r="E29" s="81" t="s">
        <v>41</v>
      </c>
      <c r="F29" s="81" t="s">
        <v>42</v>
      </c>
      <c r="G29" s="90" t="s">
        <v>258</v>
      </c>
      <c r="H29" s="81" t="s">
        <v>240</v>
      </c>
      <c r="I29" s="90"/>
      <c r="J29" s="36"/>
      <c r="K29" s="36"/>
      <c r="L29" s="36"/>
      <c r="M29" s="36"/>
      <c r="N29" s="36"/>
      <c r="O29" s="36"/>
      <c r="P29" s="36"/>
      <c r="Q29" s="36"/>
      <c r="R29" s="36"/>
      <c r="S29" s="36"/>
      <c r="T29" s="36"/>
      <c r="U29" s="36"/>
      <c r="V29" s="36"/>
      <c r="W29" s="36"/>
      <c r="X29" s="36"/>
      <c r="Y29" s="36"/>
      <c r="Z29" s="36"/>
      <c r="AA29" s="36"/>
      <c r="AB29" s="36"/>
    </row>
    <row r="30" spans="1:28" ht="24" customHeight="1">
      <c r="A30" s="77" t="s">
        <v>290</v>
      </c>
      <c r="B30" s="78">
        <v>40918</v>
      </c>
      <c r="C30" s="79" t="s">
        <v>39</v>
      </c>
      <c r="D30" s="80" t="s">
        <v>291</v>
      </c>
      <c r="E30" s="81" t="s">
        <v>41</v>
      </c>
      <c r="F30" s="81" t="s">
        <v>42</v>
      </c>
      <c r="G30" s="82"/>
      <c r="H30" s="81" t="s">
        <v>240</v>
      </c>
      <c r="I30" s="83"/>
      <c r="J30" s="36"/>
      <c r="K30" s="36"/>
      <c r="L30" s="36"/>
      <c r="M30" s="36"/>
      <c r="N30" s="36"/>
      <c r="O30" s="36"/>
      <c r="P30" s="36"/>
      <c r="Q30" s="36"/>
      <c r="R30" s="36"/>
      <c r="S30" s="36"/>
      <c r="T30" s="36"/>
      <c r="U30" s="36"/>
      <c r="V30" s="36"/>
      <c r="W30" s="36"/>
      <c r="X30" s="36"/>
      <c r="Y30" s="36"/>
      <c r="Z30" s="36"/>
      <c r="AA30" s="36"/>
      <c r="AB30" s="36"/>
    </row>
    <row r="31" spans="1:28" ht="24">
      <c r="A31" s="93" t="str">
        <f>HYPERLINK("https://www.alcaldiabogota.gov.co/sisjur/normas/Norma1.jsp?i=52668","RESOLUCIÓN 198")</f>
        <v>RESOLUCIÓN 198</v>
      </c>
      <c r="B31" s="78">
        <v>41379</v>
      </c>
      <c r="C31" s="79" t="s">
        <v>130</v>
      </c>
      <c r="D31" s="80" t="s">
        <v>292</v>
      </c>
      <c r="E31" s="81" t="s">
        <v>41</v>
      </c>
      <c r="F31" s="81" t="s">
        <v>42</v>
      </c>
      <c r="G31" s="82"/>
      <c r="H31" s="81" t="s">
        <v>240</v>
      </c>
      <c r="I31" s="83"/>
      <c r="J31" s="36"/>
      <c r="K31" s="36"/>
      <c r="L31" s="36"/>
      <c r="M31" s="36"/>
      <c r="N31" s="36"/>
      <c r="O31" s="36"/>
      <c r="P31" s="36"/>
      <c r="Q31" s="36"/>
      <c r="R31" s="36"/>
      <c r="S31" s="36"/>
      <c r="T31" s="36"/>
      <c r="U31" s="36"/>
      <c r="V31" s="36"/>
      <c r="W31" s="36"/>
      <c r="X31" s="36"/>
      <c r="Y31" s="36"/>
      <c r="Z31" s="36"/>
      <c r="AA31" s="36"/>
      <c r="AB31" s="36"/>
    </row>
    <row r="32" spans="1:28" ht="24" customHeight="1">
      <c r="A32" s="88" t="str">
        <f>HYPERLINK("https://www.alcaldiabogota.gov.co/sisjur/normas/Norma1.jsp?i=53776","DECRETO 1510")</f>
        <v>DECRETO 1510</v>
      </c>
      <c r="B32" s="78">
        <v>41472</v>
      </c>
      <c r="C32" s="79" t="s">
        <v>57</v>
      </c>
      <c r="D32" s="80" t="s">
        <v>293</v>
      </c>
      <c r="E32" s="81" t="s">
        <v>41</v>
      </c>
      <c r="F32" s="81" t="s">
        <v>42</v>
      </c>
      <c r="G32" s="90" t="s">
        <v>258</v>
      </c>
      <c r="H32" s="81" t="s">
        <v>240</v>
      </c>
      <c r="I32" s="83"/>
      <c r="J32" s="36"/>
      <c r="K32" s="36"/>
      <c r="L32" s="36"/>
      <c r="M32" s="36"/>
      <c r="N32" s="36"/>
      <c r="O32" s="36"/>
      <c r="P32" s="36"/>
      <c r="Q32" s="36"/>
      <c r="R32" s="36"/>
      <c r="S32" s="36"/>
      <c r="T32" s="36"/>
      <c r="U32" s="36"/>
      <c r="V32" s="36"/>
      <c r="W32" s="36"/>
      <c r="X32" s="36"/>
      <c r="Y32" s="36"/>
      <c r="Z32" s="36"/>
      <c r="AA32" s="36"/>
      <c r="AB32" s="36"/>
    </row>
    <row r="33" spans="1:28" ht="36" customHeight="1">
      <c r="A33" s="77" t="s">
        <v>294</v>
      </c>
      <c r="B33" s="78">
        <v>41704</v>
      </c>
      <c r="C33" s="79" t="s">
        <v>39</v>
      </c>
      <c r="D33" s="80" t="s">
        <v>295</v>
      </c>
      <c r="E33" s="81" t="s">
        <v>41</v>
      </c>
      <c r="F33" s="81" t="s">
        <v>42</v>
      </c>
      <c r="G33" s="82"/>
      <c r="H33" s="81" t="s">
        <v>240</v>
      </c>
      <c r="I33" s="83"/>
      <c r="J33" s="36"/>
      <c r="K33" s="36"/>
      <c r="L33" s="36"/>
      <c r="M33" s="36"/>
      <c r="N33" s="36"/>
      <c r="O33" s="36"/>
      <c r="P33" s="36"/>
      <c r="Q33" s="36"/>
      <c r="R33" s="36"/>
      <c r="S33" s="36"/>
      <c r="T33" s="36"/>
      <c r="U33" s="36"/>
      <c r="V33" s="36"/>
      <c r="W33" s="36"/>
      <c r="X33" s="36"/>
      <c r="Y33" s="36"/>
      <c r="Z33" s="36"/>
      <c r="AA33" s="36"/>
      <c r="AB33" s="36"/>
    </row>
    <row r="34" spans="1:28" ht="33.75" customHeight="1">
      <c r="A34" s="77" t="s">
        <v>296</v>
      </c>
      <c r="B34" s="78">
        <v>41751</v>
      </c>
      <c r="C34" s="79" t="s">
        <v>57</v>
      </c>
      <c r="D34" s="80" t="s">
        <v>297</v>
      </c>
      <c r="E34" s="81" t="s">
        <v>41</v>
      </c>
      <c r="F34" s="81" t="s">
        <v>42</v>
      </c>
      <c r="G34" s="82"/>
      <c r="H34" s="81" t="s">
        <v>240</v>
      </c>
      <c r="I34" s="83"/>
      <c r="J34" s="36"/>
      <c r="K34" s="36"/>
      <c r="L34" s="36"/>
      <c r="M34" s="36"/>
      <c r="N34" s="36"/>
      <c r="O34" s="36"/>
      <c r="P34" s="36"/>
      <c r="Q34" s="36"/>
      <c r="R34" s="36"/>
      <c r="S34" s="36"/>
      <c r="T34" s="36"/>
      <c r="U34" s="36"/>
      <c r="V34" s="36"/>
      <c r="W34" s="36"/>
      <c r="X34" s="36"/>
      <c r="Y34" s="36"/>
      <c r="Z34" s="36"/>
      <c r="AA34" s="36"/>
      <c r="AB34" s="36"/>
    </row>
    <row r="35" spans="1:28" ht="36" customHeight="1">
      <c r="A35" s="77" t="s">
        <v>298</v>
      </c>
      <c r="B35" s="78">
        <v>42024</v>
      </c>
      <c r="C35" s="79" t="s">
        <v>57</v>
      </c>
      <c r="D35" s="80" t="s">
        <v>299</v>
      </c>
      <c r="E35" s="81" t="s">
        <v>41</v>
      </c>
      <c r="F35" s="81" t="s">
        <v>42</v>
      </c>
      <c r="G35" s="82"/>
      <c r="H35" s="81" t="s">
        <v>240</v>
      </c>
      <c r="I35" s="83"/>
      <c r="J35" s="36"/>
      <c r="K35" s="36"/>
      <c r="L35" s="36"/>
      <c r="M35" s="36"/>
      <c r="N35" s="36"/>
      <c r="O35" s="36"/>
      <c r="P35" s="36"/>
      <c r="Q35" s="36"/>
      <c r="R35" s="36"/>
      <c r="S35" s="36"/>
      <c r="T35" s="36"/>
      <c r="U35" s="36"/>
      <c r="V35" s="36"/>
      <c r="W35" s="36"/>
      <c r="X35" s="36"/>
      <c r="Y35" s="36"/>
      <c r="Z35" s="36"/>
      <c r="AA35" s="36"/>
      <c r="AB35" s="36"/>
    </row>
    <row r="36" spans="1:28" ht="48" customHeight="1">
      <c r="A36" s="93" t="str">
        <f>HYPERLINK("https://www.alcaldiabogota.gov.co/sisjur/normas/Norma1.jsp?i=61276","RESOLUCIÓN 190")</f>
        <v>RESOLUCIÓN 190</v>
      </c>
      <c r="B36" s="78">
        <v>42072</v>
      </c>
      <c r="C36" s="79" t="s">
        <v>130</v>
      </c>
      <c r="D36" s="80" t="s">
        <v>300</v>
      </c>
      <c r="E36" s="81" t="s">
        <v>41</v>
      </c>
      <c r="F36" s="81" t="s">
        <v>42</v>
      </c>
      <c r="G36" s="82"/>
      <c r="H36" s="81" t="s">
        <v>240</v>
      </c>
      <c r="I36" s="83"/>
      <c r="J36" s="36"/>
      <c r="K36" s="36"/>
      <c r="L36" s="36"/>
      <c r="M36" s="36"/>
      <c r="N36" s="36"/>
      <c r="O36" s="36"/>
      <c r="P36" s="36"/>
      <c r="Q36" s="36"/>
      <c r="R36" s="36"/>
      <c r="S36" s="36"/>
      <c r="T36" s="36"/>
      <c r="U36" s="36"/>
      <c r="V36" s="36"/>
      <c r="W36" s="36"/>
      <c r="X36" s="36"/>
      <c r="Y36" s="36"/>
      <c r="Z36" s="36"/>
      <c r="AA36" s="36"/>
      <c r="AB36" s="36"/>
    </row>
    <row r="37" spans="1:28" ht="48" customHeight="1">
      <c r="A37" s="77" t="s">
        <v>301</v>
      </c>
      <c r="B37" s="85">
        <v>42150</v>
      </c>
      <c r="C37" s="79" t="s">
        <v>302</v>
      </c>
      <c r="D37" s="80" t="s">
        <v>303</v>
      </c>
      <c r="E37" s="81" t="s">
        <v>41</v>
      </c>
      <c r="F37" s="81" t="s">
        <v>42</v>
      </c>
      <c r="G37" s="90" t="s">
        <v>304</v>
      </c>
      <c r="H37" s="81" t="s">
        <v>240</v>
      </c>
      <c r="I37" s="90"/>
      <c r="J37" s="36"/>
      <c r="K37" s="36"/>
      <c r="L37" s="36"/>
      <c r="M37" s="36"/>
      <c r="N37" s="36"/>
      <c r="O37" s="36"/>
      <c r="P37" s="36"/>
      <c r="Q37" s="36"/>
      <c r="R37" s="36"/>
      <c r="S37" s="36"/>
      <c r="T37" s="36"/>
      <c r="U37" s="36"/>
      <c r="V37" s="36"/>
      <c r="W37" s="36"/>
      <c r="X37" s="36"/>
      <c r="Y37" s="36"/>
      <c r="Z37" s="36"/>
      <c r="AA37" s="36"/>
      <c r="AB37" s="36"/>
    </row>
    <row r="38" spans="1:28" ht="24" customHeight="1">
      <c r="A38" s="93" t="str">
        <f>HYPERLINK("https://www.alcaldiabogota.gov.co/sisjur/normas/Norma1.jsp?i=66263","RESOLUCIÓN 310")</f>
        <v>RESOLUCIÓN 310</v>
      </c>
      <c r="B38" s="78">
        <v>42501</v>
      </c>
      <c r="C38" s="79" t="s">
        <v>130</v>
      </c>
      <c r="D38" s="80" t="s">
        <v>305</v>
      </c>
      <c r="E38" s="81" t="s">
        <v>41</v>
      </c>
      <c r="F38" s="81" t="s">
        <v>42</v>
      </c>
      <c r="G38" s="90" t="s">
        <v>258</v>
      </c>
      <c r="H38" s="81" t="s">
        <v>240</v>
      </c>
      <c r="I38" s="90"/>
      <c r="J38" s="36"/>
      <c r="K38" s="36"/>
      <c r="L38" s="36"/>
      <c r="M38" s="36"/>
      <c r="N38" s="36"/>
      <c r="O38" s="36"/>
      <c r="P38" s="36"/>
      <c r="Q38" s="36"/>
      <c r="R38" s="36"/>
      <c r="S38" s="36"/>
      <c r="T38" s="36"/>
      <c r="U38" s="36"/>
      <c r="V38" s="36"/>
      <c r="W38" s="36"/>
      <c r="X38" s="36"/>
      <c r="Y38" s="36"/>
      <c r="Z38" s="36"/>
      <c r="AA38" s="36"/>
      <c r="AB38" s="36"/>
    </row>
    <row r="39" spans="1:28" ht="24" customHeight="1">
      <c r="A39" s="88" t="str">
        <f>HYPERLINK("https://www.alcaldiabogota.gov.co/sisjur/normas/Norma1.jsp?i=67988","DECRETO 092")</f>
        <v>DECRETO 092</v>
      </c>
      <c r="B39" s="85">
        <v>42758</v>
      </c>
      <c r="C39" s="79" t="s">
        <v>302</v>
      </c>
      <c r="D39" s="80" t="s">
        <v>306</v>
      </c>
      <c r="E39" s="81" t="s">
        <v>41</v>
      </c>
      <c r="F39" s="81" t="s">
        <v>42</v>
      </c>
      <c r="G39" s="82"/>
      <c r="H39" s="81" t="s">
        <v>240</v>
      </c>
      <c r="I39" s="83"/>
      <c r="J39" s="36"/>
      <c r="K39" s="36"/>
      <c r="L39" s="36"/>
      <c r="M39" s="36"/>
      <c r="N39" s="36"/>
      <c r="O39" s="36"/>
      <c r="P39" s="36"/>
      <c r="Q39" s="36"/>
      <c r="R39" s="36"/>
      <c r="S39" s="36"/>
      <c r="T39" s="36"/>
      <c r="U39" s="36"/>
      <c r="V39" s="36"/>
      <c r="W39" s="36"/>
      <c r="X39" s="36"/>
      <c r="Y39" s="36"/>
      <c r="Z39" s="36"/>
      <c r="AA39" s="36"/>
      <c r="AB39" s="36"/>
    </row>
    <row r="40" spans="1:28" ht="36" customHeight="1">
      <c r="A40" s="77" t="s">
        <v>307</v>
      </c>
      <c r="B40" s="78">
        <v>43115</v>
      </c>
      <c r="C40" s="79" t="s">
        <v>39</v>
      </c>
      <c r="D40" s="80" t="s">
        <v>308</v>
      </c>
      <c r="E40" s="81" t="s">
        <v>41</v>
      </c>
      <c r="F40" s="81" t="s">
        <v>42</v>
      </c>
      <c r="G40" s="82"/>
      <c r="H40" s="81" t="s">
        <v>240</v>
      </c>
      <c r="I40" s="90"/>
      <c r="J40" s="36"/>
      <c r="K40" s="36"/>
      <c r="L40" s="36"/>
      <c r="M40" s="36"/>
      <c r="N40" s="36"/>
      <c r="O40" s="36"/>
      <c r="P40" s="36"/>
      <c r="Q40" s="36"/>
      <c r="R40" s="36"/>
      <c r="S40" s="36"/>
      <c r="T40" s="36"/>
      <c r="U40" s="36"/>
      <c r="V40" s="36"/>
      <c r="W40" s="36"/>
      <c r="X40" s="36"/>
      <c r="Y40" s="36"/>
      <c r="Z40" s="36"/>
      <c r="AA40" s="36"/>
      <c r="AB40" s="36"/>
    </row>
    <row r="41" spans="1:28" ht="36">
      <c r="A41" s="77" t="s">
        <v>309</v>
      </c>
      <c r="B41" s="78">
        <v>43157</v>
      </c>
      <c r="C41" s="79" t="s">
        <v>57</v>
      </c>
      <c r="D41" s="80" t="s">
        <v>310</v>
      </c>
      <c r="E41" s="81" t="s">
        <v>41</v>
      </c>
      <c r="F41" s="81" t="s">
        <v>42</v>
      </c>
      <c r="G41" s="82"/>
      <c r="H41" s="81" t="s">
        <v>240</v>
      </c>
      <c r="I41" s="83"/>
      <c r="J41" s="36"/>
      <c r="K41" s="36"/>
      <c r="L41" s="36"/>
      <c r="M41" s="36"/>
      <c r="N41" s="36"/>
      <c r="O41" s="36"/>
      <c r="P41" s="36"/>
      <c r="Q41" s="36"/>
      <c r="R41" s="36"/>
      <c r="S41" s="36"/>
      <c r="T41" s="36"/>
      <c r="U41" s="36"/>
      <c r="V41" s="36"/>
      <c r="W41" s="36"/>
      <c r="X41" s="36"/>
      <c r="Y41" s="36"/>
      <c r="Z41" s="36"/>
      <c r="AA41" s="36"/>
      <c r="AB41" s="36"/>
    </row>
    <row r="42" spans="1:28" ht="72">
      <c r="A42" s="77" t="s">
        <v>311</v>
      </c>
      <c r="B42" s="85">
        <v>43304</v>
      </c>
      <c r="C42" s="79" t="s">
        <v>57</v>
      </c>
      <c r="D42" s="80" t="s">
        <v>312</v>
      </c>
      <c r="E42" s="94" t="s">
        <v>41</v>
      </c>
      <c r="F42" s="81" t="s">
        <v>42</v>
      </c>
      <c r="G42" s="83"/>
      <c r="H42" s="95"/>
      <c r="I42" s="90"/>
      <c r="J42" s="36"/>
      <c r="K42" s="36"/>
      <c r="L42" s="36"/>
      <c r="M42" s="36"/>
      <c r="N42" s="36"/>
      <c r="O42" s="36"/>
      <c r="P42" s="36"/>
      <c r="Q42" s="36"/>
      <c r="R42" s="36"/>
      <c r="S42" s="36"/>
      <c r="T42" s="36"/>
      <c r="U42" s="36"/>
      <c r="V42" s="36"/>
      <c r="W42" s="36"/>
      <c r="X42" s="36"/>
      <c r="Y42" s="36"/>
      <c r="Z42" s="36"/>
      <c r="AA42" s="36"/>
      <c r="AB42" s="36"/>
    </row>
    <row r="43" spans="1:28" ht="24">
      <c r="A43" s="77" t="s">
        <v>313</v>
      </c>
      <c r="B43" s="78">
        <v>43306</v>
      </c>
      <c r="C43" s="79" t="s">
        <v>314</v>
      </c>
      <c r="D43" s="96" t="s">
        <v>315</v>
      </c>
      <c r="E43" s="94" t="s">
        <v>41</v>
      </c>
      <c r="F43" s="81" t="s">
        <v>42</v>
      </c>
      <c r="G43" s="82"/>
      <c r="H43" s="81" t="s">
        <v>240</v>
      </c>
      <c r="I43" s="83"/>
      <c r="J43" s="36"/>
      <c r="K43" s="36"/>
      <c r="L43" s="36"/>
      <c r="M43" s="36"/>
      <c r="N43" s="36"/>
      <c r="O43" s="36"/>
      <c r="P43" s="36"/>
      <c r="Q43" s="36"/>
      <c r="R43" s="36"/>
      <c r="S43" s="36"/>
      <c r="T43" s="36"/>
      <c r="U43" s="36"/>
      <c r="V43" s="36"/>
      <c r="W43" s="36"/>
      <c r="X43" s="36"/>
      <c r="Y43" s="36"/>
      <c r="Z43" s="36"/>
      <c r="AA43" s="36"/>
      <c r="AB43" s="36"/>
    </row>
    <row r="44" spans="1:28" ht="36">
      <c r="A44" s="88" t="str">
        <f>HYPERLINK("https://www.alcaldiabogota.gov.co/sisjur/normas/Norma1.jsp?i=81065","DECRETO 552")</f>
        <v>DECRETO 552</v>
      </c>
      <c r="B44" s="86">
        <v>43369</v>
      </c>
      <c r="C44" s="79" t="s">
        <v>61</v>
      </c>
      <c r="D44" s="80" t="s">
        <v>316</v>
      </c>
      <c r="E44" s="81" t="s">
        <v>41</v>
      </c>
      <c r="F44" s="81" t="s">
        <v>42</v>
      </c>
      <c r="G44" s="90" t="s">
        <v>258</v>
      </c>
      <c r="H44" s="81" t="s">
        <v>240</v>
      </c>
      <c r="I44" s="83"/>
      <c r="J44" s="36"/>
      <c r="K44" s="36"/>
      <c r="L44" s="36"/>
      <c r="M44" s="36"/>
      <c r="N44" s="36"/>
      <c r="O44" s="36"/>
      <c r="P44" s="36"/>
      <c r="Q44" s="36"/>
      <c r="R44" s="36"/>
      <c r="S44" s="36"/>
      <c r="T44" s="36"/>
      <c r="U44" s="36"/>
      <c r="V44" s="36"/>
      <c r="W44" s="36"/>
      <c r="X44" s="36"/>
      <c r="Y44" s="36"/>
      <c r="Z44" s="36"/>
      <c r="AA44" s="36"/>
      <c r="AB44" s="36"/>
    </row>
    <row r="45" spans="1:28" ht="36">
      <c r="A45" s="93" t="e">
        <f>HYPERLINK("https://isolucion.idrd.gov.co/Isolucion4IDRD/Administracion/frmFrameSet.aspx?Ruta=Li4vRnJhbWVTZXRBcnRpY3Vsby5hc3A/UGFnaW5hPUJhbmNvQ29ub2NpbWllbnRvNElEUkQvMy8zYjdmNTQwZTZjOGU0ZGZlYjk4OGI2OWRkMGIzOWVkNy8zYjdmNTQwZTZjOGU0ZGZlYjk4OGI2OWRkMGIzOWVkNy5hc3AmSURBU"&amp;"lRJQ1VMTz04MTIw","RESOLUCIÓN 783")</f>
        <v>#VALUE!</v>
      </c>
      <c r="B45" s="78">
        <v>43413</v>
      </c>
      <c r="C45" s="79" t="s">
        <v>130</v>
      </c>
      <c r="D45" s="80" t="s">
        <v>317</v>
      </c>
      <c r="E45" s="81" t="s">
        <v>41</v>
      </c>
      <c r="F45" s="81" t="s">
        <v>42</v>
      </c>
      <c r="G45" s="90" t="s">
        <v>258</v>
      </c>
      <c r="H45" s="81" t="s">
        <v>240</v>
      </c>
      <c r="I45" s="90"/>
      <c r="J45" s="36"/>
      <c r="K45" s="36"/>
      <c r="L45" s="36"/>
      <c r="M45" s="36"/>
      <c r="N45" s="36"/>
      <c r="O45" s="36"/>
      <c r="P45" s="36"/>
      <c r="Q45" s="36"/>
      <c r="R45" s="36"/>
      <c r="S45" s="36"/>
      <c r="T45" s="36"/>
      <c r="U45" s="36"/>
      <c r="V45" s="36"/>
      <c r="W45" s="36"/>
      <c r="X45" s="36"/>
      <c r="Y45" s="36"/>
      <c r="Z45" s="36"/>
      <c r="AA45" s="36"/>
      <c r="AB45" s="36"/>
    </row>
    <row r="46" spans="1:28" ht="24">
      <c r="A46" s="88" t="str">
        <f>HYPERLINK("https://www.colombiacompra.gov.co/content/circular-externa-unica","CIRCULAR EXTERNA ÚNICA")</f>
        <v>CIRCULAR EXTERNA ÚNICA</v>
      </c>
      <c r="B46" s="78">
        <v>43571</v>
      </c>
      <c r="C46" s="79" t="s">
        <v>193</v>
      </c>
      <c r="D46" s="87" t="s">
        <v>318</v>
      </c>
      <c r="E46" s="94" t="s">
        <v>41</v>
      </c>
      <c r="F46" s="81" t="s">
        <v>42</v>
      </c>
      <c r="G46" s="82"/>
      <c r="H46" s="81" t="s">
        <v>240</v>
      </c>
      <c r="I46" s="83"/>
      <c r="J46" s="36"/>
      <c r="K46" s="36"/>
      <c r="L46" s="36"/>
      <c r="M46" s="36"/>
      <c r="N46" s="36"/>
      <c r="O46" s="36"/>
      <c r="P46" s="36"/>
      <c r="Q46" s="36"/>
      <c r="R46" s="36"/>
      <c r="S46" s="36"/>
      <c r="T46" s="36"/>
      <c r="U46" s="36"/>
      <c r="V46" s="36"/>
      <c r="W46" s="36"/>
      <c r="X46" s="36"/>
      <c r="Y46" s="36"/>
      <c r="Z46" s="36"/>
      <c r="AA46" s="36"/>
      <c r="AB46" s="36"/>
    </row>
    <row r="47" spans="1:28" ht="36">
      <c r="A47" s="93" t="str">
        <f>HYPERLINK("https://www.alcaldiabogota.gov.co/sisjur/normas/Norma1.jsp?i=85976","DECRETO 492")</f>
        <v>DECRETO 492</v>
      </c>
      <c r="B47" s="97">
        <v>43692</v>
      </c>
      <c r="C47" s="98" t="s">
        <v>61</v>
      </c>
      <c r="D47" s="99" t="s">
        <v>319</v>
      </c>
      <c r="E47" s="100">
        <v>13</v>
      </c>
      <c r="F47" s="98" t="s">
        <v>320</v>
      </c>
      <c r="G47" s="82"/>
      <c r="H47" s="101" t="s">
        <v>240</v>
      </c>
      <c r="I47" s="83"/>
      <c r="J47" s="36"/>
      <c r="K47" s="36"/>
      <c r="L47" s="36"/>
      <c r="M47" s="36"/>
      <c r="N47" s="36"/>
      <c r="O47" s="36"/>
      <c r="P47" s="36"/>
      <c r="Q47" s="36"/>
      <c r="R47" s="36"/>
      <c r="S47" s="36"/>
      <c r="T47" s="36"/>
      <c r="U47" s="36"/>
      <c r="V47" s="36"/>
      <c r="W47" s="36"/>
      <c r="X47" s="36"/>
      <c r="Y47" s="36"/>
      <c r="Z47" s="36"/>
      <c r="AA47" s="36"/>
      <c r="AB47" s="36"/>
    </row>
    <row r="48" spans="1:28" ht="60">
      <c r="A48" s="93" t="str">
        <f>HYPERLINK("https://www.alcaldiabogota.gov.co/sisjur/normas/Norma1.jsp?i=87957","DECRETO 1974")</f>
        <v>DECRETO 1974</v>
      </c>
      <c r="B48" s="78">
        <v>43767</v>
      </c>
      <c r="C48" s="79" t="s">
        <v>57</v>
      </c>
      <c r="D48" s="80" t="s">
        <v>321</v>
      </c>
      <c r="E48" s="94" t="s">
        <v>41</v>
      </c>
      <c r="F48" s="81" t="s">
        <v>42</v>
      </c>
      <c r="G48" s="90" t="s">
        <v>258</v>
      </c>
      <c r="H48" s="81" t="s">
        <v>240</v>
      </c>
      <c r="I48" s="83"/>
      <c r="J48" s="36"/>
      <c r="K48" s="36"/>
      <c r="L48" s="36"/>
      <c r="M48" s="36"/>
      <c r="N48" s="36"/>
      <c r="O48" s="36"/>
      <c r="P48" s="36"/>
      <c r="Q48" s="36"/>
      <c r="R48" s="36"/>
      <c r="S48" s="36"/>
      <c r="T48" s="36"/>
      <c r="U48" s="36"/>
      <c r="V48" s="36"/>
      <c r="W48" s="36"/>
      <c r="X48" s="36"/>
      <c r="Y48" s="36"/>
      <c r="Z48" s="36"/>
      <c r="AA48" s="36"/>
      <c r="AB48" s="36"/>
    </row>
    <row r="49" spans="1:28" ht="36">
      <c r="A49" s="93" t="str">
        <f>HYPERLINK("https://www.alcaldiabogota.gov.co/sisjur/normas/Norma1.jsp?i=87908","DECRETO 2096")</f>
        <v>DECRETO 2096</v>
      </c>
      <c r="B49" s="78">
        <v>43790</v>
      </c>
      <c r="C49" s="79" t="s">
        <v>57</v>
      </c>
      <c r="D49" s="80" t="s">
        <v>322</v>
      </c>
      <c r="E49" s="94" t="s">
        <v>41</v>
      </c>
      <c r="F49" s="81" t="s">
        <v>42</v>
      </c>
      <c r="G49" s="90" t="s">
        <v>258</v>
      </c>
      <c r="H49" s="81" t="s">
        <v>240</v>
      </c>
      <c r="I49" s="83"/>
      <c r="J49" s="36"/>
      <c r="K49" s="36"/>
      <c r="L49" s="36"/>
      <c r="M49" s="36"/>
      <c r="N49" s="36"/>
      <c r="O49" s="36"/>
      <c r="P49" s="36"/>
      <c r="Q49" s="36"/>
      <c r="R49" s="36"/>
      <c r="S49" s="36"/>
      <c r="T49" s="36"/>
      <c r="U49" s="36"/>
      <c r="V49" s="36"/>
      <c r="W49" s="36"/>
      <c r="X49" s="36"/>
      <c r="Y49" s="36"/>
      <c r="Z49" s="36"/>
      <c r="AA49" s="36"/>
      <c r="AB49" s="36"/>
    </row>
    <row r="50" spans="1:28" ht="36">
      <c r="A50" s="93" t="str">
        <f>HYPERLINK("https://dapre.presidencia.gov.co/normativa/normativa/DECRETO%202106%20DEL%2022%20DE%20NOVIEMBRE%20DE%202019.pdf","DECRETO 2106")</f>
        <v>DECRETO 2106</v>
      </c>
      <c r="B50" s="78">
        <v>43791</v>
      </c>
      <c r="C50" s="79" t="s">
        <v>57</v>
      </c>
      <c r="D50" s="80" t="s">
        <v>323</v>
      </c>
      <c r="E50" s="94" t="s">
        <v>41</v>
      </c>
      <c r="F50" s="81" t="s">
        <v>42</v>
      </c>
      <c r="G50" s="90" t="s">
        <v>258</v>
      </c>
      <c r="H50" s="81" t="s">
        <v>240</v>
      </c>
      <c r="I50" s="83"/>
      <c r="J50" s="36"/>
      <c r="K50" s="36"/>
      <c r="L50" s="36"/>
      <c r="M50" s="36"/>
      <c r="N50" s="36"/>
      <c r="O50" s="36"/>
      <c r="P50" s="36"/>
      <c r="Q50" s="36"/>
      <c r="R50" s="36"/>
      <c r="S50" s="36"/>
      <c r="T50" s="36"/>
      <c r="U50" s="36"/>
      <c r="V50" s="36"/>
      <c r="W50" s="36"/>
      <c r="X50" s="36"/>
      <c r="Y50" s="36"/>
      <c r="Z50" s="36"/>
      <c r="AA50" s="36"/>
      <c r="AB50" s="36"/>
    </row>
    <row r="51" spans="1:28" ht="12" customHeight="1">
      <c r="A51" s="102" t="str">
        <f>HYPERLINK("http://sisjur.bogotajuridica.gov.co/sisjur/normas/Norma1.jsp?i=88488","DIRECTIVA 011")</f>
        <v>DIRECTIVA 011</v>
      </c>
      <c r="B51" s="103">
        <v>43823</v>
      </c>
      <c r="C51" s="55" t="s">
        <v>223</v>
      </c>
      <c r="D51" s="54" t="s">
        <v>324</v>
      </c>
      <c r="E51" s="55" t="s">
        <v>41</v>
      </c>
      <c r="F51" s="55" t="s">
        <v>42</v>
      </c>
      <c r="G51" s="35"/>
      <c r="H51" s="104"/>
      <c r="I51" s="35"/>
      <c r="J51" s="36"/>
      <c r="K51" s="36"/>
      <c r="L51" s="36"/>
      <c r="M51" s="36"/>
      <c r="N51" s="36"/>
      <c r="O51" s="36"/>
      <c r="P51" s="36"/>
      <c r="Q51" s="36"/>
      <c r="R51" s="36"/>
      <c r="S51" s="36"/>
      <c r="T51" s="36"/>
      <c r="U51" s="36"/>
      <c r="V51" s="36"/>
      <c r="W51" s="36"/>
      <c r="X51" s="36"/>
      <c r="Y51" s="36"/>
      <c r="Z51" s="36"/>
      <c r="AA51" s="36"/>
      <c r="AB51" s="36"/>
    </row>
    <row r="52" spans="1:28" ht="12" customHeight="1">
      <c r="A52" s="102" t="str">
        <f>HYPERLINK("https://drive.google.com/drive/u/0/folders/1iXT7qSUqOh-ePCb-n5nY5I6w3U6k6jQV","DIRECTIVA 001")</f>
        <v>DIRECTIVA 001</v>
      </c>
      <c r="B52" s="103">
        <v>43854</v>
      </c>
      <c r="C52" s="55" t="s">
        <v>61</v>
      </c>
      <c r="D52" s="54" t="s">
        <v>325</v>
      </c>
      <c r="E52" s="55" t="s">
        <v>41</v>
      </c>
      <c r="F52" s="55" t="s">
        <v>42</v>
      </c>
      <c r="G52" s="35"/>
      <c r="H52" s="104"/>
      <c r="I52" s="35"/>
      <c r="J52" s="36"/>
      <c r="K52" s="36"/>
      <c r="L52" s="36"/>
      <c r="M52" s="36"/>
      <c r="N52" s="36"/>
      <c r="O52" s="36"/>
      <c r="P52" s="36"/>
      <c r="Q52" s="36"/>
      <c r="R52" s="36"/>
      <c r="S52" s="36"/>
      <c r="T52" s="36"/>
      <c r="U52" s="36"/>
      <c r="V52" s="36"/>
      <c r="W52" s="36"/>
      <c r="X52" s="36"/>
      <c r="Y52" s="36"/>
      <c r="Z52" s="36"/>
      <c r="AA52" s="36"/>
      <c r="AB52" s="36"/>
    </row>
    <row r="53" spans="1:28" ht="12" customHeight="1">
      <c r="A53" s="66" t="s">
        <v>326</v>
      </c>
      <c r="B53" s="103">
        <v>44029</v>
      </c>
      <c r="C53" s="55" t="s">
        <v>327</v>
      </c>
      <c r="D53" s="54" t="s">
        <v>328</v>
      </c>
      <c r="E53" s="55" t="s">
        <v>41</v>
      </c>
      <c r="F53" s="55" t="s">
        <v>42</v>
      </c>
      <c r="G53" s="35"/>
      <c r="H53" s="104"/>
      <c r="I53" s="35"/>
      <c r="J53" s="36"/>
      <c r="K53" s="36"/>
      <c r="L53" s="36"/>
      <c r="M53" s="36"/>
      <c r="N53" s="36"/>
      <c r="O53" s="36"/>
      <c r="P53" s="36"/>
      <c r="Q53" s="36"/>
      <c r="R53" s="36"/>
      <c r="S53" s="36"/>
      <c r="T53" s="36"/>
      <c r="U53" s="36"/>
      <c r="V53" s="36"/>
      <c r="W53" s="36"/>
      <c r="X53" s="36"/>
      <c r="Y53" s="36"/>
      <c r="Z53" s="36"/>
      <c r="AA53" s="36"/>
      <c r="AB53" s="36"/>
    </row>
    <row r="54" spans="1:28" ht="12" customHeight="1">
      <c r="A54" s="66" t="s">
        <v>329</v>
      </c>
      <c r="B54" s="103">
        <v>44035</v>
      </c>
      <c r="C54" s="55" t="s">
        <v>327</v>
      </c>
      <c r="D54" s="54" t="s">
        <v>330</v>
      </c>
      <c r="E54" s="55" t="s">
        <v>41</v>
      </c>
      <c r="F54" s="55" t="s">
        <v>42</v>
      </c>
      <c r="G54" s="35"/>
      <c r="H54" s="104"/>
      <c r="I54" s="35"/>
      <c r="J54" s="36"/>
      <c r="K54" s="36"/>
      <c r="L54" s="36"/>
      <c r="M54" s="36"/>
      <c r="N54" s="36"/>
      <c r="O54" s="36"/>
      <c r="P54" s="36"/>
      <c r="Q54" s="36"/>
      <c r="R54" s="36"/>
      <c r="S54" s="36"/>
      <c r="T54" s="36"/>
      <c r="U54" s="36"/>
      <c r="V54" s="36"/>
      <c r="W54" s="36"/>
      <c r="X54" s="36"/>
      <c r="Y54" s="36"/>
      <c r="Z54" s="36"/>
      <c r="AA54" s="36"/>
      <c r="AB54" s="36"/>
    </row>
    <row r="55" spans="1:28" ht="12" customHeight="1">
      <c r="A55" s="66" t="s">
        <v>331</v>
      </c>
      <c r="B55" s="103">
        <v>44039</v>
      </c>
      <c r="C55" s="55" t="s">
        <v>327</v>
      </c>
      <c r="D55" s="54" t="s">
        <v>332</v>
      </c>
      <c r="E55" s="55" t="s">
        <v>41</v>
      </c>
      <c r="F55" s="55" t="s">
        <v>42</v>
      </c>
      <c r="G55" s="35"/>
      <c r="H55" s="104"/>
      <c r="I55" s="35"/>
      <c r="J55" s="36"/>
      <c r="K55" s="36"/>
      <c r="L55" s="36"/>
      <c r="M55" s="36"/>
      <c r="N55" s="36"/>
      <c r="O55" s="36"/>
      <c r="P55" s="36"/>
      <c r="Q55" s="36"/>
      <c r="R55" s="36"/>
      <c r="S55" s="36"/>
      <c r="T55" s="36"/>
      <c r="U55" s="36"/>
      <c r="V55" s="36"/>
      <c r="W55" s="36"/>
      <c r="X55" s="36"/>
      <c r="Y55" s="36"/>
      <c r="Z55" s="36"/>
      <c r="AA55" s="36"/>
      <c r="AB55" s="36"/>
    </row>
    <row r="56" spans="1:28" ht="12" customHeight="1">
      <c r="A56" s="66" t="s">
        <v>333</v>
      </c>
      <c r="B56" s="103">
        <v>44189</v>
      </c>
      <c r="C56" s="55" t="s">
        <v>334</v>
      </c>
      <c r="D56" s="54" t="s">
        <v>335</v>
      </c>
      <c r="E56" s="55" t="s">
        <v>41</v>
      </c>
      <c r="F56" s="55" t="s">
        <v>42</v>
      </c>
      <c r="G56" s="35"/>
      <c r="H56" s="104"/>
      <c r="I56" s="35"/>
      <c r="J56" s="36"/>
      <c r="K56" s="36"/>
      <c r="L56" s="36"/>
      <c r="M56" s="36"/>
      <c r="N56" s="36"/>
      <c r="O56" s="36"/>
      <c r="P56" s="36"/>
      <c r="Q56" s="36"/>
      <c r="R56" s="36"/>
      <c r="S56" s="36"/>
      <c r="T56" s="36"/>
      <c r="U56" s="36"/>
      <c r="V56" s="36"/>
      <c r="W56" s="36"/>
      <c r="X56" s="36"/>
      <c r="Y56" s="36"/>
      <c r="Z56" s="36"/>
      <c r="AA56" s="36"/>
      <c r="AB56" s="36"/>
    </row>
    <row r="57" spans="1:28" ht="12" customHeight="1">
      <c r="A57" s="66" t="s">
        <v>336</v>
      </c>
      <c r="B57" s="103">
        <v>44194</v>
      </c>
      <c r="C57" s="55" t="s">
        <v>61</v>
      </c>
      <c r="D57" s="54" t="s">
        <v>337</v>
      </c>
      <c r="E57" s="55" t="s">
        <v>41</v>
      </c>
      <c r="F57" s="55" t="s">
        <v>42</v>
      </c>
      <c r="G57" s="35"/>
      <c r="H57" s="104"/>
      <c r="I57" s="35"/>
      <c r="J57" s="36"/>
      <c r="K57" s="36"/>
      <c r="L57" s="36"/>
      <c r="M57" s="36"/>
      <c r="N57" s="36"/>
      <c r="O57" s="36"/>
      <c r="P57" s="36"/>
      <c r="Q57" s="36"/>
      <c r="R57" s="36"/>
      <c r="S57" s="36"/>
      <c r="T57" s="36"/>
      <c r="U57" s="36"/>
      <c r="V57" s="36"/>
      <c r="W57" s="36"/>
      <c r="X57" s="36"/>
      <c r="Y57" s="36"/>
      <c r="Z57" s="36"/>
      <c r="AA57" s="36"/>
      <c r="AB57" s="36"/>
    </row>
    <row r="58" spans="1:28" ht="12" customHeight="1">
      <c r="A58" s="66" t="s">
        <v>338</v>
      </c>
      <c r="B58" s="103">
        <v>44196</v>
      </c>
      <c r="C58" s="55" t="s">
        <v>327</v>
      </c>
      <c r="D58" s="54" t="s">
        <v>339</v>
      </c>
      <c r="E58" s="55" t="s">
        <v>41</v>
      </c>
      <c r="F58" s="55" t="s">
        <v>42</v>
      </c>
      <c r="G58" s="35"/>
      <c r="H58" s="104"/>
      <c r="I58" s="35"/>
      <c r="J58" s="36"/>
      <c r="K58" s="36"/>
      <c r="L58" s="36"/>
      <c r="M58" s="36"/>
      <c r="N58" s="36"/>
      <c r="O58" s="36"/>
      <c r="P58" s="36"/>
      <c r="Q58" s="36"/>
      <c r="R58" s="36"/>
      <c r="S58" s="36"/>
      <c r="T58" s="36"/>
      <c r="U58" s="36"/>
      <c r="V58" s="36"/>
      <c r="W58" s="36"/>
      <c r="X58" s="36"/>
      <c r="Y58" s="36"/>
      <c r="Z58" s="36"/>
      <c r="AA58" s="36"/>
      <c r="AB58" s="36"/>
    </row>
    <row r="59" spans="1:28" ht="12" customHeight="1">
      <c r="A59" s="66" t="s">
        <v>222</v>
      </c>
      <c r="B59" s="103">
        <v>44218</v>
      </c>
      <c r="C59" s="55" t="s">
        <v>223</v>
      </c>
      <c r="D59" s="54" t="s">
        <v>340</v>
      </c>
      <c r="E59" s="55" t="s">
        <v>41</v>
      </c>
      <c r="F59" s="55" t="s">
        <v>42</v>
      </c>
      <c r="G59" s="35"/>
      <c r="H59" s="104"/>
      <c r="I59" s="35"/>
      <c r="J59" s="36"/>
      <c r="K59" s="36"/>
      <c r="L59" s="36"/>
      <c r="M59" s="36"/>
      <c r="N59" s="36"/>
      <c r="O59" s="36"/>
      <c r="P59" s="36"/>
      <c r="Q59" s="36"/>
      <c r="R59" s="36"/>
      <c r="S59" s="36"/>
      <c r="T59" s="36"/>
      <c r="U59" s="36"/>
      <c r="V59" s="36"/>
      <c r="W59" s="36"/>
      <c r="X59" s="36"/>
      <c r="Y59" s="36"/>
      <c r="Z59" s="36"/>
      <c r="AA59" s="36"/>
      <c r="AB59" s="36"/>
    </row>
    <row r="60" spans="1:28" ht="12" customHeight="1">
      <c r="A60" s="66" t="s">
        <v>341</v>
      </c>
      <c r="B60" s="103">
        <v>44221</v>
      </c>
      <c r="C60" s="55" t="s">
        <v>327</v>
      </c>
      <c r="D60" s="54" t="s">
        <v>342</v>
      </c>
      <c r="E60" s="55" t="s">
        <v>41</v>
      </c>
      <c r="F60" s="55" t="s">
        <v>42</v>
      </c>
      <c r="G60" s="35"/>
      <c r="H60" s="104"/>
      <c r="I60" s="35"/>
      <c r="J60" s="36"/>
      <c r="K60" s="36"/>
      <c r="L60" s="36"/>
      <c r="M60" s="36"/>
      <c r="N60" s="36"/>
      <c r="O60" s="36"/>
      <c r="P60" s="36"/>
      <c r="Q60" s="36"/>
      <c r="R60" s="36"/>
      <c r="S60" s="36"/>
      <c r="T60" s="36"/>
      <c r="U60" s="36"/>
      <c r="V60" s="36"/>
      <c r="W60" s="36"/>
      <c r="X60" s="36"/>
      <c r="Y60" s="36"/>
      <c r="Z60" s="36"/>
      <c r="AA60" s="36"/>
      <c r="AB60" s="36"/>
    </row>
    <row r="61" spans="1:28" ht="12" customHeight="1">
      <c r="A61" s="66" t="s">
        <v>343</v>
      </c>
      <c r="B61" s="103">
        <v>44224</v>
      </c>
      <c r="C61" s="55" t="s">
        <v>223</v>
      </c>
      <c r="D61" s="54" t="s">
        <v>344</v>
      </c>
      <c r="E61" s="55" t="s">
        <v>41</v>
      </c>
      <c r="F61" s="55" t="s">
        <v>42</v>
      </c>
      <c r="G61" s="35"/>
      <c r="H61" s="104"/>
      <c r="I61" s="35"/>
      <c r="J61" s="36"/>
      <c r="K61" s="36"/>
      <c r="L61" s="36"/>
      <c r="M61" s="36"/>
      <c r="N61" s="36"/>
      <c r="O61" s="36"/>
      <c r="P61" s="36"/>
      <c r="Q61" s="36"/>
      <c r="R61" s="36"/>
      <c r="S61" s="36"/>
      <c r="T61" s="36"/>
      <c r="U61" s="36"/>
      <c r="V61" s="36"/>
      <c r="W61" s="36"/>
      <c r="X61" s="36"/>
      <c r="Y61" s="36"/>
      <c r="Z61" s="36"/>
      <c r="AA61" s="36"/>
      <c r="AB61" s="36"/>
    </row>
    <row r="62" spans="1:28" ht="12" customHeight="1">
      <c r="A62" s="66" t="s">
        <v>345</v>
      </c>
      <c r="B62" s="103">
        <v>44251</v>
      </c>
      <c r="C62" s="55" t="s">
        <v>223</v>
      </c>
      <c r="D62" s="54" t="s">
        <v>346</v>
      </c>
      <c r="E62" s="55" t="s">
        <v>41</v>
      </c>
      <c r="F62" s="55" t="s">
        <v>42</v>
      </c>
      <c r="G62" s="35"/>
      <c r="H62" s="104"/>
      <c r="I62" s="35"/>
      <c r="J62" s="36"/>
      <c r="K62" s="36"/>
      <c r="L62" s="36"/>
      <c r="M62" s="36"/>
      <c r="N62" s="36"/>
      <c r="O62" s="36"/>
      <c r="P62" s="36"/>
      <c r="Q62" s="36"/>
      <c r="R62" s="36"/>
      <c r="S62" s="36"/>
      <c r="T62" s="36"/>
      <c r="U62" s="36"/>
      <c r="V62" s="36"/>
      <c r="W62" s="36"/>
      <c r="X62" s="36"/>
      <c r="Y62" s="36"/>
      <c r="Z62" s="36"/>
      <c r="AA62" s="36"/>
      <c r="AB62" s="36"/>
    </row>
    <row r="63" spans="1:28" ht="12" customHeight="1">
      <c r="A63" s="66" t="s">
        <v>222</v>
      </c>
      <c r="B63" s="103">
        <v>44258</v>
      </c>
      <c r="C63" s="55" t="s">
        <v>57</v>
      </c>
      <c r="D63" s="54" t="s">
        <v>347</v>
      </c>
      <c r="E63" s="55" t="s">
        <v>41</v>
      </c>
      <c r="F63" s="55" t="s">
        <v>42</v>
      </c>
      <c r="G63" s="35"/>
      <c r="H63" s="104"/>
      <c r="I63" s="35"/>
      <c r="J63" s="36"/>
      <c r="K63" s="36"/>
      <c r="L63" s="36"/>
      <c r="M63" s="36"/>
      <c r="N63" s="36"/>
      <c r="O63" s="36"/>
      <c r="P63" s="36"/>
      <c r="Q63" s="36"/>
      <c r="R63" s="36"/>
      <c r="S63" s="36"/>
      <c r="T63" s="36"/>
      <c r="U63" s="36"/>
      <c r="V63" s="36"/>
      <c r="W63" s="36"/>
      <c r="X63" s="36"/>
      <c r="Y63" s="36"/>
      <c r="Z63" s="36"/>
      <c r="AA63" s="36"/>
      <c r="AB63" s="36"/>
    </row>
    <row r="64" spans="1:28" ht="12" customHeight="1">
      <c r="A64" s="66" t="s">
        <v>222</v>
      </c>
      <c r="B64" s="103">
        <v>44258</v>
      </c>
      <c r="C64" s="55" t="s">
        <v>348</v>
      </c>
      <c r="D64" s="54" t="s">
        <v>349</v>
      </c>
      <c r="E64" s="55" t="s">
        <v>41</v>
      </c>
      <c r="F64" s="55" t="s">
        <v>42</v>
      </c>
      <c r="G64" s="35"/>
      <c r="H64" s="104"/>
      <c r="I64" s="35"/>
      <c r="J64" s="36"/>
      <c r="K64" s="36"/>
      <c r="L64" s="36"/>
      <c r="M64" s="36"/>
      <c r="N64" s="36"/>
      <c r="O64" s="36"/>
      <c r="P64" s="36"/>
      <c r="Q64" s="36"/>
      <c r="R64" s="36"/>
      <c r="S64" s="36"/>
      <c r="T64" s="36"/>
      <c r="U64" s="36"/>
      <c r="V64" s="36"/>
      <c r="W64" s="36"/>
      <c r="X64" s="36"/>
      <c r="Y64" s="36"/>
      <c r="Z64" s="36"/>
      <c r="AA64" s="36"/>
      <c r="AB64" s="36"/>
    </row>
    <row r="65" spans="1:28" ht="12" customHeight="1">
      <c r="A65" s="66" t="s">
        <v>350</v>
      </c>
      <c r="B65" s="103">
        <v>44265</v>
      </c>
      <c r="C65" s="55" t="s">
        <v>223</v>
      </c>
      <c r="D65" s="54" t="s">
        <v>351</v>
      </c>
      <c r="E65" s="55" t="s">
        <v>41</v>
      </c>
      <c r="F65" s="55" t="s">
        <v>42</v>
      </c>
      <c r="G65" s="35"/>
      <c r="H65" s="104"/>
      <c r="I65" s="35"/>
      <c r="J65" s="36"/>
      <c r="K65" s="36"/>
      <c r="L65" s="36"/>
      <c r="M65" s="36"/>
      <c r="N65" s="36"/>
      <c r="O65" s="36"/>
      <c r="P65" s="36"/>
      <c r="Q65" s="36"/>
      <c r="R65" s="36"/>
      <c r="S65" s="36"/>
      <c r="T65" s="36"/>
      <c r="U65" s="36"/>
      <c r="V65" s="36"/>
      <c r="W65" s="36"/>
      <c r="X65" s="36"/>
      <c r="Y65" s="36"/>
      <c r="Z65" s="36"/>
      <c r="AA65" s="36"/>
      <c r="AB65" s="36"/>
    </row>
    <row r="66" spans="1:28" ht="12" customHeight="1">
      <c r="A66" s="66" t="s">
        <v>352</v>
      </c>
      <c r="B66" s="103">
        <v>44280</v>
      </c>
      <c r="C66" s="79" t="s">
        <v>57</v>
      </c>
      <c r="D66" s="54" t="s">
        <v>353</v>
      </c>
      <c r="E66" s="55" t="s">
        <v>41</v>
      </c>
      <c r="F66" s="55" t="s">
        <v>42</v>
      </c>
      <c r="G66" s="35"/>
      <c r="H66" s="104"/>
      <c r="I66" s="35"/>
      <c r="J66" s="36"/>
      <c r="K66" s="36"/>
      <c r="L66" s="36"/>
      <c r="M66" s="36"/>
      <c r="N66" s="36"/>
      <c r="O66" s="36"/>
      <c r="P66" s="36"/>
      <c r="Q66" s="36"/>
      <c r="R66" s="36"/>
      <c r="S66" s="36"/>
      <c r="T66" s="36"/>
      <c r="U66" s="36"/>
      <c r="V66" s="36"/>
      <c r="W66" s="36"/>
      <c r="X66" s="36"/>
      <c r="Y66" s="36"/>
      <c r="Z66" s="36"/>
      <c r="AA66" s="36"/>
      <c r="AB66" s="36"/>
    </row>
    <row r="67" spans="1:28" ht="12" customHeight="1">
      <c r="A67" s="66" t="s">
        <v>277</v>
      </c>
      <c r="B67" s="103">
        <v>44294</v>
      </c>
      <c r="C67" s="55" t="s">
        <v>57</v>
      </c>
      <c r="D67" s="54" t="s">
        <v>354</v>
      </c>
      <c r="E67" s="55" t="s">
        <v>41</v>
      </c>
      <c r="F67" s="55" t="s">
        <v>42</v>
      </c>
      <c r="G67" s="35"/>
      <c r="H67" s="104"/>
      <c r="I67" s="35"/>
      <c r="J67" s="36"/>
      <c r="K67" s="36"/>
      <c r="L67" s="36"/>
      <c r="M67" s="36"/>
      <c r="N67" s="36"/>
      <c r="O67" s="36"/>
      <c r="P67" s="36"/>
      <c r="Q67" s="36"/>
      <c r="R67" s="36"/>
      <c r="S67" s="36"/>
      <c r="T67" s="36"/>
      <c r="U67" s="36"/>
      <c r="V67" s="36"/>
      <c r="W67" s="36"/>
      <c r="X67" s="36"/>
      <c r="Y67" s="36"/>
      <c r="Z67" s="36"/>
      <c r="AA67" s="36"/>
      <c r="AB67" s="36"/>
    </row>
    <row r="68" spans="1:28" ht="12" customHeight="1">
      <c r="A68" s="66" t="s">
        <v>355</v>
      </c>
      <c r="B68" s="103">
        <v>44295</v>
      </c>
      <c r="C68" s="55" t="s">
        <v>57</v>
      </c>
      <c r="D68" s="54" t="s">
        <v>356</v>
      </c>
      <c r="E68" s="55" t="s">
        <v>41</v>
      </c>
      <c r="F68" s="55" t="s">
        <v>42</v>
      </c>
      <c r="G68" s="35"/>
      <c r="H68" s="104"/>
      <c r="I68" s="35"/>
      <c r="J68" s="36"/>
      <c r="K68" s="36"/>
      <c r="L68" s="36"/>
      <c r="M68" s="36"/>
      <c r="N68" s="36"/>
      <c r="O68" s="36"/>
      <c r="P68" s="36"/>
      <c r="Q68" s="36"/>
      <c r="R68" s="36"/>
      <c r="S68" s="36"/>
      <c r="T68" s="36"/>
      <c r="U68" s="36"/>
      <c r="V68" s="36"/>
      <c r="W68" s="36"/>
      <c r="X68" s="36"/>
      <c r="Y68" s="36"/>
      <c r="Z68" s="36"/>
      <c r="AA68" s="36"/>
      <c r="AB68" s="36"/>
    </row>
    <row r="69" spans="1:28" ht="12" customHeight="1">
      <c r="A69" s="66" t="s">
        <v>357</v>
      </c>
      <c r="B69" s="103">
        <v>44299</v>
      </c>
      <c r="C69" s="55" t="s">
        <v>57</v>
      </c>
      <c r="D69" s="54" t="s">
        <v>358</v>
      </c>
      <c r="E69" s="55" t="s">
        <v>41</v>
      </c>
      <c r="F69" s="55" t="s">
        <v>42</v>
      </c>
      <c r="G69" s="35"/>
      <c r="H69" s="104"/>
      <c r="I69" s="35"/>
      <c r="J69" s="36"/>
      <c r="K69" s="36"/>
      <c r="L69" s="36"/>
      <c r="M69" s="36"/>
      <c r="N69" s="36"/>
      <c r="O69" s="36"/>
      <c r="P69" s="36"/>
      <c r="Q69" s="36"/>
      <c r="R69" s="36"/>
      <c r="S69" s="36"/>
      <c r="T69" s="36"/>
      <c r="U69" s="36"/>
      <c r="V69" s="36"/>
      <c r="W69" s="36"/>
      <c r="X69" s="36"/>
      <c r="Y69" s="36"/>
      <c r="Z69" s="36"/>
      <c r="AA69" s="36"/>
      <c r="AB69" s="36"/>
    </row>
    <row r="70" spans="1:28" ht="12" customHeight="1">
      <c r="A70" s="66" t="s">
        <v>359</v>
      </c>
      <c r="B70" s="103">
        <v>44308</v>
      </c>
      <c r="C70" s="55" t="s">
        <v>223</v>
      </c>
      <c r="D70" s="54" t="s">
        <v>360</v>
      </c>
      <c r="E70" s="55" t="s">
        <v>41</v>
      </c>
      <c r="F70" s="55" t="s">
        <v>42</v>
      </c>
      <c r="G70" s="35"/>
      <c r="H70" s="104"/>
      <c r="I70" s="35"/>
      <c r="J70" s="36"/>
      <c r="K70" s="36"/>
      <c r="L70" s="36"/>
      <c r="M70" s="36"/>
      <c r="N70" s="36"/>
      <c r="O70" s="36"/>
      <c r="P70" s="36"/>
      <c r="Q70" s="36"/>
      <c r="R70" s="36"/>
      <c r="S70" s="36"/>
      <c r="T70" s="36"/>
      <c r="U70" s="36"/>
      <c r="V70" s="36"/>
      <c r="W70" s="36"/>
      <c r="X70" s="36"/>
      <c r="Y70" s="36"/>
      <c r="Z70" s="36"/>
      <c r="AA70" s="36"/>
      <c r="AB70" s="36"/>
    </row>
    <row r="71" spans="1:28" ht="12" customHeight="1">
      <c r="A71" s="66" t="s">
        <v>361</v>
      </c>
      <c r="B71" s="103">
        <v>44314</v>
      </c>
      <c r="C71" s="55" t="s">
        <v>57</v>
      </c>
      <c r="D71" s="54" t="s">
        <v>362</v>
      </c>
      <c r="E71" s="55" t="s">
        <v>41</v>
      </c>
      <c r="F71" s="55" t="s">
        <v>42</v>
      </c>
      <c r="G71" s="35"/>
      <c r="H71" s="104"/>
      <c r="I71" s="35"/>
      <c r="J71" s="36"/>
      <c r="K71" s="36"/>
      <c r="L71" s="36"/>
      <c r="M71" s="36"/>
      <c r="N71" s="36"/>
      <c r="O71" s="36"/>
      <c r="P71" s="36"/>
      <c r="Q71" s="36"/>
      <c r="R71" s="36"/>
      <c r="S71" s="36"/>
      <c r="T71" s="36"/>
      <c r="U71" s="36"/>
      <c r="V71" s="36"/>
      <c r="W71" s="36"/>
      <c r="X71" s="36"/>
      <c r="Y71" s="36"/>
      <c r="Z71" s="36"/>
      <c r="AA71" s="36"/>
      <c r="AB71" s="36"/>
    </row>
    <row r="72" spans="1:28" ht="12" customHeight="1">
      <c r="A72" s="66" t="s">
        <v>363</v>
      </c>
      <c r="B72" s="103">
        <v>44316</v>
      </c>
      <c r="C72" s="55" t="s">
        <v>364</v>
      </c>
      <c r="D72" s="54" t="s">
        <v>365</v>
      </c>
      <c r="E72" s="55" t="s">
        <v>41</v>
      </c>
      <c r="F72" s="55" t="s">
        <v>42</v>
      </c>
      <c r="G72" s="35"/>
      <c r="H72" s="104"/>
      <c r="I72" s="35"/>
      <c r="J72" s="36"/>
      <c r="K72" s="36"/>
      <c r="L72" s="36"/>
      <c r="M72" s="36"/>
      <c r="N72" s="36"/>
      <c r="O72" s="36"/>
      <c r="P72" s="36"/>
      <c r="Q72" s="36"/>
      <c r="R72" s="36"/>
      <c r="S72" s="36"/>
      <c r="T72" s="36"/>
      <c r="U72" s="36"/>
      <c r="V72" s="36"/>
      <c r="W72" s="36"/>
      <c r="X72" s="36"/>
      <c r="Y72" s="36"/>
      <c r="Z72" s="36"/>
      <c r="AA72" s="36"/>
      <c r="AB72" s="36"/>
    </row>
    <row r="73" spans="1:28" ht="12" customHeight="1">
      <c r="A73" s="66" t="s">
        <v>366</v>
      </c>
      <c r="B73" s="103">
        <v>44347</v>
      </c>
      <c r="C73" s="55" t="s">
        <v>57</v>
      </c>
      <c r="D73" s="54" t="s">
        <v>367</v>
      </c>
      <c r="E73" s="55" t="s">
        <v>41</v>
      </c>
      <c r="F73" s="55" t="s">
        <v>42</v>
      </c>
      <c r="G73" s="35"/>
      <c r="H73" s="104"/>
      <c r="I73" s="35"/>
      <c r="J73" s="36"/>
      <c r="K73" s="36"/>
      <c r="L73" s="36"/>
      <c r="M73" s="36"/>
      <c r="N73" s="36"/>
      <c r="O73" s="36"/>
      <c r="P73" s="36"/>
      <c r="Q73" s="36"/>
      <c r="R73" s="36"/>
      <c r="S73" s="36"/>
      <c r="T73" s="36"/>
      <c r="U73" s="36"/>
      <c r="V73" s="36"/>
      <c r="W73" s="36"/>
      <c r="X73" s="36"/>
      <c r="Y73" s="36"/>
      <c r="Z73" s="36"/>
      <c r="AA73" s="36"/>
      <c r="AB73" s="36"/>
    </row>
    <row r="74" spans="1:28" ht="12" customHeight="1">
      <c r="A74" s="66" t="s">
        <v>368</v>
      </c>
      <c r="B74" s="103">
        <v>44355</v>
      </c>
      <c r="C74" s="55" t="s">
        <v>193</v>
      </c>
      <c r="D74" s="54" t="s">
        <v>369</v>
      </c>
      <c r="E74" s="55" t="s">
        <v>41</v>
      </c>
      <c r="F74" s="55" t="s">
        <v>42</v>
      </c>
      <c r="G74" s="35"/>
      <c r="H74" s="104"/>
      <c r="I74" s="35"/>
      <c r="J74" s="36"/>
      <c r="K74" s="36"/>
      <c r="L74" s="36"/>
      <c r="M74" s="36"/>
      <c r="N74" s="36"/>
      <c r="O74" s="36"/>
      <c r="P74" s="36"/>
      <c r="Q74" s="36"/>
      <c r="R74" s="36"/>
      <c r="S74" s="36"/>
      <c r="T74" s="36"/>
      <c r="U74" s="36"/>
      <c r="V74" s="36"/>
      <c r="W74" s="36"/>
      <c r="X74" s="36"/>
      <c r="Y74" s="36"/>
      <c r="Z74" s="36"/>
      <c r="AA74" s="36"/>
      <c r="AB74" s="36"/>
    </row>
    <row r="75" spans="1:28" ht="12" customHeight="1">
      <c r="A75" s="66" t="s">
        <v>370</v>
      </c>
      <c r="B75" s="103">
        <v>44364</v>
      </c>
      <c r="C75" s="55" t="s">
        <v>193</v>
      </c>
      <c r="D75" s="54" t="s">
        <v>371</v>
      </c>
      <c r="E75" s="55" t="s">
        <v>41</v>
      </c>
      <c r="F75" s="55" t="s">
        <v>42</v>
      </c>
      <c r="G75" s="35"/>
      <c r="H75" s="104"/>
      <c r="I75" s="35"/>
      <c r="J75" s="36"/>
      <c r="K75" s="36"/>
      <c r="L75" s="36"/>
      <c r="M75" s="36"/>
      <c r="N75" s="36"/>
      <c r="O75" s="36"/>
      <c r="P75" s="36"/>
      <c r="Q75" s="36"/>
      <c r="R75" s="36"/>
      <c r="S75" s="36"/>
      <c r="T75" s="36"/>
      <c r="U75" s="36"/>
      <c r="V75" s="36"/>
      <c r="W75" s="36"/>
      <c r="X75" s="36"/>
      <c r="Y75" s="36"/>
      <c r="Z75" s="36"/>
      <c r="AA75" s="36"/>
      <c r="AB75" s="36"/>
    </row>
    <row r="76" spans="1:28" ht="12" customHeight="1">
      <c r="A76" s="66" t="s">
        <v>372</v>
      </c>
      <c r="B76" s="103">
        <v>44369</v>
      </c>
      <c r="C76" s="55" t="s">
        <v>57</v>
      </c>
      <c r="D76" s="54" t="s">
        <v>373</v>
      </c>
      <c r="E76" s="55" t="s">
        <v>41</v>
      </c>
      <c r="F76" s="55" t="s">
        <v>42</v>
      </c>
      <c r="G76" s="35"/>
      <c r="H76" s="104"/>
      <c r="I76" s="35"/>
      <c r="J76" s="36"/>
      <c r="K76" s="36"/>
      <c r="L76" s="36"/>
      <c r="M76" s="36"/>
      <c r="N76" s="36"/>
      <c r="O76" s="36"/>
      <c r="P76" s="36"/>
      <c r="Q76" s="36"/>
      <c r="R76" s="36"/>
      <c r="S76" s="36"/>
      <c r="T76" s="36"/>
      <c r="U76" s="36"/>
      <c r="V76" s="36"/>
      <c r="W76" s="36"/>
      <c r="X76" s="36"/>
      <c r="Y76" s="36"/>
      <c r="Z76" s="36"/>
      <c r="AA76" s="36"/>
      <c r="AB76" s="36"/>
    </row>
    <row r="77" spans="1:28" ht="12" customHeight="1">
      <c r="A77" s="66" t="s">
        <v>374</v>
      </c>
      <c r="B77" s="103">
        <v>44379</v>
      </c>
      <c r="C77" s="55" t="s">
        <v>57</v>
      </c>
      <c r="D77" s="54" t="s">
        <v>375</v>
      </c>
      <c r="E77" s="55" t="s">
        <v>41</v>
      </c>
      <c r="F77" s="55" t="s">
        <v>42</v>
      </c>
      <c r="G77" s="35"/>
      <c r="H77" s="104"/>
      <c r="I77" s="35"/>
      <c r="J77" s="36"/>
      <c r="K77" s="36"/>
      <c r="L77" s="36"/>
      <c r="M77" s="36"/>
      <c r="N77" s="36"/>
      <c r="O77" s="36"/>
      <c r="P77" s="36"/>
      <c r="Q77" s="36"/>
      <c r="R77" s="36"/>
      <c r="S77" s="36"/>
      <c r="T77" s="36"/>
      <c r="U77" s="36"/>
      <c r="V77" s="36"/>
      <c r="W77" s="36"/>
      <c r="X77" s="36"/>
      <c r="Y77" s="36"/>
      <c r="Z77" s="36"/>
      <c r="AA77" s="36"/>
      <c r="AB77" s="36"/>
    </row>
    <row r="78" spans="1:28" ht="12" customHeight="1">
      <c r="A78" s="66" t="s">
        <v>376</v>
      </c>
      <c r="B78" s="103">
        <v>44386</v>
      </c>
      <c r="C78" s="55" t="s">
        <v>223</v>
      </c>
      <c r="D78" s="54" t="s">
        <v>377</v>
      </c>
      <c r="E78" s="55" t="s">
        <v>41</v>
      </c>
      <c r="F78" s="55" t="s">
        <v>42</v>
      </c>
      <c r="G78" s="35"/>
      <c r="H78" s="104"/>
      <c r="I78" s="35"/>
      <c r="J78" s="36"/>
      <c r="K78" s="36"/>
      <c r="L78" s="36"/>
      <c r="M78" s="36"/>
      <c r="N78" s="36"/>
      <c r="O78" s="36"/>
      <c r="P78" s="36"/>
      <c r="Q78" s="36"/>
      <c r="R78" s="36"/>
      <c r="S78" s="36"/>
      <c r="T78" s="36"/>
      <c r="U78" s="36"/>
      <c r="V78" s="36"/>
      <c r="W78" s="36"/>
      <c r="X78" s="36"/>
      <c r="Y78" s="36"/>
      <c r="Z78" s="36"/>
      <c r="AA78" s="36"/>
      <c r="AB78" s="36"/>
    </row>
    <row r="79" spans="1:28" ht="12" customHeight="1">
      <c r="A79" s="66" t="s">
        <v>378</v>
      </c>
      <c r="B79" s="103">
        <v>44406</v>
      </c>
      <c r="C79" s="55" t="s">
        <v>327</v>
      </c>
      <c r="D79" s="54" t="s">
        <v>379</v>
      </c>
      <c r="E79" s="55" t="s">
        <v>41</v>
      </c>
      <c r="F79" s="55" t="s">
        <v>42</v>
      </c>
      <c r="G79" s="35"/>
      <c r="H79" s="104"/>
      <c r="I79" s="35"/>
      <c r="J79" s="36"/>
      <c r="K79" s="36"/>
      <c r="L79" s="36"/>
      <c r="M79" s="36"/>
      <c r="N79" s="36"/>
      <c r="O79" s="36"/>
      <c r="P79" s="36"/>
      <c r="Q79" s="36"/>
      <c r="R79" s="36"/>
      <c r="S79" s="36"/>
      <c r="T79" s="36"/>
      <c r="U79" s="36"/>
      <c r="V79" s="36"/>
      <c r="W79" s="36"/>
      <c r="X79" s="36"/>
      <c r="Y79" s="36"/>
      <c r="Z79" s="36"/>
      <c r="AA79" s="36"/>
      <c r="AB79" s="36"/>
    </row>
    <row r="80" spans="1:28" ht="12" customHeight="1">
      <c r="A80" s="66" t="s">
        <v>380</v>
      </c>
      <c r="B80" s="103">
        <v>44414</v>
      </c>
      <c r="C80" s="55" t="s">
        <v>193</v>
      </c>
      <c r="D80" s="54" t="s">
        <v>381</v>
      </c>
      <c r="E80" s="55" t="s">
        <v>41</v>
      </c>
      <c r="F80" s="55" t="s">
        <v>42</v>
      </c>
      <c r="G80" s="35"/>
      <c r="H80" s="104"/>
      <c r="I80" s="35"/>
      <c r="J80" s="36"/>
      <c r="K80" s="36"/>
      <c r="L80" s="36"/>
      <c r="M80" s="36"/>
      <c r="N80" s="36"/>
      <c r="O80" s="36"/>
      <c r="P80" s="36"/>
      <c r="Q80" s="36"/>
      <c r="R80" s="36"/>
      <c r="S80" s="36"/>
      <c r="T80" s="36"/>
      <c r="U80" s="36"/>
      <c r="V80" s="36"/>
      <c r="W80" s="36"/>
      <c r="X80" s="36"/>
      <c r="Y80" s="36"/>
      <c r="Z80" s="36"/>
      <c r="AA80" s="36"/>
      <c r="AB80" s="36"/>
    </row>
    <row r="81" spans="1:28" ht="12" customHeight="1">
      <c r="A81" s="66" t="s">
        <v>382</v>
      </c>
      <c r="B81" s="103">
        <v>44427</v>
      </c>
      <c r="C81" s="55" t="s">
        <v>57</v>
      </c>
      <c r="D81" s="54" t="s">
        <v>383</v>
      </c>
      <c r="E81" s="55" t="s">
        <v>41</v>
      </c>
      <c r="F81" s="55" t="s">
        <v>42</v>
      </c>
      <c r="G81" s="35"/>
      <c r="H81" s="104"/>
      <c r="I81" s="35"/>
      <c r="J81" s="36"/>
      <c r="K81" s="36"/>
      <c r="L81" s="36"/>
      <c r="M81" s="36"/>
      <c r="N81" s="36"/>
      <c r="O81" s="36"/>
      <c r="P81" s="36"/>
      <c r="Q81" s="36"/>
      <c r="R81" s="36"/>
      <c r="S81" s="36"/>
      <c r="T81" s="36"/>
      <c r="U81" s="36"/>
      <c r="V81" s="36"/>
      <c r="W81" s="36"/>
      <c r="X81" s="36"/>
      <c r="Y81" s="36"/>
      <c r="Z81" s="36"/>
      <c r="AA81" s="36"/>
      <c r="AB81" s="36"/>
    </row>
    <row r="82" spans="1:28" ht="12" customHeight="1">
      <c r="A82" s="66" t="s">
        <v>384</v>
      </c>
      <c r="B82" s="103">
        <v>44525</v>
      </c>
      <c r="C82" s="55" t="s">
        <v>327</v>
      </c>
      <c r="D82" s="54" t="s">
        <v>385</v>
      </c>
      <c r="E82" s="55" t="s">
        <v>41</v>
      </c>
      <c r="F82" s="55" t="s">
        <v>42</v>
      </c>
      <c r="G82" s="35"/>
      <c r="H82" s="104"/>
      <c r="I82" s="35"/>
      <c r="J82" s="36"/>
      <c r="K82" s="36"/>
      <c r="L82" s="36"/>
      <c r="M82" s="36"/>
      <c r="N82" s="36"/>
      <c r="O82" s="36"/>
      <c r="P82" s="36"/>
      <c r="Q82" s="36"/>
      <c r="R82" s="36"/>
      <c r="S82" s="36"/>
      <c r="T82" s="36"/>
      <c r="U82" s="36"/>
      <c r="V82" s="36"/>
      <c r="W82" s="36"/>
      <c r="X82" s="36"/>
      <c r="Y82" s="36"/>
      <c r="Z82" s="36"/>
      <c r="AA82" s="36"/>
      <c r="AB82" s="36"/>
    </row>
    <row r="83" spans="1:28" ht="12" customHeight="1">
      <c r="A83" s="66" t="s">
        <v>386</v>
      </c>
      <c r="B83" s="103">
        <v>44546</v>
      </c>
      <c r="C83" s="55" t="s">
        <v>334</v>
      </c>
      <c r="D83" s="54" t="s">
        <v>387</v>
      </c>
      <c r="E83" s="55" t="s">
        <v>41</v>
      </c>
      <c r="F83" s="55" t="s">
        <v>42</v>
      </c>
      <c r="G83" s="35"/>
      <c r="H83" s="104"/>
      <c r="I83" s="35"/>
      <c r="J83" s="36"/>
      <c r="K83" s="36"/>
      <c r="L83" s="36"/>
      <c r="M83" s="36"/>
      <c r="N83" s="36"/>
      <c r="O83" s="36"/>
      <c r="P83" s="36"/>
      <c r="Q83" s="36"/>
      <c r="R83" s="36"/>
      <c r="S83" s="36"/>
      <c r="T83" s="36"/>
      <c r="U83" s="36"/>
      <c r="V83" s="36"/>
      <c r="W83" s="36"/>
      <c r="X83" s="36"/>
      <c r="Y83" s="36"/>
      <c r="Z83" s="36"/>
      <c r="AA83" s="36"/>
      <c r="AB83" s="36"/>
    </row>
    <row r="84" spans="1:28" ht="12" customHeight="1">
      <c r="A84" s="66" t="s">
        <v>388</v>
      </c>
      <c r="B84" s="103">
        <v>44550</v>
      </c>
      <c r="C84" s="55" t="s">
        <v>130</v>
      </c>
      <c r="D84" s="54" t="s">
        <v>389</v>
      </c>
      <c r="E84" s="55" t="s">
        <v>41</v>
      </c>
      <c r="F84" s="55" t="s">
        <v>42</v>
      </c>
      <c r="G84" s="35"/>
      <c r="H84" s="104"/>
      <c r="I84" s="35"/>
      <c r="J84" s="36"/>
      <c r="K84" s="36"/>
      <c r="L84" s="36"/>
      <c r="M84" s="36"/>
      <c r="N84" s="36"/>
      <c r="O84" s="36"/>
      <c r="P84" s="36"/>
      <c r="Q84" s="36"/>
      <c r="R84" s="36"/>
      <c r="S84" s="36"/>
      <c r="T84" s="36"/>
      <c r="U84" s="36"/>
      <c r="V84" s="36"/>
      <c r="W84" s="36"/>
      <c r="X84" s="36"/>
      <c r="Y84" s="36"/>
      <c r="Z84" s="36"/>
      <c r="AA84" s="36"/>
      <c r="AB84" s="36"/>
    </row>
    <row r="85" spans="1:28" ht="12" customHeight="1">
      <c r="A85" s="66" t="s">
        <v>390</v>
      </c>
      <c r="B85" s="103">
        <v>44554</v>
      </c>
      <c r="C85" s="55" t="s">
        <v>302</v>
      </c>
      <c r="D85" s="54" t="s">
        <v>391</v>
      </c>
      <c r="E85" s="55" t="s">
        <v>41</v>
      </c>
      <c r="F85" s="55" t="s">
        <v>42</v>
      </c>
      <c r="G85" s="35"/>
      <c r="H85" s="104"/>
      <c r="I85" s="35"/>
      <c r="J85" s="36"/>
      <c r="K85" s="36"/>
      <c r="L85" s="36"/>
      <c r="M85" s="36"/>
      <c r="N85" s="36"/>
      <c r="O85" s="36"/>
      <c r="P85" s="36"/>
      <c r="Q85" s="36"/>
      <c r="R85" s="36"/>
      <c r="S85" s="36"/>
      <c r="T85" s="36"/>
      <c r="U85" s="36"/>
      <c r="V85" s="36"/>
      <c r="W85" s="36"/>
      <c r="X85" s="36"/>
      <c r="Y85" s="36"/>
      <c r="Z85" s="36"/>
      <c r="AA85" s="36"/>
      <c r="AB85" s="36"/>
    </row>
    <row r="86" spans="1:28" ht="12" customHeight="1">
      <c r="A86" s="66" t="s">
        <v>392</v>
      </c>
      <c r="B86" s="103">
        <v>44554</v>
      </c>
      <c r="C86" s="55" t="s">
        <v>364</v>
      </c>
      <c r="D86" s="54" t="s">
        <v>393</v>
      </c>
      <c r="E86" s="55" t="s">
        <v>41</v>
      </c>
      <c r="F86" s="55" t="s">
        <v>42</v>
      </c>
      <c r="G86" s="35"/>
      <c r="H86" s="104"/>
      <c r="I86" s="35"/>
      <c r="J86" s="36"/>
      <c r="K86" s="36"/>
      <c r="L86" s="36"/>
      <c r="M86" s="36"/>
      <c r="N86" s="36"/>
      <c r="O86" s="36"/>
      <c r="P86" s="36"/>
      <c r="Q86" s="36"/>
      <c r="R86" s="36"/>
      <c r="S86" s="36"/>
      <c r="T86" s="36"/>
      <c r="U86" s="36"/>
      <c r="V86" s="36"/>
      <c r="W86" s="36"/>
      <c r="X86" s="36"/>
      <c r="Y86" s="36"/>
      <c r="Z86" s="36"/>
      <c r="AA86" s="36"/>
      <c r="AB86" s="36"/>
    </row>
    <row r="87" spans="1:28" ht="12" customHeight="1">
      <c r="A87" s="66" t="s">
        <v>394</v>
      </c>
      <c r="B87" s="103">
        <v>44578</v>
      </c>
      <c r="C87" s="55" t="s">
        <v>57</v>
      </c>
      <c r="D87" s="54" t="s">
        <v>395</v>
      </c>
      <c r="E87" s="55" t="s">
        <v>41</v>
      </c>
      <c r="F87" s="55" t="s">
        <v>42</v>
      </c>
      <c r="G87" s="35"/>
      <c r="H87" s="104"/>
      <c r="I87" s="35"/>
      <c r="J87" s="36"/>
      <c r="K87" s="36"/>
      <c r="L87" s="36"/>
      <c r="M87" s="36"/>
      <c r="N87" s="36"/>
      <c r="O87" s="36"/>
      <c r="P87" s="36"/>
      <c r="Q87" s="36"/>
      <c r="R87" s="36"/>
      <c r="S87" s="36"/>
      <c r="T87" s="36"/>
      <c r="U87" s="36"/>
      <c r="V87" s="36"/>
      <c r="W87" s="36"/>
      <c r="X87" s="36"/>
      <c r="Y87" s="36"/>
      <c r="Z87" s="36"/>
      <c r="AA87" s="36"/>
      <c r="AB87" s="36"/>
    </row>
    <row r="88" spans="1:28" ht="12" customHeight="1">
      <c r="A88" s="66" t="s">
        <v>396</v>
      </c>
      <c r="B88" s="103">
        <v>44600</v>
      </c>
      <c r="C88" s="55" t="s">
        <v>327</v>
      </c>
      <c r="D88" s="54" t="s">
        <v>397</v>
      </c>
      <c r="E88" s="55" t="s">
        <v>41</v>
      </c>
      <c r="F88" s="55" t="s">
        <v>42</v>
      </c>
      <c r="G88" s="35"/>
      <c r="H88" s="104"/>
      <c r="I88" s="35"/>
      <c r="J88" s="36"/>
      <c r="K88" s="36"/>
      <c r="L88" s="36"/>
      <c r="M88" s="36"/>
      <c r="N88" s="36"/>
      <c r="O88" s="36"/>
      <c r="P88" s="36"/>
      <c r="Q88" s="36"/>
      <c r="R88" s="36"/>
      <c r="S88" s="36"/>
      <c r="T88" s="36"/>
      <c r="U88" s="36"/>
      <c r="V88" s="36"/>
      <c r="W88" s="36"/>
      <c r="X88" s="36"/>
      <c r="Y88" s="36"/>
      <c r="Z88" s="36"/>
      <c r="AA88" s="36"/>
      <c r="AB88" s="36"/>
    </row>
    <row r="89" spans="1:28" ht="12" customHeight="1">
      <c r="A89" s="66" t="s">
        <v>398</v>
      </c>
      <c r="B89" s="103">
        <v>44704</v>
      </c>
      <c r="C89" s="55" t="s">
        <v>327</v>
      </c>
      <c r="D89" s="54" t="s">
        <v>399</v>
      </c>
      <c r="E89" s="55" t="s">
        <v>41</v>
      </c>
      <c r="F89" s="55" t="s">
        <v>42</v>
      </c>
      <c r="G89" s="35"/>
      <c r="H89" s="104"/>
      <c r="I89" s="35"/>
      <c r="J89" s="36"/>
      <c r="K89" s="36"/>
      <c r="L89" s="36"/>
      <c r="M89" s="36"/>
      <c r="N89" s="36"/>
      <c r="O89" s="36"/>
      <c r="P89" s="36"/>
      <c r="Q89" s="36"/>
      <c r="R89" s="36"/>
      <c r="S89" s="36"/>
      <c r="T89" s="36"/>
      <c r="U89" s="36"/>
      <c r="V89" s="36"/>
      <c r="W89" s="36"/>
      <c r="X89" s="36"/>
      <c r="Y89" s="36"/>
      <c r="Z89" s="36"/>
      <c r="AA89" s="36"/>
      <c r="AB89" s="36"/>
    </row>
    <row r="90" spans="1:28" ht="12" customHeight="1">
      <c r="A90" s="105" t="s">
        <v>400</v>
      </c>
      <c r="B90" s="106">
        <v>44684</v>
      </c>
      <c r="C90" s="107" t="s">
        <v>223</v>
      </c>
      <c r="D90" s="108" t="s">
        <v>401</v>
      </c>
      <c r="E90" s="55" t="s">
        <v>41</v>
      </c>
      <c r="F90" s="55" t="s">
        <v>42</v>
      </c>
      <c r="G90" s="35"/>
      <c r="H90" s="104"/>
      <c r="I90" s="35"/>
      <c r="J90" s="74"/>
      <c r="K90" s="74"/>
      <c r="L90" s="74"/>
      <c r="M90" s="74"/>
      <c r="N90" s="74"/>
      <c r="O90" s="74"/>
      <c r="P90" s="74"/>
      <c r="Q90" s="74"/>
      <c r="R90" s="74"/>
      <c r="S90" s="74"/>
      <c r="T90" s="74"/>
      <c r="U90" s="74"/>
      <c r="V90" s="74"/>
      <c r="W90" s="74"/>
      <c r="X90" s="74"/>
      <c r="Y90" s="74"/>
      <c r="Z90" s="74"/>
      <c r="AA90" s="74"/>
      <c r="AB90" s="74"/>
    </row>
    <row r="91" spans="1:28" ht="12" customHeight="1">
      <c r="A91" s="105"/>
      <c r="B91" s="106"/>
      <c r="C91" s="107"/>
      <c r="D91" s="108"/>
      <c r="E91" s="107"/>
      <c r="F91" s="107"/>
      <c r="G91" s="35"/>
      <c r="H91" s="104"/>
      <c r="I91" s="35"/>
      <c r="J91" s="74"/>
      <c r="K91" s="74"/>
      <c r="L91" s="74"/>
      <c r="M91" s="74"/>
      <c r="N91" s="74"/>
      <c r="O91" s="74"/>
      <c r="P91" s="74"/>
      <c r="Q91" s="74"/>
      <c r="R91" s="74"/>
      <c r="S91" s="74"/>
      <c r="T91" s="74"/>
      <c r="U91" s="74"/>
      <c r="V91" s="74"/>
      <c r="W91" s="74"/>
      <c r="X91" s="74"/>
      <c r="Y91" s="74"/>
      <c r="Z91" s="74"/>
      <c r="AA91" s="74"/>
      <c r="AB91" s="74"/>
    </row>
    <row r="92" spans="1:28" ht="12" customHeight="1">
      <c r="A92" s="105"/>
      <c r="B92" s="106"/>
      <c r="C92" s="107"/>
      <c r="D92" s="108"/>
      <c r="E92" s="107"/>
      <c r="F92" s="107"/>
      <c r="G92" s="35"/>
      <c r="H92" s="104"/>
      <c r="I92" s="35"/>
      <c r="J92" s="74"/>
      <c r="K92" s="74"/>
      <c r="L92" s="74"/>
      <c r="M92" s="74"/>
      <c r="N92" s="74"/>
      <c r="O92" s="74"/>
      <c r="P92" s="74"/>
      <c r="Q92" s="74"/>
      <c r="R92" s="74"/>
      <c r="S92" s="74"/>
      <c r="T92" s="74"/>
      <c r="U92" s="74"/>
      <c r="V92" s="74"/>
      <c r="W92" s="74"/>
      <c r="X92" s="74"/>
      <c r="Y92" s="74"/>
      <c r="Z92" s="74"/>
      <c r="AA92" s="74"/>
      <c r="AB92" s="74"/>
    </row>
    <row r="93" spans="1:28" ht="12" customHeight="1">
      <c r="A93" s="105"/>
      <c r="B93" s="106"/>
      <c r="C93" s="107"/>
      <c r="D93" s="108"/>
      <c r="E93" s="107"/>
      <c r="F93" s="107"/>
      <c r="G93" s="35"/>
      <c r="H93" s="104"/>
      <c r="I93" s="35"/>
      <c r="J93" s="74"/>
      <c r="K93" s="74"/>
      <c r="L93" s="74"/>
      <c r="M93" s="74"/>
      <c r="N93" s="74"/>
      <c r="O93" s="74"/>
      <c r="P93" s="74"/>
      <c r="Q93" s="74"/>
      <c r="R93" s="74"/>
      <c r="S93" s="74"/>
      <c r="T93" s="74"/>
      <c r="U93" s="74"/>
      <c r="V93" s="74"/>
      <c r="W93" s="74"/>
      <c r="X93" s="74"/>
      <c r="Y93" s="74"/>
      <c r="Z93" s="74"/>
      <c r="AA93" s="74"/>
      <c r="AB93" s="74"/>
    </row>
    <row r="94" spans="1:28" ht="12" customHeight="1">
      <c r="A94" s="105"/>
      <c r="B94" s="106"/>
      <c r="C94" s="107"/>
      <c r="D94" s="108"/>
      <c r="E94" s="107"/>
      <c r="F94" s="107"/>
      <c r="G94" s="35"/>
      <c r="H94" s="104"/>
      <c r="I94" s="35"/>
      <c r="J94" s="74"/>
      <c r="K94" s="74"/>
      <c r="L94" s="74"/>
      <c r="M94" s="74"/>
      <c r="N94" s="74"/>
      <c r="O94" s="74"/>
      <c r="P94" s="74"/>
      <c r="Q94" s="74"/>
      <c r="R94" s="74"/>
      <c r="S94" s="74"/>
      <c r="T94" s="74"/>
      <c r="U94" s="74"/>
      <c r="V94" s="74"/>
      <c r="W94" s="74"/>
      <c r="X94" s="74"/>
      <c r="Y94" s="74"/>
      <c r="Z94" s="74"/>
      <c r="AA94" s="74"/>
      <c r="AB94" s="74"/>
    </row>
    <row r="95" spans="1:28" ht="12" customHeight="1">
      <c r="A95" s="105"/>
      <c r="B95" s="106"/>
      <c r="C95" s="107"/>
      <c r="D95" s="108"/>
      <c r="E95" s="107"/>
      <c r="F95" s="107"/>
      <c r="G95" s="35"/>
      <c r="H95" s="104"/>
      <c r="I95" s="35"/>
      <c r="J95" s="74"/>
      <c r="K95" s="74"/>
      <c r="L95" s="74"/>
      <c r="M95" s="74"/>
      <c r="N95" s="74"/>
      <c r="O95" s="74"/>
      <c r="P95" s="74"/>
      <c r="Q95" s="74"/>
      <c r="R95" s="74"/>
      <c r="S95" s="74"/>
      <c r="T95" s="74"/>
      <c r="U95" s="74"/>
      <c r="V95" s="74"/>
      <c r="W95" s="74"/>
      <c r="X95" s="74"/>
      <c r="Y95" s="74"/>
      <c r="Z95" s="74"/>
      <c r="AA95" s="74"/>
      <c r="AB95" s="74"/>
    </row>
    <row r="96" spans="1:28" ht="12" customHeight="1">
      <c r="A96" s="105"/>
      <c r="B96" s="106"/>
      <c r="C96" s="107"/>
      <c r="D96" s="108"/>
      <c r="E96" s="107"/>
      <c r="F96" s="107"/>
      <c r="G96" s="35"/>
      <c r="H96" s="104"/>
      <c r="I96" s="35"/>
      <c r="J96" s="74"/>
      <c r="K96" s="74"/>
      <c r="L96" s="74"/>
      <c r="M96" s="74"/>
      <c r="N96" s="74"/>
      <c r="O96" s="74"/>
      <c r="P96" s="74"/>
      <c r="Q96" s="74"/>
      <c r="R96" s="74"/>
      <c r="S96" s="74"/>
      <c r="T96" s="74"/>
      <c r="U96" s="74"/>
      <c r="V96" s="74"/>
      <c r="W96" s="74"/>
      <c r="X96" s="74"/>
      <c r="Y96" s="74"/>
      <c r="Z96" s="74"/>
      <c r="AA96" s="74"/>
      <c r="AB96" s="74"/>
    </row>
    <row r="97" spans="1:28" ht="12" customHeight="1">
      <c r="A97" s="105"/>
      <c r="B97" s="106"/>
      <c r="C97" s="107"/>
      <c r="D97" s="108"/>
      <c r="E97" s="107"/>
      <c r="F97" s="107"/>
      <c r="G97" s="35"/>
      <c r="H97" s="104"/>
      <c r="I97" s="35"/>
      <c r="J97" s="74"/>
      <c r="K97" s="74"/>
      <c r="L97" s="74"/>
      <c r="M97" s="74"/>
      <c r="N97" s="74"/>
      <c r="O97" s="74"/>
      <c r="P97" s="74"/>
      <c r="Q97" s="74"/>
      <c r="R97" s="74"/>
      <c r="S97" s="74"/>
      <c r="T97" s="74"/>
      <c r="U97" s="74"/>
      <c r="V97" s="74"/>
      <c r="W97" s="74"/>
      <c r="X97" s="74"/>
      <c r="Y97" s="74"/>
      <c r="Z97" s="74"/>
      <c r="AA97" s="74"/>
      <c r="AB97" s="74"/>
    </row>
    <row r="98" spans="1:28" ht="12" customHeight="1">
      <c r="A98" s="105"/>
      <c r="B98" s="106"/>
      <c r="C98" s="107"/>
      <c r="D98" s="108"/>
      <c r="E98" s="107"/>
      <c r="F98" s="107"/>
      <c r="G98" s="35"/>
      <c r="H98" s="104"/>
      <c r="I98" s="35"/>
      <c r="J98" s="74"/>
      <c r="K98" s="74"/>
      <c r="L98" s="74"/>
      <c r="M98" s="74"/>
      <c r="N98" s="74"/>
      <c r="O98" s="74"/>
      <c r="P98" s="74"/>
      <c r="Q98" s="74"/>
      <c r="R98" s="74"/>
      <c r="S98" s="74"/>
      <c r="T98" s="74"/>
      <c r="U98" s="74"/>
      <c r="V98" s="74"/>
      <c r="W98" s="74"/>
      <c r="X98" s="74"/>
      <c r="Y98" s="74"/>
      <c r="Z98" s="74"/>
      <c r="AA98" s="74"/>
      <c r="AB98" s="74"/>
    </row>
    <row r="99" spans="1:28" ht="12" customHeight="1">
      <c r="A99" s="105"/>
      <c r="B99" s="106"/>
      <c r="C99" s="107"/>
      <c r="D99" s="108"/>
      <c r="E99" s="107"/>
      <c r="F99" s="107"/>
      <c r="G99" s="35"/>
      <c r="H99" s="104"/>
      <c r="I99" s="35"/>
      <c r="J99" s="74"/>
      <c r="K99" s="74"/>
      <c r="L99" s="74"/>
      <c r="M99" s="74"/>
      <c r="N99" s="74"/>
      <c r="O99" s="74"/>
      <c r="P99" s="74"/>
      <c r="Q99" s="74"/>
      <c r="R99" s="74"/>
      <c r="S99" s="74"/>
      <c r="T99" s="74"/>
      <c r="U99" s="74"/>
      <c r="V99" s="74"/>
      <c r="W99" s="74"/>
      <c r="X99" s="74"/>
      <c r="Y99" s="74"/>
      <c r="Z99" s="74"/>
      <c r="AA99" s="74"/>
      <c r="AB99" s="74"/>
    </row>
    <row r="100" spans="1:28" ht="12" customHeight="1">
      <c r="A100" s="105"/>
      <c r="B100" s="106"/>
      <c r="C100" s="107"/>
      <c r="D100" s="108"/>
      <c r="E100" s="107"/>
      <c r="F100" s="107"/>
      <c r="G100" s="35"/>
      <c r="H100" s="104"/>
      <c r="I100" s="35"/>
      <c r="J100" s="74"/>
      <c r="K100" s="74"/>
      <c r="L100" s="74"/>
      <c r="M100" s="74"/>
      <c r="N100" s="74"/>
      <c r="O100" s="74"/>
      <c r="P100" s="74"/>
      <c r="Q100" s="74"/>
      <c r="R100" s="74"/>
      <c r="S100" s="74"/>
      <c r="T100" s="74"/>
      <c r="U100" s="74"/>
      <c r="V100" s="74"/>
      <c r="W100" s="74"/>
      <c r="X100" s="74"/>
      <c r="Y100" s="74"/>
      <c r="Z100" s="74"/>
      <c r="AA100" s="74"/>
      <c r="AB100" s="74"/>
    </row>
    <row r="101" spans="1:28" ht="12" customHeight="1">
      <c r="A101" s="105"/>
      <c r="B101" s="106"/>
      <c r="C101" s="107"/>
      <c r="D101" s="108"/>
      <c r="E101" s="107"/>
      <c r="F101" s="107"/>
      <c r="G101" s="35"/>
      <c r="H101" s="104"/>
      <c r="I101" s="35"/>
      <c r="J101" s="74"/>
      <c r="K101" s="74"/>
      <c r="L101" s="74"/>
      <c r="M101" s="74"/>
      <c r="N101" s="74"/>
      <c r="O101" s="74"/>
      <c r="P101" s="74"/>
      <c r="Q101" s="74"/>
      <c r="R101" s="74"/>
      <c r="S101" s="74"/>
      <c r="T101" s="74"/>
      <c r="U101" s="74"/>
      <c r="V101" s="74"/>
      <c r="W101" s="74"/>
      <c r="X101" s="74"/>
      <c r="Y101" s="74"/>
      <c r="Z101" s="74"/>
      <c r="AA101" s="74"/>
      <c r="AB101" s="74"/>
    </row>
    <row r="102" spans="1:28" ht="12" customHeight="1">
      <c r="A102" s="105"/>
      <c r="B102" s="106"/>
      <c r="C102" s="107"/>
      <c r="D102" s="108"/>
      <c r="E102" s="107"/>
      <c r="F102" s="107"/>
      <c r="G102" s="35"/>
      <c r="H102" s="104"/>
      <c r="I102" s="35"/>
      <c r="J102" s="74"/>
      <c r="K102" s="74"/>
      <c r="L102" s="74"/>
      <c r="M102" s="74"/>
      <c r="N102" s="74"/>
      <c r="O102" s="74"/>
      <c r="P102" s="74"/>
      <c r="Q102" s="74"/>
      <c r="R102" s="74"/>
      <c r="S102" s="74"/>
      <c r="T102" s="74"/>
      <c r="U102" s="74"/>
      <c r="V102" s="74"/>
      <c r="W102" s="74"/>
      <c r="X102" s="74"/>
      <c r="Y102" s="74"/>
      <c r="Z102" s="74"/>
      <c r="AA102" s="74"/>
      <c r="AB102" s="74"/>
    </row>
    <row r="103" spans="1:28" ht="12" customHeight="1">
      <c r="A103" s="105"/>
      <c r="B103" s="106"/>
      <c r="C103" s="107"/>
      <c r="D103" s="108"/>
      <c r="E103" s="107"/>
      <c r="F103" s="107"/>
      <c r="G103" s="35"/>
      <c r="H103" s="104"/>
      <c r="I103" s="35"/>
      <c r="J103" s="74"/>
      <c r="K103" s="74"/>
      <c r="L103" s="74"/>
      <c r="M103" s="74"/>
      <c r="N103" s="74"/>
      <c r="O103" s="74"/>
      <c r="P103" s="74"/>
      <c r="Q103" s="74"/>
      <c r="R103" s="74"/>
      <c r="S103" s="74"/>
      <c r="T103" s="74"/>
      <c r="U103" s="74"/>
      <c r="V103" s="74"/>
      <c r="W103" s="74"/>
      <c r="X103" s="74"/>
      <c r="Y103" s="74"/>
      <c r="Z103" s="74"/>
      <c r="AA103" s="74"/>
      <c r="AB103" s="74"/>
    </row>
    <row r="104" spans="1:28" ht="12" customHeight="1">
      <c r="A104" s="105"/>
      <c r="B104" s="106"/>
      <c r="C104" s="107"/>
      <c r="D104" s="108"/>
      <c r="E104" s="107"/>
      <c r="F104" s="107"/>
      <c r="G104" s="35"/>
      <c r="H104" s="104"/>
      <c r="I104" s="35"/>
      <c r="J104" s="74"/>
      <c r="K104" s="74"/>
      <c r="L104" s="74"/>
      <c r="M104" s="74"/>
      <c r="N104" s="74"/>
      <c r="O104" s="74"/>
      <c r="P104" s="74"/>
      <c r="Q104" s="74"/>
      <c r="R104" s="74"/>
      <c r="S104" s="74"/>
      <c r="T104" s="74"/>
      <c r="U104" s="74"/>
      <c r="V104" s="74"/>
      <c r="W104" s="74"/>
      <c r="X104" s="74"/>
      <c r="Y104" s="74"/>
      <c r="Z104" s="74"/>
      <c r="AA104" s="74"/>
      <c r="AB104" s="74"/>
    </row>
    <row r="105" spans="1:28" ht="12" customHeight="1">
      <c r="A105" s="105"/>
      <c r="B105" s="106"/>
      <c r="C105" s="107"/>
      <c r="D105" s="108"/>
      <c r="E105" s="107"/>
      <c r="F105" s="107"/>
      <c r="G105" s="35"/>
      <c r="H105" s="104"/>
      <c r="I105" s="35"/>
      <c r="J105" s="74"/>
      <c r="K105" s="74"/>
      <c r="L105" s="74"/>
      <c r="M105" s="74"/>
      <c r="N105" s="74"/>
      <c r="O105" s="74"/>
      <c r="P105" s="74"/>
      <c r="Q105" s="74"/>
      <c r="R105" s="74"/>
      <c r="S105" s="74"/>
      <c r="T105" s="74"/>
      <c r="U105" s="74"/>
      <c r="V105" s="74"/>
      <c r="W105" s="74"/>
      <c r="X105" s="74"/>
      <c r="Y105" s="74"/>
      <c r="Z105" s="74"/>
      <c r="AA105" s="74"/>
      <c r="AB105" s="74"/>
    </row>
    <row r="106" spans="1:28" ht="12" customHeight="1">
      <c r="A106" s="105"/>
      <c r="B106" s="106"/>
      <c r="C106" s="107"/>
      <c r="D106" s="108"/>
      <c r="E106" s="107"/>
      <c r="F106" s="107"/>
      <c r="G106" s="35"/>
      <c r="H106" s="104"/>
      <c r="I106" s="35"/>
      <c r="J106" s="74"/>
      <c r="K106" s="74"/>
      <c r="L106" s="74"/>
      <c r="M106" s="74"/>
      <c r="N106" s="74"/>
      <c r="O106" s="74"/>
      <c r="P106" s="74"/>
      <c r="Q106" s="74"/>
      <c r="R106" s="74"/>
      <c r="S106" s="74"/>
      <c r="T106" s="74"/>
      <c r="U106" s="74"/>
      <c r="V106" s="74"/>
      <c r="W106" s="74"/>
      <c r="X106" s="74"/>
      <c r="Y106" s="74"/>
      <c r="Z106" s="74"/>
      <c r="AA106" s="74"/>
      <c r="AB106" s="74"/>
    </row>
    <row r="107" spans="1:28" ht="12" customHeight="1">
      <c r="A107" s="105"/>
      <c r="B107" s="106"/>
      <c r="C107" s="107"/>
      <c r="D107" s="108"/>
      <c r="E107" s="107"/>
      <c r="F107" s="107"/>
      <c r="G107" s="35"/>
      <c r="H107" s="104"/>
      <c r="I107" s="35"/>
      <c r="J107" s="74"/>
      <c r="K107" s="74"/>
      <c r="L107" s="74"/>
      <c r="M107" s="74"/>
      <c r="N107" s="74"/>
      <c r="O107" s="74"/>
      <c r="P107" s="74"/>
      <c r="Q107" s="74"/>
      <c r="R107" s="74"/>
      <c r="S107" s="74"/>
      <c r="T107" s="74"/>
      <c r="U107" s="74"/>
      <c r="V107" s="74"/>
      <c r="W107" s="74"/>
      <c r="X107" s="74"/>
      <c r="Y107" s="74"/>
      <c r="Z107" s="74"/>
      <c r="AA107" s="74"/>
      <c r="AB107" s="74"/>
    </row>
    <row r="108" spans="1:28" ht="12" customHeight="1">
      <c r="A108" s="105"/>
      <c r="B108" s="106"/>
      <c r="C108" s="107"/>
      <c r="D108" s="108"/>
      <c r="E108" s="107"/>
      <c r="F108" s="107"/>
      <c r="G108" s="35"/>
      <c r="H108" s="104"/>
      <c r="I108" s="35"/>
      <c r="J108" s="74"/>
      <c r="K108" s="74"/>
      <c r="L108" s="74"/>
      <c r="M108" s="74"/>
      <c r="N108" s="74"/>
      <c r="O108" s="74"/>
      <c r="P108" s="74"/>
      <c r="Q108" s="74"/>
      <c r="R108" s="74"/>
      <c r="S108" s="74"/>
      <c r="T108" s="74"/>
      <c r="U108" s="74"/>
      <c r="V108" s="74"/>
      <c r="W108" s="74"/>
      <c r="X108" s="74"/>
      <c r="Y108" s="74"/>
      <c r="Z108" s="74"/>
      <c r="AA108" s="74"/>
      <c r="AB108" s="74"/>
    </row>
    <row r="109" spans="1:28" ht="12" customHeight="1">
      <c r="A109" s="105"/>
      <c r="B109" s="106"/>
      <c r="C109" s="107"/>
      <c r="D109" s="108"/>
      <c r="E109" s="107"/>
      <c r="F109" s="107"/>
      <c r="G109" s="35"/>
      <c r="H109" s="104"/>
      <c r="I109" s="35"/>
      <c r="J109" s="74"/>
      <c r="K109" s="74"/>
      <c r="L109" s="74"/>
      <c r="M109" s="74"/>
      <c r="N109" s="74"/>
      <c r="O109" s="74"/>
      <c r="P109" s="74"/>
      <c r="Q109" s="74"/>
      <c r="R109" s="74"/>
      <c r="S109" s="74"/>
      <c r="T109" s="74"/>
      <c r="U109" s="74"/>
      <c r="V109" s="74"/>
      <c r="W109" s="74"/>
      <c r="X109" s="74"/>
      <c r="Y109" s="74"/>
      <c r="Z109" s="74"/>
      <c r="AA109" s="74"/>
      <c r="AB109" s="74"/>
    </row>
    <row r="110" spans="1:28" ht="12" customHeight="1">
      <c r="A110" s="105"/>
      <c r="B110" s="106"/>
      <c r="C110" s="107"/>
      <c r="D110" s="108"/>
      <c r="E110" s="107"/>
      <c r="F110" s="107"/>
      <c r="G110" s="35"/>
      <c r="H110" s="104"/>
      <c r="I110" s="35"/>
      <c r="J110" s="74"/>
      <c r="K110" s="74"/>
      <c r="L110" s="74"/>
      <c r="M110" s="74"/>
      <c r="N110" s="74"/>
      <c r="O110" s="74"/>
      <c r="P110" s="74"/>
      <c r="Q110" s="74"/>
      <c r="R110" s="74"/>
      <c r="S110" s="74"/>
      <c r="T110" s="74"/>
      <c r="U110" s="74"/>
      <c r="V110" s="74"/>
      <c r="W110" s="74"/>
      <c r="X110" s="74"/>
      <c r="Y110" s="74"/>
      <c r="Z110" s="74"/>
      <c r="AA110" s="74"/>
      <c r="AB110" s="74"/>
    </row>
    <row r="111" spans="1:28" ht="12" customHeight="1">
      <c r="A111" s="105"/>
      <c r="B111" s="106"/>
      <c r="C111" s="107"/>
      <c r="D111" s="108"/>
      <c r="E111" s="107"/>
      <c r="F111" s="107"/>
      <c r="G111" s="35"/>
      <c r="H111" s="104"/>
      <c r="I111" s="35"/>
      <c r="J111" s="74"/>
      <c r="K111" s="74"/>
      <c r="L111" s="74"/>
      <c r="M111" s="74"/>
      <c r="N111" s="74"/>
      <c r="O111" s="74"/>
      <c r="P111" s="74"/>
      <c r="Q111" s="74"/>
      <c r="R111" s="74"/>
      <c r="S111" s="74"/>
      <c r="T111" s="74"/>
      <c r="U111" s="74"/>
      <c r="V111" s="74"/>
      <c r="W111" s="74"/>
      <c r="X111" s="74"/>
      <c r="Y111" s="74"/>
      <c r="Z111" s="74"/>
      <c r="AA111" s="74"/>
      <c r="AB111" s="74"/>
    </row>
    <row r="112" spans="1:28" ht="12" customHeight="1">
      <c r="A112" s="105"/>
      <c r="B112" s="106"/>
      <c r="C112" s="107"/>
      <c r="D112" s="108"/>
      <c r="E112" s="107"/>
      <c r="F112" s="107"/>
      <c r="G112" s="35"/>
      <c r="H112" s="104"/>
      <c r="I112" s="35"/>
      <c r="J112" s="74"/>
      <c r="K112" s="74"/>
      <c r="L112" s="74"/>
      <c r="M112" s="74"/>
      <c r="N112" s="74"/>
      <c r="O112" s="74"/>
      <c r="P112" s="74"/>
      <c r="Q112" s="74"/>
      <c r="R112" s="74"/>
      <c r="S112" s="74"/>
      <c r="T112" s="74"/>
      <c r="U112" s="74"/>
      <c r="V112" s="74"/>
      <c r="W112" s="74"/>
      <c r="X112" s="74"/>
      <c r="Y112" s="74"/>
      <c r="Z112" s="74"/>
      <c r="AA112" s="74"/>
      <c r="AB112" s="74"/>
    </row>
    <row r="113" spans="1:28" ht="12" customHeight="1">
      <c r="A113" s="105"/>
      <c r="B113" s="106"/>
      <c r="C113" s="107"/>
      <c r="D113" s="108"/>
      <c r="E113" s="107"/>
      <c r="F113" s="107"/>
      <c r="G113" s="35"/>
      <c r="H113" s="104"/>
      <c r="I113" s="35"/>
      <c r="J113" s="74"/>
      <c r="K113" s="74"/>
      <c r="L113" s="74"/>
      <c r="M113" s="74"/>
      <c r="N113" s="74"/>
      <c r="O113" s="74"/>
      <c r="P113" s="74"/>
      <c r="Q113" s="74"/>
      <c r="R113" s="74"/>
      <c r="S113" s="74"/>
      <c r="T113" s="74"/>
      <c r="U113" s="74"/>
      <c r="V113" s="74"/>
      <c r="W113" s="74"/>
      <c r="X113" s="74"/>
      <c r="Y113" s="74"/>
      <c r="Z113" s="74"/>
      <c r="AA113" s="74"/>
      <c r="AB113" s="74"/>
    </row>
    <row r="114" spans="1:28" ht="12" customHeight="1">
      <c r="A114" s="105"/>
      <c r="B114" s="106"/>
      <c r="C114" s="107"/>
      <c r="D114" s="108"/>
      <c r="E114" s="107"/>
      <c r="F114" s="107"/>
      <c r="G114" s="35"/>
      <c r="H114" s="104"/>
      <c r="I114" s="35"/>
      <c r="J114" s="74"/>
      <c r="K114" s="74"/>
      <c r="L114" s="74"/>
      <c r="M114" s="74"/>
      <c r="N114" s="74"/>
      <c r="O114" s="74"/>
      <c r="P114" s="74"/>
      <c r="Q114" s="74"/>
      <c r="R114" s="74"/>
      <c r="S114" s="74"/>
      <c r="T114" s="74"/>
      <c r="U114" s="74"/>
      <c r="V114" s="74"/>
      <c r="W114" s="74"/>
      <c r="X114" s="74"/>
      <c r="Y114" s="74"/>
      <c r="Z114" s="74"/>
      <c r="AA114" s="74"/>
      <c r="AB114" s="74"/>
    </row>
    <row r="115" spans="1:28" ht="12" customHeight="1">
      <c r="A115" s="105"/>
      <c r="B115" s="106"/>
      <c r="C115" s="107"/>
      <c r="D115" s="108"/>
      <c r="E115" s="107"/>
      <c r="F115" s="107"/>
      <c r="G115" s="35"/>
      <c r="H115" s="104"/>
      <c r="I115" s="35"/>
      <c r="J115" s="74"/>
      <c r="K115" s="74"/>
      <c r="L115" s="74"/>
      <c r="M115" s="74"/>
      <c r="N115" s="74"/>
      <c r="O115" s="74"/>
      <c r="P115" s="74"/>
      <c r="Q115" s="74"/>
      <c r="R115" s="74"/>
      <c r="S115" s="74"/>
      <c r="T115" s="74"/>
      <c r="U115" s="74"/>
      <c r="V115" s="74"/>
      <c r="W115" s="74"/>
      <c r="X115" s="74"/>
      <c r="Y115" s="74"/>
      <c r="Z115" s="74"/>
      <c r="AA115" s="74"/>
      <c r="AB115" s="74"/>
    </row>
    <row r="116" spans="1:28" ht="12" customHeight="1">
      <c r="A116" s="105"/>
      <c r="B116" s="106"/>
      <c r="C116" s="107"/>
      <c r="D116" s="108"/>
      <c r="E116" s="107"/>
      <c r="F116" s="107"/>
      <c r="G116" s="35"/>
      <c r="H116" s="104"/>
      <c r="I116" s="35"/>
      <c r="J116" s="74"/>
      <c r="K116" s="74"/>
      <c r="L116" s="74"/>
      <c r="M116" s="74"/>
      <c r="N116" s="74"/>
      <c r="O116" s="74"/>
      <c r="P116" s="74"/>
      <c r="Q116" s="74"/>
      <c r="R116" s="74"/>
      <c r="S116" s="74"/>
      <c r="T116" s="74"/>
      <c r="U116" s="74"/>
      <c r="V116" s="74"/>
      <c r="W116" s="74"/>
      <c r="X116" s="74"/>
      <c r="Y116" s="74"/>
      <c r="Z116" s="74"/>
      <c r="AA116" s="74"/>
      <c r="AB116" s="74"/>
    </row>
    <row r="117" spans="1:28" ht="12" customHeight="1">
      <c r="A117" s="105"/>
      <c r="B117" s="106"/>
      <c r="C117" s="107"/>
      <c r="D117" s="108"/>
      <c r="E117" s="107"/>
      <c r="F117" s="107"/>
      <c r="G117" s="35"/>
      <c r="H117" s="104"/>
      <c r="I117" s="35"/>
      <c r="J117" s="74"/>
      <c r="K117" s="74"/>
      <c r="L117" s="74"/>
      <c r="M117" s="74"/>
      <c r="N117" s="74"/>
      <c r="O117" s="74"/>
      <c r="P117" s="74"/>
      <c r="Q117" s="74"/>
      <c r="R117" s="74"/>
      <c r="S117" s="74"/>
      <c r="T117" s="74"/>
      <c r="U117" s="74"/>
      <c r="V117" s="74"/>
      <c r="W117" s="74"/>
      <c r="X117" s="74"/>
      <c r="Y117" s="74"/>
      <c r="Z117" s="74"/>
      <c r="AA117" s="74"/>
      <c r="AB117" s="74"/>
    </row>
    <row r="118" spans="1:28" ht="12" customHeight="1">
      <c r="A118" s="105"/>
      <c r="B118" s="106"/>
      <c r="C118" s="107"/>
      <c r="D118" s="108"/>
      <c r="E118" s="107"/>
      <c r="F118" s="107"/>
      <c r="G118" s="35"/>
      <c r="H118" s="104"/>
      <c r="I118" s="35"/>
      <c r="J118" s="74"/>
      <c r="K118" s="74"/>
      <c r="L118" s="74"/>
      <c r="M118" s="74"/>
      <c r="N118" s="74"/>
      <c r="O118" s="74"/>
      <c r="P118" s="74"/>
      <c r="Q118" s="74"/>
      <c r="R118" s="74"/>
      <c r="S118" s="74"/>
      <c r="T118" s="74"/>
      <c r="U118" s="74"/>
      <c r="V118" s="74"/>
      <c r="W118" s="74"/>
      <c r="X118" s="74"/>
      <c r="Y118" s="74"/>
      <c r="Z118" s="74"/>
      <c r="AA118" s="74"/>
      <c r="AB118" s="74"/>
    </row>
    <row r="119" spans="1:28" ht="12" customHeight="1">
      <c r="A119" s="105"/>
      <c r="B119" s="106"/>
      <c r="C119" s="107"/>
      <c r="D119" s="108"/>
      <c r="E119" s="107"/>
      <c r="F119" s="107"/>
      <c r="G119" s="35"/>
      <c r="H119" s="104"/>
      <c r="I119" s="35"/>
      <c r="J119" s="74"/>
      <c r="K119" s="74"/>
      <c r="L119" s="74"/>
      <c r="M119" s="74"/>
      <c r="N119" s="74"/>
      <c r="O119" s="74"/>
      <c r="P119" s="74"/>
      <c r="Q119" s="74"/>
      <c r="R119" s="74"/>
      <c r="S119" s="74"/>
      <c r="T119" s="74"/>
      <c r="U119" s="74"/>
      <c r="V119" s="74"/>
      <c r="W119" s="74"/>
      <c r="X119" s="74"/>
      <c r="Y119" s="74"/>
      <c r="Z119" s="74"/>
      <c r="AA119" s="74"/>
      <c r="AB119" s="74"/>
    </row>
    <row r="120" spans="1:28" ht="12" customHeight="1">
      <c r="A120" s="105"/>
      <c r="B120" s="106"/>
      <c r="C120" s="107"/>
      <c r="D120" s="108"/>
      <c r="E120" s="107"/>
      <c r="F120" s="107"/>
      <c r="G120" s="35"/>
      <c r="H120" s="104"/>
      <c r="I120" s="35"/>
      <c r="J120" s="74"/>
      <c r="K120" s="74"/>
      <c r="L120" s="74"/>
      <c r="M120" s="74"/>
      <c r="N120" s="74"/>
      <c r="O120" s="74"/>
      <c r="P120" s="74"/>
      <c r="Q120" s="74"/>
      <c r="R120" s="74"/>
      <c r="S120" s="74"/>
      <c r="T120" s="74"/>
      <c r="U120" s="74"/>
      <c r="V120" s="74"/>
      <c r="W120" s="74"/>
      <c r="X120" s="74"/>
      <c r="Y120" s="74"/>
      <c r="Z120" s="74"/>
      <c r="AA120" s="74"/>
      <c r="AB120" s="74"/>
    </row>
    <row r="121" spans="1:28" ht="12" customHeight="1">
      <c r="A121" s="105"/>
      <c r="B121" s="106"/>
      <c r="C121" s="107"/>
      <c r="D121" s="108"/>
      <c r="E121" s="107"/>
      <c r="F121" s="107"/>
      <c r="G121" s="35"/>
      <c r="H121" s="104"/>
      <c r="I121" s="35"/>
      <c r="J121" s="74"/>
      <c r="K121" s="74"/>
      <c r="L121" s="74"/>
      <c r="M121" s="74"/>
      <c r="N121" s="74"/>
      <c r="O121" s="74"/>
      <c r="P121" s="74"/>
      <c r="Q121" s="74"/>
      <c r="R121" s="74"/>
      <c r="S121" s="74"/>
      <c r="T121" s="74"/>
      <c r="U121" s="74"/>
      <c r="V121" s="74"/>
      <c r="W121" s="74"/>
      <c r="X121" s="74"/>
      <c r="Y121" s="74"/>
      <c r="Z121" s="74"/>
      <c r="AA121" s="74"/>
      <c r="AB121" s="74"/>
    </row>
    <row r="122" spans="1:28" ht="12" customHeight="1">
      <c r="A122" s="105"/>
      <c r="B122" s="106"/>
      <c r="C122" s="107"/>
      <c r="D122" s="108"/>
      <c r="E122" s="107"/>
      <c r="F122" s="107"/>
      <c r="G122" s="35"/>
      <c r="H122" s="104"/>
      <c r="I122" s="35"/>
      <c r="J122" s="74"/>
      <c r="K122" s="74"/>
      <c r="L122" s="74"/>
      <c r="M122" s="74"/>
      <c r="N122" s="74"/>
      <c r="O122" s="74"/>
      <c r="P122" s="74"/>
      <c r="Q122" s="74"/>
      <c r="R122" s="74"/>
      <c r="S122" s="74"/>
      <c r="T122" s="74"/>
      <c r="U122" s="74"/>
      <c r="V122" s="74"/>
      <c r="W122" s="74"/>
      <c r="X122" s="74"/>
      <c r="Y122" s="74"/>
      <c r="Z122" s="74"/>
      <c r="AA122" s="74"/>
      <c r="AB122" s="74"/>
    </row>
    <row r="123" spans="1:28" ht="12" customHeight="1">
      <c r="A123" s="105"/>
      <c r="B123" s="106"/>
      <c r="C123" s="107"/>
      <c r="D123" s="108"/>
      <c r="E123" s="107"/>
      <c r="F123" s="107"/>
      <c r="G123" s="35"/>
      <c r="H123" s="104"/>
      <c r="I123" s="35"/>
      <c r="J123" s="74"/>
      <c r="K123" s="74"/>
      <c r="L123" s="74"/>
      <c r="M123" s="74"/>
      <c r="N123" s="74"/>
      <c r="O123" s="74"/>
      <c r="P123" s="74"/>
      <c r="Q123" s="74"/>
      <c r="R123" s="74"/>
      <c r="S123" s="74"/>
      <c r="T123" s="74"/>
      <c r="U123" s="74"/>
      <c r="V123" s="74"/>
      <c r="W123" s="74"/>
      <c r="X123" s="74"/>
      <c r="Y123" s="74"/>
      <c r="Z123" s="74"/>
      <c r="AA123" s="74"/>
      <c r="AB123" s="74"/>
    </row>
    <row r="124" spans="1:28" ht="12" customHeight="1">
      <c r="A124" s="105"/>
      <c r="B124" s="106"/>
      <c r="C124" s="107"/>
      <c r="D124" s="108"/>
      <c r="E124" s="107"/>
      <c r="F124" s="107"/>
      <c r="G124" s="35"/>
      <c r="H124" s="104"/>
      <c r="I124" s="35"/>
      <c r="J124" s="74"/>
      <c r="K124" s="74"/>
      <c r="L124" s="74"/>
      <c r="M124" s="74"/>
      <c r="N124" s="74"/>
      <c r="O124" s="74"/>
      <c r="P124" s="74"/>
      <c r="Q124" s="74"/>
      <c r="R124" s="74"/>
      <c r="S124" s="74"/>
      <c r="T124" s="74"/>
      <c r="U124" s="74"/>
      <c r="V124" s="74"/>
      <c r="W124" s="74"/>
      <c r="X124" s="74"/>
      <c r="Y124" s="74"/>
      <c r="Z124" s="74"/>
      <c r="AA124" s="74"/>
      <c r="AB124" s="74"/>
    </row>
    <row r="125" spans="1:28" ht="12" customHeight="1">
      <c r="A125" s="105"/>
      <c r="B125" s="106"/>
      <c r="C125" s="107"/>
      <c r="D125" s="108"/>
      <c r="E125" s="107"/>
      <c r="F125" s="107"/>
      <c r="G125" s="35"/>
      <c r="H125" s="104"/>
      <c r="I125" s="35"/>
      <c r="J125" s="74"/>
      <c r="K125" s="74"/>
      <c r="L125" s="74"/>
      <c r="M125" s="74"/>
      <c r="N125" s="74"/>
      <c r="O125" s="74"/>
      <c r="P125" s="74"/>
      <c r="Q125" s="74"/>
      <c r="R125" s="74"/>
      <c r="S125" s="74"/>
      <c r="T125" s="74"/>
      <c r="U125" s="74"/>
      <c r="V125" s="74"/>
      <c r="W125" s="74"/>
      <c r="X125" s="74"/>
      <c r="Y125" s="74"/>
      <c r="Z125" s="74"/>
      <c r="AA125" s="74"/>
      <c r="AB125" s="74"/>
    </row>
    <row r="126" spans="1:28" ht="12" customHeight="1">
      <c r="A126" s="105"/>
      <c r="B126" s="106"/>
      <c r="C126" s="107"/>
      <c r="D126" s="108"/>
      <c r="E126" s="107"/>
      <c r="F126" s="107"/>
      <c r="G126" s="35"/>
      <c r="H126" s="104"/>
      <c r="I126" s="35"/>
      <c r="J126" s="74"/>
      <c r="K126" s="74"/>
      <c r="L126" s="74"/>
      <c r="M126" s="74"/>
      <c r="N126" s="74"/>
      <c r="O126" s="74"/>
      <c r="P126" s="74"/>
      <c r="Q126" s="74"/>
      <c r="R126" s="74"/>
      <c r="S126" s="74"/>
      <c r="T126" s="74"/>
      <c r="U126" s="74"/>
      <c r="V126" s="74"/>
      <c r="W126" s="74"/>
      <c r="X126" s="74"/>
      <c r="Y126" s="74"/>
      <c r="Z126" s="74"/>
      <c r="AA126" s="74"/>
      <c r="AB126" s="74"/>
    </row>
    <row r="127" spans="1:28" ht="12" customHeight="1">
      <c r="A127" s="105"/>
      <c r="B127" s="106"/>
      <c r="C127" s="107"/>
      <c r="D127" s="108"/>
      <c r="E127" s="107"/>
      <c r="F127" s="107"/>
      <c r="G127" s="35"/>
      <c r="H127" s="104"/>
      <c r="I127" s="35"/>
      <c r="J127" s="74"/>
      <c r="K127" s="74"/>
      <c r="L127" s="74"/>
      <c r="M127" s="74"/>
      <c r="N127" s="74"/>
      <c r="O127" s="74"/>
      <c r="P127" s="74"/>
      <c r="Q127" s="74"/>
      <c r="R127" s="74"/>
      <c r="S127" s="74"/>
      <c r="T127" s="74"/>
      <c r="U127" s="74"/>
      <c r="V127" s="74"/>
      <c r="W127" s="74"/>
      <c r="X127" s="74"/>
      <c r="Y127" s="74"/>
      <c r="Z127" s="74"/>
      <c r="AA127" s="74"/>
      <c r="AB127" s="74"/>
    </row>
    <row r="128" spans="1:28" ht="12" customHeight="1">
      <c r="A128" s="105"/>
      <c r="B128" s="106"/>
      <c r="C128" s="107"/>
      <c r="D128" s="108"/>
      <c r="E128" s="107"/>
      <c r="F128" s="107"/>
      <c r="G128" s="35"/>
      <c r="H128" s="104"/>
      <c r="I128" s="35"/>
      <c r="J128" s="74"/>
      <c r="K128" s="74"/>
      <c r="L128" s="74"/>
      <c r="M128" s="74"/>
      <c r="N128" s="74"/>
      <c r="O128" s="74"/>
      <c r="P128" s="74"/>
      <c r="Q128" s="74"/>
      <c r="R128" s="74"/>
      <c r="S128" s="74"/>
      <c r="T128" s="74"/>
      <c r="U128" s="74"/>
      <c r="V128" s="74"/>
      <c r="W128" s="74"/>
      <c r="X128" s="74"/>
      <c r="Y128" s="74"/>
      <c r="Z128" s="74"/>
      <c r="AA128" s="74"/>
      <c r="AB128" s="74"/>
    </row>
    <row r="129" spans="1:28" ht="12" customHeight="1">
      <c r="A129" s="105"/>
      <c r="B129" s="106"/>
      <c r="C129" s="107"/>
      <c r="D129" s="108"/>
      <c r="E129" s="107"/>
      <c r="F129" s="107"/>
      <c r="G129" s="35"/>
      <c r="H129" s="104"/>
      <c r="I129" s="35"/>
      <c r="J129" s="74"/>
      <c r="K129" s="74"/>
      <c r="L129" s="74"/>
      <c r="M129" s="74"/>
      <c r="N129" s="74"/>
      <c r="O129" s="74"/>
      <c r="P129" s="74"/>
      <c r="Q129" s="74"/>
      <c r="R129" s="74"/>
      <c r="S129" s="74"/>
      <c r="T129" s="74"/>
      <c r="U129" s="74"/>
      <c r="V129" s="74"/>
      <c r="W129" s="74"/>
      <c r="X129" s="74"/>
      <c r="Y129" s="74"/>
      <c r="Z129" s="74"/>
      <c r="AA129" s="74"/>
      <c r="AB129" s="74"/>
    </row>
    <row r="130" spans="1:28" ht="12" customHeight="1">
      <c r="A130" s="105"/>
      <c r="B130" s="106"/>
      <c r="C130" s="107"/>
      <c r="D130" s="108"/>
      <c r="E130" s="107"/>
      <c r="F130" s="107"/>
      <c r="G130" s="35"/>
      <c r="H130" s="104"/>
      <c r="I130" s="35"/>
      <c r="J130" s="74"/>
      <c r="K130" s="74"/>
      <c r="L130" s="74"/>
      <c r="M130" s="74"/>
      <c r="N130" s="74"/>
      <c r="O130" s="74"/>
      <c r="P130" s="74"/>
      <c r="Q130" s="74"/>
      <c r="R130" s="74"/>
      <c r="S130" s="74"/>
      <c r="T130" s="74"/>
      <c r="U130" s="74"/>
      <c r="V130" s="74"/>
      <c r="W130" s="74"/>
      <c r="X130" s="74"/>
      <c r="Y130" s="74"/>
      <c r="Z130" s="74"/>
      <c r="AA130" s="74"/>
      <c r="AB130" s="74"/>
    </row>
    <row r="131" spans="1:28" ht="12" customHeight="1">
      <c r="A131" s="105"/>
      <c r="B131" s="106"/>
      <c r="C131" s="107"/>
      <c r="D131" s="108"/>
      <c r="E131" s="107"/>
      <c r="F131" s="107"/>
      <c r="G131" s="35"/>
      <c r="H131" s="104"/>
      <c r="I131" s="35"/>
      <c r="J131" s="74"/>
      <c r="K131" s="74"/>
      <c r="L131" s="74"/>
      <c r="M131" s="74"/>
      <c r="N131" s="74"/>
      <c r="O131" s="74"/>
      <c r="P131" s="74"/>
      <c r="Q131" s="74"/>
      <c r="R131" s="74"/>
      <c r="S131" s="74"/>
      <c r="T131" s="74"/>
      <c r="U131" s="74"/>
      <c r="V131" s="74"/>
      <c r="W131" s="74"/>
      <c r="X131" s="74"/>
      <c r="Y131" s="74"/>
      <c r="Z131" s="74"/>
      <c r="AA131" s="74"/>
      <c r="AB131" s="74"/>
    </row>
    <row r="132" spans="1:28" ht="12" customHeight="1">
      <c r="A132" s="105"/>
      <c r="B132" s="106"/>
      <c r="C132" s="107"/>
      <c r="D132" s="108"/>
      <c r="E132" s="107"/>
      <c r="F132" s="107"/>
      <c r="G132" s="35"/>
      <c r="H132" s="104"/>
      <c r="I132" s="35"/>
      <c r="J132" s="74"/>
      <c r="K132" s="74"/>
      <c r="L132" s="74"/>
      <c r="M132" s="74"/>
      <c r="N132" s="74"/>
      <c r="O132" s="74"/>
      <c r="P132" s="74"/>
      <c r="Q132" s="74"/>
      <c r="R132" s="74"/>
      <c r="S132" s="74"/>
      <c r="T132" s="74"/>
      <c r="U132" s="74"/>
      <c r="V132" s="74"/>
      <c r="W132" s="74"/>
      <c r="X132" s="74"/>
      <c r="Y132" s="74"/>
      <c r="Z132" s="74"/>
      <c r="AA132" s="74"/>
      <c r="AB132" s="74"/>
    </row>
    <row r="133" spans="1:28" ht="12" customHeight="1">
      <c r="A133" s="105"/>
      <c r="B133" s="106"/>
      <c r="C133" s="107"/>
      <c r="D133" s="108"/>
      <c r="E133" s="107"/>
      <c r="F133" s="107"/>
      <c r="G133" s="35"/>
      <c r="H133" s="104"/>
      <c r="I133" s="35"/>
      <c r="J133" s="74"/>
      <c r="K133" s="74"/>
      <c r="L133" s="74"/>
      <c r="M133" s="74"/>
      <c r="N133" s="74"/>
      <c r="O133" s="74"/>
      <c r="P133" s="74"/>
      <c r="Q133" s="74"/>
      <c r="R133" s="74"/>
      <c r="S133" s="74"/>
      <c r="T133" s="74"/>
      <c r="U133" s="74"/>
      <c r="V133" s="74"/>
      <c r="W133" s="74"/>
      <c r="X133" s="74"/>
      <c r="Y133" s="74"/>
      <c r="Z133" s="74"/>
      <c r="AA133" s="74"/>
      <c r="AB133" s="74"/>
    </row>
    <row r="134" spans="1:28" ht="12" customHeight="1">
      <c r="A134" s="105"/>
      <c r="B134" s="106"/>
      <c r="C134" s="107"/>
      <c r="D134" s="108"/>
      <c r="E134" s="107"/>
      <c r="F134" s="107"/>
      <c r="G134" s="35"/>
      <c r="H134" s="104"/>
      <c r="I134" s="35"/>
      <c r="J134" s="74"/>
      <c r="K134" s="74"/>
      <c r="L134" s="74"/>
      <c r="M134" s="74"/>
      <c r="N134" s="74"/>
      <c r="O134" s="74"/>
      <c r="P134" s="74"/>
      <c r="Q134" s="74"/>
      <c r="R134" s="74"/>
      <c r="S134" s="74"/>
      <c r="T134" s="74"/>
      <c r="U134" s="74"/>
      <c r="V134" s="74"/>
      <c r="W134" s="74"/>
      <c r="X134" s="74"/>
      <c r="Y134" s="74"/>
      <c r="Z134" s="74"/>
      <c r="AA134" s="74"/>
      <c r="AB134" s="74"/>
    </row>
    <row r="135" spans="1:28" ht="12" customHeight="1">
      <c r="A135" s="105"/>
      <c r="B135" s="106"/>
      <c r="C135" s="107"/>
      <c r="D135" s="108"/>
      <c r="E135" s="107"/>
      <c r="F135" s="107"/>
      <c r="G135" s="35"/>
      <c r="H135" s="104"/>
      <c r="I135" s="35"/>
      <c r="J135" s="74"/>
      <c r="K135" s="74"/>
      <c r="L135" s="74"/>
      <c r="M135" s="74"/>
      <c r="N135" s="74"/>
      <c r="O135" s="74"/>
      <c r="P135" s="74"/>
      <c r="Q135" s="74"/>
      <c r="R135" s="74"/>
      <c r="S135" s="74"/>
      <c r="T135" s="74"/>
      <c r="U135" s="74"/>
      <c r="V135" s="74"/>
      <c r="W135" s="74"/>
      <c r="X135" s="74"/>
      <c r="Y135" s="74"/>
      <c r="Z135" s="74"/>
      <c r="AA135" s="74"/>
      <c r="AB135" s="74"/>
    </row>
    <row r="136" spans="1:28" ht="12" customHeight="1">
      <c r="A136" s="105"/>
      <c r="B136" s="106"/>
      <c r="C136" s="107"/>
      <c r="D136" s="108"/>
      <c r="E136" s="107"/>
      <c r="F136" s="107"/>
      <c r="G136" s="35"/>
      <c r="H136" s="104"/>
      <c r="I136" s="35"/>
      <c r="J136" s="74"/>
      <c r="K136" s="74"/>
      <c r="L136" s="74"/>
      <c r="M136" s="74"/>
      <c r="N136" s="74"/>
      <c r="O136" s="74"/>
      <c r="P136" s="74"/>
      <c r="Q136" s="74"/>
      <c r="R136" s="74"/>
      <c r="S136" s="74"/>
      <c r="T136" s="74"/>
      <c r="U136" s="74"/>
      <c r="V136" s="74"/>
      <c r="W136" s="74"/>
      <c r="X136" s="74"/>
      <c r="Y136" s="74"/>
      <c r="Z136" s="74"/>
      <c r="AA136" s="74"/>
      <c r="AB136" s="74"/>
    </row>
    <row r="137" spans="1:28" ht="12" customHeight="1">
      <c r="A137" s="105"/>
      <c r="B137" s="106"/>
      <c r="C137" s="107"/>
      <c r="D137" s="108"/>
      <c r="E137" s="107"/>
      <c r="F137" s="107"/>
      <c r="G137" s="35"/>
      <c r="H137" s="104"/>
      <c r="I137" s="35"/>
      <c r="J137" s="74"/>
      <c r="K137" s="74"/>
      <c r="L137" s="74"/>
      <c r="M137" s="74"/>
      <c r="N137" s="74"/>
      <c r="O137" s="74"/>
      <c r="P137" s="74"/>
      <c r="Q137" s="74"/>
      <c r="R137" s="74"/>
      <c r="S137" s="74"/>
      <c r="T137" s="74"/>
      <c r="U137" s="74"/>
      <c r="V137" s="74"/>
      <c r="W137" s="74"/>
      <c r="X137" s="74"/>
      <c r="Y137" s="74"/>
      <c r="Z137" s="74"/>
      <c r="AA137" s="74"/>
      <c r="AB137" s="74"/>
    </row>
    <row r="138" spans="1:28" ht="12" customHeight="1">
      <c r="A138" s="105"/>
      <c r="B138" s="106"/>
      <c r="C138" s="107"/>
      <c r="D138" s="108"/>
      <c r="E138" s="107"/>
      <c r="F138" s="107"/>
      <c r="G138" s="35"/>
      <c r="H138" s="104"/>
      <c r="I138" s="35"/>
      <c r="J138" s="74"/>
      <c r="K138" s="74"/>
      <c r="L138" s="74"/>
      <c r="M138" s="74"/>
      <c r="N138" s="74"/>
      <c r="O138" s="74"/>
      <c r="P138" s="74"/>
      <c r="Q138" s="74"/>
      <c r="R138" s="74"/>
      <c r="S138" s="74"/>
      <c r="T138" s="74"/>
      <c r="U138" s="74"/>
      <c r="V138" s="74"/>
      <c r="W138" s="74"/>
      <c r="X138" s="74"/>
      <c r="Y138" s="74"/>
      <c r="Z138" s="74"/>
      <c r="AA138" s="74"/>
      <c r="AB138" s="74"/>
    </row>
    <row r="139" spans="1:28" ht="12" customHeight="1">
      <c r="A139" s="105"/>
      <c r="B139" s="106"/>
      <c r="C139" s="107"/>
      <c r="D139" s="108"/>
      <c r="E139" s="107"/>
      <c r="F139" s="107"/>
      <c r="G139" s="35"/>
      <c r="H139" s="104"/>
      <c r="I139" s="35"/>
      <c r="J139" s="74"/>
      <c r="K139" s="74"/>
      <c r="L139" s="74"/>
      <c r="M139" s="74"/>
      <c r="N139" s="74"/>
      <c r="O139" s="74"/>
      <c r="P139" s="74"/>
      <c r="Q139" s="74"/>
      <c r="R139" s="74"/>
      <c r="S139" s="74"/>
      <c r="T139" s="74"/>
      <c r="U139" s="74"/>
      <c r="V139" s="74"/>
      <c r="W139" s="74"/>
      <c r="X139" s="74"/>
      <c r="Y139" s="74"/>
      <c r="Z139" s="74"/>
      <c r="AA139" s="74"/>
      <c r="AB139" s="74"/>
    </row>
    <row r="140" spans="1:28" ht="12" customHeight="1">
      <c r="A140" s="105"/>
      <c r="B140" s="106"/>
      <c r="C140" s="107"/>
      <c r="D140" s="108"/>
      <c r="E140" s="107"/>
      <c r="F140" s="107"/>
      <c r="G140" s="35"/>
      <c r="H140" s="104"/>
      <c r="I140" s="35"/>
      <c r="J140" s="74"/>
      <c r="K140" s="74"/>
      <c r="L140" s="74"/>
      <c r="M140" s="74"/>
      <c r="N140" s="74"/>
      <c r="O140" s="74"/>
      <c r="P140" s="74"/>
      <c r="Q140" s="74"/>
      <c r="R140" s="74"/>
      <c r="S140" s="74"/>
      <c r="T140" s="74"/>
      <c r="U140" s="74"/>
      <c r="V140" s="74"/>
      <c r="W140" s="74"/>
      <c r="X140" s="74"/>
      <c r="Y140" s="74"/>
      <c r="Z140" s="74"/>
      <c r="AA140" s="74"/>
      <c r="AB140" s="74"/>
    </row>
    <row r="141" spans="1:28" ht="12" customHeight="1">
      <c r="A141" s="105"/>
      <c r="B141" s="106"/>
      <c r="C141" s="107"/>
      <c r="D141" s="108"/>
      <c r="E141" s="107"/>
      <c r="F141" s="107"/>
      <c r="G141" s="35"/>
      <c r="H141" s="104"/>
      <c r="I141" s="35"/>
      <c r="J141" s="74"/>
      <c r="K141" s="74"/>
      <c r="L141" s="74"/>
      <c r="M141" s="74"/>
      <c r="N141" s="74"/>
      <c r="O141" s="74"/>
      <c r="P141" s="74"/>
      <c r="Q141" s="74"/>
      <c r="R141" s="74"/>
      <c r="S141" s="74"/>
      <c r="T141" s="74"/>
      <c r="U141" s="74"/>
      <c r="V141" s="74"/>
      <c r="W141" s="74"/>
      <c r="X141" s="74"/>
      <c r="Y141" s="74"/>
      <c r="Z141" s="74"/>
      <c r="AA141" s="74"/>
      <c r="AB141" s="74"/>
    </row>
    <row r="142" spans="1:28" ht="12" customHeight="1">
      <c r="A142" s="105"/>
      <c r="B142" s="106"/>
      <c r="C142" s="107"/>
      <c r="D142" s="108"/>
      <c r="E142" s="107"/>
      <c r="F142" s="107"/>
      <c r="G142" s="35"/>
      <c r="H142" s="104"/>
      <c r="I142" s="35"/>
      <c r="J142" s="74"/>
      <c r="K142" s="74"/>
      <c r="L142" s="74"/>
      <c r="M142" s="74"/>
      <c r="N142" s="74"/>
      <c r="O142" s="74"/>
      <c r="P142" s="74"/>
      <c r="Q142" s="74"/>
      <c r="R142" s="74"/>
      <c r="S142" s="74"/>
      <c r="T142" s="74"/>
      <c r="U142" s="74"/>
      <c r="V142" s="74"/>
      <c r="W142" s="74"/>
      <c r="X142" s="74"/>
      <c r="Y142" s="74"/>
      <c r="Z142" s="74"/>
      <c r="AA142" s="74"/>
      <c r="AB142" s="74"/>
    </row>
    <row r="143" spans="1:28" ht="12" customHeight="1">
      <c r="A143" s="105"/>
      <c r="B143" s="106"/>
      <c r="C143" s="107"/>
      <c r="D143" s="108"/>
      <c r="E143" s="107"/>
      <c r="F143" s="107"/>
      <c r="G143" s="35"/>
      <c r="H143" s="104"/>
      <c r="I143" s="35"/>
      <c r="J143" s="74"/>
      <c r="K143" s="74"/>
      <c r="L143" s="74"/>
      <c r="M143" s="74"/>
      <c r="N143" s="74"/>
      <c r="O143" s="74"/>
      <c r="P143" s="74"/>
      <c r="Q143" s="74"/>
      <c r="R143" s="74"/>
      <c r="S143" s="74"/>
      <c r="T143" s="74"/>
      <c r="U143" s="74"/>
      <c r="V143" s="74"/>
      <c r="W143" s="74"/>
      <c r="X143" s="74"/>
      <c r="Y143" s="74"/>
      <c r="Z143" s="74"/>
      <c r="AA143" s="74"/>
      <c r="AB143" s="74"/>
    </row>
    <row r="144" spans="1:28" ht="12" customHeight="1">
      <c r="A144" s="105"/>
      <c r="B144" s="106"/>
      <c r="C144" s="107"/>
      <c r="D144" s="108"/>
      <c r="E144" s="107"/>
      <c r="F144" s="107"/>
      <c r="G144" s="35"/>
      <c r="H144" s="104"/>
      <c r="I144" s="35"/>
      <c r="J144" s="74"/>
      <c r="K144" s="74"/>
      <c r="L144" s="74"/>
      <c r="M144" s="74"/>
      <c r="N144" s="74"/>
      <c r="O144" s="74"/>
      <c r="P144" s="74"/>
      <c r="Q144" s="74"/>
      <c r="R144" s="74"/>
      <c r="S144" s="74"/>
      <c r="T144" s="74"/>
      <c r="U144" s="74"/>
      <c r="V144" s="74"/>
      <c r="W144" s="74"/>
      <c r="X144" s="74"/>
      <c r="Y144" s="74"/>
      <c r="Z144" s="74"/>
      <c r="AA144" s="74"/>
      <c r="AB144" s="74"/>
    </row>
    <row r="145" spans="1:28" ht="12" customHeight="1">
      <c r="A145" s="105"/>
      <c r="B145" s="106"/>
      <c r="C145" s="107"/>
      <c r="D145" s="108"/>
      <c r="E145" s="107"/>
      <c r="F145" s="107"/>
      <c r="G145" s="35"/>
      <c r="H145" s="104"/>
      <c r="I145" s="35"/>
      <c r="J145" s="74"/>
      <c r="K145" s="74"/>
      <c r="L145" s="74"/>
      <c r="M145" s="74"/>
      <c r="N145" s="74"/>
      <c r="O145" s="74"/>
      <c r="P145" s="74"/>
      <c r="Q145" s="74"/>
      <c r="R145" s="74"/>
      <c r="S145" s="74"/>
      <c r="T145" s="74"/>
      <c r="U145" s="74"/>
      <c r="V145" s="74"/>
      <c r="W145" s="74"/>
      <c r="X145" s="74"/>
      <c r="Y145" s="74"/>
      <c r="Z145" s="74"/>
      <c r="AA145" s="74"/>
      <c r="AB145" s="74"/>
    </row>
    <row r="146" spans="1:28" ht="12" customHeight="1">
      <c r="A146" s="105"/>
      <c r="B146" s="106"/>
      <c r="C146" s="107"/>
      <c r="D146" s="108"/>
      <c r="E146" s="107"/>
      <c r="F146" s="107"/>
      <c r="G146" s="35"/>
      <c r="H146" s="104"/>
      <c r="I146" s="35"/>
      <c r="J146" s="74"/>
      <c r="K146" s="74"/>
      <c r="L146" s="74"/>
      <c r="M146" s="74"/>
      <c r="N146" s="74"/>
      <c r="O146" s="74"/>
      <c r="P146" s="74"/>
      <c r="Q146" s="74"/>
      <c r="R146" s="74"/>
      <c r="S146" s="74"/>
      <c r="T146" s="74"/>
      <c r="U146" s="74"/>
      <c r="V146" s="74"/>
      <c r="W146" s="74"/>
      <c r="X146" s="74"/>
      <c r="Y146" s="74"/>
      <c r="Z146" s="74"/>
      <c r="AA146" s="74"/>
      <c r="AB146" s="74"/>
    </row>
    <row r="147" spans="1:28" ht="12" customHeight="1">
      <c r="A147" s="105"/>
      <c r="B147" s="106"/>
      <c r="C147" s="107"/>
      <c r="D147" s="108"/>
      <c r="E147" s="107"/>
      <c r="F147" s="107"/>
      <c r="G147" s="35"/>
      <c r="H147" s="104"/>
      <c r="I147" s="35"/>
      <c r="J147" s="74"/>
      <c r="K147" s="74"/>
      <c r="L147" s="74"/>
      <c r="M147" s="74"/>
      <c r="N147" s="74"/>
      <c r="O147" s="74"/>
      <c r="P147" s="74"/>
      <c r="Q147" s="74"/>
      <c r="R147" s="74"/>
      <c r="S147" s="74"/>
      <c r="T147" s="74"/>
      <c r="U147" s="74"/>
      <c r="V147" s="74"/>
      <c r="W147" s="74"/>
      <c r="X147" s="74"/>
      <c r="Y147" s="74"/>
      <c r="Z147" s="74"/>
      <c r="AA147" s="74"/>
      <c r="AB147" s="74"/>
    </row>
    <row r="148" spans="1:28" ht="12" customHeight="1">
      <c r="A148" s="105"/>
      <c r="B148" s="106"/>
      <c r="C148" s="107"/>
      <c r="D148" s="108"/>
      <c r="E148" s="107"/>
      <c r="F148" s="107"/>
      <c r="G148" s="35"/>
      <c r="H148" s="104"/>
      <c r="I148" s="35"/>
      <c r="J148" s="74"/>
      <c r="K148" s="74"/>
      <c r="L148" s="74"/>
      <c r="M148" s="74"/>
      <c r="N148" s="74"/>
      <c r="O148" s="74"/>
      <c r="P148" s="74"/>
      <c r="Q148" s="74"/>
      <c r="R148" s="74"/>
      <c r="S148" s="74"/>
      <c r="T148" s="74"/>
      <c r="U148" s="74"/>
      <c r="V148" s="74"/>
      <c r="W148" s="74"/>
      <c r="X148" s="74"/>
      <c r="Y148" s="74"/>
      <c r="Z148" s="74"/>
      <c r="AA148" s="74"/>
      <c r="AB148" s="74"/>
    </row>
    <row r="149" spans="1:28" ht="12" customHeight="1">
      <c r="A149" s="105"/>
      <c r="B149" s="106"/>
      <c r="C149" s="107"/>
      <c r="D149" s="108"/>
      <c r="E149" s="107"/>
      <c r="F149" s="107"/>
      <c r="G149" s="35"/>
      <c r="H149" s="104"/>
      <c r="I149" s="35"/>
      <c r="J149" s="74"/>
      <c r="K149" s="74"/>
      <c r="L149" s="74"/>
      <c r="M149" s="74"/>
      <c r="N149" s="74"/>
      <c r="O149" s="74"/>
      <c r="P149" s="74"/>
      <c r="Q149" s="74"/>
      <c r="R149" s="74"/>
      <c r="S149" s="74"/>
      <c r="T149" s="74"/>
      <c r="U149" s="74"/>
      <c r="V149" s="74"/>
      <c r="W149" s="74"/>
      <c r="X149" s="74"/>
      <c r="Y149" s="74"/>
      <c r="Z149" s="74"/>
      <c r="AA149" s="74"/>
      <c r="AB149" s="74"/>
    </row>
    <row r="150" spans="1:28" ht="12" customHeight="1">
      <c r="A150" s="105"/>
      <c r="B150" s="106"/>
      <c r="C150" s="107"/>
      <c r="D150" s="108"/>
      <c r="E150" s="107"/>
      <c r="F150" s="107"/>
      <c r="G150" s="35"/>
      <c r="H150" s="104"/>
      <c r="I150" s="35"/>
      <c r="J150" s="74"/>
      <c r="K150" s="74"/>
      <c r="L150" s="74"/>
      <c r="M150" s="74"/>
      <c r="N150" s="74"/>
      <c r="O150" s="74"/>
      <c r="P150" s="74"/>
      <c r="Q150" s="74"/>
      <c r="R150" s="74"/>
      <c r="S150" s="74"/>
      <c r="T150" s="74"/>
      <c r="U150" s="74"/>
      <c r="V150" s="74"/>
      <c r="W150" s="74"/>
      <c r="X150" s="74"/>
      <c r="Y150" s="74"/>
      <c r="Z150" s="74"/>
      <c r="AA150" s="74"/>
      <c r="AB150" s="74"/>
    </row>
    <row r="151" spans="1:28" ht="12" customHeight="1">
      <c r="A151" s="105"/>
      <c r="B151" s="106"/>
      <c r="C151" s="107"/>
      <c r="D151" s="108"/>
      <c r="E151" s="107"/>
      <c r="F151" s="107"/>
      <c r="G151" s="35"/>
      <c r="H151" s="104"/>
      <c r="I151" s="35"/>
      <c r="J151" s="74"/>
      <c r="K151" s="74"/>
      <c r="L151" s="74"/>
      <c r="M151" s="74"/>
      <c r="N151" s="74"/>
      <c r="O151" s="74"/>
      <c r="P151" s="74"/>
      <c r="Q151" s="74"/>
      <c r="R151" s="74"/>
      <c r="S151" s="74"/>
      <c r="T151" s="74"/>
      <c r="U151" s="74"/>
      <c r="V151" s="74"/>
      <c r="W151" s="74"/>
      <c r="X151" s="74"/>
      <c r="Y151" s="74"/>
      <c r="Z151" s="74"/>
      <c r="AA151" s="74"/>
      <c r="AB151" s="74"/>
    </row>
    <row r="152" spans="1:28" ht="12" customHeight="1">
      <c r="A152" s="105"/>
      <c r="B152" s="106"/>
      <c r="C152" s="107"/>
      <c r="D152" s="108"/>
      <c r="E152" s="107"/>
      <c r="F152" s="107"/>
      <c r="G152" s="35"/>
      <c r="H152" s="104"/>
      <c r="I152" s="35"/>
      <c r="J152" s="74"/>
      <c r="K152" s="74"/>
      <c r="L152" s="74"/>
      <c r="M152" s="74"/>
      <c r="N152" s="74"/>
      <c r="O152" s="74"/>
      <c r="P152" s="74"/>
      <c r="Q152" s="74"/>
      <c r="R152" s="74"/>
      <c r="S152" s="74"/>
      <c r="T152" s="74"/>
      <c r="U152" s="74"/>
      <c r="V152" s="74"/>
      <c r="W152" s="74"/>
      <c r="X152" s="74"/>
      <c r="Y152" s="74"/>
      <c r="Z152" s="74"/>
      <c r="AA152" s="74"/>
      <c r="AB152" s="74"/>
    </row>
    <row r="153" spans="1:28" ht="12" customHeight="1">
      <c r="A153" s="105"/>
      <c r="B153" s="106"/>
      <c r="C153" s="107"/>
      <c r="D153" s="108"/>
      <c r="E153" s="107"/>
      <c r="F153" s="107"/>
      <c r="G153" s="35"/>
      <c r="H153" s="104"/>
      <c r="I153" s="35"/>
      <c r="J153" s="74"/>
      <c r="K153" s="74"/>
      <c r="L153" s="74"/>
      <c r="M153" s="74"/>
      <c r="N153" s="74"/>
      <c r="O153" s="74"/>
      <c r="P153" s="74"/>
      <c r="Q153" s="74"/>
      <c r="R153" s="74"/>
      <c r="S153" s="74"/>
      <c r="T153" s="74"/>
      <c r="U153" s="74"/>
      <c r="V153" s="74"/>
      <c r="W153" s="74"/>
      <c r="X153" s="74"/>
      <c r="Y153" s="74"/>
      <c r="Z153" s="74"/>
      <c r="AA153" s="74"/>
      <c r="AB153" s="74"/>
    </row>
    <row r="154" spans="1:28" ht="12" customHeight="1">
      <c r="A154" s="105"/>
      <c r="B154" s="106"/>
      <c r="C154" s="107"/>
      <c r="D154" s="108"/>
      <c r="E154" s="107"/>
      <c r="F154" s="107"/>
      <c r="G154" s="35"/>
      <c r="H154" s="104"/>
      <c r="I154" s="35"/>
      <c r="J154" s="74"/>
      <c r="K154" s="74"/>
      <c r="L154" s="74"/>
      <c r="M154" s="74"/>
      <c r="N154" s="74"/>
      <c r="O154" s="74"/>
      <c r="P154" s="74"/>
      <c r="Q154" s="74"/>
      <c r="R154" s="74"/>
      <c r="S154" s="74"/>
      <c r="T154" s="74"/>
      <c r="U154" s="74"/>
      <c r="V154" s="74"/>
      <c r="W154" s="74"/>
      <c r="X154" s="74"/>
      <c r="Y154" s="74"/>
      <c r="Z154" s="74"/>
      <c r="AA154" s="74"/>
      <c r="AB154" s="74"/>
    </row>
    <row r="155" spans="1:28" ht="12" customHeight="1">
      <c r="A155" s="105"/>
      <c r="B155" s="106"/>
      <c r="C155" s="107"/>
      <c r="D155" s="108"/>
      <c r="E155" s="107"/>
      <c r="F155" s="107"/>
      <c r="G155" s="35"/>
      <c r="H155" s="104"/>
      <c r="I155" s="35"/>
      <c r="J155" s="74"/>
      <c r="K155" s="74"/>
      <c r="L155" s="74"/>
      <c r="M155" s="74"/>
      <c r="N155" s="74"/>
      <c r="O155" s="74"/>
      <c r="P155" s="74"/>
      <c r="Q155" s="74"/>
      <c r="R155" s="74"/>
      <c r="S155" s="74"/>
      <c r="T155" s="74"/>
      <c r="U155" s="74"/>
      <c r="V155" s="74"/>
      <c r="W155" s="74"/>
      <c r="X155" s="74"/>
      <c r="Y155" s="74"/>
      <c r="Z155" s="74"/>
      <c r="AA155" s="74"/>
      <c r="AB155" s="74"/>
    </row>
    <row r="156" spans="1:28" ht="12" customHeight="1">
      <c r="A156" s="105"/>
      <c r="B156" s="106"/>
      <c r="C156" s="107"/>
      <c r="D156" s="108"/>
      <c r="E156" s="107"/>
      <c r="F156" s="107"/>
      <c r="G156" s="35"/>
      <c r="H156" s="104"/>
      <c r="I156" s="35"/>
      <c r="J156" s="74"/>
      <c r="K156" s="74"/>
      <c r="L156" s="74"/>
      <c r="M156" s="74"/>
      <c r="N156" s="74"/>
      <c r="O156" s="74"/>
      <c r="P156" s="74"/>
      <c r="Q156" s="74"/>
      <c r="R156" s="74"/>
      <c r="S156" s="74"/>
      <c r="T156" s="74"/>
      <c r="U156" s="74"/>
      <c r="V156" s="74"/>
      <c r="W156" s="74"/>
      <c r="X156" s="74"/>
      <c r="Y156" s="74"/>
      <c r="Z156" s="74"/>
      <c r="AA156" s="74"/>
      <c r="AB156" s="74"/>
    </row>
    <row r="157" spans="1:28" ht="12" customHeight="1">
      <c r="A157" s="105"/>
      <c r="B157" s="106"/>
      <c r="C157" s="107"/>
      <c r="D157" s="108"/>
      <c r="E157" s="107"/>
      <c r="F157" s="107"/>
      <c r="G157" s="35"/>
      <c r="H157" s="104"/>
      <c r="I157" s="35"/>
      <c r="J157" s="74"/>
      <c r="K157" s="74"/>
      <c r="L157" s="74"/>
      <c r="M157" s="74"/>
      <c r="N157" s="74"/>
      <c r="O157" s="74"/>
      <c r="P157" s="74"/>
      <c r="Q157" s="74"/>
      <c r="R157" s="74"/>
      <c r="S157" s="74"/>
      <c r="T157" s="74"/>
      <c r="U157" s="74"/>
      <c r="V157" s="74"/>
      <c r="W157" s="74"/>
      <c r="X157" s="74"/>
      <c r="Y157" s="74"/>
      <c r="Z157" s="74"/>
      <c r="AA157" s="74"/>
      <c r="AB157" s="74"/>
    </row>
    <row r="158" spans="1:28" ht="12" customHeight="1">
      <c r="A158" s="105"/>
      <c r="B158" s="106"/>
      <c r="C158" s="107"/>
      <c r="D158" s="108"/>
      <c r="E158" s="107"/>
      <c r="F158" s="107"/>
      <c r="G158" s="35"/>
      <c r="H158" s="104"/>
      <c r="I158" s="35"/>
      <c r="J158" s="74"/>
      <c r="K158" s="74"/>
      <c r="L158" s="74"/>
      <c r="M158" s="74"/>
      <c r="N158" s="74"/>
      <c r="O158" s="74"/>
      <c r="P158" s="74"/>
      <c r="Q158" s="74"/>
      <c r="R158" s="74"/>
      <c r="S158" s="74"/>
      <c r="T158" s="74"/>
      <c r="U158" s="74"/>
      <c r="V158" s="74"/>
      <c r="W158" s="74"/>
      <c r="X158" s="74"/>
      <c r="Y158" s="74"/>
      <c r="Z158" s="74"/>
      <c r="AA158" s="74"/>
      <c r="AB158" s="74"/>
    </row>
    <row r="159" spans="1:28" ht="12" customHeight="1">
      <c r="A159" s="105"/>
      <c r="B159" s="106"/>
      <c r="C159" s="107"/>
      <c r="D159" s="108"/>
      <c r="E159" s="107"/>
      <c r="F159" s="107"/>
      <c r="G159" s="35"/>
      <c r="H159" s="104"/>
      <c r="I159" s="35"/>
      <c r="J159" s="74"/>
      <c r="K159" s="74"/>
      <c r="L159" s="74"/>
      <c r="M159" s="74"/>
      <c r="N159" s="74"/>
      <c r="O159" s="74"/>
      <c r="P159" s="74"/>
      <c r="Q159" s="74"/>
      <c r="R159" s="74"/>
      <c r="S159" s="74"/>
      <c r="T159" s="74"/>
      <c r="U159" s="74"/>
      <c r="V159" s="74"/>
      <c r="W159" s="74"/>
      <c r="X159" s="74"/>
      <c r="Y159" s="74"/>
      <c r="Z159" s="74"/>
      <c r="AA159" s="74"/>
      <c r="AB159" s="74"/>
    </row>
    <row r="160" spans="1:28" ht="12" customHeight="1">
      <c r="A160" s="105"/>
      <c r="B160" s="106"/>
      <c r="C160" s="107"/>
      <c r="D160" s="108"/>
      <c r="E160" s="107"/>
      <c r="F160" s="107"/>
      <c r="G160" s="35"/>
      <c r="H160" s="104"/>
      <c r="I160" s="35"/>
      <c r="J160" s="74"/>
      <c r="K160" s="74"/>
      <c r="L160" s="74"/>
      <c r="M160" s="74"/>
      <c r="N160" s="74"/>
      <c r="O160" s="74"/>
      <c r="P160" s="74"/>
      <c r="Q160" s="74"/>
      <c r="R160" s="74"/>
      <c r="S160" s="74"/>
      <c r="T160" s="74"/>
      <c r="U160" s="74"/>
      <c r="V160" s="74"/>
      <c r="W160" s="74"/>
      <c r="X160" s="74"/>
      <c r="Y160" s="74"/>
      <c r="Z160" s="74"/>
      <c r="AA160" s="74"/>
      <c r="AB160" s="74"/>
    </row>
    <row r="161" spans="1:28" ht="12" customHeight="1">
      <c r="A161" s="105"/>
      <c r="B161" s="106"/>
      <c r="C161" s="107"/>
      <c r="D161" s="108"/>
      <c r="E161" s="107"/>
      <c r="F161" s="107"/>
      <c r="G161" s="35"/>
      <c r="H161" s="104"/>
      <c r="I161" s="35"/>
      <c r="J161" s="74"/>
      <c r="K161" s="74"/>
      <c r="L161" s="74"/>
      <c r="M161" s="74"/>
      <c r="N161" s="74"/>
      <c r="O161" s="74"/>
      <c r="P161" s="74"/>
      <c r="Q161" s="74"/>
      <c r="R161" s="74"/>
      <c r="S161" s="74"/>
      <c r="T161" s="74"/>
      <c r="U161" s="74"/>
      <c r="V161" s="74"/>
      <c r="W161" s="74"/>
      <c r="X161" s="74"/>
      <c r="Y161" s="74"/>
      <c r="Z161" s="74"/>
      <c r="AA161" s="74"/>
      <c r="AB161" s="74"/>
    </row>
    <row r="162" spans="1:28" ht="12" customHeight="1">
      <c r="A162" s="105"/>
      <c r="B162" s="106"/>
      <c r="C162" s="107"/>
      <c r="D162" s="108"/>
      <c r="E162" s="107"/>
      <c r="F162" s="107"/>
      <c r="G162" s="35"/>
      <c r="H162" s="104"/>
      <c r="I162" s="35"/>
      <c r="J162" s="74"/>
      <c r="K162" s="74"/>
      <c r="L162" s="74"/>
      <c r="M162" s="74"/>
      <c r="N162" s="74"/>
      <c r="O162" s="74"/>
      <c r="P162" s="74"/>
      <c r="Q162" s="74"/>
      <c r="R162" s="74"/>
      <c r="S162" s="74"/>
      <c r="T162" s="74"/>
      <c r="U162" s="74"/>
      <c r="V162" s="74"/>
      <c r="W162" s="74"/>
      <c r="X162" s="74"/>
      <c r="Y162" s="74"/>
      <c r="Z162" s="74"/>
      <c r="AA162" s="74"/>
      <c r="AB162" s="74"/>
    </row>
    <row r="163" spans="1:28" ht="12" customHeight="1">
      <c r="A163" s="105"/>
      <c r="B163" s="106"/>
      <c r="C163" s="107"/>
      <c r="D163" s="108"/>
      <c r="E163" s="107"/>
      <c r="F163" s="107"/>
      <c r="G163" s="35"/>
      <c r="H163" s="104"/>
      <c r="I163" s="35"/>
      <c r="J163" s="74"/>
      <c r="K163" s="74"/>
      <c r="L163" s="74"/>
      <c r="M163" s="74"/>
      <c r="N163" s="74"/>
      <c r="O163" s="74"/>
      <c r="P163" s="74"/>
      <c r="Q163" s="74"/>
      <c r="R163" s="74"/>
      <c r="S163" s="74"/>
      <c r="T163" s="74"/>
      <c r="U163" s="74"/>
      <c r="V163" s="74"/>
      <c r="W163" s="74"/>
      <c r="X163" s="74"/>
      <c r="Y163" s="74"/>
      <c r="Z163" s="74"/>
      <c r="AA163" s="74"/>
      <c r="AB163" s="74"/>
    </row>
    <row r="164" spans="1:28" ht="12" customHeight="1">
      <c r="A164" s="105"/>
      <c r="B164" s="106"/>
      <c r="C164" s="107"/>
      <c r="D164" s="108"/>
      <c r="E164" s="107"/>
      <c r="F164" s="107"/>
      <c r="G164" s="35"/>
      <c r="H164" s="104"/>
      <c r="I164" s="35"/>
      <c r="J164" s="74"/>
      <c r="K164" s="74"/>
      <c r="L164" s="74"/>
      <c r="M164" s="74"/>
      <c r="N164" s="74"/>
      <c r="O164" s="74"/>
      <c r="P164" s="74"/>
      <c r="Q164" s="74"/>
      <c r="R164" s="74"/>
      <c r="S164" s="74"/>
      <c r="T164" s="74"/>
      <c r="U164" s="74"/>
      <c r="V164" s="74"/>
      <c r="W164" s="74"/>
      <c r="X164" s="74"/>
      <c r="Y164" s="74"/>
      <c r="Z164" s="74"/>
      <c r="AA164" s="74"/>
      <c r="AB164" s="74"/>
    </row>
    <row r="165" spans="1:28" ht="12" customHeight="1">
      <c r="A165" s="105"/>
      <c r="B165" s="106"/>
      <c r="C165" s="107"/>
      <c r="D165" s="108"/>
      <c r="E165" s="107"/>
      <c r="F165" s="107"/>
      <c r="G165" s="35"/>
      <c r="H165" s="104"/>
      <c r="I165" s="35"/>
      <c r="J165" s="74"/>
      <c r="K165" s="74"/>
      <c r="L165" s="74"/>
      <c r="M165" s="74"/>
      <c r="N165" s="74"/>
      <c r="O165" s="74"/>
      <c r="P165" s="74"/>
      <c r="Q165" s="74"/>
      <c r="R165" s="74"/>
      <c r="S165" s="74"/>
      <c r="T165" s="74"/>
      <c r="U165" s="74"/>
      <c r="V165" s="74"/>
      <c r="W165" s="74"/>
      <c r="X165" s="74"/>
      <c r="Y165" s="74"/>
      <c r="Z165" s="74"/>
      <c r="AA165" s="74"/>
      <c r="AB165" s="74"/>
    </row>
    <row r="166" spans="1:28" ht="12" customHeight="1">
      <c r="A166" s="105"/>
      <c r="B166" s="106"/>
      <c r="C166" s="107"/>
      <c r="D166" s="108"/>
      <c r="E166" s="107"/>
      <c r="F166" s="107"/>
      <c r="G166" s="35"/>
      <c r="H166" s="104"/>
      <c r="I166" s="35"/>
      <c r="J166" s="74"/>
      <c r="K166" s="74"/>
      <c r="L166" s="74"/>
      <c r="M166" s="74"/>
      <c r="N166" s="74"/>
      <c r="O166" s="74"/>
      <c r="P166" s="74"/>
      <c r="Q166" s="74"/>
      <c r="R166" s="74"/>
      <c r="S166" s="74"/>
      <c r="T166" s="74"/>
      <c r="U166" s="74"/>
      <c r="V166" s="74"/>
      <c r="W166" s="74"/>
      <c r="X166" s="74"/>
      <c r="Y166" s="74"/>
      <c r="Z166" s="74"/>
      <c r="AA166" s="74"/>
      <c r="AB166" s="74"/>
    </row>
    <row r="167" spans="1:28" ht="12" customHeight="1">
      <c r="A167" s="105"/>
      <c r="B167" s="106"/>
      <c r="C167" s="107"/>
      <c r="D167" s="108"/>
      <c r="E167" s="107"/>
      <c r="F167" s="107"/>
      <c r="G167" s="35"/>
      <c r="H167" s="104"/>
      <c r="I167" s="35"/>
      <c r="J167" s="74"/>
      <c r="K167" s="74"/>
      <c r="L167" s="74"/>
      <c r="M167" s="74"/>
      <c r="N167" s="74"/>
      <c r="O167" s="74"/>
      <c r="P167" s="74"/>
      <c r="Q167" s="74"/>
      <c r="R167" s="74"/>
      <c r="S167" s="74"/>
      <c r="T167" s="74"/>
      <c r="U167" s="74"/>
      <c r="V167" s="74"/>
      <c r="W167" s="74"/>
      <c r="X167" s="74"/>
      <c r="Y167" s="74"/>
      <c r="Z167" s="74"/>
      <c r="AA167" s="74"/>
      <c r="AB167" s="74"/>
    </row>
    <row r="168" spans="1:28" ht="12" customHeight="1">
      <c r="A168" s="105"/>
      <c r="B168" s="106"/>
      <c r="C168" s="107"/>
      <c r="D168" s="108"/>
      <c r="E168" s="107"/>
      <c r="F168" s="107"/>
      <c r="G168" s="35"/>
      <c r="H168" s="104"/>
      <c r="I168" s="35"/>
      <c r="J168" s="74"/>
      <c r="K168" s="74"/>
      <c r="L168" s="74"/>
      <c r="M168" s="74"/>
      <c r="N168" s="74"/>
      <c r="O168" s="74"/>
      <c r="P168" s="74"/>
      <c r="Q168" s="74"/>
      <c r="R168" s="74"/>
      <c r="S168" s="74"/>
      <c r="T168" s="74"/>
      <c r="U168" s="74"/>
      <c r="V168" s="74"/>
      <c r="W168" s="74"/>
      <c r="X168" s="74"/>
      <c r="Y168" s="74"/>
      <c r="Z168" s="74"/>
      <c r="AA168" s="74"/>
      <c r="AB168" s="74"/>
    </row>
    <row r="169" spans="1:28" ht="12" customHeight="1">
      <c r="A169" s="105"/>
      <c r="B169" s="106"/>
      <c r="C169" s="107"/>
      <c r="D169" s="108"/>
      <c r="E169" s="107"/>
      <c r="F169" s="107"/>
      <c r="G169" s="35"/>
      <c r="H169" s="104"/>
      <c r="I169" s="35"/>
      <c r="J169" s="74"/>
      <c r="K169" s="74"/>
      <c r="L169" s="74"/>
      <c r="M169" s="74"/>
      <c r="N169" s="74"/>
      <c r="O169" s="74"/>
      <c r="P169" s="74"/>
      <c r="Q169" s="74"/>
      <c r="R169" s="74"/>
      <c r="S169" s="74"/>
      <c r="T169" s="74"/>
      <c r="U169" s="74"/>
      <c r="V169" s="74"/>
      <c r="W169" s="74"/>
      <c r="X169" s="74"/>
      <c r="Y169" s="74"/>
      <c r="Z169" s="74"/>
      <c r="AA169" s="74"/>
      <c r="AB169" s="74"/>
    </row>
    <row r="170" spans="1:28" ht="12" customHeight="1">
      <c r="A170" s="105"/>
      <c r="B170" s="106"/>
      <c r="C170" s="107"/>
      <c r="D170" s="108"/>
      <c r="E170" s="107"/>
      <c r="F170" s="107"/>
      <c r="G170" s="35"/>
      <c r="H170" s="104"/>
      <c r="I170" s="35"/>
      <c r="J170" s="74"/>
      <c r="K170" s="74"/>
      <c r="L170" s="74"/>
      <c r="M170" s="74"/>
      <c r="N170" s="74"/>
      <c r="O170" s="74"/>
      <c r="P170" s="74"/>
      <c r="Q170" s="74"/>
      <c r="R170" s="74"/>
      <c r="S170" s="74"/>
      <c r="T170" s="74"/>
      <c r="U170" s="74"/>
      <c r="V170" s="74"/>
      <c r="W170" s="74"/>
      <c r="X170" s="74"/>
      <c r="Y170" s="74"/>
      <c r="Z170" s="74"/>
      <c r="AA170" s="74"/>
      <c r="AB170" s="74"/>
    </row>
    <row r="171" spans="1:28" ht="12" customHeight="1">
      <c r="A171" s="105"/>
      <c r="B171" s="106"/>
      <c r="C171" s="107"/>
      <c r="D171" s="108"/>
      <c r="E171" s="107"/>
      <c r="F171" s="107"/>
      <c r="G171" s="35"/>
      <c r="H171" s="104"/>
      <c r="I171" s="35"/>
      <c r="J171" s="74"/>
      <c r="K171" s="74"/>
      <c r="L171" s="74"/>
      <c r="M171" s="74"/>
      <c r="N171" s="74"/>
      <c r="O171" s="74"/>
      <c r="P171" s="74"/>
      <c r="Q171" s="74"/>
      <c r="R171" s="74"/>
      <c r="S171" s="74"/>
      <c r="T171" s="74"/>
      <c r="U171" s="74"/>
      <c r="V171" s="74"/>
      <c r="W171" s="74"/>
      <c r="X171" s="74"/>
      <c r="Y171" s="74"/>
      <c r="Z171" s="74"/>
      <c r="AA171" s="74"/>
      <c r="AB171" s="74"/>
    </row>
    <row r="172" spans="1:28" ht="12" customHeight="1">
      <c r="A172" s="105"/>
      <c r="B172" s="106"/>
      <c r="C172" s="107"/>
      <c r="D172" s="108"/>
      <c r="E172" s="107"/>
      <c r="F172" s="107"/>
      <c r="G172" s="35"/>
      <c r="H172" s="104"/>
      <c r="I172" s="35"/>
      <c r="J172" s="74"/>
      <c r="K172" s="74"/>
      <c r="L172" s="74"/>
      <c r="M172" s="74"/>
      <c r="N172" s="74"/>
      <c r="O172" s="74"/>
      <c r="P172" s="74"/>
      <c r="Q172" s="74"/>
      <c r="R172" s="74"/>
      <c r="S172" s="74"/>
      <c r="T172" s="74"/>
      <c r="U172" s="74"/>
      <c r="V172" s="74"/>
      <c r="W172" s="74"/>
      <c r="X172" s="74"/>
      <c r="Y172" s="74"/>
      <c r="Z172" s="74"/>
      <c r="AA172" s="74"/>
      <c r="AB172" s="74"/>
    </row>
    <row r="173" spans="1:28" ht="12" customHeight="1">
      <c r="A173" s="105"/>
      <c r="B173" s="106"/>
      <c r="C173" s="107"/>
      <c r="D173" s="108"/>
      <c r="E173" s="107"/>
      <c r="F173" s="107"/>
      <c r="G173" s="35"/>
      <c r="H173" s="104"/>
      <c r="I173" s="35"/>
      <c r="J173" s="74"/>
      <c r="K173" s="74"/>
      <c r="L173" s="74"/>
      <c r="M173" s="74"/>
      <c r="N173" s="74"/>
      <c r="O173" s="74"/>
      <c r="P173" s="74"/>
      <c r="Q173" s="74"/>
      <c r="R173" s="74"/>
      <c r="S173" s="74"/>
      <c r="T173" s="74"/>
      <c r="U173" s="74"/>
      <c r="V173" s="74"/>
      <c r="W173" s="74"/>
      <c r="X173" s="74"/>
      <c r="Y173" s="74"/>
      <c r="Z173" s="74"/>
      <c r="AA173" s="74"/>
      <c r="AB173" s="74"/>
    </row>
    <row r="174" spans="1:28" ht="12" customHeight="1">
      <c r="A174" s="105"/>
      <c r="B174" s="106"/>
      <c r="C174" s="107"/>
      <c r="D174" s="108"/>
      <c r="E174" s="107"/>
      <c r="F174" s="107"/>
      <c r="G174" s="35"/>
      <c r="H174" s="104"/>
      <c r="I174" s="35"/>
      <c r="J174" s="74"/>
      <c r="K174" s="74"/>
      <c r="L174" s="74"/>
      <c r="M174" s="74"/>
      <c r="N174" s="74"/>
      <c r="O174" s="74"/>
      <c r="P174" s="74"/>
      <c r="Q174" s="74"/>
      <c r="R174" s="74"/>
      <c r="S174" s="74"/>
      <c r="T174" s="74"/>
      <c r="U174" s="74"/>
      <c r="V174" s="74"/>
      <c r="W174" s="74"/>
      <c r="X174" s="74"/>
      <c r="Y174" s="74"/>
      <c r="Z174" s="74"/>
      <c r="AA174" s="74"/>
      <c r="AB174" s="74"/>
    </row>
    <row r="175" spans="1:28" ht="12" customHeight="1">
      <c r="A175" s="105"/>
      <c r="B175" s="106"/>
      <c r="C175" s="107"/>
      <c r="D175" s="108"/>
      <c r="E175" s="107"/>
      <c r="F175" s="107"/>
      <c r="G175" s="35"/>
      <c r="H175" s="104"/>
      <c r="I175" s="35"/>
      <c r="J175" s="74"/>
      <c r="K175" s="74"/>
      <c r="L175" s="74"/>
      <c r="M175" s="74"/>
      <c r="N175" s="74"/>
      <c r="O175" s="74"/>
      <c r="P175" s="74"/>
      <c r="Q175" s="74"/>
      <c r="R175" s="74"/>
      <c r="S175" s="74"/>
      <c r="T175" s="74"/>
      <c r="U175" s="74"/>
      <c r="V175" s="74"/>
      <c r="W175" s="74"/>
      <c r="X175" s="74"/>
      <c r="Y175" s="74"/>
      <c r="Z175" s="74"/>
      <c r="AA175" s="74"/>
      <c r="AB175" s="74"/>
    </row>
    <row r="176" spans="1:28" ht="12" customHeight="1">
      <c r="A176" s="105"/>
      <c r="B176" s="106"/>
      <c r="C176" s="107"/>
      <c r="D176" s="108"/>
      <c r="E176" s="107"/>
      <c r="F176" s="107"/>
      <c r="G176" s="35"/>
      <c r="H176" s="104"/>
      <c r="I176" s="35"/>
      <c r="J176" s="74"/>
      <c r="K176" s="74"/>
      <c r="L176" s="74"/>
      <c r="M176" s="74"/>
      <c r="N176" s="74"/>
      <c r="O176" s="74"/>
      <c r="P176" s="74"/>
      <c r="Q176" s="74"/>
      <c r="R176" s="74"/>
      <c r="S176" s="74"/>
      <c r="T176" s="74"/>
      <c r="U176" s="74"/>
      <c r="V176" s="74"/>
      <c r="W176" s="74"/>
      <c r="X176" s="74"/>
      <c r="Y176" s="74"/>
      <c r="Z176" s="74"/>
      <c r="AA176" s="74"/>
      <c r="AB176" s="74"/>
    </row>
    <row r="177" spans="1:28" ht="12" customHeight="1">
      <c r="A177" s="105"/>
      <c r="B177" s="106"/>
      <c r="C177" s="107"/>
      <c r="D177" s="108"/>
      <c r="E177" s="107"/>
      <c r="F177" s="107"/>
      <c r="G177" s="35"/>
      <c r="H177" s="104"/>
      <c r="I177" s="35"/>
      <c r="J177" s="74"/>
      <c r="K177" s="74"/>
      <c r="L177" s="74"/>
      <c r="M177" s="74"/>
      <c r="N177" s="74"/>
      <c r="O177" s="74"/>
      <c r="P177" s="74"/>
      <c r="Q177" s="74"/>
      <c r="R177" s="74"/>
      <c r="S177" s="74"/>
      <c r="T177" s="74"/>
      <c r="U177" s="74"/>
      <c r="V177" s="74"/>
      <c r="W177" s="74"/>
      <c r="X177" s="74"/>
      <c r="Y177" s="74"/>
      <c r="Z177" s="74"/>
      <c r="AA177" s="74"/>
      <c r="AB177" s="74"/>
    </row>
    <row r="178" spans="1:28" ht="12" customHeight="1">
      <c r="A178" s="105"/>
      <c r="B178" s="106"/>
      <c r="C178" s="107"/>
      <c r="D178" s="108"/>
      <c r="E178" s="107"/>
      <c r="F178" s="107"/>
      <c r="G178" s="35"/>
      <c r="H178" s="104"/>
      <c r="I178" s="35"/>
      <c r="J178" s="74"/>
      <c r="K178" s="74"/>
      <c r="L178" s="74"/>
      <c r="M178" s="74"/>
      <c r="N178" s="74"/>
      <c r="O178" s="74"/>
      <c r="P178" s="74"/>
      <c r="Q178" s="74"/>
      <c r="R178" s="74"/>
      <c r="S178" s="74"/>
      <c r="T178" s="74"/>
      <c r="U178" s="74"/>
      <c r="V178" s="74"/>
      <c r="W178" s="74"/>
      <c r="X178" s="74"/>
      <c r="Y178" s="74"/>
      <c r="Z178" s="74"/>
      <c r="AA178" s="74"/>
      <c r="AB178" s="74"/>
    </row>
    <row r="179" spans="1:28" ht="12" customHeight="1">
      <c r="A179" s="105"/>
      <c r="B179" s="106"/>
      <c r="C179" s="107"/>
      <c r="D179" s="108"/>
      <c r="E179" s="107"/>
      <c r="F179" s="107"/>
      <c r="G179" s="35"/>
      <c r="H179" s="104"/>
      <c r="I179" s="35"/>
      <c r="J179" s="74"/>
      <c r="K179" s="74"/>
      <c r="L179" s="74"/>
      <c r="M179" s="74"/>
      <c r="N179" s="74"/>
      <c r="O179" s="74"/>
      <c r="P179" s="74"/>
      <c r="Q179" s="74"/>
      <c r="R179" s="74"/>
      <c r="S179" s="74"/>
      <c r="T179" s="74"/>
      <c r="U179" s="74"/>
      <c r="V179" s="74"/>
      <c r="W179" s="74"/>
      <c r="X179" s="74"/>
      <c r="Y179" s="74"/>
      <c r="Z179" s="74"/>
      <c r="AA179" s="74"/>
      <c r="AB179" s="74"/>
    </row>
    <row r="180" spans="1:28" ht="12" customHeight="1">
      <c r="A180" s="105"/>
      <c r="B180" s="106"/>
      <c r="C180" s="107"/>
      <c r="D180" s="108"/>
      <c r="E180" s="107"/>
      <c r="F180" s="107"/>
      <c r="G180" s="35"/>
      <c r="H180" s="104"/>
      <c r="I180" s="35"/>
      <c r="J180" s="74"/>
      <c r="K180" s="74"/>
      <c r="L180" s="74"/>
      <c r="M180" s="74"/>
      <c r="N180" s="74"/>
      <c r="O180" s="74"/>
      <c r="P180" s="74"/>
      <c r="Q180" s="74"/>
      <c r="R180" s="74"/>
      <c r="S180" s="74"/>
      <c r="T180" s="74"/>
      <c r="U180" s="74"/>
      <c r="V180" s="74"/>
      <c r="W180" s="74"/>
      <c r="X180" s="74"/>
      <c r="Y180" s="74"/>
      <c r="Z180" s="74"/>
      <c r="AA180" s="74"/>
      <c r="AB180" s="74"/>
    </row>
    <row r="181" spans="1:28" ht="12" customHeight="1">
      <c r="A181" s="105"/>
      <c r="B181" s="106"/>
      <c r="C181" s="107"/>
      <c r="D181" s="108"/>
      <c r="E181" s="107"/>
      <c r="F181" s="107"/>
      <c r="G181" s="35"/>
      <c r="H181" s="104"/>
      <c r="I181" s="35"/>
      <c r="J181" s="74"/>
      <c r="K181" s="74"/>
      <c r="L181" s="74"/>
      <c r="M181" s="74"/>
      <c r="N181" s="74"/>
      <c r="O181" s="74"/>
      <c r="P181" s="74"/>
      <c r="Q181" s="74"/>
      <c r="R181" s="74"/>
      <c r="S181" s="74"/>
      <c r="T181" s="74"/>
      <c r="U181" s="74"/>
      <c r="V181" s="74"/>
      <c r="W181" s="74"/>
      <c r="X181" s="74"/>
      <c r="Y181" s="74"/>
      <c r="Z181" s="74"/>
      <c r="AA181" s="74"/>
      <c r="AB181" s="74"/>
    </row>
    <row r="182" spans="1:28" ht="12" customHeight="1">
      <c r="A182" s="105"/>
      <c r="B182" s="106"/>
      <c r="C182" s="107"/>
      <c r="D182" s="108"/>
      <c r="E182" s="107"/>
      <c r="F182" s="107"/>
      <c r="G182" s="35"/>
      <c r="H182" s="104"/>
      <c r="I182" s="35"/>
      <c r="J182" s="74"/>
      <c r="K182" s="74"/>
      <c r="L182" s="74"/>
      <c r="M182" s="74"/>
      <c r="N182" s="74"/>
      <c r="O182" s="74"/>
      <c r="P182" s="74"/>
      <c r="Q182" s="74"/>
      <c r="R182" s="74"/>
      <c r="S182" s="74"/>
      <c r="T182" s="74"/>
      <c r="U182" s="74"/>
      <c r="V182" s="74"/>
      <c r="W182" s="74"/>
      <c r="X182" s="74"/>
      <c r="Y182" s="74"/>
      <c r="Z182" s="74"/>
      <c r="AA182" s="74"/>
      <c r="AB182" s="74"/>
    </row>
    <row r="183" spans="1:28" ht="12" customHeight="1">
      <c r="A183" s="105"/>
      <c r="B183" s="106"/>
      <c r="C183" s="107"/>
      <c r="D183" s="108"/>
      <c r="E183" s="107"/>
      <c r="F183" s="107"/>
      <c r="G183" s="35"/>
      <c r="H183" s="104"/>
      <c r="I183" s="35"/>
      <c r="J183" s="74"/>
      <c r="K183" s="74"/>
      <c r="L183" s="74"/>
      <c r="M183" s="74"/>
      <c r="N183" s="74"/>
      <c r="O183" s="74"/>
      <c r="P183" s="74"/>
      <c r="Q183" s="74"/>
      <c r="R183" s="74"/>
      <c r="S183" s="74"/>
      <c r="T183" s="74"/>
      <c r="U183" s="74"/>
      <c r="V183" s="74"/>
      <c r="W183" s="74"/>
      <c r="X183" s="74"/>
      <c r="Y183" s="74"/>
      <c r="Z183" s="74"/>
      <c r="AA183" s="74"/>
      <c r="AB183" s="74"/>
    </row>
    <row r="184" spans="1:28" ht="12" customHeight="1">
      <c r="A184" s="105"/>
      <c r="B184" s="106"/>
      <c r="C184" s="107"/>
      <c r="D184" s="108"/>
      <c r="E184" s="107"/>
      <c r="F184" s="107"/>
      <c r="G184" s="35"/>
      <c r="H184" s="104"/>
      <c r="I184" s="35"/>
      <c r="J184" s="74"/>
      <c r="K184" s="74"/>
      <c r="L184" s="74"/>
      <c r="M184" s="74"/>
      <c r="N184" s="74"/>
      <c r="O184" s="74"/>
      <c r="P184" s="74"/>
      <c r="Q184" s="74"/>
      <c r="R184" s="74"/>
      <c r="S184" s="74"/>
      <c r="T184" s="74"/>
      <c r="U184" s="74"/>
      <c r="V184" s="74"/>
      <c r="W184" s="74"/>
      <c r="X184" s="74"/>
      <c r="Y184" s="74"/>
      <c r="Z184" s="74"/>
      <c r="AA184" s="74"/>
      <c r="AB184" s="74"/>
    </row>
    <row r="185" spans="1:28" ht="12" customHeight="1">
      <c r="A185" s="105"/>
      <c r="B185" s="106"/>
      <c r="C185" s="107"/>
      <c r="D185" s="108"/>
      <c r="E185" s="107"/>
      <c r="F185" s="107"/>
      <c r="G185" s="35"/>
      <c r="H185" s="104"/>
      <c r="I185" s="35"/>
      <c r="J185" s="74"/>
      <c r="K185" s="74"/>
      <c r="L185" s="74"/>
      <c r="M185" s="74"/>
      <c r="N185" s="74"/>
      <c r="O185" s="74"/>
      <c r="P185" s="74"/>
      <c r="Q185" s="74"/>
      <c r="R185" s="74"/>
      <c r="S185" s="74"/>
      <c r="T185" s="74"/>
      <c r="U185" s="74"/>
      <c r="V185" s="74"/>
      <c r="W185" s="74"/>
      <c r="X185" s="74"/>
      <c r="Y185" s="74"/>
      <c r="Z185" s="74"/>
      <c r="AA185" s="74"/>
      <c r="AB185" s="74"/>
    </row>
    <row r="186" spans="1:28" ht="12" customHeight="1">
      <c r="A186" s="105"/>
      <c r="B186" s="106"/>
      <c r="C186" s="107"/>
      <c r="D186" s="108"/>
      <c r="E186" s="107"/>
      <c r="F186" s="107"/>
      <c r="G186" s="35"/>
      <c r="H186" s="104"/>
      <c r="I186" s="35"/>
      <c r="J186" s="74"/>
      <c r="K186" s="74"/>
      <c r="L186" s="74"/>
      <c r="M186" s="74"/>
      <c r="N186" s="74"/>
      <c r="O186" s="74"/>
      <c r="P186" s="74"/>
      <c r="Q186" s="74"/>
      <c r="R186" s="74"/>
      <c r="S186" s="74"/>
      <c r="T186" s="74"/>
      <c r="U186" s="74"/>
      <c r="V186" s="74"/>
      <c r="W186" s="74"/>
      <c r="X186" s="74"/>
      <c r="Y186" s="74"/>
      <c r="Z186" s="74"/>
      <c r="AA186" s="74"/>
      <c r="AB186" s="74"/>
    </row>
    <row r="187" spans="1:28" ht="12" customHeight="1">
      <c r="A187" s="105"/>
      <c r="B187" s="106"/>
      <c r="C187" s="107"/>
      <c r="D187" s="108"/>
      <c r="E187" s="107"/>
      <c r="F187" s="107"/>
      <c r="G187" s="35"/>
      <c r="H187" s="104"/>
      <c r="I187" s="35"/>
      <c r="J187" s="74"/>
      <c r="K187" s="74"/>
      <c r="L187" s="74"/>
      <c r="M187" s="74"/>
      <c r="N187" s="74"/>
      <c r="O187" s="74"/>
      <c r="P187" s="74"/>
      <c r="Q187" s="74"/>
      <c r="R187" s="74"/>
      <c r="S187" s="74"/>
      <c r="T187" s="74"/>
      <c r="U187" s="74"/>
      <c r="V187" s="74"/>
      <c r="W187" s="74"/>
      <c r="X187" s="74"/>
      <c r="Y187" s="74"/>
      <c r="Z187" s="74"/>
      <c r="AA187" s="74"/>
      <c r="AB187" s="74"/>
    </row>
    <row r="188" spans="1:28" ht="12" customHeight="1">
      <c r="A188" s="105"/>
      <c r="B188" s="106"/>
      <c r="C188" s="107"/>
      <c r="D188" s="108"/>
      <c r="E188" s="107"/>
      <c r="F188" s="107"/>
      <c r="G188" s="35"/>
      <c r="H188" s="104"/>
      <c r="I188" s="35"/>
      <c r="J188" s="74"/>
      <c r="K188" s="74"/>
      <c r="L188" s="74"/>
      <c r="M188" s="74"/>
      <c r="N188" s="74"/>
      <c r="O188" s="74"/>
      <c r="P188" s="74"/>
      <c r="Q188" s="74"/>
      <c r="R188" s="74"/>
      <c r="S188" s="74"/>
      <c r="T188" s="74"/>
      <c r="U188" s="74"/>
      <c r="V188" s="74"/>
      <c r="W188" s="74"/>
      <c r="X188" s="74"/>
      <c r="Y188" s="74"/>
      <c r="Z188" s="74"/>
      <c r="AA188" s="74"/>
      <c r="AB188" s="74"/>
    </row>
    <row r="189" spans="1:28" ht="12" customHeight="1">
      <c r="A189" s="105"/>
      <c r="B189" s="106"/>
      <c r="C189" s="107"/>
      <c r="D189" s="108"/>
      <c r="E189" s="107"/>
      <c r="F189" s="107"/>
      <c r="G189" s="35"/>
      <c r="H189" s="104"/>
      <c r="I189" s="35"/>
      <c r="J189" s="74"/>
      <c r="K189" s="74"/>
      <c r="L189" s="74"/>
      <c r="M189" s="74"/>
      <c r="N189" s="74"/>
      <c r="O189" s="74"/>
      <c r="P189" s="74"/>
      <c r="Q189" s="74"/>
      <c r="R189" s="74"/>
      <c r="S189" s="74"/>
      <c r="T189" s="74"/>
      <c r="U189" s="74"/>
      <c r="V189" s="74"/>
      <c r="W189" s="74"/>
      <c r="X189" s="74"/>
      <c r="Y189" s="74"/>
      <c r="Z189" s="74"/>
      <c r="AA189" s="74"/>
      <c r="AB189" s="74"/>
    </row>
    <row r="190" spans="1:28" ht="12" customHeight="1">
      <c r="A190" s="105"/>
      <c r="B190" s="106"/>
      <c r="C190" s="107"/>
      <c r="D190" s="108"/>
      <c r="E190" s="107"/>
      <c r="F190" s="107"/>
      <c r="G190" s="35"/>
      <c r="H190" s="104"/>
      <c r="I190" s="35"/>
      <c r="J190" s="74"/>
      <c r="K190" s="74"/>
      <c r="L190" s="74"/>
      <c r="M190" s="74"/>
      <c r="N190" s="74"/>
      <c r="O190" s="74"/>
      <c r="P190" s="74"/>
      <c r="Q190" s="74"/>
      <c r="R190" s="74"/>
      <c r="S190" s="74"/>
      <c r="T190" s="74"/>
      <c r="U190" s="74"/>
      <c r="V190" s="74"/>
      <c r="W190" s="74"/>
      <c r="X190" s="74"/>
      <c r="Y190" s="74"/>
      <c r="Z190" s="74"/>
      <c r="AA190" s="74"/>
      <c r="AB190" s="74"/>
    </row>
    <row r="191" spans="1:28" ht="12" customHeight="1">
      <c r="A191" s="105"/>
      <c r="B191" s="106"/>
      <c r="C191" s="107"/>
      <c r="D191" s="108"/>
      <c r="E191" s="107"/>
      <c r="F191" s="107"/>
      <c r="G191" s="35"/>
      <c r="H191" s="104"/>
      <c r="I191" s="35"/>
      <c r="J191" s="74"/>
      <c r="K191" s="74"/>
      <c r="L191" s="74"/>
      <c r="M191" s="74"/>
      <c r="N191" s="74"/>
      <c r="O191" s="74"/>
      <c r="P191" s="74"/>
      <c r="Q191" s="74"/>
      <c r="R191" s="74"/>
      <c r="S191" s="74"/>
      <c r="T191" s="74"/>
      <c r="U191" s="74"/>
      <c r="V191" s="74"/>
      <c r="W191" s="74"/>
      <c r="X191" s="74"/>
      <c r="Y191" s="74"/>
      <c r="Z191" s="74"/>
      <c r="AA191" s="74"/>
      <c r="AB191" s="74"/>
    </row>
    <row r="192" spans="1:28" ht="12" customHeight="1">
      <c r="A192" s="105"/>
      <c r="B192" s="106"/>
      <c r="C192" s="107"/>
      <c r="D192" s="108"/>
      <c r="E192" s="107"/>
      <c r="F192" s="107"/>
      <c r="G192" s="35"/>
      <c r="H192" s="104"/>
      <c r="I192" s="35"/>
      <c r="J192" s="74"/>
      <c r="K192" s="74"/>
      <c r="L192" s="74"/>
      <c r="M192" s="74"/>
      <c r="N192" s="74"/>
      <c r="O192" s="74"/>
      <c r="P192" s="74"/>
      <c r="Q192" s="74"/>
      <c r="R192" s="74"/>
      <c r="S192" s="74"/>
      <c r="T192" s="74"/>
      <c r="U192" s="74"/>
      <c r="V192" s="74"/>
      <c r="W192" s="74"/>
      <c r="X192" s="74"/>
      <c r="Y192" s="74"/>
      <c r="Z192" s="74"/>
      <c r="AA192" s="74"/>
      <c r="AB192" s="74"/>
    </row>
    <row r="193" spans="1:28" ht="12" customHeight="1">
      <c r="A193" s="105"/>
      <c r="B193" s="106"/>
      <c r="C193" s="107"/>
      <c r="D193" s="108"/>
      <c r="E193" s="107"/>
      <c r="F193" s="107"/>
      <c r="G193" s="35"/>
      <c r="H193" s="104"/>
      <c r="I193" s="35"/>
      <c r="J193" s="74"/>
      <c r="K193" s="74"/>
      <c r="L193" s="74"/>
      <c r="M193" s="74"/>
      <c r="N193" s="74"/>
      <c r="O193" s="74"/>
      <c r="P193" s="74"/>
      <c r="Q193" s="74"/>
      <c r="R193" s="74"/>
      <c r="S193" s="74"/>
      <c r="T193" s="74"/>
      <c r="U193" s="74"/>
      <c r="V193" s="74"/>
      <c r="W193" s="74"/>
      <c r="X193" s="74"/>
      <c r="Y193" s="74"/>
      <c r="Z193" s="74"/>
      <c r="AA193" s="74"/>
      <c r="AB193" s="74"/>
    </row>
    <row r="194" spans="1:28" ht="12" customHeight="1">
      <c r="A194" s="105"/>
      <c r="B194" s="106"/>
      <c r="C194" s="107"/>
      <c r="D194" s="108"/>
      <c r="E194" s="107"/>
      <c r="F194" s="107"/>
      <c r="G194" s="35"/>
      <c r="H194" s="104"/>
      <c r="I194" s="35"/>
      <c r="J194" s="74"/>
      <c r="K194" s="74"/>
      <c r="L194" s="74"/>
      <c r="M194" s="74"/>
      <c r="N194" s="74"/>
      <c r="O194" s="74"/>
      <c r="P194" s="74"/>
      <c r="Q194" s="74"/>
      <c r="R194" s="74"/>
      <c r="S194" s="74"/>
      <c r="T194" s="74"/>
      <c r="U194" s="74"/>
      <c r="V194" s="74"/>
      <c r="W194" s="74"/>
      <c r="X194" s="74"/>
      <c r="Y194" s="74"/>
      <c r="Z194" s="74"/>
      <c r="AA194" s="74"/>
      <c r="AB194" s="74"/>
    </row>
    <row r="195" spans="1:28" ht="12" customHeight="1">
      <c r="A195" s="105"/>
      <c r="B195" s="106"/>
      <c r="C195" s="107"/>
      <c r="D195" s="108"/>
      <c r="E195" s="107"/>
      <c r="F195" s="107"/>
      <c r="G195" s="35"/>
      <c r="H195" s="104"/>
      <c r="I195" s="35"/>
      <c r="J195" s="74"/>
      <c r="K195" s="74"/>
      <c r="L195" s="74"/>
      <c r="M195" s="74"/>
      <c r="N195" s="74"/>
      <c r="O195" s="74"/>
      <c r="P195" s="74"/>
      <c r="Q195" s="74"/>
      <c r="R195" s="74"/>
      <c r="S195" s="74"/>
      <c r="T195" s="74"/>
      <c r="U195" s="74"/>
      <c r="V195" s="74"/>
      <c r="W195" s="74"/>
      <c r="X195" s="74"/>
      <c r="Y195" s="74"/>
      <c r="Z195" s="74"/>
      <c r="AA195" s="74"/>
      <c r="AB195" s="74"/>
    </row>
    <row r="196" spans="1:28" ht="12" customHeight="1">
      <c r="A196" s="105"/>
      <c r="B196" s="106"/>
      <c r="C196" s="107"/>
      <c r="D196" s="108"/>
      <c r="E196" s="107"/>
      <c r="F196" s="107"/>
      <c r="G196" s="35"/>
      <c r="H196" s="104"/>
      <c r="I196" s="35"/>
      <c r="J196" s="74"/>
      <c r="K196" s="74"/>
      <c r="L196" s="74"/>
      <c r="M196" s="74"/>
      <c r="N196" s="74"/>
      <c r="O196" s="74"/>
      <c r="P196" s="74"/>
      <c r="Q196" s="74"/>
      <c r="R196" s="74"/>
      <c r="S196" s="74"/>
      <c r="T196" s="74"/>
      <c r="U196" s="74"/>
      <c r="V196" s="74"/>
      <c r="W196" s="74"/>
      <c r="X196" s="74"/>
      <c r="Y196" s="74"/>
      <c r="Z196" s="74"/>
      <c r="AA196" s="74"/>
      <c r="AB196" s="74"/>
    </row>
    <row r="197" spans="1:28" ht="12" customHeight="1">
      <c r="A197" s="105"/>
      <c r="B197" s="106"/>
      <c r="C197" s="107"/>
      <c r="D197" s="108"/>
      <c r="E197" s="107"/>
      <c r="F197" s="107"/>
      <c r="G197" s="35"/>
      <c r="H197" s="104"/>
      <c r="I197" s="35"/>
      <c r="J197" s="74"/>
      <c r="K197" s="74"/>
      <c r="L197" s="74"/>
      <c r="M197" s="74"/>
      <c r="N197" s="74"/>
      <c r="O197" s="74"/>
      <c r="P197" s="74"/>
      <c r="Q197" s="74"/>
      <c r="R197" s="74"/>
      <c r="S197" s="74"/>
      <c r="T197" s="74"/>
      <c r="U197" s="74"/>
      <c r="V197" s="74"/>
      <c r="W197" s="74"/>
      <c r="X197" s="74"/>
      <c r="Y197" s="74"/>
      <c r="Z197" s="74"/>
      <c r="AA197" s="74"/>
      <c r="AB197" s="74"/>
    </row>
    <row r="198" spans="1:28" ht="12" customHeight="1">
      <c r="A198" s="105"/>
      <c r="B198" s="106"/>
      <c r="C198" s="107"/>
      <c r="D198" s="108"/>
      <c r="E198" s="107"/>
      <c r="F198" s="107"/>
      <c r="G198" s="35"/>
      <c r="H198" s="104"/>
      <c r="I198" s="35"/>
      <c r="J198" s="74"/>
      <c r="K198" s="74"/>
      <c r="L198" s="74"/>
      <c r="M198" s="74"/>
      <c r="N198" s="74"/>
      <c r="O198" s="74"/>
      <c r="P198" s="74"/>
      <c r="Q198" s="74"/>
      <c r="R198" s="74"/>
      <c r="S198" s="74"/>
      <c r="T198" s="74"/>
      <c r="U198" s="74"/>
      <c r="V198" s="74"/>
      <c r="W198" s="74"/>
      <c r="X198" s="74"/>
      <c r="Y198" s="74"/>
      <c r="Z198" s="74"/>
      <c r="AA198" s="74"/>
      <c r="AB198" s="74"/>
    </row>
    <row r="199" spans="1:28" ht="12" customHeight="1">
      <c r="A199" s="105"/>
      <c r="B199" s="106"/>
      <c r="C199" s="107"/>
      <c r="D199" s="108"/>
      <c r="E199" s="107"/>
      <c r="F199" s="107"/>
      <c r="G199" s="35"/>
      <c r="H199" s="104"/>
      <c r="I199" s="35"/>
      <c r="J199" s="74"/>
      <c r="K199" s="74"/>
      <c r="L199" s="74"/>
      <c r="M199" s="74"/>
      <c r="N199" s="74"/>
      <c r="O199" s="74"/>
      <c r="P199" s="74"/>
      <c r="Q199" s="74"/>
      <c r="R199" s="74"/>
      <c r="S199" s="74"/>
      <c r="T199" s="74"/>
      <c r="U199" s="74"/>
      <c r="V199" s="74"/>
      <c r="W199" s="74"/>
      <c r="X199" s="74"/>
      <c r="Y199" s="74"/>
      <c r="Z199" s="74"/>
      <c r="AA199" s="74"/>
      <c r="AB199" s="74"/>
    </row>
    <row r="200" spans="1:28" ht="12" customHeight="1">
      <c r="A200" s="105"/>
      <c r="B200" s="106"/>
      <c r="C200" s="107"/>
      <c r="D200" s="108"/>
      <c r="E200" s="107"/>
      <c r="F200" s="107"/>
      <c r="G200" s="35"/>
      <c r="H200" s="104"/>
      <c r="I200" s="35"/>
      <c r="J200" s="74"/>
      <c r="K200" s="74"/>
      <c r="L200" s="74"/>
      <c r="M200" s="74"/>
      <c r="N200" s="74"/>
      <c r="O200" s="74"/>
      <c r="P200" s="74"/>
      <c r="Q200" s="74"/>
      <c r="R200" s="74"/>
      <c r="S200" s="74"/>
      <c r="T200" s="74"/>
      <c r="U200" s="74"/>
      <c r="V200" s="74"/>
      <c r="W200" s="74"/>
      <c r="X200" s="74"/>
      <c r="Y200" s="74"/>
      <c r="Z200" s="74"/>
      <c r="AA200" s="74"/>
      <c r="AB200" s="74"/>
    </row>
    <row r="201" spans="1:28" ht="12" customHeight="1">
      <c r="A201" s="105"/>
      <c r="B201" s="106"/>
      <c r="C201" s="107"/>
      <c r="D201" s="108"/>
      <c r="E201" s="107"/>
      <c r="F201" s="107"/>
      <c r="G201" s="35"/>
      <c r="H201" s="104"/>
      <c r="I201" s="35"/>
      <c r="J201" s="74"/>
      <c r="K201" s="74"/>
      <c r="L201" s="74"/>
      <c r="M201" s="74"/>
      <c r="N201" s="74"/>
      <c r="O201" s="74"/>
      <c r="P201" s="74"/>
      <c r="Q201" s="74"/>
      <c r="R201" s="74"/>
      <c r="S201" s="74"/>
      <c r="T201" s="74"/>
      <c r="U201" s="74"/>
      <c r="V201" s="74"/>
      <c r="W201" s="74"/>
      <c r="X201" s="74"/>
      <c r="Y201" s="74"/>
      <c r="Z201" s="74"/>
      <c r="AA201" s="74"/>
      <c r="AB201" s="74"/>
    </row>
    <row r="202" spans="1:28" ht="12" customHeight="1">
      <c r="A202" s="105"/>
      <c r="B202" s="106"/>
      <c r="C202" s="107"/>
      <c r="D202" s="108"/>
      <c r="E202" s="107"/>
      <c r="F202" s="107"/>
      <c r="G202" s="35"/>
      <c r="H202" s="104"/>
      <c r="I202" s="35"/>
      <c r="J202" s="74"/>
      <c r="K202" s="74"/>
      <c r="L202" s="74"/>
      <c r="M202" s="74"/>
      <c r="N202" s="74"/>
      <c r="O202" s="74"/>
      <c r="P202" s="74"/>
      <c r="Q202" s="74"/>
      <c r="R202" s="74"/>
      <c r="S202" s="74"/>
      <c r="T202" s="74"/>
      <c r="U202" s="74"/>
      <c r="V202" s="74"/>
      <c r="W202" s="74"/>
      <c r="X202" s="74"/>
      <c r="Y202" s="74"/>
      <c r="Z202" s="74"/>
      <c r="AA202" s="74"/>
      <c r="AB202" s="74"/>
    </row>
    <row r="203" spans="1:28" ht="12" customHeight="1">
      <c r="A203" s="105"/>
      <c r="B203" s="106"/>
      <c r="C203" s="107"/>
      <c r="D203" s="108"/>
      <c r="E203" s="107"/>
      <c r="F203" s="107"/>
      <c r="G203" s="35"/>
      <c r="H203" s="104"/>
      <c r="I203" s="35"/>
      <c r="J203" s="74"/>
      <c r="K203" s="74"/>
      <c r="L203" s="74"/>
      <c r="M203" s="74"/>
      <c r="N203" s="74"/>
      <c r="O203" s="74"/>
      <c r="P203" s="74"/>
      <c r="Q203" s="74"/>
      <c r="R203" s="74"/>
      <c r="S203" s="74"/>
      <c r="T203" s="74"/>
      <c r="U203" s="74"/>
      <c r="V203" s="74"/>
      <c r="W203" s="74"/>
      <c r="X203" s="74"/>
      <c r="Y203" s="74"/>
      <c r="Z203" s="74"/>
      <c r="AA203" s="74"/>
      <c r="AB203" s="74"/>
    </row>
    <row r="204" spans="1:28" ht="12" customHeight="1">
      <c r="A204" s="105"/>
      <c r="B204" s="106"/>
      <c r="C204" s="107"/>
      <c r="D204" s="108"/>
      <c r="E204" s="107"/>
      <c r="F204" s="107"/>
      <c r="G204" s="35"/>
      <c r="H204" s="104"/>
      <c r="I204" s="35"/>
      <c r="J204" s="74"/>
      <c r="K204" s="74"/>
      <c r="L204" s="74"/>
      <c r="M204" s="74"/>
      <c r="N204" s="74"/>
      <c r="O204" s="74"/>
      <c r="P204" s="74"/>
      <c r="Q204" s="74"/>
      <c r="R204" s="74"/>
      <c r="S204" s="74"/>
      <c r="T204" s="74"/>
      <c r="U204" s="74"/>
      <c r="V204" s="74"/>
      <c r="W204" s="74"/>
      <c r="X204" s="74"/>
      <c r="Y204" s="74"/>
      <c r="Z204" s="74"/>
      <c r="AA204" s="74"/>
      <c r="AB204" s="74"/>
    </row>
    <row r="205" spans="1:28" ht="12" customHeight="1">
      <c r="A205" s="105"/>
      <c r="B205" s="106"/>
      <c r="C205" s="107"/>
      <c r="D205" s="108"/>
      <c r="E205" s="107"/>
      <c r="F205" s="107"/>
      <c r="G205" s="35"/>
      <c r="H205" s="104"/>
      <c r="I205" s="35"/>
      <c r="J205" s="74"/>
      <c r="K205" s="74"/>
      <c r="L205" s="74"/>
      <c r="M205" s="74"/>
      <c r="N205" s="74"/>
      <c r="O205" s="74"/>
      <c r="P205" s="74"/>
      <c r="Q205" s="74"/>
      <c r="R205" s="74"/>
      <c r="S205" s="74"/>
      <c r="T205" s="74"/>
      <c r="U205" s="74"/>
      <c r="V205" s="74"/>
      <c r="W205" s="74"/>
      <c r="X205" s="74"/>
      <c r="Y205" s="74"/>
      <c r="Z205" s="74"/>
      <c r="AA205" s="74"/>
      <c r="AB205" s="74"/>
    </row>
    <row r="206" spans="1:28" ht="12" customHeight="1">
      <c r="A206" s="105"/>
      <c r="B206" s="106"/>
      <c r="C206" s="107"/>
      <c r="D206" s="108"/>
      <c r="E206" s="107"/>
      <c r="F206" s="107"/>
      <c r="G206" s="35"/>
      <c r="H206" s="104"/>
      <c r="I206" s="35"/>
      <c r="J206" s="74"/>
      <c r="K206" s="74"/>
      <c r="L206" s="74"/>
      <c r="M206" s="74"/>
      <c r="N206" s="74"/>
      <c r="O206" s="74"/>
      <c r="P206" s="74"/>
      <c r="Q206" s="74"/>
      <c r="R206" s="74"/>
      <c r="S206" s="74"/>
      <c r="T206" s="74"/>
      <c r="U206" s="74"/>
      <c r="V206" s="74"/>
      <c r="W206" s="74"/>
      <c r="X206" s="74"/>
      <c r="Y206" s="74"/>
      <c r="Z206" s="74"/>
      <c r="AA206" s="74"/>
      <c r="AB206" s="74"/>
    </row>
    <row r="207" spans="1:28" ht="12" customHeight="1">
      <c r="A207" s="105"/>
      <c r="B207" s="106"/>
      <c r="C207" s="107"/>
      <c r="D207" s="108"/>
      <c r="E207" s="107"/>
      <c r="F207" s="107"/>
      <c r="G207" s="35"/>
      <c r="H207" s="104"/>
      <c r="I207" s="35"/>
      <c r="J207" s="74"/>
      <c r="K207" s="74"/>
      <c r="L207" s="74"/>
      <c r="M207" s="74"/>
      <c r="N207" s="74"/>
      <c r="O207" s="74"/>
      <c r="P207" s="74"/>
      <c r="Q207" s="74"/>
      <c r="R207" s="74"/>
      <c r="S207" s="74"/>
      <c r="T207" s="74"/>
      <c r="U207" s="74"/>
      <c r="V207" s="74"/>
      <c r="W207" s="74"/>
      <c r="X207" s="74"/>
      <c r="Y207" s="74"/>
      <c r="Z207" s="74"/>
      <c r="AA207" s="74"/>
      <c r="AB207" s="74"/>
    </row>
    <row r="208" spans="1:28" ht="12" customHeight="1">
      <c r="A208" s="105"/>
      <c r="B208" s="106"/>
      <c r="C208" s="107"/>
      <c r="D208" s="108"/>
      <c r="E208" s="107"/>
      <c r="F208" s="107"/>
      <c r="G208" s="35"/>
      <c r="H208" s="104"/>
      <c r="I208" s="35"/>
      <c r="J208" s="74"/>
      <c r="K208" s="74"/>
      <c r="L208" s="74"/>
      <c r="M208" s="74"/>
      <c r="N208" s="74"/>
      <c r="O208" s="74"/>
      <c r="P208" s="74"/>
      <c r="Q208" s="74"/>
      <c r="R208" s="74"/>
      <c r="S208" s="74"/>
      <c r="T208" s="74"/>
      <c r="U208" s="74"/>
      <c r="V208" s="74"/>
      <c r="W208" s="74"/>
      <c r="X208" s="74"/>
      <c r="Y208" s="74"/>
      <c r="Z208" s="74"/>
      <c r="AA208" s="74"/>
      <c r="AB208" s="74"/>
    </row>
    <row r="209" spans="1:28" ht="12" customHeight="1">
      <c r="A209" s="105"/>
      <c r="B209" s="106"/>
      <c r="C209" s="107"/>
      <c r="D209" s="108"/>
      <c r="E209" s="107"/>
      <c r="F209" s="107"/>
      <c r="G209" s="35"/>
      <c r="H209" s="104"/>
      <c r="I209" s="35"/>
      <c r="J209" s="74"/>
      <c r="K209" s="74"/>
      <c r="L209" s="74"/>
      <c r="M209" s="74"/>
      <c r="N209" s="74"/>
      <c r="O209" s="74"/>
      <c r="P209" s="74"/>
      <c r="Q209" s="74"/>
      <c r="R209" s="74"/>
      <c r="S209" s="74"/>
      <c r="T209" s="74"/>
      <c r="U209" s="74"/>
      <c r="V209" s="74"/>
      <c r="W209" s="74"/>
      <c r="X209" s="74"/>
      <c r="Y209" s="74"/>
      <c r="Z209" s="74"/>
      <c r="AA209" s="74"/>
      <c r="AB209" s="74"/>
    </row>
    <row r="210" spans="1:28" ht="12" customHeight="1">
      <c r="A210" s="105"/>
      <c r="B210" s="106"/>
      <c r="C210" s="107"/>
      <c r="D210" s="108"/>
      <c r="E210" s="107"/>
      <c r="F210" s="107"/>
      <c r="G210" s="35"/>
      <c r="H210" s="104"/>
      <c r="I210" s="35"/>
      <c r="J210" s="74"/>
      <c r="K210" s="74"/>
      <c r="L210" s="74"/>
      <c r="M210" s="74"/>
      <c r="N210" s="74"/>
      <c r="O210" s="74"/>
      <c r="P210" s="74"/>
      <c r="Q210" s="74"/>
      <c r="R210" s="74"/>
      <c r="S210" s="74"/>
      <c r="T210" s="74"/>
      <c r="U210" s="74"/>
      <c r="V210" s="74"/>
      <c r="W210" s="74"/>
      <c r="X210" s="74"/>
      <c r="Y210" s="74"/>
      <c r="Z210" s="74"/>
      <c r="AA210" s="74"/>
      <c r="AB210" s="74"/>
    </row>
    <row r="211" spans="1:28" ht="12" customHeight="1">
      <c r="A211" s="105"/>
      <c r="B211" s="106"/>
      <c r="C211" s="107"/>
      <c r="D211" s="108"/>
      <c r="E211" s="107"/>
      <c r="F211" s="107"/>
      <c r="G211" s="35"/>
      <c r="H211" s="104"/>
      <c r="I211" s="35"/>
      <c r="J211" s="74"/>
      <c r="K211" s="74"/>
      <c r="L211" s="74"/>
      <c r="M211" s="74"/>
      <c r="N211" s="74"/>
      <c r="O211" s="74"/>
      <c r="P211" s="74"/>
      <c r="Q211" s="74"/>
      <c r="R211" s="74"/>
      <c r="S211" s="74"/>
      <c r="T211" s="74"/>
      <c r="U211" s="74"/>
      <c r="V211" s="74"/>
      <c r="W211" s="74"/>
      <c r="X211" s="74"/>
      <c r="Y211" s="74"/>
      <c r="Z211" s="74"/>
      <c r="AA211" s="74"/>
      <c r="AB211" s="74"/>
    </row>
    <row r="212" spans="1:28" ht="12" customHeight="1">
      <c r="A212" s="105"/>
      <c r="B212" s="106"/>
      <c r="C212" s="107"/>
      <c r="D212" s="108"/>
      <c r="E212" s="107"/>
      <c r="F212" s="107"/>
      <c r="G212" s="35"/>
      <c r="H212" s="104"/>
      <c r="I212" s="35"/>
      <c r="J212" s="74"/>
      <c r="K212" s="74"/>
      <c r="L212" s="74"/>
      <c r="M212" s="74"/>
      <c r="N212" s="74"/>
      <c r="O212" s="74"/>
      <c r="P212" s="74"/>
      <c r="Q212" s="74"/>
      <c r="R212" s="74"/>
      <c r="S212" s="74"/>
      <c r="T212" s="74"/>
      <c r="U212" s="74"/>
      <c r="V212" s="74"/>
      <c r="W212" s="74"/>
      <c r="X212" s="74"/>
      <c r="Y212" s="74"/>
      <c r="Z212" s="74"/>
      <c r="AA212" s="74"/>
      <c r="AB212" s="74"/>
    </row>
    <row r="213" spans="1:28" ht="12" customHeight="1">
      <c r="A213" s="105"/>
      <c r="B213" s="106"/>
      <c r="C213" s="107"/>
      <c r="D213" s="108"/>
      <c r="E213" s="107"/>
      <c r="F213" s="107"/>
      <c r="G213" s="35"/>
      <c r="H213" s="104"/>
      <c r="I213" s="35"/>
      <c r="J213" s="74"/>
      <c r="K213" s="74"/>
      <c r="L213" s="74"/>
      <c r="M213" s="74"/>
      <c r="N213" s="74"/>
      <c r="O213" s="74"/>
      <c r="P213" s="74"/>
      <c r="Q213" s="74"/>
      <c r="R213" s="74"/>
      <c r="S213" s="74"/>
      <c r="T213" s="74"/>
      <c r="U213" s="74"/>
      <c r="V213" s="74"/>
      <c r="W213" s="74"/>
      <c r="X213" s="74"/>
      <c r="Y213" s="74"/>
      <c r="Z213" s="74"/>
      <c r="AA213" s="74"/>
      <c r="AB213" s="74"/>
    </row>
    <row r="214" spans="1:28" ht="12" customHeight="1">
      <c r="A214" s="105"/>
      <c r="B214" s="106"/>
      <c r="C214" s="107"/>
      <c r="D214" s="108"/>
      <c r="E214" s="107"/>
      <c r="F214" s="107"/>
      <c r="G214" s="35"/>
      <c r="H214" s="104"/>
      <c r="I214" s="35"/>
      <c r="J214" s="74"/>
      <c r="K214" s="74"/>
      <c r="L214" s="74"/>
      <c r="M214" s="74"/>
      <c r="N214" s="74"/>
      <c r="O214" s="74"/>
      <c r="P214" s="74"/>
      <c r="Q214" s="74"/>
      <c r="R214" s="74"/>
      <c r="S214" s="74"/>
      <c r="T214" s="74"/>
      <c r="U214" s="74"/>
      <c r="V214" s="74"/>
      <c r="W214" s="74"/>
      <c r="X214" s="74"/>
      <c r="Y214" s="74"/>
      <c r="Z214" s="74"/>
      <c r="AA214" s="74"/>
      <c r="AB214" s="74"/>
    </row>
    <row r="215" spans="1:28" ht="12" customHeight="1">
      <c r="A215" s="105"/>
      <c r="B215" s="106"/>
      <c r="C215" s="107"/>
      <c r="D215" s="108"/>
      <c r="E215" s="107"/>
      <c r="F215" s="107"/>
      <c r="G215" s="35"/>
      <c r="H215" s="104"/>
      <c r="I215" s="35"/>
      <c r="J215" s="74"/>
      <c r="K215" s="74"/>
      <c r="L215" s="74"/>
      <c r="M215" s="74"/>
      <c r="N215" s="74"/>
      <c r="O215" s="74"/>
      <c r="P215" s="74"/>
      <c r="Q215" s="74"/>
      <c r="R215" s="74"/>
      <c r="S215" s="74"/>
      <c r="T215" s="74"/>
      <c r="U215" s="74"/>
      <c r="V215" s="74"/>
      <c r="W215" s="74"/>
      <c r="X215" s="74"/>
      <c r="Y215" s="74"/>
      <c r="Z215" s="74"/>
      <c r="AA215" s="74"/>
      <c r="AB215" s="74"/>
    </row>
    <row r="216" spans="1:28" ht="12" customHeight="1">
      <c r="A216" s="105"/>
      <c r="B216" s="106"/>
      <c r="C216" s="107"/>
      <c r="D216" s="108"/>
      <c r="E216" s="107"/>
      <c r="F216" s="107"/>
      <c r="G216" s="35"/>
      <c r="H216" s="104"/>
      <c r="I216" s="35"/>
      <c r="J216" s="74"/>
      <c r="K216" s="74"/>
      <c r="L216" s="74"/>
      <c r="M216" s="74"/>
      <c r="N216" s="74"/>
      <c r="O216" s="74"/>
      <c r="P216" s="74"/>
      <c r="Q216" s="74"/>
      <c r="R216" s="74"/>
      <c r="S216" s="74"/>
      <c r="T216" s="74"/>
      <c r="U216" s="74"/>
      <c r="V216" s="74"/>
      <c r="W216" s="74"/>
      <c r="X216" s="74"/>
      <c r="Y216" s="74"/>
      <c r="Z216" s="74"/>
      <c r="AA216" s="74"/>
      <c r="AB216" s="74"/>
    </row>
    <row r="217" spans="1:28" ht="12" customHeight="1">
      <c r="A217" s="105"/>
      <c r="B217" s="106"/>
      <c r="C217" s="107"/>
      <c r="D217" s="108"/>
      <c r="E217" s="107"/>
      <c r="F217" s="107"/>
      <c r="G217" s="35"/>
      <c r="H217" s="104"/>
      <c r="I217" s="35"/>
      <c r="J217" s="74"/>
      <c r="K217" s="74"/>
      <c r="L217" s="74"/>
      <c r="M217" s="74"/>
      <c r="N217" s="74"/>
      <c r="O217" s="74"/>
      <c r="P217" s="74"/>
      <c r="Q217" s="74"/>
      <c r="R217" s="74"/>
      <c r="S217" s="74"/>
      <c r="T217" s="74"/>
      <c r="U217" s="74"/>
      <c r="V217" s="74"/>
      <c r="W217" s="74"/>
      <c r="X217" s="74"/>
      <c r="Y217" s="74"/>
      <c r="Z217" s="74"/>
      <c r="AA217" s="74"/>
      <c r="AB217" s="74"/>
    </row>
    <row r="218" spans="1:28" ht="12" customHeight="1">
      <c r="A218" s="105"/>
      <c r="B218" s="106"/>
      <c r="C218" s="107"/>
      <c r="D218" s="108"/>
      <c r="E218" s="107"/>
      <c r="F218" s="107"/>
      <c r="G218" s="35"/>
      <c r="H218" s="104"/>
      <c r="I218" s="35"/>
      <c r="J218" s="74"/>
      <c r="K218" s="74"/>
      <c r="L218" s="74"/>
      <c r="M218" s="74"/>
      <c r="N218" s="74"/>
      <c r="O218" s="74"/>
      <c r="P218" s="74"/>
      <c r="Q218" s="74"/>
      <c r="R218" s="74"/>
      <c r="S218" s="74"/>
      <c r="T218" s="74"/>
      <c r="U218" s="74"/>
      <c r="V218" s="74"/>
      <c r="W218" s="74"/>
      <c r="X218" s="74"/>
      <c r="Y218" s="74"/>
      <c r="Z218" s="74"/>
      <c r="AA218" s="74"/>
      <c r="AB218" s="74"/>
    </row>
    <row r="219" spans="1:28" ht="12" customHeight="1">
      <c r="A219" s="105"/>
      <c r="B219" s="106"/>
      <c r="C219" s="107"/>
      <c r="D219" s="108"/>
      <c r="E219" s="107"/>
      <c r="F219" s="107"/>
      <c r="G219" s="35"/>
      <c r="H219" s="104"/>
      <c r="I219" s="35"/>
      <c r="J219" s="74"/>
      <c r="K219" s="74"/>
      <c r="L219" s="74"/>
      <c r="M219" s="74"/>
      <c r="N219" s="74"/>
      <c r="O219" s="74"/>
      <c r="P219" s="74"/>
      <c r="Q219" s="74"/>
      <c r="R219" s="74"/>
      <c r="S219" s="74"/>
      <c r="T219" s="74"/>
      <c r="U219" s="74"/>
      <c r="V219" s="74"/>
      <c r="W219" s="74"/>
      <c r="X219" s="74"/>
      <c r="Y219" s="74"/>
      <c r="Z219" s="74"/>
      <c r="AA219" s="74"/>
      <c r="AB219" s="74"/>
    </row>
    <row r="220" spans="1:28" ht="12" customHeight="1">
      <c r="A220" s="105"/>
      <c r="B220" s="106"/>
      <c r="C220" s="107"/>
      <c r="D220" s="108"/>
      <c r="E220" s="107"/>
      <c r="F220" s="107"/>
      <c r="G220" s="35"/>
      <c r="H220" s="104"/>
      <c r="I220" s="35"/>
      <c r="J220" s="74"/>
      <c r="K220" s="74"/>
      <c r="L220" s="74"/>
      <c r="M220" s="74"/>
      <c r="N220" s="74"/>
      <c r="O220" s="74"/>
      <c r="P220" s="74"/>
      <c r="Q220" s="74"/>
      <c r="R220" s="74"/>
      <c r="S220" s="74"/>
      <c r="T220" s="74"/>
      <c r="U220" s="74"/>
      <c r="V220" s="74"/>
      <c r="W220" s="74"/>
      <c r="X220" s="74"/>
      <c r="Y220" s="74"/>
      <c r="Z220" s="74"/>
      <c r="AA220" s="74"/>
      <c r="AB220" s="74"/>
    </row>
    <row r="221" spans="1:28" ht="12" customHeight="1">
      <c r="A221" s="105"/>
      <c r="B221" s="106"/>
      <c r="C221" s="107"/>
      <c r="D221" s="108"/>
      <c r="E221" s="107"/>
      <c r="F221" s="107"/>
      <c r="G221" s="35"/>
      <c r="H221" s="104"/>
      <c r="I221" s="35"/>
      <c r="J221" s="74"/>
      <c r="K221" s="74"/>
      <c r="L221" s="74"/>
      <c r="M221" s="74"/>
      <c r="N221" s="74"/>
      <c r="O221" s="74"/>
      <c r="P221" s="74"/>
      <c r="Q221" s="74"/>
      <c r="R221" s="74"/>
      <c r="S221" s="74"/>
      <c r="T221" s="74"/>
      <c r="U221" s="74"/>
      <c r="V221" s="74"/>
      <c r="W221" s="74"/>
      <c r="X221" s="74"/>
      <c r="Y221" s="74"/>
      <c r="Z221" s="74"/>
      <c r="AA221" s="74"/>
      <c r="AB221" s="74"/>
    </row>
    <row r="222" spans="1:28" ht="12" customHeight="1">
      <c r="A222" s="105"/>
      <c r="B222" s="106"/>
      <c r="C222" s="107"/>
      <c r="D222" s="108"/>
      <c r="E222" s="107"/>
      <c r="F222" s="107"/>
      <c r="G222" s="35"/>
      <c r="H222" s="104"/>
      <c r="I222" s="35"/>
      <c r="J222" s="74"/>
      <c r="K222" s="74"/>
      <c r="L222" s="74"/>
      <c r="M222" s="74"/>
      <c r="N222" s="74"/>
      <c r="O222" s="74"/>
      <c r="P222" s="74"/>
      <c r="Q222" s="74"/>
      <c r="R222" s="74"/>
      <c r="S222" s="74"/>
      <c r="T222" s="74"/>
      <c r="U222" s="74"/>
      <c r="V222" s="74"/>
      <c r="W222" s="74"/>
      <c r="X222" s="74"/>
      <c r="Y222" s="74"/>
      <c r="Z222" s="74"/>
      <c r="AA222" s="74"/>
      <c r="AB222" s="74"/>
    </row>
    <row r="223" spans="1:28" ht="12" customHeight="1">
      <c r="A223" s="105"/>
      <c r="B223" s="106"/>
      <c r="C223" s="107"/>
      <c r="D223" s="108"/>
      <c r="E223" s="107"/>
      <c r="F223" s="107"/>
      <c r="G223" s="35"/>
      <c r="H223" s="104"/>
      <c r="I223" s="35"/>
      <c r="J223" s="74"/>
      <c r="K223" s="74"/>
      <c r="L223" s="74"/>
      <c r="M223" s="74"/>
      <c r="N223" s="74"/>
      <c r="O223" s="74"/>
      <c r="P223" s="74"/>
      <c r="Q223" s="74"/>
      <c r="R223" s="74"/>
      <c r="S223" s="74"/>
      <c r="T223" s="74"/>
      <c r="U223" s="74"/>
      <c r="V223" s="74"/>
      <c r="W223" s="74"/>
      <c r="X223" s="74"/>
      <c r="Y223" s="74"/>
      <c r="Z223" s="74"/>
      <c r="AA223" s="74"/>
      <c r="AB223" s="74"/>
    </row>
    <row r="224" spans="1:28" ht="12" customHeight="1">
      <c r="A224" s="105"/>
      <c r="B224" s="106"/>
      <c r="C224" s="107"/>
      <c r="D224" s="108"/>
      <c r="E224" s="107"/>
      <c r="F224" s="107"/>
      <c r="G224" s="35"/>
      <c r="H224" s="104"/>
      <c r="I224" s="35"/>
      <c r="J224" s="74"/>
      <c r="K224" s="74"/>
      <c r="L224" s="74"/>
      <c r="M224" s="74"/>
      <c r="N224" s="74"/>
      <c r="O224" s="74"/>
      <c r="P224" s="74"/>
      <c r="Q224" s="74"/>
      <c r="R224" s="74"/>
      <c r="S224" s="74"/>
      <c r="T224" s="74"/>
      <c r="U224" s="74"/>
      <c r="V224" s="74"/>
      <c r="W224" s="74"/>
      <c r="X224" s="74"/>
      <c r="Y224" s="74"/>
      <c r="Z224" s="74"/>
      <c r="AA224" s="74"/>
      <c r="AB224" s="74"/>
    </row>
    <row r="225" spans="1:28" ht="12" customHeight="1">
      <c r="A225" s="105"/>
      <c r="B225" s="106"/>
      <c r="C225" s="107"/>
      <c r="D225" s="108"/>
      <c r="E225" s="107"/>
      <c r="F225" s="107"/>
      <c r="G225" s="35"/>
      <c r="H225" s="104"/>
      <c r="I225" s="35"/>
      <c r="J225" s="74"/>
      <c r="K225" s="74"/>
      <c r="L225" s="74"/>
      <c r="M225" s="74"/>
      <c r="N225" s="74"/>
      <c r="O225" s="74"/>
      <c r="P225" s="74"/>
      <c r="Q225" s="74"/>
      <c r="R225" s="74"/>
      <c r="S225" s="74"/>
      <c r="T225" s="74"/>
      <c r="U225" s="74"/>
      <c r="V225" s="74"/>
      <c r="W225" s="74"/>
      <c r="X225" s="74"/>
      <c r="Y225" s="74"/>
      <c r="Z225" s="74"/>
      <c r="AA225" s="74"/>
      <c r="AB225" s="74"/>
    </row>
    <row r="226" spans="1:28" ht="12" customHeight="1">
      <c r="A226" s="105"/>
      <c r="B226" s="106"/>
      <c r="C226" s="107"/>
      <c r="D226" s="108"/>
      <c r="E226" s="107"/>
      <c r="F226" s="107"/>
      <c r="G226" s="35"/>
      <c r="H226" s="104"/>
      <c r="I226" s="35"/>
      <c r="J226" s="74"/>
      <c r="K226" s="74"/>
      <c r="L226" s="74"/>
      <c r="M226" s="74"/>
      <c r="N226" s="74"/>
      <c r="O226" s="74"/>
      <c r="P226" s="74"/>
      <c r="Q226" s="74"/>
      <c r="R226" s="74"/>
      <c r="S226" s="74"/>
      <c r="T226" s="74"/>
      <c r="U226" s="74"/>
      <c r="V226" s="74"/>
      <c r="W226" s="74"/>
      <c r="X226" s="74"/>
      <c r="Y226" s="74"/>
      <c r="Z226" s="74"/>
      <c r="AA226" s="74"/>
      <c r="AB226" s="74"/>
    </row>
    <row r="227" spans="1:28" ht="12" customHeight="1">
      <c r="A227" s="105"/>
      <c r="B227" s="106"/>
      <c r="C227" s="107"/>
      <c r="D227" s="108"/>
      <c r="E227" s="107"/>
      <c r="F227" s="107"/>
      <c r="G227" s="35"/>
      <c r="H227" s="104"/>
      <c r="I227" s="35"/>
      <c r="J227" s="74"/>
      <c r="K227" s="74"/>
      <c r="L227" s="74"/>
      <c r="M227" s="74"/>
      <c r="N227" s="74"/>
      <c r="O227" s="74"/>
      <c r="P227" s="74"/>
      <c r="Q227" s="74"/>
      <c r="R227" s="74"/>
      <c r="S227" s="74"/>
      <c r="T227" s="74"/>
      <c r="U227" s="74"/>
      <c r="V227" s="74"/>
      <c r="W227" s="74"/>
      <c r="X227" s="74"/>
      <c r="Y227" s="74"/>
      <c r="Z227" s="74"/>
      <c r="AA227" s="74"/>
      <c r="AB227" s="74"/>
    </row>
    <row r="228" spans="1:28" ht="12" customHeight="1">
      <c r="A228" s="105"/>
      <c r="B228" s="106"/>
      <c r="C228" s="107"/>
      <c r="D228" s="108"/>
      <c r="E228" s="107"/>
      <c r="F228" s="107"/>
      <c r="G228" s="35"/>
      <c r="H228" s="104"/>
      <c r="I228" s="35"/>
      <c r="J228" s="74"/>
      <c r="K228" s="74"/>
      <c r="L228" s="74"/>
      <c r="M228" s="74"/>
      <c r="N228" s="74"/>
      <c r="O228" s="74"/>
      <c r="P228" s="74"/>
      <c r="Q228" s="74"/>
      <c r="R228" s="74"/>
      <c r="S228" s="74"/>
      <c r="T228" s="74"/>
      <c r="U228" s="74"/>
      <c r="V228" s="74"/>
      <c r="W228" s="74"/>
      <c r="X228" s="74"/>
      <c r="Y228" s="74"/>
      <c r="Z228" s="74"/>
      <c r="AA228" s="74"/>
      <c r="AB228" s="74"/>
    </row>
    <row r="229" spans="1:28" ht="12" customHeight="1">
      <c r="A229" s="105"/>
      <c r="B229" s="106"/>
      <c r="C229" s="107"/>
      <c r="D229" s="108"/>
      <c r="E229" s="107"/>
      <c r="F229" s="107"/>
      <c r="G229" s="35"/>
      <c r="H229" s="104"/>
      <c r="I229" s="35"/>
      <c r="J229" s="74"/>
      <c r="K229" s="74"/>
      <c r="L229" s="74"/>
      <c r="M229" s="74"/>
      <c r="N229" s="74"/>
      <c r="O229" s="74"/>
      <c r="P229" s="74"/>
      <c r="Q229" s="74"/>
      <c r="R229" s="74"/>
      <c r="S229" s="74"/>
      <c r="T229" s="74"/>
      <c r="U229" s="74"/>
      <c r="V229" s="74"/>
      <c r="W229" s="74"/>
      <c r="X229" s="74"/>
      <c r="Y229" s="74"/>
      <c r="Z229" s="74"/>
      <c r="AA229" s="74"/>
      <c r="AB229" s="74"/>
    </row>
    <row r="230" spans="1:28" ht="12" customHeight="1">
      <c r="A230" s="105"/>
      <c r="B230" s="106"/>
      <c r="C230" s="107"/>
      <c r="D230" s="108"/>
      <c r="E230" s="107"/>
      <c r="F230" s="107"/>
      <c r="G230" s="35"/>
      <c r="H230" s="104"/>
      <c r="I230" s="35"/>
      <c r="J230" s="74"/>
      <c r="K230" s="74"/>
      <c r="L230" s="74"/>
      <c r="M230" s="74"/>
      <c r="N230" s="74"/>
      <c r="O230" s="74"/>
      <c r="P230" s="74"/>
      <c r="Q230" s="74"/>
      <c r="R230" s="74"/>
      <c r="S230" s="74"/>
      <c r="T230" s="74"/>
      <c r="U230" s="74"/>
      <c r="V230" s="74"/>
      <c r="W230" s="74"/>
      <c r="X230" s="74"/>
      <c r="Y230" s="74"/>
      <c r="Z230" s="74"/>
      <c r="AA230" s="74"/>
      <c r="AB230" s="74"/>
    </row>
    <row r="231" spans="1:28" ht="12" customHeight="1">
      <c r="A231" s="105"/>
      <c r="B231" s="106"/>
      <c r="C231" s="107"/>
      <c r="D231" s="108"/>
      <c r="E231" s="107"/>
      <c r="F231" s="107"/>
      <c r="G231" s="35"/>
      <c r="H231" s="104"/>
      <c r="I231" s="35"/>
      <c r="J231" s="74"/>
      <c r="K231" s="74"/>
      <c r="L231" s="74"/>
      <c r="M231" s="74"/>
      <c r="N231" s="74"/>
      <c r="O231" s="74"/>
      <c r="P231" s="74"/>
      <c r="Q231" s="74"/>
      <c r="R231" s="74"/>
      <c r="S231" s="74"/>
      <c r="T231" s="74"/>
      <c r="U231" s="74"/>
      <c r="V231" s="74"/>
      <c r="W231" s="74"/>
      <c r="X231" s="74"/>
      <c r="Y231" s="74"/>
      <c r="Z231" s="74"/>
      <c r="AA231" s="74"/>
      <c r="AB231" s="74"/>
    </row>
    <row r="232" spans="1:28" ht="12" customHeight="1">
      <c r="A232" s="105"/>
      <c r="B232" s="106"/>
      <c r="C232" s="107"/>
      <c r="D232" s="108"/>
      <c r="E232" s="107"/>
      <c r="F232" s="107"/>
      <c r="G232" s="35"/>
      <c r="H232" s="104"/>
      <c r="I232" s="35"/>
      <c r="J232" s="74"/>
      <c r="K232" s="74"/>
      <c r="L232" s="74"/>
      <c r="M232" s="74"/>
      <c r="N232" s="74"/>
      <c r="O232" s="74"/>
      <c r="P232" s="74"/>
      <c r="Q232" s="74"/>
      <c r="R232" s="74"/>
      <c r="S232" s="74"/>
      <c r="T232" s="74"/>
      <c r="U232" s="74"/>
      <c r="V232" s="74"/>
      <c r="W232" s="74"/>
      <c r="X232" s="74"/>
      <c r="Y232" s="74"/>
      <c r="Z232" s="74"/>
      <c r="AA232" s="74"/>
      <c r="AB232" s="74"/>
    </row>
    <row r="233" spans="1:28" ht="12" customHeight="1">
      <c r="A233" s="105"/>
      <c r="B233" s="106"/>
      <c r="C233" s="107"/>
      <c r="D233" s="108"/>
      <c r="E233" s="107"/>
      <c r="F233" s="107"/>
      <c r="G233" s="35"/>
      <c r="H233" s="104"/>
      <c r="I233" s="35"/>
      <c r="J233" s="74"/>
      <c r="K233" s="74"/>
      <c r="L233" s="74"/>
      <c r="M233" s="74"/>
      <c r="N233" s="74"/>
      <c r="O233" s="74"/>
      <c r="P233" s="74"/>
      <c r="Q233" s="74"/>
      <c r="R233" s="74"/>
      <c r="S233" s="74"/>
      <c r="T233" s="74"/>
      <c r="U233" s="74"/>
      <c r="V233" s="74"/>
      <c r="W233" s="74"/>
      <c r="X233" s="74"/>
      <c r="Y233" s="74"/>
      <c r="Z233" s="74"/>
      <c r="AA233" s="74"/>
      <c r="AB233" s="74"/>
    </row>
    <row r="234" spans="1:28" ht="12" customHeight="1">
      <c r="A234" s="105"/>
      <c r="B234" s="106"/>
      <c r="C234" s="107"/>
      <c r="D234" s="108"/>
      <c r="E234" s="107"/>
      <c r="F234" s="107"/>
      <c r="G234" s="35"/>
      <c r="H234" s="104"/>
      <c r="I234" s="35"/>
      <c r="J234" s="74"/>
      <c r="K234" s="74"/>
      <c r="L234" s="74"/>
      <c r="M234" s="74"/>
      <c r="N234" s="74"/>
      <c r="O234" s="74"/>
      <c r="P234" s="74"/>
      <c r="Q234" s="74"/>
      <c r="R234" s="74"/>
      <c r="S234" s="74"/>
      <c r="T234" s="74"/>
      <c r="U234" s="74"/>
      <c r="V234" s="74"/>
      <c r="W234" s="74"/>
      <c r="X234" s="74"/>
      <c r="Y234" s="74"/>
      <c r="Z234" s="74"/>
      <c r="AA234" s="74"/>
      <c r="AB234" s="74"/>
    </row>
    <row r="235" spans="1:28" ht="12" customHeight="1">
      <c r="A235" s="105"/>
      <c r="B235" s="106"/>
      <c r="C235" s="107"/>
      <c r="D235" s="108"/>
      <c r="E235" s="107"/>
      <c r="F235" s="107"/>
      <c r="G235" s="35"/>
      <c r="H235" s="104"/>
      <c r="I235" s="35"/>
      <c r="J235" s="74"/>
      <c r="K235" s="74"/>
      <c r="L235" s="74"/>
      <c r="M235" s="74"/>
      <c r="N235" s="74"/>
      <c r="O235" s="74"/>
      <c r="P235" s="74"/>
      <c r="Q235" s="74"/>
      <c r="R235" s="74"/>
      <c r="S235" s="74"/>
      <c r="T235" s="74"/>
      <c r="U235" s="74"/>
      <c r="V235" s="74"/>
      <c r="W235" s="74"/>
      <c r="X235" s="74"/>
      <c r="Y235" s="74"/>
      <c r="Z235" s="74"/>
      <c r="AA235" s="74"/>
      <c r="AB235" s="74"/>
    </row>
    <row r="236" spans="1:28" ht="12" customHeight="1">
      <c r="A236" s="105"/>
      <c r="B236" s="106"/>
      <c r="C236" s="107"/>
      <c r="D236" s="108"/>
      <c r="E236" s="107"/>
      <c r="F236" s="107"/>
      <c r="G236" s="35"/>
      <c r="H236" s="104"/>
      <c r="I236" s="35"/>
      <c r="J236" s="74"/>
      <c r="K236" s="74"/>
      <c r="L236" s="74"/>
      <c r="M236" s="74"/>
      <c r="N236" s="74"/>
      <c r="O236" s="74"/>
      <c r="P236" s="74"/>
      <c r="Q236" s="74"/>
      <c r="R236" s="74"/>
      <c r="S236" s="74"/>
      <c r="T236" s="74"/>
      <c r="U236" s="74"/>
      <c r="V236" s="74"/>
      <c r="W236" s="74"/>
      <c r="X236" s="74"/>
      <c r="Y236" s="74"/>
      <c r="Z236" s="74"/>
      <c r="AA236" s="74"/>
      <c r="AB236" s="74"/>
    </row>
    <row r="237" spans="1:28" ht="12" customHeight="1">
      <c r="A237" s="105"/>
      <c r="B237" s="106"/>
      <c r="C237" s="107"/>
      <c r="D237" s="108"/>
      <c r="E237" s="107"/>
      <c r="F237" s="107"/>
      <c r="G237" s="35"/>
      <c r="H237" s="104"/>
      <c r="I237" s="35"/>
      <c r="J237" s="74"/>
      <c r="K237" s="74"/>
      <c r="L237" s="74"/>
      <c r="M237" s="74"/>
      <c r="N237" s="74"/>
      <c r="O237" s="74"/>
      <c r="P237" s="74"/>
      <c r="Q237" s="74"/>
      <c r="R237" s="74"/>
      <c r="S237" s="74"/>
      <c r="T237" s="74"/>
      <c r="U237" s="74"/>
      <c r="V237" s="74"/>
      <c r="W237" s="74"/>
      <c r="X237" s="74"/>
      <c r="Y237" s="74"/>
      <c r="Z237" s="74"/>
      <c r="AA237" s="74"/>
      <c r="AB237" s="74"/>
    </row>
    <row r="238" spans="1:28" ht="12" customHeight="1">
      <c r="A238" s="105"/>
      <c r="B238" s="106"/>
      <c r="C238" s="107"/>
      <c r="D238" s="108"/>
      <c r="E238" s="107"/>
      <c r="F238" s="107"/>
      <c r="G238" s="35"/>
      <c r="H238" s="104"/>
      <c r="I238" s="35"/>
      <c r="J238" s="74"/>
      <c r="K238" s="74"/>
      <c r="L238" s="74"/>
      <c r="M238" s="74"/>
      <c r="N238" s="74"/>
      <c r="O238" s="74"/>
      <c r="P238" s="74"/>
      <c r="Q238" s="74"/>
      <c r="R238" s="74"/>
      <c r="S238" s="74"/>
      <c r="T238" s="74"/>
      <c r="U238" s="74"/>
      <c r="V238" s="74"/>
      <c r="W238" s="74"/>
      <c r="X238" s="74"/>
      <c r="Y238" s="74"/>
      <c r="Z238" s="74"/>
      <c r="AA238" s="74"/>
      <c r="AB238" s="74"/>
    </row>
    <row r="239" spans="1:28" ht="12" customHeight="1">
      <c r="A239" s="105"/>
      <c r="B239" s="106"/>
      <c r="C239" s="107"/>
      <c r="D239" s="108"/>
      <c r="E239" s="107"/>
      <c r="F239" s="107"/>
      <c r="G239" s="35"/>
      <c r="H239" s="104"/>
      <c r="I239" s="35"/>
      <c r="J239" s="74"/>
      <c r="K239" s="74"/>
      <c r="L239" s="74"/>
      <c r="M239" s="74"/>
      <c r="N239" s="74"/>
      <c r="O239" s="74"/>
      <c r="P239" s="74"/>
      <c r="Q239" s="74"/>
      <c r="R239" s="74"/>
      <c r="S239" s="74"/>
      <c r="T239" s="74"/>
      <c r="U239" s="74"/>
      <c r="V239" s="74"/>
      <c r="W239" s="74"/>
      <c r="X239" s="74"/>
      <c r="Y239" s="74"/>
      <c r="Z239" s="74"/>
      <c r="AA239" s="74"/>
      <c r="AB239" s="74"/>
    </row>
    <row r="240" spans="1:28" ht="12" customHeight="1">
      <c r="A240" s="105"/>
      <c r="B240" s="106"/>
      <c r="C240" s="107"/>
      <c r="D240" s="108"/>
      <c r="E240" s="107"/>
      <c r="F240" s="107"/>
      <c r="G240" s="35"/>
      <c r="H240" s="104"/>
      <c r="I240" s="35"/>
      <c r="J240" s="74"/>
      <c r="K240" s="74"/>
      <c r="L240" s="74"/>
      <c r="M240" s="74"/>
      <c r="N240" s="74"/>
      <c r="O240" s="74"/>
      <c r="P240" s="74"/>
      <c r="Q240" s="74"/>
      <c r="R240" s="74"/>
      <c r="S240" s="74"/>
      <c r="T240" s="74"/>
      <c r="U240" s="74"/>
      <c r="V240" s="74"/>
      <c r="W240" s="74"/>
      <c r="X240" s="74"/>
      <c r="Y240" s="74"/>
      <c r="Z240" s="74"/>
      <c r="AA240" s="74"/>
      <c r="AB240" s="74"/>
    </row>
    <row r="241" spans="1:28" ht="12" customHeight="1">
      <c r="A241" s="105"/>
      <c r="B241" s="106"/>
      <c r="C241" s="107"/>
      <c r="D241" s="108"/>
      <c r="E241" s="107"/>
      <c r="F241" s="107"/>
      <c r="G241" s="35"/>
      <c r="H241" s="104"/>
      <c r="I241" s="35"/>
      <c r="J241" s="74"/>
      <c r="K241" s="74"/>
      <c r="L241" s="74"/>
      <c r="M241" s="74"/>
      <c r="N241" s="74"/>
      <c r="O241" s="74"/>
      <c r="P241" s="74"/>
      <c r="Q241" s="74"/>
      <c r="R241" s="74"/>
      <c r="S241" s="74"/>
      <c r="T241" s="74"/>
      <c r="U241" s="74"/>
      <c r="V241" s="74"/>
      <c r="W241" s="74"/>
      <c r="X241" s="74"/>
      <c r="Y241" s="74"/>
      <c r="Z241" s="74"/>
      <c r="AA241" s="74"/>
      <c r="AB241" s="74"/>
    </row>
    <row r="242" spans="1:28" ht="12" customHeight="1">
      <c r="A242" s="105"/>
      <c r="B242" s="106"/>
      <c r="C242" s="107"/>
      <c r="D242" s="108"/>
      <c r="E242" s="107"/>
      <c r="F242" s="107"/>
      <c r="G242" s="35"/>
      <c r="H242" s="104"/>
      <c r="I242" s="35"/>
      <c r="J242" s="74"/>
      <c r="K242" s="74"/>
      <c r="L242" s="74"/>
      <c r="M242" s="74"/>
      <c r="N242" s="74"/>
      <c r="O242" s="74"/>
      <c r="P242" s="74"/>
      <c r="Q242" s="74"/>
      <c r="R242" s="74"/>
      <c r="S242" s="74"/>
      <c r="T242" s="74"/>
      <c r="U242" s="74"/>
      <c r="V242" s="74"/>
      <c r="W242" s="74"/>
      <c r="X242" s="74"/>
      <c r="Y242" s="74"/>
      <c r="Z242" s="74"/>
      <c r="AA242" s="74"/>
      <c r="AB242" s="74"/>
    </row>
    <row r="243" spans="1:28" ht="12" customHeight="1">
      <c r="A243" s="105"/>
      <c r="B243" s="106"/>
      <c r="C243" s="107"/>
      <c r="D243" s="108"/>
      <c r="E243" s="107"/>
      <c r="F243" s="107"/>
      <c r="G243" s="35"/>
      <c r="H243" s="104"/>
      <c r="I243" s="35"/>
      <c r="J243" s="74"/>
      <c r="K243" s="74"/>
      <c r="L243" s="74"/>
      <c r="M243" s="74"/>
      <c r="N243" s="74"/>
      <c r="O243" s="74"/>
      <c r="P243" s="74"/>
      <c r="Q243" s="74"/>
      <c r="R243" s="74"/>
      <c r="S243" s="74"/>
      <c r="T243" s="74"/>
      <c r="U243" s="74"/>
      <c r="V243" s="74"/>
      <c r="W243" s="74"/>
      <c r="X243" s="74"/>
      <c r="Y243" s="74"/>
      <c r="Z243" s="74"/>
      <c r="AA243" s="74"/>
      <c r="AB243" s="74"/>
    </row>
    <row r="244" spans="1:28" ht="12" customHeight="1">
      <c r="A244" s="105"/>
      <c r="B244" s="106"/>
      <c r="C244" s="107"/>
      <c r="D244" s="108"/>
      <c r="E244" s="107"/>
      <c r="F244" s="107"/>
      <c r="G244" s="35"/>
      <c r="H244" s="104"/>
      <c r="I244" s="35"/>
      <c r="J244" s="74"/>
      <c r="K244" s="74"/>
      <c r="L244" s="74"/>
      <c r="M244" s="74"/>
      <c r="N244" s="74"/>
      <c r="O244" s="74"/>
      <c r="P244" s="74"/>
      <c r="Q244" s="74"/>
      <c r="R244" s="74"/>
      <c r="S244" s="74"/>
      <c r="T244" s="74"/>
      <c r="U244" s="74"/>
      <c r="V244" s="74"/>
      <c r="W244" s="74"/>
      <c r="X244" s="74"/>
      <c r="Y244" s="74"/>
      <c r="Z244" s="74"/>
      <c r="AA244" s="74"/>
      <c r="AB244" s="74"/>
    </row>
    <row r="245" spans="1:28" ht="12" customHeight="1">
      <c r="A245" s="105"/>
      <c r="B245" s="106"/>
      <c r="C245" s="107"/>
      <c r="D245" s="108"/>
      <c r="E245" s="107"/>
      <c r="F245" s="107"/>
      <c r="G245" s="35"/>
      <c r="H245" s="104"/>
      <c r="I245" s="35"/>
      <c r="J245" s="74"/>
      <c r="K245" s="74"/>
      <c r="L245" s="74"/>
      <c r="M245" s="74"/>
      <c r="N245" s="74"/>
      <c r="O245" s="74"/>
      <c r="P245" s="74"/>
      <c r="Q245" s="74"/>
      <c r="R245" s="74"/>
      <c r="S245" s="74"/>
      <c r="T245" s="74"/>
      <c r="U245" s="74"/>
      <c r="V245" s="74"/>
      <c r="W245" s="74"/>
      <c r="X245" s="74"/>
      <c r="Y245" s="74"/>
      <c r="Z245" s="74"/>
      <c r="AA245" s="74"/>
      <c r="AB245" s="74"/>
    </row>
    <row r="246" spans="1:28" ht="12" customHeight="1">
      <c r="A246" s="105"/>
      <c r="B246" s="106"/>
      <c r="C246" s="107"/>
      <c r="D246" s="108"/>
      <c r="E246" s="107"/>
      <c r="F246" s="107"/>
      <c r="G246" s="35"/>
      <c r="H246" s="104"/>
      <c r="I246" s="35"/>
      <c r="J246" s="74"/>
      <c r="K246" s="74"/>
      <c r="L246" s="74"/>
      <c r="M246" s="74"/>
      <c r="N246" s="74"/>
      <c r="O246" s="74"/>
      <c r="P246" s="74"/>
      <c r="Q246" s="74"/>
      <c r="R246" s="74"/>
      <c r="S246" s="74"/>
      <c r="T246" s="74"/>
      <c r="U246" s="74"/>
      <c r="V246" s="74"/>
      <c r="W246" s="74"/>
      <c r="X246" s="74"/>
      <c r="Y246" s="74"/>
      <c r="Z246" s="74"/>
      <c r="AA246" s="74"/>
      <c r="AB246" s="74"/>
    </row>
    <row r="247" spans="1:28" ht="12" customHeight="1">
      <c r="A247" s="105"/>
      <c r="B247" s="106"/>
      <c r="C247" s="107"/>
      <c r="D247" s="108"/>
      <c r="E247" s="107"/>
      <c r="F247" s="107"/>
      <c r="G247" s="35"/>
      <c r="H247" s="104"/>
      <c r="I247" s="35"/>
      <c r="J247" s="74"/>
      <c r="K247" s="74"/>
      <c r="L247" s="74"/>
      <c r="M247" s="74"/>
      <c r="N247" s="74"/>
      <c r="O247" s="74"/>
      <c r="P247" s="74"/>
      <c r="Q247" s="74"/>
      <c r="R247" s="74"/>
      <c r="S247" s="74"/>
      <c r="T247" s="74"/>
      <c r="U247" s="74"/>
      <c r="V247" s="74"/>
      <c r="W247" s="74"/>
      <c r="X247" s="74"/>
      <c r="Y247" s="74"/>
      <c r="Z247" s="74"/>
      <c r="AA247" s="74"/>
      <c r="AB247" s="74"/>
    </row>
    <row r="248" spans="1:28" ht="12" customHeight="1">
      <c r="A248" s="105"/>
      <c r="B248" s="106"/>
      <c r="C248" s="107"/>
      <c r="D248" s="108"/>
      <c r="E248" s="107"/>
      <c r="F248" s="107"/>
      <c r="G248" s="35"/>
      <c r="H248" s="104"/>
      <c r="I248" s="35"/>
      <c r="J248" s="74"/>
      <c r="K248" s="74"/>
      <c r="L248" s="74"/>
      <c r="M248" s="74"/>
      <c r="N248" s="74"/>
      <c r="O248" s="74"/>
      <c r="P248" s="74"/>
      <c r="Q248" s="74"/>
      <c r="R248" s="74"/>
      <c r="S248" s="74"/>
      <c r="T248" s="74"/>
      <c r="U248" s="74"/>
      <c r="V248" s="74"/>
      <c r="W248" s="74"/>
      <c r="X248" s="74"/>
      <c r="Y248" s="74"/>
      <c r="Z248" s="74"/>
      <c r="AA248" s="74"/>
      <c r="AB248" s="74"/>
    </row>
    <row r="249" spans="1:28" ht="12" customHeight="1">
      <c r="A249" s="105"/>
      <c r="B249" s="106"/>
      <c r="C249" s="107"/>
      <c r="D249" s="108"/>
      <c r="E249" s="107"/>
      <c r="F249" s="107"/>
      <c r="G249" s="35"/>
      <c r="H249" s="104"/>
      <c r="I249" s="35"/>
      <c r="J249" s="74"/>
      <c r="K249" s="74"/>
      <c r="L249" s="74"/>
      <c r="M249" s="74"/>
      <c r="N249" s="74"/>
      <c r="O249" s="74"/>
      <c r="P249" s="74"/>
      <c r="Q249" s="74"/>
      <c r="R249" s="74"/>
      <c r="S249" s="74"/>
      <c r="T249" s="74"/>
      <c r="U249" s="74"/>
      <c r="V249" s="74"/>
      <c r="W249" s="74"/>
      <c r="X249" s="74"/>
      <c r="Y249" s="74"/>
      <c r="Z249" s="74"/>
      <c r="AA249" s="74"/>
      <c r="AB249" s="74"/>
    </row>
    <row r="250" spans="1:28" ht="12" customHeight="1">
      <c r="A250" s="105"/>
      <c r="B250" s="106"/>
      <c r="C250" s="107"/>
      <c r="D250" s="108"/>
      <c r="E250" s="107"/>
      <c r="F250" s="107"/>
      <c r="G250" s="35"/>
      <c r="H250" s="104"/>
      <c r="I250" s="35"/>
      <c r="J250" s="74"/>
      <c r="K250" s="74"/>
      <c r="L250" s="74"/>
      <c r="M250" s="74"/>
      <c r="N250" s="74"/>
      <c r="O250" s="74"/>
      <c r="P250" s="74"/>
      <c r="Q250" s="74"/>
      <c r="R250" s="74"/>
      <c r="S250" s="74"/>
      <c r="T250" s="74"/>
      <c r="U250" s="74"/>
      <c r="V250" s="74"/>
      <c r="W250" s="74"/>
      <c r="X250" s="74"/>
      <c r="Y250" s="74"/>
      <c r="Z250" s="74"/>
      <c r="AA250" s="74"/>
      <c r="AB250" s="74"/>
    </row>
    <row r="251" spans="1:28" ht="12" customHeight="1">
      <c r="A251" s="105"/>
      <c r="B251" s="106"/>
      <c r="C251" s="107"/>
      <c r="D251" s="108"/>
      <c r="E251" s="107"/>
      <c r="F251" s="107"/>
      <c r="G251" s="35"/>
      <c r="H251" s="104"/>
      <c r="I251" s="35"/>
      <c r="J251" s="74"/>
      <c r="K251" s="74"/>
      <c r="L251" s="74"/>
      <c r="M251" s="74"/>
      <c r="N251" s="74"/>
      <c r="O251" s="74"/>
      <c r="P251" s="74"/>
      <c r="Q251" s="74"/>
      <c r="R251" s="74"/>
      <c r="S251" s="74"/>
      <c r="T251" s="74"/>
      <c r="U251" s="74"/>
      <c r="V251" s="74"/>
      <c r="W251" s="74"/>
      <c r="X251" s="74"/>
      <c r="Y251" s="74"/>
      <c r="Z251" s="74"/>
      <c r="AA251" s="74"/>
      <c r="AB251" s="74"/>
    </row>
    <row r="252" spans="1:28" ht="12" customHeight="1">
      <c r="A252" s="105"/>
      <c r="B252" s="106"/>
      <c r="C252" s="107"/>
      <c r="D252" s="108"/>
      <c r="E252" s="107"/>
      <c r="F252" s="107"/>
      <c r="G252" s="35"/>
      <c r="H252" s="104"/>
      <c r="I252" s="35"/>
      <c r="J252" s="74"/>
      <c r="K252" s="74"/>
      <c r="L252" s="74"/>
      <c r="M252" s="74"/>
      <c r="N252" s="74"/>
      <c r="O252" s="74"/>
      <c r="P252" s="74"/>
      <c r="Q252" s="74"/>
      <c r="R252" s="74"/>
      <c r="S252" s="74"/>
      <c r="T252" s="74"/>
      <c r="U252" s="74"/>
      <c r="V252" s="74"/>
      <c r="W252" s="74"/>
      <c r="X252" s="74"/>
      <c r="Y252" s="74"/>
      <c r="Z252" s="74"/>
      <c r="AA252" s="74"/>
      <c r="AB252" s="74"/>
    </row>
    <row r="253" spans="1:28" ht="12" customHeight="1">
      <c r="A253" s="105"/>
      <c r="B253" s="106"/>
      <c r="C253" s="107"/>
      <c r="D253" s="108"/>
      <c r="E253" s="107"/>
      <c r="F253" s="107"/>
      <c r="G253" s="35"/>
      <c r="H253" s="104"/>
      <c r="I253" s="35"/>
      <c r="J253" s="74"/>
      <c r="K253" s="74"/>
      <c r="L253" s="74"/>
      <c r="M253" s="74"/>
      <c r="N253" s="74"/>
      <c r="O253" s="74"/>
      <c r="P253" s="74"/>
      <c r="Q253" s="74"/>
      <c r="R253" s="74"/>
      <c r="S253" s="74"/>
      <c r="T253" s="74"/>
      <c r="U253" s="74"/>
      <c r="V253" s="74"/>
      <c r="W253" s="74"/>
      <c r="X253" s="74"/>
      <c r="Y253" s="74"/>
      <c r="Z253" s="74"/>
      <c r="AA253" s="74"/>
      <c r="AB253" s="74"/>
    </row>
    <row r="254" spans="1:28" ht="12" customHeight="1">
      <c r="A254" s="105"/>
      <c r="B254" s="106"/>
      <c r="C254" s="107"/>
      <c r="D254" s="108"/>
      <c r="E254" s="107"/>
      <c r="F254" s="107"/>
      <c r="G254" s="35"/>
      <c r="H254" s="104"/>
      <c r="I254" s="35"/>
      <c r="J254" s="74"/>
      <c r="K254" s="74"/>
      <c r="L254" s="74"/>
      <c r="M254" s="74"/>
      <c r="N254" s="74"/>
      <c r="O254" s="74"/>
      <c r="P254" s="74"/>
      <c r="Q254" s="74"/>
      <c r="R254" s="74"/>
      <c r="S254" s="74"/>
      <c r="T254" s="74"/>
      <c r="U254" s="74"/>
      <c r="V254" s="74"/>
      <c r="W254" s="74"/>
      <c r="X254" s="74"/>
      <c r="Y254" s="74"/>
      <c r="Z254" s="74"/>
      <c r="AA254" s="74"/>
      <c r="AB254" s="74"/>
    </row>
    <row r="255" spans="1:28" ht="12" customHeight="1">
      <c r="A255" s="105"/>
      <c r="B255" s="106"/>
      <c r="C255" s="107"/>
      <c r="D255" s="108"/>
      <c r="E255" s="107"/>
      <c r="F255" s="107"/>
      <c r="G255" s="35"/>
      <c r="H255" s="104"/>
      <c r="I255" s="35"/>
      <c r="J255" s="74"/>
      <c r="K255" s="74"/>
      <c r="L255" s="74"/>
      <c r="M255" s="74"/>
      <c r="N255" s="74"/>
      <c r="O255" s="74"/>
      <c r="P255" s="74"/>
      <c r="Q255" s="74"/>
      <c r="R255" s="74"/>
      <c r="S255" s="74"/>
      <c r="T255" s="74"/>
      <c r="U255" s="74"/>
      <c r="V255" s="74"/>
      <c r="W255" s="74"/>
      <c r="X255" s="74"/>
      <c r="Y255" s="74"/>
      <c r="Z255" s="74"/>
      <c r="AA255" s="74"/>
      <c r="AB255" s="74"/>
    </row>
    <row r="256" spans="1:28" ht="12" customHeight="1">
      <c r="A256" s="105"/>
      <c r="B256" s="106"/>
      <c r="C256" s="107"/>
      <c r="D256" s="108"/>
      <c r="E256" s="107"/>
      <c r="F256" s="107"/>
      <c r="G256" s="35"/>
      <c r="H256" s="104"/>
      <c r="I256" s="35"/>
      <c r="J256" s="74"/>
      <c r="K256" s="74"/>
      <c r="L256" s="74"/>
      <c r="M256" s="74"/>
      <c r="N256" s="74"/>
      <c r="O256" s="74"/>
      <c r="P256" s="74"/>
      <c r="Q256" s="74"/>
      <c r="R256" s="74"/>
      <c r="S256" s="74"/>
      <c r="T256" s="74"/>
      <c r="U256" s="74"/>
      <c r="V256" s="74"/>
      <c r="W256" s="74"/>
      <c r="X256" s="74"/>
      <c r="Y256" s="74"/>
      <c r="Z256" s="74"/>
      <c r="AA256" s="74"/>
      <c r="AB256" s="74"/>
    </row>
    <row r="257" spans="1:28" ht="12" customHeight="1">
      <c r="A257" s="105"/>
      <c r="B257" s="106"/>
      <c r="C257" s="107"/>
      <c r="D257" s="108"/>
      <c r="E257" s="107"/>
      <c r="F257" s="107"/>
      <c r="G257" s="35"/>
      <c r="H257" s="104"/>
      <c r="I257" s="35"/>
      <c r="J257" s="74"/>
      <c r="K257" s="74"/>
      <c r="L257" s="74"/>
      <c r="M257" s="74"/>
      <c r="N257" s="74"/>
      <c r="O257" s="74"/>
      <c r="P257" s="74"/>
      <c r="Q257" s="74"/>
      <c r="R257" s="74"/>
      <c r="S257" s="74"/>
      <c r="T257" s="74"/>
      <c r="U257" s="74"/>
      <c r="V257" s="74"/>
      <c r="W257" s="74"/>
      <c r="X257" s="74"/>
      <c r="Y257" s="74"/>
      <c r="Z257" s="74"/>
      <c r="AA257" s="74"/>
      <c r="AB257" s="74"/>
    </row>
    <row r="258" spans="1:28" ht="12" customHeight="1">
      <c r="A258" s="105"/>
      <c r="B258" s="106"/>
      <c r="C258" s="107"/>
      <c r="D258" s="108"/>
      <c r="E258" s="107"/>
      <c r="F258" s="107"/>
      <c r="G258" s="35"/>
      <c r="H258" s="104"/>
      <c r="I258" s="35"/>
      <c r="J258" s="74"/>
      <c r="K258" s="74"/>
      <c r="L258" s="74"/>
      <c r="M258" s="74"/>
      <c r="N258" s="74"/>
      <c r="O258" s="74"/>
      <c r="P258" s="74"/>
      <c r="Q258" s="74"/>
      <c r="R258" s="74"/>
      <c r="S258" s="74"/>
      <c r="T258" s="74"/>
      <c r="U258" s="74"/>
      <c r="V258" s="74"/>
      <c r="W258" s="74"/>
      <c r="X258" s="74"/>
      <c r="Y258" s="74"/>
      <c r="Z258" s="74"/>
      <c r="AA258" s="74"/>
      <c r="AB258" s="74"/>
    </row>
    <row r="259" spans="1:28" ht="12" customHeight="1">
      <c r="A259" s="105"/>
      <c r="B259" s="106"/>
      <c r="C259" s="107"/>
      <c r="D259" s="108"/>
      <c r="E259" s="107"/>
      <c r="F259" s="107"/>
      <c r="G259" s="35"/>
      <c r="H259" s="104"/>
      <c r="I259" s="35"/>
      <c r="J259" s="74"/>
      <c r="K259" s="74"/>
      <c r="L259" s="74"/>
      <c r="M259" s="74"/>
      <c r="N259" s="74"/>
      <c r="O259" s="74"/>
      <c r="P259" s="74"/>
      <c r="Q259" s="74"/>
      <c r="R259" s="74"/>
      <c r="S259" s="74"/>
      <c r="T259" s="74"/>
      <c r="U259" s="74"/>
      <c r="V259" s="74"/>
      <c r="W259" s="74"/>
      <c r="X259" s="74"/>
      <c r="Y259" s="74"/>
      <c r="Z259" s="74"/>
      <c r="AA259" s="74"/>
      <c r="AB259" s="74"/>
    </row>
    <row r="260" spans="1:28" ht="12" customHeight="1">
      <c r="A260" s="105"/>
      <c r="B260" s="106"/>
      <c r="C260" s="107"/>
      <c r="D260" s="108"/>
      <c r="E260" s="107"/>
      <c r="F260" s="107"/>
      <c r="G260" s="35"/>
      <c r="H260" s="104"/>
      <c r="I260" s="35"/>
      <c r="J260" s="74"/>
      <c r="K260" s="74"/>
      <c r="L260" s="74"/>
      <c r="M260" s="74"/>
      <c r="N260" s="74"/>
      <c r="O260" s="74"/>
      <c r="P260" s="74"/>
      <c r="Q260" s="74"/>
      <c r="R260" s="74"/>
      <c r="S260" s="74"/>
      <c r="T260" s="74"/>
      <c r="U260" s="74"/>
      <c r="V260" s="74"/>
      <c r="W260" s="74"/>
      <c r="X260" s="74"/>
      <c r="Y260" s="74"/>
      <c r="Z260" s="74"/>
      <c r="AA260" s="74"/>
      <c r="AB260" s="74"/>
    </row>
    <row r="261" spans="1:28" ht="12" customHeight="1">
      <c r="A261" s="105"/>
      <c r="B261" s="106"/>
      <c r="C261" s="107"/>
      <c r="D261" s="108"/>
      <c r="E261" s="107"/>
      <c r="F261" s="107"/>
      <c r="G261" s="35"/>
      <c r="H261" s="104"/>
      <c r="I261" s="35"/>
      <c r="J261" s="74"/>
      <c r="K261" s="74"/>
      <c r="L261" s="74"/>
      <c r="M261" s="74"/>
      <c r="N261" s="74"/>
      <c r="O261" s="74"/>
      <c r="P261" s="74"/>
      <c r="Q261" s="74"/>
      <c r="R261" s="74"/>
      <c r="S261" s="74"/>
      <c r="T261" s="74"/>
      <c r="U261" s="74"/>
      <c r="V261" s="74"/>
      <c r="W261" s="74"/>
      <c r="X261" s="74"/>
      <c r="Y261" s="74"/>
      <c r="Z261" s="74"/>
      <c r="AA261" s="74"/>
      <c r="AB261" s="74"/>
    </row>
    <row r="262" spans="1:28" ht="12" customHeight="1">
      <c r="A262" s="105"/>
      <c r="B262" s="106"/>
      <c r="C262" s="107"/>
      <c r="D262" s="108"/>
      <c r="E262" s="107"/>
      <c r="F262" s="107"/>
      <c r="G262" s="35"/>
      <c r="H262" s="104"/>
      <c r="I262" s="35"/>
      <c r="J262" s="74"/>
      <c r="K262" s="74"/>
      <c r="L262" s="74"/>
      <c r="M262" s="74"/>
      <c r="N262" s="74"/>
      <c r="O262" s="74"/>
      <c r="P262" s="74"/>
      <c r="Q262" s="74"/>
      <c r="R262" s="74"/>
      <c r="S262" s="74"/>
      <c r="T262" s="74"/>
      <c r="U262" s="74"/>
      <c r="V262" s="74"/>
      <c r="W262" s="74"/>
      <c r="X262" s="74"/>
      <c r="Y262" s="74"/>
      <c r="Z262" s="74"/>
      <c r="AA262" s="74"/>
      <c r="AB262" s="74"/>
    </row>
    <row r="263" spans="1:28" ht="12" customHeight="1">
      <c r="A263" s="105"/>
      <c r="B263" s="106"/>
      <c r="C263" s="107"/>
      <c r="D263" s="108"/>
      <c r="E263" s="107"/>
      <c r="F263" s="107"/>
      <c r="G263" s="35"/>
      <c r="H263" s="104"/>
      <c r="I263" s="35"/>
      <c r="J263" s="74"/>
      <c r="K263" s="74"/>
      <c r="L263" s="74"/>
      <c r="M263" s="74"/>
      <c r="N263" s="74"/>
      <c r="O263" s="74"/>
      <c r="P263" s="74"/>
      <c r="Q263" s="74"/>
      <c r="R263" s="74"/>
      <c r="S263" s="74"/>
      <c r="T263" s="74"/>
      <c r="U263" s="74"/>
      <c r="V263" s="74"/>
      <c r="W263" s="74"/>
      <c r="X263" s="74"/>
      <c r="Y263" s="74"/>
      <c r="Z263" s="74"/>
      <c r="AA263" s="74"/>
      <c r="AB263" s="74"/>
    </row>
    <row r="264" spans="1:28" ht="12" customHeight="1">
      <c r="A264" s="105"/>
      <c r="B264" s="106"/>
      <c r="C264" s="107"/>
      <c r="D264" s="108"/>
      <c r="E264" s="107"/>
      <c r="F264" s="107"/>
      <c r="G264" s="35"/>
      <c r="H264" s="104"/>
      <c r="I264" s="35"/>
      <c r="J264" s="74"/>
      <c r="K264" s="74"/>
      <c r="L264" s="74"/>
      <c r="M264" s="74"/>
      <c r="N264" s="74"/>
      <c r="O264" s="74"/>
      <c r="P264" s="74"/>
      <c r="Q264" s="74"/>
      <c r="R264" s="74"/>
      <c r="S264" s="74"/>
      <c r="T264" s="74"/>
      <c r="U264" s="74"/>
      <c r="V264" s="74"/>
      <c r="W264" s="74"/>
      <c r="X264" s="74"/>
      <c r="Y264" s="74"/>
      <c r="Z264" s="74"/>
      <c r="AA264" s="74"/>
      <c r="AB264" s="74"/>
    </row>
    <row r="265" spans="1:28" ht="12" customHeight="1">
      <c r="A265" s="105"/>
      <c r="B265" s="106"/>
      <c r="C265" s="107"/>
      <c r="D265" s="108"/>
      <c r="E265" s="107"/>
      <c r="F265" s="107"/>
      <c r="G265" s="35"/>
      <c r="H265" s="104"/>
      <c r="I265" s="35"/>
      <c r="J265" s="74"/>
      <c r="K265" s="74"/>
      <c r="L265" s="74"/>
      <c r="M265" s="74"/>
      <c r="N265" s="74"/>
      <c r="O265" s="74"/>
      <c r="P265" s="74"/>
      <c r="Q265" s="74"/>
      <c r="R265" s="74"/>
      <c r="S265" s="74"/>
      <c r="T265" s="74"/>
      <c r="U265" s="74"/>
      <c r="V265" s="74"/>
      <c r="W265" s="74"/>
      <c r="X265" s="74"/>
      <c r="Y265" s="74"/>
      <c r="Z265" s="74"/>
      <c r="AA265" s="74"/>
      <c r="AB265" s="74"/>
    </row>
    <row r="266" spans="1:28" ht="12" customHeight="1">
      <c r="A266" s="105"/>
      <c r="B266" s="106"/>
      <c r="C266" s="107"/>
      <c r="D266" s="108"/>
      <c r="E266" s="107"/>
      <c r="F266" s="107"/>
      <c r="G266" s="35"/>
      <c r="H266" s="104"/>
      <c r="I266" s="35"/>
      <c r="J266" s="74"/>
      <c r="K266" s="74"/>
      <c r="L266" s="74"/>
      <c r="M266" s="74"/>
      <c r="N266" s="74"/>
      <c r="O266" s="74"/>
      <c r="P266" s="74"/>
      <c r="Q266" s="74"/>
      <c r="R266" s="74"/>
      <c r="S266" s="74"/>
      <c r="T266" s="74"/>
      <c r="U266" s="74"/>
      <c r="V266" s="74"/>
      <c r="W266" s="74"/>
      <c r="X266" s="74"/>
      <c r="Y266" s="74"/>
      <c r="Z266" s="74"/>
      <c r="AA266" s="74"/>
      <c r="AB266" s="74"/>
    </row>
    <row r="267" spans="1:28" ht="12" customHeight="1">
      <c r="A267" s="105"/>
      <c r="B267" s="106"/>
      <c r="C267" s="107"/>
      <c r="D267" s="108"/>
      <c r="E267" s="107"/>
      <c r="F267" s="107"/>
      <c r="G267" s="35"/>
      <c r="H267" s="104"/>
      <c r="I267" s="35"/>
      <c r="J267" s="74"/>
      <c r="K267" s="74"/>
      <c r="L267" s="74"/>
      <c r="M267" s="74"/>
      <c r="N267" s="74"/>
      <c r="O267" s="74"/>
      <c r="P267" s="74"/>
      <c r="Q267" s="74"/>
      <c r="R267" s="74"/>
      <c r="S267" s="74"/>
      <c r="T267" s="74"/>
      <c r="U267" s="74"/>
      <c r="V267" s="74"/>
      <c r="W267" s="74"/>
      <c r="X267" s="74"/>
      <c r="Y267" s="74"/>
      <c r="Z267" s="74"/>
      <c r="AA267" s="74"/>
      <c r="AB267" s="74"/>
    </row>
    <row r="268" spans="1:28" ht="12" customHeight="1">
      <c r="A268" s="105"/>
      <c r="B268" s="106"/>
      <c r="C268" s="107"/>
      <c r="D268" s="108"/>
      <c r="E268" s="107"/>
      <c r="F268" s="107"/>
      <c r="G268" s="35"/>
      <c r="H268" s="104"/>
      <c r="I268" s="35"/>
      <c r="J268" s="74"/>
      <c r="K268" s="74"/>
      <c r="L268" s="74"/>
      <c r="M268" s="74"/>
      <c r="N268" s="74"/>
      <c r="O268" s="74"/>
      <c r="P268" s="74"/>
      <c r="Q268" s="74"/>
      <c r="R268" s="74"/>
      <c r="S268" s="74"/>
      <c r="T268" s="74"/>
      <c r="U268" s="74"/>
      <c r="V268" s="74"/>
      <c r="W268" s="74"/>
      <c r="X268" s="74"/>
      <c r="Y268" s="74"/>
      <c r="Z268" s="74"/>
      <c r="AA268" s="74"/>
      <c r="AB268" s="74"/>
    </row>
    <row r="269" spans="1:28" ht="12" customHeight="1">
      <c r="A269" s="105"/>
      <c r="B269" s="106"/>
      <c r="C269" s="107"/>
      <c r="D269" s="108"/>
      <c r="E269" s="107"/>
      <c r="F269" s="107"/>
      <c r="G269" s="35"/>
      <c r="H269" s="104"/>
      <c r="I269" s="35"/>
      <c r="J269" s="74"/>
      <c r="K269" s="74"/>
      <c r="L269" s="74"/>
      <c r="M269" s="74"/>
      <c r="N269" s="74"/>
      <c r="O269" s="74"/>
      <c r="P269" s="74"/>
      <c r="Q269" s="74"/>
      <c r="R269" s="74"/>
      <c r="S269" s="74"/>
      <c r="T269" s="74"/>
      <c r="U269" s="74"/>
      <c r="V269" s="74"/>
      <c r="W269" s="74"/>
      <c r="X269" s="74"/>
      <c r="Y269" s="74"/>
      <c r="Z269" s="74"/>
      <c r="AA269" s="74"/>
      <c r="AB269" s="74"/>
    </row>
    <row r="270" spans="1:28" ht="12" customHeight="1">
      <c r="A270" s="105"/>
      <c r="B270" s="106"/>
      <c r="C270" s="107"/>
      <c r="D270" s="108"/>
      <c r="E270" s="107"/>
      <c r="F270" s="107"/>
      <c r="G270" s="35"/>
      <c r="H270" s="104"/>
      <c r="I270" s="35"/>
      <c r="J270" s="74"/>
      <c r="K270" s="74"/>
      <c r="L270" s="74"/>
      <c r="M270" s="74"/>
      <c r="N270" s="74"/>
      <c r="O270" s="74"/>
      <c r="P270" s="74"/>
      <c r="Q270" s="74"/>
      <c r="R270" s="74"/>
      <c r="S270" s="74"/>
      <c r="T270" s="74"/>
      <c r="U270" s="74"/>
      <c r="V270" s="74"/>
      <c r="W270" s="74"/>
      <c r="X270" s="74"/>
      <c r="Y270" s="74"/>
      <c r="Z270" s="74"/>
      <c r="AA270" s="74"/>
      <c r="AB270" s="74"/>
    </row>
    <row r="271" spans="1:28" ht="12" customHeight="1">
      <c r="A271" s="105"/>
      <c r="B271" s="106"/>
      <c r="C271" s="107"/>
      <c r="D271" s="108"/>
      <c r="E271" s="107"/>
      <c r="F271" s="107"/>
      <c r="G271" s="35"/>
      <c r="H271" s="104"/>
      <c r="I271" s="35"/>
      <c r="J271" s="74"/>
      <c r="K271" s="74"/>
      <c r="L271" s="74"/>
      <c r="M271" s="74"/>
      <c r="N271" s="74"/>
      <c r="O271" s="74"/>
      <c r="P271" s="74"/>
      <c r="Q271" s="74"/>
      <c r="R271" s="74"/>
      <c r="S271" s="74"/>
      <c r="T271" s="74"/>
      <c r="U271" s="74"/>
      <c r="V271" s="74"/>
      <c r="W271" s="74"/>
      <c r="X271" s="74"/>
      <c r="Y271" s="74"/>
      <c r="Z271" s="74"/>
      <c r="AA271" s="74"/>
      <c r="AB271" s="74"/>
    </row>
    <row r="272" spans="1:28" ht="12" customHeight="1">
      <c r="A272" s="105"/>
      <c r="B272" s="106"/>
      <c r="C272" s="107"/>
      <c r="D272" s="108"/>
      <c r="E272" s="107"/>
      <c r="F272" s="107"/>
      <c r="G272" s="35"/>
      <c r="H272" s="104"/>
      <c r="I272" s="35"/>
      <c r="J272" s="74"/>
      <c r="K272" s="74"/>
      <c r="L272" s="74"/>
      <c r="M272" s="74"/>
      <c r="N272" s="74"/>
      <c r="O272" s="74"/>
      <c r="P272" s="74"/>
      <c r="Q272" s="74"/>
      <c r="R272" s="74"/>
      <c r="S272" s="74"/>
      <c r="T272" s="74"/>
      <c r="U272" s="74"/>
      <c r="V272" s="74"/>
      <c r="W272" s="74"/>
      <c r="X272" s="74"/>
      <c r="Y272" s="74"/>
      <c r="Z272" s="74"/>
      <c r="AA272" s="74"/>
      <c r="AB272" s="74"/>
    </row>
    <row r="273" spans="1:28" ht="12" customHeight="1">
      <c r="A273" s="105"/>
      <c r="B273" s="106"/>
      <c r="C273" s="107"/>
      <c r="D273" s="108"/>
      <c r="E273" s="107"/>
      <c r="F273" s="107"/>
      <c r="G273" s="35"/>
      <c r="H273" s="104"/>
      <c r="I273" s="35"/>
      <c r="J273" s="74"/>
      <c r="K273" s="74"/>
      <c r="L273" s="74"/>
      <c r="M273" s="74"/>
      <c r="N273" s="74"/>
      <c r="O273" s="74"/>
      <c r="P273" s="74"/>
      <c r="Q273" s="74"/>
      <c r="R273" s="74"/>
      <c r="S273" s="74"/>
      <c r="T273" s="74"/>
      <c r="U273" s="74"/>
      <c r="V273" s="74"/>
      <c r="W273" s="74"/>
      <c r="X273" s="74"/>
      <c r="Y273" s="74"/>
      <c r="Z273" s="74"/>
      <c r="AA273" s="74"/>
      <c r="AB273" s="74"/>
    </row>
    <row r="274" spans="1:28" ht="12" customHeight="1">
      <c r="A274" s="105"/>
      <c r="B274" s="106"/>
      <c r="C274" s="107"/>
      <c r="D274" s="108"/>
      <c r="E274" s="107"/>
      <c r="F274" s="107"/>
      <c r="G274" s="35"/>
      <c r="H274" s="104"/>
      <c r="I274" s="35"/>
      <c r="J274" s="74"/>
      <c r="K274" s="74"/>
      <c r="L274" s="74"/>
      <c r="M274" s="74"/>
      <c r="N274" s="74"/>
      <c r="O274" s="74"/>
      <c r="P274" s="74"/>
      <c r="Q274" s="74"/>
      <c r="R274" s="74"/>
      <c r="S274" s="74"/>
      <c r="T274" s="74"/>
      <c r="U274" s="74"/>
      <c r="V274" s="74"/>
      <c r="W274" s="74"/>
      <c r="X274" s="74"/>
      <c r="Y274" s="74"/>
      <c r="Z274" s="74"/>
      <c r="AA274" s="74"/>
      <c r="AB274" s="74"/>
    </row>
    <row r="275" spans="1:28" ht="12" customHeight="1">
      <c r="A275" s="105"/>
      <c r="B275" s="106"/>
      <c r="C275" s="107"/>
      <c r="D275" s="108"/>
      <c r="E275" s="107"/>
      <c r="F275" s="107"/>
      <c r="G275" s="35"/>
      <c r="H275" s="104"/>
      <c r="I275" s="35"/>
      <c r="J275" s="74"/>
      <c r="K275" s="74"/>
      <c r="L275" s="74"/>
      <c r="M275" s="74"/>
      <c r="N275" s="74"/>
      <c r="O275" s="74"/>
      <c r="P275" s="74"/>
      <c r="Q275" s="74"/>
      <c r="R275" s="74"/>
      <c r="S275" s="74"/>
      <c r="T275" s="74"/>
      <c r="U275" s="74"/>
      <c r="V275" s="74"/>
      <c r="W275" s="74"/>
      <c r="X275" s="74"/>
      <c r="Y275" s="74"/>
      <c r="Z275" s="74"/>
      <c r="AA275" s="74"/>
      <c r="AB275" s="74"/>
    </row>
    <row r="276" spans="1:28" ht="12" customHeight="1">
      <c r="A276" s="105"/>
      <c r="B276" s="106"/>
      <c r="C276" s="107"/>
      <c r="D276" s="108"/>
      <c r="E276" s="107"/>
      <c r="F276" s="107"/>
      <c r="G276" s="35"/>
      <c r="H276" s="104"/>
      <c r="I276" s="35"/>
      <c r="J276" s="74"/>
      <c r="K276" s="74"/>
      <c r="L276" s="74"/>
      <c r="M276" s="74"/>
      <c r="N276" s="74"/>
      <c r="O276" s="74"/>
      <c r="P276" s="74"/>
      <c r="Q276" s="74"/>
      <c r="R276" s="74"/>
      <c r="S276" s="74"/>
      <c r="T276" s="74"/>
      <c r="U276" s="74"/>
      <c r="V276" s="74"/>
      <c r="W276" s="74"/>
      <c r="X276" s="74"/>
      <c r="Y276" s="74"/>
      <c r="Z276" s="74"/>
      <c r="AA276" s="74"/>
      <c r="AB276" s="74"/>
    </row>
    <row r="277" spans="1:28" ht="12" customHeight="1">
      <c r="A277" s="105"/>
      <c r="B277" s="106"/>
      <c r="C277" s="107"/>
      <c r="D277" s="108"/>
      <c r="E277" s="107"/>
      <c r="F277" s="107"/>
      <c r="G277" s="35"/>
      <c r="H277" s="104"/>
      <c r="I277" s="35"/>
      <c r="J277" s="74"/>
      <c r="K277" s="74"/>
      <c r="L277" s="74"/>
      <c r="M277" s="74"/>
      <c r="N277" s="74"/>
      <c r="O277" s="74"/>
      <c r="P277" s="74"/>
      <c r="Q277" s="74"/>
      <c r="R277" s="74"/>
      <c r="S277" s="74"/>
      <c r="T277" s="74"/>
      <c r="U277" s="74"/>
      <c r="V277" s="74"/>
      <c r="W277" s="74"/>
      <c r="X277" s="74"/>
      <c r="Y277" s="74"/>
      <c r="Z277" s="74"/>
      <c r="AA277" s="74"/>
      <c r="AB277" s="74"/>
    </row>
    <row r="278" spans="1:28" ht="12" customHeight="1">
      <c r="A278" s="105"/>
      <c r="B278" s="106"/>
      <c r="C278" s="107"/>
      <c r="D278" s="108"/>
      <c r="E278" s="107"/>
      <c r="F278" s="107"/>
      <c r="G278" s="35"/>
      <c r="H278" s="104"/>
      <c r="I278" s="35"/>
      <c r="J278" s="74"/>
      <c r="K278" s="74"/>
      <c r="L278" s="74"/>
      <c r="M278" s="74"/>
      <c r="N278" s="74"/>
      <c r="O278" s="74"/>
      <c r="P278" s="74"/>
      <c r="Q278" s="74"/>
      <c r="R278" s="74"/>
      <c r="S278" s="74"/>
      <c r="T278" s="74"/>
      <c r="U278" s="74"/>
      <c r="V278" s="74"/>
      <c r="W278" s="74"/>
      <c r="X278" s="74"/>
      <c r="Y278" s="74"/>
      <c r="Z278" s="74"/>
      <c r="AA278" s="74"/>
      <c r="AB278" s="74"/>
    </row>
    <row r="279" spans="1:28" ht="12" customHeight="1">
      <c r="A279" s="105"/>
      <c r="B279" s="106"/>
      <c r="C279" s="107"/>
      <c r="D279" s="108"/>
      <c r="E279" s="107"/>
      <c r="F279" s="107"/>
      <c r="G279" s="35"/>
      <c r="H279" s="104"/>
      <c r="I279" s="35"/>
      <c r="J279" s="74"/>
      <c r="K279" s="74"/>
      <c r="L279" s="74"/>
      <c r="M279" s="74"/>
      <c r="N279" s="74"/>
      <c r="O279" s="74"/>
      <c r="P279" s="74"/>
      <c r="Q279" s="74"/>
      <c r="R279" s="74"/>
      <c r="S279" s="74"/>
      <c r="T279" s="74"/>
      <c r="U279" s="74"/>
      <c r="V279" s="74"/>
      <c r="W279" s="74"/>
      <c r="X279" s="74"/>
      <c r="Y279" s="74"/>
      <c r="Z279" s="74"/>
      <c r="AA279" s="74"/>
      <c r="AB279" s="74"/>
    </row>
    <row r="280" spans="1:28" ht="12" customHeight="1">
      <c r="A280" s="105"/>
      <c r="B280" s="106"/>
      <c r="C280" s="107"/>
      <c r="D280" s="108"/>
      <c r="E280" s="107"/>
      <c r="F280" s="107"/>
      <c r="G280" s="35"/>
      <c r="H280" s="104"/>
      <c r="I280" s="35"/>
      <c r="J280" s="74"/>
      <c r="K280" s="74"/>
      <c r="L280" s="74"/>
      <c r="M280" s="74"/>
      <c r="N280" s="74"/>
      <c r="O280" s="74"/>
      <c r="P280" s="74"/>
      <c r="Q280" s="74"/>
      <c r="R280" s="74"/>
      <c r="S280" s="74"/>
      <c r="T280" s="74"/>
      <c r="U280" s="74"/>
      <c r="V280" s="74"/>
      <c r="W280" s="74"/>
      <c r="X280" s="74"/>
      <c r="Y280" s="74"/>
      <c r="Z280" s="74"/>
      <c r="AA280" s="74"/>
      <c r="AB280" s="74"/>
    </row>
    <row r="281" spans="1:28" ht="12" customHeight="1">
      <c r="A281" s="105"/>
      <c r="B281" s="106"/>
      <c r="C281" s="107"/>
      <c r="D281" s="108"/>
      <c r="E281" s="107"/>
      <c r="F281" s="107"/>
      <c r="G281" s="35"/>
      <c r="H281" s="104"/>
      <c r="I281" s="35"/>
      <c r="J281" s="74"/>
      <c r="K281" s="74"/>
      <c r="L281" s="74"/>
      <c r="M281" s="74"/>
      <c r="N281" s="74"/>
      <c r="O281" s="74"/>
      <c r="P281" s="74"/>
      <c r="Q281" s="74"/>
      <c r="R281" s="74"/>
      <c r="S281" s="74"/>
      <c r="T281" s="74"/>
      <c r="U281" s="74"/>
      <c r="V281" s="74"/>
      <c r="W281" s="74"/>
      <c r="X281" s="74"/>
      <c r="Y281" s="74"/>
      <c r="Z281" s="74"/>
      <c r="AA281" s="74"/>
      <c r="AB281" s="74"/>
    </row>
    <row r="282" spans="1:28" ht="12" customHeight="1">
      <c r="A282" s="105"/>
      <c r="B282" s="106"/>
      <c r="C282" s="107"/>
      <c r="D282" s="108"/>
      <c r="E282" s="107"/>
      <c r="F282" s="107"/>
      <c r="G282" s="35"/>
      <c r="H282" s="104"/>
      <c r="I282" s="35"/>
      <c r="J282" s="74"/>
      <c r="K282" s="74"/>
      <c r="L282" s="74"/>
      <c r="M282" s="74"/>
      <c r="N282" s="74"/>
      <c r="O282" s="74"/>
      <c r="P282" s="74"/>
      <c r="Q282" s="74"/>
      <c r="R282" s="74"/>
      <c r="S282" s="74"/>
      <c r="T282" s="74"/>
      <c r="U282" s="74"/>
      <c r="V282" s="74"/>
      <c r="W282" s="74"/>
      <c r="X282" s="74"/>
      <c r="Y282" s="74"/>
      <c r="Z282" s="74"/>
      <c r="AA282" s="74"/>
      <c r="AB282" s="74"/>
    </row>
    <row r="283" spans="1:28" ht="12" customHeight="1">
      <c r="A283" s="105"/>
      <c r="B283" s="106"/>
      <c r="C283" s="107"/>
      <c r="D283" s="108"/>
      <c r="E283" s="107"/>
      <c r="F283" s="107"/>
      <c r="G283" s="35"/>
      <c r="H283" s="104"/>
      <c r="I283" s="35"/>
      <c r="J283" s="74"/>
      <c r="K283" s="74"/>
      <c r="L283" s="74"/>
      <c r="M283" s="74"/>
      <c r="N283" s="74"/>
      <c r="O283" s="74"/>
      <c r="P283" s="74"/>
      <c r="Q283" s="74"/>
      <c r="R283" s="74"/>
      <c r="S283" s="74"/>
      <c r="T283" s="74"/>
      <c r="U283" s="74"/>
      <c r="V283" s="74"/>
      <c r="W283" s="74"/>
      <c r="X283" s="74"/>
      <c r="Y283" s="74"/>
      <c r="Z283" s="74"/>
      <c r="AA283" s="74"/>
      <c r="AB283" s="74"/>
    </row>
    <row r="284" spans="1:28" ht="12" customHeight="1">
      <c r="A284" s="105"/>
      <c r="B284" s="106"/>
      <c r="C284" s="107"/>
      <c r="D284" s="108"/>
      <c r="E284" s="107"/>
      <c r="F284" s="107"/>
      <c r="G284" s="35"/>
      <c r="H284" s="104"/>
      <c r="I284" s="35"/>
      <c r="J284" s="74"/>
      <c r="K284" s="74"/>
      <c r="L284" s="74"/>
      <c r="M284" s="74"/>
      <c r="N284" s="74"/>
      <c r="O284" s="74"/>
      <c r="P284" s="74"/>
      <c r="Q284" s="74"/>
      <c r="R284" s="74"/>
      <c r="S284" s="74"/>
      <c r="T284" s="74"/>
      <c r="U284" s="74"/>
      <c r="V284" s="74"/>
      <c r="W284" s="74"/>
      <c r="X284" s="74"/>
      <c r="Y284" s="74"/>
      <c r="Z284" s="74"/>
      <c r="AA284" s="74"/>
      <c r="AB284" s="74"/>
    </row>
    <row r="285" spans="1:28" ht="12" customHeight="1">
      <c r="A285" s="105"/>
      <c r="B285" s="106"/>
      <c r="C285" s="107"/>
      <c r="D285" s="108"/>
      <c r="E285" s="107"/>
      <c r="F285" s="107"/>
      <c r="G285" s="35"/>
      <c r="H285" s="104"/>
      <c r="I285" s="35"/>
      <c r="J285" s="74"/>
      <c r="K285" s="74"/>
      <c r="L285" s="74"/>
      <c r="M285" s="74"/>
      <c r="N285" s="74"/>
      <c r="O285" s="74"/>
      <c r="P285" s="74"/>
      <c r="Q285" s="74"/>
      <c r="R285" s="74"/>
      <c r="S285" s="74"/>
      <c r="T285" s="74"/>
      <c r="U285" s="74"/>
      <c r="V285" s="74"/>
      <c r="W285" s="74"/>
      <c r="X285" s="74"/>
      <c r="Y285" s="74"/>
      <c r="Z285" s="74"/>
      <c r="AA285" s="74"/>
      <c r="AB285" s="74"/>
    </row>
    <row r="286" spans="1:28" ht="12" customHeight="1">
      <c r="A286" s="105"/>
      <c r="B286" s="106"/>
      <c r="C286" s="107"/>
      <c r="D286" s="108"/>
      <c r="E286" s="107"/>
      <c r="F286" s="107"/>
      <c r="G286" s="35"/>
      <c r="H286" s="104"/>
      <c r="I286" s="35"/>
      <c r="J286" s="74"/>
      <c r="K286" s="74"/>
      <c r="L286" s="74"/>
      <c r="M286" s="74"/>
      <c r="N286" s="74"/>
      <c r="O286" s="74"/>
      <c r="P286" s="74"/>
      <c r="Q286" s="74"/>
      <c r="R286" s="74"/>
      <c r="S286" s="74"/>
      <c r="T286" s="74"/>
      <c r="U286" s="74"/>
      <c r="V286" s="74"/>
      <c r="W286" s="74"/>
      <c r="X286" s="74"/>
      <c r="Y286" s="74"/>
      <c r="Z286" s="74"/>
      <c r="AA286" s="74"/>
      <c r="AB286" s="74"/>
    </row>
    <row r="287" spans="1:28" ht="12" customHeight="1">
      <c r="A287" s="105"/>
      <c r="B287" s="106"/>
      <c r="C287" s="107"/>
      <c r="D287" s="108"/>
      <c r="E287" s="107"/>
      <c r="F287" s="107"/>
      <c r="G287" s="35"/>
      <c r="H287" s="104"/>
      <c r="I287" s="35"/>
      <c r="J287" s="74"/>
      <c r="K287" s="74"/>
      <c r="L287" s="74"/>
      <c r="M287" s="74"/>
      <c r="N287" s="74"/>
      <c r="O287" s="74"/>
      <c r="P287" s="74"/>
      <c r="Q287" s="74"/>
      <c r="R287" s="74"/>
      <c r="S287" s="74"/>
      <c r="T287" s="74"/>
      <c r="U287" s="74"/>
      <c r="V287" s="74"/>
      <c r="W287" s="74"/>
      <c r="X287" s="74"/>
      <c r="Y287" s="74"/>
      <c r="Z287" s="74"/>
      <c r="AA287" s="74"/>
      <c r="AB287" s="74"/>
    </row>
    <row r="288" spans="1:28" ht="12" customHeight="1">
      <c r="A288" s="105"/>
      <c r="B288" s="106"/>
      <c r="C288" s="107"/>
      <c r="D288" s="108"/>
      <c r="E288" s="107"/>
      <c r="F288" s="107"/>
      <c r="G288" s="35"/>
      <c r="H288" s="104"/>
      <c r="I288" s="35"/>
      <c r="J288" s="74"/>
      <c r="K288" s="74"/>
      <c r="L288" s="74"/>
      <c r="M288" s="74"/>
      <c r="N288" s="74"/>
      <c r="O288" s="74"/>
      <c r="P288" s="74"/>
      <c r="Q288" s="74"/>
      <c r="R288" s="74"/>
      <c r="S288" s="74"/>
      <c r="T288" s="74"/>
      <c r="U288" s="74"/>
      <c r="V288" s="74"/>
      <c r="W288" s="74"/>
      <c r="X288" s="74"/>
      <c r="Y288" s="74"/>
      <c r="Z288" s="74"/>
      <c r="AA288" s="74"/>
      <c r="AB288" s="74"/>
    </row>
    <row r="289" spans="1:28" ht="12" customHeight="1">
      <c r="A289" s="105"/>
      <c r="B289" s="106"/>
      <c r="C289" s="107"/>
      <c r="D289" s="108"/>
      <c r="E289" s="107"/>
      <c r="F289" s="107"/>
      <c r="G289" s="35"/>
      <c r="H289" s="104"/>
      <c r="I289" s="35"/>
      <c r="J289" s="74"/>
      <c r="K289" s="74"/>
      <c r="L289" s="74"/>
      <c r="M289" s="74"/>
      <c r="N289" s="74"/>
      <c r="O289" s="74"/>
      <c r="P289" s="74"/>
      <c r="Q289" s="74"/>
      <c r="R289" s="74"/>
      <c r="S289" s="74"/>
      <c r="T289" s="74"/>
      <c r="U289" s="74"/>
      <c r="V289" s="74"/>
      <c r="W289" s="74"/>
      <c r="X289" s="74"/>
      <c r="Y289" s="74"/>
      <c r="Z289" s="74"/>
      <c r="AA289" s="74"/>
      <c r="AB289" s="74"/>
    </row>
    <row r="290" spans="1:28" ht="12" customHeight="1">
      <c r="A290" s="105"/>
      <c r="B290" s="106"/>
      <c r="C290" s="107"/>
      <c r="D290" s="108"/>
      <c r="E290" s="107"/>
      <c r="F290" s="107"/>
      <c r="G290" s="35"/>
      <c r="H290" s="104"/>
      <c r="I290" s="35"/>
      <c r="J290" s="74"/>
      <c r="K290" s="74"/>
      <c r="L290" s="74"/>
      <c r="M290" s="74"/>
      <c r="N290" s="74"/>
      <c r="O290" s="74"/>
      <c r="P290" s="74"/>
      <c r="Q290" s="74"/>
      <c r="R290" s="74"/>
      <c r="S290" s="74"/>
      <c r="T290" s="74"/>
      <c r="U290" s="74"/>
      <c r="V290" s="74"/>
      <c r="W290" s="74"/>
      <c r="X290" s="74"/>
      <c r="Y290" s="74"/>
      <c r="Z290" s="74"/>
      <c r="AA290" s="74"/>
      <c r="AB290" s="74"/>
    </row>
    <row r="291" spans="1:28" ht="12" customHeight="1">
      <c r="A291" s="105"/>
      <c r="B291" s="106"/>
      <c r="C291" s="107"/>
      <c r="D291" s="108"/>
      <c r="E291" s="107"/>
      <c r="F291" s="107"/>
      <c r="G291" s="35"/>
      <c r="H291" s="104"/>
      <c r="I291" s="35"/>
      <c r="J291" s="74"/>
      <c r="K291" s="74"/>
      <c r="L291" s="74"/>
      <c r="M291" s="74"/>
      <c r="N291" s="74"/>
      <c r="O291" s="74"/>
      <c r="P291" s="74"/>
      <c r="Q291" s="74"/>
      <c r="R291" s="74"/>
      <c r="S291" s="74"/>
      <c r="T291" s="74"/>
      <c r="U291" s="74"/>
      <c r="V291" s="74"/>
      <c r="W291" s="74"/>
      <c r="X291" s="74"/>
      <c r="Y291" s="74"/>
      <c r="Z291" s="74"/>
      <c r="AA291" s="74"/>
      <c r="AB291" s="74"/>
    </row>
    <row r="292" spans="1:28" ht="12" customHeight="1">
      <c r="A292" s="105"/>
      <c r="B292" s="106"/>
      <c r="C292" s="107"/>
      <c r="D292" s="108"/>
      <c r="E292" s="107"/>
      <c r="F292" s="107"/>
      <c r="G292" s="35"/>
      <c r="H292" s="104"/>
      <c r="I292" s="35"/>
      <c r="J292" s="74"/>
      <c r="K292" s="74"/>
      <c r="L292" s="74"/>
      <c r="M292" s="74"/>
      <c r="N292" s="74"/>
      <c r="O292" s="74"/>
      <c r="P292" s="74"/>
      <c r="Q292" s="74"/>
      <c r="R292" s="74"/>
      <c r="S292" s="74"/>
      <c r="T292" s="74"/>
      <c r="U292" s="74"/>
      <c r="V292" s="74"/>
      <c r="W292" s="74"/>
      <c r="X292" s="74"/>
      <c r="Y292" s="74"/>
      <c r="Z292" s="74"/>
      <c r="AA292" s="74"/>
      <c r="AB292" s="74"/>
    </row>
    <row r="293" spans="1:28" ht="12" customHeight="1">
      <c r="A293" s="105"/>
      <c r="B293" s="106"/>
      <c r="C293" s="107"/>
      <c r="D293" s="108"/>
      <c r="E293" s="107"/>
      <c r="F293" s="107"/>
      <c r="G293" s="35"/>
      <c r="H293" s="104"/>
      <c r="I293" s="35"/>
      <c r="J293" s="74"/>
      <c r="K293" s="74"/>
      <c r="L293" s="74"/>
      <c r="M293" s="74"/>
      <c r="N293" s="74"/>
      <c r="O293" s="74"/>
      <c r="P293" s="74"/>
      <c r="Q293" s="74"/>
      <c r="R293" s="74"/>
      <c r="S293" s="74"/>
      <c r="T293" s="74"/>
      <c r="U293" s="74"/>
      <c r="V293" s="74"/>
      <c r="W293" s="74"/>
      <c r="X293" s="74"/>
      <c r="Y293" s="74"/>
      <c r="Z293" s="74"/>
      <c r="AA293" s="74"/>
      <c r="AB293" s="74"/>
    </row>
    <row r="294" spans="1:28" ht="12" customHeight="1">
      <c r="A294" s="105"/>
      <c r="B294" s="106"/>
      <c r="C294" s="107"/>
      <c r="D294" s="108"/>
      <c r="E294" s="107"/>
      <c r="F294" s="107"/>
      <c r="G294" s="35"/>
      <c r="H294" s="104"/>
      <c r="I294" s="35"/>
      <c r="J294" s="74"/>
      <c r="K294" s="74"/>
      <c r="L294" s="74"/>
      <c r="M294" s="74"/>
      <c r="N294" s="74"/>
      <c r="O294" s="74"/>
      <c r="P294" s="74"/>
      <c r="Q294" s="74"/>
      <c r="R294" s="74"/>
      <c r="S294" s="74"/>
      <c r="T294" s="74"/>
      <c r="U294" s="74"/>
      <c r="V294" s="74"/>
      <c r="W294" s="74"/>
      <c r="X294" s="74"/>
      <c r="Y294" s="74"/>
      <c r="Z294" s="74"/>
      <c r="AA294" s="74"/>
      <c r="AB294" s="74"/>
    </row>
    <row r="295" spans="1:28" ht="12" customHeight="1">
      <c r="A295" s="105"/>
      <c r="B295" s="106"/>
      <c r="C295" s="107"/>
      <c r="D295" s="108"/>
      <c r="E295" s="107"/>
      <c r="F295" s="107"/>
      <c r="G295" s="35"/>
      <c r="H295" s="104"/>
      <c r="I295" s="35"/>
      <c r="J295" s="74"/>
      <c r="K295" s="74"/>
      <c r="L295" s="74"/>
      <c r="M295" s="74"/>
      <c r="N295" s="74"/>
      <c r="O295" s="74"/>
      <c r="P295" s="74"/>
      <c r="Q295" s="74"/>
      <c r="R295" s="74"/>
      <c r="S295" s="74"/>
      <c r="T295" s="74"/>
      <c r="U295" s="74"/>
      <c r="V295" s="74"/>
      <c r="W295" s="74"/>
      <c r="X295" s="74"/>
      <c r="Y295" s="74"/>
      <c r="Z295" s="74"/>
      <c r="AA295" s="74"/>
      <c r="AB295" s="74"/>
    </row>
    <row r="296" spans="1:28" ht="12" customHeight="1">
      <c r="A296" s="105"/>
      <c r="B296" s="106"/>
      <c r="C296" s="107"/>
      <c r="D296" s="108"/>
      <c r="E296" s="107"/>
      <c r="F296" s="107"/>
      <c r="G296" s="35"/>
      <c r="H296" s="104"/>
      <c r="I296" s="35"/>
      <c r="J296" s="74"/>
      <c r="K296" s="74"/>
      <c r="L296" s="74"/>
      <c r="M296" s="74"/>
      <c r="N296" s="74"/>
      <c r="O296" s="74"/>
      <c r="P296" s="74"/>
      <c r="Q296" s="74"/>
      <c r="R296" s="74"/>
      <c r="S296" s="74"/>
      <c r="T296" s="74"/>
      <c r="U296" s="74"/>
      <c r="V296" s="74"/>
      <c r="W296" s="74"/>
      <c r="X296" s="74"/>
      <c r="Y296" s="74"/>
      <c r="Z296" s="74"/>
      <c r="AA296" s="74"/>
      <c r="AB296" s="74"/>
    </row>
    <row r="297" spans="1:28" ht="12" customHeight="1">
      <c r="A297" s="105"/>
      <c r="B297" s="106"/>
      <c r="C297" s="107"/>
      <c r="D297" s="108"/>
      <c r="E297" s="107"/>
      <c r="F297" s="107"/>
      <c r="G297" s="35"/>
      <c r="H297" s="104"/>
      <c r="I297" s="35"/>
      <c r="J297" s="74"/>
      <c r="K297" s="74"/>
      <c r="L297" s="74"/>
      <c r="M297" s="74"/>
      <c r="N297" s="74"/>
      <c r="O297" s="74"/>
      <c r="P297" s="74"/>
      <c r="Q297" s="74"/>
      <c r="R297" s="74"/>
      <c r="S297" s="74"/>
      <c r="T297" s="74"/>
      <c r="U297" s="74"/>
      <c r="V297" s="74"/>
      <c r="W297" s="74"/>
      <c r="X297" s="74"/>
      <c r="Y297" s="74"/>
      <c r="Z297" s="74"/>
      <c r="AA297" s="74"/>
      <c r="AB297" s="74"/>
    </row>
    <row r="298" spans="1:28" ht="12" customHeight="1">
      <c r="A298" s="105"/>
      <c r="B298" s="106"/>
      <c r="C298" s="107"/>
      <c r="D298" s="108"/>
      <c r="E298" s="107"/>
      <c r="F298" s="107"/>
      <c r="G298" s="35"/>
      <c r="H298" s="104"/>
      <c r="I298" s="35"/>
      <c r="J298" s="74"/>
      <c r="K298" s="74"/>
      <c r="L298" s="74"/>
      <c r="M298" s="74"/>
      <c r="N298" s="74"/>
      <c r="O298" s="74"/>
      <c r="P298" s="74"/>
      <c r="Q298" s="74"/>
      <c r="R298" s="74"/>
      <c r="S298" s="74"/>
      <c r="T298" s="74"/>
      <c r="U298" s="74"/>
      <c r="V298" s="74"/>
      <c r="W298" s="74"/>
      <c r="X298" s="74"/>
      <c r="Y298" s="74"/>
      <c r="Z298" s="74"/>
      <c r="AA298" s="74"/>
      <c r="AB298" s="74"/>
    </row>
    <row r="299" spans="1:28" ht="12" customHeight="1">
      <c r="A299" s="105"/>
      <c r="B299" s="106"/>
      <c r="C299" s="107"/>
      <c r="D299" s="108"/>
      <c r="E299" s="107"/>
      <c r="F299" s="107"/>
      <c r="G299" s="35"/>
      <c r="H299" s="104"/>
      <c r="I299" s="35"/>
      <c r="J299" s="74"/>
      <c r="K299" s="74"/>
      <c r="L299" s="74"/>
      <c r="M299" s="74"/>
      <c r="N299" s="74"/>
      <c r="O299" s="74"/>
      <c r="P299" s="74"/>
      <c r="Q299" s="74"/>
      <c r="R299" s="74"/>
      <c r="S299" s="74"/>
      <c r="T299" s="74"/>
      <c r="U299" s="74"/>
      <c r="V299" s="74"/>
      <c r="W299" s="74"/>
      <c r="X299" s="74"/>
      <c r="Y299" s="74"/>
      <c r="Z299" s="74"/>
      <c r="AA299" s="74"/>
      <c r="AB299" s="74"/>
    </row>
    <row r="300" spans="1:28" ht="12" customHeight="1">
      <c r="A300" s="105"/>
      <c r="B300" s="106"/>
      <c r="C300" s="107"/>
      <c r="D300" s="108"/>
      <c r="E300" s="107"/>
      <c r="F300" s="107"/>
      <c r="G300" s="35"/>
      <c r="H300" s="104"/>
      <c r="I300" s="35"/>
      <c r="J300" s="74"/>
      <c r="K300" s="74"/>
      <c r="L300" s="74"/>
      <c r="M300" s="74"/>
      <c r="N300" s="74"/>
      <c r="O300" s="74"/>
      <c r="P300" s="74"/>
      <c r="Q300" s="74"/>
      <c r="R300" s="74"/>
      <c r="S300" s="74"/>
      <c r="T300" s="74"/>
      <c r="U300" s="74"/>
      <c r="V300" s="74"/>
      <c r="W300" s="74"/>
      <c r="X300" s="74"/>
      <c r="Y300" s="74"/>
      <c r="Z300" s="74"/>
      <c r="AA300" s="74"/>
      <c r="AB300" s="74"/>
    </row>
    <row r="301" spans="1:28" ht="12" customHeight="1">
      <c r="A301" s="105"/>
      <c r="B301" s="106"/>
      <c r="C301" s="107"/>
      <c r="D301" s="108"/>
      <c r="E301" s="107"/>
      <c r="F301" s="107"/>
      <c r="G301" s="35"/>
      <c r="H301" s="104"/>
      <c r="I301" s="35"/>
      <c r="J301" s="74"/>
      <c r="K301" s="74"/>
      <c r="L301" s="74"/>
      <c r="M301" s="74"/>
      <c r="N301" s="74"/>
      <c r="O301" s="74"/>
      <c r="P301" s="74"/>
      <c r="Q301" s="74"/>
      <c r="R301" s="74"/>
      <c r="S301" s="74"/>
      <c r="T301" s="74"/>
      <c r="U301" s="74"/>
      <c r="V301" s="74"/>
      <c r="W301" s="74"/>
      <c r="X301" s="74"/>
      <c r="Y301" s="74"/>
      <c r="Z301" s="74"/>
      <c r="AA301" s="74"/>
      <c r="AB301" s="74"/>
    </row>
    <row r="302" spans="1:28" ht="12" customHeight="1">
      <c r="A302" s="105"/>
      <c r="B302" s="106"/>
      <c r="C302" s="107"/>
      <c r="D302" s="108"/>
      <c r="E302" s="107"/>
      <c r="F302" s="107"/>
      <c r="G302" s="35"/>
      <c r="H302" s="104"/>
      <c r="I302" s="35"/>
      <c r="J302" s="74"/>
      <c r="K302" s="74"/>
      <c r="L302" s="74"/>
      <c r="M302" s="74"/>
      <c r="N302" s="74"/>
      <c r="O302" s="74"/>
      <c r="P302" s="74"/>
      <c r="Q302" s="74"/>
      <c r="R302" s="74"/>
      <c r="S302" s="74"/>
      <c r="T302" s="74"/>
      <c r="U302" s="74"/>
      <c r="V302" s="74"/>
      <c r="W302" s="74"/>
      <c r="X302" s="74"/>
      <c r="Y302" s="74"/>
      <c r="Z302" s="74"/>
      <c r="AA302" s="74"/>
      <c r="AB302" s="74"/>
    </row>
    <row r="303" spans="1:28" ht="12" customHeight="1">
      <c r="A303" s="105"/>
      <c r="B303" s="106"/>
      <c r="C303" s="107"/>
      <c r="D303" s="108"/>
      <c r="E303" s="107"/>
      <c r="F303" s="107"/>
      <c r="G303" s="35"/>
      <c r="H303" s="104"/>
      <c r="I303" s="35"/>
      <c r="J303" s="74"/>
      <c r="K303" s="74"/>
      <c r="L303" s="74"/>
      <c r="M303" s="74"/>
      <c r="N303" s="74"/>
      <c r="O303" s="74"/>
      <c r="P303" s="74"/>
      <c r="Q303" s="74"/>
      <c r="R303" s="74"/>
      <c r="S303" s="74"/>
      <c r="T303" s="74"/>
      <c r="U303" s="74"/>
      <c r="V303" s="74"/>
      <c r="W303" s="74"/>
      <c r="X303" s="74"/>
      <c r="Y303" s="74"/>
      <c r="Z303" s="74"/>
      <c r="AA303" s="74"/>
      <c r="AB303" s="74"/>
    </row>
    <row r="304" spans="1:28" ht="12" customHeight="1">
      <c r="A304" s="105"/>
      <c r="B304" s="106"/>
      <c r="C304" s="107"/>
      <c r="D304" s="108"/>
      <c r="E304" s="107"/>
      <c r="F304" s="107"/>
      <c r="G304" s="35"/>
      <c r="H304" s="104"/>
      <c r="I304" s="35"/>
      <c r="J304" s="74"/>
      <c r="K304" s="74"/>
      <c r="L304" s="74"/>
      <c r="M304" s="74"/>
      <c r="N304" s="74"/>
      <c r="O304" s="74"/>
      <c r="P304" s="74"/>
      <c r="Q304" s="74"/>
      <c r="R304" s="74"/>
      <c r="S304" s="74"/>
      <c r="T304" s="74"/>
      <c r="U304" s="74"/>
      <c r="V304" s="74"/>
      <c r="W304" s="74"/>
      <c r="X304" s="74"/>
      <c r="Y304" s="74"/>
      <c r="Z304" s="74"/>
      <c r="AA304" s="74"/>
      <c r="AB304" s="74"/>
    </row>
    <row r="305" spans="1:28" ht="12" customHeight="1">
      <c r="A305" s="105"/>
      <c r="B305" s="106"/>
      <c r="C305" s="107"/>
      <c r="D305" s="108"/>
      <c r="E305" s="107"/>
      <c r="F305" s="107"/>
      <c r="G305" s="35"/>
      <c r="H305" s="104"/>
      <c r="I305" s="35"/>
      <c r="J305" s="74"/>
      <c r="K305" s="74"/>
      <c r="L305" s="74"/>
      <c r="M305" s="74"/>
      <c r="N305" s="74"/>
      <c r="O305" s="74"/>
      <c r="P305" s="74"/>
      <c r="Q305" s="74"/>
      <c r="R305" s="74"/>
      <c r="S305" s="74"/>
      <c r="T305" s="74"/>
      <c r="U305" s="74"/>
      <c r="V305" s="74"/>
      <c r="W305" s="74"/>
      <c r="X305" s="74"/>
      <c r="Y305" s="74"/>
      <c r="Z305" s="74"/>
      <c r="AA305" s="74"/>
      <c r="AB305" s="74"/>
    </row>
    <row r="306" spans="1:28" ht="12" customHeight="1">
      <c r="A306" s="105"/>
      <c r="B306" s="106"/>
      <c r="C306" s="107"/>
      <c r="D306" s="108"/>
      <c r="E306" s="107"/>
      <c r="F306" s="107"/>
      <c r="G306" s="35"/>
      <c r="H306" s="104"/>
      <c r="I306" s="35"/>
      <c r="J306" s="74"/>
      <c r="K306" s="74"/>
      <c r="L306" s="74"/>
      <c r="M306" s="74"/>
      <c r="N306" s="74"/>
      <c r="O306" s="74"/>
      <c r="P306" s="74"/>
      <c r="Q306" s="74"/>
      <c r="R306" s="74"/>
      <c r="S306" s="74"/>
      <c r="T306" s="74"/>
      <c r="U306" s="74"/>
      <c r="V306" s="74"/>
      <c r="W306" s="74"/>
      <c r="X306" s="74"/>
      <c r="Y306" s="74"/>
      <c r="Z306" s="74"/>
      <c r="AA306" s="74"/>
      <c r="AB306" s="74"/>
    </row>
    <row r="307" spans="1:28" ht="12" customHeight="1">
      <c r="A307" s="105"/>
      <c r="B307" s="106"/>
      <c r="C307" s="107"/>
      <c r="D307" s="108"/>
      <c r="E307" s="107"/>
      <c r="F307" s="107"/>
      <c r="G307" s="35"/>
      <c r="H307" s="104"/>
      <c r="I307" s="35"/>
      <c r="J307" s="74"/>
      <c r="K307" s="74"/>
      <c r="L307" s="74"/>
      <c r="M307" s="74"/>
      <c r="N307" s="74"/>
      <c r="O307" s="74"/>
      <c r="P307" s="74"/>
      <c r="Q307" s="74"/>
      <c r="R307" s="74"/>
      <c r="S307" s="74"/>
      <c r="T307" s="74"/>
      <c r="U307" s="74"/>
      <c r="V307" s="74"/>
      <c r="W307" s="74"/>
      <c r="X307" s="74"/>
      <c r="Y307" s="74"/>
      <c r="Z307" s="74"/>
      <c r="AA307" s="74"/>
      <c r="AB307" s="74"/>
    </row>
    <row r="308" spans="1:28" ht="12" customHeight="1">
      <c r="A308" s="105"/>
      <c r="B308" s="106"/>
      <c r="C308" s="107"/>
      <c r="D308" s="108"/>
      <c r="E308" s="107"/>
      <c r="F308" s="107"/>
      <c r="G308" s="35"/>
      <c r="H308" s="104"/>
      <c r="I308" s="35"/>
      <c r="J308" s="74"/>
      <c r="K308" s="74"/>
      <c r="L308" s="74"/>
      <c r="M308" s="74"/>
      <c r="N308" s="74"/>
      <c r="O308" s="74"/>
      <c r="P308" s="74"/>
      <c r="Q308" s="74"/>
      <c r="R308" s="74"/>
      <c r="S308" s="74"/>
      <c r="T308" s="74"/>
      <c r="U308" s="74"/>
      <c r="V308" s="74"/>
      <c r="W308" s="74"/>
      <c r="X308" s="74"/>
      <c r="Y308" s="74"/>
      <c r="Z308" s="74"/>
      <c r="AA308" s="74"/>
      <c r="AB308" s="74"/>
    </row>
    <row r="309" spans="1:28" ht="12" customHeight="1">
      <c r="A309" s="105"/>
      <c r="B309" s="106"/>
      <c r="C309" s="107"/>
      <c r="D309" s="108"/>
      <c r="E309" s="107"/>
      <c r="F309" s="107"/>
      <c r="G309" s="35"/>
      <c r="H309" s="104"/>
      <c r="I309" s="35"/>
      <c r="J309" s="74"/>
      <c r="K309" s="74"/>
      <c r="L309" s="74"/>
      <c r="M309" s="74"/>
      <c r="N309" s="74"/>
      <c r="O309" s="74"/>
      <c r="P309" s="74"/>
      <c r="Q309" s="74"/>
      <c r="R309" s="74"/>
      <c r="S309" s="74"/>
      <c r="T309" s="74"/>
      <c r="U309" s="74"/>
      <c r="V309" s="74"/>
      <c r="W309" s="74"/>
      <c r="X309" s="74"/>
      <c r="Y309" s="74"/>
      <c r="Z309" s="74"/>
      <c r="AA309" s="74"/>
      <c r="AB309" s="74"/>
    </row>
    <row r="310" spans="1:28" ht="12" customHeight="1">
      <c r="A310" s="105"/>
      <c r="B310" s="106"/>
      <c r="C310" s="107"/>
      <c r="D310" s="108"/>
      <c r="E310" s="107"/>
      <c r="F310" s="107"/>
      <c r="G310" s="35"/>
      <c r="H310" s="104"/>
      <c r="I310" s="35"/>
      <c r="J310" s="74"/>
      <c r="K310" s="74"/>
      <c r="L310" s="74"/>
      <c r="M310" s="74"/>
      <c r="N310" s="74"/>
      <c r="O310" s="74"/>
      <c r="P310" s="74"/>
      <c r="Q310" s="74"/>
      <c r="R310" s="74"/>
      <c r="S310" s="74"/>
      <c r="T310" s="74"/>
      <c r="U310" s="74"/>
      <c r="V310" s="74"/>
      <c r="W310" s="74"/>
      <c r="X310" s="74"/>
      <c r="Y310" s="74"/>
      <c r="Z310" s="74"/>
      <c r="AA310" s="74"/>
      <c r="AB310" s="74"/>
    </row>
    <row r="311" spans="1:28" ht="12" customHeight="1">
      <c r="A311" s="105"/>
      <c r="B311" s="106"/>
      <c r="C311" s="107"/>
      <c r="D311" s="108"/>
      <c r="E311" s="107"/>
      <c r="F311" s="107"/>
      <c r="G311" s="35"/>
      <c r="H311" s="104"/>
      <c r="I311" s="35"/>
      <c r="J311" s="74"/>
      <c r="K311" s="74"/>
      <c r="L311" s="74"/>
      <c r="M311" s="74"/>
      <c r="N311" s="74"/>
      <c r="O311" s="74"/>
      <c r="P311" s="74"/>
      <c r="Q311" s="74"/>
      <c r="R311" s="74"/>
      <c r="S311" s="74"/>
      <c r="T311" s="74"/>
      <c r="U311" s="74"/>
      <c r="V311" s="74"/>
      <c r="W311" s="74"/>
      <c r="X311" s="74"/>
      <c r="Y311" s="74"/>
      <c r="Z311" s="74"/>
      <c r="AA311" s="74"/>
      <c r="AB311" s="74"/>
    </row>
    <row r="312" spans="1:28" ht="12" customHeight="1">
      <c r="A312" s="105"/>
      <c r="B312" s="106"/>
      <c r="C312" s="107"/>
      <c r="D312" s="108"/>
      <c r="E312" s="107"/>
      <c r="F312" s="107"/>
      <c r="G312" s="35"/>
      <c r="H312" s="104"/>
      <c r="I312" s="35"/>
      <c r="J312" s="74"/>
      <c r="K312" s="74"/>
      <c r="L312" s="74"/>
      <c r="M312" s="74"/>
      <c r="N312" s="74"/>
      <c r="O312" s="74"/>
      <c r="P312" s="74"/>
      <c r="Q312" s="74"/>
      <c r="R312" s="74"/>
      <c r="S312" s="74"/>
      <c r="T312" s="74"/>
      <c r="U312" s="74"/>
      <c r="V312" s="74"/>
      <c r="W312" s="74"/>
      <c r="X312" s="74"/>
      <c r="Y312" s="74"/>
      <c r="Z312" s="74"/>
      <c r="AA312" s="74"/>
      <c r="AB312" s="74"/>
    </row>
    <row r="313" spans="1:28" ht="12" customHeight="1">
      <c r="A313" s="105"/>
      <c r="B313" s="106"/>
      <c r="C313" s="107"/>
      <c r="D313" s="108"/>
      <c r="E313" s="107"/>
      <c r="F313" s="107"/>
      <c r="G313" s="35"/>
      <c r="H313" s="104"/>
      <c r="I313" s="35"/>
      <c r="J313" s="74"/>
      <c r="K313" s="74"/>
      <c r="L313" s="74"/>
      <c r="M313" s="74"/>
      <c r="N313" s="74"/>
      <c r="O313" s="74"/>
      <c r="P313" s="74"/>
      <c r="Q313" s="74"/>
      <c r="R313" s="74"/>
      <c r="S313" s="74"/>
      <c r="T313" s="74"/>
      <c r="U313" s="74"/>
      <c r="V313" s="74"/>
      <c r="W313" s="74"/>
      <c r="X313" s="74"/>
      <c r="Y313" s="74"/>
      <c r="Z313" s="74"/>
      <c r="AA313" s="74"/>
      <c r="AB313" s="74"/>
    </row>
    <row r="314" spans="1:28" ht="12" customHeight="1">
      <c r="A314" s="105"/>
      <c r="B314" s="106"/>
      <c r="C314" s="107"/>
      <c r="D314" s="108"/>
      <c r="E314" s="107"/>
      <c r="F314" s="107"/>
      <c r="G314" s="35"/>
      <c r="H314" s="104"/>
      <c r="I314" s="35"/>
      <c r="J314" s="74"/>
      <c r="K314" s="74"/>
      <c r="L314" s="74"/>
      <c r="M314" s="74"/>
      <c r="N314" s="74"/>
      <c r="O314" s="74"/>
      <c r="P314" s="74"/>
      <c r="Q314" s="74"/>
      <c r="R314" s="74"/>
      <c r="S314" s="74"/>
      <c r="T314" s="74"/>
      <c r="U314" s="74"/>
      <c r="V314" s="74"/>
      <c r="W314" s="74"/>
      <c r="X314" s="74"/>
      <c r="Y314" s="74"/>
      <c r="Z314" s="74"/>
      <c r="AA314" s="74"/>
      <c r="AB314" s="74"/>
    </row>
    <row r="315" spans="1:28" ht="12" customHeight="1">
      <c r="A315" s="105"/>
      <c r="B315" s="106"/>
      <c r="C315" s="107"/>
      <c r="D315" s="108"/>
      <c r="E315" s="107"/>
      <c r="F315" s="107"/>
      <c r="G315" s="35"/>
      <c r="H315" s="104"/>
      <c r="I315" s="35"/>
      <c r="J315" s="74"/>
      <c r="K315" s="74"/>
      <c r="L315" s="74"/>
      <c r="M315" s="74"/>
      <c r="N315" s="74"/>
      <c r="O315" s="74"/>
      <c r="P315" s="74"/>
      <c r="Q315" s="74"/>
      <c r="R315" s="74"/>
      <c r="S315" s="74"/>
      <c r="T315" s="74"/>
      <c r="U315" s="74"/>
      <c r="V315" s="74"/>
      <c r="W315" s="74"/>
      <c r="X315" s="74"/>
      <c r="Y315" s="74"/>
      <c r="Z315" s="74"/>
      <c r="AA315" s="74"/>
      <c r="AB315" s="74"/>
    </row>
    <row r="316" spans="1:28" ht="12" customHeight="1">
      <c r="A316" s="105"/>
      <c r="B316" s="106"/>
      <c r="C316" s="107"/>
      <c r="D316" s="108"/>
      <c r="E316" s="107"/>
      <c r="F316" s="107"/>
      <c r="G316" s="35"/>
      <c r="H316" s="104"/>
      <c r="I316" s="35"/>
      <c r="J316" s="74"/>
      <c r="K316" s="74"/>
      <c r="L316" s="74"/>
      <c r="M316" s="74"/>
      <c r="N316" s="74"/>
      <c r="O316" s="74"/>
      <c r="P316" s="74"/>
      <c r="Q316" s="74"/>
      <c r="R316" s="74"/>
      <c r="S316" s="74"/>
      <c r="T316" s="74"/>
      <c r="U316" s="74"/>
      <c r="V316" s="74"/>
      <c r="W316" s="74"/>
      <c r="X316" s="74"/>
      <c r="Y316" s="74"/>
      <c r="Z316" s="74"/>
      <c r="AA316" s="74"/>
      <c r="AB316" s="74"/>
    </row>
    <row r="317" spans="1:28" ht="12" customHeight="1">
      <c r="A317" s="105"/>
      <c r="B317" s="106"/>
      <c r="C317" s="107"/>
      <c r="D317" s="108"/>
      <c r="E317" s="107"/>
      <c r="F317" s="107"/>
      <c r="G317" s="35"/>
      <c r="H317" s="104"/>
      <c r="I317" s="35"/>
      <c r="J317" s="74"/>
      <c r="K317" s="74"/>
      <c r="L317" s="74"/>
      <c r="M317" s="74"/>
      <c r="N317" s="74"/>
      <c r="O317" s="74"/>
      <c r="P317" s="74"/>
      <c r="Q317" s="74"/>
      <c r="R317" s="74"/>
      <c r="S317" s="74"/>
      <c r="T317" s="74"/>
      <c r="U317" s="74"/>
      <c r="V317" s="74"/>
      <c r="W317" s="74"/>
      <c r="X317" s="74"/>
      <c r="Y317" s="74"/>
      <c r="Z317" s="74"/>
      <c r="AA317" s="74"/>
      <c r="AB317" s="74"/>
    </row>
    <row r="318" spans="1:28" ht="12" customHeight="1">
      <c r="A318" s="105"/>
      <c r="B318" s="106"/>
      <c r="C318" s="107"/>
      <c r="D318" s="108"/>
      <c r="E318" s="107"/>
      <c r="F318" s="107"/>
      <c r="G318" s="35"/>
      <c r="H318" s="104"/>
      <c r="I318" s="35"/>
      <c r="J318" s="74"/>
      <c r="K318" s="74"/>
      <c r="L318" s="74"/>
      <c r="M318" s="74"/>
      <c r="N318" s="74"/>
      <c r="O318" s="74"/>
      <c r="P318" s="74"/>
      <c r="Q318" s="74"/>
      <c r="R318" s="74"/>
      <c r="S318" s="74"/>
      <c r="T318" s="74"/>
      <c r="U318" s="74"/>
      <c r="V318" s="74"/>
      <c r="W318" s="74"/>
      <c r="X318" s="74"/>
      <c r="Y318" s="74"/>
      <c r="Z318" s="74"/>
      <c r="AA318" s="74"/>
      <c r="AB318" s="74"/>
    </row>
    <row r="319" spans="1:28" ht="12" customHeight="1">
      <c r="A319" s="105"/>
      <c r="B319" s="106"/>
      <c r="C319" s="107"/>
      <c r="D319" s="108"/>
      <c r="E319" s="107"/>
      <c r="F319" s="107"/>
      <c r="G319" s="35"/>
      <c r="H319" s="104"/>
      <c r="I319" s="35"/>
      <c r="J319" s="74"/>
      <c r="K319" s="74"/>
      <c r="L319" s="74"/>
      <c r="M319" s="74"/>
      <c r="N319" s="74"/>
      <c r="O319" s="74"/>
      <c r="P319" s="74"/>
      <c r="Q319" s="74"/>
      <c r="R319" s="74"/>
      <c r="S319" s="74"/>
      <c r="T319" s="74"/>
      <c r="U319" s="74"/>
      <c r="V319" s="74"/>
      <c r="W319" s="74"/>
      <c r="X319" s="74"/>
      <c r="Y319" s="74"/>
      <c r="Z319" s="74"/>
      <c r="AA319" s="74"/>
      <c r="AB319" s="74"/>
    </row>
    <row r="320" spans="1:28" ht="12" customHeight="1">
      <c r="A320" s="105"/>
      <c r="B320" s="106"/>
      <c r="C320" s="107"/>
      <c r="D320" s="108"/>
      <c r="E320" s="107"/>
      <c r="F320" s="107"/>
      <c r="G320" s="35"/>
      <c r="H320" s="104"/>
      <c r="I320" s="35"/>
      <c r="J320" s="74"/>
      <c r="K320" s="74"/>
      <c r="L320" s="74"/>
      <c r="M320" s="74"/>
      <c r="N320" s="74"/>
      <c r="O320" s="74"/>
      <c r="P320" s="74"/>
      <c r="Q320" s="74"/>
      <c r="R320" s="74"/>
      <c r="S320" s="74"/>
      <c r="T320" s="74"/>
      <c r="U320" s="74"/>
      <c r="V320" s="74"/>
      <c r="W320" s="74"/>
      <c r="X320" s="74"/>
      <c r="Y320" s="74"/>
      <c r="Z320" s="74"/>
      <c r="AA320" s="74"/>
      <c r="AB320" s="74"/>
    </row>
    <row r="321" spans="1:28" ht="12" customHeight="1">
      <c r="A321" s="105"/>
      <c r="B321" s="106"/>
      <c r="C321" s="107"/>
      <c r="D321" s="108"/>
      <c r="E321" s="107"/>
      <c r="F321" s="107"/>
      <c r="G321" s="35"/>
      <c r="H321" s="104"/>
      <c r="I321" s="35"/>
      <c r="J321" s="74"/>
      <c r="K321" s="74"/>
      <c r="L321" s="74"/>
      <c r="M321" s="74"/>
      <c r="N321" s="74"/>
      <c r="O321" s="74"/>
      <c r="P321" s="74"/>
      <c r="Q321" s="74"/>
      <c r="R321" s="74"/>
      <c r="S321" s="74"/>
      <c r="T321" s="74"/>
      <c r="U321" s="74"/>
      <c r="V321" s="74"/>
      <c r="W321" s="74"/>
      <c r="X321" s="74"/>
      <c r="Y321" s="74"/>
      <c r="Z321" s="74"/>
      <c r="AA321" s="74"/>
      <c r="AB321" s="74"/>
    </row>
    <row r="322" spans="1:28" ht="12" customHeight="1">
      <c r="A322" s="105"/>
      <c r="B322" s="106"/>
      <c r="C322" s="107"/>
      <c r="D322" s="108"/>
      <c r="E322" s="107"/>
      <c r="F322" s="107"/>
      <c r="G322" s="35"/>
      <c r="H322" s="104"/>
      <c r="I322" s="35"/>
      <c r="J322" s="74"/>
      <c r="K322" s="74"/>
      <c r="L322" s="74"/>
      <c r="M322" s="74"/>
      <c r="N322" s="74"/>
      <c r="O322" s="74"/>
      <c r="P322" s="74"/>
      <c r="Q322" s="74"/>
      <c r="R322" s="74"/>
      <c r="S322" s="74"/>
      <c r="T322" s="74"/>
      <c r="U322" s="74"/>
      <c r="V322" s="74"/>
      <c r="W322" s="74"/>
      <c r="X322" s="74"/>
      <c r="Y322" s="74"/>
      <c r="Z322" s="74"/>
      <c r="AA322" s="74"/>
      <c r="AB322" s="74"/>
    </row>
    <row r="323" spans="1:28" ht="12" customHeight="1">
      <c r="A323" s="105"/>
      <c r="B323" s="106"/>
      <c r="C323" s="107"/>
      <c r="D323" s="108"/>
      <c r="E323" s="107"/>
      <c r="F323" s="107"/>
      <c r="G323" s="35"/>
      <c r="H323" s="104"/>
      <c r="I323" s="35"/>
      <c r="J323" s="74"/>
      <c r="K323" s="74"/>
      <c r="L323" s="74"/>
      <c r="M323" s="74"/>
      <c r="N323" s="74"/>
      <c r="O323" s="74"/>
      <c r="P323" s="74"/>
      <c r="Q323" s="74"/>
      <c r="R323" s="74"/>
      <c r="S323" s="74"/>
      <c r="T323" s="74"/>
      <c r="U323" s="74"/>
      <c r="V323" s="74"/>
      <c r="W323" s="74"/>
      <c r="X323" s="74"/>
      <c r="Y323" s="74"/>
      <c r="Z323" s="74"/>
      <c r="AA323" s="74"/>
      <c r="AB323" s="74"/>
    </row>
    <row r="324" spans="1:28" ht="12" customHeight="1">
      <c r="A324" s="105"/>
      <c r="B324" s="106"/>
      <c r="C324" s="107"/>
      <c r="D324" s="108"/>
      <c r="E324" s="107"/>
      <c r="F324" s="107"/>
      <c r="G324" s="35"/>
      <c r="H324" s="104"/>
      <c r="I324" s="35"/>
      <c r="J324" s="74"/>
      <c r="K324" s="74"/>
      <c r="L324" s="74"/>
      <c r="M324" s="74"/>
      <c r="N324" s="74"/>
      <c r="O324" s="74"/>
      <c r="P324" s="74"/>
      <c r="Q324" s="74"/>
      <c r="R324" s="74"/>
      <c r="S324" s="74"/>
      <c r="T324" s="74"/>
      <c r="U324" s="74"/>
      <c r="V324" s="74"/>
      <c r="W324" s="74"/>
      <c r="X324" s="74"/>
      <c r="Y324" s="74"/>
      <c r="Z324" s="74"/>
      <c r="AA324" s="74"/>
      <c r="AB324" s="74"/>
    </row>
    <row r="325" spans="1:28" ht="12" customHeight="1">
      <c r="A325" s="105"/>
      <c r="B325" s="106"/>
      <c r="C325" s="107"/>
      <c r="D325" s="108"/>
      <c r="E325" s="107"/>
      <c r="F325" s="107"/>
      <c r="G325" s="35"/>
      <c r="H325" s="104"/>
      <c r="I325" s="35"/>
      <c r="J325" s="74"/>
      <c r="K325" s="74"/>
      <c r="L325" s="74"/>
      <c r="M325" s="74"/>
      <c r="N325" s="74"/>
      <c r="O325" s="74"/>
      <c r="P325" s="74"/>
      <c r="Q325" s="74"/>
      <c r="R325" s="74"/>
      <c r="S325" s="74"/>
      <c r="T325" s="74"/>
      <c r="U325" s="74"/>
      <c r="V325" s="74"/>
      <c r="W325" s="74"/>
      <c r="X325" s="74"/>
      <c r="Y325" s="74"/>
      <c r="Z325" s="74"/>
      <c r="AA325" s="74"/>
      <c r="AB325" s="74"/>
    </row>
    <row r="326" spans="1:28" ht="12" customHeight="1">
      <c r="A326" s="105"/>
      <c r="B326" s="106"/>
      <c r="C326" s="107"/>
      <c r="D326" s="108"/>
      <c r="E326" s="107"/>
      <c r="F326" s="107"/>
      <c r="G326" s="35"/>
      <c r="H326" s="104"/>
      <c r="I326" s="35"/>
      <c r="J326" s="74"/>
      <c r="K326" s="74"/>
      <c r="L326" s="74"/>
      <c r="M326" s="74"/>
      <c r="N326" s="74"/>
      <c r="O326" s="74"/>
      <c r="P326" s="74"/>
      <c r="Q326" s="74"/>
      <c r="R326" s="74"/>
      <c r="S326" s="74"/>
      <c r="T326" s="74"/>
      <c r="U326" s="74"/>
      <c r="V326" s="74"/>
      <c r="W326" s="74"/>
      <c r="X326" s="74"/>
      <c r="Y326" s="74"/>
      <c r="Z326" s="74"/>
      <c r="AA326" s="74"/>
      <c r="AB326" s="74"/>
    </row>
    <row r="327" spans="1:28" ht="12" customHeight="1">
      <c r="A327" s="105"/>
      <c r="B327" s="106"/>
      <c r="C327" s="107"/>
      <c r="D327" s="108"/>
      <c r="E327" s="107"/>
      <c r="F327" s="107"/>
      <c r="G327" s="35"/>
      <c r="H327" s="104"/>
      <c r="I327" s="35"/>
      <c r="J327" s="74"/>
      <c r="K327" s="74"/>
      <c r="L327" s="74"/>
      <c r="M327" s="74"/>
      <c r="N327" s="74"/>
      <c r="O327" s="74"/>
      <c r="P327" s="74"/>
      <c r="Q327" s="74"/>
      <c r="R327" s="74"/>
      <c r="S327" s="74"/>
      <c r="T327" s="74"/>
      <c r="U327" s="74"/>
      <c r="V327" s="74"/>
      <c r="W327" s="74"/>
      <c r="X327" s="74"/>
      <c r="Y327" s="74"/>
      <c r="Z327" s="74"/>
      <c r="AA327" s="74"/>
      <c r="AB327" s="74"/>
    </row>
    <row r="328" spans="1:28" ht="12" customHeight="1">
      <c r="A328" s="105"/>
      <c r="B328" s="106"/>
      <c r="C328" s="107"/>
      <c r="D328" s="108"/>
      <c r="E328" s="107"/>
      <c r="F328" s="107"/>
      <c r="G328" s="35"/>
      <c r="H328" s="104"/>
      <c r="I328" s="35"/>
      <c r="J328" s="74"/>
      <c r="K328" s="74"/>
      <c r="L328" s="74"/>
      <c r="M328" s="74"/>
      <c r="N328" s="74"/>
      <c r="O328" s="74"/>
      <c r="P328" s="74"/>
      <c r="Q328" s="74"/>
      <c r="R328" s="74"/>
      <c r="S328" s="74"/>
      <c r="T328" s="74"/>
      <c r="U328" s="74"/>
      <c r="V328" s="74"/>
      <c r="W328" s="74"/>
      <c r="X328" s="74"/>
      <c r="Y328" s="74"/>
      <c r="Z328" s="74"/>
      <c r="AA328" s="74"/>
      <c r="AB328" s="74"/>
    </row>
    <row r="329" spans="1:28" ht="12" customHeight="1">
      <c r="A329" s="105"/>
      <c r="B329" s="106"/>
      <c r="C329" s="107"/>
      <c r="D329" s="108"/>
      <c r="E329" s="107"/>
      <c r="F329" s="107"/>
      <c r="G329" s="35"/>
      <c r="H329" s="104"/>
      <c r="I329" s="35"/>
      <c r="J329" s="74"/>
      <c r="K329" s="74"/>
      <c r="L329" s="74"/>
      <c r="M329" s="74"/>
      <c r="N329" s="74"/>
      <c r="O329" s="74"/>
      <c r="P329" s="74"/>
      <c r="Q329" s="74"/>
      <c r="R329" s="74"/>
      <c r="S329" s="74"/>
      <c r="T329" s="74"/>
      <c r="U329" s="74"/>
      <c r="V329" s="74"/>
      <c r="W329" s="74"/>
      <c r="X329" s="74"/>
      <c r="Y329" s="74"/>
      <c r="Z329" s="74"/>
      <c r="AA329" s="74"/>
      <c r="AB329" s="74"/>
    </row>
    <row r="330" spans="1:28" ht="12" customHeight="1">
      <c r="A330" s="105"/>
      <c r="B330" s="106"/>
      <c r="C330" s="107"/>
      <c r="D330" s="108"/>
      <c r="E330" s="107"/>
      <c r="F330" s="107"/>
      <c r="G330" s="35"/>
      <c r="H330" s="104"/>
      <c r="I330" s="35"/>
      <c r="J330" s="74"/>
      <c r="K330" s="74"/>
      <c r="L330" s="74"/>
      <c r="M330" s="74"/>
      <c r="N330" s="74"/>
      <c r="O330" s="74"/>
      <c r="P330" s="74"/>
      <c r="Q330" s="74"/>
      <c r="R330" s="74"/>
      <c r="S330" s="74"/>
      <c r="T330" s="74"/>
      <c r="U330" s="74"/>
      <c r="V330" s="74"/>
      <c r="W330" s="74"/>
      <c r="X330" s="74"/>
      <c r="Y330" s="74"/>
      <c r="Z330" s="74"/>
      <c r="AA330" s="74"/>
      <c r="AB330" s="74"/>
    </row>
    <row r="331" spans="1:28" ht="12" customHeight="1">
      <c r="A331" s="105"/>
      <c r="B331" s="106"/>
      <c r="C331" s="107"/>
      <c r="D331" s="108"/>
      <c r="E331" s="107"/>
      <c r="F331" s="107"/>
      <c r="G331" s="35"/>
      <c r="H331" s="104"/>
      <c r="I331" s="35"/>
      <c r="J331" s="74"/>
      <c r="K331" s="74"/>
      <c r="L331" s="74"/>
      <c r="M331" s="74"/>
      <c r="N331" s="74"/>
      <c r="O331" s="74"/>
      <c r="P331" s="74"/>
      <c r="Q331" s="74"/>
      <c r="R331" s="74"/>
      <c r="S331" s="74"/>
      <c r="T331" s="74"/>
      <c r="U331" s="74"/>
      <c r="V331" s="74"/>
      <c r="W331" s="74"/>
      <c r="X331" s="74"/>
      <c r="Y331" s="74"/>
      <c r="Z331" s="74"/>
      <c r="AA331" s="74"/>
      <c r="AB331" s="74"/>
    </row>
    <row r="332" spans="1:28" ht="12" customHeight="1">
      <c r="A332" s="105"/>
      <c r="B332" s="106"/>
      <c r="C332" s="107"/>
      <c r="D332" s="108"/>
      <c r="E332" s="107"/>
      <c r="F332" s="107"/>
      <c r="G332" s="35"/>
      <c r="H332" s="104"/>
      <c r="I332" s="35"/>
      <c r="J332" s="74"/>
      <c r="K332" s="74"/>
      <c r="L332" s="74"/>
      <c r="M332" s="74"/>
      <c r="N332" s="74"/>
      <c r="O332" s="74"/>
      <c r="P332" s="74"/>
      <c r="Q332" s="74"/>
      <c r="R332" s="74"/>
      <c r="S332" s="74"/>
      <c r="T332" s="74"/>
      <c r="U332" s="74"/>
      <c r="V332" s="74"/>
      <c r="W332" s="74"/>
      <c r="X332" s="74"/>
      <c r="Y332" s="74"/>
      <c r="Z332" s="74"/>
      <c r="AA332" s="74"/>
      <c r="AB332" s="74"/>
    </row>
    <row r="333" spans="1:28" ht="12" customHeight="1">
      <c r="A333" s="105"/>
      <c r="B333" s="106"/>
      <c r="C333" s="107"/>
      <c r="D333" s="108"/>
      <c r="E333" s="107"/>
      <c r="F333" s="107"/>
      <c r="G333" s="35"/>
      <c r="H333" s="104"/>
      <c r="I333" s="35"/>
      <c r="J333" s="74"/>
      <c r="K333" s="74"/>
      <c r="L333" s="74"/>
      <c r="M333" s="74"/>
      <c r="N333" s="74"/>
      <c r="O333" s="74"/>
      <c r="P333" s="74"/>
      <c r="Q333" s="74"/>
      <c r="R333" s="74"/>
      <c r="S333" s="74"/>
      <c r="T333" s="74"/>
      <c r="U333" s="74"/>
      <c r="V333" s="74"/>
      <c r="W333" s="74"/>
      <c r="X333" s="74"/>
      <c r="Y333" s="74"/>
      <c r="Z333" s="74"/>
      <c r="AA333" s="74"/>
      <c r="AB333" s="74"/>
    </row>
    <row r="334" spans="1:28" ht="12" customHeight="1">
      <c r="A334" s="105"/>
      <c r="B334" s="106"/>
      <c r="C334" s="107"/>
      <c r="D334" s="108"/>
      <c r="E334" s="107"/>
      <c r="F334" s="107"/>
      <c r="G334" s="35"/>
      <c r="H334" s="104"/>
      <c r="I334" s="35"/>
      <c r="J334" s="74"/>
      <c r="K334" s="74"/>
      <c r="L334" s="74"/>
      <c r="M334" s="74"/>
      <c r="N334" s="74"/>
      <c r="O334" s="74"/>
      <c r="P334" s="74"/>
      <c r="Q334" s="74"/>
      <c r="R334" s="74"/>
      <c r="S334" s="74"/>
      <c r="T334" s="74"/>
      <c r="U334" s="74"/>
      <c r="V334" s="74"/>
      <c r="W334" s="74"/>
      <c r="X334" s="74"/>
      <c r="Y334" s="74"/>
      <c r="Z334" s="74"/>
      <c r="AA334" s="74"/>
      <c r="AB334" s="74"/>
    </row>
    <row r="335" spans="1:28" ht="12" customHeight="1">
      <c r="A335" s="105"/>
      <c r="B335" s="106"/>
      <c r="C335" s="107"/>
      <c r="D335" s="108"/>
      <c r="E335" s="107"/>
      <c r="F335" s="107"/>
      <c r="G335" s="35"/>
      <c r="H335" s="104"/>
      <c r="I335" s="35"/>
      <c r="J335" s="74"/>
      <c r="K335" s="74"/>
      <c r="L335" s="74"/>
      <c r="M335" s="74"/>
      <c r="N335" s="74"/>
      <c r="O335" s="74"/>
      <c r="P335" s="74"/>
      <c r="Q335" s="74"/>
      <c r="R335" s="74"/>
      <c r="S335" s="74"/>
      <c r="T335" s="74"/>
      <c r="U335" s="74"/>
      <c r="V335" s="74"/>
      <c r="W335" s="74"/>
      <c r="X335" s="74"/>
      <c r="Y335" s="74"/>
      <c r="Z335" s="74"/>
      <c r="AA335" s="74"/>
      <c r="AB335" s="74"/>
    </row>
    <row r="336" spans="1:28" ht="12" customHeight="1">
      <c r="A336" s="105"/>
      <c r="B336" s="106"/>
      <c r="C336" s="107"/>
      <c r="D336" s="108"/>
      <c r="E336" s="107"/>
      <c r="F336" s="107"/>
      <c r="G336" s="35"/>
      <c r="H336" s="104"/>
      <c r="I336" s="35"/>
      <c r="J336" s="74"/>
      <c r="K336" s="74"/>
      <c r="L336" s="74"/>
      <c r="M336" s="74"/>
      <c r="N336" s="74"/>
      <c r="O336" s="74"/>
      <c r="P336" s="74"/>
      <c r="Q336" s="74"/>
      <c r="R336" s="74"/>
      <c r="S336" s="74"/>
      <c r="T336" s="74"/>
      <c r="U336" s="74"/>
      <c r="V336" s="74"/>
      <c r="W336" s="74"/>
      <c r="X336" s="74"/>
      <c r="Y336" s="74"/>
      <c r="Z336" s="74"/>
      <c r="AA336" s="74"/>
      <c r="AB336" s="74"/>
    </row>
    <row r="337" spans="1:28" ht="12" customHeight="1">
      <c r="A337" s="105"/>
      <c r="B337" s="106"/>
      <c r="C337" s="107"/>
      <c r="D337" s="108"/>
      <c r="E337" s="107"/>
      <c r="F337" s="107"/>
      <c r="G337" s="35"/>
      <c r="H337" s="104"/>
      <c r="I337" s="35"/>
      <c r="J337" s="74"/>
      <c r="K337" s="74"/>
      <c r="L337" s="74"/>
      <c r="M337" s="74"/>
      <c r="N337" s="74"/>
      <c r="O337" s="74"/>
      <c r="P337" s="74"/>
      <c r="Q337" s="74"/>
      <c r="R337" s="74"/>
      <c r="S337" s="74"/>
      <c r="T337" s="74"/>
      <c r="U337" s="74"/>
      <c r="V337" s="74"/>
      <c r="W337" s="74"/>
      <c r="X337" s="74"/>
      <c r="Y337" s="74"/>
      <c r="Z337" s="74"/>
      <c r="AA337" s="74"/>
      <c r="AB337" s="74"/>
    </row>
    <row r="338" spans="1:28" ht="12" customHeight="1">
      <c r="A338" s="105"/>
      <c r="B338" s="106"/>
      <c r="C338" s="107"/>
      <c r="D338" s="108"/>
      <c r="E338" s="107"/>
      <c r="F338" s="107"/>
      <c r="G338" s="35"/>
      <c r="H338" s="104"/>
      <c r="I338" s="35"/>
      <c r="J338" s="74"/>
      <c r="K338" s="74"/>
      <c r="L338" s="74"/>
      <c r="M338" s="74"/>
      <c r="N338" s="74"/>
      <c r="O338" s="74"/>
      <c r="P338" s="74"/>
      <c r="Q338" s="74"/>
      <c r="R338" s="74"/>
      <c r="S338" s="74"/>
      <c r="T338" s="74"/>
      <c r="U338" s="74"/>
      <c r="V338" s="74"/>
      <c r="W338" s="74"/>
      <c r="X338" s="74"/>
      <c r="Y338" s="74"/>
      <c r="Z338" s="74"/>
      <c r="AA338" s="74"/>
      <c r="AB338" s="74"/>
    </row>
    <row r="339" spans="1:28" ht="12" customHeight="1">
      <c r="A339" s="105"/>
      <c r="B339" s="106"/>
      <c r="C339" s="107"/>
      <c r="D339" s="108"/>
      <c r="E339" s="107"/>
      <c r="F339" s="107"/>
      <c r="G339" s="35"/>
      <c r="H339" s="104"/>
      <c r="I339" s="35"/>
      <c r="J339" s="74"/>
      <c r="K339" s="74"/>
      <c r="L339" s="74"/>
      <c r="M339" s="74"/>
      <c r="N339" s="74"/>
      <c r="O339" s="74"/>
      <c r="P339" s="74"/>
      <c r="Q339" s="74"/>
      <c r="R339" s="74"/>
      <c r="S339" s="74"/>
      <c r="T339" s="74"/>
      <c r="U339" s="74"/>
      <c r="V339" s="74"/>
      <c r="W339" s="74"/>
      <c r="X339" s="74"/>
      <c r="Y339" s="74"/>
      <c r="Z339" s="74"/>
      <c r="AA339" s="74"/>
      <c r="AB339" s="74"/>
    </row>
    <row r="340" spans="1:28" ht="12" customHeight="1">
      <c r="A340" s="105"/>
      <c r="B340" s="106"/>
      <c r="C340" s="107"/>
      <c r="D340" s="108"/>
      <c r="E340" s="107"/>
      <c r="F340" s="107"/>
      <c r="G340" s="35"/>
      <c r="H340" s="104"/>
      <c r="I340" s="35"/>
      <c r="J340" s="74"/>
      <c r="K340" s="74"/>
      <c r="L340" s="74"/>
      <c r="M340" s="74"/>
      <c r="N340" s="74"/>
      <c r="O340" s="74"/>
      <c r="P340" s="74"/>
      <c r="Q340" s="74"/>
      <c r="R340" s="74"/>
      <c r="S340" s="74"/>
      <c r="T340" s="74"/>
      <c r="U340" s="74"/>
      <c r="V340" s="74"/>
      <c r="W340" s="74"/>
      <c r="X340" s="74"/>
      <c r="Y340" s="74"/>
      <c r="Z340" s="74"/>
      <c r="AA340" s="74"/>
      <c r="AB340" s="74"/>
    </row>
    <row r="341" spans="1:28" ht="12" customHeight="1">
      <c r="A341" s="105"/>
      <c r="B341" s="106"/>
      <c r="C341" s="107"/>
      <c r="D341" s="108"/>
      <c r="E341" s="107"/>
      <c r="F341" s="107"/>
      <c r="G341" s="35"/>
      <c r="H341" s="104"/>
      <c r="I341" s="35"/>
      <c r="J341" s="74"/>
      <c r="K341" s="74"/>
      <c r="L341" s="74"/>
      <c r="M341" s="74"/>
      <c r="N341" s="74"/>
      <c r="O341" s="74"/>
      <c r="P341" s="74"/>
      <c r="Q341" s="74"/>
      <c r="R341" s="74"/>
      <c r="S341" s="74"/>
      <c r="T341" s="74"/>
      <c r="U341" s="74"/>
      <c r="V341" s="74"/>
      <c r="W341" s="74"/>
      <c r="X341" s="74"/>
      <c r="Y341" s="74"/>
      <c r="Z341" s="74"/>
      <c r="AA341" s="74"/>
      <c r="AB341" s="74"/>
    </row>
    <row r="342" spans="1:28" ht="12" customHeight="1">
      <c r="A342" s="105"/>
      <c r="B342" s="106"/>
      <c r="C342" s="107"/>
      <c r="D342" s="108"/>
      <c r="E342" s="107"/>
      <c r="F342" s="107"/>
      <c r="G342" s="35"/>
      <c r="H342" s="104"/>
      <c r="I342" s="35"/>
      <c r="J342" s="74"/>
      <c r="K342" s="74"/>
      <c r="L342" s="74"/>
      <c r="M342" s="74"/>
      <c r="N342" s="74"/>
      <c r="O342" s="74"/>
      <c r="P342" s="74"/>
      <c r="Q342" s="74"/>
      <c r="R342" s="74"/>
      <c r="S342" s="74"/>
      <c r="T342" s="74"/>
      <c r="U342" s="74"/>
      <c r="V342" s="74"/>
      <c r="W342" s="74"/>
      <c r="X342" s="74"/>
      <c r="Y342" s="74"/>
      <c r="Z342" s="74"/>
      <c r="AA342" s="74"/>
      <c r="AB342" s="74"/>
    </row>
    <row r="343" spans="1:28" ht="12" customHeight="1">
      <c r="A343" s="105"/>
      <c r="B343" s="106"/>
      <c r="C343" s="107"/>
      <c r="D343" s="108"/>
      <c r="E343" s="107"/>
      <c r="F343" s="107"/>
      <c r="G343" s="35"/>
      <c r="H343" s="104"/>
      <c r="I343" s="35"/>
      <c r="J343" s="74"/>
      <c r="K343" s="74"/>
      <c r="L343" s="74"/>
      <c r="M343" s="74"/>
      <c r="N343" s="74"/>
      <c r="O343" s="74"/>
      <c r="P343" s="74"/>
      <c r="Q343" s="74"/>
      <c r="R343" s="74"/>
      <c r="S343" s="74"/>
      <c r="T343" s="74"/>
      <c r="U343" s="74"/>
      <c r="V343" s="74"/>
      <c r="W343" s="74"/>
      <c r="X343" s="74"/>
      <c r="Y343" s="74"/>
      <c r="Z343" s="74"/>
      <c r="AA343" s="74"/>
      <c r="AB343" s="74"/>
    </row>
    <row r="344" spans="1:28" ht="12" customHeight="1">
      <c r="A344" s="105"/>
      <c r="B344" s="106"/>
      <c r="C344" s="107"/>
      <c r="D344" s="108"/>
      <c r="E344" s="107"/>
      <c r="F344" s="107"/>
      <c r="G344" s="35"/>
      <c r="H344" s="104"/>
      <c r="I344" s="35"/>
      <c r="J344" s="74"/>
      <c r="K344" s="74"/>
      <c r="L344" s="74"/>
      <c r="M344" s="74"/>
      <c r="N344" s="74"/>
      <c r="O344" s="74"/>
      <c r="P344" s="74"/>
      <c r="Q344" s="74"/>
      <c r="R344" s="74"/>
      <c r="S344" s="74"/>
      <c r="T344" s="74"/>
      <c r="U344" s="74"/>
      <c r="V344" s="74"/>
      <c r="W344" s="74"/>
      <c r="X344" s="74"/>
      <c r="Y344" s="74"/>
      <c r="Z344" s="74"/>
      <c r="AA344" s="74"/>
      <c r="AB344" s="74"/>
    </row>
    <row r="345" spans="1:28" ht="12" customHeight="1">
      <c r="A345" s="105"/>
      <c r="B345" s="106"/>
      <c r="C345" s="107"/>
      <c r="D345" s="108"/>
      <c r="E345" s="107"/>
      <c r="F345" s="107"/>
      <c r="G345" s="35"/>
      <c r="H345" s="104"/>
      <c r="I345" s="35"/>
      <c r="J345" s="74"/>
      <c r="K345" s="74"/>
      <c r="L345" s="74"/>
      <c r="M345" s="74"/>
      <c r="N345" s="74"/>
      <c r="O345" s="74"/>
      <c r="P345" s="74"/>
      <c r="Q345" s="74"/>
      <c r="R345" s="74"/>
      <c r="S345" s="74"/>
      <c r="T345" s="74"/>
      <c r="U345" s="74"/>
      <c r="V345" s="74"/>
      <c r="W345" s="74"/>
      <c r="X345" s="74"/>
      <c r="Y345" s="74"/>
      <c r="Z345" s="74"/>
      <c r="AA345" s="74"/>
      <c r="AB345" s="74"/>
    </row>
    <row r="346" spans="1:28" ht="12" customHeight="1">
      <c r="A346" s="105"/>
      <c r="B346" s="106"/>
      <c r="C346" s="107"/>
      <c r="D346" s="108"/>
      <c r="E346" s="107"/>
      <c r="F346" s="107"/>
      <c r="G346" s="35"/>
      <c r="H346" s="104"/>
      <c r="I346" s="35"/>
      <c r="J346" s="74"/>
      <c r="K346" s="74"/>
      <c r="L346" s="74"/>
      <c r="M346" s="74"/>
      <c r="N346" s="74"/>
      <c r="O346" s="74"/>
      <c r="P346" s="74"/>
      <c r="Q346" s="74"/>
      <c r="R346" s="74"/>
      <c r="S346" s="74"/>
      <c r="T346" s="74"/>
      <c r="U346" s="74"/>
      <c r="V346" s="74"/>
      <c r="W346" s="74"/>
      <c r="X346" s="74"/>
      <c r="Y346" s="74"/>
      <c r="Z346" s="74"/>
      <c r="AA346" s="74"/>
      <c r="AB346" s="74"/>
    </row>
    <row r="347" spans="1:28" ht="12" customHeight="1">
      <c r="A347" s="105"/>
      <c r="B347" s="106"/>
      <c r="C347" s="107"/>
      <c r="D347" s="108"/>
      <c r="E347" s="107"/>
      <c r="F347" s="107"/>
      <c r="G347" s="35"/>
      <c r="H347" s="104"/>
      <c r="I347" s="35"/>
      <c r="J347" s="74"/>
      <c r="K347" s="74"/>
      <c r="L347" s="74"/>
      <c r="M347" s="74"/>
      <c r="N347" s="74"/>
      <c r="O347" s="74"/>
      <c r="P347" s="74"/>
      <c r="Q347" s="74"/>
      <c r="R347" s="74"/>
      <c r="S347" s="74"/>
      <c r="T347" s="74"/>
      <c r="U347" s="74"/>
      <c r="V347" s="74"/>
      <c r="W347" s="74"/>
      <c r="X347" s="74"/>
      <c r="Y347" s="74"/>
      <c r="Z347" s="74"/>
      <c r="AA347" s="74"/>
      <c r="AB347" s="74"/>
    </row>
    <row r="348" spans="1:28" ht="12" customHeight="1">
      <c r="A348" s="105"/>
      <c r="B348" s="106"/>
      <c r="C348" s="107"/>
      <c r="D348" s="108"/>
      <c r="E348" s="107"/>
      <c r="F348" s="107"/>
      <c r="G348" s="35"/>
      <c r="H348" s="104"/>
      <c r="I348" s="35"/>
      <c r="J348" s="74"/>
      <c r="K348" s="74"/>
      <c r="L348" s="74"/>
      <c r="M348" s="74"/>
      <c r="N348" s="74"/>
      <c r="O348" s="74"/>
      <c r="P348" s="74"/>
      <c r="Q348" s="74"/>
      <c r="R348" s="74"/>
      <c r="S348" s="74"/>
      <c r="T348" s="74"/>
      <c r="U348" s="74"/>
      <c r="V348" s="74"/>
      <c r="W348" s="74"/>
      <c r="X348" s="74"/>
      <c r="Y348" s="74"/>
      <c r="Z348" s="74"/>
      <c r="AA348" s="74"/>
      <c r="AB348" s="74"/>
    </row>
    <row r="349" spans="1:28" ht="12" customHeight="1">
      <c r="A349" s="105"/>
      <c r="B349" s="106"/>
      <c r="C349" s="107"/>
      <c r="D349" s="108"/>
      <c r="E349" s="107"/>
      <c r="F349" s="107"/>
      <c r="G349" s="35"/>
      <c r="H349" s="104"/>
      <c r="I349" s="35"/>
      <c r="J349" s="74"/>
      <c r="K349" s="74"/>
      <c r="L349" s="74"/>
      <c r="M349" s="74"/>
      <c r="N349" s="74"/>
      <c r="O349" s="74"/>
      <c r="P349" s="74"/>
      <c r="Q349" s="74"/>
      <c r="R349" s="74"/>
      <c r="S349" s="74"/>
      <c r="T349" s="74"/>
      <c r="U349" s="74"/>
      <c r="V349" s="74"/>
      <c r="W349" s="74"/>
      <c r="X349" s="74"/>
      <c r="Y349" s="74"/>
      <c r="Z349" s="74"/>
      <c r="AA349" s="74"/>
      <c r="AB349" s="74"/>
    </row>
    <row r="350" spans="1:28" ht="12" customHeight="1">
      <c r="A350" s="105"/>
      <c r="B350" s="106"/>
      <c r="C350" s="107"/>
      <c r="D350" s="108"/>
      <c r="E350" s="107"/>
      <c r="F350" s="107"/>
      <c r="G350" s="35"/>
      <c r="H350" s="104"/>
      <c r="I350" s="35"/>
      <c r="J350" s="74"/>
      <c r="K350" s="74"/>
      <c r="L350" s="74"/>
      <c r="M350" s="74"/>
      <c r="N350" s="74"/>
      <c r="O350" s="74"/>
      <c r="P350" s="74"/>
      <c r="Q350" s="74"/>
      <c r="R350" s="74"/>
      <c r="S350" s="74"/>
      <c r="T350" s="74"/>
      <c r="U350" s="74"/>
      <c r="V350" s="74"/>
      <c r="W350" s="74"/>
      <c r="X350" s="74"/>
      <c r="Y350" s="74"/>
      <c r="Z350" s="74"/>
      <c r="AA350" s="74"/>
      <c r="AB350" s="74"/>
    </row>
    <row r="351" spans="1:28" ht="12" customHeight="1">
      <c r="A351" s="105"/>
      <c r="B351" s="106"/>
      <c r="C351" s="107"/>
      <c r="D351" s="108"/>
      <c r="E351" s="107"/>
      <c r="F351" s="107"/>
      <c r="G351" s="35"/>
      <c r="H351" s="104"/>
      <c r="I351" s="35"/>
      <c r="J351" s="74"/>
      <c r="K351" s="74"/>
      <c r="L351" s="74"/>
      <c r="M351" s="74"/>
      <c r="N351" s="74"/>
      <c r="O351" s="74"/>
      <c r="P351" s="74"/>
      <c r="Q351" s="74"/>
      <c r="R351" s="74"/>
      <c r="S351" s="74"/>
      <c r="T351" s="74"/>
      <c r="U351" s="74"/>
      <c r="V351" s="74"/>
      <c r="W351" s="74"/>
      <c r="X351" s="74"/>
      <c r="Y351" s="74"/>
      <c r="Z351" s="74"/>
      <c r="AA351" s="74"/>
      <c r="AB351" s="74"/>
    </row>
    <row r="352" spans="1:28" ht="12" customHeight="1">
      <c r="A352" s="105"/>
      <c r="B352" s="106"/>
      <c r="C352" s="107"/>
      <c r="D352" s="108"/>
      <c r="E352" s="107"/>
      <c r="F352" s="107"/>
      <c r="G352" s="35"/>
      <c r="H352" s="104"/>
      <c r="I352" s="35"/>
      <c r="J352" s="74"/>
      <c r="K352" s="74"/>
      <c r="L352" s="74"/>
      <c r="M352" s="74"/>
      <c r="N352" s="74"/>
      <c r="O352" s="74"/>
      <c r="P352" s="74"/>
      <c r="Q352" s="74"/>
      <c r="R352" s="74"/>
      <c r="S352" s="74"/>
      <c r="T352" s="74"/>
      <c r="U352" s="74"/>
      <c r="V352" s="74"/>
      <c r="W352" s="74"/>
      <c r="X352" s="74"/>
      <c r="Y352" s="74"/>
      <c r="Z352" s="74"/>
      <c r="AA352" s="74"/>
      <c r="AB352" s="74"/>
    </row>
    <row r="353" spans="1:28" ht="12" customHeight="1">
      <c r="A353" s="105"/>
      <c r="B353" s="106"/>
      <c r="C353" s="107"/>
      <c r="D353" s="108"/>
      <c r="E353" s="107"/>
      <c r="F353" s="107"/>
      <c r="G353" s="35"/>
      <c r="H353" s="104"/>
      <c r="I353" s="35"/>
      <c r="J353" s="74"/>
      <c r="K353" s="74"/>
      <c r="L353" s="74"/>
      <c r="M353" s="74"/>
      <c r="N353" s="74"/>
      <c r="O353" s="74"/>
      <c r="P353" s="74"/>
      <c r="Q353" s="74"/>
      <c r="R353" s="74"/>
      <c r="S353" s="74"/>
      <c r="T353" s="74"/>
      <c r="U353" s="74"/>
      <c r="V353" s="74"/>
      <c r="W353" s="74"/>
      <c r="X353" s="74"/>
      <c r="Y353" s="74"/>
      <c r="Z353" s="74"/>
      <c r="AA353" s="74"/>
      <c r="AB353" s="74"/>
    </row>
    <row r="354" spans="1:28" ht="12" customHeight="1">
      <c r="A354" s="105"/>
      <c r="B354" s="106"/>
      <c r="C354" s="107"/>
      <c r="D354" s="108"/>
      <c r="E354" s="107"/>
      <c r="F354" s="107"/>
      <c r="G354" s="35"/>
      <c r="H354" s="104"/>
      <c r="I354" s="35"/>
      <c r="J354" s="74"/>
      <c r="K354" s="74"/>
      <c r="L354" s="74"/>
      <c r="M354" s="74"/>
      <c r="N354" s="74"/>
      <c r="O354" s="74"/>
      <c r="P354" s="74"/>
      <c r="Q354" s="74"/>
      <c r="R354" s="74"/>
      <c r="S354" s="74"/>
      <c r="T354" s="74"/>
      <c r="U354" s="74"/>
      <c r="V354" s="74"/>
      <c r="W354" s="74"/>
      <c r="X354" s="74"/>
      <c r="Y354" s="74"/>
      <c r="Z354" s="74"/>
      <c r="AA354" s="74"/>
      <c r="AB354" s="74"/>
    </row>
    <row r="355" spans="1:28" ht="12" customHeight="1">
      <c r="A355" s="105"/>
      <c r="B355" s="106"/>
      <c r="C355" s="107"/>
      <c r="D355" s="108"/>
      <c r="E355" s="107"/>
      <c r="F355" s="107"/>
      <c r="G355" s="35"/>
      <c r="H355" s="104"/>
      <c r="I355" s="35"/>
      <c r="J355" s="74"/>
      <c r="K355" s="74"/>
      <c r="L355" s="74"/>
      <c r="M355" s="74"/>
      <c r="N355" s="74"/>
      <c r="O355" s="74"/>
      <c r="P355" s="74"/>
      <c r="Q355" s="74"/>
      <c r="R355" s="74"/>
      <c r="S355" s="74"/>
      <c r="T355" s="74"/>
      <c r="U355" s="74"/>
      <c r="V355" s="74"/>
      <c r="W355" s="74"/>
      <c r="X355" s="74"/>
      <c r="Y355" s="74"/>
      <c r="Z355" s="74"/>
      <c r="AA355" s="74"/>
      <c r="AB355" s="74"/>
    </row>
    <row r="356" spans="1:28" ht="12" customHeight="1">
      <c r="A356" s="105"/>
      <c r="B356" s="106"/>
      <c r="C356" s="107"/>
      <c r="D356" s="108"/>
      <c r="E356" s="107"/>
      <c r="F356" s="107"/>
      <c r="G356" s="35"/>
      <c r="H356" s="104"/>
      <c r="I356" s="35"/>
      <c r="J356" s="74"/>
      <c r="K356" s="74"/>
      <c r="L356" s="74"/>
      <c r="M356" s="74"/>
      <c r="N356" s="74"/>
      <c r="O356" s="74"/>
      <c r="P356" s="74"/>
      <c r="Q356" s="74"/>
      <c r="R356" s="74"/>
      <c r="S356" s="74"/>
      <c r="T356" s="74"/>
      <c r="U356" s="74"/>
      <c r="V356" s="74"/>
      <c r="W356" s="74"/>
      <c r="X356" s="74"/>
      <c r="Y356" s="74"/>
      <c r="Z356" s="74"/>
      <c r="AA356" s="74"/>
      <c r="AB356" s="74"/>
    </row>
    <row r="357" spans="1:28" ht="12" customHeight="1">
      <c r="A357" s="105"/>
      <c r="B357" s="106"/>
      <c r="C357" s="107"/>
      <c r="D357" s="108"/>
      <c r="E357" s="107"/>
      <c r="F357" s="107"/>
      <c r="G357" s="35"/>
      <c r="H357" s="104"/>
      <c r="I357" s="35"/>
      <c r="J357" s="74"/>
      <c r="K357" s="74"/>
      <c r="L357" s="74"/>
      <c r="M357" s="74"/>
      <c r="N357" s="74"/>
      <c r="O357" s="74"/>
      <c r="P357" s="74"/>
      <c r="Q357" s="74"/>
      <c r="R357" s="74"/>
      <c r="S357" s="74"/>
      <c r="T357" s="74"/>
      <c r="U357" s="74"/>
      <c r="V357" s="74"/>
      <c r="W357" s="74"/>
      <c r="X357" s="74"/>
      <c r="Y357" s="74"/>
      <c r="Z357" s="74"/>
      <c r="AA357" s="74"/>
      <c r="AB357" s="74"/>
    </row>
    <row r="358" spans="1:28" ht="12" customHeight="1">
      <c r="A358" s="105"/>
      <c r="B358" s="106"/>
      <c r="C358" s="107"/>
      <c r="D358" s="108"/>
      <c r="E358" s="107"/>
      <c r="F358" s="107"/>
      <c r="G358" s="35"/>
      <c r="H358" s="104"/>
      <c r="I358" s="35"/>
      <c r="J358" s="74"/>
      <c r="K358" s="74"/>
      <c r="L358" s="74"/>
      <c r="M358" s="74"/>
      <c r="N358" s="74"/>
      <c r="O358" s="74"/>
      <c r="P358" s="74"/>
      <c r="Q358" s="74"/>
      <c r="R358" s="74"/>
      <c r="S358" s="74"/>
      <c r="T358" s="74"/>
      <c r="U358" s="74"/>
      <c r="V358" s="74"/>
      <c r="W358" s="74"/>
      <c r="X358" s="74"/>
      <c r="Y358" s="74"/>
      <c r="Z358" s="74"/>
      <c r="AA358" s="74"/>
      <c r="AB358" s="74"/>
    </row>
    <row r="359" spans="1:28" ht="12" customHeight="1">
      <c r="A359" s="105"/>
      <c r="B359" s="106"/>
      <c r="C359" s="107"/>
      <c r="D359" s="108"/>
      <c r="E359" s="107"/>
      <c r="F359" s="107"/>
      <c r="G359" s="35"/>
      <c r="H359" s="104"/>
      <c r="I359" s="35"/>
      <c r="J359" s="74"/>
      <c r="K359" s="74"/>
      <c r="L359" s="74"/>
      <c r="M359" s="74"/>
      <c r="N359" s="74"/>
      <c r="O359" s="74"/>
      <c r="P359" s="74"/>
      <c r="Q359" s="74"/>
      <c r="R359" s="74"/>
      <c r="S359" s="74"/>
      <c r="T359" s="74"/>
      <c r="U359" s="74"/>
      <c r="V359" s="74"/>
      <c r="W359" s="74"/>
      <c r="X359" s="74"/>
      <c r="Y359" s="74"/>
      <c r="Z359" s="74"/>
      <c r="AA359" s="74"/>
      <c r="AB359" s="74"/>
    </row>
    <row r="360" spans="1:28" ht="12" customHeight="1">
      <c r="A360" s="105"/>
      <c r="B360" s="106"/>
      <c r="C360" s="107"/>
      <c r="D360" s="108"/>
      <c r="E360" s="107"/>
      <c r="F360" s="107"/>
      <c r="G360" s="35"/>
      <c r="H360" s="104"/>
      <c r="I360" s="35"/>
      <c r="J360" s="74"/>
      <c r="K360" s="74"/>
      <c r="L360" s="74"/>
      <c r="M360" s="74"/>
      <c r="N360" s="74"/>
      <c r="O360" s="74"/>
      <c r="P360" s="74"/>
      <c r="Q360" s="74"/>
      <c r="R360" s="74"/>
      <c r="S360" s="74"/>
      <c r="T360" s="74"/>
      <c r="U360" s="74"/>
      <c r="V360" s="74"/>
      <c r="W360" s="74"/>
      <c r="X360" s="74"/>
      <c r="Y360" s="74"/>
      <c r="Z360" s="74"/>
      <c r="AA360" s="74"/>
      <c r="AB360" s="74"/>
    </row>
    <row r="361" spans="1:28" ht="12" customHeight="1">
      <c r="A361" s="105"/>
      <c r="B361" s="106"/>
      <c r="C361" s="107"/>
      <c r="D361" s="108"/>
      <c r="E361" s="107"/>
      <c r="F361" s="107"/>
      <c r="G361" s="35"/>
      <c r="H361" s="104"/>
      <c r="I361" s="35"/>
      <c r="J361" s="74"/>
      <c r="K361" s="74"/>
      <c r="L361" s="74"/>
      <c r="M361" s="74"/>
      <c r="N361" s="74"/>
      <c r="O361" s="74"/>
      <c r="P361" s="74"/>
      <c r="Q361" s="74"/>
      <c r="R361" s="74"/>
      <c r="S361" s="74"/>
      <c r="T361" s="74"/>
      <c r="U361" s="74"/>
      <c r="V361" s="74"/>
      <c r="W361" s="74"/>
      <c r="X361" s="74"/>
      <c r="Y361" s="74"/>
      <c r="Z361" s="74"/>
      <c r="AA361" s="74"/>
      <c r="AB361" s="74"/>
    </row>
    <row r="362" spans="1:28" ht="12" customHeight="1">
      <c r="A362" s="105"/>
      <c r="B362" s="106"/>
      <c r="C362" s="107"/>
      <c r="D362" s="108"/>
      <c r="E362" s="107"/>
      <c r="F362" s="107"/>
      <c r="G362" s="35"/>
      <c r="H362" s="104"/>
      <c r="I362" s="35"/>
      <c r="J362" s="74"/>
      <c r="K362" s="74"/>
      <c r="L362" s="74"/>
      <c r="M362" s="74"/>
      <c r="N362" s="74"/>
      <c r="O362" s="74"/>
      <c r="P362" s="74"/>
      <c r="Q362" s="74"/>
      <c r="R362" s="74"/>
      <c r="S362" s="74"/>
      <c r="T362" s="74"/>
      <c r="U362" s="74"/>
      <c r="V362" s="74"/>
      <c r="W362" s="74"/>
      <c r="X362" s="74"/>
      <c r="Y362" s="74"/>
      <c r="Z362" s="74"/>
      <c r="AA362" s="74"/>
      <c r="AB362" s="74"/>
    </row>
    <row r="363" spans="1:28" ht="12" customHeight="1">
      <c r="A363" s="105"/>
      <c r="B363" s="106"/>
      <c r="C363" s="107"/>
      <c r="D363" s="108"/>
      <c r="E363" s="107"/>
      <c r="F363" s="107"/>
      <c r="G363" s="35"/>
      <c r="H363" s="104"/>
      <c r="I363" s="35"/>
      <c r="J363" s="74"/>
      <c r="K363" s="74"/>
      <c r="L363" s="74"/>
      <c r="M363" s="74"/>
      <c r="N363" s="74"/>
      <c r="O363" s="74"/>
      <c r="P363" s="74"/>
      <c r="Q363" s="74"/>
      <c r="R363" s="74"/>
      <c r="S363" s="74"/>
      <c r="T363" s="74"/>
      <c r="U363" s="74"/>
      <c r="V363" s="74"/>
      <c r="W363" s="74"/>
      <c r="X363" s="74"/>
      <c r="Y363" s="74"/>
      <c r="Z363" s="74"/>
      <c r="AA363" s="74"/>
      <c r="AB363" s="74"/>
    </row>
    <row r="364" spans="1:28" ht="12" customHeight="1">
      <c r="A364" s="105"/>
      <c r="B364" s="106"/>
      <c r="C364" s="107"/>
      <c r="D364" s="108"/>
      <c r="E364" s="107"/>
      <c r="F364" s="107"/>
      <c r="G364" s="35"/>
      <c r="H364" s="104"/>
      <c r="I364" s="35"/>
      <c r="J364" s="74"/>
      <c r="K364" s="74"/>
      <c r="L364" s="74"/>
      <c r="M364" s="74"/>
      <c r="N364" s="74"/>
      <c r="O364" s="74"/>
      <c r="P364" s="74"/>
      <c r="Q364" s="74"/>
      <c r="R364" s="74"/>
      <c r="S364" s="74"/>
      <c r="T364" s="74"/>
      <c r="U364" s="74"/>
      <c r="V364" s="74"/>
      <c r="W364" s="74"/>
      <c r="X364" s="74"/>
      <c r="Y364" s="74"/>
      <c r="Z364" s="74"/>
      <c r="AA364" s="74"/>
      <c r="AB364" s="74"/>
    </row>
    <row r="365" spans="1:28" ht="12" customHeight="1">
      <c r="A365" s="105"/>
      <c r="B365" s="106"/>
      <c r="C365" s="107"/>
      <c r="D365" s="108"/>
      <c r="E365" s="107"/>
      <c r="F365" s="107"/>
      <c r="G365" s="35"/>
      <c r="H365" s="104"/>
      <c r="I365" s="35"/>
      <c r="J365" s="74"/>
      <c r="K365" s="74"/>
      <c r="L365" s="74"/>
      <c r="M365" s="74"/>
      <c r="N365" s="74"/>
      <c r="O365" s="74"/>
      <c r="P365" s="74"/>
      <c r="Q365" s="74"/>
      <c r="R365" s="74"/>
      <c r="S365" s="74"/>
      <c r="T365" s="74"/>
      <c r="U365" s="74"/>
      <c r="V365" s="74"/>
      <c r="W365" s="74"/>
      <c r="X365" s="74"/>
      <c r="Y365" s="74"/>
      <c r="Z365" s="74"/>
      <c r="AA365" s="74"/>
      <c r="AB365" s="74"/>
    </row>
    <row r="366" spans="1:28" ht="12" customHeight="1">
      <c r="A366" s="105"/>
      <c r="B366" s="106"/>
      <c r="C366" s="107"/>
      <c r="D366" s="108"/>
      <c r="E366" s="107"/>
      <c r="F366" s="107"/>
      <c r="G366" s="35"/>
      <c r="H366" s="104"/>
      <c r="I366" s="35"/>
      <c r="J366" s="74"/>
      <c r="K366" s="74"/>
      <c r="L366" s="74"/>
      <c r="M366" s="74"/>
      <c r="N366" s="74"/>
      <c r="O366" s="74"/>
      <c r="P366" s="74"/>
      <c r="Q366" s="74"/>
      <c r="R366" s="74"/>
      <c r="S366" s="74"/>
      <c r="T366" s="74"/>
      <c r="U366" s="74"/>
      <c r="V366" s="74"/>
      <c r="W366" s="74"/>
      <c r="X366" s="74"/>
      <c r="Y366" s="74"/>
      <c r="Z366" s="74"/>
      <c r="AA366" s="74"/>
      <c r="AB366" s="74"/>
    </row>
    <row r="367" spans="1:28" ht="12" customHeight="1">
      <c r="A367" s="105"/>
      <c r="B367" s="106"/>
      <c r="C367" s="107"/>
      <c r="D367" s="108"/>
      <c r="E367" s="107"/>
      <c r="F367" s="107"/>
      <c r="G367" s="35"/>
      <c r="H367" s="104"/>
      <c r="I367" s="35"/>
      <c r="J367" s="74"/>
      <c r="K367" s="74"/>
      <c r="L367" s="74"/>
      <c r="M367" s="74"/>
      <c r="N367" s="74"/>
      <c r="O367" s="74"/>
      <c r="P367" s="74"/>
      <c r="Q367" s="74"/>
      <c r="R367" s="74"/>
      <c r="S367" s="74"/>
      <c r="T367" s="74"/>
      <c r="U367" s="74"/>
      <c r="V367" s="74"/>
      <c r="W367" s="74"/>
      <c r="X367" s="74"/>
      <c r="Y367" s="74"/>
      <c r="Z367" s="74"/>
      <c r="AA367" s="74"/>
      <c r="AB367" s="74"/>
    </row>
    <row r="368" spans="1:28" ht="12" customHeight="1">
      <c r="A368" s="105"/>
      <c r="B368" s="106"/>
      <c r="C368" s="107"/>
      <c r="D368" s="108"/>
      <c r="E368" s="107"/>
      <c r="F368" s="107"/>
      <c r="G368" s="35"/>
      <c r="H368" s="104"/>
      <c r="I368" s="35"/>
      <c r="J368" s="74"/>
      <c r="K368" s="74"/>
      <c r="L368" s="74"/>
      <c r="M368" s="74"/>
      <c r="N368" s="74"/>
      <c r="O368" s="74"/>
      <c r="P368" s="74"/>
      <c r="Q368" s="74"/>
      <c r="R368" s="74"/>
      <c r="S368" s="74"/>
      <c r="T368" s="74"/>
      <c r="U368" s="74"/>
      <c r="V368" s="74"/>
      <c r="W368" s="74"/>
      <c r="X368" s="74"/>
      <c r="Y368" s="74"/>
      <c r="Z368" s="74"/>
      <c r="AA368" s="74"/>
      <c r="AB368" s="74"/>
    </row>
    <row r="369" spans="1:28" ht="12" customHeight="1">
      <c r="A369" s="105"/>
      <c r="B369" s="106"/>
      <c r="C369" s="107"/>
      <c r="D369" s="108"/>
      <c r="E369" s="107"/>
      <c r="F369" s="107"/>
      <c r="G369" s="35"/>
      <c r="H369" s="104"/>
      <c r="I369" s="35"/>
      <c r="J369" s="74"/>
      <c r="K369" s="74"/>
      <c r="L369" s="74"/>
      <c r="M369" s="74"/>
      <c r="N369" s="74"/>
      <c r="O369" s="74"/>
      <c r="P369" s="74"/>
      <c r="Q369" s="74"/>
      <c r="R369" s="74"/>
      <c r="S369" s="74"/>
      <c r="T369" s="74"/>
      <c r="U369" s="74"/>
      <c r="V369" s="74"/>
      <c r="W369" s="74"/>
      <c r="X369" s="74"/>
      <c r="Y369" s="74"/>
      <c r="Z369" s="74"/>
      <c r="AA369" s="74"/>
      <c r="AB369" s="74"/>
    </row>
    <row r="370" spans="1:28" ht="12" customHeight="1">
      <c r="A370" s="105"/>
      <c r="B370" s="106"/>
      <c r="C370" s="107"/>
      <c r="D370" s="108"/>
      <c r="E370" s="107"/>
      <c r="F370" s="107"/>
      <c r="G370" s="35"/>
      <c r="H370" s="104"/>
      <c r="I370" s="35"/>
      <c r="J370" s="74"/>
      <c r="K370" s="74"/>
      <c r="L370" s="74"/>
      <c r="M370" s="74"/>
      <c r="N370" s="74"/>
      <c r="O370" s="74"/>
      <c r="P370" s="74"/>
      <c r="Q370" s="74"/>
      <c r="R370" s="74"/>
      <c r="S370" s="74"/>
      <c r="T370" s="74"/>
      <c r="U370" s="74"/>
      <c r="V370" s="74"/>
      <c r="W370" s="74"/>
      <c r="X370" s="74"/>
      <c r="Y370" s="74"/>
      <c r="Z370" s="74"/>
      <c r="AA370" s="74"/>
      <c r="AB370" s="74"/>
    </row>
    <row r="371" spans="1:28" ht="12" customHeight="1">
      <c r="A371" s="105"/>
      <c r="B371" s="106"/>
      <c r="C371" s="107"/>
      <c r="D371" s="108"/>
      <c r="E371" s="107"/>
      <c r="F371" s="107"/>
      <c r="G371" s="35"/>
      <c r="H371" s="104"/>
      <c r="I371" s="35"/>
      <c r="J371" s="74"/>
      <c r="K371" s="74"/>
      <c r="L371" s="74"/>
      <c r="M371" s="74"/>
      <c r="N371" s="74"/>
      <c r="O371" s="74"/>
      <c r="P371" s="74"/>
      <c r="Q371" s="74"/>
      <c r="R371" s="74"/>
      <c r="S371" s="74"/>
      <c r="T371" s="74"/>
      <c r="U371" s="74"/>
      <c r="V371" s="74"/>
      <c r="W371" s="74"/>
      <c r="X371" s="74"/>
      <c r="Y371" s="74"/>
      <c r="Z371" s="74"/>
      <c r="AA371" s="74"/>
      <c r="AB371" s="74"/>
    </row>
    <row r="372" spans="1:28" ht="12" customHeight="1">
      <c r="A372" s="105"/>
      <c r="B372" s="106"/>
      <c r="C372" s="107"/>
      <c r="D372" s="108"/>
      <c r="E372" s="107"/>
      <c r="F372" s="107"/>
      <c r="G372" s="35"/>
      <c r="H372" s="104"/>
      <c r="I372" s="35"/>
      <c r="J372" s="74"/>
      <c r="K372" s="74"/>
      <c r="L372" s="74"/>
      <c r="M372" s="74"/>
      <c r="N372" s="74"/>
      <c r="O372" s="74"/>
      <c r="P372" s="74"/>
      <c r="Q372" s="74"/>
      <c r="R372" s="74"/>
      <c r="S372" s="74"/>
      <c r="T372" s="74"/>
      <c r="U372" s="74"/>
      <c r="V372" s="74"/>
      <c r="W372" s="74"/>
      <c r="X372" s="74"/>
      <c r="Y372" s="74"/>
      <c r="Z372" s="74"/>
      <c r="AA372" s="74"/>
      <c r="AB372" s="74"/>
    </row>
    <row r="373" spans="1:28" ht="12" customHeight="1">
      <c r="A373" s="105"/>
      <c r="B373" s="106"/>
      <c r="C373" s="107"/>
      <c r="D373" s="108"/>
      <c r="E373" s="107"/>
      <c r="F373" s="107"/>
      <c r="G373" s="35"/>
      <c r="H373" s="104"/>
      <c r="I373" s="35"/>
      <c r="J373" s="74"/>
      <c r="K373" s="74"/>
      <c r="L373" s="74"/>
      <c r="M373" s="74"/>
      <c r="N373" s="74"/>
      <c r="O373" s="74"/>
      <c r="P373" s="74"/>
      <c r="Q373" s="74"/>
      <c r="R373" s="74"/>
      <c r="S373" s="74"/>
      <c r="T373" s="74"/>
      <c r="U373" s="74"/>
      <c r="V373" s="74"/>
      <c r="W373" s="74"/>
      <c r="X373" s="74"/>
      <c r="Y373" s="74"/>
      <c r="Z373" s="74"/>
      <c r="AA373" s="74"/>
      <c r="AB373" s="74"/>
    </row>
    <row r="374" spans="1:28" ht="12" customHeight="1">
      <c r="A374" s="105"/>
      <c r="B374" s="106"/>
      <c r="C374" s="107"/>
      <c r="D374" s="108"/>
      <c r="E374" s="107"/>
      <c r="F374" s="107"/>
      <c r="G374" s="35"/>
      <c r="H374" s="104"/>
      <c r="I374" s="35"/>
      <c r="J374" s="74"/>
      <c r="K374" s="74"/>
      <c r="L374" s="74"/>
      <c r="M374" s="74"/>
      <c r="N374" s="74"/>
      <c r="O374" s="74"/>
      <c r="P374" s="74"/>
      <c r="Q374" s="74"/>
      <c r="R374" s="74"/>
      <c r="S374" s="74"/>
      <c r="T374" s="74"/>
      <c r="U374" s="74"/>
      <c r="V374" s="74"/>
      <c r="W374" s="74"/>
      <c r="X374" s="74"/>
      <c r="Y374" s="74"/>
      <c r="Z374" s="74"/>
      <c r="AA374" s="74"/>
      <c r="AB374" s="74"/>
    </row>
    <row r="375" spans="1:28" ht="12" customHeight="1">
      <c r="A375" s="105"/>
      <c r="B375" s="106"/>
      <c r="C375" s="107"/>
      <c r="D375" s="108"/>
      <c r="E375" s="107"/>
      <c r="F375" s="107"/>
      <c r="G375" s="35"/>
      <c r="H375" s="104"/>
      <c r="I375" s="35"/>
      <c r="J375" s="74"/>
      <c r="K375" s="74"/>
      <c r="L375" s="74"/>
      <c r="M375" s="74"/>
      <c r="N375" s="74"/>
      <c r="O375" s="74"/>
      <c r="P375" s="74"/>
      <c r="Q375" s="74"/>
      <c r="R375" s="74"/>
      <c r="S375" s="74"/>
      <c r="T375" s="74"/>
      <c r="U375" s="74"/>
      <c r="V375" s="74"/>
      <c r="W375" s="74"/>
      <c r="X375" s="74"/>
      <c r="Y375" s="74"/>
      <c r="Z375" s="74"/>
      <c r="AA375" s="74"/>
      <c r="AB375" s="74"/>
    </row>
    <row r="376" spans="1:28" ht="12" customHeight="1">
      <c r="A376" s="105"/>
      <c r="B376" s="106"/>
      <c r="C376" s="107"/>
      <c r="D376" s="108"/>
      <c r="E376" s="107"/>
      <c r="F376" s="107"/>
      <c r="G376" s="35"/>
      <c r="H376" s="104"/>
      <c r="I376" s="35"/>
      <c r="J376" s="74"/>
      <c r="K376" s="74"/>
      <c r="L376" s="74"/>
      <c r="M376" s="74"/>
      <c r="N376" s="74"/>
      <c r="O376" s="74"/>
      <c r="P376" s="74"/>
      <c r="Q376" s="74"/>
      <c r="R376" s="74"/>
      <c r="S376" s="74"/>
      <c r="T376" s="74"/>
      <c r="U376" s="74"/>
      <c r="V376" s="74"/>
      <c r="W376" s="74"/>
      <c r="X376" s="74"/>
      <c r="Y376" s="74"/>
      <c r="Z376" s="74"/>
      <c r="AA376" s="74"/>
      <c r="AB376" s="74"/>
    </row>
    <row r="377" spans="1:28" ht="12" customHeight="1">
      <c r="A377" s="105"/>
      <c r="B377" s="106"/>
      <c r="C377" s="107"/>
      <c r="D377" s="108"/>
      <c r="E377" s="107"/>
      <c r="F377" s="107"/>
      <c r="G377" s="35"/>
      <c r="H377" s="104"/>
      <c r="I377" s="35"/>
      <c r="J377" s="74"/>
      <c r="K377" s="74"/>
      <c r="L377" s="74"/>
      <c r="M377" s="74"/>
      <c r="N377" s="74"/>
      <c r="O377" s="74"/>
      <c r="P377" s="74"/>
      <c r="Q377" s="74"/>
      <c r="R377" s="74"/>
      <c r="S377" s="74"/>
      <c r="T377" s="74"/>
      <c r="U377" s="74"/>
      <c r="V377" s="74"/>
      <c r="W377" s="74"/>
      <c r="X377" s="74"/>
      <c r="Y377" s="74"/>
      <c r="Z377" s="74"/>
      <c r="AA377" s="74"/>
      <c r="AB377" s="74"/>
    </row>
    <row r="378" spans="1:28" ht="12" customHeight="1">
      <c r="A378" s="105"/>
      <c r="B378" s="106"/>
      <c r="C378" s="107"/>
      <c r="D378" s="108"/>
      <c r="E378" s="107"/>
      <c r="F378" s="107"/>
      <c r="G378" s="35"/>
      <c r="H378" s="104"/>
      <c r="I378" s="35"/>
      <c r="J378" s="74"/>
      <c r="K378" s="74"/>
      <c r="L378" s="74"/>
      <c r="M378" s="74"/>
      <c r="N378" s="74"/>
      <c r="O378" s="74"/>
      <c r="P378" s="74"/>
      <c r="Q378" s="74"/>
      <c r="R378" s="74"/>
      <c r="S378" s="74"/>
      <c r="T378" s="74"/>
      <c r="U378" s="74"/>
      <c r="V378" s="74"/>
      <c r="W378" s="74"/>
      <c r="X378" s="74"/>
      <c r="Y378" s="74"/>
      <c r="Z378" s="74"/>
      <c r="AA378" s="74"/>
      <c r="AB378" s="74"/>
    </row>
    <row r="379" spans="1:28" ht="12" customHeight="1">
      <c r="A379" s="105"/>
      <c r="B379" s="106"/>
      <c r="C379" s="107"/>
      <c r="D379" s="108"/>
      <c r="E379" s="107"/>
      <c r="F379" s="107"/>
      <c r="G379" s="35"/>
      <c r="H379" s="104"/>
      <c r="I379" s="35"/>
      <c r="J379" s="74"/>
      <c r="K379" s="74"/>
      <c r="L379" s="74"/>
      <c r="M379" s="74"/>
      <c r="N379" s="74"/>
      <c r="O379" s="74"/>
      <c r="P379" s="74"/>
      <c r="Q379" s="74"/>
      <c r="R379" s="74"/>
      <c r="S379" s="74"/>
      <c r="T379" s="74"/>
      <c r="U379" s="74"/>
      <c r="V379" s="74"/>
      <c r="W379" s="74"/>
      <c r="X379" s="74"/>
      <c r="Y379" s="74"/>
      <c r="Z379" s="74"/>
      <c r="AA379" s="74"/>
      <c r="AB379" s="74"/>
    </row>
    <row r="380" spans="1:28" ht="12" customHeight="1">
      <c r="A380" s="105"/>
      <c r="B380" s="106"/>
      <c r="C380" s="107"/>
      <c r="D380" s="108"/>
      <c r="E380" s="107"/>
      <c r="F380" s="107"/>
      <c r="G380" s="35"/>
      <c r="H380" s="104"/>
      <c r="I380" s="35"/>
      <c r="J380" s="74"/>
      <c r="K380" s="74"/>
      <c r="L380" s="74"/>
      <c r="M380" s="74"/>
      <c r="N380" s="74"/>
      <c r="O380" s="74"/>
      <c r="P380" s="74"/>
      <c r="Q380" s="74"/>
      <c r="R380" s="74"/>
      <c r="S380" s="74"/>
      <c r="T380" s="74"/>
      <c r="U380" s="74"/>
      <c r="V380" s="74"/>
      <c r="W380" s="74"/>
      <c r="X380" s="74"/>
      <c r="Y380" s="74"/>
      <c r="Z380" s="74"/>
      <c r="AA380" s="74"/>
      <c r="AB380" s="74"/>
    </row>
    <row r="381" spans="1:28" ht="12" customHeight="1">
      <c r="A381" s="105"/>
      <c r="B381" s="106"/>
      <c r="C381" s="107"/>
      <c r="D381" s="108"/>
      <c r="E381" s="107"/>
      <c r="F381" s="107"/>
      <c r="G381" s="35"/>
      <c r="H381" s="104"/>
      <c r="I381" s="35"/>
      <c r="J381" s="74"/>
      <c r="K381" s="74"/>
      <c r="L381" s="74"/>
      <c r="M381" s="74"/>
      <c r="N381" s="74"/>
      <c r="O381" s="74"/>
      <c r="P381" s="74"/>
      <c r="Q381" s="74"/>
      <c r="R381" s="74"/>
      <c r="S381" s="74"/>
      <c r="T381" s="74"/>
      <c r="U381" s="74"/>
      <c r="V381" s="74"/>
      <c r="W381" s="74"/>
      <c r="X381" s="74"/>
      <c r="Y381" s="74"/>
      <c r="Z381" s="74"/>
      <c r="AA381" s="74"/>
      <c r="AB381" s="74"/>
    </row>
    <row r="382" spans="1:28" ht="12" customHeight="1">
      <c r="A382" s="105"/>
      <c r="B382" s="106"/>
      <c r="C382" s="107"/>
      <c r="D382" s="108"/>
      <c r="E382" s="107"/>
      <c r="F382" s="107"/>
      <c r="G382" s="35"/>
      <c r="H382" s="104"/>
      <c r="I382" s="35"/>
      <c r="J382" s="74"/>
      <c r="K382" s="74"/>
      <c r="L382" s="74"/>
      <c r="M382" s="74"/>
      <c r="N382" s="74"/>
      <c r="O382" s="74"/>
      <c r="P382" s="74"/>
      <c r="Q382" s="74"/>
      <c r="R382" s="74"/>
      <c r="S382" s="74"/>
      <c r="T382" s="74"/>
      <c r="U382" s="74"/>
      <c r="V382" s="74"/>
      <c r="W382" s="74"/>
      <c r="X382" s="74"/>
      <c r="Y382" s="74"/>
      <c r="Z382" s="74"/>
      <c r="AA382" s="74"/>
      <c r="AB382" s="74"/>
    </row>
    <row r="383" spans="1:28" ht="12" customHeight="1">
      <c r="A383" s="105"/>
      <c r="B383" s="106"/>
      <c r="C383" s="107"/>
      <c r="D383" s="108"/>
      <c r="E383" s="107"/>
      <c r="F383" s="107"/>
      <c r="G383" s="35"/>
      <c r="H383" s="104"/>
      <c r="I383" s="35"/>
      <c r="J383" s="74"/>
      <c r="K383" s="74"/>
      <c r="L383" s="74"/>
      <c r="M383" s="74"/>
      <c r="N383" s="74"/>
      <c r="O383" s="74"/>
      <c r="P383" s="74"/>
      <c r="Q383" s="74"/>
      <c r="R383" s="74"/>
      <c r="S383" s="74"/>
      <c r="T383" s="74"/>
      <c r="U383" s="74"/>
      <c r="V383" s="74"/>
      <c r="W383" s="74"/>
      <c r="X383" s="74"/>
      <c r="Y383" s="74"/>
      <c r="Z383" s="74"/>
      <c r="AA383" s="74"/>
      <c r="AB383" s="74"/>
    </row>
    <row r="384" spans="1:28" ht="12" customHeight="1">
      <c r="A384" s="105"/>
      <c r="B384" s="106"/>
      <c r="C384" s="107"/>
      <c r="D384" s="108"/>
      <c r="E384" s="107"/>
      <c r="F384" s="107"/>
      <c r="G384" s="35"/>
      <c r="H384" s="104"/>
      <c r="I384" s="35"/>
      <c r="J384" s="74"/>
      <c r="K384" s="74"/>
      <c r="L384" s="74"/>
      <c r="M384" s="74"/>
      <c r="N384" s="74"/>
      <c r="O384" s="74"/>
      <c r="P384" s="74"/>
      <c r="Q384" s="74"/>
      <c r="R384" s="74"/>
      <c r="S384" s="74"/>
      <c r="T384" s="74"/>
      <c r="U384" s="74"/>
      <c r="V384" s="74"/>
      <c r="W384" s="74"/>
      <c r="X384" s="74"/>
      <c r="Y384" s="74"/>
      <c r="Z384" s="74"/>
      <c r="AA384" s="74"/>
      <c r="AB384" s="74"/>
    </row>
    <row r="385" spans="1:28" ht="12" customHeight="1">
      <c r="A385" s="105"/>
      <c r="B385" s="106"/>
      <c r="C385" s="107"/>
      <c r="D385" s="108"/>
      <c r="E385" s="107"/>
      <c r="F385" s="107"/>
      <c r="G385" s="35"/>
      <c r="H385" s="104"/>
      <c r="I385" s="35"/>
      <c r="J385" s="74"/>
      <c r="K385" s="74"/>
      <c r="L385" s="74"/>
      <c r="M385" s="74"/>
      <c r="N385" s="74"/>
      <c r="O385" s="74"/>
      <c r="P385" s="74"/>
      <c r="Q385" s="74"/>
      <c r="R385" s="74"/>
      <c r="S385" s="74"/>
      <c r="T385" s="74"/>
      <c r="U385" s="74"/>
      <c r="V385" s="74"/>
      <c r="W385" s="74"/>
      <c r="X385" s="74"/>
      <c r="Y385" s="74"/>
      <c r="Z385" s="74"/>
      <c r="AA385" s="74"/>
      <c r="AB385" s="74"/>
    </row>
    <row r="386" spans="1:28" ht="12" customHeight="1">
      <c r="A386" s="105"/>
      <c r="B386" s="106"/>
      <c r="C386" s="107"/>
      <c r="D386" s="108"/>
      <c r="E386" s="107"/>
      <c r="F386" s="107"/>
      <c r="G386" s="35"/>
      <c r="H386" s="104"/>
      <c r="I386" s="35"/>
      <c r="J386" s="74"/>
      <c r="K386" s="74"/>
      <c r="L386" s="74"/>
      <c r="M386" s="74"/>
      <c r="N386" s="74"/>
      <c r="O386" s="74"/>
      <c r="P386" s="74"/>
      <c r="Q386" s="74"/>
      <c r="R386" s="74"/>
      <c r="S386" s="74"/>
      <c r="T386" s="74"/>
      <c r="U386" s="74"/>
      <c r="V386" s="74"/>
      <c r="W386" s="74"/>
      <c r="X386" s="74"/>
      <c r="Y386" s="74"/>
      <c r="Z386" s="74"/>
      <c r="AA386" s="74"/>
      <c r="AB386" s="74"/>
    </row>
    <row r="387" spans="1:28" ht="12" customHeight="1">
      <c r="A387" s="105"/>
      <c r="B387" s="106"/>
      <c r="C387" s="107"/>
      <c r="D387" s="108"/>
      <c r="E387" s="107"/>
      <c r="F387" s="107"/>
      <c r="G387" s="35"/>
      <c r="H387" s="104"/>
      <c r="I387" s="35"/>
      <c r="J387" s="74"/>
      <c r="K387" s="74"/>
      <c r="L387" s="74"/>
      <c r="M387" s="74"/>
      <c r="N387" s="74"/>
      <c r="O387" s="74"/>
      <c r="P387" s="74"/>
      <c r="Q387" s="74"/>
      <c r="R387" s="74"/>
      <c r="S387" s="74"/>
      <c r="T387" s="74"/>
      <c r="U387" s="74"/>
      <c r="V387" s="74"/>
      <c r="W387" s="74"/>
      <c r="X387" s="74"/>
      <c r="Y387" s="74"/>
      <c r="Z387" s="74"/>
      <c r="AA387" s="74"/>
      <c r="AB387" s="74"/>
    </row>
    <row r="388" spans="1:28" ht="12" customHeight="1">
      <c r="A388" s="105"/>
      <c r="B388" s="106"/>
      <c r="C388" s="107"/>
      <c r="D388" s="108"/>
      <c r="E388" s="107"/>
      <c r="F388" s="107"/>
      <c r="G388" s="35"/>
      <c r="H388" s="104"/>
      <c r="I388" s="35"/>
      <c r="J388" s="74"/>
      <c r="K388" s="74"/>
      <c r="L388" s="74"/>
      <c r="M388" s="74"/>
      <c r="N388" s="74"/>
      <c r="O388" s="74"/>
      <c r="P388" s="74"/>
      <c r="Q388" s="74"/>
      <c r="R388" s="74"/>
      <c r="S388" s="74"/>
      <c r="T388" s="74"/>
      <c r="U388" s="74"/>
      <c r="V388" s="74"/>
      <c r="W388" s="74"/>
      <c r="X388" s="74"/>
      <c r="Y388" s="74"/>
      <c r="Z388" s="74"/>
      <c r="AA388" s="74"/>
      <c r="AB388" s="74"/>
    </row>
    <row r="389" spans="1:28" ht="12" customHeight="1">
      <c r="A389" s="105"/>
      <c r="B389" s="106"/>
      <c r="C389" s="107"/>
      <c r="D389" s="108"/>
      <c r="E389" s="107"/>
      <c r="F389" s="107"/>
      <c r="G389" s="35"/>
      <c r="H389" s="104"/>
      <c r="I389" s="35"/>
      <c r="J389" s="74"/>
      <c r="K389" s="74"/>
      <c r="L389" s="74"/>
      <c r="M389" s="74"/>
      <c r="N389" s="74"/>
      <c r="O389" s="74"/>
      <c r="P389" s="74"/>
      <c r="Q389" s="74"/>
      <c r="R389" s="74"/>
      <c r="S389" s="74"/>
      <c r="T389" s="74"/>
      <c r="U389" s="74"/>
      <c r="V389" s="74"/>
      <c r="W389" s="74"/>
      <c r="X389" s="74"/>
      <c r="Y389" s="74"/>
      <c r="Z389" s="74"/>
      <c r="AA389" s="74"/>
      <c r="AB389" s="74"/>
    </row>
    <row r="390" spans="1:28" ht="12" customHeight="1">
      <c r="A390" s="105"/>
      <c r="B390" s="106"/>
      <c r="C390" s="107"/>
      <c r="D390" s="108"/>
      <c r="E390" s="107"/>
      <c r="F390" s="107"/>
      <c r="G390" s="35"/>
      <c r="H390" s="104"/>
      <c r="I390" s="35"/>
      <c r="J390" s="74"/>
      <c r="K390" s="74"/>
      <c r="L390" s="74"/>
      <c r="M390" s="74"/>
      <c r="N390" s="74"/>
      <c r="O390" s="74"/>
      <c r="P390" s="74"/>
      <c r="Q390" s="74"/>
      <c r="R390" s="74"/>
      <c r="S390" s="74"/>
      <c r="T390" s="74"/>
      <c r="U390" s="74"/>
      <c r="V390" s="74"/>
      <c r="W390" s="74"/>
      <c r="X390" s="74"/>
      <c r="Y390" s="74"/>
      <c r="Z390" s="74"/>
      <c r="AA390" s="74"/>
      <c r="AB390" s="74"/>
    </row>
    <row r="391" spans="1:28" ht="12" customHeight="1">
      <c r="A391" s="105"/>
      <c r="B391" s="106"/>
      <c r="C391" s="107"/>
      <c r="D391" s="108"/>
      <c r="E391" s="107"/>
      <c r="F391" s="107"/>
      <c r="G391" s="35"/>
      <c r="H391" s="104"/>
      <c r="I391" s="35"/>
      <c r="J391" s="74"/>
      <c r="K391" s="74"/>
      <c r="L391" s="74"/>
      <c r="M391" s="74"/>
      <c r="N391" s="74"/>
      <c r="O391" s="74"/>
      <c r="P391" s="74"/>
      <c r="Q391" s="74"/>
      <c r="R391" s="74"/>
      <c r="S391" s="74"/>
      <c r="T391" s="74"/>
      <c r="U391" s="74"/>
      <c r="V391" s="74"/>
      <c r="W391" s="74"/>
      <c r="X391" s="74"/>
      <c r="Y391" s="74"/>
      <c r="Z391" s="74"/>
      <c r="AA391" s="74"/>
      <c r="AB391" s="74"/>
    </row>
    <row r="392" spans="1:28" ht="12" customHeight="1">
      <c r="A392" s="105"/>
      <c r="B392" s="106"/>
      <c r="C392" s="107"/>
      <c r="D392" s="108"/>
      <c r="E392" s="107"/>
      <c r="F392" s="107"/>
      <c r="G392" s="35"/>
      <c r="H392" s="104"/>
      <c r="I392" s="35"/>
      <c r="J392" s="74"/>
      <c r="K392" s="74"/>
      <c r="L392" s="74"/>
      <c r="M392" s="74"/>
      <c r="N392" s="74"/>
      <c r="O392" s="74"/>
      <c r="P392" s="74"/>
      <c r="Q392" s="74"/>
      <c r="R392" s="74"/>
      <c r="S392" s="74"/>
      <c r="T392" s="74"/>
      <c r="U392" s="74"/>
      <c r="V392" s="74"/>
      <c r="W392" s="74"/>
      <c r="X392" s="74"/>
      <c r="Y392" s="74"/>
      <c r="Z392" s="74"/>
      <c r="AA392" s="74"/>
      <c r="AB392" s="74"/>
    </row>
    <row r="393" spans="1:28" ht="12" customHeight="1">
      <c r="A393" s="105"/>
      <c r="B393" s="106"/>
      <c r="C393" s="107"/>
      <c r="D393" s="108"/>
      <c r="E393" s="107"/>
      <c r="F393" s="107"/>
      <c r="G393" s="35"/>
      <c r="H393" s="104"/>
      <c r="I393" s="35"/>
      <c r="J393" s="74"/>
      <c r="K393" s="74"/>
      <c r="L393" s="74"/>
      <c r="M393" s="74"/>
      <c r="N393" s="74"/>
      <c r="O393" s="74"/>
      <c r="P393" s="74"/>
      <c r="Q393" s="74"/>
      <c r="R393" s="74"/>
      <c r="S393" s="74"/>
      <c r="T393" s="74"/>
      <c r="U393" s="74"/>
      <c r="V393" s="74"/>
      <c r="W393" s="74"/>
      <c r="X393" s="74"/>
      <c r="Y393" s="74"/>
      <c r="Z393" s="74"/>
      <c r="AA393" s="74"/>
      <c r="AB393" s="74"/>
    </row>
    <row r="394" spans="1:28" ht="12" customHeight="1">
      <c r="A394" s="105"/>
      <c r="B394" s="106"/>
      <c r="C394" s="107"/>
      <c r="D394" s="108"/>
      <c r="E394" s="107"/>
      <c r="F394" s="107"/>
      <c r="G394" s="35"/>
      <c r="H394" s="104"/>
      <c r="I394" s="35"/>
      <c r="J394" s="74"/>
      <c r="K394" s="74"/>
      <c r="L394" s="74"/>
      <c r="M394" s="74"/>
      <c r="N394" s="74"/>
      <c r="O394" s="74"/>
      <c r="P394" s="74"/>
      <c r="Q394" s="74"/>
      <c r="R394" s="74"/>
      <c r="S394" s="74"/>
      <c r="T394" s="74"/>
      <c r="U394" s="74"/>
      <c r="V394" s="74"/>
      <c r="W394" s="74"/>
      <c r="X394" s="74"/>
      <c r="Y394" s="74"/>
      <c r="Z394" s="74"/>
      <c r="AA394" s="74"/>
      <c r="AB394" s="74"/>
    </row>
    <row r="395" spans="1:28" ht="12" customHeight="1">
      <c r="A395" s="105"/>
      <c r="B395" s="106"/>
      <c r="C395" s="107"/>
      <c r="D395" s="108"/>
      <c r="E395" s="107"/>
      <c r="F395" s="107"/>
      <c r="G395" s="35"/>
      <c r="H395" s="104"/>
      <c r="I395" s="35"/>
      <c r="J395" s="74"/>
      <c r="K395" s="74"/>
      <c r="L395" s="74"/>
      <c r="M395" s="74"/>
      <c r="N395" s="74"/>
      <c r="O395" s="74"/>
      <c r="P395" s="74"/>
      <c r="Q395" s="74"/>
      <c r="R395" s="74"/>
      <c r="S395" s="74"/>
      <c r="T395" s="74"/>
      <c r="U395" s="74"/>
      <c r="V395" s="74"/>
      <c r="W395" s="74"/>
      <c r="X395" s="74"/>
      <c r="Y395" s="74"/>
      <c r="Z395" s="74"/>
      <c r="AA395" s="74"/>
      <c r="AB395" s="74"/>
    </row>
    <row r="396" spans="1:28" ht="12" customHeight="1">
      <c r="A396" s="105"/>
      <c r="B396" s="106"/>
      <c r="C396" s="107"/>
      <c r="D396" s="108"/>
      <c r="E396" s="107"/>
      <c r="F396" s="107"/>
      <c r="G396" s="35"/>
      <c r="H396" s="104"/>
      <c r="I396" s="35"/>
      <c r="J396" s="74"/>
      <c r="K396" s="74"/>
      <c r="L396" s="74"/>
      <c r="M396" s="74"/>
      <c r="N396" s="74"/>
      <c r="O396" s="74"/>
      <c r="P396" s="74"/>
      <c r="Q396" s="74"/>
      <c r="R396" s="74"/>
      <c r="S396" s="74"/>
      <c r="T396" s="74"/>
      <c r="U396" s="74"/>
      <c r="V396" s="74"/>
      <c r="W396" s="74"/>
      <c r="X396" s="74"/>
      <c r="Y396" s="74"/>
      <c r="Z396" s="74"/>
      <c r="AA396" s="74"/>
      <c r="AB396" s="74"/>
    </row>
    <row r="397" spans="1:28" ht="12" customHeight="1">
      <c r="A397" s="105"/>
      <c r="B397" s="106"/>
      <c r="C397" s="107"/>
      <c r="D397" s="108"/>
      <c r="E397" s="107"/>
      <c r="F397" s="107"/>
      <c r="G397" s="35"/>
      <c r="H397" s="104"/>
      <c r="I397" s="35"/>
      <c r="J397" s="74"/>
      <c r="K397" s="74"/>
      <c r="L397" s="74"/>
      <c r="M397" s="74"/>
      <c r="N397" s="74"/>
      <c r="O397" s="74"/>
      <c r="P397" s="74"/>
      <c r="Q397" s="74"/>
      <c r="R397" s="74"/>
      <c r="S397" s="74"/>
      <c r="T397" s="74"/>
      <c r="U397" s="74"/>
      <c r="V397" s="74"/>
      <c r="W397" s="74"/>
      <c r="X397" s="74"/>
      <c r="Y397" s="74"/>
      <c r="Z397" s="74"/>
      <c r="AA397" s="74"/>
      <c r="AB397" s="74"/>
    </row>
    <row r="398" spans="1:28" ht="12" customHeight="1">
      <c r="A398" s="105"/>
      <c r="B398" s="106"/>
      <c r="C398" s="107"/>
      <c r="D398" s="108"/>
      <c r="E398" s="107"/>
      <c r="F398" s="107"/>
      <c r="G398" s="35"/>
      <c r="H398" s="104"/>
      <c r="I398" s="35"/>
      <c r="J398" s="74"/>
      <c r="K398" s="74"/>
      <c r="L398" s="74"/>
      <c r="M398" s="74"/>
      <c r="N398" s="74"/>
      <c r="O398" s="74"/>
      <c r="P398" s="74"/>
      <c r="Q398" s="74"/>
      <c r="R398" s="74"/>
      <c r="S398" s="74"/>
      <c r="T398" s="74"/>
      <c r="U398" s="74"/>
      <c r="V398" s="74"/>
      <c r="W398" s="74"/>
      <c r="X398" s="74"/>
      <c r="Y398" s="74"/>
      <c r="Z398" s="74"/>
      <c r="AA398" s="74"/>
      <c r="AB398" s="74"/>
    </row>
    <row r="399" spans="1:28" ht="12" customHeight="1">
      <c r="A399" s="105"/>
      <c r="B399" s="106"/>
      <c r="C399" s="107"/>
      <c r="D399" s="108"/>
      <c r="E399" s="107"/>
      <c r="F399" s="107"/>
      <c r="G399" s="35"/>
      <c r="H399" s="104"/>
      <c r="I399" s="35"/>
      <c r="J399" s="74"/>
      <c r="K399" s="74"/>
      <c r="L399" s="74"/>
      <c r="M399" s="74"/>
      <c r="N399" s="74"/>
      <c r="O399" s="74"/>
      <c r="P399" s="74"/>
      <c r="Q399" s="74"/>
      <c r="R399" s="74"/>
      <c r="S399" s="74"/>
      <c r="T399" s="74"/>
      <c r="U399" s="74"/>
      <c r="V399" s="74"/>
      <c r="W399" s="74"/>
      <c r="X399" s="74"/>
      <c r="Y399" s="74"/>
      <c r="Z399" s="74"/>
      <c r="AA399" s="74"/>
      <c r="AB399" s="74"/>
    </row>
    <row r="400" spans="1:28" ht="12" customHeight="1">
      <c r="A400" s="105"/>
      <c r="B400" s="106"/>
      <c r="C400" s="107"/>
      <c r="D400" s="108"/>
      <c r="E400" s="107"/>
      <c r="F400" s="107"/>
      <c r="G400" s="35"/>
      <c r="H400" s="104"/>
      <c r="I400" s="35"/>
      <c r="J400" s="74"/>
      <c r="K400" s="74"/>
      <c r="L400" s="74"/>
      <c r="M400" s="74"/>
      <c r="N400" s="74"/>
      <c r="O400" s="74"/>
      <c r="P400" s="74"/>
      <c r="Q400" s="74"/>
      <c r="R400" s="74"/>
      <c r="S400" s="74"/>
      <c r="T400" s="74"/>
      <c r="U400" s="74"/>
      <c r="V400" s="74"/>
      <c r="W400" s="74"/>
      <c r="X400" s="74"/>
      <c r="Y400" s="74"/>
      <c r="Z400" s="74"/>
      <c r="AA400" s="74"/>
      <c r="AB400" s="74"/>
    </row>
    <row r="401" spans="1:28" ht="12" customHeight="1">
      <c r="A401" s="105"/>
      <c r="B401" s="106"/>
      <c r="C401" s="107"/>
      <c r="D401" s="108"/>
      <c r="E401" s="107"/>
      <c r="F401" s="107"/>
      <c r="G401" s="35"/>
      <c r="H401" s="104"/>
      <c r="I401" s="35"/>
      <c r="J401" s="74"/>
      <c r="K401" s="74"/>
      <c r="L401" s="74"/>
      <c r="M401" s="74"/>
      <c r="N401" s="74"/>
      <c r="O401" s="74"/>
      <c r="P401" s="74"/>
      <c r="Q401" s="74"/>
      <c r="R401" s="74"/>
      <c r="S401" s="74"/>
      <c r="T401" s="74"/>
      <c r="U401" s="74"/>
      <c r="V401" s="74"/>
      <c r="W401" s="74"/>
      <c r="X401" s="74"/>
      <c r="Y401" s="74"/>
      <c r="Z401" s="74"/>
      <c r="AA401" s="74"/>
      <c r="AB401" s="74"/>
    </row>
    <row r="402" spans="1:28" ht="12" customHeight="1">
      <c r="A402" s="105"/>
      <c r="B402" s="106"/>
      <c r="C402" s="107"/>
      <c r="D402" s="108"/>
      <c r="E402" s="107"/>
      <c r="F402" s="107"/>
      <c r="G402" s="35"/>
      <c r="H402" s="104"/>
      <c r="I402" s="35"/>
      <c r="J402" s="74"/>
      <c r="K402" s="74"/>
      <c r="L402" s="74"/>
      <c r="M402" s="74"/>
      <c r="N402" s="74"/>
      <c r="O402" s="74"/>
      <c r="P402" s="74"/>
      <c r="Q402" s="74"/>
      <c r="R402" s="74"/>
      <c r="S402" s="74"/>
      <c r="T402" s="74"/>
      <c r="U402" s="74"/>
      <c r="V402" s="74"/>
      <c r="W402" s="74"/>
      <c r="X402" s="74"/>
      <c r="Y402" s="74"/>
      <c r="Z402" s="74"/>
      <c r="AA402" s="74"/>
      <c r="AB402" s="74"/>
    </row>
    <row r="403" spans="1:28" ht="12" customHeight="1">
      <c r="A403" s="105"/>
      <c r="B403" s="106"/>
      <c r="C403" s="107"/>
      <c r="D403" s="108"/>
      <c r="E403" s="107"/>
      <c r="F403" s="107"/>
      <c r="G403" s="35"/>
      <c r="H403" s="104"/>
      <c r="I403" s="35"/>
      <c r="J403" s="74"/>
      <c r="K403" s="74"/>
      <c r="L403" s="74"/>
      <c r="M403" s="74"/>
      <c r="N403" s="74"/>
      <c r="O403" s="74"/>
      <c r="P403" s="74"/>
      <c r="Q403" s="74"/>
      <c r="R403" s="74"/>
      <c r="S403" s="74"/>
      <c r="T403" s="74"/>
      <c r="U403" s="74"/>
      <c r="V403" s="74"/>
      <c r="W403" s="74"/>
      <c r="X403" s="74"/>
      <c r="Y403" s="74"/>
      <c r="Z403" s="74"/>
      <c r="AA403" s="74"/>
      <c r="AB403" s="74"/>
    </row>
    <row r="404" spans="1:28" ht="12" customHeight="1">
      <c r="A404" s="105"/>
      <c r="B404" s="106"/>
      <c r="C404" s="107"/>
      <c r="D404" s="108"/>
      <c r="E404" s="107"/>
      <c r="F404" s="107"/>
      <c r="G404" s="35"/>
      <c r="H404" s="104"/>
      <c r="I404" s="35"/>
      <c r="J404" s="74"/>
      <c r="K404" s="74"/>
      <c r="L404" s="74"/>
      <c r="M404" s="74"/>
      <c r="N404" s="74"/>
      <c r="O404" s="74"/>
      <c r="P404" s="74"/>
      <c r="Q404" s="74"/>
      <c r="R404" s="74"/>
      <c r="S404" s="74"/>
      <c r="T404" s="74"/>
      <c r="U404" s="74"/>
      <c r="V404" s="74"/>
      <c r="W404" s="74"/>
      <c r="X404" s="74"/>
      <c r="Y404" s="74"/>
      <c r="Z404" s="74"/>
      <c r="AA404" s="74"/>
      <c r="AB404" s="74"/>
    </row>
    <row r="405" spans="1:28" ht="12" customHeight="1">
      <c r="A405" s="105"/>
      <c r="B405" s="106"/>
      <c r="C405" s="107"/>
      <c r="D405" s="108"/>
      <c r="E405" s="107"/>
      <c r="F405" s="107"/>
      <c r="G405" s="35"/>
      <c r="H405" s="104"/>
      <c r="I405" s="35"/>
      <c r="J405" s="74"/>
      <c r="K405" s="74"/>
      <c r="L405" s="74"/>
      <c r="M405" s="74"/>
      <c r="N405" s="74"/>
      <c r="O405" s="74"/>
      <c r="P405" s="74"/>
      <c r="Q405" s="74"/>
      <c r="R405" s="74"/>
      <c r="S405" s="74"/>
      <c r="T405" s="74"/>
      <c r="U405" s="74"/>
      <c r="V405" s="74"/>
      <c r="W405" s="74"/>
      <c r="X405" s="74"/>
      <c r="Y405" s="74"/>
      <c r="Z405" s="74"/>
      <c r="AA405" s="74"/>
      <c r="AB405" s="74"/>
    </row>
    <row r="406" spans="1:28" ht="12" customHeight="1">
      <c r="A406" s="105"/>
      <c r="B406" s="106"/>
      <c r="C406" s="107"/>
      <c r="D406" s="108"/>
      <c r="E406" s="107"/>
      <c r="F406" s="107"/>
      <c r="G406" s="35"/>
      <c r="H406" s="104"/>
      <c r="I406" s="35"/>
      <c r="J406" s="74"/>
      <c r="K406" s="74"/>
      <c r="L406" s="74"/>
      <c r="M406" s="74"/>
      <c r="N406" s="74"/>
      <c r="O406" s="74"/>
      <c r="P406" s="74"/>
      <c r="Q406" s="74"/>
      <c r="R406" s="74"/>
      <c r="S406" s="74"/>
      <c r="T406" s="74"/>
      <c r="U406" s="74"/>
      <c r="V406" s="74"/>
      <c r="W406" s="74"/>
      <c r="X406" s="74"/>
      <c r="Y406" s="74"/>
      <c r="Z406" s="74"/>
      <c r="AA406" s="74"/>
      <c r="AB406" s="74"/>
    </row>
    <row r="407" spans="1:28" ht="12" customHeight="1">
      <c r="A407" s="105"/>
      <c r="B407" s="106"/>
      <c r="C407" s="107"/>
      <c r="D407" s="108"/>
      <c r="E407" s="107"/>
      <c r="F407" s="107"/>
      <c r="G407" s="35"/>
      <c r="H407" s="104"/>
      <c r="I407" s="35"/>
      <c r="J407" s="74"/>
      <c r="K407" s="74"/>
      <c r="L407" s="74"/>
      <c r="M407" s="74"/>
      <c r="N407" s="74"/>
      <c r="O407" s="74"/>
      <c r="P407" s="74"/>
      <c r="Q407" s="74"/>
      <c r="R407" s="74"/>
      <c r="S407" s="74"/>
      <c r="T407" s="74"/>
      <c r="U407" s="74"/>
      <c r="V407" s="74"/>
      <c r="W407" s="74"/>
      <c r="X407" s="74"/>
      <c r="Y407" s="74"/>
      <c r="Z407" s="74"/>
      <c r="AA407" s="74"/>
      <c r="AB407" s="74"/>
    </row>
    <row r="408" spans="1:28" ht="12" customHeight="1">
      <c r="A408" s="105"/>
      <c r="B408" s="106"/>
      <c r="C408" s="107"/>
      <c r="D408" s="108"/>
      <c r="E408" s="107"/>
      <c r="F408" s="107"/>
      <c r="G408" s="35"/>
      <c r="H408" s="104"/>
      <c r="I408" s="35"/>
      <c r="J408" s="74"/>
      <c r="K408" s="74"/>
      <c r="L408" s="74"/>
      <c r="M408" s="74"/>
      <c r="N408" s="74"/>
      <c r="O408" s="74"/>
      <c r="P408" s="74"/>
      <c r="Q408" s="74"/>
      <c r="R408" s="74"/>
      <c r="S408" s="74"/>
      <c r="T408" s="74"/>
      <c r="U408" s="74"/>
      <c r="V408" s="74"/>
      <c r="W408" s="74"/>
      <c r="X408" s="74"/>
      <c r="Y408" s="74"/>
      <c r="Z408" s="74"/>
      <c r="AA408" s="74"/>
      <c r="AB408" s="74"/>
    </row>
    <row r="409" spans="1:28" ht="12" customHeight="1">
      <c r="A409" s="105"/>
      <c r="B409" s="106"/>
      <c r="C409" s="107"/>
      <c r="D409" s="108"/>
      <c r="E409" s="107"/>
      <c r="F409" s="107"/>
      <c r="G409" s="35"/>
      <c r="H409" s="104"/>
      <c r="I409" s="35"/>
      <c r="J409" s="74"/>
      <c r="K409" s="74"/>
      <c r="L409" s="74"/>
      <c r="M409" s="74"/>
      <c r="N409" s="74"/>
      <c r="O409" s="74"/>
      <c r="P409" s="74"/>
      <c r="Q409" s="74"/>
      <c r="R409" s="74"/>
      <c r="S409" s="74"/>
      <c r="T409" s="74"/>
      <c r="U409" s="74"/>
      <c r="V409" s="74"/>
      <c r="W409" s="74"/>
      <c r="X409" s="74"/>
      <c r="Y409" s="74"/>
      <c r="Z409" s="74"/>
      <c r="AA409" s="74"/>
      <c r="AB409" s="74"/>
    </row>
    <row r="410" spans="1:28" ht="12" customHeight="1">
      <c r="A410" s="105"/>
      <c r="B410" s="106"/>
      <c r="C410" s="107"/>
      <c r="D410" s="108"/>
      <c r="E410" s="107"/>
      <c r="F410" s="107"/>
      <c r="G410" s="35"/>
      <c r="H410" s="104"/>
      <c r="I410" s="35"/>
      <c r="J410" s="74"/>
      <c r="K410" s="74"/>
      <c r="L410" s="74"/>
      <c r="M410" s="74"/>
      <c r="N410" s="74"/>
      <c r="O410" s="74"/>
      <c r="P410" s="74"/>
      <c r="Q410" s="74"/>
      <c r="R410" s="74"/>
      <c r="S410" s="74"/>
      <c r="T410" s="74"/>
      <c r="U410" s="74"/>
      <c r="V410" s="74"/>
      <c r="W410" s="74"/>
      <c r="X410" s="74"/>
      <c r="Y410" s="74"/>
      <c r="Z410" s="74"/>
      <c r="AA410" s="74"/>
      <c r="AB410" s="74"/>
    </row>
    <row r="411" spans="1:28" ht="12" customHeight="1">
      <c r="A411" s="105"/>
      <c r="B411" s="106"/>
      <c r="C411" s="107"/>
      <c r="D411" s="108"/>
      <c r="E411" s="107"/>
      <c r="F411" s="107"/>
      <c r="G411" s="35"/>
      <c r="H411" s="104"/>
      <c r="I411" s="35"/>
      <c r="J411" s="74"/>
      <c r="K411" s="74"/>
      <c r="L411" s="74"/>
      <c r="M411" s="74"/>
      <c r="N411" s="74"/>
      <c r="O411" s="74"/>
      <c r="P411" s="74"/>
      <c r="Q411" s="74"/>
      <c r="R411" s="74"/>
      <c r="S411" s="74"/>
      <c r="T411" s="74"/>
      <c r="U411" s="74"/>
      <c r="V411" s="74"/>
      <c r="W411" s="74"/>
      <c r="X411" s="74"/>
      <c r="Y411" s="74"/>
      <c r="Z411" s="74"/>
      <c r="AA411" s="74"/>
      <c r="AB411" s="74"/>
    </row>
    <row r="412" spans="1:28" ht="12" customHeight="1">
      <c r="A412" s="105"/>
      <c r="B412" s="106"/>
      <c r="C412" s="107"/>
      <c r="D412" s="108"/>
      <c r="E412" s="107"/>
      <c r="F412" s="107"/>
      <c r="G412" s="35"/>
      <c r="H412" s="104"/>
      <c r="I412" s="35"/>
      <c r="J412" s="74"/>
      <c r="K412" s="74"/>
      <c r="L412" s="74"/>
      <c r="M412" s="74"/>
      <c r="N412" s="74"/>
      <c r="O412" s="74"/>
      <c r="P412" s="74"/>
      <c r="Q412" s="74"/>
      <c r="R412" s="74"/>
      <c r="S412" s="74"/>
      <c r="T412" s="74"/>
      <c r="U412" s="74"/>
      <c r="V412" s="74"/>
      <c r="W412" s="74"/>
      <c r="X412" s="74"/>
      <c r="Y412" s="74"/>
      <c r="Z412" s="74"/>
      <c r="AA412" s="74"/>
      <c r="AB412" s="74"/>
    </row>
    <row r="413" spans="1:28" ht="12" customHeight="1">
      <c r="A413" s="105"/>
      <c r="B413" s="106"/>
      <c r="C413" s="107"/>
      <c r="D413" s="108"/>
      <c r="E413" s="107"/>
      <c r="F413" s="107"/>
      <c r="G413" s="35"/>
      <c r="H413" s="104"/>
      <c r="I413" s="35"/>
      <c r="J413" s="74"/>
      <c r="K413" s="74"/>
      <c r="L413" s="74"/>
      <c r="M413" s="74"/>
      <c r="N413" s="74"/>
      <c r="O413" s="74"/>
      <c r="P413" s="74"/>
      <c r="Q413" s="74"/>
      <c r="R413" s="74"/>
      <c r="S413" s="74"/>
      <c r="T413" s="74"/>
      <c r="U413" s="74"/>
      <c r="V413" s="74"/>
      <c r="W413" s="74"/>
      <c r="X413" s="74"/>
      <c r="Y413" s="74"/>
      <c r="Z413" s="74"/>
      <c r="AA413" s="74"/>
      <c r="AB413" s="74"/>
    </row>
    <row r="414" spans="1:28" ht="12" customHeight="1">
      <c r="A414" s="105"/>
      <c r="B414" s="106"/>
      <c r="C414" s="107"/>
      <c r="D414" s="108"/>
      <c r="E414" s="107"/>
      <c r="F414" s="107"/>
      <c r="G414" s="35"/>
      <c r="H414" s="104"/>
      <c r="I414" s="35"/>
      <c r="J414" s="74"/>
      <c r="K414" s="74"/>
      <c r="L414" s="74"/>
      <c r="M414" s="74"/>
      <c r="N414" s="74"/>
      <c r="O414" s="74"/>
      <c r="P414" s="74"/>
      <c r="Q414" s="74"/>
      <c r="R414" s="74"/>
      <c r="S414" s="74"/>
      <c r="T414" s="74"/>
      <c r="U414" s="74"/>
      <c r="V414" s="74"/>
      <c r="W414" s="74"/>
      <c r="X414" s="74"/>
      <c r="Y414" s="74"/>
      <c r="Z414" s="74"/>
      <c r="AA414" s="74"/>
      <c r="AB414" s="74"/>
    </row>
    <row r="415" spans="1:28" ht="12" customHeight="1">
      <c r="A415" s="105"/>
      <c r="B415" s="106"/>
      <c r="C415" s="107"/>
      <c r="D415" s="108"/>
      <c r="E415" s="107"/>
      <c r="F415" s="107"/>
      <c r="G415" s="35"/>
      <c r="H415" s="104"/>
      <c r="I415" s="35"/>
      <c r="J415" s="74"/>
      <c r="K415" s="74"/>
      <c r="L415" s="74"/>
      <c r="M415" s="74"/>
      <c r="N415" s="74"/>
      <c r="O415" s="74"/>
      <c r="P415" s="74"/>
      <c r="Q415" s="74"/>
      <c r="R415" s="74"/>
      <c r="S415" s="74"/>
      <c r="T415" s="74"/>
      <c r="U415" s="74"/>
      <c r="V415" s="74"/>
      <c r="W415" s="74"/>
      <c r="X415" s="74"/>
      <c r="Y415" s="74"/>
      <c r="Z415" s="74"/>
      <c r="AA415" s="74"/>
      <c r="AB415" s="74"/>
    </row>
    <row r="416" spans="1:28" ht="12" customHeight="1">
      <c r="A416" s="105"/>
      <c r="B416" s="106"/>
      <c r="C416" s="107"/>
      <c r="D416" s="108"/>
      <c r="E416" s="107"/>
      <c r="F416" s="107"/>
      <c r="G416" s="35"/>
      <c r="H416" s="104"/>
      <c r="I416" s="35"/>
      <c r="J416" s="74"/>
      <c r="K416" s="74"/>
      <c r="L416" s="74"/>
      <c r="M416" s="74"/>
      <c r="N416" s="74"/>
      <c r="O416" s="74"/>
      <c r="P416" s="74"/>
      <c r="Q416" s="74"/>
      <c r="R416" s="74"/>
      <c r="S416" s="74"/>
      <c r="T416" s="74"/>
      <c r="U416" s="74"/>
      <c r="V416" s="74"/>
      <c r="W416" s="74"/>
      <c r="X416" s="74"/>
      <c r="Y416" s="74"/>
      <c r="Z416" s="74"/>
      <c r="AA416" s="74"/>
      <c r="AB416" s="74"/>
    </row>
    <row r="417" spans="1:28" ht="12" customHeight="1">
      <c r="A417" s="105"/>
      <c r="B417" s="106"/>
      <c r="C417" s="107"/>
      <c r="D417" s="108"/>
      <c r="E417" s="107"/>
      <c r="F417" s="107"/>
      <c r="G417" s="35"/>
      <c r="H417" s="104"/>
      <c r="I417" s="35"/>
      <c r="J417" s="74"/>
      <c r="K417" s="74"/>
      <c r="L417" s="74"/>
      <c r="M417" s="74"/>
      <c r="N417" s="74"/>
      <c r="O417" s="74"/>
      <c r="P417" s="74"/>
      <c r="Q417" s="74"/>
      <c r="R417" s="74"/>
      <c r="S417" s="74"/>
      <c r="T417" s="74"/>
      <c r="U417" s="74"/>
      <c r="V417" s="74"/>
      <c r="W417" s="74"/>
      <c r="X417" s="74"/>
      <c r="Y417" s="74"/>
      <c r="Z417" s="74"/>
      <c r="AA417" s="74"/>
      <c r="AB417" s="74"/>
    </row>
    <row r="418" spans="1:28" ht="12" customHeight="1">
      <c r="A418" s="105"/>
      <c r="B418" s="106"/>
      <c r="C418" s="107"/>
      <c r="D418" s="108"/>
      <c r="E418" s="107"/>
      <c r="F418" s="107"/>
      <c r="G418" s="35"/>
      <c r="H418" s="104"/>
      <c r="I418" s="35"/>
      <c r="J418" s="74"/>
      <c r="K418" s="74"/>
      <c r="L418" s="74"/>
      <c r="M418" s="74"/>
      <c r="N418" s="74"/>
      <c r="O418" s="74"/>
      <c r="P418" s="74"/>
      <c r="Q418" s="74"/>
      <c r="R418" s="74"/>
      <c r="S418" s="74"/>
      <c r="T418" s="74"/>
      <c r="U418" s="74"/>
      <c r="V418" s="74"/>
      <c r="W418" s="74"/>
      <c r="X418" s="74"/>
      <c r="Y418" s="74"/>
      <c r="Z418" s="74"/>
      <c r="AA418" s="74"/>
      <c r="AB418" s="74"/>
    </row>
    <row r="419" spans="1:28" ht="12" customHeight="1">
      <c r="A419" s="105"/>
      <c r="B419" s="106"/>
      <c r="C419" s="107"/>
      <c r="D419" s="108"/>
      <c r="E419" s="107"/>
      <c r="F419" s="107"/>
      <c r="G419" s="35"/>
      <c r="H419" s="104"/>
      <c r="I419" s="35"/>
      <c r="J419" s="74"/>
      <c r="K419" s="74"/>
      <c r="L419" s="74"/>
      <c r="M419" s="74"/>
      <c r="N419" s="74"/>
      <c r="O419" s="74"/>
      <c r="P419" s="74"/>
      <c r="Q419" s="74"/>
      <c r="R419" s="74"/>
      <c r="S419" s="74"/>
      <c r="T419" s="74"/>
      <c r="U419" s="74"/>
      <c r="V419" s="74"/>
      <c r="W419" s="74"/>
      <c r="X419" s="74"/>
      <c r="Y419" s="74"/>
      <c r="Z419" s="74"/>
      <c r="AA419" s="74"/>
      <c r="AB419" s="74"/>
    </row>
    <row r="420" spans="1:28" ht="12" customHeight="1">
      <c r="A420" s="105"/>
      <c r="B420" s="106"/>
      <c r="C420" s="107"/>
      <c r="D420" s="108"/>
      <c r="E420" s="107"/>
      <c r="F420" s="107"/>
      <c r="G420" s="35"/>
      <c r="H420" s="104"/>
      <c r="I420" s="35"/>
      <c r="J420" s="74"/>
      <c r="K420" s="74"/>
      <c r="L420" s="74"/>
      <c r="M420" s="74"/>
      <c r="N420" s="74"/>
      <c r="O420" s="74"/>
      <c r="P420" s="74"/>
      <c r="Q420" s="74"/>
      <c r="R420" s="74"/>
      <c r="S420" s="74"/>
      <c r="T420" s="74"/>
      <c r="U420" s="74"/>
      <c r="V420" s="74"/>
      <c r="W420" s="74"/>
      <c r="X420" s="74"/>
      <c r="Y420" s="74"/>
      <c r="Z420" s="74"/>
      <c r="AA420" s="74"/>
      <c r="AB420" s="74"/>
    </row>
    <row r="421" spans="1:28" ht="12" customHeight="1">
      <c r="A421" s="105"/>
      <c r="B421" s="106"/>
      <c r="C421" s="107"/>
      <c r="D421" s="108"/>
      <c r="E421" s="107"/>
      <c r="F421" s="107"/>
      <c r="G421" s="35"/>
      <c r="H421" s="104"/>
      <c r="I421" s="35"/>
      <c r="J421" s="74"/>
      <c r="K421" s="74"/>
      <c r="L421" s="74"/>
      <c r="M421" s="74"/>
      <c r="N421" s="74"/>
      <c r="O421" s="74"/>
      <c r="P421" s="74"/>
      <c r="Q421" s="74"/>
      <c r="R421" s="74"/>
      <c r="S421" s="74"/>
      <c r="T421" s="74"/>
      <c r="U421" s="74"/>
      <c r="V421" s="74"/>
      <c r="W421" s="74"/>
      <c r="X421" s="74"/>
      <c r="Y421" s="74"/>
      <c r="Z421" s="74"/>
      <c r="AA421" s="74"/>
      <c r="AB421" s="74"/>
    </row>
    <row r="422" spans="1:28" ht="12" customHeight="1">
      <c r="A422" s="105"/>
      <c r="B422" s="106"/>
      <c r="C422" s="107"/>
      <c r="D422" s="108"/>
      <c r="E422" s="107"/>
      <c r="F422" s="107"/>
      <c r="G422" s="35"/>
      <c r="H422" s="104"/>
      <c r="I422" s="35"/>
      <c r="J422" s="74"/>
      <c r="K422" s="74"/>
      <c r="L422" s="74"/>
      <c r="M422" s="74"/>
      <c r="N422" s="74"/>
      <c r="O422" s="74"/>
      <c r="P422" s="74"/>
      <c r="Q422" s="74"/>
      <c r="R422" s="74"/>
      <c r="S422" s="74"/>
      <c r="T422" s="74"/>
      <c r="U422" s="74"/>
      <c r="V422" s="74"/>
      <c r="W422" s="74"/>
      <c r="X422" s="74"/>
      <c r="Y422" s="74"/>
      <c r="Z422" s="74"/>
      <c r="AA422" s="74"/>
      <c r="AB422" s="74"/>
    </row>
    <row r="423" spans="1:28" ht="12" customHeight="1">
      <c r="A423" s="105"/>
      <c r="B423" s="106"/>
      <c r="C423" s="107"/>
      <c r="D423" s="108"/>
      <c r="E423" s="107"/>
      <c r="F423" s="107"/>
      <c r="G423" s="35"/>
      <c r="H423" s="104"/>
      <c r="I423" s="35"/>
      <c r="J423" s="74"/>
      <c r="K423" s="74"/>
      <c r="L423" s="74"/>
      <c r="M423" s="74"/>
      <c r="N423" s="74"/>
      <c r="O423" s="74"/>
      <c r="P423" s="74"/>
      <c r="Q423" s="74"/>
      <c r="R423" s="74"/>
      <c r="S423" s="74"/>
      <c r="T423" s="74"/>
      <c r="U423" s="74"/>
      <c r="V423" s="74"/>
      <c r="W423" s="74"/>
      <c r="X423" s="74"/>
      <c r="Y423" s="74"/>
      <c r="Z423" s="74"/>
      <c r="AA423" s="74"/>
      <c r="AB423" s="74"/>
    </row>
    <row r="424" spans="1:28" ht="12" customHeight="1">
      <c r="A424" s="105"/>
      <c r="B424" s="106"/>
      <c r="C424" s="107"/>
      <c r="D424" s="108"/>
      <c r="E424" s="107"/>
      <c r="F424" s="107"/>
      <c r="G424" s="35"/>
      <c r="H424" s="104"/>
      <c r="I424" s="35"/>
      <c r="J424" s="74"/>
      <c r="K424" s="74"/>
      <c r="L424" s="74"/>
      <c r="M424" s="74"/>
      <c r="N424" s="74"/>
      <c r="O424" s="74"/>
      <c r="P424" s="74"/>
      <c r="Q424" s="74"/>
      <c r="R424" s="74"/>
      <c r="S424" s="74"/>
      <c r="T424" s="74"/>
      <c r="U424" s="74"/>
      <c r="V424" s="74"/>
      <c r="W424" s="74"/>
      <c r="X424" s="74"/>
      <c r="Y424" s="74"/>
      <c r="Z424" s="74"/>
      <c r="AA424" s="74"/>
      <c r="AB424" s="74"/>
    </row>
    <row r="425" spans="1:28" ht="12" customHeight="1">
      <c r="A425" s="105"/>
      <c r="B425" s="106"/>
      <c r="C425" s="107"/>
      <c r="D425" s="108"/>
      <c r="E425" s="107"/>
      <c r="F425" s="107"/>
      <c r="G425" s="35"/>
      <c r="H425" s="104"/>
      <c r="I425" s="35"/>
      <c r="J425" s="74"/>
      <c r="K425" s="74"/>
      <c r="L425" s="74"/>
      <c r="M425" s="74"/>
      <c r="N425" s="74"/>
      <c r="O425" s="74"/>
      <c r="P425" s="74"/>
      <c r="Q425" s="74"/>
      <c r="R425" s="74"/>
      <c r="S425" s="74"/>
      <c r="T425" s="74"/>
      <c r="U425" s="74"/>
      <c r="V425" s="74"/>
      <c r="W425" s="74"/>
      <c r="X425" s="74"/>
      <c r="Y425" s="74"/>
      <c r="Z425" s="74"/>
      <c r="AA425" s="74"/>
      <c r="AB425" s="74"/>
    </row>
    <row r="426" spans="1:28" ht="12" customHeight="1">
      <c r="A426" s="105"/>
      <c r="B426" s="106"/>
      <c r="C426" s="107"/>
      <c r="D426" s="108"/>
      <c r="E426" s="107"/>
      <c r="F426" s="107"/>
      <c r="G426" s="35"/>
      <c r="H426" s="104"/>
      <c r="I426" s="35"/>
      <c r="J426" s="74"/>
      <c r="K426" s="74"/>
      <c r="L426" s="74"/>
      <c r="M426" s="74"/>
      <c r="N426" s="74"/>
      <c r="O426" s="74"/>
      <c r="P426" s="74"/>
      <c r="Q426" s="74"/>
      <c r="R426" s="74"/>
      <c r="S426" s="74"/>
      <c r="T426" s="74"/>
      <c r="U426" s="74"/>
      <c r="V426" s="74"/>
      <c r="W426" s="74"/>
      <c r="X426" s="74"/>
      <c r="Y426" s="74"/>
      <c r="Z426" s="74"/>
      <c r="AA426" s="74"/>
      <c r="AB426" s="74"/>
    </row>
    <row r="427" spans="1:28" ht="12" customHeight="1">
      <c r="A427" s="105"/>
      <c r="B427" s="106"/>
      <c r="C427" s="107"/>
      <c r="D427" s="108"/>
      <c r="E427" s="107"/>
      <c r="F427" s="107"/>
      <c r="G427" s="35"/>
      <c r="H427" s="104"/>
      <c r="I427" s="35"/>
      <c r="J427" s="74"/>
      <c r="K427" s="74"/>
      <c r="L427" s="74"/>
      <c r="M427" s="74"/>
      <c r="N427" s="74"/>
      <c r="O427" s="74"/>
      <c r="P427" s="74"/>
      <c r="Q427" s="74"/>
      <c r="R427" s="74"/>
      <c r="S427" s="74"/>
      <c r="T427" s="74"/>
      <c r="U427" s="74"/>
      <c r="V427" s="74"/>
      <c r="W427" s="74"/>
      <c r="X427" s="74"/>
      <c r="Y427" s="74"/>
      <c r="Z427" s="74"/>
      <c r="AA427" s="74"/>
      <c r="AB427" s="74"/>
    </row>
    <row r="428" spans="1:28" ht="12" customHeight="1">
      <c r="A428" s="105"/>
      <c r="B428" s="106"/>
      <c r="C428" s="107"/>
      <c r="D428" s="108"/>
      <c r="E428" s="107"/>
      <c r="F428" s="107"/>
      <c r="G428" s="35"/>
      <c r="H428" s="104"/>
      <c r="I428" s="35"/>
      <c r="J428" s="74"/>
      <c r="K428" s="74"/>
      <c r="L428" s="74"/>
      <c r="M428" s="74"/>
      <c r="N428" s="74"/>
      <c r="O428" s="74"/>
      <c r="P428" s="74"/>
      <c r="Q428" s="74"/>
      <c r="R428" s="74"/>
      <c r="S428" s="74"/>
      <c r="T428" s="74"/>
      <c r="U428" s="74"/>
      <c r="V428" s="74"/>
      <c r="W428" s="74"/>
      <c r="X428" s="74"/>
      <c r="Y428" s="74"/>
      <c r="Z428" s="74"/>
      <c r="AA428" s="74"/>
      <c r="AB428" s="74"/>
    </row>
    <row r="429" spans="1:28" ht="12" customHeight="1">
      <c r="A429" s="105"/>
      <c r="B429" s="106"/>
      <c r="C429" s="107"/>
      <c r="D429" s="108"/>
      <c r="E429" s="107"/>
      <c r="F429" s="107"/>
      <c r="G429" s="35"/>
      <c r="H429" s="104"/>
      <c r="I429" s="35"/>
      <c r="J429" s="74"/>
      <c r="K429" s="74"/>
      <c r="L429" s="74"/>
      <c r="M429" s="74"/>
      <c r="N429" s="74"/>
      <c r="O429" s="74"/>
      <c r="P429" s="74"/>
      <c r="Q429" s="74"/>
      <c r="R429" s="74"/>
      <c r="S429" s="74"/>
      <c r="T429" s="74"/>
      <c r="U429" s="74"/>
      <c r="V429" s="74"/>
      <c r="W429" s="74"/>
      <c r="X429" s="74"/>
      <c r="Y429" s="74"/>
      <c r="Z429" s="74"/>
      <c r="AA429" s="74"/>
      <c r="AB429" s="74"/>
    </row>
    <row r="430" spans="1:28" ht="12" customHeight="1">
      <c r="A430" s="105"/>
      <c r="B430" s="106"/>
      <c r="C430" s="107"/>
      <c r="D430" s="108"/>
      <c r="E430" s="107"/>
      <c r="F430" s="107"/>
      <c r="G430" s="35"/>
      <c r="H430" s="104"/>
      <c r="I430" s="35"/>
      <c r="J430" s="74"/>
      <c r="K430" s="74"/>
      <c r="L430" s="74"/>
      <c r="M430" s="74"/>
      <c r="N430" s="74"/>
      <c r="O430" s="74"/>
      <c r="P430" s="74"/>
      <c r="Q430" s="74"/>
      <c r="R430" s="74"/>
      <c r="S430" s="74"/>
      <c r="T430" s="74"/>
      <c r="U430" s="74"/>
      <c r="V430" s="74"/>
      <c r="W430" s="74"/>
      <c r="X430" s="74"/>
      <c r="Y430" s="74"/>
      <c r="Z430" s="74"/>
      <c r="AA430" s="74"/>
      <c r="AB430" s="74"/>
    </row>
    <row r="431" spans="1:28" ht="12" customHeight="1">
      <c r="A431" s="105"/>
      <c r="B431" s="106"/>
      <c r="C431" s="107"/>
      <c r="D431" s="108"/>
      <c r="E431" s="107"/>
      <c r="F431" s="107"/>
      <c r="G431" s="35"/>
      <c r="H431" s="104"/>
      <c r="I431" s="35"/>
      <c r="J431" s="74"/>
      <c r="K431" s="74"/>
      <c r="L431" s="74"/>
      <c r="M431" s="74"/>
      <c r="N431" s="74"/>
      <c r="O431" s="74"/>
      <c r="P431" s="74"/>
      <c r="Q431" s="74"/>
      <c r="R431" s="74"/>
      <c r="S431" s="74"/>
      <c r="T431" s="74"/>
      <c r="U431" s="74"/>
      <c r="V431" s="74"/>
      <c r="W431" s="74"/>
      <c r="X431" s="74"/>
      <c r="Y431" s="74"/>
      <c r="Z431" s="74"/>
      <c r="AA431" s="74"/>
      <c r="AB431" s="74"/>
    </row>
    <row r="432" spans="1:28" ht="12" customHeight="1">
      <c r="A432" s="105"/>
      <c r="B432" s="106"/>
      <c r="C432" s="107"/>
      <c r="D432" s="108"/>
      <c r="E432" s="107"/>
      <c r="F432" s="107"/>
      <c r="G432" s="35"/>
      <c r="H432" s="104"/>
      <c r="I432" s="35"/>
      <c r="J432" s="74"/>
      <c r="K432" s="74"/>
      <c r="L432" s="74"/>
      <c r="M432" s="74"/>
      <c r="N432" s="74"/>
      <c r="O432" s="74"/>
      <c r="P432" s="74"/>
      <c r="Q432" s="74"/>
      <c r="R432" s="74"/>
      <c r="S432" s="74"/>
      <c r="T432" s="74"/>
      <c r="U432" s="74"/>
      <c r="V432" s="74"/>
      <c r="W432" s="74"/>
      <c r="X432" s="74"/>
      <c r="Y432" s="74"/>
      <c r="Z432" s="74"/>
      <c r="AA432" s="74"/>
      <c r="AB432" s="74"/>
    </row>
    <row r="433" spans="1:28" ht="12" customHeight="1">
      <c r="A433" s="105"/>
      <c r="B433" s="106"/>
      <c r="C433" s="107"/>
      <c r="D433" s="108"/>
      <c r="E433" s="107"/>
      <c r="F433" s="107"/>
      <c r="G433" s="35"/>
      <c r="H433" s="104"/>
      <c r="I433" s="35"/>
      <c r="J433" s="74"/>
      <c r="K433" s="74"/>
      <c r="L433" s="74"/>
      <c r="M433" s="74"/>
      <c r="N433" s="74"/>
      <c r="O433" s="74"/>
      <c r="P433" s="74"/>
      <c r="Q433" s="74"/>
      <c r="R433" s="74"/>
      <c r="S433" s="74"/>
      <c r="T433" s="74"/>
      <c r="U433" s="74"/>
      <c r="V433" s="74"/>
      <c r="W433" s="74"/>
      <c r="X433" s="74"/>
      <c r="Y433" s="74"/>
      <c r="Z433" s="74"/>
      <c r="AA433" s="74"/>
      <c r="AB433" s="74"/>
    </row>
    <row r="434" spans="1:28" ht="12" customHeight="1">
      <c r="A434" s="105"/>
      <c r="B434" s="106"/>
      <c r="C434" s="107"/>
      <c r="D434" s="108"/>
      <c r="E434" s="107"/>
      <c r="F434" s="107"/>
      <c r="G434" s="35"/>
      <c r="H434" s="104"/>
      <c r="I434" s="35"/>
      <c r="J434" s="74"/>
      <c r="K434" s="74"/>
      <c r="L434" s="74"/>
      <c r="M434" s="74"/>
      <c r="N434" s="74"/>
      <c r="O434" s="74"/>
      <c r="P434" s="74"/>
      <c r="Q434" s="74"/>
      <c r="R434" s="74"/>
      <c r="S434" s="74"/>
      <c r="T434" s="74"/>
      <c r="U434" s="74"/>
      <c r="V434" s="74"/>
      <c r="W434" s="74"/>
      <c r="X434" s="74"/>
      <c r="Y434" s="74"/>
      <c r="Z434" s="74"/>
      <c r="AA434" s="74"/>
      <c r="AB434" s="74"/>
    </row>
    <row r="435" spans="1:28" ht="12" customHeight="1">
      <c r="A435" s="105"/>
      <c r="B435" s="106"/>
      <c r="C435" s="107"/>
      <c r="D435" s="108"/>
      <c r="E435" s="107"/>
      <c r="F435" s="107"/>
      <c r="G435" s="35"/>
      <c r="H435" s="104"/>
      <c r="I435" s="35"/>
      <c r="J435" s="74"/>
      <c r="K435" s="74"/>
      <c r="L435" s="74"/>
      <c r="M435" s="74"/>
      <c r="N435" s="74"/>
      <c r="O435" s="74"/>
      <c r="P435" s="74"/>
      <c r="Q435" s="74"/>
      <c r="R435" s="74"/>
      <c r="S435" s="74"/>
      <c r="T435" s="74"/>
      <c r="U435" s="74"/>
      <c r="V435" s="74"/>
      <c r="W435" s="74"/>
      <c r="X435" s="74"/>
      <c r="Y435" s="74"/>
      <c r="Z435" s="74"/>
      <c r="AA435" s="74"/>
      <c r="AB435" s="74"/>
    </row>
    <row r="436" spans="1:28" ht="12" customHeight="1">
      <c r="A436" s="105"/>
      <c r="B436" s="106"/>
      <c r="C436" s="107"/>
      <c r="D436" s="108"/>
      <c r="E436" s="107"/>
      <c r="F436" s="107"/>
      <c r="G436" s="35"/>
      <c r="H436" s="104"/>
      <c r="I436" s="35"/>
      <c r="J436" s="74"/>
      <c r="K436" s="74"/>
      <c r="L436" s="74"/>
      <c r="M436" s="74"/>
      <c r="N436" s="74"/>
      <c r="O436" s="74"/>
      <c r="P436" s="74"/>
      <c r="Q436" s="74"/>
      <c r="R436" s="74"/>
      <c r="S436" s="74"/>
      <c r="T436" s="74"/>
      <c r="U436" s="74"/>
      <c r="V436" s="74"/>
      <c r="W436" s="74"/>
      <c r="X436" s="74"/>
      <c r="Y436" s="74"/>
      <c r="Z436" s="74"/>
      <c r="AA436" s="74"/>
      <c r="AB436" s="74"/>
    </row>
    <row r="437" spans="1:28" ht="12" customHeight="1">
      <c r="A437" s="105"/>
      <c r="B437" s="106"/>
      <c r="C437" s="107"/>
      <c r="D437" s="108"/>
      <c r="E437" s="107"/>
      <c r="F437" s="107"/>
      <c r="G437" s="35"/>
      <c r="H437" s="104"/>
      <c r="I437" s="35"/>
      <c r="J437" s="74"/>
      <c r="K437" s="74"/>
      <c r="L437" s="74"/>
      <c r="M437" s="74"/>
      <c r="N437" s="74"/>
      <c r="O437" s="74"/>
      <c r="P437" s="74"/>
      <c r="Q437" s="74"/>
      <c r="R437" s="74"/>
      <c r="S437" s="74"/>
      <c r="T437" s="74"/>
      <c r="U437" s="74"/>
      <c r="V437" s="74"/>
      <c r="W437" s="74"/>
      <c r="X437" s="74"/>
      <c r="Y437" s="74"/>
      <c r="Z437" s="74"/>
      <c r="AA437" s="74"/>
      <c r="AB437" s="74"/>
    </row>
    <row r="438" spans="1:28" ht="12" customHeight="1">
      <c r="A438" s="105"/>
      <c r="B438" s="106"/>
      <c r="C438" s="107"/>
      <c r="D438" s="108"/>
      <c r="E438" s="107"/>
      <c r="F438" s="107"/>
      <c r="G438" s="35"/>
      <c r="H438" s="104"/>
      <c r="I438" s="35"/>
      <c r="J438" s="74"/>
      <c r="K438" s="74"/>
      <c r="L438" s="74"/>
      <c r="M438" s="74"/>
      <c r="N438" s="74"/>
      <c r="O438" s="74"/>
      <c r="P438" s="74"/>
      <c r="Q438" s="74"/>
      <c r="R438" s="74"/>
      <c r="S438" s="74"/>
      <c r="T438" s="74"/>
      <c r="U438" s="74"/>
      <c r="V438" s="74"/>
      <c r="W438" s="74"/>
      <c r="X438" s="74"/>
      <c r="Y438" s="74"/>
      <c r="Z438" s="74"/>
      <c r="AA438" s="74"/>
      <c r="AB438" s="74"/>
    </row>
    <row r="439" spans="1:28" ht="12" customHeight="1">
      <c r="A439" s="105"/>
      <c r="B439" s="106"/>
      <c r="C439" s="107"/>
      <c r="D439" s="108"/>
      <c r="E439" s="107"/>
      <c r="F439" s="107"/>
      <c r="G439" s="35"/>
      <c r="H439" s="104"/>
      <c r="I439" s="35"/>
      <c r="J439" s="74"/>
      <c r="K439" s="74"/>
      <c r="L439" s="74"/>
      <c r="M439" s="74"/>
      <c r="N439" s="74"/>
      <c r="O439" s="74"/>
      <c r="P439" s="74"/>
      <c r="Q439" s="74"/>
      <c r="R439" s="74"/>
      <c r="S439" s="74"/>
      <c r="T439" s="74"/>
      <c r="U439" s="74"/>
      <c r="V439" s="74"/>
      <c r="W439" s="74"/>
      <c r="X439" s="74"/>
      <c r="Y439" s="74"/>
      <c r="Z439" s="74"/>
      <c r="AA439" s="74"/>
      <c r="AB439" s="74"/>
    </row>
    <row r="440" spans="1:28" ht="12" customHeight="1">
      <c r="A440" s="105"/>
      <c r="B440" s="106"/>
      <c r="C440" s="107"/>
      <c r="D440" s="108"/>
      <c r="E440" s="107"/>
      <c r="F440" s="107"/>
      <c r="G440" s="35"/>
      <c r="H440" s="104"/>
      <c r="I440" s="35"/>
      <c r="J440" s="74"/>
      <c r="K440" s="74"/>
      <c r="L440" s="74"/>
      <c r="M440" s="74"/>
      <c r="N440" s="74"/>
      <c r="O440" s="74"/>
      <c r="P440" s="74"/>
      <c r="Q440" s="74"/>
      <c r="R440" s="74"/>
      <c r="S440" s="74"/>
      <c r="T440" s="74"/>
      <c r="U440" s="74"/>
      <c r="V440" s="74"/>
      <c r="W440" s="74"/>
      <c r="X440" s="74"/>
      <c r="Y440" s="74"/>
      <c r="Z440" s="74"/>
      <c r="AA440" s="74"/>
      <c r="AB440" s="74"/>
    </row>
    <row r="441" spans="1:28" ht="12" customHeight="1">
      <c r="A441" s="105"/>
      <c r="B441" s="106"/>
      <c r="C441" s="107"/>
      <c r="D441" s="108"/>
      <c r="E441" s="107"/>
      <c r="F441" s="107"/>
      <c r="G441" s="35"/>
      <c r="H441" s="104"/>
      <c r="I441" s="35"/>
      <c r="J441" s="74"/>
      <c r="K441" s="74"/>
      <c r="L441" s="74"/>
      <c r="M441" s="74"/>
      <c r="N441" s="74"/>
      <c r="O441" s="74"/>
      <c r="P441" s="74"/>
      <c r="Q441" s="74"/>
      <c r="R441" s="74"/>
      <c r="S441" s="74"/>
      <c r="T441" s="74"/>
      <c r="U441" s="74"/>
      <c r="V441" s="74"/>
      <c r="W441" s="74"/>
      <c r="X441" s="74"/>
      <c r="Y441" s="74"/>
      <c r="Z441" s="74"/>
      <c r="AA441" s="74"/>
      <c r="AB441" s="74"/>
    </row>
    <row r="442" spans="1:28" ht="12" customHeight="1">
      <c r="A442" s="105"/>
      <c r="B442" s="106"/>
      <c r="C442" s="107"/>
      <c r="D442" s="108"/>
      <c r="E442" s="107"/>
      <c r="F442" s="107"/>
      <c r="G442" s="35"/>
      <c r="H442" s="104"/>
      <c r="I442" s="35"/>
      <c r="J442" s="74"/>
      <c r="K442" s="74"/>
      <c r="L442" s="74"/>
      <c r="M442" s="74"/>
      <c r="N442" s="74"/>
      <c r="O442" s="74"/>
      <c r="P442" s="74"/>
      <c r="Q442" s="74"/>
      <c r="R442" s="74"/>
      <c r="S442" s="74"/>
      <c r="T442" s="74"/>
      <c r="U442" s="74"/>
      <c r="V442" s="74"/>
      <c r="W442" s="74"/>
      <c r="X442" s="74"/>
      <c r="Y442" s="74"/>
      <c r="Z442" s="74"/>
      <c r="AA442" s="74"/>
      <c r="AB442" s="74"/>
    </row>
    <row r="443" spans="1:28" ht="12" customHeight="1">
      <c r="A443" s="105"/>
      <c r="B443" s="106"/>
      <c r="C443" s="107"/>
      <c r="D443" s="108"/>
      <c r="E443" s="107"/>
      <c r="F443" s="107"/>
      <c r="G443" s="35"/>
      <c r="H443" s="104"/>
      <c r="I443" s="35"/>
      <c r="J443" s="74"/>
      <c r="K443" s="74"/>
      <c r="L443" s="74"/>
      <c r="M443" s="74"/>
      <c r="N443" s="74"/>
      <c r="O443" s="74"/>
      <c r="P443" s="74"/>
      <c r="Q443" s="74"/>
      <c r="R443" s="74"/>
      <c r="S443" s="74"/>
      <c r="T443" s="74"/>
      <c r="U443" s="74"/>
      <c r="V443" s="74"/>
      <c r="W443" s="74"/>
      <c r="X443" s="74"/>
      <c r="Y443" s="74"/>
      <c r="Z443" s="74"/>
      <c r="AA443" s="74"/>
      <c r="AB443" s="74"/>
    </row>
    <row r="444" spans="1:28" ht="12" customHeight="1">
      <c r="A444" s="105"/>
      <c r="B444" s="106"/>
      <c r="C444" s="107"/>
      <c r="D444" s="108"/>
      <c r="E444" s="107"/>
      <c r="F444" s="107"/>
      <c r="G444" s="35"/>
      <c r="H444" s="104"/>
      <c r="I444" s="35"/>
      <c r="J444" s="74"/>
      <c r="K444" s="74"/>
      <c r="L444" s="74"/>
      <c r="M444" s="74"/>
      <c r="N444" s="74"/>
      <c r="O444" s="74"/>
      <c r="P444" s="74"/>
      <c r="Q444" s="74"/>
      <c r="R444" s="74"/>
      <c r="S444" s="74"/>
      <c r="T444" s="74"/>
      <c r="U444" s="74"/>
      <c r="V444" s="74"/>
      <c r="W444" s="74"/>
      <c r="X444" s="74"/>
      <c r="Y444" s="74"/>
      <c r="Z444" s="74"/>
      <c r="AA444" s="74"/>
      <c r="AB444" s="74"/>
    </row>
    <row r="445" spans="1:28" ht="12" customHeight="1">
      <c r="A445" s="105"/>
      <c r="B445" s="106"/>
      <c r="C445" s="107"/>
      <c r="D445" s="108"/>
      <c r="E445" s="107"/>
      <c r="F445" s="107"/>
      <c r="G445" s="35"/>
      <c r="H445" s="104"/>
      <c r="I445" s="35"/>
      <c r="J445" s="74"/>
      <c r="K445" s="74"/>
      <c r="L445" s="74"/>
      <c r="M445" s="74"/>
      <c r="N445" s="74"/>
      <c r="O445" s="74"/>
      <c r="P445" s="74"/>
      <c r="Q445" s="74"/>
      <c r="R445" s="74"/>
      <c r="S445" s="74"/>
      <c r="T445" s="74"/>
      <c r="U445" s="74"/>
      <c r="V445" s="74"/>
      <c r="W445" s="74"/>
      <c r="X445" s="74"/>
      <c r="Y445" s="74"/>
      <c r="Z445" s="74"/>
      <c r="AA445" s="74"/>
      <c r="AB445" s="74"/>
    </row>
    <row r="446" spans="1:28" ht="12" customHeight="1">
      <c r="A446" s="105"/>
      <c r="B446" s="106"/>
      <c r="C446" s="107"/>
      <c r="D446" s="108"/>
      <c r="E446" s="107"/>
      <c r="F446" s="107"/>
      <c r="G446" s="35"/>
      <c r="H446" s="104"/>
      <c r="I446" s="35"/>
      <c r="J446" s="74"/>
      <c r="K446" s="74"/>
      <c r="L446" s="74"/>
      <c r="M446" s="74"/>
      <c r="N446" s="74"/>
      <c r="O446" s="74"/>
      <c r="P446" s="74"/>
      <c r="Q446" s="74"/>
      <c r="R446" s="74"/>
      <c r="S446" s="74"/>
      <c r="T446" s="74"/>
      <c r="U446" s="74"/>
      <c r="V446" s="74"/>
      <c r="W446" s="74"/>
      <c r="X446" s="74"/>
      <c r="Y446" s="74"/>
      <c r="Z446" s="74"/>
      <c r="AA446" s="74"/>
      <c r="AB446" s="74"/>
    </row>
    <row r="447" spans="1:28" ht="12" customHeight="1">
      <c r="A447" s="105"/>
      <c r="B447" s="106"/>
      <c r="C447" s="107"/>
      <c r="D447" s="108"/>
      <c r="E447" s="107"/>
      <c r="F447" s="107"/>
      <c r="G447" s="35"/>
      <c r="H447" s="104"/>
      <c r="I447" s="35"/>
      <c r="J447" s="74"/>
      <c r="K447" s="74"/>
      <c r="L447" s="74"/>
      <c r="M447" s="74"/>
      <c r="N447" s="74"/>
      <c r="O447" s="74"/>
      <c r="P447" s="74"/>
      <c r="Q447" s="74"/>
      <c r="R447" s="74"/>
      <c r="S447" s="74"/>
      <c r="T447" s="74"/>
      <c r="U447" s="74"/>
      <c r="V447" s="74"/>
      <c r="W447" s="74"/>
      <c r="X447" s="74"/>
      <c r="Y447" s="74"/>
      <c r="Z447" s="74"/>
      <c r="AA447" s="74"/>
      <c r="AB447" s="74"/>
    </row>
    <row r="448" spans="1:28" ht="12" customHeight="1">
      <c r="A448" s="105"/>
      <c r="B448" s="106"/>
      <c r="C448" s="107"/>
      <c r="D448" s="108"/>
      <c r="E448" s="107"/>
      <c r="F448" s="107"/>
      <c r="G448" s="35"/>
      <c r="H448" s="104"/>
      <c r="I448" s="35"/>
      <c r="J448" s="74"/>
      <c r="K448" s="74"/>
      <c r="L448" s="74"/>
      <c r="M448" s="74"/>
      <c r="N448" s="74"/>
      <c r="O448" s="74"/>
      <c r="P448" s="74"/>
      <c r="Q448" s="74"/>
      <c r="R448" s="74"/>
      <c r="S448" s="74"/>
      <c r="T448" s="74"/>
      <c r="U448" s="74"/>
      <c r="V448" s="74"/>
      <c r="W448" s="74"/>
      <c r="X448" s="74"/>
      <c r="Y448" s="74"/>
      <c r="Z448" s="74"/>
      <c r="AA448" s="74"/>
      <c r="AB448" s="74"/>
    </row>
    <row r="449" spans="1:28" ht="12" customHeight="1">
      <c r="A449" s="105"/>
      <c r="B449" s="106"/>
      <c r="C449" s="107"/>
      <c r="D449" s="108"/>
      <c r="E449" s="107"/>
      <c r="F449" s="107"/>
      <c r="G449" s="35"/>
      <c r="H449" s="104"/>
      <c r="I449" s="35"/>
      <c r="J449" s="74"/>
      <c r="K449" s="74"/>
      <c r="L449" s="74"/>
      <c r="M449" s="74"/>
      <c r="N449" s="74"/>
      <c r="O449" s="74"/>
      <c r="P449" s="74"/>
      <c r="Q449" s="74"/>
      <c r="R449" s="74"/>
      <c r="S449" s="74"/>
      <c r="T449" s="74"/>
      <c r="U449" s="74"/>
      <c r="V449" s="74"/>
      <c r="W449" s="74"/>
      <c r="X449" s="74"/>
      <c r="Y449" s="74"/>
      <c r="Z449" s="74"/>
      <c r="AA449" s="74"/>
      <c r="AB449" s="74"/>
    </row>
    <row r="450" spans="1:28" ht="12" customHeight="1">
      <c r="A450" s="105"/>
      <c r="B450" s="106"/>
      <c r="C450" s="107"/>
      <c r="D450" s="108"/>
      <c r="E450" s="107"/>
      <c r="F450" s="107"/>
      <c r="G450" s="35"/>
      <c r="H450" s="104"/>
      <c r="I450" s="35"/>
      <c r="J450" s="74"/>
      <c r="K450" s="74"/>
      <c r="L450" s="74"/>
      <c r="M450" s="74"/>
      <c r="N450" s="74"/>
      <c r="O450" s="74"/>
      <c r="P450" s="74"/>
      <c r="Q450" s="74"/>
      <c r="R450" s="74"/>
      <c r="S450" s="74"/>
      <c r="T450" s="74"/>
      <c r="U450" s="74"/>
      <c r="V450" s="74"/>
      <c r="W450" s="74"/>
      <c r="X450" s="74"/>
      <c r="Y450" s="74"/>
      <c r="Z450" s="74"/>
      <c r="AA450" s="74"/>
      <c r="AB450" s="74"/>
    </row>
    <row r="451" spans="1:28" ht="12" customHeight="1">
      <c r="A451" s="105"/>
      <c r="B451" s="106"/>
      <c r="C451" s="107"/>
      <c r="D451" s="108"/>
      <c r="E451" s="107"/>
      <c r="F451" s="107"/>
      <c r="G451" s="35"/>
      <c r="H451" s="104"/>
      <c r="I451" s="35"/>
      <c r="J451" s="74"/>
      <c r="K451" s="74"/>
      <c r="L451" s="74"/>
      <c r="M451" s="74"/>
      <c r="N451" s="74"/>
      <c r="O451" s="74"/>
      <c r="P451" s="74"/>
      <c r="Q451" s="74"/>
      <c r="R451" s="74"/>
      <c r="S451" s="74"/>
      <c r="T451" s="74"/>
      <c r="U451" s="74"/>
      <c r="V451" s="74"/>
      <c r="W451" s="74"/>
      <c r="X451" s="74"/>
      <c r="Y451" s="74"/>
      <c r="Z451" s="74"/>
      <c r="AA451" s="74"/>
      <c r="AB451" s="74"/>
    </row>
    <row r="452" spans="1:28" ht="12" customHeight="1">
      <c r="A452" s="105"/>
      <c r="B452" s="106"/>
      <c r="C452" s="107"/>
      <c r="D452" s="108"/>
      <c r="E452" s="107"/>
      <c r="F452" s="107"/>
      <c r="G452" s="35"/>
      <c r="H452" s="104"/>
      <c r="I452" s="35"/>
      <c r="J452" s="74"/>
      <c r="K452" s="74"/>
      <c r="L452" s="74"/>
      <c r="M452" s="74"/>
      <c r="N452" s="74"/>
      <c r="O452" s="74"/>
      <c r="P452" s="74"/>
      <c r="Q452" s="74"/>
      <c r="R452" s="74"/>
      <c r="S452" s="74"/>
      <c r="T452" s="74"/>
      <c r="U452" s="74"/>
      <c r="V452" s="74"/>
      <c r="W452" s="74"/>
      <c r="X452" s="74"/>
      <c r="Y452" s="74"/>
      <c r="Z452" s="74"/>
      <c r="AA452" s="74"/>
      <c r="AB452" s="74"/>
    </row>
    <row r="453" spans="1:28" ht="12" customHeight="1">
      <c r="A453" s="105"/>
      <c r="B453" s="106"/>
      <c r="C453" s="107"/>
      <c r="D453" s="108"/>
      <c r="E453" s="107"/>
      <c r="F453" s="107"/>
      <c r="G453" s="35"/>
      <c r="H453" s="104"/>
      <c r="I453" s="35"/>
      <c r="J453" s="74"/>
      <c r="K453" s="74"/>
      <c r="L453" s="74"/>
      <c r="M453" s="74"/>
      <c r="N453" s="74"/>
      <c r="O453" s="74"/>
      <c r="P453" s="74"/>
      <c r="Q453" s="74"/>
      <c r="R453" s="74"/>
      <c r="S453" s="74"/>
      <c r="T453" s="74"/>
      <c r="U453" s="74"/>
      <c r="V453" s="74"/>
      <c r="W453" s="74"/>
      <c r="X453" s="74"/>
      <c r="Y453" s="74"/>
      <c r="Z453" s="74"/>
      <c r="AA453" s="74"/>
      <c r="AB453" s="74"/>
    </row>
    <row r="454" spans="1:28" ht="12" customHeight="1">
      <c r="A454" s="105"/>
      <c r="B454" s="106"/>
      <c r="C454" s="107"/>
      <c r="D454" s="108"/>
      <c r="E454" s="107"/>
      <c r="F454" s="107"/>
      <c r="G454" s="35"/>
      <c r="H454" s="104"/>
      <c r="I454" s="35"/>
      <c r="J454" s="74"/>
      <c r="K454" s="74"/>
      <c r="L454" s="74"/>
      <c r="M454" s="74"/>
      <c r="N454" s="74"/>
      <c r="O454" s="74"/>
      <c r="P454" s="74"/>
      <c r="Q454" s="74"/>
      <c r="R454" s="74"/>
      <c r="S454" s="74"/>
      <c r="T454" s="74"/>
      <c r="U454" s="74"/>
      <c r="V454" s="74"/>
      <c r="W454" s="74"/>
      <c r="X454" s="74"/>
      <c r="Y454" s="74"/>
      <c r="Z454" s="74"/>
      <c r="AA454" s="74"/>
      <c r="AB454" s="74"/>
    </row>
    <row r="455" spans="1:28" ht="12" customHeight="1">
      <c r="A455" s="105"/>
      <c r="B455" s="106"/>
      <c r="C455" s="107"/>
      <c r="D455" s="108"/>
      <c r="E455" s="107"/>
      <c r="F455" s="107"/>
      <c r="G455" s="35"/>
      <c r="H455" s="104"/>
      <c r="I455" s="35"/>
      <c r="J455" s="74"/>
      <c r="K455" s="74"/>
      <c r="L455" s="74"/>
      <c r="M455" s="74"/>
      <c r="N455" s="74"/>
      <c r="O455" s="74"/>
      <c r="P455" s="74"/>
      <c r="Q455" s="74"/>
      <c r="R455" s="74"/>
      <c r="S455" s="74"/>
      <c r="T455" s="74"/>
      <c r="U455" s="74"/>
      <c r="V455" s="74"/>
      <c r="W455" s="74"/>
      <c r="X455" s="74"/>
      <c r="Y455" s="74"/>
      <c r="Z455" s="74"/>
      <c r="AA455" s="74"/>
      <c r="AB455" s="74"/>
    </row>
    <row r="456" spans="1:28" ht="12" customHeight="1">
      <c r="A456" s="105"/>
      <c r="B456" s="106"/>
      <c r="C456" s="107"/>
      <c r="D456" s="108"/>
      <c r="E456" s="107"/>
      <c r="F456" s="107"/>
      <c r="G456" s="35"/>
      <c r="H456" s="104"/>
      <c r="I456" s="35"/>
      <c r="J456" s="74"/>
      <c r="K456" s="74"/>
      <c r="L456" s="74"/>
      <c r="M456" s="74"/>
      <c r="N456" s="74"/>
      <c r="O456" s="74"/>
      <c r="P456" s="74"/>
      <c r="Q456" s="74"/>
      <c r="R456" s="74"/>
      <c r="S456" s="74"/>
      <c r="T456" s="74"/>
      <c r="U456" s="74"/>
      <c r="V456" s="74"/>
      <c r="W456" s="74"/>
      <c r="X456" s="74"/>
      <c r="Y456" s="74"/>
      <c r="Z456" s="74"/>
      <c r="AA456" s="74"/>
      <c r="AB456" s="74"/>
    </row>
    <row r="457" spans="1:28" ht="12" customHeight="1">
      <c r="A457" s="105"/>
      <c r="B457" s="106"/>
      <c r="C457" s="107"/>
      <c r="D457" s="108"/>
      <c r="E457" s="107"/>
      <c r="F457" s="107"/>
      <c r="G457" s="35"/>
      <c r="H457" s="104"/>
      <c r="I457" s="35"/>
      <c r="J457" s="74"/>
      <c r="K457" s="74"/>
      <c r="L457" s="74"/>
      <c r="M457" s="74"/>
      <c r="N457" s="74"/>
      <c r="O457" s="74"/>
      <c r="P457" s="74"/>
      <c r="Q457" s="74"/>
      <c r="R457" s="74"/>
      <c r="S457" s="74"/>
      <c r="T457" s="74"/>
      <c r="U457" s="74"/>
      <c r="V457" s="74"/>
      <c r="W457" s="74"/>
      <c r="X457" s="74"/>
      <c r="Y457" s="74"/>
      <c r="Z457" s="74"/>
      <c r="AA457" s="74"/>
      <c r="AB457" s="74"/>
    </row>
    <row r="458" spans="1:28" ht="12" customHeight="1">
      <c r="A458" s="105"/>
      <c r="B458" s="106"/>
      <c r="C458" s="107"/>
      <c r="D458" s="108"/>
      <c r="E458" s="107"/>
      <c r="F458" s="107"/>
      <c r="G458" s="35"/>
      <c r="H458" s="104"/>
      <c r="I458" s="35"/>
      <c r="J458" s="74"/>
      <c r="K458" s="74"/>
      <c r="L458" s="74"/>
      <c r="M458" s="74"/>
      <c r="N458" s="74"/>
      <c r="O458" s="74"/>
      <c r="P458" s="74"/>
      <c r="Q458" s="74"/>
      <c r="R458" s="74"/>
      <c r="S458" s="74"/>
      <c r="T458" s="74"/>
      <c r="U458" s="74"/>
      <c r="V458" s="74"/>
      <c r="W458" s="74"/>
      <c r="X458" s="74"/>
      <c r="Y458" s="74"/>
      <c r="Z458" s="74"/>
      <c r="AA458" s="74"/>
      <c r="AB458" s="74"/>
    </row>
    <row r="459" spans="1:28" ht="12" customHeight="1">
      <c r="A459" s="105"/>
      <c r="B459" s="106"/>
      <c r="C459" s="107"/>
      <c r="D459" s="108"/>
      <c r="E459" s="107"/>
      <c r="F459" s="107"/>
      <c r="G459" s="35"/>
      <c r="H459" s="104"/>
      <c r="I459" s="35"/>
      <c r="J459" s="74"/>
      <c r="K459" s="74"/>
      <c r="L459" s="74"/>
      <c r="M459" s="74"/>
      <c r="N459" s="74"/>
      <c r="O459" s="74"/>
      <c r="P459" s="74"/>
      <c r="Q459" s="74"/>
      <c r="R459" s="74"/>
      <c r="S459" s="74"/>
      <c r="T459" s="74"/>
      <c r="U459" s="74"/>
      <c r="V459" s="74"/>
      <c r="W459" s="74"/>
      <c r="X459" s="74"/>
      <c r="Y459" s="74"/>
      <c r="Z459" s="74"/>
      <c r="AA459" s="74"/>
      <c r="AB459" s="74"/>
    </row>
    <row r="460" spans="1:28" ht="12" customHeight="1">
      <c r="A460" s="105"/>
      <c r="B460" s="106"/>
      <c r="C460" s="107"/>
      <c r="D460" s="108"/>
      <c r="E460" s="107"/>
      <c r="F460" s="107"/>
      <c r="G460" s="35"/>
      <c r="H460" s="104"/>
      <c r="I460" s="35"/>
      <c r="J460" s="74"/>
      <c r="K460" s="74"/>
      <c r="L460" s="74"/>
      <c r="M460" s="74"/>
      <c r="N460" s="74"/>
      <c r="O460" s="74"/>
      <c r="P460" s="74"/>
      <c r="Q460" s="74"/>
      <c r="R460" s="74"/>
      <c r="S460" s="74"/>
      <c r="T460" s="74"/>
      <c r="U460" s="74"/>
      <c r="V460" s="74"/>
      <c r="W460" s="74"/>
      <c r="X460" s="74"/>
      <c r="Y460" s="74"/>
      <c r="Z460" s="74"/>
      <c r="AA460" s="74"/>
      <c r="AB460" s="74"/>
    </row>
    <row r="461" spans="1:28" ht="12" customHeight="1">
      <c r="A461" s="105"/>
      <c r="B461" s="106"/>
      <c r="C461" s="107"/>
      <c r="D461" s="108"/>
      <c r="E461" s="107"/>
      <c r="F461" s="107"/>
      <c r="G461" s="35"/>
      <c r="H461" s="104"/>
      <c r="I461" s="35"/>
      <c r="J461" s="74"/>
      <c r="K461" s="74"/>
      <c r="L461" s="74"/>
      <c r="M461" s="74"/>
      <c r="N461" s="74"/>
      <c r="O461" s="74"/>
      <c r="P461" s="74"/>
      <c r="Q461" s="74"/>
      <c r="R461" s="74"/>
      <c r="S461" s="74"/>
      <c r="T461" s="74"/>
      <c r="U461" s="74"/>
      <c r="V461" s="74"/>
      <c r="W461" s="74"/>
      <c r="X461" s="74"/>
      <c r="Y461" s="74"/>
      <c r="Z461" s="74"/>
      <c r="AA461" s="74"/>
      <c r="AB461" s="74"/>
    </row>
    <row r="462" spans="1:28" ht="12" customHeight="1">
      <c r="A462" s="105"/>
      <c r="B462" s="106"/>
      <c r="C462" s="107"/>
      <c r="D462" s="108"/>
      <c r="E462" s="107"/>
      <c r="F462" s="107"/>
      <c r="G462" s="35"/>
      <c r="H462" s="104"/>
      <c r="I462" s="35"/>
      <c r="J462" s="74"/>
      <c r="K462" s="74"/>
      <c r="L462" s="74"/>
      <c r="M462" s="74"/>
      <c r="N462" s="74"/>
      <c r="O462" s="74"/>
      <c r="P462" s="74"/>
      <c r="Q462" s="74"/>
      <c r="R462" s="74"/>
      <c r="S462" s="74"/>
      <c r="T462" s="74"/>
      <c r="U462" s="74"/>
      <c r="V462" s="74"/>
      <c r="W462" s="74"/>
      <c r="X462" s="74"/>
      <c r="Y462" s="74"/>
      <c r="Z462" s="74"/>
      <c r="AA462" s="74"/>
      <c r="AB462" s="74"/>
    </row>
    <row r="463" spans="1:28" ht="12" customHeight="1">
      <c r="A463" s="105"/>
      <c r="B463" s="106"/>
      <c r="C463" s="107"/>
      <c r="D463" s="108"/>
      <c r="E463" s="107"/>
      <c r="F463" s="107"/>
      <c r="G463" s="35"/>
      <c r="H463" s="104"/>
      <c r="I463" s="35"/>
      <c r="J463" s="74"/>
      <c r="K463" s="74"/>
      <c r="L463" s="74"/>
      <c r="M463" s="74"/>
      <c r="N463" s="74"/>
      <c r="O463" s="74"/>
      <c r="P463" s="74"/>
      <c r="Q463" s="74"/>
      <c r="R463" s="74"/>
      <c r="S463" s="74"/>
      <c r="T463" s="74"/>
      <c r="U463" s="74"/>
      <c r="V463" s="74"/>
      <c r="W463" s="74"/>
      <c r="X463" s="74"/>
      <c r="Y463" s="74"/>
      <c r="Z463" s="74"/>
      <c r="AA463" s="74"/>
      <c r="AB463" s="74"/>
    </row>
    <row r="464" spans="1:28" ht="12" customHeight="1">
      <c r="A464" s="105"/>
      <c r="B464" s="106"/>
      <c r="C464" s="107"/>
      <c r="D464" s="108"/>
      <c r="E464" s="107"/>
      <c r="F464" s="107"/>
      <c r="G464" s="35"/>
      <c r="H464" s="104"/>
      <c r="I464" s="35"/>
      <c r="J464" s="74"/>
      <c r="K464" s="74"/>
      <c r="L464" s="74"/>
      <c r="M464" s="74"/>
      <c r="N464" s="74"/>
      <c r="O464" s="74"/>
      <c r="P464" s="74"/>
      <c r="Q464" s="74"/>
      <c r="R464" s="74"/>
      <c r="S464" s="74"/>
      <c r="T464" s="74"/>
      <c r="U464" s="74"/>
      <c r="V464" s="74"/>
      <c r="W464" s="74"/>
      <c r="X464" s="74"/>
      <c r="Y464" s="74"/>
      <c r="Z464" s="74"/>
      <c r="AA464" s="74"/>
      <c r="AB464" s="74"/>
    </row>
    <row r="465" spans="1:28" ht="12" customHeight="1">
      <c r="A465" s="105"/>
      <c r="B465" s="106"/>
      <c r="C465" s="107"/>
      <c r="D465" s="108"/>
      <c r="E465" s="107"/>
      <c r="F465" s="107"/>
      <c r="G465" s="35"/>
      <c r="H465" s="104"/>
      <c r="I465" s="35"/>
      <c r="J465" s="74"/>
      <c r="K465" s="74"/>
      <c r="L465" s="74"/>
      <c r="M465" s="74"/>
      <c r="N465" s="74"/>
      <c r="O465" s="74"/>
      <c r="P465" s="74"/>
      <c r="Q465" s="74"/>
      <c r="R465" s="74"/>
      <c r="S465" s="74"/>
      <c r="T465" s="74"/>
      <c r="U465" s="74"/>
      <c r="V465" s="74"/>
      <c r="W465" s="74"/>
      <c r="X465" s="74"/>
      <c r="Y465" s="74"/>
      <c r="Z465" s="74"/>
      <c r="AA465" s="74"/>
      <c r="AB465" s="74"/>
    </row>
    <row r="466" spans="1:28" ht="12" customHeight="1">
      <c r="A466" s="105"/>
      <c r="B466" s="106"/>
      <c r="C466" s="107"/>
      <c r="D466" s="108"/>
      <c r="E466" s="107"/>
      <c r="F466" s="107"/>
      <c r="G466" s="35"/>
      <c r="H466" s="104"/>
      <c r="I466" s="35"/>
      <c r="J466" s="74"/>
      <c r="K466" s="74"/>
      <c r="L466" s="74"/>
      <c r="M466" s="74"/>
      <c r="N466" s="74"/>
      <c r="O466" s="74"/>
      <c r="P466" s="74"/>
      <c r="Q466" s="74"/>
      <c r="R466" s="74"/>
      <c r="S466" s="74"/>
      <c r="T466" s="74"/>
      <c r="U466" s="74"/>
      <c r="V466" s="74"/>
      <c r="W466" s="74"/>
      <c r="X466" s="74"/>
      <c r="Y466" s="74"/>
      <c r="Z466" s="74"/>
      <c r="AA466" s="74"/>
      <c r="AB466" s="74"/>
    </row>
    <row r="467" spans="1:28" ht="12" customHeight="1">
      <c r="A467" s="105"/>
      <c r="B467" s="106"/>
      <c r="C467" s="107"/>
      <c r="D467" s="108"/>
      <c r="E467" s="107"/>
      <c r="F467" s="107"/>
      <c r="G467" s="35"/>
      <c r="H467" s="104"/>
      <c r="I467" s="35"/>
      <c r="J467" s="74"/>
      <c r="K467" s="74"/>
      <c r="L467" s="74"/>
      <c r="M467" s="74"/>
      <c r="N467" s="74"/>
      <c r="O467" s="74"/>
      <c r="P467" s="74"/>
      <c r="Q467" s="74"/>
      <c r="R467" s="74"/>
      <c r="S467" s="74"/>
      <c r="T467" s="74"/>
      <c r="U467" s="74"/>
      <c r="V467" s="74"/>
      <c r="W467" s="74"/>
      <c r="X467" s="74"/>
      <c r="Y467" s="74"/>
      <c r="Z467" s="74"/>
      <c r="AA467" s="74"/>
      <c r="AB467" s="74"/>
    </row>
    <row r="468" spans="1:28" ht="12" customHeight="1">
      <c r="A468" s="105"/>
      <c r="B468" s="106"/>
      <c r="C468" s="107"/>
      <c r="D468" s="108"/>
      <c r="E468" s="107"/>
      <c r="F468" s="107"/>
      <c r="G468" s="35"/>
      <c r="H468" s="104"/>
      <c r="I468" s="35"/>
      <c r="J468" s="74"/>
      <c r="K468" s="74"/>
      <c r="L468" s="74"/>
      <c r="M468" s="74"/>
      <c r="N468" s="74"/>
      <c r="O468" s="74"/>
      <c r="P468" s="74"/>
      <c r="Q468" s="74"/>
      <c r="R468" s="74"/>
      <c r="S468" s="74"/>
      <c r="T468" s="74"/>
      <c r="U468" s="74"/>
      <c r="V468" s="74"/>
      <c r="W468" s="74"/>
      <c r="X468" s="74"/>
      <c r="Y468" s="74"/>
      <c r="Z468" s="74"/>
      <c r="AA468" s="74"/>
      <c r="AB468" s="74"/>
    </row>
    <row r="469" spans="1:28" ht="12" customHeight="1">
      <c r="A469" s="105"/>
      <c r="B469" s="106"/>
      <c r="C469" s="107"/>
      <c r="D469" s="108"/>
      <c r="E469" s="107"/>
      <c r="F469" s="107"/>
      <c r="G469" s="35"/>
      <c r="H469" s="104"/>
      <c r="I469" s="35"/>
      <c r="J469" s="74"/>
      <c r="K469" s="74"/>
      <c r="L469" s="74"/>
      <c r="M469" s="74"/>
      <c r="N469" s="74"/>
      <c r="O469" s="74"/>
      <c r="P469" s="74"/>
      <c r="Q469" s="74"/>
      <c r="R469" s="74"/>
      <c r="S469" s="74"/>
      <c r="T469" s="74"/>
      <c r="U469" s="74"/>
      <c r="V469" s="74"/>
      <c r="W469" s="74"/>
      <c r="X469" s="74"/>
      <c r="Y469" s="74"/>
      <c r="Z469" s="74"/>
      <c r="AA469" s="74"/>
      <c r="AB469" s="74"/>
    </row>
    <row r="470" spans="1:28" ht="12" customHeight="1">
      <c r="A470" s="105"/>
      <c r="B470" s="106"/>
      <c r="C470" s="107"/>
      <c r="D470" s="108"/>
      <c r="E470" s="107"/>
      <c r="F470" s="107"/>
      <c r="G470" s="35"/>
      <c r="H470" s="104"/>
      <c r="I470" s="35"/>
      <c r="J470" s="74"/>
      <c r="K470" s="74"/>
      <c r="L470" s="74"/>
      <c r="M470" s="74"/>
      <c r="N470" s="74"/>
      <c r="O470" s="74"/>
      <c r="P470" s="74"/>
      <c r="Q470" s="74"/>
      <c r="R470" s="74"/>
      <c r="S470" s="74"/>
      <c r="T470" s="74"/>
      <c r="U470" s="74"/>
      <c r="V470" s="74"/>
      <c r="W470" s="74"/>
      <c r="X470" s="74"/>
      <c r="Y470" s="74"/>
      <c r="Z470" s="74"/>
      <c r="AA470" s="74"/>
      <c r="AB470" s="74"/>
    </row>
    <row r="471" spans="1:28" ht="12" customHeight="1">
      <c r="A471" s="105"/>
      <c r="B471" s="106"/>
      <c r="C471" s="107"/>
      <c r="D471" s="108"/>
      <c r="E471" s="107"/>
      <c r="F471" s="107"/>
      <c r="G471" s="35"/>
      <c r="H471" s="104"/>
      <c r="I471" s="35"/>
      <c r="J471" s="74"/>
      <c r="K471" s="74"/>
      <c r="L471" s="74"/>
      <c r="M471" s="74"/>
      <c r="N471" s="74"/>
      <c r="O471" s="74"/>
      <c r="P471" s="74"/>
      <c r="Q471" s="74"/>
      <c r="R471" s="74"/>
      <c r="S471" s="74"/>
      <c r="T471" s="74"/>
      <c r="U471" s="74"/>
      <c r="V471" s="74"/>
      <c r="W471" s="74"/>
      <c r="X471" s="74"/>
      <c r="Y471" s="74"/>
      <c r="Z471" s="74"/>
      <c r="AA471" s="74"/>
      <c r="AB471" s="74"/>
    </row>
    <row r="472" spans="1:28" ht="12" customHeight="1">
      <c r="A472" s="105"/>
      <c r="B472" s="106"/>
      <c r="C472" s="107"/>
      <c r="D472" s="108"/>
      <c r="E472" s="107"/>
      <c r="F472" s="107"/>
      <c r="G472" s="35"/>
      <c r="H472" s="104"/>
      <c r="I472" s="35"/>
      <c r="J472" s="74"/>
      <c r="K472" s="74"/>
      <c r="L472" s="74"/>
      <c r="M472" s="74"/>
      <c r="N472" s="74"/>
      <c r="O472" s="74"/>
      <c r="P472" s="74"/>
      <c r="Q472" s="74"/>
      <c r="R472" s="74"/>
      <c r="S472" s="74"/>
      <c r="T472" s="74"/>
      <c r="U472" s="74"/>
      <c r="V472" s="74"/>
      <c r="W472" s="74"/>
      <c r="X472" s="74"/>
      <c r="Y472" s="74"/>
      <c r="Z472" s="74"/>
      <c r="AA472" s="74"/>
      <c r="AB472" s="74"/>
    </row>
    <row r="473" spans="1:28" ht="12" customHeight="1">
      <c r="A473" s="105"/>
      <c r="B473" s="106"/>
      <c r="C473" s="107"/>
      <c r="D473" s="108"/>
      <c r="E473" s="107"/>
      <c r="F473" s="107"/>
      <c r="G473" s="35"/>
      <c r="H473" s="104"/>
      <c r="I473" s="35"/>
      <c r="J473" s="74"/>
      <c r="K473" s="74"/>
      <c r="L473" s="74"/>
      <c r="M473" s="74"/>
      <c r="N473" s="74"/>
      <c r="O473" s="74"/>
      <c r="P473" s="74"/>
      <c r="Q473" s="74"/>
      <c r="R473" s="74"/>
      <c r="S473" s="74"/>
      <c r="T473" s="74"/>
      <c r="U473" s="74"/>
      <c r="V473" s="74"/>
      <c r="W473" s="74"/>
      <c r="X473" s="74"/>
      <c r="Y473" s="74"/>
      <c r="Z473" s="74"/>
      <c r="AA473" s="74"/>
      <c r="AB473" s="74"/>
    </row>
    <row r="474" spans="1:28" ht="12" customHeight="1">
      <c r="A474" s="105"/>
      <c r="B474" s="106"/>
      <c r="C474" s="107"/>
      <c r="D474" s="108"/>
      <c r="E474" s="107"/>
      <c r="F474" s="107"/>
      <c r="G474" s="35"/>
      <c r="H474" s="104"/>
      <c r="I474" s="35"/>
      <c r="J474" s="74"/>
      <c r="K474" s="74"/>
      <c r="L474" s="74"/>
      <c r="M474" s="74"/>
      <c r="N474" s="74"/>
      <c r="O474" s="74"/>
      <c r="P474" s="74"/>
      <c r="Q474" s="74"/>
      <c r="R474" s="74"/>
      <c r="S474" s="74"/>
      <c r="T474" s="74"/>
      <c r="U474" s="74"/>
      <c r="V474" s="74"/>
      <c r="W474" s="74"/>
      <c r="X474" s="74"/>
      <c r="Y474" s="74"/>
      <c r="Z474" s="74"/>
      <c r="AA474" s="74"/>
      <c r="AB474" s="74"/>
    </row>
    <row r="475" spans="1:28" ht="12" customHeight="1">
      <c r="A475" s="105"/>
      <c r="B475" s="106"/>
      <c r="C475" s="107"/>
      <c r="D475" s="108"/>
      <c r="E475" s="107"/>
      <c r="F475" s="107"/>
      <c r="G475" s="35"/>
      <c r="H475" s="104"/>
      <c r="I475" s="35"/>
      <c r="J475" s="74"/>
      <c r="K475" s="74"/>
      <c r="L475" s="74"/>
      <c r="M475" s="74"/>
      <c r="N475" s="74"/>
      <c r="O475" s="74"/>
      <c r="P475" s="74"/>
      <c r="Q475" s="74"/>
      <c r="R475" s="74"/>
      <c r="S475" s="74"/>
      <c r="T475" s="74"/>
      <c r="U475" s="74"/>
      <c r="V475" s="74"/>
      <c r="W475" s="74"/>
      <c r="X475" s="74"/>
      <c r="Y475" s="74"/>
      <c r="Z475" s="74"/>
      <c r="AA475" s="74"/>
      <c r="AB475" s="74"/>
    </row>
    <row r="476" spans="1:28" ht="12" customHeight="1">
      <c r="A476" s="105"/>
      <c r="B476" s="106"/>
      <c r="C476" s="107"/>
      <c r="D476" s="108"/>
      <c r="E476" s="107"/>
      <c r="F476" s="107"/>
      <c r="G476" s="35"/>
      <c r="H476" s="104"/>
      <c r="I476" s="35"/>
      <c r="J476" s="74"/>
      <c r="K476" s="74"/>
      <c r="L476" s="74"/>
      <c r="M476" s="74"/>
      <c r="N476" s="74"/>
      <c r="O476" s="74"/>
      <c r="P476" s="74"/>
      <c r="Q476" s="74"/>
      <c r="R476" s="74"/>
      <c r="S476" s="74"/>
      <c r="T476" s="74"/>
      <c r="U476" s="74"/>
      <c r="V476" s="74"/>
      <c r="W476" s="74"/>
      <c r="X476" s="74"/>
      <c r="Y476" s="74"/>
      <c r="Z476" s="74"/>
      <c r="AA476" s="74"/>
      <c r="AB476" s="74"/>
    </row>
    <row r="477" spans="1:28" ht="12" customHeight="1">
      <c r="A477" s="105"/>
      <c r="B477" s="106"/>
      <c r="C477" s="107"/>
      <c r="D477" s="108"/>
      <c r="E477" s="107"/>
      <c r="F477" s="107"/>
      <c r="G477" s="35"/>
      <c r="H477" s="104"/>
      <c r="I477" s="35"/>
      <c r="J477" s="74"/>
      <c r="K477" s="74"/>
      <c r="L477" s="74"/>
      <c r="M477" s="74"/>
      <c r="N477" s="74"/>
      <c r="O477" s="74"/>
      <c r="P477" s="74"/>
      <c r="Q477" s="74"/>
      <c r="R477" s="74"/>
      <c r="S477" s="74"/>
      <c r="T477" s="74"/>
      <c r="U477" s="74"/>
      <c r="V477" s="74"/>
      <c r="W477" s="74"/>
      <c r="X477" s="74"/>
      <c r="Y477" s="74"/>
      <c r="Z477" s="74"/>
      <c r="AA477" s="74"/>
      <c r="AB477" s="74"/>
    </row>
    <row r="478" spans="1:28" ht="12" customHeight="1">
      <c r="A478" s="105"/>
      <c r="B478" s="106"/>
      <c r="C478" s="107"/>
      <c r="D478" s="108"/>
      <c r="E478" s="107"/>
      <c r="F478" s="107"/>
      <c r="G478" s="35"/>
      <c r="H478" s="104"/>
      <c r="I478" s="35"/>
      <c r="J478" s="74"/>
      <c r="K478" s="74"/>
      <c r="L478" s="74"/>
      <c r="M478" s="74"/>
      <c r="N478" s="74"/>
      <c r="O478" s="74"/>
      <c r="P478" s="74"/>
      <c r="Q478" s="74"/>
      <c r="R478" s="74"/>
      <c r="S478" s="74"/>
      <c r="T478" s="74"/>
      <c r="U478" s="74"/>
      <c r="V478" s="74"/>
      <c r="W478" s="74"/>
      <c r="X478" s="74"/>
      <c r="Y478" s="74"/>
      <c r="Z478" s="74"/>
      <c r="AA478" s="74"/>
      <c r="AB478" s="74"/>
    </row>
    <row r="479" spans="1:28" ht="12" customHeight="1">
      <c r="A479" s="105"/>
      <c r="B479" s="106"/>
      <c r="C479" s="107"/>
      <c r="D479" s="108"/>
      <c r="E479" s="107"/>
      <c r="F479" s="107"/>
      <c r="G479" s="35"/>
      <c r="H479" s="104"/>
      <c r="I479" s="35"/>
      <c r="J479" s="74"/>
      <c r="K479" s="74"/>
      <c r="L479" s="74"/>
      <c r="M479" s="74"/>
      <c r="N479" s="74"/>
      <c r="O479" s="74"/>
      <c r="P479" s="74"/>
      <c r="Q479" s="74"/>
      <c r="R479" s="74"/>
      <c r="S479" s="74"/>
      <c r="T479" s="74"/>
      <c r="U479" s="74"/>
      <c r="V479" s="74"/>
      <c r="W479" s="74"/>
      <c r="X479" s="74"/>
      <c r="Y479" s="74"/>
      <c r="Z479" s="74"/>
      <c r="AA479" s="74"/>
      <c r="AB479" s="74"/>
    </row>
    <row r="480" spans="1:28" ht="12" customHeight="1">
      <c r="A480" s="105"/>
      <c r="B480" s="106"/>
      <c r="C480" s="107"/>
      <c r="D480" s="108"/>
      <c r="E480" s="107"/>
      <c r="F480" s="107"/>
      <c r="G480" s="35"/>
      <c r="H480" s="104"/>
      <c r="I480" s="35"/>
      <c r="J480" s="74"/>
      <c r="K480" s="74"/>
      <c r="L480" s="74"/>
      <c r="M480" s="74"/>
      <c r="N480" s="74"/>
      <c r="O480" s="74"/>
      <c r="P480" s="74"/>
      <c r="Q480" s="74"/>
      <c r="R480" s="74"/>
      <c r="S480" s="74"/>
      <c r="T480" s="74"/>
      <c r="U480" s="74"/>
      <c r="V480" s="74"/>
      <c r="W480" s="74"/>
      <c r="X480" s="74"/>
      <c r="Y480" s="74"/>
      <c r="Z480" s="74"/>
      <c r="AA480" s="74"/>
      <c r="AB480" s="74"/>
    </row>
    <row r="481" spans="1:28" ht="12" customHeight="1">
      <c r="A481" s="105"/>
      <c r="B481" s="106"/>
      <c r="C481" s="107"/>
      <c r="D481" s="108"/>
      <c r="E481" s="107"/>
      <c r="F481" s="107"/>
      <c r="G481" s="35"/>
      <c r="H481" s="104"/>
      <c r="I481" s="35"/>
      <c r="J481" s="74"/>
      <c r="K481" s="74"/>
      <c r="L481" s="74"/>
      <c r="M481" s="74"/>
      <c r="N481" s="74"/>
      <c r="O481" s="74"/>
      <c r="P481" s="74"/>
      <c r="Q481" s="74"/>
      <c r="R481" s="74"/>
      <c r="S481" s="74"/>
      <c r="T481" s="74"/>
      <c r="U481" s="74"/>
      <c r="V481" s="74"/>
      <c r="W481" s="74"/>
      <c r="X481" s="74"/>
      <c r="Y481" s="74"/>
      <c r="Z481" s="74"/>
      <c r="AA481" s="74"/>
      <c r="AB481" s="74"/>
    </row>
    <row r="482" spans="1:28" ht="12" customHeight="1">
      <c r="A482" s="105"/>
      <c r="B482" s="106"/>
      <c r="C482" s="107"/>
      <c r="D482" s="108"/>
      <c r="E482" s="107"/>
      <c r="F482" s="107"/>
      <c r="G482" s="35"/>
      <c r="H482" s="104"/>
      <c r="I482" s="35"/>
      <c r="J482" s="74"/>
      <c r="K482" s="74"/>
      <c r="L482" s="74"/>
      <c r="M482" s="74"/>
      <c r="N482" s="74"/>
      <c r="O482" s="74"/>
      <c r="P482" s="74"/>
      <c r="Q482" s="74"/>
      <c r="R482" s="74"/>
      <c r="S482" s="74"/>
      <c r="T482" s="74"/>
      <c r="U482" s="74"/>
      <c r="V482" s="74"/>
      <c r="W482" s="74"/>
      <c r="X482" s="74"/>
      <c r="Y482" s="74"/>
      <c r="Z482" s="74"/>
      <c r="AA482" s="74"/>
      <c r="AB482" s="74"/>
    </row>
    <row r="483" spans="1:28" ht="12" customHeight="1">
      <c r="A483" s="105"/>
      <c r="B483" s="106"/>
      <c r="C483" s="107"/>
      <c r="D483" s="108"/>
      <c r="E483" s="107"/>
      <c r="F483" s="107"/>
      <c r="G483" s="35"/>
      <c r="H483" s="104"/>
      <c r="I483" s="35"/>
      <c r="J483" s="74"/>
      <c r="K483" s="74"/>
      <c r="L483" s="74"/>
      <c r="M483" s="74"/>
      <c r="N483" s="74"/>
      <c r="O483" s="74"/>
      <c r="P483" s="74"/>
      <c r="Q483" s="74"/>
      <c r="R483" s="74"/>
      <c r="S483" s="74"/>
      <c r="T483" s="74"/>
      <c r="U483" s="74"/>
      <c r="V483" s="74"/>
      <c r="W483" s="74"/>
      <c r="X483" s="74"/>
      <c r="Y483" s="74"/>
      <c r="Z483" s="74"/>
      <c r="AA483" s="74"/>
      <c r="AB483" s="74"/>
    </row>
    <row r="484" spans="1:28" ht="12" customHeight="1">
      <c r="A484" s="105"/>
      <c r="B484" s="106"/>
      <c r="C484" s="107"/>
      <c r="D484" s="108"/>
      <c r="E484" s="107"/>
      <c r="F484" s="107"/>
      <c r="G484" s="35"/>
      <c r="H484" s="104"/>
      <c r="I484" s="35"/>
      <c r="J484" s="74"/>
      <c r="K484" s="74"/>
      <c r="L484" s="74"/>
      <c r="M484" s="74"/>
      <c r="N484" s="74"/>
      <c r="O484" s="74"/>
      <c r="P484" s="74"/>
      <c r="Q484" s="74"/>
      <c r="R484" s="74"/>
      <c r="S484" s="74"/>
      <c r="T484" s="74"/>
      <c r="U484" s="74"/>
      <c r="V484" s="74"/>
      <c r="W484" s="74"/>
      <c r="X484" s="74"/>
      <c r="Y484" s="74"/>
      <c r="Z484" s="74"/>
      <c r="AA484" s="74"/>
      <c r="AB484" s="74"/>
    </row>
    <row r="485" spans="1:28" ht="12" customHeight="1">
      <c r="A485" s="105"/>
      <c r="B485" s="106"/>
      <c r="C485" s="107"/>
      <c r="D485" s="108"/>
      <c r="E485" s="107"/>
      <c r="F485" s="107"/>
      <c r="G485" s="35"/>
      <c r="H485" s="104"/>
      <c r="I485" s="35"/>
      <c r="J485" s="74"/>
      <c r="K485" s="74"/>
      <c r="L485" s="74"/>
      <c r="M485" s="74"/>
      <c r="N485" s="74"/>
      <c r="O485" s="74"/>
      <c r="P485" s="74"/>
      <c r="Q485" s="74"/>
      <c r="R485" s="74"/>
      <c r="S485" s="74"/>
      <c r="T485" s="74"/>
      <c r="U485" s="74"/>
      <c r="V485" s="74"/>
      <c r="W485" s="74"/>
      <c r="X485" s="74"/>
      <c r="Y485" s="74"/>
      <c r="Z485" s="74"/>
      <c r="AA485" s="74"/>
      <c r="AB485" s="74"/>
    </row>
    <row r="486" spans="1:28" ht="12" customHeight="1">
      <c r="A486" s="105"/>
      <c r="B486" s="106"/>
      <c r="C486" s="107"/>
      <c r="D486" s="108"/>
      <c r="E486" s="107"/>
      <c r="F486" s="107"/>
      <c r="G486" s="35"/>
      <c r="H486" s="104"/>
      <c r="I486" s="35"/>
      <c r="J486" s="74"/>
      <c r="K486" s="74"/>
      <c r="L486" s="74"/>
      <c r="M486" s="74"/>
      <c r="N486" s="74"/>
      <c r="O486" s="74"/>
      <c r="P486" s="74"/>
      <c r="Q486" s="74"/>
      <c r="R486" s="74"/>
      <c r="S486" s="74"/>
      <c r="T486" s="74"/>
      <c r="U486" s="74"/>
      <c r="V486" s="74"/>
      <c r="W486" s="74"/>
      <c r="X486" s="74"/>
      <c r="Y486" s="74"/>
      <c r="Z486" s="74"/>
      <c r="AA486" s="74"/>
      <c r="AB486" s="74"/>
    </row>
    <row r="487" spans="1:28" ht="12" customHeight="1">
      <c r="A487" s="105"/>
      <c r="B487" s="106"/>
      <c r="C487" s="107"/>
      <c r="D487" s="108"/>
      <c r="E487" s="107"/>
      <c r="F487" s="107"/>
      <c r="G487" s="35"/>
      <c r="H487" s="104"/>
      <c r="I487" s="35"/>
      <c r="J487" s="74"/>
      <c r="K487" s="74"/>
      <c r="L487" s="74"/>
      <c r="M487" s="74"/>
      <c r="N487" s="74"/>
      <c r="O487" s="74"/>
      <c r="P487" s="74"/>
      <c r="Q487" s="74"/>
      <c r="R487" s="74"/>
      <c r="S487" s="74"/>
      <c r="T487" s="74"/>
      <c r="U487" s="74"/>
      <c r="V487" s="74"/>
      <c r="W487" s="74"/>
      <c r="X487" s="74"/>
      <c r="Y487" s="74"/>
      <c r="Z487" s="74"/>
      <c r="AA487" s="74"/>
      <c r="AB487" s="74"/>
    </row>
    <row r="488" spans="1:28" ht="12" customHeight="1">
      <c r="A488" s="105"/>
      <c r="B488" s="106"/>
      <c r="C488" s="107"/>
      <c r="D488" s="108"/>
      <c r="E488" s="107"/>
      <c r="F488" s="107"/>
      <c r="G488" s="35"/>
      <c r="H488" s="104"/>
      <c r="I488" s="35"/>
      <c r="J488" s="74"/>
      <c r="K488" s="74"/>
      <c r="L488" s="74"/>
      <c r="M488" s="74"/>
      <c r="N488" s="74"/>
      <c r="O488" s="74"/>
      <c r="P488" s="74"/>
      <c r="Q488" s="74"/>
      <c r="R488" s="74"/>
      <c r="S488" s="74"/>
      <c r="T488" s="74"/>
      <c r="U488" s="74"/>
      <c r="V488" s="74"/>
      <c r="W488" s="74"/>
      <c r="X488" s="74"/>
      <c r="Y488" s="74"/>
      <c r="Z488" s="74"/>
      <c r="AA488" s="74"/>
      <c r="AB488" s="74"/>
    </row>
    <row r="489" spans="1:28" ht="12" customHeight="1">
      <c r="A489" s="105"/>
      <c r="B489" s="106"/>
      <c r="C489" s="107"/>
      <c r="D489" s="108"/>
      <c r="E489" s="107"/>
      <c r="F489" s="107"/>
      <c r="G489" s="35"/>
      <c r="H489" s="104"/>
      <c r="I489" s="35"/>
      <c r="J489" s="74"/>
      <c r="K489" s="74"/>
      <c r="L489" s="74"/>
      <c r="M489" s="74"/>
      <c r="N489" s="74"/>
      <c r="O489" s="74"/>
      <c r="P489" s="74"/>
      <c r="Q489" s="74"/>
      <c r="R489" s="74"/>
      <c r="S489" s="74"/>
      <c r="T489" s="74"/>
      <c r="U489" s="74"/>
      <c r="V489" s="74"/>
      <c r="W489" s="74"/>
      <c r="X489" s="74"/>
      <c r="Y489" s="74"/>
      <c r="Z489" s="74"/>
      <c r="AA489" s="74"/>
      <c r="AB489" s="74"/>
    </row>
    <row r="490" spans="1:28" ht="12" customHeight="1">
      <c r="A490" s="105"/>
      <c r="B490" s="106"/>
      <c r="C490" s="107"/>
      <c r="D490" s="108"/>
      <c r="E490" s="107"/>
      <c r="F490" s="107"/>
      <c r="G490" s="35"/>
      <c r="H490" s="104"/>
      <c r="I490" s="35"/>
      <c r="J490" s="74"/>
      <c r="K490" s="74"/>
      <c r="L490" s="74"/>
      <c r="M490" s="74"/>
      <c r="N490" s="74"/>
      <c r="O490" s="74"/>
      <c r="P490" s="74"/>
      <c r="Q490" s="74"/>
      <c r="R490" s="74"/>
      <c r="S490" s="74"/>
      <c r="T490" s="74"/>
      <c r="U490" s="74"/>
      <c r="V490" s="74"/>
      <c r="W490" s="74"/>
      <c r="X490" s="74"/>
      <c r="Y490" s="74"/>
      <c r="Z490" s="74"/>
      <c r="AA490" s="74"/>
      <c r="AB490" s="74"/>
    </row>
    <row r="491" spans="1:28" ht="12" customHeight="1">
      <c r="A491" s="105"/>
      <c r="B491" s="106"/>
      <c r="C491" s="107"/>
      <c r="D491" s="108"/>
      <c r="E491" s="107"/>
      <c r="F491" s="107"/>
      <c r="G491" s="35"/>
      <c r="H491" s="104"/>
      <c r="I491" s="35"/>
      <c r="J491" s="74"/>
      <c r="K491" s="74"/>
      <c r="L491" s="74"/>
      <c r="M491" s="74"/>
      <c r="N491" s="74"/>
      <c r="O491" s="74"/>
      <c r="P491" s="74"/>
      <c r="Q491" s="74"/>
      <c r="R491" s="74"/>
      <c r="S491" s="74"/>
      <c r="T491" s="74"/>
      <c r="U491" s="74"/>
      <c r="V491" s="74"/>
      <c r="W491" s="74"/>
      <c r="X491" s="74"/>
      <c r="Y491" s="74"/>
      <c r="Z491" s="74"/>
      <c r="AA491" s="74"/>
      <c r="AB491" s="74"/>
    </row>
    <row r="492" spans="1:28" ht="12" customHeight="1">
      <c r="A492" s="105"/>
      <c r="B492" s="106"/>
      <c r="C492" s="107"/>
      <c r="D492" s="108"/>
      <c r="E492" s="107"/>
      <c r="F492" s="107"/>
      <c r="G492" s="35"/>
      <c r="H492" s="104"/>
      <c r="I492" s="35"/>
      <c r="J492" s="74"/>
      <c r="K492" s="74"/>
      <c r="L492" s="74"/>
      <c r="M492" s="74"/>
      <c r="N492" s="74"/>
      <c r="O492" s="74"/>
      <c r="P492" s="74"/>
      <c r="Q492" s="74"/>
      <c r="R492" s="74"/>
      <c r="S492" s="74"/>
      <c r="T492" s="74"/>
      <c r="U492" s="74"/>
      <c r="V492" s="74"/>
      <c r="W492" s="74"/>
      <c r="X492" s="74"/>
      <c r="Y492" s="74"/>
      <c r="Z492" s="74"/>
      <c r="AA492" s="74"/>
      <c r="AB492" s="74"/>
    </row>
    <row r="493" spans="1:28" ht="12" customHeight="1">
      <c r="A493" s="105"/>
      <c r="B493" s="106"/>
      <c r="C493" s="107"/>
      <c r="D493" s="108"/>
      <c r="E493" s="107"/>
      <c r="F493" s="107"/>
      <c r="G493" s="35"/>
      <c r="H493" s="104"/>
      <c r="I493" s="35"/>
      <c r="J493" s="74"/>
      <c r="K493" s="74"/>
      <c r="L493" s="74"/>
      <c r="M493" s="74"/>
      <c r="N493" s="74"/>
      <c r="O493" s="74"/>
      <c r="P493" s="74"/>
      <c r="Q493" s="74"/>
      <c r="R493" s="74"/>
      <c r="S493" s="74"/>
      <c r="T493" s="74"/>
      <c r="U493" s="74"/>
      <c r="V493" s="74"/>
      <c r="W493" s="74"/>
      <c r="X493" s="74"/>
      <c r="Y493" s="74"/>
      <c r="Z493" s="74"/>
      <c r="AA493" s="74"/>
      <c r="AB493" s="74"/>
    </row>
    <row r="494" spans="1:28" ht="12" customHeight="1">
      <c r="A494" s="105"/>
      <c r="B494" s="106"/>
      <c r="C494" s="107"/>
      <c r="D494" s="108"/>
      <c r="E494" s="107"/>
      <c r="F494" s="107"/>
      <c r="G494" s="35"/>
      <c r="H494" s="104"/>
      <c r="I494" s="35"/>
      <c r="J494" s="74"/>
      <c r="K494" s="74"/>
      <c r="L494" s="74"/>
      <c r="M494" s="74"/>
      <c r="N494" s="74"/>
      <c r="O494" s="74"/>
      <c r="P494" s="74"/>
      <c r="Q494" s="74"/>
      <c r="R494" s="74"/>
      <c r="S494" s="74"/>
      <c r="T494" s="74"/>
      <c r="U494" s="74"/>
      <c r="V494" s="74"/>
      <c r="W494" s="74"/>
      <c r="X494" s="74"/>
      <c r="Y494" s="74"/>
      <c r="Z494" s="74"/>
      <c r="AA494" s="74"/>
      <c r="AB494" s="74"/>
    </row>
    <row r="495" spans="1:28" ht="12" customHeight="1">
      <c r="A495" s="105"/>
      <c r="B495" s="106"/>
      <c r="C495" s="107"/>
      <c r="D495" s="108"/>
      <c r="E495" s="107"/>
      <c r="F495" s="107"/>
      <c r="G495" s="35"/>
      <c r="H495" s="104"/>
      <c r="I495" s="35"/>
      <c r="J495" s="74"/>
      <c r="K495" s="74"/>
      <c r="L495" s="74"/>
      <c r="M495" s="74"/>
      <c r="N495" s="74"/>
      <c r="O495" s="74"/>
      <c r="P495" s="74"/>
      <c r="Q495" s="74"/>
      <c r="R495" s="74"/>
      <c r="S495" s="74"/>
      <c r="T495" s="74"/>
      <c r="U495" s="74"/>
      <c r="V495" s="74"/>
      <c r="W495" s="74"/>
      <c r="X495" s="74"/>
      <c r="Y495" s="74"/>
      <c r="Z495" s="74"/>
      <c r="AA495" s="74"/>
      <c r="AB495" s="74"/>
    </row>
    <row r="496" spans="1:28" ht="12" customHeight="1">
      <c r="A496" s="105"/>
      <c r="B496" s="106"/>
      <c r="C496" s="107"/>
      <c r="D496" s="108"/>
      <c r="E496" s="107"/>
      <c r="F496" s="107"/>
      <c r="G496" s="35"/>
      <c r="H496" s="104"/>
      <c r="I496" s="35"/>
      <c r="J496" s="74"/>
      <c r="K496" s="74"/>
      <c r="L496" s="74"/>
      <c r="M496" s="74"/>
      <c r="N496" s="74"/>
      <c r="O496" s="74"/>
      <c r="P496" s="74"/>
      <c r="Q496" s="74"/>
      <c r="R496" s="74"/>
      <c r="S496" s="74"/>
      <c r="T496" s="74"/>
      <c r="U496" s="74"/>
      <c r="V496" s="74"/>
      <c r="W496" s="74"/>
      <c r="X496" s="74"/>
      <c r="Y496" s="74"/>
      <c r="Z496" s="74"/>
      <c r="AA496" s="74"/>
      <c r="AB496" s="74"/>
    </row>
    <row r="497" spans="1:28" ht="12" customHeight="1">
      <c r="A497" s="105"/>
      <c r="B497" s="106"/>
      <c r="C497" s="107"/>
      <c r="D497" s="108"/>
      <c r="E497" s="107"/>
      <c r="F497" s="107"/>
      <c r="G497" s="35"/>
      <c r="H497" s="104"/>
      <c r="I497" s="35"/>
      <c r="J497" s="74"/>
      <c r="K497" s="74"/>
      <c r="L497" s="74"/>
      <c r="M497" s="74"/>
      <c r="N497" s="74"/>
      <c r="O497" s="74"/>
      <c r="P497" s="74"/>
      <c r="Q497" s="74"/>
      <c r="R497" s="74"/>
      <c r="S497" s="74"/>
      <c r="T497" s="74"/>
      <c r="U497" s="74"/>
      <c r="V497" s="74"/>
      <c r="W497" s="74"/>
      <c r="X497" s="74"/>
      <c r="Y497" s="74"/>
      <c r="Z497" s="74"/>
      <c r="AA497" s="74"/>
      <c r="AB497" s="74"/>
    </row>
    <row r="498" spans="1:28" ht="12" customHeight="1">
      <c r="A498" s="105"/>
      <c r="B498" s="106"/>
      <c r="C498" s="107"/>
      <c r="D498" s="108"/>
      <c r="E498" s="107"/>
      <c r="F498" s="107"/>
      <c r="G498" s="35"/>
      <c r="H498" s="104"/>
      <c r="I498" s="35"/>
      <c r="J498" s="74"/>
      <c r="K498" s="74"/>
      <c r="L498" s="74"/>
      <c r="M498" s="74"/>
      <c r="N498" s="74"/>
      <c r="O498" s="74"/>
      <c r="P498" s="74"/>
      <c r="Q498" s="74"/>
      <c r="R498" s="74"/>
      <c r="S498" s="74"/>
      <c r="T498" s="74"/>
      <c r="U498" s="74"/>
      <c r="V498" s="74"/>
      <c r="W498" s="74"/>
      <c r="X498" s="74"/>
      <c r="Y498" s="74"/>
      <c r="Z498" s="74"/>
      <c r="AA498" s="74"/>
      <c r="AB498" s="74"/>
    </row>
    <row r="499" spans="1:28" ht="12" customHeight="1">
      <c r="A499" s="105"/>
      <c r="B499" s="106"/>
      <c r="C499" s="107"/>
      <c r="D499" s="108"/>
      <c r="E499" s="107"/>
      <c r="F499" s="107"/>
      <c r="G499" s="35"/>
      <c r="H499" s="104"/>
      <c r="I499" s="35"/>
      <c r="J499" s="74"/>
      <c r="K499" s="74"/>
      <c r="L499" s="74"/>
      <c r="M499" s="74"/>
      <c r="N499" s="74"/>
      <c r="O499" s="74"/>
      <c r="P499" s="74"/>
      <c r="Q499" s="74"/>
      <c r="R499" s="74"/>
      <c r="S499" s="74"/>
      <c r="T499" s="74"/>
      <c r="U499" s="74"/>
      <c r="V499" s="74"/>
      <c r="W499" s="74"/>
      <c r="X499" s="74"/>
      <c r="Y499" s="74"/>
      <c r="Z499" s="74"/>
      <c r="AA499" s="74"/>
      <c r="AB499" s="74"/>
    </row>
    <row r="500" spans="1:28" ht="12" customHeight="1">
      <c r="A500" s="105"/>
      <c r="B500" s="106"/>
      <c r="C500" s="107"/>
      <c r="D500" s="108"/>
      <c r="E500" s="107"/>
      <c r="F500" s="107"/>
      <c r="G500" s="35"/>
      <c r="H500" s="104"/>
      <c r="I500" s="35"/>
      <c r="J500" s="74"/>
      <c r="K500" s="74"/>
      <c r="L500" s="74"/>
      <c r="M500" s="74"/>
      <c r="N500" s="74"/>
      <c r="O500" s="74"/>
      <c r="P500" s="74"/>
      <c r="Q500" s="74"/>
      <c r="R500" s="74"/>
      <c r="S500" s="74"/>
      <c r="T500" s="74"/>
      <c r="U500" s="74"/>
      <c r="V500" s="74"/>
      <c r="W500" s="74"/>
      <c r="X500" s="74"/>
      <c r="Y500" s="74"/>
      <c r="Z500" s="74"/>
      <c r="AA500" s="74"/>
      <c r="AB500" s="74"/>
    </row>
    <row r="501" spans="1:28" ht="12" customHeight="1">
      <c r="A501" s="105"/>
      <c r="B501" s="106"/>
      <c r="C501" s="107"/>
      <c r="D501" s="108"/>
      <c r="E501" s="107"/>
      <c r="F501" s="107"/>
      <c r="G501" s="35"/>
      <c r="H501" s="104"/>
      <c r="I501" s="35"/>
      <c r="J501" s="74"/>
      <c r="K501" s="74"/>
      <c r="L501" s="74"/>
      <c r="M501" s="74"/>
      <c r="N501" s="74"/>
      <c r="O501" s="74"/>
      <c r="P501" s="74"/>
      <c r="Q501" s="74"/>
      <c r="R501" s="74"/>
      <c r="S501" s="74"/>
      <c r="T501" s="74"/>
      <c r="U501" s="74"/>
      <c r="V501" s="74"/>
      <c r="W501" s="74"/>
      <c r="X501" s="74"/>
      <c r="Y501" s="74"/>
      <c r="Z501" s="74"/>
      <c r="AA501" s="74"/>
      <c r="AB501" s="74"/>
    </row>
    <row r="502" spans="1:28" ht="12" customHeight="1">
      <c r="A502" s="105"/>
      <c r="B502" s="106"/>
      <c r="C502" s="107"/>
      <c r="D502" s="108"/>
      <c r="E502" s="107"/>
      <c r="F502" s="107"/>
      <c r="G502" s="35"/>
      <c r="H502" s="104"/>
      <c r="I502" s="35"/>
      <c r="J502" s="74"/>
      <c r="K502" s="74"/>
      <c r="L502" s="74"/>
      <c r="M502" s="74"/>
      <c r="N502" s="74"/>
      <c r="O502" s="74"/>
      <c r="P502" s="74"/>
      <c r="Q502" s="74"/>
      <c r="R502" s="74"/>
      <c r="S502" s="74"/>
      <c r="T502" s="74"/>
      <c r="U502" s="74"/>
      <c r="V502" s="74"/>
      <c r="W502" s="74"/>
      <c r="X502" s="74"/>
      <c r="Y502" s="74"/>
      <c r="Z502" s="74"/>
      <c r="AA502" s="74"/>
      <c r="AB502" s="74"/>
    </row>
    <row r="503" spans="1:28" ht="12" customHeight="1">
      <c r="A503" s="105"/>
      <c r="B503" s="106"/>
      <c r="C503" s="107"/>
      <c r="D503" s="108"/>
      <c r="E503" s="107"/>
      <c r="F503" s="107"/>
      <c r="G503" s="35"/>
      <c r="H503" s="104"/>
      <c r="I503" s="35"/>
      <c r="J503" s="74"/>
      <c r="K503" s="74"/>
      <c r="L503" s="74"/>
      <c r="M503" s="74"/>
      <c r="N503" s="74"/>
      <c r="O503" s="74"/>
      <c r="P503" s="74"/>
      <c r="Q503" s="74"/>
      <c r="R503" s="74"/>
      <c r="S503" s="74"/>
      <c r="T503" s="74"/>
      <c r="U503" s="74"/>
      <c r="V503" s="74"/>
      <c r="W503" s="74"/>
      <c r="X503" s="74"/>
      <c r="Y503" s="74"/>
      <c r="Z503" s="74"/>
      <c r="AA503" s="74"/>
      <c r="AB503" s="74"/>
    </row>
    <row r="504" spans="1:28" ht="12" customHeight="1">
      <c r="A504" s="105"/>
      <c r="B504" s="106"/>
      <c r="C504" s="107"/>
      <c r="D504" s="108"/>
      <c r="E504" s="107"/>
      <c r="F504" s="107"/>
      <c r="G504" s="35"/>
      <c r="H504" s="104"/>
      <c r="I504" s="35"/>
      <c r="J504" s="74"/>
      <c r="K504" s="74"/>
      <c r="L504" s="74"/>
      <c r="M504" s="74"/>
      <c r="N504" s="74"/>
      <c r="O504" s="74"/>
      <c r="P504" s="74"/>
      <c r="Q504" s="74"/>
      <c r="R504" s="74"/>
      <c r="S504" s="74"/>
      <c r="T504" s="74"/>
      <c r="U504" s="74"/>
      <c r="V504" s="74"/>
      <c r="W504" s="74"/>
      <c r="X504" s="74"/>
      <c r="Y504" s="74"/>
      <c r="Z504" s="74"/>
      <c r="AA504" s="74"/>
      <c r="AB504" s="74"/>
    </row>
    <row r="505" spans="1:28" ht="12" customHeight="1">
      <c r="A505" s="105"/>
      <c r="B505" s="106"/>
      <c r="C505" s="107"/>
      <c r="D505" s="108"/>
      <c r="E505" s="107"/>
      <c r="F505" s="107"/>
      <c r="G505" s="35"/>
      <c r="H505" s="104"/>
      <c r="I505" s="35"/>
      <c r="J505" s="74"/>
      <c r="K505" s="74"/>
      <c r="L505" s="74"/>
      <c r="M505" s="74"/>
      <c r="N505" s="74"/>
      <c r="O505" s="74"/>
      <c r="P505" s="74"/>
      <c r="Q505" s="74"/>
      <c r="R505" s="74"/>
      <c r="S505" s="74"/>
      <c r="T505" s="74"/>
      <c r="U505" s="74"/>
      <c r="V505" s="74"/>
      <c r="W505" s="74"/>
      <c r="X505" s="74"/>
      <c r="Y505" s="74"/>
      <c r="Z505" s="74"/>
      <c r="AA505" s="74"/>
      <c r="AB505" s="74"/>
    </row>
    <row r="506" spans="1:28" ht="12" customHeight="1">
      <c r="A506" s="105"/>
      <c r="B506" s="106"/>
      <c r="C506" s="107"/>
      <c r="D506" s="108"/>
      <c r="E506" s="107"/>
      <c r="F506" s="107"/>
      <c r="G506" s="35"/>
      <c r="H506" s="104"/>
      <c r="I506" s="35"/>
      <c r="J506" s="74"/>
      <c r="K506" s="74"/>
      <c r="L506" s="74"/>
      <c r="M506" s="74"/>
      <c r="N506" s="74"/>
      <c r="O506" s="74"/>
      <c r="P506" s="74"/>
      <c r="Q506" s="74"/>
      <c r="R506" s="74"/>
      <c r="S506" s="74"/>
      <c r="T506" s="74"/>
      <c r="U506" s="74"/>
      <c r="V506" s="74"/>
      <c r="W506" s="74"/>
      <c r="X506" s="74"/>
      <c r="Y506" s="74"/>
      <c r="Z506" s="74"/>
      <c r="AA506" s="74"/>
      <c r="AB506" s="74"/>
    </row>
    <row r="507" spans="1:28" ht="12" customHeight="1">
      <c r="A507" s="105"/>
      <c r="B507" s="106"/>
      <c r="C507" s="107"/>
      <c r="D507" s="108"/>
      <c r="E507" s="107"/>
      <c r="F507" s="107"/>
      <c r="G507" s="35"/>
      <c r="H507" s="104"/>
      <c r="I507" s="35"/>
      <c r="J507" s="74"/>
      <c r="K507" s="74"/>
      <c r="L507" s="74"/>
      <c r="M507" s="74"/>
      <c r="N507" s="74"/>
      <c r="O507" s="74"/>
      <c r="P507" s="74"/>
      <c r="Q507" s="74"/>
      <c r="R507" s="74"/>
      <c r="S507" s="74"/>
      <c r="T507" s="74"/>
      <c r="U507" s="74"/>
      <c r="V507" s="74"/>
      <c r="W507" s="74"/>
      <c r="X507" s="74"/>
      <c r="Y507" s="74"/>
      <c r="Z507" s="74"/>
      <c r="AA507" s="74"/>
      <c r="AB507" s="74"/>
    </row>
    <row r="508" spans="1:28" ht="12" customHeight="1">
      <c r="A508" s="105"/>
      <c r="B508" s="106"/>
      <c r="C508" s="107"/>
      <c r="D508" s="108"/>
      <c r="E508" s="107"/>
      <c r="F508" s="107"/>
      <c r="G508" s="35"/>
      <c r="H508" s="104"/>
      <c r="I508" s="35"/>
      <c r="J508" s="74"/>
      <c r="K508" s="74"/>
      <c r="L508" s="74"/>
      <c r="M508" s="74"/>
      <c r="N508" s="74"/>
      <c r="O508" s="74"/>
      <c r="P508" s="74"/>
      <c r="Q508" s="74"/>
      <c r="R508" s="74"/>
      <c r="S508" s="74"/>
      <c r="T508" s="74"/>
      <c r="U508" s="74"/>
      <c r="V508" s="74"/>
      <c r="W508" s="74"/>
      <c r="X508" s="74"/>
      <c r="Y508" s="74"/>
      <c r="Z508" s="74"/>
      <c r="AA508" s="74"/>
      <c r="AB508" s="74"/>
    </row>
    <row r="509" spans="1:28" ht="12" customHeight="1">
      <c r="A509" s="105"/>
      <c r="B509" s="106"/>
      <c r="C509" s="107"/>
      <c r="D509" s="108"/>
      <c r="E509" s="107"/>
      <c r="F509" s="107"/>
      <c r="G509" s="35"/>
      <c r="H509" s="104"/>
      <c r="I509" s="35"/>
      <c r="J509" s="74"/>
      <c r="K509" s="74"/>
      <c r="L509" s="74"/>
      <c r="M509" s="74"/>
      <c r="N509" s="74"/>
      <c r="O509" s="74"/>
      <c r="P509" s="74"/>
      <c r="Q509" s="74"/>
      <c r="R509" s="74"/>
      <c r="S509" s="74"/>
      <c r="T509" s="74"/>
      <c r="U509" s="74"/>
      <c r="V509" s="74"/>
      <c r="W509" s="74"/>
      <c r="X509" s="74"/>
      <c r="Y509" s="74"/>
      <c r="Z509" s="74"/>
      <c r="AA509" s="74"/>
      <c r="AB509" s="74"/>
    </row>
    <row r="510" spans="1:28" ht="12" customHeight="1">
      <c r="A510" s="105"/>
      <c r="B510" s="106"/>
      <c r="C510" s="107"/>
      <c r="D510" s="108"/>
      <c r="E510" s="107"/>
      <c r="F510" s="107"/>
      <c r="G510" s="35"/>
      <c r="H510" s="104"/>
      <c r="I510" s="35"/>
      <c r="J510" s="74"/>
      <c r="K510" s="74"/>
      <c r="L510" s="74"/>
      <c r="M510" s="74"/>
      <c r="N510" s="74"/>
      <c r="O510" s="74"/>
      <c r="P510" s="74"/>
      <c r="Q510" s="74"/>
      <c r="R510" s="74"/>
      <c r="S510" s="74"/>
      <c r="T510" s="74"/>
      <c r="U510" s="74"/>
      <c r="V510" s="74"/>
      <c r="W510" s="74"/>
      <c r="X510" s="74"/>
      <c r="Y510" s="74"/>
      <c r="Z510" s="74"/>
      <c r="AA510" s="74"/>
      <c r="AB510" s="74"/>
    </row>
    <row r="511" spans="1:28" ht="12" customHeight="1">
      <c r="A511" s="105"/>
      <c r="B511" s="106"/>
      <c r="C511" s="107"/>
      <c r="D511" s="108"/>
      <c r="E511" s="107"/>
      <c r="F511" s="107"/>
      <c r="G511" s="35"/>
      <c r="H511" s="104"/>
      <c r="I511" s="35"/>
      <c r="J511" s="74"/>
      <c r="K511" s="74"/>
      <c r="L511" s="74"/>
      <c r="M511" s="74"/>
      <c r="N511" s="74"/>
      <c r="O511" s="74"/>
      <c r="P511" s="74"/>
      <c r="Q511" s="74"/>
      <c r="R511" s="74"/>
      <c r="S511" s="74"/>
      <c r="T511" s="74"/>
      <c r="U511" s="74"/>
      <c r="V511" s="74"/>
      <c r="W511" s="74"/>
      <c r="X511" s="74"/>
      <c r="Y511" s="74"/>
      <c r="Z511" s="74"/>
      <c r="AA511" s="74"/>
      <c r="AB511" s="74"/>
    </row>
    <row r="512" spans="1:28" ht="12" customHeight="1">
      <c r="A512" s="105"/>
      <c r="B512" s="106"/>
      <c r="C512" s="107"/>
      <c r="D512" s="108"/>
      <c r="E512" s="107"/>
      <c r="F512" s="107"/>
      <c r="G512" s="35"/>
      <c r="H512" s="104"/>
      <c r="I512" s="35"/>
      <c r="J512" s="74"/>
      <c r="K512" s="74"/>
      <c r="L512" s="74"/>
      <c r="M512" s="74"/>
      <c r="N512" s="74"/>
      <c r="O512" s="74"/>
      <c r="P512" s="74"/>
      <c r="Q512" s="74"/>
      <c r="R512" s="74"/>
      <c r="S512" s="74"/>
      <c r="T512" s="74"/>
      <c r="U512" s="74"/>
      <c r="V512" s="74"/>
      <c r="W512" s="74"/>
      <c r="X512" s="74"/>
      <c r="Y512" s="74"/>
      <c r="Z512" s="74"/>
      <c r="AA512" s="74"/>
      <c r="AB512" s="74"/>
    </row>
    <row r="513" spans="1:28" ht="12" customHeight="1">
      <c r="A513" s="105"/>
      <c r="B513" s="106"/>
      <c r="C513" s="107"/>
      <c r="D513" s="108"/>
      <c r="E513" s="107"/>
      <c r="F513" s="107"/>
      <c r="G513" s="35"/>
      <c r="H513" s="104"/>
      <c r="I513" s="35"/>
      <c r="J513" s="74"/>
      <c r="K513" s="74"/>
      <c r="L513" s="74"/>
      <c r="M513" s="74"/>
      <c r="N513" s="74"/>
      <c r="O513" s="74"/>
      <c r="P513" s="74"/>
      <c r="Q513" s="74"/>
      <c r="R513" s="74"/>
      <c r="S513" s="74"/>
      <c r="T513" s="74"/>
      <c r="U513" s="74"/>
      <c r="V513" s="74"/>
      <c r="W513" s="74"/>
      <c r="X513" s="74"/>
      <c r="Y513" s="74"/>
      <c r="Z513" s="74"/>
      <c r="AA513" s="74"/>
      <c r="AB513" s="74"/>
    </row>
    <row r="514" spans="1:28" ht="12" customHeight="1">
      <c r="A514" s="105"/>
      <c r="B514" s="106"/>
      <c r="C514" s="107"/>
      <c r="D514" s="108"/>
      <c r="E514" s="107"/>
      <c r="F514" s="107"/>
      <c r="G514" s="35"/>
      <c r="H514" s="104"/>
      <c r="I514" s="35"/>
      <c r="J514" s="74"/>
      <c r="K514" s="74"/>
      <c r="L514" s="74"/>
      <c r="M514" s="74"/>
      <c r="N514" s="74"/>
      <c r="O514" s="74"/>
      <c r="P514" s="74"/>
      <c r="Q514" s="74"/>
      <c r="R514" s="74"/>
      <c r="S514" s="74"/>
      <c r="T514" s="74"/>
      <c r="U514" s="74"/>
      <c r="V514" s="74"/>
      <c r="W514" s="74"/>
      <c r="X514" s="74"/>
      <c r="Y514" s="74"/>
      <c r="Z514" s="74"/>
      <c r="AA514" s="74"/>
      <c r="AB514" s="74"/>
    </row>
    <row r="515" spans="1:28" ht="12" customHeight="1">
      <c r="A515" s="105"/>
      <c r="B515" s="106"/>
      <c r="C515" s="107"/>
      <c r="D515" s="108"/>
      <c r="E515" s="107"/>
      <c r="F515" s="107"/>
      <c r="G515" s="35"/>
      <c r="H515" s="104"/>
      <c r="I515" s="35"/>
      <c r="J515" s="74"/>
      <c r="K515" s="74"/>
      <c r="L515" s="74"/>
      <c r="M515" s="74"/>
      <c r="N515" s="74"/>
      <c r="O515" s="74"/>
      <c r="P515" s="74"/>
      <c r="Q515" s="74"/>
      <c r="R515" s="74"/>
      <c r="S515" s="74"/>
      <c r="T515" s="74"/>
      <c r="U515" s="74"/>
      <c r="V515" s="74"/>
      <c r="W515" s="74"/>
      <c r="X515" s="74"/>
      <c r="Y515" s="74"/>
      <c r="Z515" s="74"/>
      <c r="AA515" s="74"/>
      <c r="AB515" s="74"/>
    </row>
    <row r="516" spans="1:28" ht="12" customHeight="1">
      <c r="A516" s="105"/>
      <c r="B516" s="106"/>
      <c r="C516" s="107"/>
      <c r="D516" s="108"/>
      <c r="E516" s="107"/>
      <c r="F516" s="107"/>
      <c r="G516" s="35"/>
      <c r="H516" s="104"/>
      <c r="I516" s="35"/>
      <c r="J516" s="74"/>
      <c r="K516" s="74"/>
      <c r="L516" s="74"/>
      <c r="M516" s="74"/>
      <c r="N516" s="74"/>
      <c r="O516" s="74"/>
      <c r="P516" s="74"/>
      <c r="Q516" s="74"/>
      <c r="R516" s="74"/>
      <c r="S516" s="74"/>
      <c r="T516" s="74"/>
      <c r="U516" s="74"/>
      <c r="V516" s="74"/>
      <c r="W516" s="74"/>
      <c r="X516" s="74"/>
      <c r="Y516" s="74"/>
      <c r="Z516" s="74"/>
      <c r="AA516" s="74"/>
      <c r="AB516" s="74"/>
    </row>
    <row r="517" spans="1:28" ht="12" customHeight="1">
      <c r="A517" s="105"/>
      <c r="B517" s="106"/>
      <c r="C517" s="107"/>
      <c r="D517" s="108"/>
      <c r="E517" s="107"/>
      <c r="F517" s="107"/>
      <c r="G517" s="35"/>
      <c r="H517" s="104"/>
      <c r="I517" s="35"/>
      <c r="J517" s="74"/>
      <c r="K517" s="74"/>
      <c r="L517" s="74"/>
      <c r="M517" s="74"/>
      <c r="N517" s="74"/>
      <c r="O517" s="74"/>
      <c r="P517" s="74"/>
      <c r="Q517" s="74"/>
      <c r="R517" s="74"/>
      <c r="S517" s="74"/>
      <c r="T517" s="74"/>
      <c r="U517" s="74"/>
      <c r="V517" s="74"/>
      <c r="W517" s="74"/>
      <c r="X517" s="74"/>
      <c r="Y517" s="74"/>
      <c r="Z517" s="74"/>
      <c r="AA517" s="74"/>
      <c r="AB517" s="74"/>
    </row>
    <row r="518" spans="1:28" ht="12" customHeight="1">
      <c r="A518" s="105"/>
      <c r="B518" s="106"/>
      <c r="C518" s="107"/>
      <c r="D518" s="108"/>
      <c r="E518" s="107"/>
      <c r="F518" s="107"/>
      <c r="G518" s="35"/>
      <c r="H518" s="104"/>
      <c r="I518" s="35"/>
      <c r="J518" s="74"/>
      <c r="K518" s="74"/>
      <c r="L518" s="74"/>
      <c r="M518" s="74"/>
      <c r="N518" s="74"/>
      <c r="O518" s="74"/>
      <c r="P518" s="74"/>
      <c r="Q518" s="74"/>
      <c r="R518" s="74"/>
      <c r="S518" s="74"/>
      <c r="T518" s="74"/>
      <c r="U518" s="74"/>
      <c r="V518" s="74"/>
      <c r="W518" s="74"/>
      <c r="X518" s="74"/>
      <c r="Y518" s="74"/>
      <c r="Z518" s="74"/>
      <c r="AA518" s="74"/>
      <c r="AB518" s="74"/>
    </row>
    <row r="519" spans="1:28" ht="12" customHeight="1">
      <c r="A519" s="105"/>
      <c r="B519" s="106"/>
      <c r="C519" s="107"/>
      <c r="D519" s="108"/>
      <c r="E519" s="107"/>
      <c r="F519" s="107"/>
      <c r="G519" s="35"/>
      <c r="H519" s="104"/>
      <c r="I519" s="35"/>
      <c r="J519" s="74"/>
      <c r="K519" s="74"/>
      <c r="L519" s="74"/>
      <c r="M519" s="74"/>
      <c r="N519" s="74"/>
      <c r="O519" s="74"/>
      <c r="P519" s="74"/>
      <c r="Q519" s="74"/>
      <c r="R519" s="74"/>
      <c r="S519" s="74"/>
      <c r="T519" s="74"/>
      <c r="U519" s="74"/>
      <c r="V519" s="74"/>
      <c r="W519" s="74"/>
      <c r="X519" s="74"/>
      <c r="Y519" s="74"/>
      <c r="Z519" s="74"/>
      <c r="AA519" s="74"/>
      <c r="AB519" s="74"/>
    </row>
    <row r="520" spans="1:28" ht="12" customHeight="1">
      <c r="A520" s="105"/>
      <c r="B520" s="106"/>
      <c r="C520" s="107"/>
      <c r="D520" s="108"/>
      <c r="E520" s="107"/>
      <c r="F520" s="107"/>
      <c r="G520" s="35"/>
      <c r="H520" s="104"/>
      <c r="I520" s="35"/>
      <c r="J520" s="74"/>
      <c r="K520" s="74"/>
      <c r="L520" s="74"/>
      <c r="M520" s="74"/>
      <c r="N520" s="74"/>
      <c r="O520" s="74"/>
      <c r="P520" s="74"/>
      <c r="Q520" s="74"/>
      <c r="R520" s="74"/>
      <c r="S520" s="74"/>
      <c r="T520" s="74"/>
      <c r="U520" s="74"/>
      <c r="V520" s="74"/>
      <c r="W520" s="74"/>
      <c r="X520" s="74"/>
      <c r="Y520" s="74"/>
      <c r="Z520" s="74"/>
      <c r="AA520" s="74"/>
      <c r="AB520" s="74"/>
    </row>
    <row r="521" spans="1:28" ht="12" customHeight="1">
      <c r="A521" s="105"/>
      <c r="B521" s="106"/>
      <c r="C521" s="107"/>
      <c r="D521" s="108"/>
      <c r="E521" s="107"/>
      <c r="F521" s="107"/>
      <c r="G521" s="35"/>
      <c r="H521" s="104"/>
      <c r="I521" s="35"/>
      <c r="J521" s="74"/>
      <c r="K521" s="74"/>
      <c r="L521" s="74"/>
      <c r="M521" s="74"/>
      <c r="N521" s="74"/>
      <c r="O521" s="74"/>
      <c r="P521" s="74"/>
      <c r="Q521" s="74"/>
      <c r="R521" s="74"/>
      <c r="S521" s="74"/>
      <c r="T521" s="74"/>
      <c r="U521" s="74"/>
      <c r="V521" s="74"/>
      <c r="W521" s="74"/>
      <c r="X521" s="74"/>
      <c r="Y521" s="74"/>
      <c r="Z521" s="74"/>
      <c r="AA521" s="74"/>
      <c r="AB521" s="74"/>
    </row>
    <row r="522" spans="1:28" ht="12" customHeight="1">
      <c r="A522" s="105"/>
      <c r="B522" s="106"/>
      <c r="C522" s="107"/>
      <c r="D522" s="108"/>
      <c r="E522" s="107"/>
      <c r="F522" s="107"/>
      <c r="G522" s="35"/>
      <c r="H522" s="104"/>
      <c r="I522" s="35"/>
      <c r="J522" s="74"/>
      <c r="K522" s="74"/>
      <c r="L522" s="74"/>
      <c r="M522" s="74"/>
      <c r="N522" s="74"/>
      <c r="O522" s="74"/>
      <c r="P522" s="74"/>
      <c r="Q522" s="74"/>
      <c r="R522" s="74"/>
      <c r="S522" s="74"/>
      <c r="T522" s="74"/>
      <c r="U522" s="74"/>
      <c r="V522" s="74"/>
      <c r="W522" s="74"/>
      <c r="X522" s="74"/>
      <c r="Y522" s="74"/>
      <c r="Z522" s="74"/>
      <c r="AA522" s="74"/>
      <c r="AB522" s="74"/>
    </row>
    <row r="523" spans="1:28" ht="12" customHeight="1">
      <c r="A523" s="105"/>
      <c r="B523" s="106"/>
      <c r="C523" s="107"/>
      <c r="D523" s="108"/>
      <c r="E523" s="107"/>
      <c r="F523" s="107"/>
      <c r="G523" s="35"/>
      <c r="H523" s="104"/>
      <c r="I523" s="35"/>
      <c r="J523" s="74"/>
      <c r="K523" s="74"/>
      <c r="L523" s="74"/>
      <c r="M523" s="74"/>
      <c r="N523" s="74"/>
      <c r="O523" s="74"/>
      <c r="P523" s="74"/>
      <c r="Q523" s="74"/>
      <c r="R523" s="74"/>
      <c r="S523" s="74"/>
      <c r="T523" s="74"/>
      <c r="U523" s="74"/>
      <c r="V523" s="74"/>
      <c r="W523" s="74"/>
      <c r="X523" s="74"/>
      <c r="Y523" s="74"/>
      <c r="Z523" s="74"/>
      <c r="AA523" s="74"/>
      <c r="AB523" s="74"/>
    </row>
    <row r="524" spans="1:28" ht="12" customHeight="1">
      <c r="A524" s="105"/>
      <c r="B524" s="106"/>
      <c r="C524" s="107"/>
      <c r="D524" s="108"/>
      <c r="E524" s="107"/>
      <c r="F524" s="107"/>
      <c r="G524" s="35"/>
      <c r="H524" s="104"/>
      <c r="I524" s="35"/>
      <c r="J524" s="74"/>
      <c r="K524" s="74"/>
      <c r="L524" s="74"/>
      <c r="M524" s="74"/>
      <c r="N524" s="74"/>
      <c r="O524" s="74"/>
      <c r="P524" s="74"/>
      <c r="Q524" s="74"/>
      <c r="R524" s="74"/>
      <c r="S524" s="74"/>
      <c r="T524" s="74"/>
      <c r="U524" s="74"/>
      <c r="V524" s="74"/>
      <c r="W524" s="74"/>
      <c r="X524" s="74"/>
      <c r="Y524" s="74"/>
      <c r="Z524" s="74"/>
      <c r="AA524" s="74"/>
      <c r="AB524" s="74"/>
    </row>
    <row r="525" spans="1:28" ht="12" customHeight="1">
      <c r="A525" s="105"/>
      <c r="B525" s="106"/>
      <c r="C525" s="107"/>
      <c r="D525" s="108"/>
      <c r="E525" s="107"/>
      <c r="F525" s="107"/>
      <c r="G525" s="35"/>
      <c r="H525" s="104"/>
      <c r="I525" s="35"/>
      <c r="J525" s="74"/>
      <c r="K525" s="74"/>
      <c r="L525" s="74"/>
      <c r="M525" s="74"/>
      <c r="N525" s="74"/>
      <c r="O525" s="74"/>
      <c r="P525" s="74"/>
      <c r="Q525" s="74"/>
      <c r="R525" s="74"/>
      <c r="S525" s="74"/>
      <c r="T525" s="74"/>
      <c r="U525" s="74"/>
      <c r="V525" s="74"/>
      <c r="W525" s="74"/>
      <c r="X525" s="74"/>
      <c r="Y525" s="74"/>
      <c r="Z525" s="74"/>
      <c r="AA525" s="74"/>
      <c r="AB525" s="74"/>
    </row>
    <row r="526" spans="1:28" ht="12" customHeight="1">
      <c r="A526" s="105"/>
      <c r="B526" s="106"/>
      <c r="C526" s="107"/>
      <c r="D526" s="108"/>
      <c r="E526" s="107"/>
      <c r="F526" s="107"/>
      <c r="G526" s="35"/>
      <c r="H526" s="104"/>
      <c r="I526" s="35"/>
      <c r="J526" s="74"/>
      <c r="K526" s="74"/>
      <c r="L526" s="74"/>
      <c r="M526" s="74"/>
      <c r="N526" s="74"/>
      <c r="O526" s="74"/>
      <c r="P526" s="74"/>
      <c r="Q526" s="74"/>
      <c r="R526" s="74"/>
      <c r="S526" s="74"/>
      <c r="T526" s="74"/>
      <c r="U526" s="74"/>
      <c r="V526" s="74"/>
      <c r="W526" s="74"/>
      <c r="X526" s="74"/>
      <c r="Y526" s="74"/>
      <c r="Z526" s="74"/>
      <c r="AA526" s="74"/>
      <c r="AB526" s="74"/>
    </row>
    <row r="527" spans="1:28" ht="12" customHeight="1">
      <c r="A527" s="105"/>
      <c r="B527" s="106"/>
      <c r="C527" s="107"/>
      <c r="D527" s="108"/>
      <c r="E527" s="107"/>
      <c r="F527" s="107"/>
      <c r="G527" s="35"/>
      <c r="H527" s="104"/>
      <c r="I527" s="35"/>
      <c r="J527" s="74"/>
      <c r="K527" s="74"/>
      <c r="L527" s="74"/>
      <c r="M527" s="74"/>
      <c r="N527" s="74"/>
      <c r="O527" s="74"/>
      <c r="P527" s="74"/>
      <c r="Q527" s="74"/>
      <c r="R527" s="74"/>
      <c r="S527" s="74"/>
      <c r="T527" s="74"/>
      <c r="U527" s="74"/>
      <c r="V527" s="74"/>
      <c r="W527" s="74"/>
      <c r="X527" s="74"/>
      <c r="Y527" s="74"/>
      <c r="Z527" s="74"/>
      <c r="AA527" s="74"/>
      <c r="AB527" s="74"/>
    </row>
    <row r="528" spans="1:28" ht="12" customHeight="1">
      <c r="A528" s="105"/>
      <c r="B528" s="106"/>
      <c r="C528" s="107"/>
      <c r="D528" s="108"/>
      <c r="E528" s="107"/>
      <c r="F528" s="107"/>
      <c r="G528" s="35"/>
      <c r="H528" s="104"/>
      <c r="I528" s="35"/>
      <c r="J528" s="74"/>
      <c r="K528" s="74"/>
      <c r="L528" s="74"/>
      <c r="M528" s="74"/>
      <c r="N528" s="74"/>
      <c r="O528" s="74"/>
      <c r="P528" s="74"/>
      <c r="Q528" s="74"/>
      <c r="R528" s="74"/>
      <c r="S528" s="74"/>
      <c r="T528" s="74"/>
      <c r="U528" s="74"/>
      <c r="V528" s="74"/>
      <c r="W528" s="74"/>
      <c r="X528" s="74"/>
      <c r="Y528" s="74"/>
      <c r="Z528" s="74"/>
      <c r="AA528" s="74"/>
      <c r="AB528" s="74"/>
    </row>
    <row r="529" spans="1:28" ht="12" customHeight="1">
      <c r="A529" s="105"/>
      <c r="B529" s="106"/>
      <c r="C529" s="107"/>
      <c r="D529" s="108"/>
      <c r="E529" s="107"/>
      <c r="F529" s="107"/>
      <c r="G529" s="35"/>
      <c r="H529" s="104"/>
      <c r="I529" s="35"/>
      <c r="J529" s="74"/>
      <c r="K529" s="74"/>
      <c r="L529" s="74"/>
      <c r="M529" s="74"/>
      <c r="N529" s="74"/>
      <c r="O529" s="74"/>
      <c r="P529" s="74"/>
      <c r="Q529" s="74"/>
      <c r="R529" s="74"/>
      <c r="S529" s="74"/>
      <c r="T529" s="74"/>
      <c r="U529" s="74"/>
      <c r="V529" s="74"/>
      <c r="W529" s="74"/>
      <c r="X529" s="74"/>
      <c r="Y529" s="74"/>
      <c r="Z529" s="74"/>
      <c r="AA529" s="74"/>
      <c r="AB529" s="74"/>
    </row>
    <row r="530" spans="1:28" ht="12" customHeight="1">
      <c r="A530" s="105"/>
      <c r="B530" s="106"/>
      <c r="C530" s="107"/>
      <c r="D530" s="108"/>
      <c r="E530" s="107"/>
      <c r="F530" s="107"/>
      <c r="G530" s="35"/>
      <c r="H530" s="104"/>
      <c r="I530" s="35"/>
      <c r="J530" s="74"/>
      <c r="K530" s="74"/>
      <c r="L530" s="74"/>
      <c r="M530" s="74"/>
      <c r="N530" s="74"/>
      <c r="O530" s="74"/>
      <c r="P530" s="74"/>
      <c r="Q530" s="74"/>
      <c r="R530" s="74"/>
      <c r="S530" s="74"/>
      <c r="T530" s="74"/>
      <c r="U530" s="74"/>
      <c r="V530" s="74"/>
      <c r="W530" s="74"/>
      <c r="X530" s="74"/>
      <c r="Y530" s="74"/>
      <c r="Z530" s="74"/>
      <c r="AA530" s="74"/>
      <c r="AB530" s="74"/>
    </row>
    <row r="531" spans="1:28" ht="12" customHeight="1">
      <c r="A531" s="105"/>
      <c r="B531" s="106"/>
      <c r="C531" s="107"/>
      <c r="D531" s="108"/>
      <c r="E531" s="107"/>
      <c r="F531" s="107"/>
      <c r="G531" s="35"/>
      <c r="H531" s="104"/>
      <c r="I531" s="35"/>
      <c r="J531" s="74"/>
      <c r="K531" s="74"/>
      <c r="L531" s="74"/>
      <c r="M531" s="74"/>
      <c r="N531" s="74"/>
      <c r="O531" s="74"/>
      <c r="P531" s="74"/>
      <c r="Q531" s="74"/>
      <c r="R531" s="74"/>
      <c r="S531" s="74"/>
      <c r="T531" s="74"/>
      <c r="U531" s="74"/>
      <c r="V531" s="74"/>
      <c r="W531" s="74"/>
      <c r="X531" s="74"/>
      <c r="Y531" s="74"/>
      <c r="Z531" s="74"/>
      <c r="AA531" s="74"/>
      <c r="AB531" s="74"/>
    </row>
    <row r="532" spans="1:28" ht="12" customHeight="1">
      <c r="A532" s="105"/>
      <c r="B532" s="106"/>
      <c r="C532" s="107"/>
      <c r="D532" s="108"/>
      <c r="E532" s="107"/>
      <c r="F532" s="107"/>
      <c r="G532" s="35"/>
      <c r="H532" s="104"/>
      <c r="I532" s="35"/>
      <c r="J532" s="74"/>
      <c r="K532" s="74"/>
      <c r="L532" s="74"/>
      <c r="M532" s="74"/>
      <c r="N532" s="74"/>
      <c r="O532" s="74"/>
      <c r="P532" s="74"/>
      <c r="Q532" s="74"/>
      <c r="R532" s="74"/>
      <c r="S532" s="74"/>
      <c r="T532" s="74"/>
      <c r="U532" s="74"/>
      <c r="V532" s="74"/>
      <c r="W532" s="74"/>
      <c r="X532" s="74"/>
      <c r="Y532" s="74"/>
      <c r="Z532" s="74"/>
      <c r="AA532" s="74"/>
      <c r="AB532" s="74"/>
    </row>
    <row r="533" spans="1:28" ht="12" customHeight="1">
      <c r="A533" s="105"/>
      <c r="B533" s="106"/>
      <c r="C533" s="107"/>
      <c r="D533" s="108"/>
      <c r="E533" s="107"/>
      <c r="F533" s="107"/>
      <c r="G533" s="35"/>
      <c r="H533" s="104"/>
      <c r="I533" s="35"/>
      <c r="J533" s="74"/>
      <c r="K533" s="74"/>
      <c r="L533" s="74"/>
      <c r="M533" s="74"/>
      <c r="N533" s="74"/>
      <c r="O533" s="74"/>
      <c r="P533" s="74"/>
      <c r="Q533" s="74"/>
      <c r="R533" s="74"/>
      <c r="S533" s="74"/>
      <c r="T533" s="74"/>
      <c r="U533" s="74"/>
      <c r="V533" s="74"/>
      <c r="W533" s="74"/>
      <c r="X533" s="74"/>
      <c r="Y533" s="74"/>
      <c r="Z533" s="74"/>
      <c r="AA533" s="74"/>
      <c r="AB533" s="74"/>
    </row>
    <row r="534" spans="1:28" ht="12" customHeight="1">
      <c r="A534" s="105"/>
      <c r="B534" s="106"/>
      <c r="C534" s="107"/>
      <c r="D534" s="108"/>
      <c r="E534" s="107"/>
      <c r="F534" s="107"/>
      <c r="G534" s="35"/>
      <c r="H534" s="104"/>
      <c r="I534" s="35"/>
      <c r="J534" s="74"/>
      <c r="K534" s="74"/>
      <c r="L534" s="74"/>
      <c r="M534" s="74"/>
      <c r="N534" s="74"/>
      <c r="O534" s="74"/>
      <c r="P534" s="74"/>
      <c r="Q534" s="74"/>
      <c r="R534" s="74"/>
      <c r="S534" s="74"/>
      <c r="T534" s="74"/>
      <c r="U534" s="74"/>
      <c r="V534" s="74"/>
      <c r="W534" s="74"/>
      <c r="X534" s="74"/>
      <c r="Y534" s="74"/>
      <c r="Z534" s="74"/>
      <c r="AA534" s="74"/>
      <c r="AB534" s="74"/>
    </row>
    <row r="535" spans="1:28" ht="12" customHeight="1">
      <c r="A535" s="105"/>
      <c r="B535" s="106"/>
      <c r="C535" s="107"/>
      <c r="D535" s="108"/>
      <c r="E535" s="107"/>
      <c r="F535" s="107"/>
      <c r="G535" s="35"/>
      <c r="H535" s="104"/>
      <c r="I535" s="35"/>
      <c r="J535" s="74"/>
      <c r="K535" s="74"/>
      <c r="L535" s="74"/>
      <c r="M535" s="74"/>
      <c r="N535" s="74"/>
      <c r="O535" s="74"/>
      <c r="P535" s="74"/>
      <c r="Q535" s="74"/>
      <c r="R535" s="74"/>
      <c r="S535" s="74"/>
      <c r="T535" s="74"/>
      <c r="U535" s="74"/>
      <c r="V535" s="74"/>
      <c r="W535" s="74"/>
      <c r="X535" s="74"/>
      <c r="Y535" s="74"/>
      <c r="Z535" s="74"/>
      <c r="AA535" s="74"/>
      <c r="AB535" s="74"/>
    </row>
    <row r="536" spans="1:28" ht="12" customHeight="1">
      <c r="A536" s="105"/>
      <c r="B536" s="106"/>
      <c r="C536" s="107"/>
      <c r="D536" s="108"/>
      <c r="E536" s="107"/>
      <c r="F536" s="107"/>
      <c r="G536" s="35"/>
      <c r="H536" s="104"/>
      <c r="I536" s="35"/>
      <c r="J536" s="74"/>
      <c r="K536" s="74"/>
      <c r="L536" s="74"/>
      <c r="M536" s="74"/>
      <c r="N536" s="74"/>
      <c r="O536" s="74"/>
      <c r="P536" s="74"/>
      <c r="Q536" s="74"/>
      <c r="R536" s="74"/>
      <c r="S536" s="74"/>
      <c r="T536" s="74"/>
      <c r="U536" s="74"/>
      <c r="V536" s="74"/>
      <c r="W536" s="74"/>
      <c r="X536" s="74"/>
      <c r="Y536" s="74"/>
      <c r="Z536" s="74"/>
      <c r="AA536" s="74"/>
      <c r="AB536" s="74"/>
    </row>
    <row r="537" spans="1:28" ht="12" customHeight="1">
      <c r="A537" s="105"/>
      <c r="B537" s="106"/>
      <c r="C537" s="107"/>
      <c r="D537" s="108"/>
      <c r="E537" s="107"/>
      <c r="F537" s="107"/>
      <c r="G537" s="35"/>
      <c r="H537" s="104"/>
      <c r="I537" s="35"/>
      <c r="J537" s="74"/>
      <c r="K537" s="74"/>
      <c r="L537" s="74"/>
      <c r="M537" s="74"/>
      <c r="N537" s="74"/>
      <c r="O537" s="74"/>
      <c r="P537" s="74"/>
      <c r="Q537" s="74"/>
      <c r="R537" s="74"/>
      <c r="S537" s="74"/>
      <c r="T537" s="74"/>
      <c r="U537" s="74"/>
      <c r="V537" s="74"/>
      <c r="W537" s="74"/>
      <c r="X537" s="74"/>
      <c r="Y537" s="74"/>
      <c r="Z537" s="74"/>
      <c r="AA537" s="74"/>
      <c r="AB537" s="74"/>
    </row>
    <row r="538" spans="1:28" ht="12" customHeight="1">
      <c r="A538" s="105"/>
      <c r="B538" s="106"/>
      <c r="C538" s="107"/>
      <c r="D538" s="108"/>
      <c r="E538" s="107"/>
      <c r="F538" s="107"/>
      <c r="G538" s="35"/>
      <c r="H538" s="104"/>
      <c r="I538" s="35"/>
      <c r="J538" s="74"/>
      <c r="K538" s="74"/>
      <c r="L538" s="74"/>
      <c r="M538" s="74"/>
      <c r="N538" s="74"/>
      <c r="O538" s="74"/>
      <c r="P538" s="74"/>
      <c r="Q538" s="74"/>
      <c r="R538" s="74"/>
      <c r="S538" s="74"/>
      <c r="T538" s="74"/>
      <c r="U538" s="74"/>
      <c r="V538" s="74"/>
      <c r="W538" s="74"/>
      <c r="X538" s="74"/>
      <c r="Y538" s="74"/>
      <c r="Z538" s="74"/>
      <c r="AA538" s="74"/>
      <c r="AB538" s="74"/>
    </row>
    <row r="539" spans="1:28" ht="12" customHeight="1">
      <c r="A539" s="105"/>
      <c r="B539" s="106"/>
      <c r="C539" s="107"/>
      <c r="D539" s="108"/>
      <c r="E539" s="107"/>
      <c r="F539" s="107"/>
      <c r="G539" s="35"/>
      <c r="H539" s="104"/>
      <c r="I539" s="35"/>
      <c r="J539" s="74"/>
      <c r="K539" s="74"/>
      <c r="L539" s="74"/>
      <c r="M539" s="74"/>
      <c r="N539" s="74"/>
      <c r="O539" s="74"/>
      <c r="P539" s="74"/>
      <c r="Q539" s="74"/>
      <c r="R539" s="74"/>
      <c r="S539" s="74"/>
      <c r="T539" s="74"/>
      <c r="U539" s="74"/>
      <c r="V539" s="74"/>
      <c r="W539" s="74"/>
      <c r="X539" s="74"/>
      <c r="Y539" s="74"/>
      <c r="Z539" s="74"/>
      <c r="AA539" s="74"/>
      <c r="AB539" s="74"/>
    </row>
    <row r="540" spans="1:28" ht="12" customHeight="1">
      <c r="A540" s="105"/>
      <c r="B540" s="106"/>
      <c r="C540" s="107"/>
      <c r="D540" s="108"/>
      <c r="E540" s="107"/>
      <c r="F540" s="107"/>
      <c r="G540" s="35"/>
      <c r="H540" s="104"/>
      <c r="I540" s="35"/>
      <c r="J540" s="74"/>
      <c r="K540" s="74"/>
      <c r="L540" s="74"/>
      <c r="M540" s="74"/>
      <c r="N540" s="74"/>
      <c r="O540" s="74"/>
      <c r="P540" s="74"/>
      <c r="Q540" s="74"/>
      <c r="R540" s="74"/>
      <c r="S540" s="74"/>
      <c r="T540" s="74"/>
      <c r="U540" s="74"/>
      <c r="V540" s="74"/>
      <c r="W540" s="74"/>
      <c r="X540" s="74"/>
      <c r="Y540" s="74"/>
      <c r="Z540" s="74"/>
      <c r="AA540" s="74"/>
      <c r="AB540" s="74"/>
    </row>
    <row r="541" spans="1:28" ht="12" customHeight="1">
      <c r="A541" s="105"/>
      <c r="B541" s="106"/>
      <c r="C541" s="107"/>
      <c r="D541" s="108"/>
      <c r="E541" s="107"/>
      <c r="F541" s="107"/>
      <c r="G541" s="35"/>
      <c r="H541" s="104"/>
      <c r="I541" s="35"/>
      <c r="J541" s="74"/>
      <c r="K541" s="74"/>
      <c r="L541" s="74"/>
      <c r="M541" s="74"/>
      <c r="N541" s="74"/>
      <c r="O541" s="74"/>
      <c r="P541" s="74"/>
      <c r="Q541" s="74"/>
      <c r="R541" s="74"/>
      <c r="S541" s="74"/>
      <c r="T541" s="74"/>
      <c r="U541" s="74"/>
      <c r="V541" s="74"/>
      <c r="W541" s="74"/>
      <c r="X541" s="74"/>
      <c r="Y541" s="74"/>
      <c r="Z541" s="74"/>
      <c r="AA541" s="74"/>
      <c r="AB541" s="74"/>
    </row>
    <row r="542" spans="1:28" ht="12" customHeight="1">
      <c r="A542" s="105"/>
      <c r="B542" s="106"/>
      <c r="C542" s="107"/>
      <c r="D542" s="108"/>
      <c r="E542" s="107"/>
      <c r="F542" s="107"/>
      <c r="G542" s="35"/>
      <c r="H542" s="104"/>
      <c r="I542" s="35"/>
      <c r="J542" s="74"/>
      <c r="K542" s="74"/>
      <c r="L542" s="74"/>
      <c r="M542" s="74"/>
      <c r="N542" s="74"/>
      <c r="O542" s="74"/>
      <c r="P542" s="74"/>
      <c r="Q542" s="74"/>
      <c r="R542" s="74"/>
      <c r="S542" s="74"/>
      <c r="T542" s="74"/>
      <c r="U542" s="74"/>
      <c r="V542" s="74"/>
      <c r="W542" s="74"/>
      <c r="X542" s="74"/>
      <c r="Y542" s="74"/>
      <c r="Z542" s="74"/>
      <c r="AA542" s="74"/>
      <c r="AB542" s="74"/>
    </row>
    <row r="543" spans="1:28" ht="12" customHeight="1">
      <c r="A543" s="105"/>
      <c r="B543" s="106"/>
      <c r="C543" s="107"/>
      <c r="D543" s="108"/>
      <c r="E543" s="107"/>
      <c r="F543" s="107"/>
      <c r="G543" s="35"/>
      <c r="H543" s="104"/>
      <c r="I543" s="35"/>
      <c r="J543" s="74"/>
      <c r="K543" s="74"/>
      <c r="L543" s="74"/>
      <c r="M543" s="74"/>
      <c r="N543" s="74"/>
      <c r="O543" s="74"/>
      <c r="P543" s="74"/>
      <c r="Q543" s="74"/>
      <c r="R543" s="74"/>
      <c r="S543" s="74"/>
      <c r="T543" s="74"/>
      <c r="U543" s="74"/>
      <c r="V543" s="74"/>
      <c r="W543" s="74"/>
      <c r="X543" s="74"/>
      <c r="Y543" s="74"/>
      <c r="Z543" s="74"/>
      <c r="AA543" s="74"/>
      <c r="AB543" s="74"/>
    </row>
    <row r="544" spans="1:28" ht="12" customHeight="1">
      <c r="A544" s="105"/>
      <c r="B544" s="106"/>
      <c r="C544" s="107"/>
      <c r="D544" s="108"/>
      <c r="E544" s="107"/>
      <c r="F544" s="107"/>
      <c r="G544" s="35"/>
      <c r="H544" s="104"/>
      <c r="I544" s="35"/>
      <c r="J544" s="74"/>
      <c r="K544" s="74"/>
      <c r="L544" s="74"/>
      <c r="M544" s="74"/>
      <c r="N544" s="74"/>
      <c r="O544" s="74"/>
      <c r="P544" s="74"/>
      <c r="Q544" s="74"/>
      <c r="R544" s="74"/>
      <c r="S544" s="74"/>
      <c r="T544" s="74"/>
      <c r="U544" s="74"/>
      <c r="V544" s="74"/>
      <c r="W544" s="74"/>
      <c r="X544" s="74"/>
      <c r="Y544" s="74"/>
      <c r="Z544" s="74"/>
      <c r="AA544" s="74"/>
      <c r="AB544" s="74"/>
    </row>
    <row r="545" spans="1:28" ht="12" customHeight="1">
      <c r="A545" s="105"/>
      <c r="B545" s="106"/>
      <c r="C545" s="107"/>
      <c r="D545" s="108"/>
      <c r="E545" s="107"/>
      <c r="F545" s="107"/>
      <c r="G545" s="35"/>
      <c r="H545" s="104"/>
      <c r="I545" s="35"/>
      <c r="J545" s="74"/>
      <c r="K545" s="74"/>
      <c r="L545" s="74"/>
      <c r="M545" s="74"/>
      <c r="N545" s="74"/>
      <c r="O545" s="74"/>
      <c r="P545" s="74"/>
      <c r="Q545" s="74"/>
      <c r="R545" s="74"/>
      <c r="S545" s="74"/>
      <c r="T545" s="74"/>
      <c r="U545" s="74"/>
      <c r="V545" s="74"/>
      <c r="W545" s="74"/>
      <c r="X545" s="74"/>
      <c r="Y545" s="74"/>
      <c r="Z545" s="74"/>
      <c r="AA545" s="74"/>
      <c r="AB545" s="74"/>
    </row>
    <row r="546" spans="1:28" ht="12" customHeight="1">
      <c r="A546" s="105"/>
      <c r="B546" s="106"/>
      <c r="C546" s="107"/>
      <c r="D546" s="108"/>
      <c r="E546" s="107"/>
      <c r="F546" s="107"/>
      <c r="G546" s="35"/>
      <c r="H546" s="104"/>
      <c r="I546" s="35"/>
      <c r="J546" s="74"/>
      <c r="K546" s="74"/>
      <c r="L546" s="74"/>
      <c r="M546" s="74"/>
      <c r="N546" s="74"/>
      <c r="O546" s="74"/>
      <c r="P546" s="74"/>
      <c r="Q546" s="74"/>
      <c r="R546" s="74"/>
      <c r="S546" s="74"/>
      <c r="T546" s="74"/>
      <c r="U546" s="74"/>
      <c r="V546" s="74"/>
      <c r="W546" s="74"/>
      <c r="X546" s="74"/>
      <c r="Y546" s="74"/>
      <c r="Z546" s="74"/>
      <c r="AA546" s="74"/>
      <c r="AB546" s="74"/>
    </row>
    <row r="547" spans="1:28" ht="12" customHeight="1">
      <c r="A547" s="105"/>
      <c r="B547" s="106"/>
      <c r="C547" s="107"/>
      <c r="D547" s="108"/>
      <c r="E547" s="107"/>
      <c r="F547" s="107"/>
      <c r="G547" s="35"/>
      <c r="H547" s="104"/>
      <c r="I547" s="35"/>
      <c r="J547" s="74"/>
      <c r="K547" s="74"/>
      <c r="L547" s="74"/>
      <c r="M547" s="74"/>
      <c r="N547" s="74"/>
      <c r="O547" s="74"/>
      <c r="P547" s="74"/>
      <c r="Q547" s="74"/>
      <c r="R547" s="74"/>
      <c r="S547" s="74"/>
      <c r="T547" s="74"/>
      <c r="U547" s="74"/>
      <c r="V547" s="74"/>
      <c r="W547" s="74"/>
      <c r="X547" s="74"/>
      <c r="Y547" s="74"/>
      <c r="Z547" s="74"/>
      <c r="AA547" s="74"/>
      <c r="AB547" s="74"/>
    </row>
    <row r="548" spans="1:28" ht="12" customHeight="1">
      <c r="A548" s="105"/>
      <c r="B548" s="106"/>
      <c r="C548" s="107"/>
      <c r="D548" s="108"/>
      <c r="E548" s="107"/>
      <c r="F548" s="107"/>
      <c r="G548" s="35"/>
      <c r="H548" s="104"/>
      <c r="I548" s="35"/>
      <c r="J548" s="74"/>
      <c r="K548" s="74"/>
      <c r="L548" s="74"/>
      <c r="M548" s="74"/>
      <c r="N548" s="74"/>
      <c r="O548" s="74"/>
      <c r="P548" s="74"/>
      <c r="Q548" s="74"/>
      <c r="R548" s="74"/>
      <c r="S548" s="74"/>
      <c r="T548" s="74"/>
      <c r="U548" s="74"/>
      <c r="V548" s="74"/>
      <c r="W548" s="74"/>
      <c r="X548" s="74"/>
      <c r="Y548" s="74"/>
      <c r="Z548" s="74"/>
      <c r="AA548" s="74"/>
      <c r="AB548" s="74"/>
    </row>
    <row r="549" spans="1:28" ht="12" customHeight="1">
      <c r="A549" s="105"/>
      <c r="B549" s="106"/>
      <c r="C549" s="107"/>
      <c r="D549" s="108"/>
      <c r="E549" s="107"/>
      <c r="F549" s="107"/>
      <c r="G549" s="35"/>
      <c r="H549" s="104"/>
      <c r="I549" s="35"/>
      <c r="J549" s="74"/>
      <c r="K549" s="74"/>
      <c r="L549" s="74"/>
      <c r="M549" s="74"/>
      <c r="N549" s="74"/>
      <c r="O549" s="74"/>
      <c r="P549" s="74"/>
      <c r="Q549" s="74"/>
      <c r="R549" s="74"/>
      <c r="S549" s="74"/>
      <c r="T549" s="74"/>
      <c r="U549" s="74"/>
      <c r="V549" s="74"/>
      <c r="W549" s="74"/>
      <c r="X549" s="74"/>
      <c r="Y549" s="74"/>
      <c r="Z549" s="74"/>
      <c r="AA549" s="74"/>
      <c r="AB549" s="74"/>
    </row>
    <row r="550" spans="1:28" ht="12" customHeight="1">
      <c r="A550" s="105"/>
      <c r="B550" s="106"/>
      <c r="C550" s="107"/>
      <c r="D550" s="108"/>
      <c r="E550" s="107"/>
      <c r="F550" s="107"/>
      <c r="G550" s="35"/>
      <c r="H550" s="104"/>
      <c r="I550" s="35"/>
      <c r="J550" s="74"/>
      <c r="K550" s="74"/>
      <c r="L550" s="74"/>
      <c r="M550" s="74"/>
      <c r="N550" s="74"/>
      <c r="O550" s="74"/>
      <c r="P550" s="74"/>
      <c r="Q550" s="74"/>
      <c r="R550" s="74"/>
      <c r="S550" s="74"/>
      <c r="T550" s="74"/>
      <c r="U550" s="74"/>
      <c r="V550" s="74"/>
      <c r="W550" s="74"/>
      <c r="X550" s="74"/>
      <c r="Y550" s="74"/>
      <c r="Z550" s="74"/>
      <c r="AA550" s="74"/>
      <c r="AB550" s="74"/>
    </row>
    <row r="551" spans="1:28" ht="12" customHeight="1">
      <c r="A551" s="105"/>
      <c r="B551" s="106"/>
      <c r="C551" s="107"/>
      <c r="D551" s="108"/>
      <c r="E551" s="107"/>
      <c r="F551" s="107"/>
      <c r="G551" s="35"/>
      <c r="H551" s="104"/>
      <c r="I551" s="35"/>
      <c r="J551" s="74"/>
      <c r="K551" s="74"/>
      <c r="L551" s="74"/>
      <c r="M551" s="74"/>
      <c r="N551" s="74"/>
      <c r="O551" s="74"/>
      <c r="P551" s="74"/>
      <c r="Q551" s="74"/>
      <c r="R551" s="74"/>
      <c r="S551" s="74"/>
      <c r="T551" s="74"/>
      <c r="U551" s="74"/>
      <c r="V551" s="74"/>
      <c r="W551" s="74"/>
      <c r="X551" s="74"/>
      <c r="Y551" s="74"/>
      <c r="Z551" s="74"/>
      <c r="AA551" s="74"/>
      <c r="AB551" s="74"/>
    </row>
    <row r="552" spans="1:28" ht="12" customHeight="1">
      <c r="A552" s="105"/>
      <c r="B552" s="106"/>
      <c r="C552" s="107"/>
      <c r="D552" s="108"/>
      <c r="E552" s="107"/>
      <c r="F552" s="107"/>
      <c r="G552" s="35"/>
      <c r="H552" s="104"/>
      <c r="I552" s="35"/>
      <c r="J552" s="74"/>
      <c r="K552" s="74"/>
      <c r="L552" s="74"/>
      <c r="M552" s="74"/>
      <c r="N552" s="74"/>
      <c r="O552" s="74"/>
      <c r="P552" s="74"/>
      <c r="Q552" s="74"/>
      <c r="R552" s="74"/>
      <c r="S552" s="74"/>
      <c r="T552" s="74"/>
      <c r="U552" s="74"/>
      <c r="V552" s="74"/>
      <c r="W552" s="74"/>
      <c r="X552" s="74"/>
      <c r="Y552" s="74"/>
      <c r="Z552" s="74"/>
      <c r="AA552" s="74"/>
      <c r="AB552" s="74"/>
    </row>
    <row r="553" spans="1:28" ht="12" customHeight="1">
      <c r="A553" s="105"/>
      <c r="B553" s="106"/>
      <c r="C553" s="107"/>
      <c r="D553" s="108"/>
      <c r="E553" s="107"/>
      <c r="F553" s="107"/>
      <c r="G553" s="35"/>
      <c r="H553" s="104"/>
      <c r="I553" s="35"/>
      <c r="J553" s="74"/>
      <c r="K553" s="74"/>
      <c r="L553" s="74"/>
      <c r="M553" s="74"/>
      <c r="N553" s="74"/>
      <c r="O553" s="74"/>
      <c r="P553" s="74"/>
      <c r="Q553" s="74"/>
      <c r="R553" s="74"/>
      <c r="S553" s="74"/>
      <c r="T553" s="74"/>
      <c r="U553" s="74"/>
      <c r="V553" s="74"/>
      <c r="W553" s="74"/>
      <c r="X553" s="74"/>
      <c r="Y553" s="74"/>
      <c r="Z553" s="74"/>
      <c r="AA553" s="74"/>
      <c r="AB553" s="74"/>
    </row>
    <row r="554" spans="1:28" ht="12" customHeight="1">
      <c r="A554" s="105"/>
      <c r="B554" s="106"/>
      <c r="C554" s="107"/>
      <c r="D554" s="108"/>
      <c r="E554" s="107"/>
      <c r="F554" s="107"/>
      <c r="G554" s="35"/>
      <c r="H554" s="104"/>
      <c r="I554" s="35"/>
      <c r="J554" s="74"/>
      <c r="K554" s="74"/>
      <c r="L554" s="74"/>
      <c r="M554" s="74"/>
      <c r="N554" s="74"/>
      <c r="O554" s="74"/>
      <c r="P554" s="74"/>
      <c r="Q554" s="74"/>
      <c r="R554" s="74"/>
      <c r="S554" s="74"/>
      <c r="T554" s="74"/>
      <c r="U554" s="74"/>
      <c r="V554" s="74"/>
      <c r="W554" s="74"/>
      <c r="X554" s="74"/>
      <c r="Y554" s="74"/>
      <c r="Z554" s="74"/>
      <c r="AA554" s="74"/>
      <c r="AB554" s="74"/>
    </row>
    <row r="555" spans="1:28" ht="12" customHeight="1">
      <c r="A555" s="105"/>
      <c r="B555" s="106"/>
      <c r="C555" s="107"/>
      <c r="D555" s="108"/>
      <c r="E555" s="107"/>
      <c r="F555" s="107"/>
      <c r="G555" s="35"/>
      <c r="H555" s="104"/>
      <c r="I555" s="35"/>
      <c r="J555" s="74"/>
      <c r="K555" s="74"/>
      <c r="L555" s="74"/>
      <c r="M555" s="74"/>
      <c r="N555" s="74"/>
      <c r="O555" s="74"/>
      <c r="P555" s="74"/>
      <c r="Q555" s="74"/>
      <c r="R555" s="74"/>
      <c r="S555" s="74"/>
      <c r="T555" s="74"/>
      <c r="U555" s="74"/>
      <c r="V555" s="74"/>
      <c r="W555" s="74"/>
      <c r="X555" s="74"/>
      <c r="Y555" s="74"/>
      <c r="Z555" s="74"/>
      <c r="AA555" s="74"/>
      <c r="AB555" s="74"/>
    </row>
    <row r="556" spans="1:28" ht="12" customHeight="1">
      <c r="A556" s="105"/>
      <c r="B556" s="106"/>
      <c r="C556" s="107"/>
      <c r="D556" s="108"/>
      <c r="E556" s="107"/>
      <c r="F556" s="107"/>
      <c r="G556" s="35"/>
      <c r="H556" s="104"/>
      <c r="I556" s="35"/>
      <c r="J556" s="74"/>
      <c r="K556" s="74"/>
      <c r="L556" s="74"/>
      <c r="M556" s="74"/>
      <c r="N556" s="74"/>
      <c r="O556" s="74"/>
      <c r="P556" s="74"/>
      <c r="Q556" s="74"/>
      <c r="R556" s="74"/>
      <c r="S556" s="74"/>
      <c r="T556" s="74"/>
      <c r="U556" s="74"/>
      <c r="V556" s="74"/>
      <c r="W556" s="74"/>
      <c r="X556" s="74"/>
      <c r="Y556" s="74"/>
      <c r="Z556" s="74"/>
      <c r="AA556" s="74"/>
      <c r="AB556" s="74"/>
    </row>
    <row r="557" spans="1:28" ht="12" customHeight="1">
      <c r="A557" s="105"/>
      <c r="B557" s="106"/>
      <c r="C557" s="107"/>
      <c r="D557" s="108"/>
      <c r="E557" s="107"/>
      <c r="F557" s="107"/>
      <c r="G557" s="35"/>
      <c r="H557" s="104"/>
      <c r="I557" s="35"/>
      <c r="J557" s="74"/>
      <c r="K557" s="74"/>
      <c r="L557" s="74"/>
      <c r="M557" s="74"/>
      <c r="N557" s="74"/>
      <c r="O557" s="74"/>
      <c r="P557" s="74"/>
      <c r="Q557" s="74"/>
      <c r="R557" s="74"/>
      <c r="S557" s="74"/>
      <c r="T557" s="74"/>
      <c r="U557" s="74"/>
      <c r="V557" s="74"/>
      <c r="W557" s="74"/>
      <c r="X557" s="74"/>
      <c r="Y557" s="74"/>
      <c r="Z557" s="74"/>
      <c r="AA557" s="74"/>
      <c r="AB557" s="74"/>
    </row>
    <row r="558" spans="1:28" ht="12" customHeight="1">
      <c r="A558" s="105"/>
      <c r="B558" s="106"/>
      <c r="C558" s="107"/>
      <c r="D558" s="108"/>
      <c r="E558" s="107"/>
      <c r="F558" s="107"/>
      <c r="G558" s="35"/>
      <c r="H558" s="104"/>
      <c r="I558" s="35"/>
      <c r="J558" s="74"/>
      <c r="K558" s="74"/>
      <c r="L558" s="74"/>
      <c r="M558" s="74"/>
      <c r="N558" s="74"/>
      <c r="O558" s="74"/>
      <c r="P558" s="74"/>
      <c r="Q558" s="74"/>
      <c r="R558" s="74"/>
      <c r="S558" s="74"/>
      <c r="T558" s="74"/>
      <c r="U558" s="74"/>
      <c r="V558" s="74"/>
      <c r="W558" s="74"/>
      <c r="X558" s="74"/>
      <c r="Y558" s="74"/>
      <c r="Z558" s="74"/>
      <c r="AA558" s="74"/>
      <c r="AB558" s="74"/>
    </row>
    <row r="559" spans="1:28" ht="12" customHeight="1">
      <c r="A559" s="105"/>
      <c r="B559" s="106"/>
      <c r="C559" s="107"/>
      <c r="D559" s="108"/>
      <c r="E559" s="107"/>
      <c r="F559" s="107"/>
      <c r="G559" s="35"/>
      <c r="H559" s="104"/>
      <c r="I559" s="35"/>
      <c r="J559" s="74"/>
      <c r="K559" s="74"/>
      <c r="L559" s="74"/>
      <c r="M559" s="74"/>
      <c r="N559" s="74"/>
      <c r="O559" s="74"/>
      <c r="P559" s="74"/>
      <c r="Q559" s="74"/>
      <c r="R559" s="74"/>
      <c r="S559" s="74"/>
      <c r="T559" s="74"/>
      <c r="U559" s="74"/>
      <c r="V559" s="74"/>
      <c r="W559" s="74"/>
      <c r="X559" s="74"/>
      <c r="Y559" s="74"/>
      <c r="Z559" s="74"/>
      <c r="AA559" s="74"/>
      <c r="AB559" s="74"/>
    </row>
    <row r="560" spans="1:28" ht="12" customHeight="1">
      <c r="A560" s="105"/>
      <c r="B560" s="106"/>
      <c r="C560" s="107"/>
      <c r="D560" s="108"/>
      <c r="E560" s="107"/>
      <c r="F560" s="107"/>
      <c r="G560" s="35"/>
      <c r="H560" s="104"/>
      <c r="I560" s="35"/>
      <c r="J560" s="74"/>
      <c r="K560" s="74"/>
      <c r="L560" s="74"/>
      <c r="M560" s="74"/>
      <c r="N560" s="74"/>
      <c r="O560" s="74"/>
      <c r="P560" s="74"/>
      <c r="Q560" s="74"/>
      <c r="R560" s="74"/>
      <c r="S560" s="74"/>
      <c r="T560" s="74"/>
      <c r="U560" s="74"/>
      <c r="V560" s="74"/>
      <c r="W560" s="74"/>
      <c r="X560" s="74"/>
      <c r="Y560" s="74"/>
      <c r="Z560" s="74"/>
      <c r="AA560" s="74"/>
      <c r="AB560" s="74"/>
    </row>
    <row r="561" spans="1:28" ht="12" customHeight="1">
      <c r="A561" s="105"/>
      <c r="B561" s="106"/>
      <c r="C561" s="107"/>
      <c r="D561" s="108"/>
      <c r="E561" s="107"/>
      <c r="F561" s="107"/>
      <c r="G561" s="35"/>
      <c r="H561" s="104"/>
      <c r="I561" s="35"/>
      <c r="J561" s="74"/>
      <c r="K561" s="74"/>
      <c r="L561" s="74"/>
      <c r="M561" s="74"/>
      <c r="N561" s="74"/>
      <c r="O561" s="74"/>
      <c r="P561" s="74"/>
      <c r="Q561" s="74"/>
      <c r="R561" s="74"/>
      <c r="S561" s="74"/>
      <c r="T561" s="74"/>
      <c r="U561" s="74"/>
      <c r="V561" s="74"/>
      <c r="W561" s="74"/>
      <c r="X561" s="74"/>
      <c r="Y561" s="74"/>
      <c r="Z561" s="74"/>
      <c r="AA561" s="74"/>
      <c r="AB561" s="74"/>
    </row>
    <row r="562" spans="1:28" ht="12" customHeight="1">
      <c r="A562" s="105"/>
      <c r="B562" s="106"/>
      <c r="C562" s="107"/>
      <c r="D562" s="108"/>
      <c r="E562" s="107"/>
      <c r="F562" s="107"/>
      <c r="G562" s="35"/>
      <c r="H562" s="104"/>
      <c r="I562" s="35"/>
      <c r="J562" s="74"/>
      <c r="K562" s="74"/>
      <c r="L562" s="74"/>
      <c r="M562" s="74"/>
      <c r="N562" s="74"/>
      <c r="O562" s="74"/>
      <c r="P562" s="74"/>
      <c r="Q562" s="74"/>
      <c r="R562" s="74"/>
      <c r="S562" s="74"/>
      <c r="T562" s="74"/>
      <c r="U562" s="74"/>
      <c r="V562" s="74"/>
      <c r="W562" s="74"/>
      <c r="X562" s="74"/>
      <c r="Y562" s="74"/>
      <c r="Z562" s="74"/>
      <c r="AA562" s="74"/>
      <c r="AB562" s="74"/>
    </row>
    <row r="563" spans="1:28" ht="12" customHeight="1">
      <c r="A563" s="105"/>
      <c r="B563" s="106"/>
      <c r="C563" s="107"/>
      <c r="D563" s="108"/>
      <c r="E563" s="107"/>
      <c r="F563" s="107"/>
      <c r="G563" s="35"/>
      <c r="H563" s="104"/>
      <c r="I563" s="35"/>
      <c r="J563" s="74"/>
      <c r="K563" s="74"/>
      <c r="L563" s="74"/>
      <c r="M563" s="74"/>
      <c r="N563" s="74"/>
      <c r="O563" s="74"/>
      <c r="P563" s="74"/>
      <c r="Q563" s="74"/>
      <c r="R563" s="74"/>
      <c r="S563" s="74"/>
      <c r="T563" s="74"/>
      <c r="U563" s="74"/>
      <c r="V563" s="74"/>
      <c r="W563" s="74"/>
      <c r="X563" s="74"/>
      <c r="Y563" s="74"/>
      <c r="Z563" s="74"/>
      <c r="AA563" s="74"/>
      <c r="AB563" s="74"/>
    </row>
    <row r="564" spans="1:28" ht="12" customHeight="1">
      <c r="A564" s="105"/>
      <c r="B564" s="106"/>
      <c r="C564" s="107"/>
      <c r="D564" s="108"/>
      <c r="E564" s="107"/>
      <c r="F564" s="107"/>
      <c r="G564" s="35"/>
      <c r="H564" s="104"/>
      <c r="I564" s="35"/>
      <c r="J564" s="74"/>
      <c r="K564" s="74"/>
      <c r="L564" s="74"/>
      <c r="M564" s="74"/>
      <c r="N564" s="74"/>
      <c r="O564" s="74"/>
      <c r="P564" s="74"/>
      <c r="Q564" s="74"/>
      <c r="R564" s="74"/>
      <c r="S564" s="74"/>
      <c r="T564" s="74"/>
      <c r="U564" s="74"/>
      <c r="V564" s="74"/>
      <c r="W564" s="74"/>
      <c r="X564" s="74"/>
      <c r="Y564" s="74"/>
      <c r="Z564" s="74"/>
      <c r="AA564" s="74"/>
      <c r="AB564" s="74"/>
    </row>
    <row r="565" spans="1:28" ht="12" customHeight="1">
      <c r="A565" s="105"/>
      <c r="B565" s="106"/>
      <c r="C565" s="107"/>
      <c r="D565" s="108"/>
      <c r="E565" s="107"/>
      <c r="F565" s="107"/>
      <c r="G565" s="35"/>
      <c r="H565" s="104"/>
      <c r="I565" s="35"/>
      <c r="J565" s="74"/>
      <c r="K565" s="74"/>
      <c r="L565" s="74"/>
      <c r="M565" s="74"/>
      <c r="N565" s="74"/>
      <c r="O565" s="74"/>
      <c r="P565" s="74"/>
      <c r="Q565" s="74"/>
      <c r="R565" s="74"/>
      <c r="S565" s="74"/>
      <c r="T565" s="74"/>
      <c r="U565" s="74"/>
      <c r="V565" s="74"/>
      <c r="W565" s="74"/>
      <c r="X565" s="74"/>
      <c r="Y565" s="74"/>
      <c r="Z565" s="74"/>
      <c r="AA565" s="74"/>
      <c r="AB565" s="74"/>
    </row>
    <row r="566" spans="1:28" ht="12" customHeight="1">
      <c r="A566" s="105"/>
      <c r="B566" s="106"/>
      <c r="C566" s="107"/>
      <c r="D566" s="108"/>
      <c r="E566" s="107"/>
      <c r="F566" s="107"/>
      <c r="G566" s="35"/>
      <c r="H566" s="104"/>
      <c r="I566" s="35"/>
      <c r="J566" s="74"/>
      <c r="K566" s="74"/>
      <c r="L566" s="74"/>
      <c r="M566" s="74"/>
      <c r="N566" s="74"/>
      <c r="O566" s="74"/>
      <c r="P566" s="74"/>
      <c r="Q566" s="74"/>
      <c r="R566" s="74"/>
      <c r="S566" s="74"/>
      <c r="T566" s="74"/>
      <c r="U566" s="74"/>
      <c r="V566" s="74"/>
      <c r="W566" s="74"/>
      <c r="X566" s="74"/>
      <c r="Y566" s="74"/>
      <c r="Z566" s="74"/>
      <c r="AA566" s="74"/>
      <c r="AB566" s="74"/>
    </row>
    <row r="567" spans="1:28" ht="12" customHeight="1">
      <c r="A567" s="105"/>
      <c r="B567" s="106"/>
      <c r="C567" s="107"/>
      <c r="D567" s="108"/>
      <c r="E567" s="107"/>
      <c r="F567" s="107"/>
      <c r="G567" s="35"/>
      <c r="H567" s="104"/>
      <c r="I567" s="35"/>
      <c r="J567" s="74"/>
      <c r="K567" s="74"/>
      <c r="L567" s="74"/>
      <c r="M567" s="74"/>
      <c r="N567" s="74"/>
      <c r="O567" s="74"/>
      <c r="P567" s="74"/>
      <c r="Q567" s="74"/>
      <c r="R567" s="74"/>
      <c r="S567" s="74"/>
      <c r="T567" s="74"/>
      <c r="U567" s="74"/>
      <c r="V567" s="74"/>
      <c r="W567" s="74"/>
      <c r="X567" s="74"/>
      <c r="Y567" s="74"/>
      <c r="Z567" s="74"/>
      <c r="AA567" s="74"/>
      <c r="AB567" s="74"/>
    </row>
    <row r="568" spans="1:28" ht="12" customHeight="1">
      <c r="A568" s="105"/>
      <c r="B568" s="106"/>
      <c r="C568" s="107"/>
      <c r="D568" s="108"/>
      <c r="E568" s="107"/>
      <c r="F568" s="107"/>
      <c r="G568" s="35"/>
      <c r="H568" s="104"/>
      <c r="I568" s="35"/>
      <c r="J568" s="74"/>
      <c r="K568" s="74"/>
      <c r="L568" s="74"/>
      <c r="M568" s="74"/>
      <c r="N568" s="74"/>
      <c r="O568" s="74"/>
      <c r="P568" s="74"/>
      <c r="Q568" s="74"/>
      <c r="R568" s="74"/>
      <c r="S568" s="74"/>
      <c r="T568" s="74"/>
      <c r="U568" s="74"/>
      <c r="V568" s="74"/>
      <c r="W568" s="74"/>
      <c r="X568" s="74"/>
      <c r="Y568" s="74"/>
      <c r="Z568" s="74"/>
      <c r="AA568" s="74"/>
      <c r="AB568" s="74"/>
    </row>
    <row r="569" spans="1:28" ht="12" customHeight="1">
      <c r="A569" s="105"/>
      <c r="B569" s="106"/>
      <c r="C569" s="107"/>
      <c r="D569" s="108"/>
      <c r="E569" s="107"/>
      <c r="F569" s="107"/>
      <c r="G569" s="35"/>
      <c r="H569" s="104"/>
      <c r="I569" s="35"/>
      <c r="J569" s="74"/>
      <c r="K569" s="74"/>
      <c r="L569" s="74"/>
      <c r="M569" s="74"/>
      <c r="N569" s="74"/>
      <c r="O569" s="74"/>
      <c r="P569" s="74"/>
      <c r="Q569" s="74"/>
      <c r="R569" s="74"/>
      <c r="S569" s="74"/>
      <c r="T569" s="74"/>
      <c r="U569" s="74"/>
      <c r="V569" s="74"/>
      <c r="W569" s="74"/>
      <c r="X569" s="74"/>
      <c r="Y569" s="74"/>
      <c r="Z569" s="74"/>
      <c r="AA569" s="74"/>
      <c r="AB569" s="74"/>
    </row>
    <row r="570" spans="1:28" ht="12" customHeight="1">
      <c r="A570" s="105"/>
      <c r="B570" s="106"/>
      <c r="C570" s="107"/>
      <c r="D570" s="108"/>
      <c r="E570" s="107"/>
      <c r="F570" s="107"/>
      <c r="G570" s="35"/>
      <c r="H570" s="104"/>
      <c r="I570" s="35"/>
      <c r="J570" s="74"/>
      <c r="K570" s="74"/>
      <c r="L570" s="74"/>
      <c r="M570" s="74"/>
      <c r="N570" s="74"/>
      <c r="O570" s="74"/>
      <c r="P570" s="74"/>
      <c r="Q570" s="74"/>
      <c r="R570" s="74"/>
      <c r="S570" s="74"/>
      <c r="T570" s="74"/>
      <c r="U570" s="74"/>
      <c r="V570" s="74"/>
      <c r="W570" s="74"/>
      <c r="X570" s="74"/>
      <c r="Y570" s="74"/>
      <c r="Z570" s="74"/>
      <c r="AA570" s="74"/>
      <c r="AB570" s="74"/>
    </row>
    <row r="571" spans="1:28" ht="12" customHeight="1">
      <c r="A571" s="105"/>
      <c r="B571" s="106"/>
      <c r="C571" s="107"/>
      <c r="D571" s="108"/>
      <c r="E571" s="107"/>
      <c r="F571" s="107"/>
      <c r="G571" s="35"/>
      <c r="H571" s="104"/>
      <c r="I571" s="35"/>
      <c r="J571" s="74"/>
      <c r="K571" s="74"/>
      <c r="L571" s="74"/>
      <c r="M571" s="74"/>
      <c r="N571" s="74"/>
      <c r="O571" s="74"/>
      <c r="P571" s="74"/>
      <c r="Q571" s="74"/>
      <c r="R571" s="74"/>
      <c r="S571" s="74"/>
      <c r="T571" s="74"/>
      <c r="U571" s="74"/>
      <c r="V571" s="74"/>
      <c r="W571" s="74"/>
      <c r="X571" s="74"/>
      <c r="Y571" s="74"/>
      <c r="Z571" s="74"/>
      <c r="AA571" s="74"/>
      <c r="AB571" s="74"/>
    </row>
    <row r="572" spans="1:28" ht="12" customHeight="1">
      <c r="A572" s="105"/>
      <c r="B572" s="106"/>
      <c r="C572" s="107"/>
      <c r="D572" s="108"/>
      <c r="E572" s="107"/>
      <c r="F572" s="107"/>
      <c r="G572" s="35"/>
      <c r="H572" s="104"/>
      <c r="I572" s="35"/>
      <c r="J572" s="74"/>
      <c r="K572" s="74"/>
      <c r="L572" s="74"/>
      <c r="M572" s="74"/>
      <c r="N572" s="74"/>
      <c r="O572" s="74"/>
      <c r="P572" s="74"/>
      <c r="Q572" s="74"/>
      <c r="R572" s="74"/>
      <c r="S572" s="74"/>
      <c r="T572" s="74"/>
      <c r="U572" s="74"/>
      <c r="V572" s="74"/>
      <c r="W572" s="74"/>
      <c r="X572" s="74"/>
      <c r="Y572" s="74"/>
      <c r="Z572" s="74"/>
      <c r="AA572" s="74"/>
      <c r="AB572" s="74"/>
    </row>
    <row r="573" spans="1:28" ht="12" customHeight="1">
      <c r="A573" s="105"/>
      <c r="B573" s="106"/>
      <c r="C573" s="107"/>
      <c r="D573" s="108"/>
      <c r="E573" s="107"/>
      <c r="F573" s="107"/>
      <c r="G573" s="35"/>
      <c r="H573" s="104"/>
      <c r="I573" s="35"/>
      <c r="J573" s="74"/>
      <c r="K573" s="74"/>
      <c r="L573" s="74"/>
      <c r="M573" s="74"/>
      <c r="N573" s="74"/>
      <c r="O573" s="74"/>
      <c r="P573" s="74"/>
      <c r="Q573" s="74"/>
      <c r="R573" s="74"/>
      <c r="S573" s="74"/>
      <c r="T573" s="74"/>
      <c r="U573" s="74"/>
      <c r="V573" s="74"/>
      <c r="W573" s="74"/>
      <c r="X573" s="74"/>
      <c r="Y573" s="74"/>
      <c r="Z573" s="74"/>
      <c r="AA573" s="74"/>
      <c r="AB573" s="74"/>
    </row>
    <row r="574" spans="1:28" ht="12" customHeight="1">
      <c r="A574" s="105"/>
      <c r="B574" s="106"/>
      <c r="C574" s="107"/>
      <c r="D574" s="108"/>
      <c r="E574" s="107"/>
      <c r="F574" s="107"/>
      <c r="G574" s="35"/>
      <c r="H574" s="104"/>
      <c r="I574" s="35"/>
      <c r="J574" s="74"/>
      <c r="K574" s="74"/>
      <c r="L574" s="74"/>
      <c r="M574" s="74"/>
      <c r="N574" s="74"/>
      <c r="O574" s="74"/>
      <c r="P574" s="74"/>
      <c r="Q574" s="74"/>
      <c r="R574" s="74"/>
      <c r="S574" s="74"/>
      <c r="T574" s="74"/>
      <c r="U574" s="74"/>
      <c r="V574" s="74"/>
      <c r="W574" s="74"/>
      <c r="X574" s="74"/>
      <c r="Y574" s="74"/>
      <c r="Z574" s="74"/>
      <c r="AA574" s="74"/>
      <c r="AB574" s="74"/>
    </row>
    <row r="575" spans="1:28" ht="12" customHeight="1">
      <c r="A575" s="105"/>
      <c r="B575" s="106"/>
      <c r="C575" s="107"/>
      <c r="D575" s="108"/>
      <c r="E575" s="107"/>
      <c r="F575" s="107"/>
      <c r="G575" s="35"/>
      <c r="H575" s="104"/>
      <c r="I575" s="35"/>
      <c r="J575" s="74"/>
      <c r="K575" s="74"/>
      <c r="L575" s="74"/>
      <c r="M575" s="74"/>
      <c r="N575" s="74"/>
      <c r="O575" s="74"/>
      <c r="P575" s="74"/>
      <c r="Q575" s="74"/>
      <c r="R575" s="74"/>
      <c r="S575" s="74"/>
      <c r="T575" s="74"/>
      <c r="U575" s="74"/>
      <c r="V575" s="74"/>
      <c r="W575" s="74"/>
      <c r="X575" s="74"/>
      <c r="Y575" s="74"/>
      <c r="Z575" s="74"/>
      <c r="AA575" s="74"/>
      <c r="AB575" s="74"/>
    </row>
    <row r="576" spans="1:28" ht="12" customHeight="1">
      <c r="A576" s="105"/>
      <c r="B576" s="106"/>
      <c r="C576" s="107"/>
      <c r="D576" s="108"/>
      <c r="E576" s="107"/>
      <c r="F576" s="107"/>
      <c r="G576" s="35"/>
      <c r="H576" s="104"/>
      <c r="I576" s="35"/>
      <c r="J576" s="74"/>
      <c r="K576" s="74"/>
      <c r="L576" s="74"/>
      <c r="M576" s="74"/>
      <c r="N576" s="74"/>
      <c r="O576" s="74"/>
      <c r="P576" s="74"/>
      <c r="Q576" s="74"/>
      <c r="R576" s="74"/>
      <c r="S576" s="74"/>
      <c r="T576" s="74"/>
      <c r="U576" s="74"/>
      <c r="V576" s="74"/>
      <c r="W576" s="74"/>
      <c r="X576" s="74"/>
      <c r="Y576" s="74"/>
      <c r="Z576" s="74"/>
      <c r="AA576" s="74"/>
      <c r="AB576" s="74"/>
    </row>
    <row r="577" spans="1:28" ht="12" customHeight="1">
      <c r="A577" s="105"/>
      <c r="B577" s="106"/>
      <c r="C577" s="107"/>
      <c r="D577" s="108"/>
      <c r="E577" s="107"/>
      <c r="F577" s="107"/>
      <c r="G577" s="35"/>
      <c r="H577" s="104"/>
      <c r="I577" s="35"/>
      <c r="J577" s="74"/>
      <c r="K577" s="74"/>
      <c r="L577" s="74"/>
      <c r="M577" s="74"/>
      <c r="N577" s="74"/>
      <c r="O577" s="74"/>
      <c r="P577" s="74"/>
      <c r="Q577" s="74"/>
      <c r="R577" s="74"/>
      <c r="S577" s="74"/>
      <c r="T577" s="74"/>
      <c r="U577" s="74"/>
      <c r="V577" s="74"/>
      <c r="W577" s="74"/>
      <c r="X577" s="74"/>
      <c r="Y577" s="74"/>
      <c r="Z577" s="74"/>
      <c r="AA577" s="74"/>
      <c r="AB577" s="74"/>
    </row>
    <row r="578" spans="1:28" ht="12" customHeight="1">
      <c r="A578" s="105"/>
      <c r="B578" s="106"/>
      <c r="C578" s="107"/>
      <c r="D578" s="108"/>
      <c r="E578" s="107"/>
      <c r="F578" s="107"/>
      <c r="G578" s="35"/>
      <c r="H578" s="104"/>
      <c r="I578" s="35"/>
      <c r="J578" s="74"/>
      <c r="K578" s="74"/>
      <c r="L578" s="74"/>
      <c r="M578" s="74"/>
      <c r="N578" s="74"/>
      <c r="O578" s="74"/>
      <c r="P578" s="74"/>
      <c r="Q578" s="74"/>
      <c r="R578" s="74"/>
      <c r="S578" s="74"/>
      <c r="T578" s="74"/>
      <c r="U578" s="74"/>
      <c r="V578" s="74"/>
      <c r="W578" s="74"/>
      <c r="X578" s="74"/>
      <c r="Y578" s="74"/>
      <c r="Z578" s="74"/>
      <c r="AA578" s="74"/>
      <c r="AB578" s="74"/>
    </row>
    <row r="579" spans="1:28" ht="12" customHeight="1">
      <c r="A579" s="105"/>
      <c r="B579" s="106"/>
      <c r="C579" s="107"/>
      <c r="D579" s="108"/>
      <c r="E579" s="107"/>
      <c r="F579" s="107"/>
      <c r="G579" s="35"/>
      <c r="H579" s="104"/>
      <c r="I579" s="35"/>
      <c r="J579" s="74"/>
      <c r="K579" s="74"/>
      <c r="L579" s="74"/>
      <c r="M579" s="74"/>
      <c r="N579" s="74"/>
      <c r="O579" s="74"/>
      <c r="P579" s="74"/>
      <c r="Q579" s="74"/>
      <c r="R579" s="74"/>
      <c r="S579" s="74"/>
      <c r="T579" s="74"/>
      <c r="U579" s="74"/>
      <c r="V579" s="74"/>
      <c r="W579" s="74"/>
      <c r="X579" s="74"/>
      <c r="Y579" s="74"/>
      <c r="Z579" s="74"/>
      <c r="AA579" s="74"/>
      <c r="AB579" s="74"/>
    </row>
    <row r="580" spans="1:28" ht="12" customHeight="1">
      <c r="A580" s="105"/>
      <c r="B580" s="106"/>
      <c r="C580" s="107"/>
      <c r="D580" s="108"/>
      <c r="E580" s="107"/>
      <c r="F580" s="107"/>
      <c r="G580" s="35"/>
      <c r="H580" s="104"/>
      <c r="I580" s="35"/>
      <c r="J580" s="74"/>
      <c r="K580" s="74"/>
      <c r="L580" s="74"/>
      <c r="M580" s="74"/>
      <c r="N580" s="74"/>
      <c r="O580" s="74"/>
      <c r="P580" s="74"/>
      <c r="Q580" s="74"/>
      <c r="R580" s="74"/>
      <c r="S580" s="74"/>
      <c r="T580" s="74"/>
      <c r="U580" s="74"/>
      <c r="V580" s="74"/>
      <c r="W580" s="74"/>
      <c r="X580" s="74"/>
      <c r="Y580" s="74"/>
      <c r="Z580" s="74"/>
      <c r="AA580" s="74"/>
      <c r="AB580" s="74"/>
    </row>
    <row r="581" spans="1:28" ht="12" customHeight="1">
      <c r="A581" s="105"/>
      <c r="B581" s="106"/>
      <c r="C581" s="107"/>
      <c r="D581" s="108"/>
      <c r="E581" s="107"/>
      <c r="F581" s="107"/>
      <c r="G581" s="35"/>
      <c r="H581" s="104"/>
      <c r="I581" s="35"/>
      <c r="J581" s="74"/>
      <c r="K581" s="74"/>
      <c r="L581" s="74"/>
      <c r="M581" s="74"/>
      <c r="N581" s="74"/>
      <c r="O581" s="74"/>
      <c r="P581" s="74"/>
      <c r="Q581" s="74"/>
      <c r="R581" s="74"/>
      <c r="S581" s="74"/>
      <c r="T581" s="74"/>
      <c r="U581" s="74"/>
      <c r="V581" s="74"/>
      <c r="W581" s="74"/>
      <c r="X581" s="74"/>
      <c r="Y581" s="74"/>
      <c r="Z581" s="74"/>
      <c r="AA581" s="74"/>
      <c r="AB581" s="74"/>
    </row>
    <row r="582" spans="1:28" ht="12" customHeight="1">
      <c r="A582" s="105"/>
      <c r="B582" s="106"/>
      <c r="C582" s="107"/>
      <c r="D582" s="108"/>
      <c r="E582" s="107"/>
      <c r="F582" s="107"/>
      <c r="G582" s="35"/>
      <c r="H582" s="104"/>
      <c r="I582" s="35"/>
      <c r="J582" s="74"/>
      <c r="K582" s="74"/>
      <c r="L582" s="74"/>
      <c r="M582" s="74"/>
      <c r="N582" s="74"/>
      <c r="O582" s="74"/>
      <c r="P582" s="74"/>
      <c r="Q582" s="74"/>
      <c r="R582" s="74"/>
      <c r="S582" s="74"/>
      <c r="T582" s="74"/>
      <c r="U582" s="74"/>
      <c r="V582" s="74"/>
      <c r="W582" s="74"/>
      <c r="X582" s="74"/>
      <c r="Y582" s="74"/>
      <c r="Z582" s="74"/>
      <c r="AA582" s="74"/>
      <c r="AB582" s="74"/>
    </row>
    <row r="583" spans="1:28" ht="12" customHeight="1">
      <c r="A583" s="105"/>
      <c r="B583" s="106"/>
      <c r="C583" s="107"/>
      <c r="D583" s="108"/>
      <c r="E583" s="107"/>
      <c r="F583" s="107"/>
      <c r="G583" s="35"/>
      <c r="H583" s="104"/>
      <c r="I583" s="35"/>
      <c r="J583" s="74"/>
      <c r="K583" s="74"/>
      <c r="L583" s="74"/>
      <c r="M583" s="74"/>
      <c r="N583" s="74"/>
      <c r="O583" s="74"/>
      <c r="P583" s="74"/>
      <c r="Q583" s="74"/>
      <c r="R583" s="74"/>
      <c r="S583" s="74"/>
      <c r="T583" s="74"/>
      <c r="U583" s="74"/>
      <c r="V583" s="74"/>
      <c r="W583" s="74"/>
      <c r="X583" s="74"/>
      <c r="Y583" s="74"/>
      <c r="Z583" s="74"/>
      <c r="AA583" s="74"/>
      <c r="AB583" s="74"/>
    </row>
    <row r="584" spans="1:28" ht="12" customHeight="1">
      <c r="A584" s="105"/>
      <c r="B584" s="106"/>
      <c r="C584" s="107"/>
      <c r="D584" s="108"/>
      <c r="E584" s="107"/>
      <c r="F584" s="107"/>
      <c r="G584" s="35"/>
      <c r="H584" s="104"/>
      <c r="I584" s="35"/>
      <c r="J584" s="74"/>
      <c r="K584" s="74"/>
      <c r="L584" s="74"/>
      <c r="M584" s="74"/>
      <c r="N584" s="74"/>
      <c r="O584" s="74"/>
      <c r="P584" s="74"/>
      <c r="Q584" s="74"/>
      <c r="R584" s="74"/>
      <c r="S584" s="74"/>
      <c r="T584" s="74"/>
      <c r="U584" s="74"/>
      <c r="V584" s="74"/>
      <c r="W584" s="74"/>
      <c r="X584" s="74"/>
      <c r="Y584" s="74"/>
      <c r="Z584" s="74"/>
      <c r="AA584" s="74"/>
      <c r="AB584" s="74"/>
    </row>
    <row r="585" spans="1:28" ht="12" customHeight="1">
      <c r="A585" s="105"/>
      <c r="B585" s="106"/>
      <c r="C585" s="107"/>
      <c r="D585" s="108"/>
      <c r="E585" s="107"/>
      <c r="F585" s="107"/>
      <c r="G585" s="35"/>
      <c r="H585" s="104"/>
      <c r="I585" s="35"/>
      <c r="J585" s="74"/>
      <c r="K585" s="74"/>
      <c r="L585" s="74"/>
      <c r="M585" s="74"/>
      <c r="N585" s="74"/>
      <c r="O585" s="74"/>
      <c r="P585" s="74"/>
      <c r="Q585" s="74"/>
      <c r="R585" s="74"/>
      <c r="S585" s="74"/>
      <c r="T585" s="74"/>
      <c r="U585" s="74"/>
      <c r="V585" s="74"/>
      <c r="W585" s="74"/>
      <c r="X585" s="74"/>
      <c r="Y585" s="74"/>
      <c r="Z585" s="74"/>
      <c r="AA585" s="74"/>
      <c r="AB585" s="74"/>
    </row>
    <row r="586" spans="1:28" ht="12" customHeight="1">
      <c r="A586" s="105"/>
      <c r="B586" s="106"/>
      <c r="C586" s="107"/>
      <c r="D586" s="108"/>
      <c r="E586" s="107"/>
      <c r="F586" s="107"/>
      <c r="G586" s="35"/>
      <c r="H586" s="104"/>
      <c r="I586" s="35"/>
      <c r="J586" s="74"/>
      <c r="K586" s="74"/>
      <c r="L586" s="74"/>
      <c r="M586" s="74"/>
      <c r="N586" s="74"/>
      <c r="O586" s="74"/>
      <c r="P586" s="74"/>
      <c r="Q586" s="74"/>
      <c r="R586" s="74"/>
      <c r="S586" s="74"/>
      <c r="T586" s="74"/>
      <c r="U586" s="74"/>
      <c r="V586" s="74"/>
      <c r="W586" s="74"/>
      <c r="X586" s="74"/>
      <c r="Y586" s="74"/>
      <c r="Z586" s="74"/>
      <c r="AA586" s="74"/>
      <c r="AB586" s="74"/>
    </row>
    <row r="587" spans="1:28" ht="12" customHeight="1">
      <c r="A587" s="105"/>
      <c r="B587" s="106"/>
      <c r="C587" s="107"/>
      <c r="D587" s="108"/>
      <c r="E587" s="107"/>
      <c r="F587" s="107"/>
      <c r="G587" s="35"/>
      <c r="H587" s="104"/>
      <c r="I587" s="35"/>
      <c r="J587" s="74"/>
      <c r="K587" s="74"/>
      <c r="L587" s="74"/>
      <c r="M587" s="74"/>
      <c r="N587" s="74"/>
      <c r="O587" s="74"/>
      <c r="P587" s="74"/>
      <c r="Q587" s="74"/>
      <c r="R587" s="74"/>
      <c r="S587" s="74"/>
      <c r="T587" s="74"/>
      <c r="U587" s="74"/>
      <c r="V587" s="74"/>
      <c r="W587" s="74"/>
      <c r="X587" s="74"/>
      <c r="Y587" s="74"/>
      <c r="Z587" s="74"/>
      <c r="AA587" s="74"/>
      <c r="AB587" s="74"/>
    </row>
    <row r="588" spans="1:28" ht="12" customHeight="1">
      <c r="A588" s="105"/>
      <c r="B588" s="106"/>
      <c r="C588" s="107"/>
      <c r="D588" s="108"/>
      <c r="E588" s="107"/>
      <c r="F588" s="107"/>
      <c r="G588" s="35"/>
      <c r="H588" s="104"/>
      <c r="I588" s="35"/>
      <c r="J588" s="74"/>
      <c r="K588" s="74"/>
      <c r="L588" s="74"/>
      <c r="M588" s="74"/>
      <c r="N588" s="74"/>
      <c r="O588" s="74"/>
      <c r="P588" s="74"/>
      <c r="Q588" s="74"/>
      <c r="R588" s="74"/>
      <c r="S588" s="74"/>
      <c r="T588" s="74"/>
      <c r="U588" s="74"/>
      <c r="V588" s="74"/>
      <c r="W588" s="74"/>
      <c r="X588" s="74"/>
      <c r="Y588" s="74"/>
      <c r="Z588" s="74"/>
      <c r="AA588" s="74"/>
      <c r="AB588" s="74"/>
    </row>
    <row r="589" spans="1:28" ht="12" customHeight="1">
      <c r="A589" s="105"/>
      <c r="B589" s="106"/>
      <c r="C589" s="107"/>
      <c r="D589" s="108"/>
      <c r="E589" s="107"/>
      <c r="F589" s="107"/>
      <c r="G589" s="35"/>
      <c r="H589" s="104"/>
      <c r="I589" s="35"/>
      <c r="J589" s="74"/>
      <c r="K589" s="74"/>
      <c r="L589" s="74"/>
      <c r="M589" s="74"/>
      <c r="N589" s="74"/>
      <c r="O589" s="74"/>
      <c r="P589" s="74"/>
      <c r="Q589" s="74"/>
      <c r="R589" s="74"/>
      <c r="S589" s="74"/>
      <c r="T589" s="74"/>
      <c r="U589" s="74"/>
      <c r="V589" s="74"/>
      <c r="W589" s="74"/>
      <c r="X589" s="74"/>
      <c r="Y589" s="74"/>
      <c r="Z589" s="74"/>
      <c r="AA589" s="74"/>
      <c r="AB589" s="74"/>
    </row>
    <row r="590" spans="1:28" ht="12" customHeight="1">
      <c r="A590" s="105"/>
      <c r="B590" s="106"/>
      <c r="C590" s="107"/>
      <c r="D590" s="108"/>
      <c r="E590" s="107"/>
      <c r="F590" s="107"/>
      <c r="G590" s="35"/>
      <c r="H590" s="104"/>
      <c r="I590" s="35"/>
      <c r="J590" s="74"/>
      <c r="K590" s="74"/>
      <c r="L590" s="74"/>
      <c r="M590" s="74"/>
      <c r="N590" s="74"/>
      <c r="O590" s="74"/>
      <c r="P590" s="74"/>
      <c r="Q590" s="74"/>
      <c r="R590" s="74"/>
      <c r="S590" s="74"/>
      <c r="T590" s="74"/>
      <c r="U590" s="74"/>
      <c r="V590" s="74"/>
      <c r="W590" s="74"/>
      <c r="X590" s="74"/>
      <c r="Y590" s="74"/>
      <c r="Z590" s="74"/>
      <c r="AA590" s="74"/>
      <c r="AB590" s="74"/>
    </row>
    <row r="591" spans="1:28" ht="12" customHeight="1">
      <c r="A591" s="105"/>
      <c r="B591" s="106"/>
      <c r="C591" s="107"/>
      <c r="D591" s="108"/>
      <c r="E591" s="107"/>
      <c r="F591" s="107"/>
      <c r="G591" s="35"/>
      <c r="H591" s="104"/>
      <c r="I591" s="35"/>
      <c r="J591" s="74"/>
      <c r="K591" s="74"/>
      <c r="L591" s="74"/>
      <c r="M591" s="74"/>
      <c r="N591" s="74"/>
      <c r="O591" s="74"/>
      <c r="P591" s="74"/>
      <c r="Q591" s="74"/>
      <c r="R591" s="74"/>
      <c r="S591" s="74"/>
      <c r="T591" s="74"/>
      <c r="U591" s="74"/>
      <c r="V591" s="74"/>
      <c r="W591" s="74"/>
      <c r="X591" s="74"/>
      <c r="Y591" s="74"/>
      <c r="Z591" s="74"/>
      <c r="AA591" s="74"/>
      <c r="AB591" s="74"/>
    </row>
    <row r="592" spans="1:28" ht="12" customHeight="1">
      <c r="A592" s="105"/>
      <c r="B592" s="106"/>
      <c r="C592" s="107"/>
      <c r="D592" s="108"/>
      <c r="E592" s="107"/>
      <c r="F592" s="107"/>
      <c r="G592" s="35"/>
      <c r="H592" s="104"/>
      <c r="I592" s="35"/>
      <c r="J592" s="74"/>
      <c r="K592" s="74"/>
      <c r="L592" s="74"/>
      <c r="M592" s="74"/>
      <c r="N592" s="74"/>
      <c r="O592" s="74"/>
      <c r="P592" s="74"/>
      <c r="Q592" s="74"/>
      <c r="R592" s="74"/>
      <c r="S592" s="74"/>
      <c r="T592" s="74"/>
      <c r="U592" s="74"/>
      <c r="V592" s="74"/>
      <c r="W592" s="74"/>
      <c r="X592" s="74"/>
      <c r="Y592" s="74"/>
      <c r="Z592" s="74"/>
      <c r="AA592" s="74"/>
      <c r="AB592" s="74"/>
    </row>
    <row r="593" spans="1:28" ht="12" customHeight="1">
      <c r="A593" s="105"/>
      <c r="B593" s="106"/>
      <c r="C593" s="107"/>
      <c r="D593" s="108"/>
      <c r="E593" s="107"/>
      <c r="F593" s="107"/>
      <c r="G593" s="35"/>
      <c r="H593" s="104"/>
      <c r="I593" s="35"/>
      <c r="J593" s="74"/>
      <c r="K593" s="74"/>
      <c r="L593" s="74"/>
      <c r="M593" s="74"/>
      <c r="N593" s="74"/>
      <c r="O593" s="74"/>
      <c r="P593" s="74"/>
      <c r="Q593" s="74"/>
      <c r="R593" s="74"/>
      <c r="S593" s="74"/>
      <c r="T593" s="74"/>
      <c r="U593" s="74"/>
      <c r="V593" s="74"/>
      <c r="W593" s="74"/>
      <c r="X593" s="74"/>
      <c r="Y593" s="74"/>
      <c r="Z593" s="74"/>
      <c r="AA593" s="74"/>
      <c r="AB593" s="74"/>
    </row>
    <row r="594" spans="1:28" ht="12" customHeight="1">
      <c r="A594" s="105"/>
      <c r="B594" s="106"/>
      <c r="C594" s="107"/>
      <c r="D594" s="108"/>
      <c r="E594" s="107"/>
      <c r="F594" s="107"/>
      <c r="G594" s="35"/>
      <c r="H594" s="104"/>
      <c r="I594" s="35"/>
      <c r="J594" s="74"/>
      <c r="K594" s="74"/>
      <c r="L594" s="74"/>
      <c r="M594" s="74"/>
      <c r="N594" s="74"/>
      <c r="O594" s="74"/>
      <c r="P594" s="74"/>
      <c r="Q594" s="74"/>
      <c r="R594" s="74"/>
      <c r="S594" s="74"/>
      <c r="T594" s="74"/>
      <c r="U594" s="74"/>
      <c r="V594" s="74"/>
      <c r="W594" s="74"/>
      <c r="X594" s="74"/>
      <c r="Y594" s="74"/>
      <c r="Z594" s="74"/>
      <c r="AA594" s="74"/>
      <c r="AB594" s="74"/>
    </row>
    <row r="595" spans="1:28" ht="12" customHeight="1">
      <c r="A595" s="105"/>
      <c r="B595" s="106"/>
      <c r="C595" s="107"/>
      <c r="D595" s="108"/>
      <c r="E595" s="107"/>
      <c r="F595" s="107"/>
      <c r="G595" s="35"/>
      <c r="H595" s="104"/>
      <c r="I595" s="35"/>
      <c r="J595" s="74"/>
      <c r="K595" s="74"/>
      <c r="L595" s="74"/>
      <c r="M595" s="74"/>
      <c r="N595" s="74"/>
      <c r="O595" s="74"/>
      <c r="P595" s="74"/>
      <c r="Q595" s="74"/>
      <c r="R595" s="74"/>
      <c r="S595" s="74"/>
      <c r="T595" s="74"/>
      <c r="U595" s="74"/>
      <c r="V595" s="74"/>
      <c r="W595" s="74"/>
      <c r="X595" s="74"/>
      <c r="Y595" s="74"/>
      <c r="Z595" s="74"/>
      <c r="AA595" s="74"/>
      <c r="AB595" s="74"/>
    </row>
    <row r="596" spans="1:28" ht="12" customHeight="1">
      <c r="A596" s="105"/>
      <c r="B596" s="106"/>
      <c r="C596" s="107"/>
      <c r="D596" s="108"/>
      <c r="E596" s="107"/>
      <c r="F596" s="107"/>
      <c r="G596" s="35"/>
      <c r="H596" s="104"/>
      <c r="I596" s="35"/>
      <c r="J596" s="74"/>
      <c r="K596" s="74"/>
      <c r="L596" s="74"/>
      <c r="M596" s="74"/>
      <c r="N596" s="74"/>
      <c r="O596" s="74"/>
      <c r="P596" s="74"/>
      <c r="Q596" s="74"/>
      <c r="R596" s="74"/>
      <c r="S596" s="74"/>
      <c r="T596" s="74"/>
      <c r="U596" s="74"/>
      <c r="V596" s="74"/>
      <c r="W596" s="74"/>
      <c r="X596" s="74"/>
      <c r="Y596" s="74"/>
      <c r="Z596" s="74"/>
      <c r="AA596" s="74"/>
      <c r="AB596" s="74"/>
    </row>
    <row r="597" spans="1:28" ht="12" customHeight="1">
      <c r="A597" s="105"/>
      <c r="B597" s="106"/>
      <c r="C597" s="107"/>
      <c r="D597" s="108"/>
      <c r="E597" s="107"/>
      <c r="F597" s="107"/>
      <c r="G597" s="35"/>
      <c r="H597" s="104"/>
      <c r="I597" s="35"/>
      <c r="J597" s="74"/>
      <c r="K597" s="74"/>
      <c r="L597" s="74"/>
      <c r="M597" s="74"/>
      <c r="N597" s="74"/>
      <c r="O597" s="74"/>
      <c r="P597" s="74"/>
      <c r="Q597" s="74"/>
      <c r="R597" s="74"/>
      <c r="S597" s="74"/>
      <c r="T597" s="74"/>
      <c r="U597" s="74"/>
      <c r="V597" s="74"/>
      <c r="W597" s="74"/>
      <c r="X597" s="74"/>
      <c r="Y597" s="74"/>
      <c r="Z597" s="74"/>
      <c r="AA597" s="74"/>
      <c r="AB597" s="74"/>
    </row>
    <row r="598" spans="1:28" ht="12" customHeight="1">
      <c r="A598" s="105"/>
      <c r="B598" s="106"/>
      <c r="C598" s="107"/>
      <c r="D598" s="108"/>
      <c r="E598" s="107"/>
      <c r="F598" s="107"/>
      <c r="G598" s="35"/>
      <c r="H598" s="104"/>
      <c r="I598" s="35"/>
      <c r="J598" s="74"/>
      <c r="K598" s="74"/>
      <c r="L598" s="74"/>
      <c r="M598" s="74"/>
      <c r="N598" s="74"/>
      <c r="O598" s="74"/>
      <c r="P598" s="74"/>
      <c r="Q598" s="74"/>
      <c r="R598" s="74"/>
      <c r="S598" s="74"/>
      <c r="T598" s="74"/>
      <c r="U598" s="74"/>
      <c r="V598" s="74"/>
      <c r="W598" s="74"/>
      <c r="X598" s="74"/>
      <c r="Y598" s="74"/>
      <c r="Z598" s="74"/>
      <c r="AA598" s="74"/>
      <c r="AB598" s="74"/>
    </row>
    <row r="599" spans="1:28" ht="12" customHeight="1">
      <c r="A599" s="105"/>
      <c r="B599" s="106"/>
      <c r="C599" s="107"/>
      <c r="D599" s="108"/>
      <c r="E599" s="107"/>
      <c r="F599" s="107"/>
      <c r="G599" s="35"/>
      <c r="H599" s="104"/>
      <c r="I599" s="35"/>
      <c r="J599" s="74"/>
      <c r="K599" s="74"/>
      <c r="L599" s="74"/>
      <c r="M599" s="74"/>
      <c r="N599" s="74"/>
      <c r="O599" s="74"/>
      <c r="P599" s="74"/>
      <c r="Q599" s="74"/>
      <c r="R599" s="74"/>
      <c r="S599" s="74"/>
      <c r="T599" s="74"/>
      <c r="U599" s="74"/>
      <c r="V599" s="74"/>
      <c r="W599" s="74"/>
      <c r="X599" s="74"/>
      <c r="Y599" s="74"/>
      <c r="Z599" s="74"/>
      <c r="AA599" s="74"/>
      <c r="AB599" s="74"/>
    </row>
    <row r="600" spans="1:28" ht="12" customHeight="1">
      <c r="A600" s="105"/>
      <c r="B600" s="106"/>
      <c r="C600" s="107"/>
      <c r="D600" s="108"/>
      <c r="E600" s="107"/>
      <c r="F600" s="107"/>
      <c r="G600" s="35"/>
      <c r="H600" s="104"/>
      <c r="I600" s="35"/>
      <c r="J600" s="74"/>
      <c r="K600" s="74"/>
      <c r="L600" s="74"/>
      <c r="M600" s="74"/>
      <c r="N600" s="74"/>
      <c r="O600" s="74"/>
      <c r="P600" s="74"/>
      <c r="Q600" s="74"/>
      <c r="R600" s="74"/>
      <c r="S600" s="74"/>
      <c r="T600" s="74"/>
      <c r="U600" s="74"/>
      <c r="V600" s="74"/>
      <c r="W600" s="74"/>
      <c r="X600" s="74"/>
      <c r="Y600" s="74"/>
      <c r="Z600" s="74"/>
      <c r="AA600" s="74"/>
      <c r="AB600" s="74"/>
    </row>
    <row r="601" spans="1:28" ht="12" customHeight="1">
      <c r="A601" s="105"/>
      <c r="B601" s="106"/>
      <c r="C601" s="107"/>
      <c r="D601" s="108"/>
      <c r="E601" s="107"/>
      <c r="F601" s="107"/>
      <c r="G601" s="35"/>
      <c r="H601" s="104"/>
      <c r="I601" s="35"/>
      <c r="J601" s="74"/>
      <c r="K601" s="74"/>
      <c r="L601" s="74"/>
      <c r="M601" s="74"/>
      <c r="N601" s="74"/>
      <c r="O601" s="74"/>
      <c r="P601" s="74"/>
      <c r="Q601" s="74"/>
      <c r="R601" s="74"/>
      <c r="S601" s="74"/>
      <c r="T601" s="74"/>
      <c r="U601" s="74"/>
      <c r="V601" s="74"/>
      <c r="W601" s="74"/>
      <c r="X601" s="74"/>
      <c r="Y601" s="74"/>
      <c r="Z601" s="74"/>
      <c r="AA601" s="74"/>
      <c r="AB601" s="74"/>
    </row>
    <row r="602" spans="1:28" ht="12" customHeight="1">
      <c r="A602" s="105"/>
      <c r="B602" s="106"/>
      <c r="C602" s="107"/>
      <c r="D602" s="108"/>
      <c r="E602" s="107"/>
      <c r="F602" s="107"/>
      <c r="G602" s="35"/>
      <c r="H602" s="104"/>
      <c r="I602" s="35"/>
      <c r="J602" s="74"/>
      <c r="K602" s="74"/>
      <c r="L602" s="74"/>
      <c r="M602" s="74"/>
      <c r="N602" s="74"/>
      <c r="O602" s="74"/>
      <c r="P602" s="74"/>
      <c r="Q602" s="74"/>
      <c r="R602" s="74"/>
      <c r="S602" s="74"/>
      <c r="T602" s="74"/>
      <c r="U602" s="74"/>
      <c r="V602" s="74"/>
      <c r="W602" s="74"/>
      <c r="X602" s="74"/>
      <c r="Y602" s="74"/>
      <c r="Z602" s="74"/>
      <c r="AA602" s="74"/>
      <c r="AB602" s="74"/>
    </row>
    <row r="603" spans="1:28" ht="12" customHeight="1">
      <c r="A603" s="105"/>
      <c r="B603" s="106"/>
      <c r="C603" s="107"/>
      <c r="D603" s="108"/>
      <c r="E603" s="107"/>
      <c r="F603" s="107"/>
      <c r="G603" s="35"/>
      <c r="H603" s="104"/>
      <c r="I603" s="35"/>
      <c r="J603" s="74"/>
      <c r="K603" s="74"/>
      <c r="L603" s="74"/>
      <c r="M603" s="74"/>
      <c r="N603" s="74"/>
      <c r="O603" s="74"/>
      <c r="P603" s="74"/>
      <c r="Q603" s="74"/>
      <c r="R603" s="74"/>
      <c r="S603" s="74"/>
      <c r="T603" s="74"/>
      <c r="U603" s="74"/>
      <c r="V603" s="74"/>
      <c r="W603" s="74"/>
      <c r="X603" s="74"/>
      <c r="Y603" s="74"/>
      <c r="Z603" s="74"/>
      <c r="AA603" s="74"/>
      <c r="AB603" s="74"/>
    </row>
    <row r="604" spans="1:28" ht="12" customHeight="1">
      <c r="A604" s="105"/>
      <c r="B604" s="106"/>
      <c r="C604" s="107"/>
      <c r="D604" s="108"/>
      <c r="E604" s="107"/>
      <c r="F604" s="107"/>
      <c r="G604" s="35"/>
      <c r="H604" s="104"/>
      <c r="I604" s="35"/>
      <c r="J604" s="74"/>
      <c r="K604" s="74"/>
      <c r="L604" s="74"/>
      <c r="M604" s="74"/>
      <c r="N604" s="74"/>
      <c r="O604" s="74"/>
      <c r="P604" s="74"/>
      <c r="Q604" s="74"/>
      <c r="R604" s="74"/>
      <c r="S604" s="74"/>
      <c r="T604" s="74"/>
      <c r="U604" s="74"/>
      <c r="V604" s="74"/>
      <c r="W604" s="74"/>
      <c r="X604" s="74"/>
      <c r="Y604" s="74"/>
      <c r="Z604" s="74"/>
      <c r="AA604" s="74"/>
      <c r="AB604" s="74"/>
    </row>
    <row r="605" spans="1:28" ht="12" customHeight="1">
      <c r="A605" s="105"/>
      <c r="B605" s="106"/>
      <c r="C605" s="107"/>
      <c r="D605" s="108"/>
      <c r="E605" s="107"/>
      <c r="F605" s="107"/>
      <c r="G605" s="35"/>
      <c r="H605" s="104"/>
      <c r="I605" s="35"/>
      <c r="J605" s="74"/>
      <c r="K605" s="74"/>
      <c r="L605" s="74"/>
      <c r="M605" s="74"/>
      <c r="N605" s="74"/>
      <c r="O605" s="74"/>
      <c r="P605" s="74"/>
      <c r="Q605" s="74"/>
      <c r="R605" s="74"/>
      <c r="S605" s="74"/>
      <c r="T605" s="74"/>
      <c r="U605" s="74"/>
      <c r="V605" s="74"/>
      <c r="W605" s="74"/>
      <c r="X605" s="74"/>
      <c r="Y605" s="74"/>
      <c r="Z605" s="74"/>
      <c r="AA605" s="74"/>
      <c r="AB605" s="74"/>
    </row>
    <row r="606" spans="1:28" ht="12" customHeight="1">
      <c r="A606" s="105"/>
      <c r="B606" s="106"/>
      <c r="C606" s="107"/>
      <c r="D606" s="108"/>
      <c r="E606" s="107"/>
      <c r="F606" s="107"/>
      <c r="G606" s="35"/>
      <c r="H606" s="104"/>
      <c r="I606" s="35"/>
      <c r="J606" s="74"/>
      <c r="K606" s="74"/>
      <c r="L606" s="74"/>
      <c r="M606" s="74"/>
      <c r="N606" s="74"/>
      <c r="O606" s="74"/>
      <c r="P606" s="74"/>
      <c r="Q606" s="74"/>
      <c r="R606" s="74"/>
      <c r="S606" s="74"/>
      <c r="T606" s="74"/>
      <c r="U606" s="74"/>
      <c r="V606" s="74"/>
      <c r="W606" s="74"/>
      <c r="X606" s="74"/>
      <c r="Y606" s="74"/>
      <c r="Z606" s="74"/>
      <c r="AA606" s="74"/>
      <c r="AB606" s="74"/>
    </row>
    <row r="607" spans="1:28" ht="12" customHeight="1">
      <c r="A607" s="105"/>
      <c r="B607" s="106"/>
      <c r="C607" s="107"/>
      <c r="D607" s="108"/>
      <c r="E607" s="107"/>
      <c r="F607" s="107"/>
      <c r="G607" s="35"/>
      <c r="H607" s="104"/>
      <c r="I607" s="35"/>
      <c r="J607" s="74"/>
      <c r="K607" s="74"/>
      <c r="L607" s="74"/>
      <c r="M607" s="74"/>
      <c r="N607" s="74"/>
      <c r="O607" s="74"/>
      <c r="P607" s="74"/>
      <c r="Q607" s="74"/>
      <c r="R607" s="74"/>
      <c r="S607" s="74"/>
      <c r="T607" s="74"/>
      <c r="U607" s="74"/>
      <c r="V607" s="74"/>
      <c r="W607" s="74"/>
      <c r="X607" s="74"/>
      <c r="Y607" s="74"/>
      <c r="Z607" s="74"/>
      <c r="AA607" s="74"/>
      <c r="AB607" s="74"/>
    </row>
    <row r="608" spans="1:28" ht="12" customHeight="1">
      <c r="A608" s="105"/>
      <c r="B608" s="106"/>
      <c r="C608" s="107"/>
      <c r="D608" s="108"/>
      <c r="E608" s="107"/>
      <c r="F608" s="107"/>
      <c r="G608" s="35"/>
      <c r="H608" s="104"/>
      <c r="I608" s="35"/>
      <c r="J608" s="74"/>
      <c r="K608" s="74"/>
      <c r="L608" s="74"/>
      <c r="M608" s="74"/>
      <c r="N608" s="74"/>
      <c r="O608" s="74"/>
      <c r="P608" s="74"/>
      <c r="Q608" s="74"/>
      <c r="R608" s="74"/>
      <c r="S608" s="74"/>
      <c r="T608" s="74"/>
      <c r="U608" s="74"/>
      <c r="V608" s="74"/>
      <c r="W608" s="74"/>
      <c r="X608" s="74"/>
      <c r="Y608" s="74"/>
      <c r="Z608" s="74"/>
      <c r="AA608" s="74"/>
      <c r="AB608" s="74"/>
    </row>
    <row r="609" spans="1:28" ht="12" customHeight="1">
      <c r="A609" s="105"/>
      <c r="B609" s="106"/>
      <c r="C609" s="107"/>
      <c r="D609" s="108"/>
      <c r="E609" s="107"/>
      <c r="F609" s="107"/>
      <c r="G609" s="35"/>
      <c r="H609" s="104"/>
      <c r="I609" s="35"/>
      <c r="J609" s="74"/>
      <c r="K609" s="74"/>
      <c r="L609" s="74"/>
      <c r="M609" s="74"/>
      <c r="N609" s="74"/>
      <c r="O609" s="74"/>
      <c r="P609" s="74"/>
      <c r="Q609" s="74"/>
      <c r="R609" s="74"/>
      <c r="S609" s="74"/>
      <c r="T609" s="74"/>
      <c r="U609" s="74"/>
      <c r="V609" s="74"/>
      <c r="W609" s="74"/>
      <c r="X609" s="74"/>
      <c r="Y609" s="74"/>
      <c r="Z609" s="74"/>
      <c r="AA609" s="74"/>
      <c r="AB609" s="74"/>
    </row>
    <row r="610" spans="1:28" ht="12" customHeight="1">
      <c r="A610" s="105"/>
      <c r="B610" s="106"/>
      <c r="C610" s="107"/>
      <c r="D610" s="108"/>
      <c r="E610" s="107"/>
      <c r="F610" s="107"/>
      <c r="G610" s="35"/>
      <c r="H610" s="104"/>
      <c r="I610" s="35"/>
      <c r="J610" s="74"/>
      <c r="K610" s="74"/>
      <c r="L610" s="74"/>
      <c r="M610" s="74"/>
      <c r="N610" s="74"/>
      <c r="O610" s="74"/>
      <c r="P610" s="74"/>
      <c r="Q610" s="74"/>
      <c r="R610" s="74"/>
      <c r="S610" s="74"/>
      <c r="T610" s="74"/>
      <c r="U610" s="74"/>
      <c r="V610" s="74"/>
      <c r="W610" s="74"/>
      <c r="X610" s="74"/>
      <c r="Y610" s="74"/>
      <c r="Z610" s="74"/>
      <c r="AA610" s="74"/>
      <c r="AB610" s="74"/>
    </row>
    <row r="611" spans="1:28" ht="12" customHeight="1">
      <c r="A611" s="105"/>
      <c r="B611" s="106"/>
      <c r="C611" s="107"/>
      <c r="D611" s="108"/>
      <c r="E611" s="107"/>
      <c r="F611" s="107"/>
      <c r="G611" s="35"/>
      <c r="H611" s="104"/>
      <c r="I611" s="35"/>
      <c r="J611" s="74"/>
      <c r="K611" s="74"/>
      <c r="L611" s="74"/>
      <c r="M611" s="74"/>
      <c r="N611" s="74"/>
      <c r="O611" s="74"/>
      <c r="P611" s="74"/>
      <c r="Q611" s="74"/>
      <c r="R611" s="74"/>
      <c r="S611" s="74"/>
      <c r="T611" s="74"/>
      <c r="U611" s="74"/>
      <c r="V611" s="74"/>
      <c r="W611" s="74"/>
      <c r="X611" s="74"/>
      <c r="Y611" s="74"/>
      <c r="Z611" s="74"/>
      <c r="AA611" s="74"/>
      <c r="AB611" s="74"/>
    </row>
    <row r="612" spans="1:28" ht="12" customHeight="1">
      <c r="A612" s="105"/>
      <c r="B612" s="106"/>
      <c r="C612" s="107"/>
      <c r="D612" s="108"/>
      <c r="E612" s="107"/>
      <c r="F612" s="107"/>
      <c r="G612" s="35"/>
      <c r="H612" s="104"/>
      <c r="I612" s="35"/>
      <c r="J612" s="74"/>
      <c r="K612" s="74"/>
      <c r="L612" s="74"/>
      <c r="M612" s="74"/>
      <c r="N612" s="74"/>
      <c r="O612" s="74"/>
      <c r="P612" s="74"/>
      <c r="Q612" s="74"/>
      <c r="R612" s="74"/>
      <c r="S612" s="74"/>
      <c r="T612" s="74"/>
      <c r="U612" s="74"/>
      <c r="V612" s="74"/>
      <c r="W612" s="74"/>
      <c r="X612" s="74"/>
      <c r="Y612" s="74"/>
      <c r="Z612" s="74"/>
      <c r="AA612" s="74"/>
      <c r="AB612" s="74"/>
    </row>
    <row r="613" spans="1:28" ht="12" customHeight="1">
      <c r="A613" s="105"/>
      <c r="B613" s="106"/>
      <c r="C613" s="107"/>
      <c r="D613" s="108"/>
      <c r="E613" s="107"/>
      <c r="F613" s="107"/>
      <c r="G613" s="35"/>
      <c r="H613" s="104"/>
      <c r="I613" s="35"/>
      <c r="J613" s="74"/>
      <c r="K613" s="74"/>
      <c r="L613" s="74"/>
      <c r="M613" s="74"/>
      <c r="N613" s="74"/>
      <c r="O613" s="74"/>
      <c r="P613" s="74"/>
      <c r="Q613" s="74"/>
      <c r="R613" s="74"/>
      <c r="S613" s="74"/>
      <c r="T613" s="74"/>
      <c r="U613" s="74"/>
      <c r="V613" s="74"/>
      <c r="W613" s="74"/>
      <c r="X613" s="74"/>
      <c r="Y613" s="74"/>
      <c r="Z613" s="74"/>
      <c r="AA613" s="74"/>
      <c r="AB613" s="74"/>
    </row>
    <row r="614" spans="1:28" ht="12" customHeight="1">
      <c r="A614" s="105"/>
      <c r="B614" s="106"/>
      <c r="C614" s="107"/>
      <c r="D614" s="108"/>
      <c r="E614" s="107"/>
      <c r="F614" s="107"/>
      <c r="G614" s="35"/>
      <c r="H614" s="104"/>
      <c r="I614" s="35"/>
      <c r="J614" s="74"/>
      <c r="K614" s="74"/>
      <c r="L614" s="74"/>
      <c r="M614" s="74"/>
      <c r="N614" s="74"/>
      <c r="O614" s="74"/>
      <c r="P614" s="74"/>
      <c r="Q614" s="74"/>
      <c r="R614" s="74"/>
      <c r="S614" s="74"/>
      <c r="T614" s="74"/>
      <c r="U614" s="74"/>
      <c r="V614" s="74"/>
      <c r="W614" s="74"/>
      <c r="X614" s="74"/>
      <c r="Y614" s="74"/>
      <c r="Z614" s="74"/>
      <c r="AA614" s="74"/>
      <c r="AB614" s="74"/>
    </row>
    <row r="615" spans="1:28" ht="12" customHeight="1">
      <c r="A615" s="105"/>
      <c r="B615" s="106"/>
      <c r="C615" s="107"/>
      <c r="D615" s="108"/>
      <c r="E615" s="107"/>
      <c r="F615" s="107"/>
      <c r="G615" s="35"/>
      <c r="H615" s="104"/>
      <c r="I615" s="35"/>
      <c r="J615" s="74"/>
      <c r="K615" s="74"/>
      <c r="L615" s="74"/>
      <c r="M615" s="74"/>
      <c r="N615" s="74"/>
      <c r="O615" s="74"/>
      <c r="P615" s="74"/>
      <c r="Q615" s="74"/>
      <c r="R615" s="74"/>
      <c r="S615" s="74"/>
      <c r="T615" s="74"/>
      <c r="U615" s="74"/>
      <c r="V615" s="74"/>
      <c r="W615" s="74"/>
      <c r="X615" s="74"/>
      <c r="Y615" s="74"/>
      <c r="Z615" s="74"/>
      <c r="AA615" s="74"/>
      <c r="AB615" s="74"/>
    </row>
    <row r="616" spans="1:28" ht="12" customHeight="1">
      <c r="A616" s="105"/>
      <c r="B616" s="106"/>
      <c r="C616" s="107"/>
      <c r="D616" s="108"/>
      <c r="E616" s="107"/>
      <c r="F616" s="107"/>
      <c r="G616" s="35"/>
      <c r="H616" s="104"/>
      <c r="I616" s="35"/>
      <c r="J616" s="74"/>
      <c r="K616" s="74"/>
      <c r="L616" s="74"/>
      <c r="M616" s="74"/>
      <c r="N616" s="74"/>
      <c r="O616" s="74"/>
      <c r="P616" s="74"/>
      <c r="Q616" s="74"/>
      <c r="R616" s="74"/>
      <c r="S616" s="74"/>
      <c r="T616" s="74"/>
      <c r="U616" s="74"/>
      <c r="V616" s="74"/>
      <c r="W616" s="74"/>
      <c r="X616" s="74"/>
      <c r="Y616" s="74"/>
      <c r="Z616" s="74"/>
      <c r="AA616" s="74"/>
      <c r="AB616" s="74"/>
    </row>
    <row r="617" spans="1:28" ht="12" customHeight="1">
      <c r="A617" s="105"/>
      <c r="B617" s="106"/>
      <c r="C617" s="107"/>
      <c r="D617" s="108"/>
      <c r="E617" s="107"/>
      <c r="F617" s="107"/>
      <c r="G617" s="35"/>
      <c r="H617" s="104"/>
      <c r="I617" s="35"/>
      <c r="J617" s="74"/>
      <c r="K617" s="74"/>
      <c r="L617" s="74"/>
      <c r="M617" s="74"/>
      <c r="N617" s="74"/>
      <c r="O617" s="74"/>
      <c r="P617" s="74"/>
      <c r="Q617" s="74"/>
      <c r="R617" s="74"/>
      <c r="S617" s="74"/>
      <c r="T617" s="74"/>
      <c r="U617" s="74"/>
      <c r="V617" s="74"/>
      <c r="W617" s="74"/>
      <c r="X617" s="74"/>
      <c r="Y617" s="74"/>
      <c r="Z617" s="74"/>
      <c r="AA617" s="74"/>
      <c r="AB617" s="74"/>
    </row>
    <row r="618" spans="1:28" ht="12" customHeight="1">
      <c r="A618" s="105"/>
      <c r="B618" s="106"/>
      <c r="C618" s="107"/>
      <c r="D618" s="108"/>
      <c r="E618" s="107"/>
      <c r="F618" s="107"/>
      <c r="G618" s="35"/>
      <c r="H618" s="104"/>
      <c r="I618" s="35"/>
      <c r="J618" s="74"/>
      <c r="K618" s="74"/>
      <c r="L618" s="74"/>
      <c r="M618" s="74"/>
      <c r="N618" s="74"/>
      <c r="O618" s="74"/>
      <c r="P618" s="74"/>
      <c r="Q618" s="74"/>
      <c r="R618" s="74"/>
      <c r="S618" s="74"/>
      <c r="T618" s="74"/>
      <c r="U618" s="74"/>
      <c r="V618" s="74"/>
      <c r="W618" s="74"/>
      <c r="X618" s="74"/>
      <c r="Y618" s="74"/>
      <c r="Z618" s="74"/>
      <c r="AA618" s="74"/>
      <c r="AB618" s="74"/>
    </row>
    <row r="619" spans="1:28" ht="12" customHeight="1">
      <c r="A619" s="105"/>
      <c r="B619" s="106"/>
      <c r="C619" s="107"/>
      <c r="D619" s="108"/>
      <c r="E619" s="107"/>
      <c r="F619" s="107"/>
      <c r="G619" s="35"/>
      <c r="H619" s="104"/>
      <c r="I619" s="35"/>
      <c r="J619" s="74"/>
      <c r="K619" s="74"/>
      <c r="L619" s="74"/>
      <c r="M619" s="74"/>
      <c r="N619" s="74"/>
      <c r="O619" s="74"/>
      <c r="P619" s="74"/>
      <c r="Q619" s="74"/>
      <c r="R619" s="74"/>
      <c r="S619" s="74"/>
      <c r="T619" s="74"/>
      <c r="U619" s="74"/>
      <c r="V619" s="74"/>
      <c r="W619" s="74"/>
      <c r="X619" s="74"/>
      <c r="Y619" s="74"/>
      <c r="Z619" s="74"/>
      <c r="AA619" s="74"/>
      <c r="AB619" s="74"/>
    </row>
    <row r="620" spans="1:28" ht="12" customHeight="1">
      <c r="A620" s="105"/>
      <c r="B620" s="106"/>
      <c r="C620" s="107"/>
      <c r="D620" s="108"/>
      <c r="E620" s="107"/>
      <c r="F620" s="107"/>
      <c r="G620" s="35"/>
      <c r="H620" s="104"/>
      <c r="I620" s="35"/>
      <c r="J620" s="74"/>
      <c r="K620" s="74"/>
      <c r="L620" s="74"/>
      <c r="M620" s="74"/>
      <c r="N620" s="74"/>
      <c r="O620" s="74"/>
      <c r="P620" s="74"/>
      <c r="Q620" s="74"/>
      <c r="R620" s="74"/>
      <c r="S620" s="74"/>
      <c r="T620" s="74"/>
      <c r="U620" s="74"/>
      <c r="V620" s="74"/>
      <c r="W620" s="74"/>
      <c r="X620" s="74"/>
      <c r="Y620" s="74"/>
      <c r="Z620" s="74"/>
      <c r="AA620" s="74"/>
      <c r="AB620" s="74"/>
    </row>
    <row r="621" spans="1:28" ht="12" customHeight="1">
      <c r="A621" s="105"/>
      <c r="B621" s="106"/>
      <c r="C621" s="107"/>
      <c r="D621" s="108"/>
      <c r="E621" s="107"/>
      <c r="F621" s="107"/>
      <c r="G621" s="35"/>
      <c r="H621" s="104"/>
      <c r="I621" s="35"/>
      <c r="J621" s="74"/>
      <c r="K621" s="74"/>
      <c r="L621" s="74"/>
      <c r="M621" s="74"/>
      <c r="N621" s="74"/>
      <c r="O621" s="74"/>
      <c r="P621" s="74"/>
      <c r="Q621" s="74"/>
      <c r="R621" s="74"/>
      <c r="S621" s="74"/>
      <c r="T621" s="74"/>
      <c r="U621" s="74"/>
      <c r="V621" s="74"/>
      <c r="W621" s="74"/>
      <c r="X621" s="74"/>
      <c r="Y621" s="74"/>
      <c r="Z621" s="74"/>
      <c r="AA621" s="74"/>
      <c r="AB621" s="74"/>
    </row>
    <row r="622" spans="1:28" ht="12" customHeight="1">
      <c r="A622" s="105"/>
      <c r="B622" s="106"/>
      <c r="C622" s="107"/>
      <c r="D622" s="108"/>
      <c r="E622" s="107"/>
      <c r="F622" s="107"/>
      <c r="G622" s="35"/>
      <c r="H622" s="104"/>
      <c r="I622" s="35"/>
      <c r="J622" s="74"/>
      <c r="K622" s="74"/>
      <c r="L622" s="74"/>
      <c r="M622" s="74"/>
      <c r="N622" s="74"/>
      <c r="O622" s="74"/>
      <c r="P622" s="74"/>
      <c r="Q622" s="74"/>
      <c r="R622" s="74"/>
      <c r="S622" s="74"/>
      <c r="T622" s="74"/>
      <c r="U622" s="74"/>
      <c r="V622" s="74"/>
      <c r="W622" s="74"/>
      <c r="X622" s="74"/>
      <c r="Y622" s="74"/>
      <c r="Z622" s="74"/>
      <c r="AA622" s="74"/>
      <c r="AB622" s="74"/>
    </row>
    <row r="623" spans="1:28" ht="12" customHeight="1">
      <c r="A623" s="105"/>
      <c r="B623" s="106"/>
      <c r="C623" s="107"/>
      <c r="D623" s="108"/>
      <c r="E623" s="107"/>
      <c r="F623" s="107"/>
      <c r="G623" s="35"/>
      <c r="H623" s="104"/>
      <c r="I623" s="35"/>
      <c r="J623" s="74"/>
      <c r="K623" s="74"/>
      <c r="L623" s="74"/>
      <c r="M623" s="74"/>
      <c r="N623" s="74"/>
      <c r="O623" s="74"/>
      <c r="P623" s="74"/>
      <c r="Q623" s="74"/>
      <c r="R623" s="74"/>
      <c r="S623" s="74"/>
      <c r="T623" s="74"/>
      <c r="U623" s="74"/>
      <c r="V623" s="74"/>
      <c r="W623" s="74"/>
      <c r="X623" s="74"/>
      <c r="Y623" s="74"/>
      <c r="Z623" s="74"/>
      <c r="AA623" s="74"/>
      <c r="AB623" s="74"/>
    </row>
    <row r="624" spans="1:28" ht="12" customHeight="1">
      <c r="A624" s="105"/>
      <c r="B624" s="106"/>
      <c r="C624" s="107"/>
      <c r="D624" s="108"/>
      <c r="E624" s="107"/>
      <c r="F624" s="107"/>
      <c r="G624" s="35"/>
      <c r="H624" s="104"/>
      <c r="I624" s="35"/>
      <c r="J624" s="74"/>
      <c r="K624" s="74"/>
      <c r="L624" s="74"/>
      <c r="M624" s="74"/>
      <c r="N624" s="74"/>
      <c r="O624" s="74"/>
      <c r="P624" s="74"/>
      <c r="Q624" s="74"/>
      <c r="R624" s="74"/>
      <c r="S624" s="74"/>
      <c r="T624" s="74"/>
      <c r="U624" s="74"/>
      <c r="V624" s="74"/>
      <c r="W624" s="74"/>
      <c r="X624" s="74"/>
      <c r="Y624" s="74"/>
      <c r="Z624" s="74"/>
      <c r="AA624" s="74"/>
      <c r="AB624" s="74"/>
    </row>
    <row r="625" spans="1:28" ht="12" customHeight="1">
      <c r="A625" s="105"/>
      <c r="B625" s="106"/>
      <c r="C625" s="107"/>
      <c r="D625" s="108"/>
      <c r="E625" s="107"/>
      <c r="F625" s="107"/>
      <c r="G625" s="35"/>
      <c r="H625" s="104"/>
      <c r="I625" s="35"/>
      <c r="J625" s="74"/>
      <c r="K625" s="74"/>
      <c r="L625" s="74"/>
      <c r="M625" s="74"/>
      <c r="N625" s="74"/>
      <c r="O625" s="74"/>
      <c r="P625" s="74"/>
      <c r="Q625" s="74"/>
      <c r="R625" s="74"/>
      <c r="S625" s="74"/>
      <c r="T625" s="74"/>
      <c r="U625" s="74"/>
      <c r="V625" s="74"/>
      <c r="W625" s="74"/>
      <c r="X625" s="74"/>
      <c r="Y625" s="74"/>
      <c r="Z625" s="74"/>
      <c r="AA625" s="74"/>
      <c r="AB625" s="74"/>
    </row>
    <row r="626" spans="1:28" ht="12" customHeight="1">
      <c r="A626" s="105"/>
      <c r="B626" s="106"/>
      <c r="C626" s="107"/>
      <c r="D626" s="108"/>
      <c r="E626" s="107"/>
      <c r="F626" s="107"/>
      <c r="G626" s="35"/>
      <c r="H626" s="104"/>
      <c r="I626" s="35"/>
      <c r="J626" s="74"/>
      <c r="K626" s="74"/>
      <c r="L626" s="74"/>
      <c r="M626" s="74"/>
      <c r="N626" s="74"/>
      <c r="O626" s="74"/>
      <c r="P626" s="74"/>
      <c r="Q626" s="74"/>
      <c r="R626" s="74"/>
      <c r="S626" s="74"/>
      <c r="T626" s="74"/>
      <c r="U626" s="74"/>
      <c r="V626" s="74"/>
      <c r="W626" s="74"/>
      <c r="X626" s="74"/>
      <c r="Y626" s="74"/>
      <c r="Z626" s="74"/>
      <c r="AA626" s="74"/>
      <c r="AB626" s="74"/>
    </row>
    <row r="627" spans="1:28" ht="12" customHeight="1">
      <c r="A627" s="105"/>
      <c r="B627" s="106"/>
      <c r="C627" s="107"/>
      <c r="D627" s="108"/>
      <c r="E627" s="107"/>
      <c r="F627" s="107"/>
      <c r="G627" s="35"/>
      <c r="H627" s="104"/>
      <c r="I627" s="35"/>
      <c r="J627" s="74"/>
      <c r="K627" s="74"/>
      <c r="L627" s="74"/>
      <c r="M627" s="74"/>
      <c r="N627" s="74"/>
      <c r="O627" s="74"/>
      <c r="P627" s="74"/>
      <c r="Q627" s="74"/>
      <c r="R627" s="74"/>
      <c r="S627" s="74"/>
      <c r="T627" s="74"/>
      <c r="U627" s="74"/>
      <c r="V627" s="74"/>
      <c r="W627" s="74"/>
      <c r="X627" s="74"/>
      <c r="Y627" s="74"/>
      <c r="Z627" s="74"/>
      <c r="AA627" s="74"/>
      <c r="AB627" s="74"/>
    </row>
    <row r="628" spans="1:28" ht="12" customHeight="1">
      <c r="A628" s="105"/>
      <c r="B628" s="106"/>
      <c r="C628" s="107"/>
      <c r="D628" s="108"/>
      <c r="E628" s="107"/>
      <c r="F628" s="107"/>
      <c r="G628" s="35"/>
      <c r="H628" s="104"/>
      <c r="I628" s="35"/>
      <c r="J628" s="74"/>
      <c r="K628" s="74"/>
      <c r="L628" s="74"/>
      <c r="M628" s="74"/>
      <c r="N628" s="74"/>
      <c r="O628" s="74"/>
      <c r="P628" s="74"/>
      <c r="Q628" s="74"/>
      <c r="R628" s="74"/>
      <c r="S628" s="74"/>
      <c r="T628" s="74"/>
      <c r="U628" s="74"/>
      <c r="V628" s="74"/>
      <c r="W628" s="74"/>
      <c r="X628" s="74"/>
      <c r="Y628" s="74"/>
      <c r="Z628" s="74"/>
      <c r="AA628" s="74"/>
      <c r="AB628" s="74"/>
    </row>
    <row r="629" spans="1:28" ht="12" customHeight="1">
      <c r="A629" s="105"/>
      <c r="B629" s="106"/>
      <c r="C629" s="107"/>
      <c r="D629" s="108"/>
      <c r="E629" s="107"/>
      <c r="F629" s="107"/>
      <c r="G629" s="35"/>
      <c r="H629" s="104"/>
      <c r="I629" s="35"/>
      <c r="J629" s="74"/>
      <c r="K629" s="74"/>
      <c r="L629" s="74"/>
      <c r="M629" s="74"/>
      <c r="N629" s="74"/>
      <c r="O629" s="74"/>
      <c r="P629" s="74"/>
      <c r="Q629" s="74"/>
      <c r="R629" s="74"/>
      <c r="S629" s="74"/>
      <c r="T629" s="74"/>
      <c r="U629" s="74"/>
      <c r="V629" s="74"/>
      <c r="W629" s="74"/>
      <c r="X629" s="74"/>
      <c r="Y629" s="74"/>
      <c r="Z629" s="74"/>
      <c r="AA629" s="74"/>
      <c r="AB629" s="74"/>
    </row>
    <row r="630" spans="1:28" ht="12" customHeight="1">
      <c r="A630" s="105"/>
      <c r="B630" s="106"/>
      <c r="C630" s="107"/>
      <c r="D630" s="108"/>
      <c r="E630" s="107"/>
      <c r="F630" s="107"/>
      <c r="G630" s="35"/>
      <c r="H630" s="104"/>
      <c r="I630" s="35"/>
      <c r="J630" s="74"/>
      <c r="K630" s="74"/>
      <c r="L630" s="74"/>
      <c r="M630" s="74"/>
      <c r="N630" s="74"/>
      <c r="O630" s="74"/>
      <c r="P630" s="74"/>
      <c r="Q630" s="74"/>
      <c r="R630" s="74"/>
      <c r="S630" s="74"/>
      <c r="T630" s="74"/>
      <c r="U630" s="74"/>
      <c r="V630" s="74"/>
      <c r="W630" s="74"/>
      <c r="X630" s="74"/>
      <c r="Y630" s="74"/>
      <c r="Z630" s="74"/>
      <c r="AA630" s="74"/>
      <c r="AB630" s="74"/>
    </row>
    <row r="631" spans="1:28" ht="12" customHeight="1">
      <c r="A631" s="105"/>
      <c r="B631" s="106"/>
      <c r="C631" s="107"/>
      <c r="D631" s="108"/>
      <c r="E631" s="107"/>
      <c r="F631" s="107"/>
      <c r="G631" s="35"/>
      <c r="H631" s="104"/>
      <c r="I631" s="35"/>
      <c r="J631" s="74"/>
      <c r="K631" s="74"/>
      <c r="L631" s="74"/>
      <c r="M631" s="74"/>
      <c r="N631" s="74"/>
      <c r="O631" s="74"/>
      <c r="P631" s="74"/>
      <c r="Q631" s="74"/>
      <c r="R631" s="74"/>
      <c r="S631" s="74"/>
      <c r="T631" s="74"/>
      <c r="U631" s="74"/>
      <c r="V631" s="74"/>
      <c r="W631" s="74"/>
      <c r="X631" s="74"/>
      <c r="Y631" s="74"/>
      <c r="Z631" s="74"/>
      <c r="AA631" s="74"/>
      <c r="AB631" s="74"/>
    </row>
    <row r="632" spans="1:28" ht="12" customHeight="1">
      <c r="A632" s="105"/>
      <c r="B632" s="106"/>
      <c r="C632" s="107"/>
      <c r="D632" s="108"/>
      <c r="E632" s="107"/>
      <c r="F632" s="107"/>
      <c r="G632" s="35"/>
      <c r="H632" s="104"/>
      <c r="I632" s="35"/>
      <c r="J632" s="74"/>
      <c r="K632" s="74"/>
      <c r="L632" s="74"/>
      <c r="M632" s="74"/>
      <c r="N632" s="74"/>
      <c r="O632" s="74"/>
      <c r="P632" s="74"/>
      <c r="Q632" s="74"/>
      <c r="R632" s="74"/>
      <c r="S632" s="74"/>
      <c r="T632" s="74"/>
      <c r="U632" s="74"/>
      <c r="V632" s="74"/>
      <c r="W632" s="74"/>
      <c r="X632" s="74"/>
      <c r="Y632" s="74"/>
      <c r="Z632" s="74"/>
      <c r="AA632" s="74"/>
      <c r="AB632" s="74"/>
    </row>
    <row r="633" spans="1:28" ht="12" customHeight="1">
      <c r="A633" s="105"/>
      <c r="B633" s="106"/>
      <c r="C633" s="107"/>
      <c r="D633" s="108"/>
      <c r="E633" s="107"/>
      <c r="F633" s="107"/>
      <c r="G633" s="35"/>
      <c r="H633" s="104"/>
      <c r="I633" s="35"/>
      <c r="J633" s="74"/>
      <c r="K633" s="74"/>
      <c r="L633" s="74"/>
      <c r="M633" s="74"/>
      <c r="N633" s="74"/>
      <c r="O633" s="74"/>
      <c r="P633" s="74"/>
      <c r="Q633" s="74"/>
      <c r="R633" s="74"/>
      <c r="S633" s="74"/>
      <c r="T633" s="74"/>
      <c r="U633" s="74"/>
      <c r="V633" s="74"/>
      <c r="W633" s="74"/>
      <c r="X633" s="74"/>
      <c r="Y633" s="74"/>
      <c r="Z633" s="74"/>
      <c r="AA633" s="74"/>
      <c r="AB633" s="74"/>
    </row>
    <row r="634" spans="1:28" ht="12" customHeight="1">
      <c r="A634" s="105"/>
      <c r="B634" s="106"/>
      <c r="C634" s="107"/>
      <c r="D634" s="108"/>
      <c r="E634" s="107"/>
      <c r="F634" s="107"/>
      <c r="G634" s="35"/>
      <c r="H634" s="104"/>
      <c r="I634" s="35"/>
      <c r="J634" s="74"/>
      <c r="K634" s="74"/>
      <c r="L634" s="74"/>
      <c r="M634" s="74"/>
      <c r="N634" s="74"/>
      <c r="O634" s="74"/>
      <c r="P634" s="74"/>
      <c r="Q634" s="74"/>
      <c r="R634" s="74"/>
      <c r="S634" s="74"/>
      <c r="T634" s="74"/>
      <c r="U634" s="74"/>
      <c r="V634" s="74"/>
      <c r="W634" s="74"/>
      <c r="X634" s="74"/>
      <c r="Y634" s="74"/>
      <c r="Z634" s="74"/>
      <c r="AA634" s="74"/>
      <c r="AB634" s="74"/>
    </row>
    <row r="635" spans="1:28" ht="12" customHeight="1">
      <c r="A635" s="105"/>
      <c r="B635" s="106"/>
      <c r="C635" s="107"/>
      <c r="D635" s="108"/>
      <c r="E635" s="107"/>
      <c r="F635" s="107"/>
      <c r="G635" s="35"/>
      <c r="H635" s="104"/>
      <c r="I635" s="35"/>
      <c r="J635" s="74"/>
      <c r="K635" s="74"/>
      <c r="L635" s="74"/>
      <c r="M635" s="74"/>
      <c r="N635" s="74"/>
      <c r="O635" s="74"/>
      <c r="P635" s="74"/>
      <c r="Q635" s="74"/>
      <c r="R635" s="74"/>
      <c r="S635" s="74"/>
      <c r="T635" s="74"/>
      <c r="U635" s="74"/>
      <c r="V635" s="74"/>
      <c r="W635" s="74"/>
      <c r="X635" s="74"/>
      <c r="Y635" s="74"/>
      <c r="Z635" s="74"/>
      <c r="AA635" s="74"/>
      <c r="AB635" s="74"/>
    </row>
    <row r="636" spans="1:28" ht="12" customHeight="1">
      <c r="A636" s="105"/>
      <c r="B636" s="106"/>
      <c r="C636" s="107"/>
      <c r="D636" s="108"/>
      <c r="E636" s="107"/>
      <c r="F636" s="107"/>
      <c r="G636" s="35"/>
      <c r="H636" s="104"/>
      <c r="I636" s="35"/>
      <c r="J636" s="74"/>
      <c r="K636" s="74"/>
      <c r="L636" s="74"/>
      <c r="M636" s="74"/>
      <c r="N636" s="74"/>
      <c r="O636" s="74"/>
      <c r="P636" s="74"/>
      <c r="Q636" s="74"/>
      <c r="R636" s="74"/>
      <c r="S636" s="74"/>
      <c r="T636" s="74"/>
      <c r="U636" s="74"/>
      <c r="V636" s="74"/>
      <c r="W636" s="74"/>
      <c r="X636" s="74"/>
      <c r="Y636" s="74"/>
      <c r="Z636" s="74"/>
      <c r="AA636" s="74"/>
      <c r="AB636" s="74"/>
    </row>
    <row r="637" spans="1:28" ht="12" customHeight="1">
      <c r="A637" s="105"/>
      <c r="B637" s="106"/>
      <c r="C637" s="107"/>
      <c r="D637" s="108"/>
      <c r="E637" s="107"/>
      <c r="F637" s="107"/>
      <c r="G637" s="35"/>
      <c r="H637" s="104"/>
      <c r="I637" s="35"/>
      <c r="J637" s="74"/>
      <c r="K637" s="74"/>
      <c r="L637" s="74"/>
      <c r="M637" s="74"/>
      <c r="N637" s="74"/>
      <c r="O637" s="74"/>
      <c r="P637" s="74"/>
      <c r="Q637" s="74"/>
      <c r="R637" s="74"/>
      <c r="S637" s="74"/>
      <c r="T637" s="74"/>
      <c r="U637" s="74"/>
      <c r="V637" s="74"/>
      <c r="W637" s="74"/>
      <c r="X637" s="74"/>
      <c r="Y637" s="74"/>
      <c r="Z637" s="74"/>
      <c r="AA637" s="74"/>
      <c r="AB637" s="74"/>
    </row>
    <row r="638" spans="1:28" ht="12" customHeight="1">
      <c r="A638" s="105"/>
      <c r="B638" s="106"/>
      <c r="C638" s="107"/>
      <c r="D638" s="108"/>
      <c r="E638" s="107"/>
      <c r="F638" s="107"/>
      <c r="G638" s="35"/>
      <c r="H638" s="104"/>
      <c r="I638" s="35"/>
      <c r="J638" s="74"/>
      <c r="K638" s="74"/>
      <c r="L638" s="74"/>
      <c r="M638" s="74"/>
      <c r="N638" s="74"/>
      <c r="O638" s="74"/>
      <c r="P638" s="74"/>
      <c r="Q638" s="74"/>
      <c r="R638" s="74"/>
      <c r="S638" s="74"/>
      <c r="T638" s="74"/>
      <c r="U638" s="74"/>
      <c r="V638" s="74"/>
      <c r="W638" s="74"/>
      <c r="X638" s="74"/>
      <c r="Y638" s="74"/>
      <c r="Z638" s="74"/>
      <c r="AA638" s="74"/>
      <c r="AB638" s="74"/>
    </row>
    <row r="639" spans="1:28" ht="12" customHeight="1">
      <c r="A639" s="105"/>
      <c r="B639" s="106"/>
      <c r="C639" s="107"/>
      <c r="D639" s="108"/>
      <c r="E639" s="107"/>
      <c r="F639" s="107"/>
      <c r="G639" s="35"/>
      <c r="H639" s="104"/>
      <c r="I639" s="35"/>
      <c r="J639" s="74"/>
      <c r="K639" s="74"/>
      <c r="L639" s="74"/>
      <c r="M639" s="74"/>
      <c r="N639" s="74"/>
      <c r="O639" s="74"/>
      <c r="P639" s="74"/>
      <c r="Q639" s="74"/>
      <c r="R639" s="74"/>
      <c r="S639" s="74"/>
      <c r="T639" s="74"/>
      <c r="U639" s="74"/>
      <c r="V639" s="74"/>
      <c r="W639" s="74"/>
      <c r="X639" s="74"/>
      <c r="Y639" s="74"/>
      <c r="Z639" s="74"/>
      <c r="AA639" s="74"/>
      <c r="AB639" s="74"/>
    </row>
    <row r="640" spans="1:28" ht="12" customHeight="1">
      <c r="A640" s="105"/>
      <c r="B640" s="106"/>
      <c r="C640" s="107"/>
      <c r="D640" s="108"/>
      <c r="E640" s="107"/>
      <c r="F640" s="107"/>
      <c r="G640" s="35"/>
      <c r="H640" s="104"/>
      <c r="I640" s="35"/>
      <c r="J640" s="74"/>
      <c r="K640" s="74"/>
      <c r="L640" s="74"/>
      <c r="M640" s="74"/>
      <c r="N640" s="74"/>
      <c r="O640" s="74"/>
      <c r="P640" s="74"/>
      <c r="Q640" s="74"/>
      <c r="R640" s="74"/>
      <c r="S640" s="74"/>
      <c r="T640" s="74"/>
      <c r="U640" s="74"/>
      <c r="V640" s="74"/>
      <c r="W640" s="74"/>
      <c r="X640" s="74"/>
      <c r="Y640" s="74"/>
      <c r="Z640" s="74"/>
      <c r="AA640" s="74"/>
      <c r="AB640" s="74"/>
    </row>
    <row r="641" spans="1:28" ht="12" customHeight="1">
      <c r="A641" s="105"/>
      <c r="B641" s="106"/>
      <c r="C641" s="107"/>
      <c r="D641" s="108"/>
      <c r="E641" s="107"/>
      <c r="F641" s="107"/>
      <c r="G641" s="35"/>
      <c r="H641" s="104"/>
      <c r="I641" s="35"/>
      <c r="J641" s="74"/>
      <c r="K641" s="74"/>
      <c r="L641" s="74"/>
      <c r="M641" s="74"/>
      <c r="N641" s="74"/>
      <c r="O641" s="74"/>
      <c r="P641" s="74"/>
      <c r="Q641" s="74"/>
      <c r="R641" s="74"/>
      <c r="S641" s="74"/>
      <c r="T641" s="74"/>
      <c r="U641" s="74"/>
      <c r="V641" s="74"/>
      <c r="W641" s="74"/>
      <c r="X641" s="74"/>
      <c r="Y641" s="74"/>
      <c r="Z641" s="74"/>
      <c r="AA641" s="74"/>
      <c r="AB641" s="74"/>
    </row>
    <row r="642" spans="1:28" ht="12" customHeight="1">
      <c r="A642" s="105"/>
      <c r="B642" s="106"/>
      <c r="C642" s="107"/>
      <c r="D642" s="108"/>
      <c r="E642" s="107"/>
      <c r="F642" s="107"/>
      <c r="G642" s="35"/>
      <c r="H642" s="104"/>
      <c r="I642" s="35"/>
      <c r="J642" s="74"/>
      <c r="K642" s="74"/>
      <c r="L642" s="74"/>
      <c r="M642" s="74"/>
      <c r="N642" s="74"/>
      <c r="O642" s="74"/>
      <c r="P642" s="74"/>
      <c r="Q642" s="74"/>
      <c r="R642" s="74"/>
      <c r="S642" s="74"/>
      <c r="T642" s="74"/>
      <c r="U642" s="74"/>
      <c r="V642" s="74"/>
      <c r="W642" s="74"/>
      <c r="X642" s="74"/>
      <c r="Y642" s="74"/>
      <c r="Z642" s="74"/>
      <c r="AA642" s="74"/>
      <c r="AB642" s="74"/>
    </row>
    <row r="643" spans="1:28" ht="12" customHeight="1">
      <c r="A643" s="105"/>
      <c r="B643" s="106"/>
      <c r="C643" s="107"/>
      <c r="D643" s="108"/>
      <c r="E643" s="107"/>
      <c r="F643" s="107"/>
      <c r="G643" s="35"/>
      <c r="H643" s="104"/>
      <c r="I643" s="35"/>
      <c r="J643" s="74"/>
      <c r="K643" s="74"/>
      <c r="L643" s="74"/>
      <c r="M643" s="74"/>
      <c r="N643" s="74"/>
      <c r="O643" s="74"/>
      <c r="P643" s="74"/>
      <c r="Q643" s="74"/>
      <c r="R643" s="74"/>
      <c r="S643" s="74"/>
      <c r="T643" s="74"/>
      <c r="U643" s="74"/>
      <c r="V643" s="74"/>
      <c r="W643" s="74"/>
      <c r="X643" s="74"/>
      <c r="Y643" s="74"/>
      <c r="Z643" s="74"/>
      <c r="AA643" s="74"/>
      <c r="AB643" s="74"/>
    </row>
    <row r="644" spans="1:28" ht="12" customHeight="1">
      <c r="A644" s="105"/>
      <c r="B644" s="106"/>
      <c r="C644" s="107"/>
      <c r="D644" s="108"/>
      <c r="E644" s="107"/>
      <c r="F644" s="107"/>
      <c r="G644" s="35"/>
      <c r="H644" s="104"/>
      <c r="I644" s="35"/>
      <c r="J644" s="74"/>
      <c r="K644" s="74"/>
      <c r="L644" s="74"/>
      <c r="M644" s="74"/>
      <c r="N644" s="74"/>
      <c r="O644" s="74"/>
      <c r="P644" s="74"/>
      <c r="Q644" s="74"/>
      <c r="R644" s="74"/>
      <c r="S644" s="74"/>
      <c r="T644" s="74"/>
      <c r="U644" s="74"/>
      <c r="V644" s="74"/>
      <c r="W644" s="74"/>
      <c r="X644" s="74"/>
      <c r="Y644" s="74"/>
      <c r="Z644" s="74"/>
      <c r="AA644" s="74"/>
      <c r="AB644" s="74"/>
    </row>
    <row r="645" spans="1:28" ht="12" customHeight="1">
      <c r="A645" s="105"/>
      <c r="B645" s="106"/>
      <c r="C645" s="107"/>
      <c r="D645" s="108"/>
      <c r="E645" s="107"/>
      <c r="F645" s="107"/>
      <c r="G645" s="35"/>
      <c r="H645" s="104"/>
      <c r="I645" s="35"/>
      <c r="J645" s="74"/>
      <c r="K645" s="74"/>
      <c r="L645" s="74"/>
      <c r="M645" s="74"/>
      <c r="N645" s="74"/>
      <c r="O645" s="74"/>
      <c r="P645" s="74"/>
      <c r="Q645" s="74"/>
      <c r="R645" s="74"/>
      <c r="S645" s="74"/>
      <c r="T645" s="74"/>
      <c r="U645" s="74"/>
      <c r="V645" s="74"/>
      <c r="W645" s="74"/>
      <c r="X645" s="74"/>
      <c r="Y645" s="74"/>
      <c r="Z645" s="74"/>
      <c r="AA645" s="74"/>
      <c r="AB645" s="74"/>
    </row>
    <row r="646" spans="1:28" ht="12" customHeight="1">
      <c r="A646" s="105"/>
      <c r="B646" s="106"/>
      <c r="C646" s="107"/>
      <c r="D646" s="108"/>
      <c r="E646" s="107"/>
      <c r="F646" s="107"/>
      <c r="G646" s="35"/>
      <c r="H646" s="104"/>
      <c r="I646" s="35"/>
      <c r="J646" s="74"/>
      <c r="K646" s="74"/>
      <c r="L646" s="74"/>
      <c r="M646" s="74"/>
      <c r="N646" s="74"/>
      <c r="O646" s="74"/>
      <c r="P646" s="74"/>
      <c r="Q646" s="74"/>
      <c r="R646" s="74"/>
      <c r="S646" s="74"/>
      <c r="T646" s="74"/>
      <c r="U646" s="74"/>
      <c r="V646" s="74"/>
      <c r="W646" s="74"/>
      <c r="X646" s="74"/>
      <c r="Y646" s="74"/>
      <c r="Z646" s="74"/>
      <c r="AA646" s="74"/>
      <c r="AB646" s="74"/>
    </row>
    <row r="647" spans="1:28" ht="12" customHeight="1">
      <c r="A647" s="105"/>
      <c r="B647" s="106"/>
      <c r="C647" s="107"/>
      <c r="D647" s="108"/>
      <c r="E647" s="107"/>
      <c r="F647" s="107"/>
      <c r="G647" s="35"/>
      <c r="H647" s="104"/>
      <c r="I647" s="35"/>
      <c r="J647" s="74"/>
      <c r="K647" s="74"/>
      <c r="L647" s="74"/>
      <c r="M647" s="74"/>
      <c r="N647" s="74"/>
      <c r="O647" s="74"/>
      <c r="P647" s="74"/>
      <c r="Q647" s="74"/>
      <c r="R647" s="74"/>
      <c r="S647" s="74"/>
      <c r="T647" s="74"/>
      <c r="U647" s="74"/>
      <c r="V647" s="74"/>
      <c r="W647" s="74"/>
      <c r="X647" s="74"/>
      <c r="Y647" s="74"/>
      <c r="Z647" s="74"/>
      <c r="AA647" s="74"/>
      <c r="AB647" s="74"/>
    </row>
    <row r="648" spans="1:28" ht="12" customHeight="1">
      <c r="A648" s="105"/>
      <c r="B648" s="106"/>
      <c r="C648" s="107"/>
      <c r="D648" s="108"/>
      <c r="E648" s="107"/>
      <c r="F648" s="107"/>
      <c r="G648" s="35"/>
      <c r="H648" s="104"/>
      <c r="I648" s="35"/>
      <c r="J648" s="74"/>
      <c r="K648" s="74"/>
      <c r="L648" s="74"/>
      <c r="M648" s="74"/>
      <c r="N648" s="74"/>
      <c r="O648" s="74"/>
      <c r="P648" s="74"/>
      <c r="Q648" s="74"/>
      <c r="R648" s="74"/>
      <c r="S648" s="74"/>
      <c r="T648" s="74"/>
      <c r="U648" s="74"/>
      <c r="V648" s="74"/>
      <c r="W648" s="74"/>
      <c r="X648" s="74"/>
      <c r="Y648" s="74"/>
      <c r="Z648" s="74"/>
      <c r="AA648" s="74"/>
      <c r="AB648" s="74"/>
    </row>
    <row r="649" spans="1:28" ht="12" customHeight="1">
      <c r="A649" s="105"/>
      <c r="B649" s="106"/>
      <c r="C649" s="107"/>
      <c r="D649" s="108"/>
      <c r="E649" s="107"/>
      <c r="F649" s="107"/>
      <c r="G649" s="35"/>
      <c r="H649" s="104"/>
      <c r="I649" s="35"/>
      <c r="J649" s="74"/>
      <c r="K649" s="74"/>
      <c r="L649" s="74"/>
      <c r="M649" s="74"/>
      <c r="N649" s="74"/>
      <c r="O649" s="74"/>
      <c r="P649" s="74"/>
      <c r="Q649" s="74"/>
      <c r="R649" s="74"/>
      <c r="S649" s="74"/>
      <c r="T649" s="74"/>
      <c r="U649" s="74"/>
      <c r="V649" s="74"/>
      <c r="W649" s="74"/>
      <c r="X649" s="74"/>
      <c r="Y649" s="74"/>
      <c r="Z649" s="74"/>
      <c r="AA649" s="74"/>
      <c r="AB649" s="74"/>
    </row>
    <row r="650" spans="1:28" ht="12" customHeight="1">
      <c r="A650" s="105"/>
      <c r="B650" s="106"/>
      <c r="C650" s="107"/>
      <c r="D650" s="108"/>
      <c r="E650" s="107"/>
      <c r="F650" s="107"/>
      <c r="G650" s="35"/>
      <c r="H650" s="104"/>
      <c r="I650" s="35"/>
      <c r="J650" s="74"/>
      <c r="K650" s="74"/>
      <c r="L650" s="74"/>
      <c r="M650" s="74"/>
      <c r="N650" s="74"/>
      <c r="O650" s="74"/>
      <c r="P650" s="74"/>
      <c r="Q650" s="74"/>
      <c r="R650" s="74"/>
      <c r="S650" s="74"/>
      <c r="T650" s="74"/>
      <c r="U650" s="74"/>
      <c r="V650" s="74"/>
      <c r="W650" s="74"/>
      <c r="X650" s="74"/>
      <c r="Y650" s="74"/>
      <c r="Z650" s="74"/>
      <c r="AA650" s="74"/>
      <c r="AB650" s="74"/>
    </row>
    <row r="651" spans="1:28" ht="12" customHeight="1">
      <c r="A651" s="105"/>
      <c r="B651" s="106"/>
      <c r="C651" s="107"/>
      <c r="D651" s="108"/>
      <c r="E651" s="107"/>
      <c r="F651" s="107"/>
      <c r="G651" s="35"/>
      <c r="H651" s="104"/>
      <c r="I651" s="35"/>
      <c r="J651" s="74"/>
      <c r="K651" s="74"/>
      <c r="L651" s="74"/>
      <c r="M651" s="74"/>
      <c r="N651" s="74"/>
      <c r="O651" s="74"/>
      <c r="P651" s="74"/>
      <c r="Q651" s="74"/>
      <c r="R651" s="74"/>
      <c r="S651" s="74"/>
      <c r="T651" s="74"/>
      <c r="U651" s="74"/>
      <c r="V651" s="74"/>
      <c r="W651" s="74"/>
      <c r="X651" s="74"/>
      <c r="Y651" s="74"/>
      <c r="Z651" s="74"/>
      <c r="AA651" s="74"/>
      <c r="AB651" s="74"/>
    </row>
    <row r="652" spans="1:28" ht="12" customHeight="1">
      <c r="A652" s="105"/>
      <c r="B652" s="106"/>
      <c r="C652" s="107"/>
      <c r="D652" s="108"/>
      <c r="E652" s="107"/>
      <c r="F652" s="107"/>
      <c r="G652" s="35"/>
      <c r="H652" s="104"/>
      <c r="I652" s="35"/>
      <c r="J652" s="74"/>
      <c r="K652" s="74"/>
      <c r="L652" s="74"/>
      <c r="M652" s="74"/>
      <c r="N652" s="74"/>
      <c r="O652" s="74"/>
      <c r="P652" s="74"/>
      <c r="Q652" s="74"/>
      <c r="R652" s="74"/>
      <c r="S652" s="74"/>
      <c r="T652" s="74"/>
      <c r="U652" s="74"/>
      <c r="V652" s="74"/>
      <c r="W652" s="74"/>
      <c r="X652" s="74"/>
      <c r="Y652" s="74"/>
      <c r="Z652" s="74"/>
      <c r="AA652" s="74"/>
      <c r="AB652" s="74"/>
    </row>
    <row r="653" spans="1:28" ht="12" customHeight="1">
      <c r="A653" s="105"/>
      <c r="B653" s="106"/>
      <c r="C653" s="107"/>
      <c r="D653" s="108"/>
      <c r="E653" s="107"/>
      <c r="F653" s="107"/>
      <c r="G653" s="35"/>
      <c r="H653" s="104"/>
      <c r="I653" s="35"/>
      <c r="J653" s="74"/>
      <c r="K653" s="74"/>
      <c r="L653" s="74"/>
      <c r="M653" s="74"/>
      <c r="N653" s="74"/>
      <c r="O653" s="74"/>
      <c r="P653" s="74"/>
      <c r="Q653" s="74"/>
      <c r="R653" s="74"/>
      <c r="S653" s="74"/>
      <c r="T653" s="74"/>
      <c r="U653" s="74"/>
      <c r="V653" s="74"/>
      <c r="W653" s="74"/>
      <c r="X653" s="74"/>
      <c r="Y653" s="74"/>
      <c r="Z653" s="74"/>
      <c r="AA653" s="74"/>
      <c r="AB653" s="74"/>
    </row>
    <row r="654" spans="1:28" ht="12" customHeight="1">
      <c r="A654" s="105"/>
      <c r="B654" s="106"/>
      <c r="C654" s="107"/>
      <c r="D654" s="108"/>
      <c r="E654" s="107"/>
      <c r="F654" s="107"/>
      <c r="G654" s="35"/>
      <c r="H654" s="104"/>
      <c r="I654" s="35"/>
      <c r="J654" s="74"/>
      <c r="K654" s="74"/>
      <c r="L654" s="74"/>
      <c r="M654" s="74"/>
      <c r="N654" s="74"/>
      <c r="O654" s="74"/>
      <c r="P654" s="74"/>
      <c r="Q654" s="74"/>
      <c r="R654" s="74"/>
      <c r="S654" s="74"/>
      <c r="T654" s="74"/>
      <c r="U654" s="74"/>
      <c r="V654" s="74"/>
      <c r="W654" s="74"/>
      <c r="X654" s="74"/>
      <c r="Y654" s="74"/>
      <c r="Z654" s="74"/>
      <c r="AA654" s="74"/>
      <c r="AB654" s="74"/>
    </row>
    <row r="655" spans="1:28" ht="12" customHeight="1">
      <c r="A655" s="105"/>
      <c r="B655" s="106"/>
      <c r="C655" s="107"/>
      <c r="D655" s="108"/>
      <c r="E655" s="107"/>
      <c r="F655" s="107"/>
      <c r="G655" s="35"/>
      <c r="H655" s="104"/>
      <c r="I655" s="35"/>
      <c r="J655" s="74"/>
      <c r="K655" s="74"/>
      <c r="L655" s="74"/>
      <c r="M655" s="74"/>
      <c r="N655" s="74"/>
      <c r="O655" s="74"/>
      <c r="P655" s="74"/>
      <c r="Q655" s="74"/>
      <c r="R655" s="74"/>
      <c r="S655" s="74"/>
      <c r="T655" s="74"/>
      <c r="U655" s="74"/>
      <c r="V655" s="74"/>
      <c r="W655" s="74"/>
      <c r="X655" s="74"/>
      <c r="Y655" s="74"/>
      <c r="Z655" s="74"/>
      <c r="AA655" s="74"/>
      <c r="AB655" s="74"/>
    </row>
    <row r="656" spans="1:28" ht="12" customHeight="1">
      <c r="A656" s="105"/>
      <c r="B656" s="106"/>
      <c r="C656" s="107"/>
      <c r="D656" s="108"/>
      <c r="E656" s="107"/>
      <c r="F656" s="107"/>
      <c r="G656" s="35"/>
      <c r="H656" s="104"/>
      <c r="I656" s="35"/>
      <c r="J656" s="74"/>
      <c r="K656" s="74"/>
      <c r="L656" s="74"/>
      <c r="M656" s="74"/>
      <c r="N656" s="74"/>
      <c r="O656" s="74"/>
      <c r="P656" s="74"/>
      <c r="Q656" s="74"/>
      <c r="R656" s="74"/>
      <c r="S656" s="74"/>
      <c r="T656" s="74"/>
      <c r="U656" s="74"/>
      <c r="V656" s="74"/>
      <c r="W656" s="74"/>
      <c r="X656" s="74"/>
      <c r="Y656" s="74"/>
      <c r="Z656" s="74"/>
      <c r="AA656" s="74"/>
      <c r="AB656" s="74"/>
    </row>
    <row r="657" spans="1:28" ht="12" customHeight="1">
      <c r="A657" s="105"/>
      <c r="B657" s="106"/>
      <c r="C657" s="107"/>
      <c r="D657" s="108"/>
      <c r="E657" s="107"/>
      <c r="F657" s="107"/>
      <c r="G657" s="35"/>
      <c r="H657" s="104"/>
      <c r="I657" s="35"/>
      <c r="J657" s="74"/>
      <c r="K657" s="74"/>
      <c r="L657" s="74"/>
      <c r="M657" s="74"/>
      <c r="N657" s="74"/>
      <c r="O657" s="74"/>
      <c r="P657" s="74"/>
      <c r="Q657" s="74"/>
      <c r="R657" s="74"/>
      <c r="S657" s="74"/>
      <c r="T657" s="74"/>
      <c r="U657" s="74"/>
      <c r="V657" s="74"/>
      <c r="W657" s="74"/>
      <c r="X657" s="74"/>
      <c r="Y657" s="74"/>
      <c r="Z657" s="74"/>
      <c r="AA657" s="74"/>
      <c r="AB657" s="74"/>
    </row>
    <row r="658" spans="1:28" ht="12" customHeight="1">
      <c r="A658" s="105"/>
      <c r="B658" s="106"/>
      <c r="C658" s="107"/>
      <c r="D658" s="108"/>
      <c r="E658" s="107"/>
      <c r="F658" s="107"/>
      <c r="G658" s="35"/>
      <c r="H658" s="104"/>
      <c r="I658" s="35"/>
      <c r="J658" s="74"/>
      <c r="K658" s="74"/>
      <c r="L658" s="74"/>
      <c r="M658" s="74"/>
      <c r="N658" s="74"/>
      <c r="O658" s="74"/>
      <c r="P658" s="74"/>
      <c r="Q658" s="74"/>
      <c r="R658" s="74"/>
      <c r="S658" s="74"/>
      <c r="T658" s="74"/>
      <c r="U658" s="74"/>
      <c r="V658" s="74"/>
      <c r="W658" s="74"/>
      <c r="X658" s="74"/>
      <c r="Y658" s="74"/>
      <c r="Z658" s="74"/>
      <c r="AA658" s="74"/>
      <c r="AB658" s="74"/>
    </row>
    <row r="659" spans="1:28" ht="12" customHeight="1">
      <c r="A659" s="105"/>
      <c r="B659" s="106"/>
      <c r="C659" s="107"/>
      <c r="D659" s="108"/>
      <c r="E659" s="107"/>
      <c r="F659" s="107"/>
      <c r="G659" s="35"/>
      <c r="H659" s="104"/>
      <c r="I659" s="35"/>
      <c r="J659" s="74"/>
      <c r="K659" s="74"/>
      <c r="L659" s="74"/>
      <c r="M659" s="74"/>
      <c r="N659" s="74"/>
      <c r="O659" s="74"/>
      <c r="P659" s="74"/>
      <c r="Q659" s="74"/>
      <c r="R659" s="74"/>
      <c r="S659" s="74"/>
      <c r="T659" s="74"/>
      <c r="U659" s="74"/>
      <c r="V659" s="74"/>
      <c r="W659" s="74"/>
      <c r="X659" s="74"/>
      <c r="Y659" s="74"/>
      <c r="Z659" s="74"/>
      <c r="AA659" s="74"/>
      <c r="AB659" s="74"/>
    </row>
    <row r="660" spans="1:28" ht="12" customHeight="1">
      <c r="A660" s="105"/>
      <c r="B660" s="106"/>
      <c r="C660" s="107"/>
      <c r="D660" s="108"/>
      <c r="E660" s="107"/>
      <c r="F660" s="107"/>
      <c r="G660" s="35"/>
      <c r="H660" s="104"/>
      <c r="I660" s="35"/>
      <c r="J660" s="74"/>
      <c r="K660" s="74"/>
      <c r="L660" s="74"/>
      <c r="M660" s="74"/>
      <c r="N660" s="74"/>
      <c r="O660" s="74"/>
      <c r="P660" s="74"/>
      <c r="Q660" s="74"/>
      <c r="R660" s="74"/>
      <c r="S660" s="74"/>
      <c r="T660" s="74"/>
      <c r="U660" s="74"/>
      <c r="V660" s="74"/>
      <c r="W660" s="74"/>
      <c r="X660" s="74"/>
      <c r="Y660" s="74"/>
      <c r="Z660" s="74"/>
      <c r="AA660" s="74"/>
      <c r="AB660" s="74"/>
    </row>
    <row r="661" spans="1:28" ht="12" customHeight="1">
      <c r="A661" s="105"/>
      <c r="B661" s="106"/>
      <c r="C661" s="107"/>
      <c r="D661" s="108"/>
      <c r="E661" s="107"/>
      <c r="F661" s="107"/>
      <c r="G661" s="35"/>
      <c r="H661" s="104"/>
      <c r="I661" s="35"/>
      <c r="J661" s="74"/>
      <c r="K661" s="74"/>
      <c r="L661" s="74"/>
      <c r="M661" s="74"/>
      <c r="N661" s="74"/>
      <c r="O661" s="74"/>
      <c r="P661" s="74"/>
      <c r="Q661" s="74"/>
      <c r="R661" s="74"/>
      <c r="S661" s="74"/>
      <c r="T661" s="74"/>
      <c r="U661" s="74"/>
      <c r="V661" s="74"/>
      <c r="W661" s="74"/>
      <c r="X661" s="74"/>
      <c r="Y661" s="74"/>
      <c r="Z661" s="74"/>
      <c r="AA661" s="74"/>
      <c r="AB661" s="74"/>
    </row>
    <row r="662" spans="1:28" ht="12" customHeight="1">
      <c r="A662" s="105"/>
      <c r="B662" s="106"/>
      <c r="C662" s="107"/>
      <c r="D662" s="108"/>
      <c r="E662" s="107"/>
      <c r="F662" s="107"/>
      <c r="G662" s="35"/>
      <c r="H662" s="104"/>
      <c r="I662" s="35"/>
      <c r="J662" s="74"/>
      <c r="K662" s="74"/>
      <c r="L662" s="74"/>
      <c r="M662" s="74"/>
      <c r="N662" s="74"/>
      <c r="O662" s="74"/>
      <c r="P662" s="74"/>
      <c r="Q662" s="74"/>
      <c r="R662" s="74"/>
      <c r="S662" s="74"/>
      <c r="T662" s="74"/>
      <c r="U662" s="74"/>
      <c r="V662" s="74"/>
      <c r="W662" s="74"/>
      <c r="X662" s="74"/>
      <c r="Y662" s="74"/>
      <c r="Z662" s="74"/>
      <c r="AA662" s="74"/>
      <c r="AB662" s="74"/>
    </row>
    <row r="663" spans="1:28" ht="12" customHeight="1">
      <c r="A663" s="105"/>
      <c r="B663" s="106"/>
      <c r="C663" s="107"/>
      <c r="D663" s="108"/>
      <c r="E663" s="107"/>
      <c r="F663" s="107"/>
      <c r="G663" s="35"/>
      <c r="H663" s="104"/>
      <c r="I663" s="35"/>
      <c r="J663" s="74"/>
      <c r="K663" s="74"/>
      <c r="L663" s="74"/>
      <c r="M663" s="74"/>
      <c r="N663" s="74"/>
      <c r="O663" s="74"/>
      <c r="P663" s="74"/>
      <c r="Q663" s="74"/>
      <c r="R663" s="74"/>
      <c r="S663" s="74"/>
      <c r="T663" s="74"/>
      <c r="U663" s="74"/>
      <c r="V663" s="74"/>
      <c r="W663" s="74"/>
      <c r="X663" s="74"/>
      <c r="Y663" s="74"/>
      <c r="Z663" s="74"/>
      <c r="AA663" s="74"/>
      <c r="AB663" s="74"/>
    </row>
    <row r="664" spans="1:28" ht="12" customHeight="1">
      <c r="A664" s="105"/>
      <c r="B664" s="106"/>
      <c r="C664" s="107"/>
      <c r="D664" s="108"/>
      <c r="E664" s="107"/>
      <c r="F664" s="107"/>
      <c r="G664" s="35"/>
      <c r="H664" s="104"/>
      <c r="I664" s="35"/>
      <c r="J664" s="74"/>
      <c r="K664" s="74"/>
      <c r="L664" s="74"/>
      <c r="M664" s="74"/>
      <c r="N664" s="74"/>
      <c r="O664" s="74"/>
      <c r="P664" s="74"/>
      <c r="Q664" s="74"/>
      <c r="R664" s="74"/>
      <c r="S664" s="74"/>
      <c r="T664" s="74"/>
      <c r="U664" s="74"/>
      <c r="V664" s="74"/>
      <c r="W664" s="74"/>
      <c r="X664" s="74"/>
      <c r="Y664" s="74"/>
      <c r="Z664" s="74"/>
      <c r="AA664" s="74"/>
      <c r="AB664" s="74"/>
    </row>
    <row r="665" spans="1:28" ht="12" customHeight="1">
      <c r="A665" s="105"/>
      <c r="B665" s="106"/>
      <c r="C665" s="107"/>
      <c r="D665" s="108"/>
      <c r="E665" s="107"/>
      <c r="F665" s="107"/>
      <c r="G665" s="35"/>
      <c r="H665" s="104"/>
      <c r="I665" s="35"/>
      <c r="J665" s="74"/>
      <c r="K665" s="74"/>
      <c r="L665" s="74"/>
      <c r="M665" s="74"/>
      <c r="N665" s="74"/>
      <c r="O665" s="74"/>
      <c r="P665" s="74"/>
      <c r="Q665" s="74"/>
      <c r="R665" s="74"/>
      <c r="S665" s="74"/>
      <c r="T665" s="74"/>
      <c r="U665" s="74"/>
      <c r="V665" s="74"/>
      <c r="W665" s="74"/>
      <c r="X665" s="74"/>
      <c r="Y665" s="74"/>
      <c r="Z665" s="74"/>
      <c r="AA665" s="74"/>
      <c r="AB665" s="74"/>
    </row>
    <row r="666" spans="1:28" ht="12" customHeight="1">
      <c r="A666" s="105"/>
      <c r="B666" s="106"/>
      <c r="C666" s="107"/>
      <c r="D666" s="108"/>
      <c r="E666" s="107"/>
      <c r="F666" s="107"/>
      <c r="G666" s="35"/>
      <c r="H666" s="104"/>
      <c r="I666" s="35"/>
      <c r="J666" s="74"/>
      <c r="K666" s="74"/>
      <c r="L666" s="74"/>
      <c r="M666" s="74"/>
      <c r="N666" s="74"/>
      <c r="O666" s="74"/>
      <c r="P666" s="74"/>
      <c r="Q666" s="74"/>
      <c r="R666" s="74"/>
      <c r="S666" s="74"/>
      <c r="T666" s="74"/>
      <c r="U666" s="74"/>
      <c r="V666" s="74"/>
      <c r="W666" s="74"/>
      <c r="X666" s="74"/>
      <c r="Y666" s="74"/>
      <c r="Z666" s="74"/>
      <c r="AA666" s="74"/>
      <c r="AB666" s="74"/>
    </row>
    <row r="667" spans="1:28" ht="12" customHeight="1">
      <c r="A667" s="105"/>
      <c r="B667" s="106"/>
      <c r="C667" s="107"/>
      <c r="D667" s="108"/>
      <c r="E667" s="107"/>
      <c r="F667" s="107"/>
      <c r="G667" s="35"/>
      <c r="H667" s="104"/>
      <c r="I667" s="35"/>
      <c r="J667" s="74"/>
      <c r="K667" s="74"/>
      <c r="L667" s="74"/>
      <c r="M667" s="74"/>
      <c r="N667" s="74"/>
      <c r="O667" s="74"/>
      <c r="P667" s="74"/>
      <c r="Q667" s="74"/>
      <c r="R667" s="74"/>
      <c r="S667" s="74"/>
      <c r="T667" s="74"/>
      <c r="U667" s="74"/>
      <c r="V667" s="74"/>
      <c r="W667" s="74"/>
      <c r="X667" s="74"/>
      <c r="Y667" s="74"/>
      <c r="Z667" s="74"/>
      <c r="AA667" s="74"/>
      <c r="AB667" s="74"/>
    </row>
    <row r="668" spans="1:28" ht="12" customHeight="1">
      <c r="A668" s="105"/>
      <c r="B668" s="106"/>
      <c r="C668" s="107"/>
      <c r="D668" s="108"/>
      <c r="E668" s="107"/>
      <c r="F668" s="107"/>
      <c r="G668" s="35"/>
      <c r="H668" s="104"/>
      <c r="I668" s="35"/>
      <c r="J668" s="74"/>
      <c r="K668" s="74"/>
      <c r="L668" s="74"/>
      <c r="M668" s="74"/>
      <c r="N668" s="74"/>
      <c r="O668" s="74"/>
      <c r="P668" s="74"/>
      <c r="Q668" s="74"/>
      <c r="R668" s="74"/>
      <c r="S668" s="74"/>
      <c r="T668" s="74"/>
      <c r="U668" s="74"/>
      <c r="V668" s="74"/>
      <c r="W668" s="74"/>
      <c r="X668" s="74"/>
      <c r="Y668" s="74"/>
      <c r="Z668" s="74"/>
      <c r="AA668" s="74"/>
      <c r="AB668" s="74"/>
    </row>
    <row r="669" spans="1:28" ht="12" customHeight="1">
      <c r="A669" s="105"/>
      <c r="B669" s="106"/>
      <c r="C669" s="107"/>
      <c r="D669" s="108"/>
      <c r="E669" s="107"/>
      <c r="F669" s="107"/>
      <c r="G669" s="35"/>
      <c r="H669" s="104"/>
      <c r="I669" s="35"/>
      <c r="J669" s="74"/>
      <c r="K669" s="74"/>
      <c r="L669" s="74"/>
      <c r="M669" s="74"/>
      <c r="N669" s="74"/>
      <c r="O669" s="74"/>
      <c r="P669" s="74"/>
      <c r="Q669" s="74"/>
      <c r="R669" s="74"/>
      <c r="S669" s="74"/>
      <c r="T669" s="74"/>
      <c r="U669" s="74"/>
      <c r="V669" s="74"/>
      <c r="W669" s="74"/>
      <c r="X669" s="74"/>
      <c r="Y669" s="74"/>
      <c r="Z669" s="74"/>
      <c r="AA669" s="74"/>
      <c r="AB669" s="74"/>
    </row>
    <row r="670" spans="1:28" ht="12" customHeight="1">
      <c r="A670" s="105"/>
      <c r="B670" s="106"/>
      <c r="C670" s="107"/>
      <c r="D670" s="108"/>
      <c r="E670" s="107"/>
      <c r="F670" s="107"/>
      <c r="G670" s="35"/>
      <c r="H670" s="104"/>
      <c r="I670" s="35"/>
      <c r="J670" s="74"/>
      <c r="K670" s="74"/>
      <c r="L670" s="74"/>
      <c r="M670" s="74"/>
      <c r="N670" s="74"/>
      <c r="O670" s="74"/>
      <c r="P670" s="74"/>
      <c r="Q670" s="74"/>
      <c r="R670" s="74"/>
      <c r="S670" s="74"/>
      <c r="T670" s="74"/>
      <c r="U670" s="74"/>
      <c r="V670" s="74"/>
      <c r="W670" s="74"/>
      <c r="X670" s="74"/>
      <c r="Y670" s="74"/>
      <c r="Z670" s="74"/>
      <c r="AA670" s="74"/>
      <c r="AB670" s="74"/>
    </row>
    <row r="671" spans="1:28" ht="12" customHeight="1">
      <c r="A671" s="105"/>
      <c r="B671" s="106"/>
      <c r="C671" s="107"/>
      <c r="D671" s="108"/>
      <c r="E671" s="107"/>
      <c r="F671" s="107"/>
      <c r="G671" s="35"/>
      <c r="H671" s="104"/>
      <c r="I671" s="35"/>
      <c r="J671" s="74"/>
      <c r="K671" s="74"/>
      <c r="L671" s="74"/>
      <c r="M671" s="74"/>
      <c r="N671" s="74"/>
      <c r="O671" s="74"/>
      <c r="P671" s="74"/>
      <c r="Q671" s="74"/>
      <c r="R671" s="74"/>
      <c r="S671" s="74"/>
      <c r="T671" s="74"/>
      <c r="U671" s="74"/>
      <c r="V671" s="74"/>
      <c r="W671" s="74"/>
      <c r="X671" s="74"/>
      <c r="Y671" s="74"/>
      <c r="Z671" s="74"/>
      <c r="AA671" s="74"/>
      <c r="AB671" s="74"/>
    </row>
    <row r="672" spans="1:28" ht="12" customHeight="1">
      <c r="A672" s="105"/>
      <c r="B672" s="106"/>
      <c r="C672" s="107"/>
      <c r="D672" s="108"/>
      <c r="E672" s="107"/>
      <c r="F672" s="107"/>
      <c r="G672" s="35"/>
      <c r="H672" s="104"/>
      <c r="I672" s="35"/>
      <c r="J672" s="74"/>
      <c r="K672" s="74"/>
      <c r="L672" s="74"/>
      <c r="M672" s="74"/>
      <c r="N672" s="74"/>
      <c r="O672" s="74"/>
      <c r="P672" s="74"/>
      <c r="Q672" s="74"/>
      <c r="R672" s="74"/>
      <c r="S672" s="74"/>
      <c r="T672" s="74"/>
      <c r="U672" s="74"/>
      <c r="V672" s="74"/>
      <c r="W672" s="74"/>
      <c r="X672" s="74"/>
      <c r="Y672" s="74"/>
      <c r="Z672" s="74"/>
      <c r="AA672" s="74"/>
      <c r="AB672" s="74"/>
    </row>
    <row r="673" spans="1:28" ht="12" customHeight="1">
      <c r="A673" s="105"/>
      <c r="B673" s="106"/>
      <c r="C673" s="107"/>
      <c r="D673" s="108"/>
      <c r="E673" s="107"/>
      <c r="F673" s="107"/>
      <c r="G673" s="35"/>
      <c r="H673" s="104"/>
      <c r="I673" s="35"/>
      <c r="J673" s="74"/>
      <c r="K673" s="74"/>
      <c r="L673" s="74"/>
      <c r="M673" s="74"/>
      <c r="N673" s="74"/>
      <c r="O673" s="74"/>
      <c r="P673" s="74"/>
      <c r="Q673" s="74"/>
      <c r="R673" s="74"/>
      <c r="S673" s="74"/>
      <c r="T673" s="74"/>
      <c r="U673" s="74"/>
      <c r="V673" s="74"/>
      <c r="W673" s="74"/>
      <c r="X673" s="74"/>
      <c r="Y673" s="74"/>
      <c r="Z673" s="74"/>
      <c r="AA673" s="74"/>
      <c r="AB673" s="74"/>
    </row>
    <row r="674" spans="1:28" ht="12" customHeight="1">
      <c r="A674" s="105"/>
      <c r="B674" s="106"/>
      <c r="C674" s="107"/>
      <c r="D674" s="108"/>
      <c r="E674" s="107"/>
      <c r="F674" s="107"/>
      <c r="G674" s="35"/>
      <c r="H674" s="104"/>
      <c r="I674" s="35"/>
      <c r="J674" s="74"/>
      <c r="K674" s="74"/>
      <c r="L674" s="74"/>
      <c r="M674" s="74"/>
      <c r="N674" s="74"/>
      <c r="O674" s="74"/>
      <c r="P674" s="74"/>
      <c r="Q674" s="74"/>
      <c r="R674" s="74"/>
      <c r="S674" s="74"/>
      <c r="T674" s="74"/>
      <c r="U674" s="74"/>
      <c r="V674" s="74"/>
      <c r="W674" s="74"/>
      <c r="X674" s="74"/>
      <c r="Y674" s="74"/>
      <c r="Z674" s="74"/>
      <c r="AA674" s="74"/>
      <c r="AB674" s="74"/>
    </row>
    <row r="675" spans="1:28" ht="12" customHeight="1">
      <c r="A675" s="105"/>
      <c r="B675" s="106"/>
      <c r="C675" s="107"/>
      <c r="D675" s="108"/>
      <c r="E675" s="107"/>
      <c r="F675" s="107"/>
      <c r="G675" s="35"/>
      <c r="H675" s="104"/>
      <c r="I675" s="35"/>
      <c r="J675" s="74"/>
      <c r="K675" s="74"/>
      <c r="L675" s="74"/>
      <c r="M675" s="74"/>
      <c r="N675" s="74"/>
      <c r="O675" s="74"/>
      <c r="P675" s="74"/>
      <c r="Q675" s="74"/>
      <c r="R675" s="74"/>
      <c r="S675" s="74"/>
      <c r="T675" s="74"/>
      <c r="U675" s="74"/>
      <c r="V675" s="74"/>
      <c r="W675" s="74"/>
      <c r="X675" s="74"/>
      <c r="Y675" s="74"/>
      <c r="Z675" s="74"/>
      <c r="AA675" s="74"/>
      <c r="AB675" s="74"/>
    </row>
    <row r="676" spans="1:28" ht="12" customHeight="1">
      <c r="A676" s="105"/>
      <c r="B676" s="106"/>
      <c r="C676" s="107"/>
      <c r="D676" s="108"/>
      <c r="E676" s="107"/>
      <c r="F676" s="107"/>
      <c r="G676" s="35"/>
      <c r="H676" s="104"/>
      <c r="I676" s="35"/>
      <c r="J676" s="74"/>
      <c r="K676" s="74"/>
      <c r="L676" s="74"/>
      <c r="M676" s="74"/>
      <c r="N676" s="74"/>
      <c r="O676" s="74"/>
      <c r="P676" s="74"/>
      <c r="Q676" s="74"/>
      <c r="R676" s="74"/>
      <c r="S676" s="74"/>
      <c r="T676" s="74"/>
      <c r="U676" s="74"/>
      <c r="V676" s="74"/>
      <c r="W676" s="74"/>
      <c r="X676" s="74"/>
      <c r="Y676" s="74"/>
      <c r="Z676" s="74"/>
      <c r="AA676" s="74"/>
      <c r="AB676" s="74"/>
    </row>
    <row r="677" spans="1:28" ht="12" customHeight="1">
      <c r="A677" s="105"/>
      <c r="B677" s="106"/>
      <c r="C677" s="107"/>
      <c r="D677" s="108"/>
      <c r="E677" s="107"/>
      <c r="F677" s="107"/>
      <c r="G677" s="35"/>
      <c r="H677" s="104"/>
      <c r="I677" s="35"/>
      <c r="J677" s="74"/>
      <c r="K677" s="74"/>
      <c r="L677" s="74"/>
      <c r="M677" s="74"/>
      <c r="N677" s="74"/>
      <c r="O677" s="74"/>
      <c r="P677" s="74"/>
      <c r="Q677" s="74"/>
      <c r="R677" s="74"/>
      <c r="S677" s="74"/>
      <c r="T677" s="74"/>
      <c r="U677" s="74"/>
      <c r="V677" s="74"/>
      <c r="W677" s="74"/>
      <c r="X677" s="74"/>
      <c r="Y677" s="74"/>
      <c r="Z677" s="74"/>
      <c r="AA677" s="74"/>
      <c r="AB677" s="74"/>
    </row>
    <row r="678" spans="1:28" ht="12" customHeight="1">
      <c r="A678" s="105"/>
      <c r="B678" s="106"/>
      <c r="C678" s="107"/>
      <c r="D678" s="108"/>
      <c r="E678" s="107"/>
      <c r="F678" s="107"/>
      <c r="G678" s="35"/>
      <c r="H678" s="104"/>
      <c r="I678" s="35"/>
      <c r="J678" s="74"/>
      <c r="K678" s="74"/>
      <c r="L678" s="74"/>
      <c r="M678" s="74"/>
      <c r="N678" s="74"/>
      <c r="O678" s="74"/>
      <c r="P678" s="74"/>
      <c r="Q678" s="74"/>
      <c r="R678" s="74"/>
      <c r="S678" s="74"/>
      <c r="T678" s="74"/>
      <c r="U678" s="74"/>
      <c r="V678" s="74"/>
      <c r="W678" s="74"/>
      <c r="X678" s="74"/>
      <c r="Y678" s="74"/>
      <c r="Z678" s="74"/>
      <c r="AA678" s="74"/>
      <c r="AB678" s="74"/>
    </row>
    <row r="679" spans="1:28" ht="12" customHeight="1">
      <c r="A679" s="105"/>
      <c r="B679" s="106"/>
      <c r="C679" s="107"/>
      <c r="D679" s="108"/>
      <c r="E679" s="107"/>
      <c r="F679" s="107"/>
      <c r="G679" s="35"/>
      <c r="H679" s="104"/>
      <c r="I679" s="35"/>
      <c r="J679" s="74"/>
      <c r="K679" s="74"/>
      <c r="L679" s="74"/>
      <c r="M679" s="74"/>
      <c r="N679" s="74"/>
      <c r="O679" s="74"/>
      <c r="P679" s="74"/>
      <c r="Q679" s="74"/>
      <c r="R679" s="74"/>
      <c r="S679" s="74"/>
      <c r="T679" s="74"/>
      <c r="U679" s="74"/>
      <c r="V679" s="74"/>
      <c r="W679" s="74"/>
      <c r="X679" s="74"/>
      <c r="Y679" s="74"/>
      <c r="Z679" s="74"/>
      <c r="AA679" s="74"/>
      <c r="AB679" s="74"/>
    </row>
    <row r="680" spans="1:28" ht="12" customHeight="1">
      <c r="A680" s="105"/>
      <c r="B680" s="106"/>
      <c r="C680" s="107"/>
      <c r="D680" s="108"/>
      <c r="E680" s="107"/>
      <c r="F680" s="107"/>
      <c r="G680" s="35"/>
      <c r="H680" s="104"/>
      <c r="I680" s="35"/>
      <c r="J680" s="74"/>
      <c r="K680" s="74"/>
      <c r="L680" s="74"/>
      <c r="M680" s="74"/>
      <c r="N680" s="74"/>
      <c r="O680" s="74"/>
      <c r="P680" s="74"/>
      <c r="Q680" s="74"/>
      <c r="R680" s="74"/>
      <c r="S680" s="74"/>
      <c r="T680" s="74"/>
      <c r="U680" s="74"/>
      <c r="V680" s="74"/>
      <c r="W680" s="74"/>
      <c r="X680" s="74"/>
      <c r="Y680" s="74"/>
      <c r="Z680" s="74"/>
      <c r="AA680" s="74"/>
      <c r="AB680" s="74"/>
    </row>
    <row r="681" spans="1:28" ht="12" customHeight="1">
      <c r="A681" s="105"/>
      <c r="B681" s="106"/>
      <c r="C681" s="107"/>
      <c r="D681" s="108"/>
      <c r="E681" s="107"/>
      <c r="F681" s="107"/>
      <c r="G681" s="35"/>
      <c r="H681" s="104"/>
      <c r="I681" s="35"/>
      <c r="J681" s="74"/>
      <c r="K681" s="74"/>
      <c r="L681" s="74"/>
      <c r="M681" s="74"/>
      <c r="N681" s="74"/>
      <c r="O681" s="74"/>
      <c r="P681" s="74"/>
      <c r="Q681" s="74"/>
      <c r="R681" s="74"/>
      <c r="S681" s="74"/>
      <c r="T681" s="74"/>
      <c r="U681" s="74"/>
      <c r="V681" s="74"/>
      <c r="W681" s="74"/>
      <c r="X681" s="74"/>
      <c r="Y681" s="74"/>
      <c r="Z681" s="74"/>
      <c r="AA681" s="74"/>
      <c r="AB681" s="74"/>
    </row>
    <row r="682" spans="1:28" ht="12" customHeight="1">
      <c r="A682" s="105"/>
      <c r="B682" s="106"/>
      <c r="C682" s="107"/>
      <c r="D682" s="108"/>
      <c r="E682" s="107"/>
      <c r="F682" s="107"/>
      <c r="G682" s="35"/>
      <c r="H682" s="104"/>
      <c r="I682" s="35"/>
      <c r="J682" s="74"/>
      <c r="K682" s="74"/>
      <c r="L682" s="74"/>
      <c r="M682" s="74"/>
      <c r="N682" s="74"/>
      <c r="O682" s="74"/>
      <c r="P682" s="74"/>
      <c r="Q682" s="74"/>
      <c r="R682" s="74"/>
      <c r="S682" s="74"/>
      <c r="T682" s="74"/>
      <c r="U682" s="74"/>
      <c r="V682" s="74"/>
      <c r="W682" s="74"/>
      <c r="X682" s="74"/>
      <c r="Y682" s="74"/>
      <c r="Z682" s="74"/>
      <c r="AA682" s="74"/>
      <c r="AB682" s="74"/>
    </row>
    <row r="683" spans="1:28" ht="12" customHeight="1">
      <c r="A683" s="105"/>
      <c r="B683" s="106"/>
      <c r="C683" s="107"/>
      <c r="D683" s="108"/>
      <c r="E683" s="107"/>
      <c r="F683" s="107"/>
      <c r="G683" s="35"/>
      <c r="H683" s="104"/>
      <c r="I683" s="35"/>
      <c r="J683" s="74"/>
      <c r="K683" s="74"/>
      <c r="L683" s="74"/>
      <c r="M683" s="74"/>
      <c r="N683" s="74"/>
      <c r="O683" s="74"/>
      <c r="P683" s="74"/>
      <c r="Q683" s="74"/>
      <c r="R683" s="74"/>
      <c r="S683" s="74"/>
      <c r="T683" s="74"/>
      <c r="U683" s="74"/>
      <c r="V683" s="74"/>
      <c r="W683" s="74"/>
      <c r="X683" s="74"/>
      <c r="Y683" s="74"/>
      <c r="Z683" s="74"/>
      <c r="AA683" s="74"/>
      <c r="AB683" s="74"/>
    </row>
    <row r="684" spans="1:28" ht="12" customHeight="1">
      <c r="A684" s="105"/>
      <c r="B684" s="106"/>
      <c r="C684" s="107"/>
      <c r="D684" s="108"/>
      <c r="E684" s="107"/>
      <c r="F684" s="107"/>
      <c r="G684" s="35"/>
      <c r="H684" s="104"/>
      <c r="I684" s="35"/>
      <c r="J684" s="74"/>
      <c r="K684" s="74"/>
      <c r="L684" s="74"/>
      <c r="M684" s="74"/>
      <c r="N684" s="74"/>
      <c r="O684" s="74"/>
      <c r="P684" s="74"/>
      <c r="Q684" s="74"/>
      <c r="R684" s="74"/>
      <c r="S684" s="74"/>
      <c r="T684" s="74"/>
      <c r="U684" s="74"/>
      <c r="V684" s="74"/>
      <c r="W684" s="74"/>
      <c r="X684" s="74"/>
      <c r="Y684" s="74"/>
      <c r="Z684" s="74"/>
      <c r="AA684" s="74"/>
      <c r="AB684" s="74"/>
    </row>
    <row r="685" spans="1:28" ht="12" customHeight="1">
      <c r="A685" s="105"/>
      <c r="B685" s="106"/>
      <c r="C685" s="107"/>
      <c r="D685" s="108"/>
      <c r="E685" s="107"/>
      <c r="F685" s="107"/>
      <c r="G685" s="35"/>
      <c r="H685" s="104"/>
      <c r="I685" s="35"/>
      <c r="J685" s="74"/>
      <c r="K685" s="74"/>
      <c r="L685" s="74"/>
      <c r="M685" s="74"/>
      <c r="N685" s="74"/>
      <c r="O685" s="74"/>
      <c r="P685" s="74"/>
      <c r="Q685" s="74"/>
      <c r="R685" s="74"/>
      <c r="S685" s="74"/>
      <c r="T685" s="74"/>
      <c r="U685" s="74"/>
      <c r="V685" s="74"/>
      <c r="W685" s="74"/>
      <c r="X685" s="74"/>
      <c r="Y685" s="74"/>
      <c r="Z685" s="74"/>
      <c r="AA685" s="74"/>
      <c r="AB685" s="74"/>
    </row>
    <row r="686" spans="1:28" ht="12" customHeight="1">
      <c r="A686" s="105"/>
      <c r="B686" s="106"/>
      <c r="C686" s="107"/>
      <c r="D686" s="108"/>
      <c r="E686" s="107"/>
      <c r="F686" s="107"/>
      <c r="G686" s="35"/>
      <c r="H686" s="104"/>
      <c r="I686" s="35"/>
      <c r="J686" s="74"/>
      <c r="K686" s="74"/>
      <c r="L686" s="74"/>
      <c r="M686" s="74"/>
      <c r="N686" s="74"/>
      <c r="O686" s="74"/>
      <c r="P686" s="74"/>
      <c r="Q686" s="74"/>
      <c r="R686" s="74"/>
      <c r="S686" s="74"/>
      <c r="T686" s="74"/>
      <c r="U686" s="74"/>
      <c r="V686" s="74"/>
      <c r="W686" s="74"/>
      <c r="X686" s="74"/>
      <c r="Y686" s="74"/>
      <c r="Z686" s="74"/>
      <c r="AA686" s="74"/>
      <c r="AB686" s="74"/>
    </row>
    <row r="687" spans="1:28" ht="12" customHeight="1">
      <c r="A687" s="105"/>
      <c r="B687" s="106"/>
      <c r="C687" s="107"/>
      <c r="D687" s="108"/>
      <c r="E687" s="107"/>
      <c r="F687" s="107"/>
      <c r="G687" s="35"/>
      <c r="H687" s="104"/>
      <c r="I687" s="35"/>
      <c r="J687" s="74"/>
      <c r="K687" s="74"/>
      <c r="L687" s="74"/>
      <c r="M687" s="74"/>
      <c r="N687" s="74"/>
      <c r="O687" s="74"/>
      <c r="P687" s="74"/>
      <c r="Q687" s="74"/>
      <c r="R687" s="74"/>
      <c r="S687" s="74"/>
      <c r="T687" s="74"/>
      <c r="U687" s="74"/>
      <c r="V687" s="74"/>
      <c r="W687" s="74"/>
      <c r="X687" s="74"/>
      <c r="Y687" s="74"/>
      <c r="Z687" s="74"/>
      <c r="AA687" s="74"/>
      <c r="AB687" s="74"/>
    </row>
    <row r="688" spans="1:28" ht="12" customHeight="1">
      <c r="A688" s="105"/>
      <c r="B688" s="106"/>
      <c r="C688" s="107"/>
      <c r="D688" s="108"/>
      <c r="E688" s="107"/>
      <c r="F688" s="107"/>
      <c r="G688" s="35"/>
      <c r="H688" s="104"/>
      <c r="I688" s="35"/>
      <c r="J688" s="74"/>
      <c r="K688" s="74"/>
      <c r="L688" s="74"/>
      <c r="M688" s="74"/>
      <c r="N688" s="74"/>
      <c r="O688" s="74"/>
      <c r="P688" s="74"/>
      <c r="Q688" s="74"/>
      <c r="R688" s="74"/>
      <c r="S688" s="74"/>
      <c r="T688" s="74"/>
      <c r="U688" s="74"/>
      <c r="V688" s="74"/>
      <c r="W688" s="74"/>
      <c r="X688" s="74"/>
      <c r="Y688" s="74"/>
      <c r="Z688" s="74"/>
      <c r="AA688" s="74"/>
      <c r="AB688" s="74"/>
    </row>
    <row r="689" spans="1:28" ht="12" customHeight="1">
      <c r="A689" s="105"/>
      <c r="B689" s="106"/>
      <c r="C689" s="107"/>
      <c r="D689" s="108"/>
      <c r="E689" s="107"/>
      <c r="F689" s="107"/>
      <c r="G689" s="35"/>
      <c r="H689" s="104"/>
      <c r="I689" s="35"/>
      <c r="J689" s="74"/>
      <c r="K689" s="74"/>
      <c r="L689" s="74"/>
      <c r="M689" s="74"/>
      <c r="N689" s="74"/>
      <c r="O689" s="74"/>
      <c r="P689" s="74"/>
      <c r="Q689" s="74"/>
      <c r="R689" s="74"/>
      <c r="S689" s="74"/>
      <c r="T689" s="74"/>
      <c r="U689" s="74"/>
      <c r="V689" s="74"/>
      <c r="W689" s="74"/>
      <c r="X689" s="74"/>
      <c r="Y689" s="74"/>
      <c r="Z689" s="74"/>
      <c r="AA689" s="74"/>
      <c r="AB689" s="74"/>
    </row>
    <row r="690" spans="1:28" ht="12" customHeight="1">
      <c r="A690" s="105"/>
      <c r="B690" s="106"/>
      <c r="C690" s="107"/>
      <c r="D690" s="108"/>
      <c r="E690" s="107"/>
      <c r="F690" s="107"/>
      <c r="G690" s="35"/>
      <c r="H690" s="104"/>
      <c r="I690" s="35"/>
      <c r="J690" s="74"/>
      <c r="K690" s="74"/>
      <c r="L690" s="74"/>
      <c r="M690" s="74"/>
      <c r="N690" s="74"/>
      <c r="O690" s="74"/>
      <c r="P690" s="74"/>
      <c r="Q690" s="74"/>
      <c r="R690" s="74"/>
      <c r="S690" s="74"/>
      <c r="T690" s="74"/>
      <c r="U690" s="74"/>
      <c r="V690" s="74"/>
      <c r="W690" s="74"/>
      <c r="X690" s="74"/>
      <c r="Y690" s="74"/>
      <c r="Z690" s="74"/>
      <c r="AA690" s="74"/>
      <c r="AB690" s="74"/>
    </row>
    <row r="691" spans="1:28" ht="12" customHeight="1">
      <c r="A691" s="105"/>
      <c r="B691" s="106"/>
      <c r="C691" s="107"/>
      <c r="D691" s="108"/>
      <c r="E691" s="107"/>
      <c r="F691" s="107"/>
      <c r="G691" s="35"/>
      <c r="H691" s="104"/>
      <c r="I691" s="35"/>
      <c r="J691" s="74"/>
      <c r="K691" s="74"/>
      <c r="L691" s="74"/>
      <c r="M691" s="74"/>
      <c r="N691" s="74"/>
      <c r="O691" s="74"/>
      <c r="P691" s="74"/>
      <c r="Q691" s="74"/>
      <c r="R691" s="74"/>
      <c r="S691" s="74"/>
      <c r="T691" s="74"/>
      <c r="U691" s="74"/>
      <c r="V691" s="74"/>
      <c r="W691" s="74"/>
      <c r="X691" s="74"/>
      <c r="Y691" s="74"/>
      <c r="Z691" s="74"/>
      <c r="AA691" s="74"/>
      <c r="AB691" s="74"/>
    </row>
    <row r="692" spans="1:28" ht="12" customHeight="1">
      <c r="A692" s="105"/>
      <c r="B692" s="106"/>
      <c r="C692" s="107"/>
      <c r="D692" s="108"/>
      <c r="E692" s="107"/>
      <c r="F692" s="107"/>
      <c r="G692" s="35"/>
      <c r="H692" s="104"/>
      <c r="I692" s="35"/>
      <c r="J692" s="74"/>
      <c r="K692" s="74"/>
      <c r="L692" s="74"/>
      <c r="M692" s="74"/>
      <c r="N692" s="74"/>
      <c r="O692" s="74"/>
      <c r="P692" s="74"/>
      <c r="Q692" s="74"/>
      <c r="R692" s="74"/>
      <c r="S692" s="74"/>
      <c r="T692" s="74"/>
      <c r="U692" s="74"/>
      <c r="V692" s="74"/>
      <c r="W692" s="74"/>
      <c r="X692" s="74"/>
      <c r="Y692" s="74"/>
      <c r="Z692" s="74"/>
      <c r="AA692" s="74"/>
      <c r="AB692" s="74"/>
    </row>
    <row r="693" spans="1:28" ht="12" customHeight="1">
      <c r="A693" s="105"/>
      <c r="B693" s="106"/>
      <c r="C693" s="107"/>
      <c r="D693" s="108"/>
      <c r="E693" s="107"/>
      <c r="F693" s="107"/>
      <c r="G693" s="35"/>
      <c r="H693" s="104"/>
      <c r="I693" s="35"/>
      <c r="J693" s="74"/>
      <c r="K693" s="74"/>
      <c r="L693" s="74"/>
      <c r="M693" s="74"/>
      <c r="N693" s="74"/>
      <c r="O693" s="74"/>
      <c r="P693" s="74"/>
      <c r="Q693" s="74"/>
      <c r="R693" s="74"/>
      <c r="S693" s="74"/>
      <c r="T693" s="74"/>
      <c r="U693" s="74"/>
      <c r="V693" s="74"/>
      <c r="W693" s="74"/>
      <c r="X693" s="74"/>
      <c r="Y693" s="74"/>
      <c r="Z693" s="74"/>
      <c r="AA693" s="74"/>
      <c r="AB693" s="74"/>
    </row>
    <row r="694" spans="1:28" ht="12" customHeight="1">
      <c r="A694" s="105"/>
      <c r="B694" s="106"/>
      <c r="C694" s="107"/>
      <c r="D694" s="108"/>
      <c r="E694" s="107"/>
      <c r="F694" s="107"/>
      <c r="G694" s="35"/>
      <c r="H694" s="104"/>
      <c r="I694" s="35"/>
      <c r="J694" s="74"/>
      <c r="K694" s="74"/>
      <c r="L694" s="74"/>
      <c r="M694" s="74"/>
      <c r="N694" s="74"/>
      <c r="O694" s="74"/>
      <c r="P694" s="74"/>
      <c r="Q694" s="74"/>
      <c r="R694" s="74"/>
      <c r="S694" s="74"/>
      <c r="T694" s="74"/>
      <c r="U694" s="74"/>
      <c r="V694" s="74"/>
      <c r="W694" s="74"/>
      <c r="X694" s="74"/>
      <c r="Y694" s="74"/>
      <c r="Z694" s="74"/>
      <c r="AA694" s="74"/>
      <c r="AB694" s="74"/>
    </row>
    <row r="695" spans="1:28" ht="12" customHeight="1">
      <c r="A695" s="105"/>
      <c r="B695" s="106"/>
      <c r="C695" s="107"/>
      <c r="D695" s="108"/>
      <c r="E695" s="107"/>
      <c r="F695" s="107"/>
      <c r="G695" s="35"/>
      <c r="H695" s="104"/>
      <c r="I695" s="35"/>
      <c r="J695" s="74"/>
      <c r="K695" s="74"/>
      <c r="L695" s="74"/>
      <c r="M695" s="74"/>
      <c r="N695" s="74"/>
      <c r="O695" s="74"/>
      <c r="P695" s="74"/>
      <c r="Q695" s="74"/>
      <c r="R695" s="74"/>
      <c r="S695" s="74"/>
      <c r="T695" s="74"/>
      <c r="U695" s="74"/>
      <c r="V695" s="74"/>
      <c r="W695" s="74"/>
      <c r="X695" s="74"/>
      <c r="Y695" s="74"/>
      <c r="Z695" s="74"/>
      <c r="AA695" s="74"/>
      <c r="AB695" s="74"/>
    </row>
    <row r="696" spans="1:28" ht="12" customHeight="1">
      <c r="A696" s="105"/>
      <c r="B696" s="106"/>
      <c r="C696" s="107"/>
      <c r="D696" s="108"/>
      <c r="E696" s="107"/>
      <c r="F696" s="107"/>
      <c r="G696" s="35"/>
      <c r="H696" s="104"/>
      <c r="I696" s="35"/>
      <c r="J696" s="74"/>
      <c r="K696" s="74"/>
      <c r="L696" s="74"/>
      <c r="M696" s="74"/>
      <c r="N696" s="74"/>
      <c r="O696" s="74"/>
      <c r="P696" s="74"/>
      <c r="Q696" s="74"/>
      <c r="R696" s="74"/>
      <c r="S696" s="74"/>
      <c r="T696" s="74"/>
      <c r="U696" s="74"/>
      <c r="V696" s="74"/>
      <c r="W696" s="74"/>
      <c r="X696" s="74"/>
      <c r="Y696" s="74"/>
      <c r="Z696" s="74"/>
      <c r="AA696" s="74"/>
      <c r="AB696" s="74"/>
    </row>
    <row r="697" spans="1:28" ht="12" customHeight="1">
      <c r="A697" s="105"/>
      <c r="B697" s="106"/>
      <c r="C697" s="107"/>
      <c r="D697" s="108"/>
      <c r="E697" s="107"/>
      <c r="F697" s="107"/>
      <c r="G697" s="35"/>
      <c r="H697" s="104"/>
      <c r="I697" s="35"/>
      <c r="J697" s="74"/>
      <c r="K697" s="74"/>
      <c r="L697" s="74"/>
      <c r="M697" s="74"/>
      <c r="N697" s="74"/>
      <c r="O697" s="74"/>
      <c r="P697" s="74"/>
      <c r="Q697" s="74"/>
      <c r="R697" s="74"/>
      <c r="S697" s="74"/>
      <c r="T697" s="74"/>
      <c r="U697" s="74"/>
      <c r="V697" s="74"/>
      <c r="W697" s="74"/>
      <c r="X697" s="74"/>
      <c r="Y697" s="74"/>
      <c r="Z697" s="74"/>
      <c r="AA697" s="74"/>
      <c r="AB697" s="74"/>
    </row>
    <row r="698" spans="1:28" ht="12" customHeight="1">
      <c r="A698" s="105"/>
      <c r="B698" s="106"/>
      <c r="C698" s="107"/>
      <c r="D698" s="108"/>
      <c r="E698" s="107"/>
      <c r="F698" s="107"/>
      <c r="G698" s="35"/>
      <c r="H698" s="104"/>
      <c r="I698" s="35"/>
      <c r="J698" s="74"/>
      <c r="K698" s="74"/>
      <c r="L698" s="74"/>
      <c r="M698" s="74"/>
      <c r="N698" s="74"/>
      <c r="O698" s="74"/>
      <c r="P698" s="74"/>
      <c r="Q698" s="74"/>
      <c r="R698" s="74"/>
      <c r="S698" s="74"/>
      <c r="T698" s="74"/>
      <c r="U698" s="74"/>
      <c r="V698" s="74"/>
      <c r="W698" s="74"/>
      <c r="X698" s="74"/>
      <c r="Y698" s="74"/>
      <c r="Z698" s="74"/>
      <c r="AA698" s="74"/>
      <c r="AB698" s="74"/>
    </row>
    <row r="699" spans="1:28" ht="12" customHeight="1">
      <c r="A699" s="105"/>
      <c r="B699" s="106"/>
      <c r="C699" s="107"/>
      <c r="D699" s="108"/>
      <c r="E699" s="107"/>
      <c r="F699" s="107"/>
      <c r="G699" s="35"/>
      <c r="H699" s="104"/>
      <c r="I699" s="35"/>
      <c r="J699" s="74"/>
      <c r="K699" s="74"/>
      <c r="L699" s="74"/>
      <c r="M699" s="74"/>
      <c r="N699" s="74"/>
      <c r="O699" s="74"/>
      <c r="P699" s="74"/>
      <c r="Q699" s="74"/>
      <c r="R699" s="74"/>
      <c r="S699" s="74"/>
      <c r="T699" s="74"/>
      <c r="U699" s="74"/>
      <c r="V699" s="74"/>
      <c r="W699" s="74"/>
      <c r="X699" s="74"/>
      <c r="Y699" s="74"/>
      <c r="Z699" s="74"/>
      <c r="AA699" s="74"/>
      <c r="AB699" s="74"/>
    </row>
    <row r="700" spans="1:28" ht="12" customHeight="1">
      <c r="A700" s="105"/>
      <c r="B700" s="106"/>
      <c r="C700" s="107"/>
      <c r="D700" s="108"/>
      <c r="E700" s="107"/>
      <c r="F700" s="107"/>
      <c r="G700" s="35"/>
      <c r="H700" s="104"/>
      <c r="I700" s="35"/>
      <c r="J700" s="74"/>
      <c r="K700" s="74"/>
      <c r="L700" s="74"/>
      <c r="M700" s="74"/>
      <c r="N700" s="74"/>
      <c r="O700" s="74"/>
      <c r="P700" s="74"/>
      <c r="Q700" s="74"/>
      <c r="R700" s="74"/>
      <c r="S700" s="74"/>
      <c r="T700" s="74"/>
      <c r="U700" s="74"/>
      <c r="V700" s="74"/>
      <c r="W700" s="74"/>
      <c r="X700" s="74"/>
      <c r="Y700" s="74"/>
      <c r="Z700" s="74"/>
      <c r="AA700" s="74"/>
      <c r="AB700" s="74"/>
    </row>
    <row r="701" spans="1:28" ht="12" customHeight="1">
      <c r="A701" s="105"/>
      <c r="B701" s="106"/>
      <c r="C701" s="107"/>
      <c r="D701" s="108"/>
      <c r="E701" s="107"/>
      <c r="F701" s="107"/>
      <c r="G701" s="35"/>
      <c r="H701" s="104"/>
      <c r="I701" s="35"/>
      <c r="J701" s="74"/>
      <c r="K701" s="74"/>
      <c r="L701" s="74"/>
      <c r="M701" s="74"/>
      <c r="N701" s="74"/>
      <c r="O701" s="74"/>
      <c r="P701" s="74"/>
      <c r="Q701" s="74"/>
      <c r="R701" s="74"/>
      <c r="S701" s="74"/>
      <c r="T701" s="74"/>
      <c r="U701" s="74"/>
      <c r="V701" s="74"/>
      <c r="W701" s="74"/>
      <c r="X701" s="74"/>
      <c r="Y701" s="74"/>
      <c r="Z701" s="74"/>
      <c r="AA701" s="74"/>
      <c r="AB701" s="74"/>
    </row>
    <row r="702" spans="1:28" ht="12" customHeight="1">
      <c r="A702" s="105"/>
      <c r="B702" s="106"/>
      <c r="C702" s="107"/>
      <c r="D702" s="108"/>
      <c r="E702" s="107"/>
      <c r="F702" s="107"/>
      <c r="G702" s="35"/>
      <c r="H702" s="104"/>
      <c r="I702" s="35"/>
      <c r="J702" s="74"/>
      <c r="K702" s="74"/>
      <c r="L702" s="74"/>
      <c r="M702" s="74"/>
      <c r="N702" s="74"/>
      <c r="O702" s="74"/>
      <c r="P702" s="74"/>
      <c r="Q702" s="74"/>
      <c r="R702" s="74"/>
      <c r="S702" s="74"/>
      <c r="T702" s="74"/>
      <c r="U702" s="74"/>
      <c r="V702" s="74"/>
      <c r="W702" s="74"/>
      <c r="X702" s="74"/>
      <c r="Y702" s="74"/>
      <c r="Z702" s="74"/>
      <c r="AA702" s="74"/>
      <c r="AB702" s="74"/>
    </row>
    <row r="703" spans="1:28" ht="12" customHeight="1">
      <c r="A703" s="105"/>
      <c r="B703" s="106"/>
      <c r="C703" s="107"/>
      <c r="D703" s="108"/>
      <c r="E703" s="107"/>
      <c r="F703" s="107"/>
      <c r="G703" s="35"/>
      <c r="H703" s="104"/>
      <c r="I703" s="35"/>
      <c r="J703" s="74"/>
      <c r="K703" s="74"/>
      <c r="L703" s="74"/>
      <c r="M703" s="74"/>
      <c r="N703" s="74"/>
      <c r="O703" s="74"/>
      <c r="P703" s="74"/>
      <c r="Q703" s="74"/>
      <c r="R703" s="74"/>
      <c r="S703" s="74"/>
      <c r="T703" s="74"/>
      <c r="U703" s="74"/>
      <c r="V703" s="74"/>
      <c r="W703" s="74"/>
      <c r="X703" s="74"/>
      <c r="Y703" s="74"/>
      <c r="Z703" s="74"/>
      <c r="AA703" s="74"/>
      <c r="AB703" s="74"/>
    </row>
    <row r="704" spans="1:28" ht="12" customHeight="1">
      <c r="A704" s="105"/>
      <c r="B704" s="106"/>
      <c r="C704" s="107"/>
      <c r="D704" s="108"/>
      <c r="E704" s="107"/>
      <c r="F704" s="107"/>
      <c r="G704" s="35"/>
      <c r="H704" s="104"/>
      <c r="I704" s="35"/>
      <c r="J704" s="74"/>
      <c r="K704" s="74"/>
      <c r="L704" s="74"/>
      <c r="M704" s="74"/>
      <c r="N704" s="74"/>
      <c r="O704" s="74"/>
      <c r="P704" s="74"/>
      <c r="Q704" s="74"/>
      <c r="R704" s="74"/>
      <c r="S704" s="74"/>
      <c r="T704" s="74"/>
      <c r="U704" s="74"/>
      <c r="V704" s="74"/>
      <c r="W704" s="74"/>
      <c r="X704" s="74"/>
      <c r="Y704" s="74"/>
      <c r="Z704" s="74"/>
      <c r="AA704" s="74"/>
      <c r="AB704" s="74"/>
    </row>
    <row r="705" spans="1:28" ht="12" customHeight="1">
      <c r="A705" s="105"/>
      <c r="B705" s="106"/>
      <c r="C705" s="107"/>
      <c r="D705" s="108"/>
      <c r="E705" s="107"/>
      <c r="F705" s="107"/>
      <c r="G705" s="35"/>
      <c r="H705" s="104"/>
      <c r="I705" s="35"/>
      <c r="J705" s="74"/>
      <c r="K705" s="74"/>
      <c r="L705" s="74"/>
      <c r="M705" s="74"/>
      <c r="N705" s="74"/>
      <c r="O705" s="74"/>
      <c r="P705" s="74"/>
      <c r="Q705" s="74"/>
      <c r="R705" s="74"/>
      <c r="S705" s="74"/>
      <c r="T705" s="74"/>
      <c r="U705" s="74"/>
      <c r="V705" s="74"/>
      <c r="W705" s="74"/>
      <c r="X705" s="74"/>
      <c r="Y705" s="74"/>
      <c r="Z705" s="74"/>
      <c r="AA705" s="74"/>
      <c r="AB705" s="74"/>
    </row>
    <row r="706" spans="1:28" ht="12" customHeight="1">
      <c r="A706" s="105"/>
      <c r="B706" s="106"/>
      <c r="C706" s="107"/>
      <c r="D706" s="108"/>
      <c r="E706" s="107"/>
      <c r="F706" s="107"/>
      <c r="G706" s="35"/>
      <c r="H706" s="104"/>
      <c r="I706" s="35"/>
      <c r="J706" s="74"/>
      <c r="K706" s="74"/>
      <c r="L706" s="74"/>
      <c r="M706" s="74"/>
      <c r="N706" s="74"/>
      <c r="O706" s="74"/>
      <c r="P706" s="74"/>
      <c r="Q706" s="74"/>
      <c r="R706" s="74"/>
      <c r="S706" s="74"/>
      <c r="T706" s="74"/>
      <c r="U706" s="74"/>
      <c r="V706" s="74"/>
      <c r="W706" s="74"/>
      <c r="X706" s="74"/>
      <c r="Y706" s="74"/>
      <c r="Z706" s="74"/>
      <c r="AA706" s="74"/>
      <c r="AB706" s="74"/>
    </row>
    <row r="707" spans="1:28" ht="12" customHeight="1">
      <c r="A707" s="105"/>
      <c r="B707" s="106"/>
      <c r="C707" s="107"/>
      <c r="D707" s="108"/>
      <c r="E707" s="107"/>
      <c r="F707" s="107"/>
      <c r="G707" s="35"/>
      <c r="H707" s="104"/>
      <c r="I707" s="35"/>
      <c r="J707" s="74"/>
      <c r="K707" s="74"/>
      <c r="L707" s="74"/>
      <c r="M707" s="74"/>
      <c r="N707" s="74"/>
      <c r="O707" s="74"/>
      <c r="P707" s="74"/>
      <c r="Q707" s="74"/>
      <c r="R707" s="74"/>
      <c r="S707" s="74"/>
      <c r="T707" s="74"/>
      <c r="U707" s="74"/>
      <c r="V707" s="74"/>
      <c r="W707" s="74"/>
      <c r="X707" s="74"/>
      <c r="Y707" s="74"/>
      <c r="Z707" s="74"/>
      <c r="AA707" s="74"/>
      <c r="AB707" s="74"/>
    </row>
    <row r="708" spans="1:28" ht="12" customHeight="1">
      <c r="A708" s="105"/>
      <c r="B708" s="106"/>
      <c r="C708" s="107"/>
      <c r="D708" s="108"/>
      <c r="E708" s="107"/>
      <c r="F708" s="107"/>
      <c r="G708" s="35"/>
      <c r="H708" s="104"/>
      <c r="I708" s="35"/>
      <c r="J708" s="74"/>
      <c r="K708" s="74"/>
      <c r="L708" s="74"/>
      <c r="M708" s="74"/>
      <c r="N708" s="74"/>
      <c r="O708" s="74"/>
      <c r="P708" s="74"/>
      <c r="Q708" s="74"/>
      <c r="R708" s="74"/>
      <c r="S708" s="74"/>
      <c r="T708" s="74"/>
      <c r="U708" s="74"/>
      <c r="V708" s="74"/>
      <c r="W708" s="74"/>
      <c r="X708" s="74"/>
      <c r="Y708" s="74"/>
      <c r="Z708" s="74"/>
      <c r="AA708" s="74"/>
      <c r="AB708" s="74"/>
    </row>
    <row r="709" spans="1:28" ht="12" customHeight="1">
      <c r="A709" s="105"/>
      <c r="B709" s="106"/>
      <c r="C709" s="107"/>
      <c r="D709" s="108"/>
      <c r="E709" s="107"/>
      <c r="F709" s="107"/>
      <c r="G709" s="35"/>
      <c r="H709" s="104"/>
      <c r="I709" s="35"/>
      <c r="J709" s="74"/>
      <c r="K709" s="74"/>
      <c r="L709" s="74"/>
      <c r="M709" s="74"/>
      <c r="N709" s="74"/>
      <c r="O709" s="74"/>
      <c r="P709" s="74"/>
      <c r="Q709" s="74"/>
      <c r="R709" s="74"/>
      <c r="S709" s="74"/>
      <c r="T709" s="74"/>
      <c r="U709" s="74"/>
      <c r="V709" s="74"/>
      <c r="W709" s="74"/>
      <c r="X709" s="74"/>
      <c r="Y709" s="74"/>
      <c r="Z709" s="74"/>
      <c r="AA709" s="74"/>
      <c r="AB709" s="74"/>
    </row>
    <row r="710" spans="1:28" ht="12" customHeight="1">
      <c r="A710" s="105"/>
      <c r="B710" s="106"/>
      <c r="C710" s="107"/>
      <c r="D710" s="108"/>
      <c r="E710" s="107"/>
      <c r="F710" s="107"/>
      <c r="G710" s="35"/>
      <c r="H710" s="104"/>
      <c r="I710" s="35"/>
      <c r="J710" s="74"/>
      <c r="K710" s="74"/>
      <c r="L710" s="74"/>
      <c r="M710" s="74"/>
      <c r="N710" s="74"/>
      <c r="O710" s="74"/>
      <c r="P710" s="74"/>
      <c r="Q710" s="74"/>
      <c r="R710" s="74"/>
      <c r="S710" s="74"/>
      <c r="T710" s="74"/>
      <c r="U710" s="74"/>
      <c r="V710" s="74"/>
      <c r="W710" s="74"/>
      <c r="X710" s="74"/>
      <c r="Y710" s="74"/>
      <c r="Z710" s="74"/>
      <c r="AA710" s="74"/>
      <c r="AB710" s="74"/>
    </row>
    <row r="711" spans="1:28" ht="12" customHeight="1">
      <c r="A711" s="105"/>
      <c r="B711" s="106"/>
      <c r="C711" s="107"/>
      <c r="D711" s="108"/>
      <c r="E711" s="107"/>
      <c r="F711" s="107"/>
      <c r="G711" s="35"/>
      <c r="H711" s="104"/>
      <c r="I711" s="35"/>
      <c r="J711" s="74"/>
      <c r="K711" s="74"/>
      <c r="L711" s="74"/>
      <c r="M711" s="74"/>
      <c r="N711" s="74"/>
      <c r="O711" s="74"/>
      <c r="P711" s="74"/>
      <c r="Q711" s="74"/>
      <c r="R711" s="74"/>
      <c r="S711" s="74"/>
      <c r="T711" s="74"/>
      <c r="U711" s="74"/>
      <c r="V711" s="74"/>
      <c r="W711" s="74"/>
      <c r="X711" s="74"/>
      <c r="Y711" s="74"/>
      <c r="Z711" s="74"/>
      <c r="AA711" s="74"/>
      <c r="AB711" s="74"/>
    </row>
    <row r="712" spans="1:28" ht="12" customHeight="1">
      <c r="A712" s="105"/>
      <c r="B712" s="106"/>
      <c r="C712" s="107"/>
      <c r="D712" s="108"/>
      <c r="E712" s="107"/>
      <c r="F712" s="107"/>
      <c r="G712" s="35"/>
      <c r="H712" s="104"/>
      <c r="I712" s="35"/>
      <c r="J712" s="74"/>
      <c r="K712" s="74"/>
      <c r="L712" s="74"/>
      <c r="M712" s="74"/>
      <c r="N712" s="74"/>
      <c r="O712" s="74"/>
      <c r="P712" s="74"/>
      <c r="Q712" s="74"/>
      <c r="R712" s="74"/>
      <c r="S712" s="74"/>
      <c r="T712" s="74"/>
      <c r="U712" s="74"/>
      <c r="V712" s="74"/>
      <c r="W712" s="74"/>
      <c r="X712" s="74"/>
      <c r="Y712" s="74"/>
      <c r="Z712" s="74"/>
      <c r="AA712" s="74"/>
      <c r="AB712" s="74"/>
    </row>
    <row r="713" spans="1:28" ht="12" customHeight="1">
      <c r="A713" s="105"/>
      <c r="B713" s="106"/>
      <c r="C713" s="107"/>
      <c r="D713" s="108"/>
      <c r="E713" s="107"/>
      <c r="F713" s="107"/>
      <c r="G713" s="35"/>
      <c r="H713" s="104"/>
      <c r="I713" s="35"/>
      <c r="J713" s="74"/>
      <c r="K713" s="74"/>
      <c r="L713" s="74"/>
      <c r="M713" s="74"/>
      <c r="N713" s="74"/>
      <c r="O713" s="74"/>
      <c r="P713" s="74"/>
      <c r="Q713" s="74"/>
      <c r="R713" s="74"/>
      <c r="S713" s="74"/>
      <c r="T713" s="74"/>
      <c r="U713" s="74"/>
      <c r="V713" s="74"/>
      <c r="W713" s="74"/>
      <c r="X713" s="74"/>
      <c r="Y713" s="74"/>
      <c r="Z713" s="74"/>
      <c r="AA713" s="74"/>
      <c r="AB713" s="74"/>
    </row>
    <row r="714" spans="1:28" ht="12" customHeight="1">
      <c r="A714" s="105"/>
      <c r="B714" s="106"/>
      <c r="C714" s="107"/>
      <c r="D714" s="108"/>
      <c r="E714" s="107"/>
      <c r="F714" s="107"/>
      <c r="G714" s="35"/>
      <c r="H714" s="104"/>
      <c r="I714" s="35"/>
      <c r="J714" s="74"/>
      <c r="K714" s="74"/>
      <c r="L714" s="74"/>
      <c r="M714" s="74"/>
      <c r="N714" s="74"/>
      <c r="O714" s="74"/>
      <c r="P714" s="74"/>
      <c r="Q714" s="74"/>
      <c r="R714" s="74"/>
      <c r="S714" s="74"/>
      <c r="T714" s="74"/>
      <c r="U714" s="74"/>
      <c r="V714" s="74"/>
      <c r="W714" s="74"/>
      <c r="X714" s="74"/>
      <c r="Y714" s="74"/>
      <c r="Z714" s="74"/>
      <c r="AA714" s="74"/>
      <c r="AB714" s="74"/>
    </row>
    <row r="715" spans="1:28" ht="12" customHeight="1">
      <c r="A715" s="105"/>
      <c r="B715" s="106"/>
      <c r="C715" s="107"/>
      <c r="D715" s="108"/>
      <c r="E715" s="107"/>
      <c r="F715" s="107"/>
      <c r="G715" s="35"/>
      <c r="H715" s="104"/>
      <c r="I715" s="35"/>
      <c r="J715" s="74"/>
      <c r="K715" s="74"/>
      <c r="L715" s="74"/>
      <c r="M715" s="74"/>
      <c r="N715" s="74"/>
      <c r="O715" s="74"/>
      <c r="P715" s="74"/>
      <c r="Q715" s="74"/>
      <c r="R715" s="74"/>
      <c r="S715" s="74"/>
      <c r="T715" s="74"/>
      <c r="U715" s="74"/>
      <c r="V715" s="74"/>
      <c r="W715" s="74"/>
      <c r="X715" s="74"/>
      <c r="Y715" s="74"/>
      <c r="Z715" s="74"/>
      <c r="AA715" s="74"/>
      <c r="AB715" s="74"/>
    </row>
    <row r="716" spans="1:28" ht="12" customHeight="1">
      <c r="A716" s="105"/>
      <c r="B716" s="106"/>
      <c r="C716" s="107"/>
      <c r="D716" s="108"/>
      <c r="E716" s="107"/>
      <c r="F716" s="107"/>
      <c r="G716" s="35"/>
      <c r="H716" s="104"/>
      <c r="I716" s="35"/>
      <c r="J716" s="74"/>
      <c r="K716" s="74"/>
      <c r="L716" s="74"/>
      <c r="M716" s="74"/>
      <c r="N716" s="74"/>
      <c r="O716" s="74"/>
      <c r="P716" s="74"/>
      <c r="Q716" s="74"/>
      <c r="R716" s="74"/>
      <c r="S716" s="74"/>
      <c r="T716" s="74"/>
      <c r="U716" s="74"/>
      <c r="V716" s="74"/>
      <c r="W716" s="74"/>
      <c r="X716" s="74"/>
      <c r="Y716" s="74"/>
      <c r="Z716" s="74"/>
      <c r="AA716" s="74"/>
      <c r="AB716" s="74"/>
    </row>
    <row r="717" spans="1:28" ht="12" customHeight="1">
      <c r="A717" s="105"/>
      <c r="B717" s="106"/>
      <c r="C717" s="107"/>
      <c r="D717" s="108"/>
      <c r="E717" s="107"/>
      <c r="F717" s="107"/>
      <c r="G717" s="35"/>
      <c r="H717" s="104"/>
      <c r="I717" s="35"/>
      <c r="J717" s="74"/>
      <c r="K717" s="74"/>
      <c r="L717" s="74"/>
      <c r="M717" s="74"/>
      <c r="N717" s="74"/>
      <c r="O717" s="74"/>
      <c r="P717" s="74"/>
      <c r="Q717" s="74"/>
      <c r="R717" s="74"/>
      <c r="S717" s="74"/>
      <c r="T717" s="74"/>
      <c r="U717" s="74"/>
      <c r="V717" s="74"/>
      <c r="W717" s="74"/>
      <c r="X717" s="74"/>
      <c r="Y717" s="74"/>
      <c r="Z717" s="74"/>
      <c r="AA717" s="74"/>
      <c r="AB717" s="74"/>
    </row>
    <row r="718" spans="1:28" ht="12" customHeight="1">
      <c r="A718" s="105"/>
      <c r="B718" s="106"/>
      <c r="C718" s="107"/>
      <c r="D718" s="108"/>
      <c r="E718" s="107"/>
      <c r="F718" s="107"/>
      <c r="G718" s="35"/>
      <c r="H718" s="104"/>
      <c r="I718" s="35"/>
      <c r="J718" s="74"/>
      <c r="K718" s="74"/>
      <c r="L718" s="74"/>
      <c r="M718" s="74"/>
      <c r="N718" s="74"/>
      <c r="O718" s="74"/>
      <c r="P718" s="74"/>
      <c r="Q718" s="74"/>
      <c r="R718" s="74"/>
      <c r="S718" s="74"/>
      <c r="T718" s="74"/>
      <c r="U718" s="74"/>
      <c r="V718" s="74"/>
      <c r="W718" s="74"/>
      <c r="X718" s="74"/>
      <c r="Y718" s="74"/>
      <c r="Z718" s="74"/>
      <c r="AA718" s="74"/>
      <c r="AB718" s="74"/>
    </row>
    <row r="719" spans="1:28" ht="12" customHeight="1">
      <c r="A719" s="105"/>
      <c r="B719" s="106"/>
      <c r="C719" s="107"/>
      <c r="D719" s="108"/>
      <c r="E719" s="107"/>
      <c r="F719" s="107"/>
      <c r="G719" s="35"/>
      <c r="H719" s="104"/>
      <c r="I719" s="35"/>
      <c r="J719" s="74"/>
      <c r="K719" s="74"/>
      <c r="L719" s="74"/>
      <c r="M719" s="74"/>
      <c r="N719" s="74"/>
      <c r="O719" s="74"/>
      <c r="P719" s="74"/>
      <c r="Q719" s="74"/>
      <c r="R719" s="74"/>
      <c r="S719" s="74"/>
      <c r="T719" s="74"/>
      <c r="U719" s="74"/>
      <c r="V719" s="74"/>
      <c r="W719" s="74"/>
      <c r="X719" s="74"/>
      <c r="Y719" s="74"/>
      <c r="Z719" s="74"/>
      <c r="AA719" s="74"/>
      <c r="AB719" s="74"/>
    </row>
    <row r="720" spans="1:28" ht="12" customHeight="1">
      <c r="A720" s="105"/>
      <c r="B720" s="106"/>
      <c r="C720" s="107"/>
      <c r="D720" s="108"/>
      <c r="E720" s="107"/>
      <c r="F720" s="107"/>
      <c r="G720" s="35"/>
      <c r="H720" s="104"/>
      <c r="I720" s="35"/>
      <c r="J720" s="74"/>
      <c r="K720" s="74"/>
      <c r="L720" s="74"/>
      <c r="M720" s="74"/>
      <c r="N720" s="74"/>
      <c r="O720" s="74"/>
      <c r="P720" s="74"/>
      <c r="Q720" s="74"/>
      <c r="R720" s="74"/>
      <c r="S720" s="74"/>
      <c r="T720" s="74"/>
      <c r="U720" s="74"/>
      <c r="V720" s="74"/>
      <c r="W720" s="74"/>
      <c r="X720" s="74"/>
      <c r="Y720" s="74"/>
      <c r="Z720" s="74"/>
      <c r="AA720" s="74"/>
      <c r="AB720" s="74"/>
    </row>
    <row r="721" spans="1:28" ht="12" customHeight="1">
      <c r="A721" s="105"/>
      <c r="B721" s="106"/>
      <c r="C721" s="107"/>
      <c r="D721" s="108"/>
      <c r="E721" s="107"/>
      <c r="F721" s="107"/>
      <c r="G721" s="35"/>
      <c r="H721" s="104"/>
      <c r="I721" s="35"/>
      <c r="J721" s="74"/>
      <c r="K721" s="74"/>
      <c r="L721" s="74"/>
      <c r="M721" s="74"/>
      <c r="N721" s="74"/>
      <c r="O721" s="74"/>
      <c r="P721" s="74"/>
      <c r="Q721" s="74"/>
      <c r="R721" s="74"/>
      <c r="S721" s="74"/>
      <c r="T721" s="74"/>
      <c r="U721" s="74"/>
      <c r="V721" s="74"/>
      <c r="W721" s="74"/>
      <c r="X721" s="74"/>
      <c r="Y721" s="74"/>
      <c r="Z721" s="74"/>
      <c r="AA721" s="74"/>
      <c r="AB721" s="74"/>
    </row>
    <row r="722" spans="1:28" ht="12" customHeight="1">
      <c r="A722" s="105"/>
      <c r="B722" s="106"/>
      <c r="C722" s="107"/>
      <c r="D722" s="108"/>
      <c r="E722" s="107"/>
      <c r="F722" s="107"/>
      <c r="G722" s="35"/>
      <c r="H722" s="104"/>
      <c r="I722" s="35"/>
      <c r="J722" s="74"/>
      <c r="K722" s="74"/>
      <c r="L722" s="74"/>
      <c r="M722" s="74"/>
      <c r="N722" s="74"/>
      <c r="O722" s="74"/>
      <c r="P722" s="74"/>
      <c r="Q722" s="74"/>
      <c r="R722" s="74"/>
      <c r="S722" s="74"/>
      <c r="T722" s="74"/>
      <c r="U722" s="74"/>
      <c r="V722" s="74"/>
      <c r="W722" s="74"/>
      <c r="X722" s="74"/>
      <c r="Y722" s="74"/>
      <c r="Z722" s="74"/>
      <c r="AA722" s="74"/>
      <c r="AB722" s="74"/>
    </row>
    <row r="723" spans="1:28" ht="12" customHeight="1">
      <c r="A723" s="105"/>
      <c r="B723" s="106"/>
      <c r="C723" s="107"/>
      <c r="D723" s="108"/>
      <c r="E723" s="107"/>
      <c r="F723" s="107"/>
      <c r="G723" s="35"/>
      <c r="H723" s="104"/>
      <c r="I723" s="35"/>
      <c r="J723" s="74"/>
      <c r="K723" s="74"/>
      <c r="L723" s="74"/>
      <c r="M723" s="74"/>
      <c r="N723" s="74"/>
      <c r="O723" s="74"/>
      <c r="P723" s="74"/>
      <c r="Q723" s="74"/>
      <c r="R723" s="74"/>
      <c r="S723" s="74"/>
      <c r="T723" s="74"/>
      <c r="U723" s="74"/>
      <c r="V723" s="74"/>
      <c r="W723" s="74"/>
      <c r="X723" s="74"/>
      <c r="Y723" s="74"/>
      <c r="Z723" s="74"/>
      <c r="AA723" s="74"/>
      <c r="AB723" s="74"/>
    </row>
    <row r="724" spans="1:28" ht="12" customHeight="1">
      <c r="A724" s="105"/>
      <c r="B724" s="106"/>
      <c r="C724" s="107"/>
      <c r="D724" s="108"/>
      <c r="E724" s="107"/>
      <c r="F724" s="107"/>
      <c r="G724" s="35"/>
      <c r="H724" s="104"/>
      <c r="I724" s="35"/>
      <c r="J724" s="74"/>
      <c r="K724" s="74"/>
      <c r="L724" s="74"/>
      <c r="M724" s="74"/>
      <c r="N724" s="74"/>
      <c r="O724" s="74"/>
      <c r="P724" s="74"/>
      <c r="Q724" s="74"/>
      <c r="R724" s="74"/>
      <c r="S724" s="74"/>
      <c r="T724" s="74"/>
      <c r="U724" s="74"/>
      <c r="V724" s="74"/>
      <c r="W724" s="74"/>
      <c r="X724" s="74"/>
      <c r="Y724" s="74"/>
      <c r="Z724" s="74"/>
      <c r="AA724" s="74"/>
      <c r="AB724" s="74"/>
    </row>
    <row r="725" spans="1:28" ht="12" customHeight="1">
      <c r="A725" s="105"/>
      <c r="B725" s="106"/>
      <c r="C725" s="107"/>
      <c r="D725" s="108"/>
      <c r="E725" s="107"/>
      <c r="F725" s="107"/>
      <c r="G725" s="35"/>
      <c r="H725" s="104"/>
      <c r="I725" s="35"/>
      <c r="J725" s="74"/>
      <c r="K725" s="74"/>
      <c r="L725" s="74"/>
      <c r="M725" s="74"/>
      <c r="N725" s="74"/>
      <c r="O725" s="74"/>
      <c r="P725" s="74"/>
      <c r="Q725" s="74"/>
      <c r="R725" s="74"/>
      <c r="S725" s="74"/>
      <c r="T725" s="74"/>
      <c r="U725" s="74"/>
      <c r="V725" s="74"/>
      <c r="W725" s="74"/>
      <c r="X725" s="74"/>
      <c r="Y725" s="74"/>
      <c r="Z725" s="74"/>
      <c r="AA725" s="74"/>
      <c r="AB725" s="74"/>
    </row>
    <row r="726" spans="1:28" ht="12" customHeight="1">
      <c r="A726" s="105"/>
      <c r="B726" s="106"/>
      <c r="C726" s="107"/>
      <c r="D726" s="108"/>
      <c r="E726" s="107"/>
      <c r="F726" s="107"/>
      <c r="G726" s="35"/>
      <c r="H726" s="104"/>
      <c r="I726" s="35"/>
      <c r="J726" s="74"/>
      <c r="K726" s="74"/>
      <c r="L726" s="74"/>
      <c r="M726" s="74"/>
      <c r="N726" s="74"/>
      <c r="O726" s="74"/>
      <c r="P726" s="74"/>
      <c r="Q726" s="74"/>
      <c r="R726" s="74"/>
      <c r="S726" s="74"/>
      <c r="T726" s="74"/>
      <c r="U726" s="74"/>
      <c r="V726" s="74"/>
      <c r="W726" s="74"/>
      <c r="X726" s="74"/>
      <c r="Y726" s="74"/>
      <c r="Z726" s="74"/>
      <c r="AA726" s="74"/>
      <c r="AB726" s="74"/>
    </row>
    <row r="727" spans="1:28" ht="12" customHeight="1">
      <c r="A727" s="105"/>
      <c r="B727" s="106"/>
      <c r="C727" s="107"/>
      <c r="D727" s="108"/>
      <c r="E727" s="107"/>
      <c r="F727" s="107"/>
      <c r="G727" s="35"/>
      <c r="H727" s="104"/>
      <c r="I727" s="35"/>
      <c r="J727" s="74"/>
      <c r="K727" s="74"/>
      <c r="L727" s="74"/>
      <c r="M727" s="74"/>
      <c r="N727" s="74"/>
      <c r="O727" s="74"/>
      <c r="P727" s="74"/>
      <c r="Q727" s="74"/>
      <c r="R727" s="74"/>
      <c r="S727" s="74"/>
      <c r="T727" s="74"/>
      <c r="U727" s="74"/>
      <c r="V727" s="74"/>
      <c r="W727" s="74"/>
      <c r="X727" s="74"/>
      <c r="Y727" s="74"/>
      <c r="Z727" s="74"/>
      <c r="AA727" s="74"/>
      <c r="AB727" s="74"/>
    </row>
    <row r="728" spans="1:28" ht="12" customHeight="1">
      <c r="A728" s="105"/>
      <c r="B728" s="106"/>
      <c r="C728" s="107"/>
      <c r="D728" s="108"/>
      <c r="E728" s="107"/>
      <c r="F728" s="107"/>
      <c r="G728" s="35"/>
      <c r="H728" s="104"/>
      <c r="I728" s="35"/>
      <c r="J728" s="74"/>
      <c r="K728" s="74"/>
      <c r="L728" s="74"/>
      <c r="M728" s="74"/>
      <c r="N728" s="74"/>
      <c r="O728" s="74"/>
      <c r="P728" s="74"/>
      <c r="Q728" s="74"/>
      <c r="R728" s="74"/>
      <c r="S728" s="74"/>
      <c r="T728" s="74"/>
      <c r="U728" s="74"/>
      <c r="V728" s="74"/>
      <c r="W728" s="74"/>
      <c r="X728" s="74"/>
      <c r="Y728" s="74"/>
      <c r="Z728" s="74"/>
      <c r="AA728" s="74"/>
      <c r="AB728" s="74"/>
    </row>
    <row r="729" spans="1:28" ht="12" customHeight="1">
      <c r="A729" s="105"/>
      <c r="B729" s="106"/>
      <c r="C729" s="107"/>
      <c r="D729" s="108"/>
      <c r="E729" s="107"/>
      <c r="F729" s="107"/>
      <c r="G729" s="35"/>
      <c r="H729" s="104"/>
      <c r="I729" s="35"/>
      <c r="J729" s="74"/>
      <c r="K729" s="74"/>
      <c r="L729" s="74"/>
      <c r="M729" s="74"/>
      <c r="N729" s="74"/>
      <c r="O729" s="74"/>
      <c r="P729" s="74"/>
      <c r="Q729" s="74"/>
      <c r="R729" s="74"/>
      <c r="S729" s="74"/>
      <c r="T729" s="74"/>
      <c r="U729" s="74"/>
      <c r="V729" s="74"/>
      <c r="W729" s="74"/>
      <c r="X729" s="74"/>
      <c r="Y729" s="74"/>
      <c r="Z729" s="74"/>
      <c r="AA729" s="74"/>
      <c r="AB729" s="74"/>
    </row>
    <row r="730" spans="1:28" ht="12" customHeight="1">
      <c r="A730" s="105"/>
      <c r="B730" s="106"/>
      <c r="C730" s="107"/>
      <c r="D730" s="108"/>
      <c r="E730" s="107"/>
      <c r="F730" s="107"/>
      <c r="G730" s="35"/>
      <c r="H730" s="104"/>
      <c r="I730" s="35"/>
      <c r="J730" s="74"/>
      <c r="K730" s="74"/>
      <c r="L730" s="74"/>
      <c r="M730" s="74"/>
      <c r="N730" s="74"/>
      <c r="O730" s="74"/>
      <c r="P730" s="74"/>
      <c r="Q730" s="74"/>
      <c r="R730" s="74"/>
      <c r="S730" s="74"/>
      <c r="T730" s="74"/>
      <c r="U730" s="74"/>
      <c r="V730" s="74"/>
      <c r="W730" s="74"/>
      <c r="X730" s="74"/>
      <c r="Y730" s="74"/>
      <c r="Z730" s="74"/>
      <c r="AA730" s="74"/>
      <c r="AB730" s="74"/>
    </row>
    <row r="731" spans="1:28" ht="12" customHeight="1">
      <c r="A731" s="105"/>
      <c r="B731" s="106"/>
      <c r="C731" s="107"/>
      <c r="D731" s="108"/>
      <c r="E731" s="107"/>
      <c r="F731" s="107"/>
      <c r="G731" s="35"/>
      <c r="H731" s="104"/>
      <c r="I731" s="35"/>
      <c r="J731" s="74"/>
      <c r="K731" s="74"/>
      <c r="L731" s="74"/>
      <c r="M731" s="74"/>
      <c r="N731" s="74"/>
      <c r="O731" s="74"/>
      <c r="P731" s="74"/>
      <c r="Q731" s="74"/>
      <c r="R731" s="74"/>
      <c r="S731" s="74"/>
      <c r="T731" s="74"/>
      <c r="U731" s="74"/>
      <c r="V731" s="74"/>
      <c r="W731" s="74"/>
      <c r="X731" s="74"/>
      <c r="Y731" s="74"/>
      <c r="Z731" s="74"/>
      <c r="AA731" s="74"/>
      <c r="AB731" s="74"/>
    </row>
    <row r="732" spans="1:28" ht="12" customHeight="1">
      <c r="A732" s="105"/>
      <c r="B732" s="106"/>
      <c r="C732" s="107"/>
      <c r="D732" s="108"/>
      <c r="E732" s="107"/>
      <c r="F732" s="107"/>
      <c r="G732" s="35"/>
      <c r="H732" s="104"/>
      <c r="I732" s="35"/>
      <c r="J732" s="74"/>
      <c r="K732" s="74"/>
      <c r="L732" s="74"/>
      <c r="M732" s="74"/>
      <c r="N732" s="74"/>
      <c r="O732" s="74"/>
      <c r="P732" s="74"/>
      <c r="Q732" s="74"/>
      <c r="R732" s="74"/>
      <c r="S732" s="74"/>
      <c r="T732" s="74"/>
      <c r="U732" s="74"/>
      <c r="V732" s="74"/>
      <c r="W732" s="74"/>
      <c r="X732" s="74"/>
      <c r="Y732" s="74"/>
      <c r="Z732" s="74"/>
      <c r="AA732" s="74"/>
      <c r="AB732" s="74"/>
    </row>
    <row r="733" spans="1:28" ht="12" customHeight="1">
      <c r="A733" s="105"/>
      <c r="B733" s="106"/>
      <c r="C733" s="107"/>
      <c r="D733" s="108"/>
      <c r="E733" s="107"/>
      <c r="F733" s="107"/>
      <c r="G733" s="35"/>
      <c r="H733" s="104"/>
      <c r="I733" s="35"/>
      <c r="J733" s="74"/>
      <c r="K733" s="74"/>
      <c r="L733" s="74"/>
      <c r="M733" s="74"/>
      <c r="N733" s="74"/>
      <c r="O733" s="74"/>
      <c r="P733" s="74"/>
      <c r="Q733" s="74"/>
      <c r="R733" s="74"/>
      <c r="S733" s="74"/>
      <c r="T733" s="74"/>
      <c r="U733" s="74"/>
      <c r="V733" s="74"/>
      <c r="W733" s="74"/>
      <c r="X733" s="74"/>
      <c r="Y733" s="74"/>
      <c r="Z733" s="74"/>
      <c r="AA733" s="74"/>
      <c r="AB733" s="74"/>
    </row>
    <row r="734" spans="1:28" ht="12" customHeight="1">
      <c r="A734" s="105"/>
      <c r="B734" s="106"/>
      <c r="C734" s="107"/>
      <c r="D734" s="108"/>
      <c r="E734" s="107"/>
      <c r="F734" s="107"/>
      <c r="G734" s="35"/>
      <c r="H734" s="104"/>
      <c r="I734" s="35"/>
      <c r="J734" s="74"/>
      <c r="K734" s="74"/>
      <c r="L734" s="74"/>
      <c r="M734" s="74"/>
      <c r="N734" s="74"/>
      <c r="O734" s="74"/>
      <c r="P734" s="74"/>
      <c r="Q734" s="74"/>
      <c r="R734" s="74"/>
      <c r="S734" s="74"/>
      <c r="T734" s="74"/>
      <c r="U734" s="74"/>
      <c r="V734" s="74"/>
      <c r="W734" s="74"/>
      <c r="X734" s="74"/>
      <c r="Y734" s="74"/>
      <c r="Z734" s="74"/>
      <c r="AA734" s="74"/>
      <c r="AB734" s="74"/>
    </row>
    <row r="735" spans="1:28" ht="12" customHeight="1">
      <c r="A735" s="105"/>
      <c r="B735" s="106"/>
      <c r="C735" s="107"/>
      <c r="D735" s="108"/>
      <c r="E735" s="107"/>
      <c r="F735" s="107"/>
      <c r="G735" s="35"/>
      <c r="H735" s="104"/>
      <c r="I735" s="35"/>
      <c r="J735" s="74"/>
      <c r="K735" s="74"/>
      <c r="L735" s="74"/>
      <c r="M735" s="74"/>
      <c r="N735" s="74"/>
      <c r="O735" s="74"/>
      <c r="P735" s="74"/>
      <c r="Q735" s="74"/>
      <c r="R735" s="74"/>
      <c r="S735" s="74"/>
      <c r="T735" s="74"/>
      <c r="U735" s="74"/>
      <c r="V735" s="74"/>
      <c r="W735" s="74"/>
      <c r="X735" s="74"/>
      <c r="Y735" s="74"/>
      <c r="Z735" s="74"/>
      <c r="AA735" s="74"/>
      <c r="AB735" s="74"/>
    </row>
    <row r="736" spans="1:28" ht="12" customHeight="1">
      <c r="A736" s="105"/>
      <c r="B736" s="106"/>
      <c r="C736" s="107"/>
      <c r="D736" s="108"/>
      <c r="E736" s="107"/>
      <c r="F736" s="107"/>
      <c r="G736" s="35"/>
      <c r="H736" s="104"/>
      <c r="I736" s="35"/>
      <c r="J736" s="74"/>
      <c r="K736" s="74"/>
      <c r="L736" s="74"/>
      <c r="M736" s="74"/>
      <c r="N736" s="74"/>
      <c r="O736" s="74"/>
      <c r="P736" s="74"/>
      <c r="Q736" s="74"/>
      <c r="R736" s="74"/>
      <c r="S736" s="74"/>
      <c r="T736" s="74"/>
      <c r="U736" s="74"/>
      <c r="V736" s="74"/>
      <c r="W736" s="74"/>
      <c r="X736" s="74"/>
      <c r="Y736" s="74"/>
      <c r="Z736" s="74"/>
      <c r="AA736" s="74"/>
      <c r="AB736" s="74"/>
    </row>
    <row r="737" spans="1:28" ht="12" customHeight="1">
      <c r="A737" s="105"/>
      <c r="B737" s="106"/>
      <c r="C737" s="107"/>
      <c r="D737" s="108"/>
      <c r="E737" s="107"/>
      <c r="F737" s="107"/>
      <c r="G737" s="35"/>
      <c r="H737" s="104"/>
      <c r="I737" s="35"/>
      <c r="J737" s="74"/>
      <c r="K737" s="74"/>
      <c r="L737" s="74"/>
      <c r="M737" s="74"/>
      <c r="N737" s="74"/>
      <c r="O737" s="74"/>
      <c r="P737" s="74"/>
      <c r="Q737" s="74"/>
      <c r="R737" s="74"/>
      <c r="S737" s="74"/>
      <c r="T737" s="74"/>
      <c r="U737" s="74"/>
      <c r="V737" s="74"/>
      <c r="W737" s="74"/>
      <c r="X737" s="74"/>
      <c r="Y737" s="74"/>
      <c r="Z737" s="74"/>
      <c r="AA737" s="74"/>
      <c r="AB737" s="74"/>
    </row>
    <row r="738" spans="1:28" ht="12" customHeight="1">
      <c r="A738" s="105"/>
      <c r="B738" s="106"/>
      <c r="C738" s="107"/>
      <c r="D738" s="108"/>
      <c r="E738" s="107"/>
      <c r="F738" s="107"/>
      <c r="G738" s="35"/>
      <c r="H738" s="104"/>
      <c r="I738" s="35"/>
      <c r="J738" s="74"/>
      <c r="K738" s="74"/>
      <c r="L738" s="74"/>
      <c r="M738" s="74"/>
      <c r="N738" s="74"/>
      <c r="O738" s="74"/>
      <c r="P738" s="74"/>
      <c r="Q738" s="74"/>
      <c r="R738" s="74"/>
      <c r="S738" s="74"/>
      <c r="T738" s="74"/>
      <c r="U738" s="74"/>
      <c r="V738" s="74"/>
      <c r="W738" s="74"/>
      <c r="X738" s="74"/>
      <c r="Y738" s="74"/>
      <c r="Z738" s="74"/>
      <c r="AA738" s="74"/>
      <c r="AB738" s="74"/>
    </row>
    <row r="739" spans="1:28" ht="12" customHeight="1">
      <c r="A739" s="105"/>
      <c r="B739" s="106"/>
      <c r="C739" s="107"/>
      <c r="D739" s="108"/>
      <c r="E739" s="107"/>
      <c r="F739" s="107"/>
      <c r="G739" s="35"/>
      <c r="H739" s="104"/>
      <c r="I739" s="35"/>
      <c r="J739" s="74"/>
      <c r="K739" s="74"/>
      <c r="L739" s="74"/>
      <c r="M739" s="74"/>
      <c r="N739" s="74"/>
      <c r="O739" s="74"/>
      <c r="P739" s="74"/>
      <c r="Q739" s="74"/>
      <c r="R739" s="74"/>
      <c r="S739" s="74"/>
      <c r="T739" s="74"/>
      <c r="U739" s="74"/>
      <c r="V739" s="74"/>
      <c r="W739" s="74"/>
      <c r="X739" s="74"/>
      <c r="Y739" s="74"/>
      <c r="Z739" s="74"/>
      <c r="AA739" s="74"/>
      <c r="AB739" s="74"/>
    </row>
    <row r="740" spans="1:28" ht="12" customHeight="1">
      <c r="A740" s="105"/>
      <c r="B740" s="106"/>
      <c r="C740" s="107"/>
      <c r="D740" s="108"/>
      <c r="E740" s="107"/>
      <c r="F740" s="107"/>
      <c r="G740" s="35"/>
      <c r="H740" s="104"/>
      <c r="I740" s="35"/>
      <c r="J740" s="74"/>
      <c r="K740" s="74"/>
      <c r="L740" s="74"/>
      <c r="M740" s="74"/>
      <c r="N740" s="74"/>
      <c r="O740" s="74"/>
      <c r="P740" s="74"/>
      <c r="Q740" s="74"/>
      <c r="R740" s="74"/>
      <c r="S740" s="74"/>
      <c r="T740" s="74"/>
      <c r="U740" s="74"/>
      <c r="V740" s="74"/>
      <c r="W740" s="74"/>
      <c r="X740" s="74"/>
      <c r="Y740" s="74"/>
      <c r="Z740" s="74"/>
      <c r="AA740" s="74"/>
      <c r="AB740" s="74"/>
    </row>
    <row r="741" spans="1:28" ht="12" customHeight="1">
      <c r="A741" s="105"/>
      <c r="B741" s="106"/>
      <c r="C741" s="107"/>
      <c r="D741" s="108"/>
      <c r="E741" s="107"/>
      <c r="F741" s="107"/>
      <c r="G741" s="35"/>
      <c r="H741" s="104"/>
      <c r="I741" s="35"/>
      <c r="J741" s="74"/>
      <c r="K741" s="74"/>
      <c r="L741" s="74"/>
      <c r="M741" s="74"/>
      <c r="N741" s="74"/>
      <c r="O741" s="74"/>
      <c r="P741" s="74"/>
      <c r="Q741" s="74"/>
      <c r="R741" s="74"/>
      <c r="S741" s="74"/>
      <c r="T741" s="74"/>
      <c r="U741" s="74"/>
      <c r="V741" s="74"/>
      <c r="W741" s="74"/>
      <c r="X741" s="74"/>
      <c r="Y741" s="74"/>
      <c r="Z741" s="74"/>
      <c r="AA741" s="74"/>
      <c r="AB741" s="74"/>
    </row>
    <row r="742" spans="1:28" ht="12" customHeight="1">
      <c r="A742" s="105"/>
      <c r="B742" s="106"/>
      <c r="C742" s="107"/>
      <c r="D742" s="108"/>
      <c r="E742" s="107"/>
      <c r="F742" s="107"/>
      <c r="G742" s="35"/>
      <c r="H742" s="104"/>
      <c r="I742" s="35"/>
      <c r="J742" s="74"/>
      <c r="K742" s="74"/>
      <c r="L742" s="74"/>
      <c r="M742" s="74"/>
      <c r="N742" s="74"/>
      <c r="O742" s="74"/>
      <c r="P742" s="74"/>
      <c r="Q742" s="74"/>
      <c r="R742" s="74"/>
      <c r="S742" s="74"/>
      <c r="T742" s="74"/>
      <c r="U742" s="74"/>
      <c r="V742" s="74"/>
      <c r="W742" s="74"/>
      <c r="X742" s="74"/>
      <c r="Y742" s="74"/>
      <c r="Z742" s="74"/>
      <c r="AA742" s="74"/>
      <c r="AB742" s="74"/>
    </row>
    <row r="743" spans="1:28" ht="12" customHeight="1">
      <c r="A743" s="105"/>
      <c r="B743" s="106"/>
      <c r="C743" s="107"/>
      <c r="D743" s="108"/>
      <c r="E743" s="107"/>
      <c r="F743" s="107"/>
      <c r="G743" s="35"/>
      <c r="H743" s="104"/>
      <c r="I743" s="35"/>
      <c r="J743" s="74"/>
      <c r="K743" s="74"/>
      <c r="L743" s="74"/>
      <c r="M743" s="74"/>
      <c r="N743" s="74"/>
      <c r="O743" s="74"/>
      <c r="P743" s="74"/>
      <c r="Q743" s="74"/>
      <c r="R743" s="74"/>
      <c r="S743" s="74"/>
      <c r="T743" s="74"/>
      <c r="U743" s="74"/>
      <c r="V743" s="74"/>
      <c r="W743" s="74"/>
      <c r="X743" s="74"/>
      <c r="Y743" s="74"/>
      <c r="Z743" s="74"/>
      <c r="AA743" s="74"/>
      <c r="AB743" s="74"/>
    </row>
    <row r="744" spans="1:28" ht="12" customHeight="1">
      <c r="A744" s="105"/>
      <c r="B744" s="106"/>
      <c r="C744" s="107"/>
      <c r="D744" s="108"/>
      <c r="E744" s="107"/>
      <c r="F744" s="107"/>
      <c r="G744" s="35"/>
      <c r="H744" s="104"/>
      <c r="I744" s="35"/>
      <c r="J744" s="74"/>
      <c r="K744" s="74"/>
      <c r="L744" s="74"/>
      <c r="M744" s="74"/>
      <c r="N744" s="74"/>
      <c r="O744" s="74"/>
      <c r="P744" s="74"/>
      <c r="Q744" s="74"/>
      <c r="R744" s="74"/>
      <c r="S744" s="74"/>
      <c r="T744" s="74"/>
      <c r="U744" s="74"/>
      <c r="V744" s="74"/>
      <c r="W744" s="74"/>
      <c r="X744" s="74"/>
      <c r="Y744" s="74"/>
      <c r="Z744" s="74"/>
      <c r="AA744" s="74"/>
      <c r="AB744" s="74"/>
    </row>
    <row r="745" spans="1:28" ht="12" customHeight="1">
      <c r="A745" s="105"/>
      <c r="B745" s="106"/>
      <c r="C745" s="107"/>
      <c r="D745" s="108"/>
      <c r="E745" s="107"/>
      <c r="F745" s="107"/>
      <c r="G745" s="35"/>
      <c r="H745" s="104"/>
      <c r="I745" s="35"/>
      <c r="J745" s="74"/>
      <c r="K745" s="74"/>
      <c r="L745" s="74"/>
      <c r="M745" s="74"/>
      <c r="N745" s="74"/>
      <c r="O745" s="74"/>
      <c r="P745" s="74"/>
      <c r="Q745" s="74"/>
      <c r="R745" s="74"/>
      <c r="S745" s="74"/>
      <c r="T745" s="74"/>
      <c r="U745" s="74"/>
      <c r="V745" s="74"/>
      <c r="W745" s="74"/>
      <c r="X745" s="74"/>
      <c r="Y745" s="74"/>
      <c r="Z745" s="74"/>
      <c r="AA745" s="74"/>
      <c r="AB745" s="74"/>
    </row>
    <row r="746" spans="1:28" ht="12" customHeight="1">
      <c r="A746" s="105"/>
      <c r="B746" s="106"/>
      <c r="C746" s="107"/>
      <c r="D746" s="108"/>
      <c r="E746" s="107"/>
      <c r="F746" s="107"/>
      <c r="G746" s="35"/>
      <c r="H746" s="104"/>
      <c r="I746" s="35"/>
      <c r="J746" s="74"/>
      <c r="K746" s="74"/>
      <c r="L746" s="74"/>
      <c r="M746" s="74"/>
      <c r="N746" s="74"/>
      <c r="O746" s="74"/>
      <c r="P746" s="74"/>
      <c r="Q746" s="74"/>
      <c r="R746" s="74"/>
      <c r="S746" s="74"/>
      <c r="T746" s="74"/>
      <c r="U746" s="74"/>
      <c r="V746" s="74"/>
      <c r="W746" s="74"/>
      <c r="X746" s="74"/>
      <c r="Y746" s="74"/>
      <c r="Z746" s="74"/>
      <c r="AA746" s="74"/>
      <c r="AB746" s="74"/>
    </row>
    <row r="747" spans="1:28" ht="12" customHeight="1">
      <c r="A747" s="105"/>
      <c r="B747" s="106"/>
      <c r="C747" s="107"/>
      <c r="D747" s="108"/>
      <c r="E747" s="107"/>
      <c r="F747" s="107"/>
      <c r="G747" s="35"/>
      <c r="H747" s="104"/>
      <c r="I747" s="35"/>
      <c r="J747" s="74"/>
      <c r="K747" s="74"/>
      <c r="L747" s="74"/>
      <c r="M747" s="74"/>
      <c r="N747" s="74"/>
      <c r="O747" s="74"/>
      <c r="P747" s="74"/>
      <c r="Q747" s="74"/>
      <c r="R747" s="74"/>
      <c r="S747" s="74"/>
      <c r="T747" s="74"/>
      <c r="U747" s="74"/>
      <c r="V747" s="74"/>
      <c r="W747" s="74"/>
      <c r="X747" s="74"/>
      <c r="Y747" s="74"/>
      <c r="Z747" s="74"/>
      <c r="AA747" s="74"/>
      <c r="AB747" s="74"/>
    </row>
    <row r="748" spans="1:28" ht="12" customHeight="1">
      <c r="A748" s="105"/>
      <c r="B748" s="106"/>
      <c r="C748" s="107"/>
      <c r="D748" s="108"/>
      <c r="E748" s="107"/>
      <c r="F748" s="107"/>
      <c r="G748" s="35"/>
      <c r="H748" s="104"/>
      <c r="I748" s="35"/>
      <c r="J748" s="74"/>
      <c r="K748" s="74"/>
      <c r="L748" s="74"/>
      <c r="M748" s="74"/>
      <c r="N748" s="74"/>
      <c r="O748" s="74"/>
      <c r="P748" s="74"/>
      <c r="Q748" s="74"/>
      <c r="R748" s="74"/>
      <c r="S748" s="74"/>
      <c r="T748" s="74"/>
      <c r="U748" s="74"/>
      <c r="V748" s="74"/>
      <c r="W748" s="74"/>
      <c r="X748" s="74"/>
      <c r="Y748" s="74"/>
      <c r="Z748" s="74"/>
      <c r="AA748" s="74"/>
      <c r="AB748" s="74"/>
    </row>
    <row r="749" spans="1:28" ht="12" customHeight="1">
      <c r="A749" s="105"/>
      <c r="B749" s="106"/>
      <c r="C749" s="107"/>
      <c r="D749" s="108"/>
      <c r="E749" s="107"/>
      <c r="F749" s="107"/>
      <c r="G749" s="35"/>
      <c r="H749" s="104"/>
      <c r="I749" s="35"/>
      <c r="J749" s="74"/>
      <c r="K749" s="74"/>
      <c r="L749" s="74"/>
      <c r="M749" s="74"/>
      <c r="N749" s="74"/>
      <c r="O749" s="74"/>
      <c r="P749" s="74"/>
      <c r="Q749" s="74"/>
      <c r="R749" s="74"/>
      <c r="S749" s="74"/>
      <c r="T749" s="74"/>
      <c r="U749" s="74"/>
      <c r="V749" s="74"/>
      <c r="W749" s="74"/>
      <c r="X749" s="74"/>
      <c r="Y749" s="74"/>
      <c r="Z749" s="74"/>
      <c r="AA749" s="74"/>
      <c r="AB749" s="74"/>
    </row>
    <row r="750" spans="1:28" ht="12" customHeight="1">
      <c r="A750" s="105"/>
      <c r="B750" s="106"/>
      <c r="C750" s="107"/>
      <c r="D750" s="108"/>
      <c r="E750" s="107"/>
      <c r="F750" s="107"/>
      <c r="G750" s="35"/>
      <c r="H750" s="104"/>
      <c r="I750" s="35"/>
      <c r="J750" s="74"/>
      <c r="K750" s="74"/>
      <c r="L750" s="74"/>
      <c r="M750" s="74"/>
      <c r="N750" s="74"/>
      <c r="O750" s="74"/>
      <c r="P750" s="74"/>
      <c r="Q750" s="74"/>
      <c r="R750" s="74"/>
      <c r="S750" s="74"/>
      <c r="T750" s="74"/>
      <c r="U750" s="74"/>
      <c r="V750" s="74"/>
      <c r="W750" s="74"/>
      <c r="X750" s="74"/>
      <c r="Y750" s="74"/>
      <c r="Z750" s="74"/>
      <c r="AA750" s="74"/>
      <c r="AB750" s="74"/>
    </row>
    <row r="751" spans="1:28" ht="12" customHeight="1">
      <c r="A751" s="105"/>
      <c r="B751" s="106"/>
      <c r="C751" s="107"/>
      <c r="D751" s="108"/>
      <c r="E751" s="107"/>
      <c r="F751" s="107"/>
      <c r="G751" s="35"/>
      <c r="H751" s="104"/>
      <c r="I751" s="35"/>
      <c r="J751" s="74"/>
      <c r="K751" s="74"/>
      <c r="L751" s="74"/>
      <c r="M751" s="74"/>
      <c r="N751" s="74"/>
      <c r="O751" s="74"/>
      <c r="P751" s="74"/>
      <c r="Q751" s="74"/>
      <c r="R751" s="74"/>
      <c r="S751" s="74"/>
      <c r="T751" s="74"/>
      <c r="U751" s="74"/>
      <c r="V751" s="74"/>
      <c r="W751" s="74"/>
      <c r="X751" s="74"/>
      <c r="Y751" s="74"/>
      <c r="Z751" s="74"/>
      <c r="AA751" s="74"/>
      <c r="AB751" s="74"/>
    </row>
    <row r="752" spans="1:28" ht="12" customHeight="1">
      <c r="A752" s="105"/>
      <c r="B752" s="106"/>
      <c r="C752" s="107"/>
      <c r="D752" s="108"/>
      <c r="E752" s="107"/>
      <c r="F752" s="107"/>
      <c r="G752" s="35"/>
      <c r="H752" s="104"/>
      <c r="I752" s="35"/>
      <c r="J752" s="74"/>
      <c r="K752" s="74"/>
      <c r="L752" s="74"/>
      <c r="M752" s="74"/>
      <c r="N752" s="74"/>
      <c r="O752" s="74"/>
      <c r="P752" s="74"/>
      <c r="Q752" s="74"/>
      <c r="R752" s="74"/>
      <c r="S752" s="74"/>
      <c r="T752" s="74"/>
      <c r="U752" s="74"/>
      <c r="V752" s="74"/>
      <c r="W752" s="74"/>
      <c r="X752" s="74"/>
      <c r="Y752" s="74"/>
      <c r="Z752" s="74"/>
      <c r="AA752" s="74"/>
      <c r="AB752" s="74"/>
    </row>
    <row r="753" spans="1:28" ht="12" customHeight="1">
      <c r="A753" s="105"/>
      <c r="B753" s="106"/>
      <c r="C753" s="107"/>
      <c r="D753" s="108"/>
      <c r="E753" s="107"/>
      <c r="F753" s="107"/>
      <c r="G753" s="35"/>
      <c r="H753" s="104"/>
      <c r="I753" s="35"/>
      <c r="J753" s="74"/>
      <c r="K753" s="74"/>
      <c r="L753" s="74"/>
      <c r="M753" s="74"/>
      <c r="N753" s="74"/>
      <c r="O753" s="74"/>
      <c r="P753" s="74"/>
      <c r="Q753" s="74"/>
      <c r="R753" s="74"/>
      <c r="S753" s="74"/>
      <c r="T753" s="74"/>
      <c r="U753" s="74"/>
      <c r="V753" s="74"/>
      <c r="W753" s="74"/>
      <c r="X753" s="74"/>
      <c r="Y753" s="74"/>
      <c r="Z753" s="74"/>
      <c r="AA753" s="74"/>
      <c r="AB753" s="74"/>
    </row>
    <row r="754" spans="1:28" ht="12" customHeight="1">
      <c r="A754" s="105"/>
      <c r="B754" s="106"/>
      <c r="C754" s="107"/>
      <c r="D754" s="108"/>
      <c r="E754" s="107"/>
      <c r="F754" s="107"/>
      <c r="G754" s="35"/>
      <c r="H754" s="104"/>
      <c r="I754" s="35"/>
      <c r="J754" s="74"/>
      <c r="K754" s="74"/>
      <c r="L754" s="74"/>
      <c r="M754" s="74"/>
      <c r="N754" s="74"/>
      <c r="O754" s="74"/>
      <c r="P754" s="74"/>
      <c r="Q754" s="74"/>
      <c r="R754" s="74"/>
      <c r="S754" s="74"/>
      <c r="T754" s="74"/>
      <c r="U754" s="74"/>
      <c r="V754" s="74"/>
      <c r="W754" s="74"/>
      <c r="X754" s="74"/>
      <c r="Y754" s="74"/>
      <c r="Z754" s="74"/>
      <c r="AA754" s="74"/>
      <c r="AB754" s="74"/>
    </row>
    <row r="755" spans="1:28" ht="12" customHeight="1">
      <c r="A755" s="105"/>
      <c r="B755" s="106"/>
      <c r="C755" s="107"/>
      <c r="D755" s="108"/>
      <c r="E755" s="107"/>
      <c r="F755" s="107"/>
      <c r="G755" s="35"/>
      <c r="H755" s="104"/>
      <c r="I755" s="35"/>
      <c r="J755" s="74"/>
      <c r="K755" s="74"/>
      <c r="L755" s="74"/>
      <c r="M755" s="74"/>
      <c r="N755" s="74"/>
      <c r="O755" s="74"/>
      <c r="P755" s="74"/>
      <c r="Q755" s="74"/>
      <c r="R755" s="74"/>
      <c r="S755" s="74"/>
      <c r="T755" s="74"/>
      <c r="U755" s="74"/>
      <c r="V755" s="74"/>
      <c r="W755" s="74"/>
      <c r="X755" s="74"/>
      <c r="Y755" s="74"/>
      <c r="Z755" s="74"/>
      <c r="AA755" s="74"/>
      <c r="AB755" s="74"/>
    </row>
    <row r="756" spans="1:28" ht="12" customHeight="1">
      <c r="A756" s="105"/>
      <c r="B756" s="106"/>
      <c r="C756" s="107"/>
      <c r="D756" s="108"/>
      <c r="E756" s="107"/>
      <c r="F756" s="107"/>
      <c r="G756" s="35"/>
      <c r="H756" s="104"/>
      <c r="I756" s="35"/>
      <c r="J756" s="74"/>
      <c r="K756" s="74"/>
      <c r="L756" s="74"/>
      <c r="M756" s="74"/>
      <c r="N756" s="74"/>
      <c r="O756" s="74"/>
      <c r="P756" s="74"/>
      <c r="Q756" s="74"/>
      <c r="R756" s="74"/>
      <c r="S756" s="74"/>
      <c r="T756" s="74"/>
      <c r="U756" s="74"/>
      <c r="V756" s="74"/>
      <c r="W756" s="74"/>
      <c r="X756" s="74"/>
      <c r="Y756" s="74"/>
      <c r="Z756" s="74"/>
      <c r="AA756" s="74"/>
      <c r="AB756" s="74"/>
    </row>
    <row r="757" spans="1:28" ht="12" customHeight="1">
      <c r="A757" s="105"/>
      <c r="B757" s="106"/>
      <c r="C757" s="107"/>
      <c r="D757" s="108"/>
      <c r="E757" s="107"/>
      <c r="F757" s="107"/>
      <c r="G757" s="35"/>
      <c r="H757" s="104"/>
      <c r="I757" s="35"/>
      <c r="J757" s="74"/>
      <c r="K757" s="74"/>
      <c r="L757" s="74"/>
      <c r="M757" s="74"/>
      <c r="N757" s="74"/>
      <c r="O757" s="74"/>
      <c r="P757" s="74"/>
      <c r="Q757" s="74"/>
      <c r="R757" s="74"/>
      <c r="S757" s="74"/>
      <c r="T757" s="74"/>
      <c r="U757" s="74"/>
      <c r="V757" s="74"/>
      <c r="W757" s="74"/>
      <c r="X757" s="74"/>
      <c r="Y757" s="74"/>
      <c r="Z757" s="74"/>
      <c r="AA757" s="74"/>
      <c r="AB757" s="74"/>
    </row>
    <row r="758" spans="1:28" ht="12" customHeight="1">
      <c r="A758" s="105"/>
      <c r="B758" s="106"/>
      <c r="C758" s="107"/>
      <c r="D758" s="108"/>
      <c r="E758" s="107"/>
      <c r="F758" s="107"/>
      <c r="G758" s="35"/>
      <c r="H758" s="104"/>
      <c r="I758" s="35"/>
      <c r="J758" s="74"/>
      <c r="K758" s="74"/>
      <c r="L758" s="74"/>
      <c r="M758" s="74"/>
      <c r="N758" s="74"/>
      <c r="O758" s="74"/>
      <c r="P758" s="74"/>
      <c r="Q758" s="74"/>
      <c r="R758" s="74"/>
      <c r="S758" s="74"/>
      <c r="T758" s="74"/>
      <c r="U758" s="74"/>
      <c r="V758" s="74"/>
      <c r="W758" s="74"/>
      <c r="X758" s="74"/>
      <c r="Y758" s="74"/>
      <c r="Z758" s="74"/>
      <c r="AA758" s="74"/>
      <c r="AB758" s="74"/>
    </row>
    <row r="759" spans="1:28" ht="12" customHeight="1">
      <c r="A759" s="105"/>
      <c r="B759" s="106"/>
      <c r="C759" s="107"/>
      <c r="D759" s="108"/>
      <c r="E759" s="107"/>
      <c r="F759" s="107"/>
      <c r="G759" s="35"/>
      <c r="H759" s="104"/>
      <c r="I759" s="35"/>
      <c r="J759" s="74"/>
      <c r="K759" s="74"/>
      <c r="L759" s="74"/>
      <c r="M759" s="74"/>
      <c r="N759" s="74"/>
      <c r="O759" s="74"/>
      <c r="P759" s="74"/>
      <c r="Q759" s="74"/>
      <c r="R759" s="74"/>
      <c r="S759" s="74"/>
      <c r="T759" s="74"/>
      <c r="U759" s="74"/>
      <c r="V759" s="74"/>
      <c r="W759" s="74"/>
      <c r="X759" s="74"/>
      <c r="Y759" s="74"/>
      <c r="Z759" s="74"/>
      <c r="AA759" s="74"/>
      <c r="AB759" s="74"/>
    </row>
    <row r="760" spans="1:28" ht="12" customHeight="1">
      <c r="A760" s="105"/>
      <c r="B760" s="106"/>
      <c r="C760" s="107"/>
      <c r="D760" s="108"/>
      <c r="E760" s="107"/>
      <c r="F760" s="107"/>
      <c r="G760" s="35"/>
      <c r="H760" s="104"/>
      <c r="I760" s="35"/>
      <c r="J760" s="74"/>
      <c r="K760" s="74"/>
      <c r="L760" s="74"/>
      <c r="M760" s="74"/>
      <c r="N760" s="74"/>
      <c r="O760" s="74"/>
      <c r="P760" s="74"/>
      <c r="Q760" s="74"/>
      <c r="R760" s="74"/>
      <c r="S760" s="74"/>
      <c r="T760" s="74"/>
      <c r="U760" s="74"/>
      <c r="V760" s="74"/>
      <c r="W760" s="74"/>
      <c r="X760" s="74"/>
      <c r="Y760" s="74"/>
      <c r="Z760" s="74"/>
      <c r="AA760" s="74"/>
      <c r="AB760" s="74"/>
    </row>
    <row r="761" spans="1:28" ht="12" customHeight="1">
      <c r="A761" s="105"/>
      <c r="B761" s="106"/>
      <c r="C761" s="107"/>
      <c r="D761" s="108"/>
      <c r="E761" s="107"/>
      <c r="F761" s="107"/>
      <c r="G761" s="35"/>
      <c r="H761" s="104"/>
      <c r="I761" s="35"/>
      <c r="J761" s="74"/>
      <c r="K761" s="74"/>
      <c r="L761" s="74"/>
      <c r="M761" s="74"/>
      <c r="N761" s="74"/>
      <c r="O761" s="74"/>
      <c r="P761" s="74"/>
      <c r="Q761" s="74"/>
      <c r="R761" s="74"/>
      <c r="S761" s="74"/>
      <c r="T761" s="74"/>
      <c r="U761" s="74"/>
      <c r="V761" s="74"/>
      <c r="W761" s="74"/>
      <c r="X761" s="74"/>
      <c r="Y761" s="74"/>
      <c r="Z761" s="74"/>
      <c r="AA761" s="74"/>
      <c r="AB761" s="74"/>
    </row>
    <row r="762" spans="1:28" ht="12" customHeight="1">
      <c r="A762" s="105"/>
      <c r="B762" s="106"/>
      <c r="C762" s="107"/>
      <c r="D762" s="108"/>
      <c r="E762" s="107"/>
      <c r="F762" s="107"/>
      <c r="G762" s="35"/>
      <c r="H762" s="104"/>
      <c r="I762" s="35"/>
      <c r="J762" s="74"/>
      <c r="K762" s="74"/>
      <c r="L762" s="74"/>
      <c r="M762" s="74"/>
      <c r="N762" s="74"/>
      <c r="O762" s="74"/>
      <c r="P762" s="74"/>
      <c r="Q762" s="74"/>
      <c r="R762" s="74"/>
      <c r="S762" s="74"/>
      <c r="T762" s="74"/>
      <c r="U762" s="74"/>
      <c r="V762" s="74"/>
      <c r="W762" s="74"/>
      <c r="X762" s="74"/>
      <c r="Y762" s="74"/>
      <c r="Z762" s="74"/>
      <c r="AA762" s="74"/>
      <c r="AB762" s="74"/>
    </row>
    <row r="763" spans="1:28" ht="12" customHeight="1">
      <c r="A763" s="105"/>
      <c r="B763" s="106"/>
      <c r="C763" s="107"/>
      <c r="D763" s="108"/>
      <c r="E763" s="107"/>
      <c r="F763" s="107"/>
      <c r="G763" s="35"/>
      <c r="H763" s="104"/>
      <c r="I763" s="35"/>
      <c r="J763" s="74"/>
      <c r="K763" s="74"/>
      <c r="L763" s="74"/>
      <c r="M763" s="74"/>
      <c r="N763" s="74"/>
      <c r="O763" s="74"/>
      <c r="P763" s="74"/>
      <c r="Q763" s="74"/>
      <c r="R763" s="74"/>
      <c r="S763" s="74"/>
      <c r="T763" s="74"/>
      <c r="U763" s="74"/>
      <c r="V763" s="74"/>
      <c r="W763" s="74"/>
      <c r="X763" s="74"/>
      <c r="Y763" s="74"/>
      <c r="Z763" s="74"/>
      <c r="AA763" s="74"/>
      <c r="AB763" s="74"/>
    </row>
    <row r="764" spans="1:28" ht="12" customHeight="1">
      <c r="A764" s="105"/>
      <c r="B764" s="106"/>
      <c r="C764" s="107"/>
      <c r="D764" s="108"/>
      <c r="E764" s="107"/>
      <c r="F764" s="107"/>
      <c r="G764" s="35"/>
      <c r="H764" s="104"/>
      <c r="I764" s="35"/>
      <c r="J764" s="74"/>
      <c r="K764" s="74"/>
      <c r="L764" s="74"/>
      <c r="M764" s="74"/>
      <c r="N764" s="74"/>
      <c r="O764" s="74"/>
      <c r="P764" s="74"/>
      <c r="Q764" s="74"/>
      <c r="R764" s="74"/>
      <c r="S764" s="74"/>
      <c r="T764" s="74"/>
      <c r="U764" s="74"/>
      <c r="V764" s="74"/>
      <c r="W764" s="74"/>
      <c r="X764" s="74"/>
      <c r="Y764" s="74"/>
      <c r="Z764" s="74"/>
      <c r="AA764" s="74"/>
      <c r="AB764" s="74"/>
    </row>
    <row r="765" spans="1:28" ht="12" customHeight="1">
      <c r="A765" s="105"/>
      <c r="B765" s="106"/>
      <c r="C765" s="107"/>
      <c r="D765" s="108"/>
      <c r="E765" s="107"/>
      <c r="F765" s="107"/>
      <c r="G765" s="35"/>
      <c r="H765" s="104"/>
      <c r="I765" s="35"/>
      <c r="J765" s="74"/>
      <c r="K765" s="74"/>
      <c r="L765" s="74"/>
      <c r="M765" s="74"/>
      <c r="N765" s="74"/>
      <c r="O765" s="74"/>
      <c r="P765" s="74"/>
      <c r="Q765" s="74"/>
      <c r="R765" s="74"/>
      <c r="S765" s="74"/>
      <c r="T765" s="74"/>
      <c r="U765" s="74"/>
      <c r="V765" s="74"/>
      <c r="W765" s="74"/>
      <c r="X765" s="74"/>
      <c r="Y765" s="74"/>
      <c r="Z765" s="74"/>
      <c r="AA765" s="74"/>
      <c r="AB765" s="74"/>
    </row>
    <row r="766" spans="1:28" ht="12" customHeight="1">
      <c r="A766" s="105"/>
      <c r="B766" s="106"/>
      <c r="C766" s="107"/>
      <c r="D766" s="108"/>
      <c r="E766" s="107"/>
      <c r="F766" s="107"/>
      <c r="G766" s="35"/>
      <c r="H766" s="104"/>
      <c r="I766" s="35"/>
      <c r="J766" s="74"/>
      <c r="K766" s="74"/>
      <c r="L766" s="74"/>
      <c r="M766" s="74"/>
      <c r="N766" s="74"/>
      <c r="O766" s="74"/>
      <c r="P766" s="74"/>
      <c r="Q766" s="74"/>
      <c r="R766" s="74"/>
      <c r="S766" s="74"/>
      <c r="T766" s="74"/>
      <c r="U766" s="74"/>
      <c r="V766" s="74"/>
      <c r="W766" s="74"/>
      <c r="X766" s="74"/>
      <c r="Y766" s="74"/>
      <c r="Z766" s="74"/>
      <c r="AA766" s="74"/>
      <c r="AB766" s="74"/>
    </row>
    <row r="767" spans="1:28" ht="12" customHeight="1">
      <c r="A767" s="105"/>
      <c r="B767" s="106"/>
      <c r="C767" s="107"/>
      <c r="D767" s="108"/>
      <c r="E767" s="107"/>
      <c r="F767" s="107"/>
      <c r="G767" s="35"/>
      <c r="H767" s="104"/>
      <c r="I767" s="35"/>
      <c r="J767" s="74"/>
      <c r="K767" s="74"/>
      <c r="L767" s="74"/>
      <c r="M767" s="74"/>
      <c r="N767" s="74"/>
      <c r="O767" s="74"/>
      <c r="P767" s="74"/>
      <c r="Q767" s="74"/>
      <c r="R767" s="74"/>
      <c r="S767" s="74"/>
      <c r="T767" s="74"/>
      <c r="U767" s="74"/>
      <c r="V767" s="74"/>
      <c r="W767" s="74"/>
      <c r="X767" s="74"/>
      <c r="Y767" s="74"/>
      <c r="Z767" s="74"/>
      <c r="AA767" s="74"/>
      <c r="AB767" s="74"/>
    </row>
    <row r="768" spans="1:28" ht="12" customHeight="1">
      <c r="A768" s="105"/>
      <c r="B768" s="106"/>
      <c r="C768" s="107"/>
      <c r="D768" s="108"/>
      <c r="E768" s="107"/>
      <c r="F768" s="107"/>
      <c r="G768" s="35"/>
      <c r="H768" s="104"/>
      <c r="I768" s="35"/>
      <c r="J768" s="74"/>
      <c r="K768" s="74"/>
      <c r="L768" s="74"/>
      <c r="M768" s="74"/>
      <c r="N768" s="74"/>
      <c r="O768" s="74"/>
      <c r="P768" s="74"/>
      <c r="Q768" s="74"/>
      <c r="R768" s="74"/>
      <c r="S768" s="74"/>
      <c r="T768" s="74"/>
      <c r="U768" s="74"/>
      <c r="V768" s="74"/>
      <c r="W768" s="74"/>
      <c r="X768" s="74"/>
      <c r="Y768" s="74"/>
      <c r="Z768" s="74"/>
      <c r="AA768" s="74"/>
      <c r="AB768" s="74"/>
    </row>
    <row r="769" spans="1:28" ht="12" customHeight="1">
      <c r="A769" s="105"/>
      <c r="B769" s="106"/>
      <c r="C769" s="107"/>
      <c r="D769" s="108"/>
      <c r="E769" s="107"/>
      <c r="F769" s="107"/>
      <c r="G769" s="35"/>
      <c r="H769" s="104"/>
      <c r="I769" s="35"/>
      <c r="J769" s="74"/>
      <c r="K769" s="74"/>
      <c r="L769" s="74"/>
      <c r="M769" s="74"/>
      <c r="N769" s="74"/>
      <c r="O769" s="74"/>
      <c r="P769" s="74"/>
      <c r="Q769" s="74"/>
      <c r="R769" s="74"/>
      <c r="S769" s="74"/>
      <c r="T769" s="74"/>
      <c r="U769" s="74"/>
      <c r="V769" s="74"/>
      <c r="W769" s="74"/>
      <c r="X769" s="74"/>
      <c r="Y769" s="74"/>
      <c r="Z769" s="74"/>
      <c r="AA769" s="74"/>
      <c r="AB769" s="74"/>
    </row>
    <row r="770" spans="1:28" ht="12" customHeight="1">
      <c r="A770" s="105"/>
      <c r="B770" s="106"/>
      <c r="C770" s="107"/>
      <c r="D770" s="108"/>
      <c r="E770" s="107"/>
      <c r="F770" s="107"/>
      <c r="G770" s="35"/>
      <c r="H770" s="104"/>
      <c r="I770" s="35"/>
      <c r="J770" s="74"/>
      <c r="K770" s="74"/>
      <c r="L770" s="74"/>
      <c r="M770" s="74"/>
      <c r="N770" s="74"/>
      <c r="O770" s="74"/>
      <c r="P770" s="74"/>
      <c r="Q770" s="74"/>
      <c r="R770" s="74"/>
      <c r="S770" s="74"/>
      <c r="T770" s="74"/>
      <c r="U770" s="74"/>
      <c r="V770" s="74"/>
      <c r="W770" s="74"/>
      <c r="X770" s="74"/>
      <c r="Y770" s="74"/>
      <c r="Z770" s="74"/>
      <c r="AA770" s="74"/>
      <c r="AB770" s="74"/>
    </row>
    <row r="771" spans="1:28" ht="12" customHeight="1">
      <c r="A771" s="105"/>
      <c r="B771" s="106"/>
      <c r="C771" s="107"/>
      <c r="D771" s="108"/>
      <c r="E771" s="107"/>
      <c r="F771" s="107"/>
      <c r="G771" s="35"/>
      <c r="H771" s="104"/>
      <c r="I771" s="35"/>
      <c r="J771" s="74"/>
      <c r="K771" s="74"/>
      <c r="L771" s="74"/>
      <c r="M771" s="74"/>
      <c r="N771" s="74"/>
      <c r="O771" s="74"/>
      <c r="P771" s="74"/>
      <c r="Q771" s="74"/>
      <c r="R771" s="74"/>
      <c r="S771" s="74"/>
      <c r="T771" s="74"/>
      <c r="U771" s="74"/>
      <c r="V771" s="74"/>
      <c r="W771" s="74"/>
      <c r="X771" s="74"/>
      <c r="Y771" s="74"/>
      <c r="Z771" s="74"/>
      <c r="AA771" s="74"/>
      <c r="AB771" s="74"/>
    </row>
    <row r="772" spans="1:28" ht="12" customHeight="1">
      <c r="A772" s="105"/>
      <c r="B772" s="106"/>
      <c r="C772" s="107"/>
      <c r="D772" s="108"/>
      <c r="E772" s="107"/>
      <c r="F772" s="107"/>
      <c r="G772" s="35"/>
      <c r="H772" s="104"/>
      <c r="I772" s="35"/>
      <c r="J772" s="74"/>
      <c r="K772" s="74"/>
      <c r="L772" s="74"/>
      <c r="M772" s="74"/>
      <c r="N772" s="74"/>
      <c r="O772" s="74"/>
      <c r="P772" s="74"/>
      <c r="Q772" s="74"/>
      <c r="R772" s="74"/>
      <c r="S772" s="74"/>
      <c r="T772" s="74"/>
      <c r="U772" s="74"/>
      <c r="V772" s="74"/>
      <c r="W772" s="74"/>
      <c r="X772" s="74"/>
      <c r="Y772" s="74"/>
      <c r="Z772" s="74"/>
      <c r="AA772" s="74"/>
      <c r="AB772" s="74"/>
    </row>
    <row r="773" spans="1:28" ht="12" customHeight="1">
      <c r="A773" s="105"/>
      <c r="B773" s="106"/>
      <c r="C773" s="107"/>
      <c r="D773" s="108"/>
      <c r="E773" s="107"/>
      <c r="F773" s="107"/>
      <c r="G773" s="35"/>
      <c r="H773" s="104"/>
      <c r="I773" s="35"/>
      <c r="J773" s="74"/>
      <c r="K773" s="74"/>
      <c r="L773" s="74"/>
      <c r="M773" s="74"/>
      <c r="N773" s="74"/>
      <c r="O773" s="74"/>
      <c r="P773" s="74"/>
      <c r="Q773" s="74"/>
      <c r="R773" s="74"/>
      <c r="S773" s="74"/>
      <c r="T773" s="74"/>
      <c r="U773" s="74"/>
      <c r="V773" s="74"/>
      <c r="W773" s="74"/>
      <c r="X773" s="74"/>
      <c r="Y773" s="74"/>
      <c r="Z773" s="74"/>
      <c r="AA773" s="74"/>
      <c r="AB773" s="74"/>
    </row>
    <row r="774" spans="1:28" ht="12" customHeight="1">
      <c r="A774" s="105"/>
      <c r="B774" s="106"/>
      <c r="C774" s="107"/>
      <c r="D774" s="108"/>
      <c r="E774" s="107"/>
      <c r="F774" s="107"/>
      <c r="G774" s="35"/>
      <c r="H774" s="104"/>
      <c r="I774" s="35"/>
      <c r="J774" s="74"/>
      <c r="K774" s="74"/>
      <c r="L774" s="74"/>
      <c r="M774" s="74"/>
      <c r="N774" s="74"/>
      <c r="O774" s="74"/>
      <c r="P774" s="74"/>
      <c r="Q774" s="74"/>
      <c r="R774" s="74"/>
      <c r="S774" s="74"/>
      <c r="T774" s="74"/>
      <c r="U774" s="74"/>
      <c r="V774" s="74"/>
      <c r="W774" s="74"/>
      <c r="X774" s="74"/>
      <c r="Y774" s="74"/>
      <c r="Z774" s="74"/>
      <c r="AA774" s="74"/>
      <c r="AB774" s="74"/>
    </row>
    <row r="775" spans="1:28" ht="12" customHeight="1">
      <c r="A775" s="105"/>
      <c r="B775" s="106"/>
      <c r="C775" s="107"/>
      <c r="D775" s="108"/>
      <c r="E775" s="107"/>
      <c r="F775" s="107"/>
      <c r="G775" s="35"/>
      <c r="H775" s="104"/>
      <c r="I775" s="35"/>
      <c r="J775" s="74"/>
      <c r="K775" s="74"/>
      <c r="L775" s="74"/>
      <c r="M775" s="74"/>
      <c r="N775" s="74"/>
      <c r="O775" s="74"/>
      <c r="P775" s="74"/>
      <c r="Q775" s="74"/>
      <c r="R775" s="74"/>
      <c r="S775" s="74"/>
      <c r="T775" s="74"/>
      <c r="U775" s="74"/>
      <c r="V775" s="74"/>
      <c r="W775" s="74"/>
      <c r="X775" s="74"/>
      <c r="Y775" s="74"/>
      <c r="Z775" s="74"/>
      <c r="AA775" s="74"/>
      <c r="AB775" s="74"/>
    </row>
    <row r="776" spans="1:28" ht="12" customHeight="1">
      <c r="A776" s="105"/>
      <c r="B776" s="106"/>
      <c r="C776" s="107"/>
      <c r="D776" s="108"/>
      <c r="E776" s="107"/>
      <c r="F776" s="107"/>
      <c r="G776" s="35"/>
      <c r="H776" s="104"/>
      <c r="I776" s="35"/>
      <c r="J776" s="74"/>
      <c r="K776" s="74"/>
      <c r="L776" s="74"/>
      <c r="M776" s="74"/>
      <c r="N776" s="74"/>
      <c r="O776" s="74"/>
      <c r="P776" s="74"/>
      <c r="Q776" s="74"/>
      <c r="R776" s="74"/>
      <c r="S776" s="74"/>
      <c r="T776" s="74"/>
      <c r="U776" s="74"/>
      <c r="V776" s="74"/>
      <c r="W776" s="74"/>
      <c r="X776" s="74"/>
      <c r="Y776" s="74"/>
      <c r="Z776" s="74"/>
      <c r="AA776" s="74"/>
      <c r="AB776" s="74"/>
    </row>
    <row r="777" spans="1:28" ht="12" customHeight="1">
      <c r="A777" s="105"/>
      <c r="B777" s="106"/>
      <c r="C777" s="107"/>
      <c r="D777" s="108"/>
      <c r="E777" s="107"/>
      <c r="F777" s="107"/>
      <c r="G777" s="35"/>
      <c r="H777" s="104"/>
      <c r="I777" s="35"/>
      <c r="J777" s="74"/>
      <c r="K777" s="74"/>
      <c r="L777" s="74"/>
      <c r="M777" s="74"/>
      <c r="N777" s="74"/>
      <c r="O777" s="74"/>
      <c r="P777" s="74"/>
      <c r="Q777" s="74"/>
      <c r="R777" s="74"/>
      <c r="S777" s="74"/>
      <c r="T777" s="74"/>
      <c r="U777" s="74"/>
      <c r="V777" s="74"/>
      <c r="W777" s="74"/>
      <c r="X777" s="74"/>
      <c r="Y777" s="74"/>
      <c r="Z777" s="74"/>
      <c r="AA777" s="74"/>
      <c r="AB777" s="74"/>
    </row>
    <row r="778" spans="1:28" ht="12" customHeight="1">
      <c r="A778" s="105"/>
      <c r="B778" s="106"/>
      <c r="C778" s="107"/>
      <c r="D778" s="108"/>
      <c r="E778" s="107"/>
      <c r="F778" s="107"/>
      <c r="G778" s="35"/>
      <c r="H778" s="104"/>
      <c r="I778" s="35"/>
      <c r="J778" s="74"/>
      <c r="K778" s="74"/>
      <c r="L778" s="74"/>
      <c r="M778" s="74"/>
      <c r="N778" s="74"/>
      <c r="O778" s="74"/>
      <c r="P778" s="74"/>
      <c r="Q778" s="74"/>
      <c r="R778" s="74"/>
      <c r="S778" s="74"/>
      <c r="T778" s="74"/>
      <c r="U778" s="74"/>
      <c r="V778" s="74"/>
      <c r="W778" s="74"/>
      <c r="X778" s="74"/>
      <c r="Y778" s="74"/>
      <c r="Z778" s="74"/>
      <c r="AA778" s="74"/>
      <c r="AB778" s="74"/>
    </row>
    <row r="779" spans="1:28" ht="12" customHeight="1">
      <c r="A779" s="105"/>
      <c r="B779" s="106"/>
      <c r="C779" s="107"/>
      <c r="D779" s="108"/>
      <c r="E779" s="107"/>
      <c r="F779" s="107"/>
      <c r="G779" s="35"/>
      <c r="H779" s="104"/>
      <c r="I779" s="35"/>
      <c r="J779" s="74"/>
      <c r="K779" s="74"/>
      <c r="L779" s="74"/>
      <c r="M779" s="74"/>
      <c r="N779" s="74"/>
      <c r="O779" s="74"/>
      <c r="P779" s="74"/>
      <c r="Q779" s="74"/>
      <c r="R779" s="74"/>
      <c r="S779" s="74"/>
      <c r="T779" s="74"/>
      <c r="U779" s="74"/>
      <c r="V779" s="74"/>
      <c r="W779" s="74"/>
      <c r="X779" s="74"/>
      <c r="Y779" s="74"/>
      <c r="Z779" s="74"/>
      <c r="AA779" s="74"/>
      <c r="AB779" s="74"/>
    </row>
    <row r="780" spans="1:28" ht="12" customHeight="1">
      <c r="A780" s="105"/>
      <c r="B780" s="106"/>
      <c r="C780" s="107"/>
      <c r="D780" s="108"/>
      <c r="E780" s="107"/>
      <c r="F780" s="107"/>
      <c r="G780" s="35"/>
      <c r="H780" s="104"/>
      <c r="I780" s="35"/>
      <c r="J780" s="74"/>
      <c r="K780" s="74"/>
      <c r="L780" s="74"/>
      <c r="M780" s="74"/>
      <c r="N780" s="74"/>
      <c r="O780" s="74"/>
      <c r="P780" s="74"/>
      <c r="Q780" s="74"/>
      <c r="R780" s="74"/>
      <c r="S780" s="74"/>
      <c r="T780" s="74"/>
      <c r="U780" s="74"/>
      <c r="V780" s="74"/>
      <c r="W780" s="74"/>
      <c r="X780" s="74"/>
      <c r="Y780" s="74"/>
      <c r="Z780" s="74"/>
      <c r="AA780" s="74"/>
      <c r="AB780" s="74"/>
    </row>
    <row r="781" spans="1:28" ht="12" customHeight="1">
      <c r="A781" s="105"/>
      <c r="B781" s="106"/>
      <c r="C781" s="107"/>
      <c r="D781" s="108"/>
      <c r="E781" s="107"/>
      <c r="F781" s="107"/>
      <c r="G781" s="35"/>
      <c r="H781" s="104"/>
      <c r="I781" s="35"/>
      <c r="J781" s="74"/>
      <c r="K781" s="74"/>
      <c r="L781" s="74"/>
      <c r="M781" s="74"/>
      <c r="N781" s="74"/>
      <c r="O781" s="74"/>
      <c r="P781" s="74"/>
      <c r="Q781" s="74"/>
      <c r="R781" s="74"/>
      <c r="S781" s="74"/>
      <c r="T781" s="74"/>
      <c r="U781" s="74"/>
      <c r="V781" s="74"/>
      <c r="W781" s="74"/>
      <c r="X781" s="74"/>
      <c r="Y781" s="74"/>
      <c r="Z781" s="74"/>
      <c r="AA781" s="74"/>
      <c r="AB781" s="74"/>
    </row>
    <row r="782" spans="1:28" ht="12" customHeight="1">
      <c r="A782" s="105"/>
      <c r="B782" s="106"/>
      <c r="C782" s="107"/>
      <c r="D782" s="108"/>
      <c r="E782" s="107"/>
      <c r="F782" s="107"/>
      <c r="G782" s="35"/>
      <c r="H782" s="104"/>
      <c r="I782" s="35"/>
      <c r="J782" s="74"/>
      <c r="K782" s="74"/>
      <c r="L782" s="74"/>
      <c r="M782" s="74"/>
      <c r="N782" s="74"/>
      <c r="O782" s="74"/>
      <c r="P782" s="74"/>
      <c r="Q782" s="74"/>
      <c r="R782" s="74"/>
      <c r="S782" s="74"/>
      <c r="T782" s="74"/>
      <c r="U782" s="74"/>
      <c r="V782" s="74"/>
      <c r="W782" s="74"/>
      <c r="X782" s="74"/>
      <c r="Y782" s="74"/>
      <c r="Z782" s="74"/>
      <c r="AA782" s="74"/>
      <c r="AB782" s="74"/>
    </row>
    <row r="783" spans="1:28" ht="12" customHeight="1">
      <c r="A783" s="105"/>
      <c r="B783" s="106"/>
      <c r="C783" s="107"/>
      <c r="D783" s="108"/>
      <c r="E783" s="107"/>
      <c r="F783" s="107"/>
      <c r="G783" s="35"/>
      <c r="H783" s="104"/>
      <c r="I783" s="35"/>
      <c r="J783" s="74"/>
      <c r="K783" s="74"/>
      <c r="L783" s="74"/>
      <c r="M783" s="74"/>
      <c r="N783" s="74"/>
      <c r="O783" s="74"/>
      <c r="P783" s="74"/>
      <c r="Q783" s="74"/>
      <c r="R783" s="74"/>
      <c r="S783" s="74"/>
      <c r="T783" s="74"/>
      <c r="U783" s="74"/>
      <c r="V783" s="74"/>
      <c r="W783" s="74"/>
      <c r="X783" s="74"/>
      <c r="Y783" s="74"/>
      <c r="Z783" s="74"/>
      <c r="AA783" s="74"/>
      <c r="AB783" s="74"/>
    </row>
    <row r="784" spans="1:28" ht="12" customHeight="1">
      <c r="A784" s="105"/>
      <c r="B784" s="106"/>
      <c r="C784" s="107"/>
      <c r="D784" s="108"/>
      <c r="E784" s="107"/>
      <c r="F784" s="107"/>
      <c r="G784" s="35"/>
      <c r="H784" s="104"/>
      <c r="I784" s="35"/>
      <c r="J784" s="74"/>
      <c r="K784" s="74"/>
      <c r="L784" s="74"/>
      <c r="M784" s="74"/>
      <c r="N784" s="74"/>
      <c r="O784" s="74"/>
      <c r="P784" s="74"/>
      <c r="Q784" s="74"/>
      <c r="R784" s="74"/>
      <c r="S784" s="74"/>
      <c r="T784" s="74"/>
      <c r="U784" s="74"/>
      <c r="V784" s="74"/>
      <c r="W784" s="74"/>
      <c r="X784" s="74"/>
      <c r="Y784" s="74"/>
      <c r="Z784" s="74"/>
      <c r="AA784" s="74"/>
      <c r="AB784" s="74"/>
    </row>
    <row r="785" spans="1:28" ht="12" customHeight="1">
      <c r="A785" s="105"/>
      <c r="B785" s="106"/>
      <c r="C785" s="107"/>
      <c r="D785" s="108"/>
      <c r="E785" s="107"/>
      <c r="F785" s="107"/>
      <c r="G785" s="35"/>
      <c r="H785" s="104"/>
      <c r="I785" s="35"/>
      <c r="J785" s="74"/>
      <c r="K785" s="74"/>
      <c r="L785" s="74"/>
      <c r="M785" s="74"/>
      <c r="N785" s="74"/>
      <c r="O785" s="74"/>
      <c r="P785" s="74"/>
      <c r="Q785" s="74"/>
      <c r="R785" s="74"/>
      <c r="S785" s="74"/>
      <c r="T785" s="74"/>
      <c r="U785" s="74"/>
      <c r="V785" s="74"/>
      <c r="W785" s="74"/>
      <c r="X785" s="74"/>
      <c r="Y785" s="74"/>
      <c r="Z785" s="74"/>
      <c r="AA785" s="74"/>
      <c r="AB785" s="74"/>
    </row>
    <row r="786" spans="1:28" ht="12" customHeight="1">
      <c r="A786" s="105"/>
      <c r="B786" s="106"/>
      <c r="C786" s="107"/>
      <c r="D786" s="108"/>
      <c r="E786" s="107"/>
      <c r="F786" s="107"/>
      <c r="G786" s="35"/>
      <c r="H786" s="104"/>
      <c r="I786" s="35"/>
      <c r="J786" s="74"/>
      <c r="K786" s="74"/>
      <c r="L786" s="74"/>
      <c r="M786" s="74"/>
      <c r="N786" s="74"/>
      <c r="O786" s="74"/>
      <c r="P786" s="74"/>
      <c r="Q786" s="74"/>
      <c r="R786" s="74"/>
      <c r="S786" s="74"/>
      <c r="T786" s="74"/>
      <c r="U786" s="74"/>
      <c r="V786" s="74"/>
      <c r="W786" s="74"/>
      <c r="X786" s="74"/>
      <c r="Y786" s="74"/>
      <c r="Z786" s="74"/>
      <c r="AA786" s="74"/>
      <c r="AB786" s="74"/>
    </row>
    <row r="787" spans="1:28" ht="12" customHeight="1">
      <c r="A787" s="105"/>
      <c r="B787" s="106"/>
      <c r="C787" s="107"/>
      <c r="D787" s="108"/>
      <c r="E787" s="107"/>
      <c r="F787" s="107"/>
      <c r="G787" s="35"/>
      <c r="H787" s="104"/>
      <c r="I787" s="35"/>
      <c r="J787" s="74"/>
      <c r="K787" s="74"/>
      <c r="L787" s="74"/>
      <c r="M787" s="74"/>
      <c r="N787" s="74"/>
      <c r="O787" s="74"/>
      <c r="P787" s="74"/>
      <c r="Q787" s="74"/>
      <c r="R787" s="74"/>
      <c r="S787" s="74"/>
      <c r="T787" s="74"/>
      <c r="U787" s="74"/>
      <c r="V787" s="74"/>
      <c r="W787" s="74"/>
      <c r="X787" s="74"/>
      <c r="Y787" s="74"/>
      <c r="Z787" s="74"/>
      <c r="AA787" s="74"/>
      <c r="AB787" s="74"/>
    </row>
    <row r="788" spans="1:28" ht="12" customHeight="1">
      <c r="A788" s="105"/>
      <c r="B788" s="106"/>
      <c r="C788" s="107"/>
      <c r="D788" s="108"/>
      <c r="E788" s="107"/>
      <c r="F788" s="107"/>
      <c r="G788" s="35"/>
      <c r="H788" s="104"/>
      <c r="I788" s="35"/>
      <c r="J788" s="74"/>
      <c r="K788" s="74"/>
      <c r="L788" s="74"/>
      <c r="M788" s="74"/>
      <c r="N788" s="74"/>
      <c r="O788" s="74"/>
      <c r="P788" s="74"/>
      <c r="Q788" s="74"/>
      <c r="R788" s="74"/>
      <c r="S788" s="74"/>
      <c r="T788" s="74"/>
      <c r="U788" s="74"/>
      <c r="V788" s="74"/>
      <c r="W788" s="74"/>
      <c r="X788" s="74"/>
      <c r="Y788" s="74"/>
      <c r="Z788" s="74"/>
      <c r="AA788" s="74"/>
      <c r="AB788" s="74"/>
    </row>
    <row r="789" spans="1:28" ht="12" customHeight="1">
      <c r="A789" s="105"/>
      <c r="B789" s="106"/>
      <c r="C789" s="107"/>
      <c r="D789" s="108"/>
      <c r="E789" s="107"/>
      <c r="F789" s="107"/>
      <c r="G789" s="35"/>
      <c r="H789" s="104"/>
      <c r="I789" s="35"/>
      <c r="J789" s="74"/>
      <c r="K789" s="74"/>
      <c r="L789" s="74"/>
      <c r="M789" s="74"/>
      <c r="N789" s="74"/>
      <c r="O789" s="74"/>
      <c r="P789" s="74"/>
      <c r="Q789" s="74"/>
      <c r="R789" s="74"/>
      <c r="S789" s="74"/>
      <c r="T789" s="74"/>
      <c r="U789" s="74"/>
      <c r="V789" s="74"/>
      <c r="W789" s="74"/>
      <c r="X789" s="74"/>
      <c r="Y789" s="74"/>
      <c r="Z789" s="74"/>
      <c r="AA789" s="74"/>
      <c r="AB789" s="74"/>
    </row>
    <row r="790" spans="1:28" ht="12" customHeight="1">
      <c r="A790" s="105"/>
      <c r="B790" s="106"/>
      <c r="C790" s="107"/>
      <c r="D790" s="108"/>
      <c r="E790" s="107"/>
      <c r="F790" s="107"/>
      <c r="G790" s="35"/>
      <c r="H790" s="104"/>
      <c r="I790" s="35"/>
      <c r="J790" s="74"/>
      <c r="K790" s="74"/>
      <c r="L790" s="74"/>
      <c r="M790" s="74"/>
      <c r="N790" s="74"/>
      <c r="O790" s="74"/>
      <c r="P790" s="74"/>
      <c r="Q790" s="74"/>
      <c r="R790" s="74"/>
      <c r="S790" s="74"/>
      <c r="T790" s="74"/>
      <c r="U790" s="74"/>
      <c r="V790" s="74"/>
      <c r="W790" s="74"/>
      <c r="X790" s="74"/>
      <c r="Y790" s="74"/>
      <c r="Z790" s="74"/>
      <c r="AA790" s="74"/>
      <c r="AB790" s="74"/>
    </row>
    <row r="791" spans="1:28" ht="12" customHeight="1">
      <c r="A791" s="105"/>
      <c r="B791" s="106"/>
      <c r="C791" s="107"/>
      <c r="D791" s="108"/>
      <c r="E791" s="107"/>
      <c r="F791" s="107"/>
      <c r="G791" s="35"/>
      <c r="H791" s="104"/>
      <c r="I791" s="35"/>
      <c r="J791" s="74"/>
      <c r="K791" s="74"/>
      <c r="L791" s="74"/>
      <c r="M791" s="74"/>
      <c r="N791" s="74"/>
      <c r="O791" s="74"/>
      <c r="P791" s="74"/>
      <c r="Q791" s="74"/>
      <c r="R791" s="74"/>
      <c r="S791" s="74"/>
      <c r="T791" s="74"/>
      <c r="U791" s="74"/>
      <c r="V791" s="74"/>
      <c r="W791" s="74"/>
      <c r="X791" s="74"/>
      <c r="Y791" s="74"/>
      <c r="Z791" s="74"/>
      <c r="AA791" s="74"/>
      <c r="AB791" s="74"/>
    </row>
    <row r="792" spans="1:28" ht="12" customHeight="1">
      <c r="A792" s="105"/>
      <c r="B792" s="106"/>
      <c r="C792" s="107"/>
      <c r="D792" s="108"/>
      <c r="E792" s="107"/>
      <c r="F792" s="107"/>
      <c r="G792" s="35"/>
      <c r="H792" s="104"/>
      <c r="I792" s="35"/>
      <c r="J792" s="74"/>
      <c r="K792" s="74"/>
      <c r="L792" s="74"/>
      <c r="M792" s="74"/>
      <c r="N792" s="74"/>
      <c r="O792" s="74"/>
      <c r="P792" s="74"/>
      <c r="Q792" s="74"/>
      <c r="R792" s="74"/>
      <c r="S792" s="74"/>
      <c r="T792" s="74"/>
      <c r="U792" s="74"/>
      <c r="V792" s="74"/>
      <c r="W792" s="74"/>
      <c r="X792" s="74"/>
      <c r="Y792" s="74"/>
      <c r="Z792" s="74"/>
      <c r="AA792" s="74"/>
      <c r="AB792" s="74"/>
    </row>
    <row r="793" spans="1:28" ht="12" customHeight="1">
      <c r="A793" s="105"/>
      <c r="B793" s="106"/>
      <c r="C793" s="107"/>
      <c r="D793" s="108"/>
      <c r="E793" s="107"/>
      <c r="F793" s="107"/>
      <c r="G793" s="35"/>
      <c r="H793" s="104"/>
      <c r="I793" s="35"/>
      <c r="J793" s="74"/>
      <c r="K793" s="74"/>
      <c r="L793" s="74"/>
      <c r="M793" s="74"/>
      <c r="N793" s="74"/>
      <c r="O793" s="74"/>
      <c r="P793" s="74"/>
      <c r="Q793" s="74"/>
      <c r="R793" s="74"/>
      <c r="S793" s="74"/>
      <c r="T793" s="74"/>
      <c r="U793" s="74"/>
      <c r="V793" s="74"/>
      <c r="W793" s="74"/>
      <c r="X793" s="74"/>
      <c r="Y793" s="74"/>
      <c r="Z793" s="74"/>
      <c r="AA793" s="74"/>
      <c r="AB793" s="74"/>
    </row>
    <row r="794" spans="1:28" ht="12" customHeight="1">
      <c r="A794" s="105"/>
      <c r="B794" s="106"/>
      <c r="C794" s="107"/>
      <c r="D794" s="108"/>
      <c r="E794" s="107"/>
      <c r="F794" s="107"/>
      <c r="G794" s="35"/>
      <c r="H794" s="104"/>
      <c r="I794" s="35"/>
      <c r="J794" s="74"/>
      <c r="K794" s="74"/>
      <c r="L794" s="74"/>
      <c r="M794" s="74"/>
      <c r="N794" s="74"/>
      <c r="O794" s="74"/>
      <c r="P794" s="74"/>
      <c r="Q794" s="74"/>
      <c r="R794" s="74"/>
      <c r="S794" s="74"/>
      <c r="T794" s="74"/>
      <c r="U794" s="74"/>
      <c r="V794" s="74"/>
      <c r="W794" s="74"/>
      <c r="X794" s="74"/>
      <c r="Y794" s="74"/>
      <c r="Z794" s="74"/>
      <c r="AA794" s="74"/>
      <c r="AB794" s="74"/>
    </row>
    <row r="795" spans="1:28" ht="12" customHeight="1">
      <c r="A795" s="105"/>
      <c r="B795" s="106"/>
      <c r="C795" s="107"/>
      <c r="D795" s="108"/>
      <c r="E795" s="107"/>
      <c r="F795" s="107"/>
      <c r="G795" s="35"/>
      <c r="H795" s="104"/>
      <c r="I795" s="35"/>
      <c r="J795" s="74"/>
      <c r="K795" s="74"/>
      <c r="L795" s="74"/>
      <c r="M795" s="74"/>
      <c r="N795" s="74"/>
      <c r="O795" s="74"/>
      <c r="P795" s="74"/>
      <c r="Q795" s="74"/>
      <c r="R795" s="74"/>
      <c r="S795" s="74"/>
      <c r="T795" s="74"/>
      <c r="U795" s="74"/>
      <c r="V795" s="74"/>
      <c r="W795" s="74"/>
      <c r="X795" s="74"/>
      <c r="Y795" s="74"/>
      <c r="Z795" s="74"/>
      <c r="AA795" s="74"/>
      <c r="AB795" s="74"/>
    </row>
    <row r="796" spans="1:28" ht="12" customHeight="1">
      <c r="A796" s="105"/>
      <c r="B796" s="106"/>
      <c r="C796" s="107"/>
      <c r="D796" s="108"/>
      <c r="E796" s="107"/>
      <c r="F796" s="107"/>
      <c r="G796" s="35"/>
      <c r="H796" s="104"/>
      <c r="I796" s="35"/>
      <c r="J796" s="74"/>
      <c r="K796" s="74"/>
      <c r="L796" s="74"/>
      <c r="M796" s="74"/>
      <c r="N796" s="74"/>
      <c r="O796" s="74"/>
      <c r="P796" s="74"/>
      <c r="Q796" s="74"/>
      <c r="R796" s="74"/>
      <c r="S796" s="74"/>
      <c r="T796" s="74"/>
      <c r="U796" s="74"/>
      <c r="V796" s="74"/>
      <c r="W796" s="74"/>
      <c r="X796" s="74"/>
      <c r="Y796" s="74"/>
      <c r="Z796" s="74"/>
      <c r="AA796" s="74"/>
      <c r="AB796" s="74"/>
    </row>
    <row r="797" spans="1:28" ht="12" customHeight="1">
      <c r="A797" s="105"/>
      <c r="B797" s="106"/>
      <c r="C797" s="107"/>
      <c r="D797" s="108"/>
      <c r="E797" s="107"/>
      <c r="F797" s="107"/>
      <c r="G797" s="35"/>
      <c r="H797" s="104"/>
      <c r="I797" s="35"/>
      <c r="J797" s="74"/>
      <c r="K797" s="74"/>
      <c r="L797" s="74"/>
      <c r="M797" s="74"/>
      <c r="N797" s="74"/>
      <c r="O797" s="74"/>
      <c r="P797" s="74"/>
      <c r="Q797" s="74"/>
      <c r="R797" s="74"/>
      <c r="S797" s="74"/>
      <c r="T797" s="74"/>
      <c r="U797" s="74"/>
      <c r="V797" s="74"/>
      <c r="W797" s="74"/>
      <c r="X797" s="74"/>
      <c r="Y797" s="74"/>
      <c r="Z797" s="74"/>
      <c r="AA797" s="74"/>
      <c r="AB797" s="74"/>
    </row>
    <row r="798" spans="1:28" ht="12" customHeight="1">
      <c r="A798" s="105"/>
      <c r="B798" s="106"/>
      <c r="C798" s="107"/>
      <c r="D798" s="108"/>
      <c r="E798" s="107"/>
      <c r="F798" s="107"/>
      <c r="G798" s="35"/>
      <c r="H798" s="104"/>
      <c r="I798" s="35"/>
      <c r="J798" s="74"/>
      <c r="K798" s="74"/>
      <c r="L798" s="74"/>
      <c r="M798" s="74"/>
      <c r="N798" s="74"/>
      <c r="O798" s="74"/>
      <c r="P798" s="74"/>
      <c r="Q798" s="74"/>
      <c r="R798" s="74"/>
      <c r="S798" s="74"/>
      <c r="T798" s="74"/>
      <c r="U798" s="74"/>
      <c r="V798" s="74"/>
      <c r="W798" s="74"/>
      <c r="X798" s="74"/>
      <c r="Y798" s="74"/>
      <c r="Z798" s="74"/>
      <c r="AA798" s="74"/>
      <c r="AB798" s="74"/>
    </row>
    <row r="799" spans="1:28" ht="12" customHeight="1">
      <c r="A799" s="105"/>
      <c r="B799" s="106"/>
      <c r="C799" s="107"/>
      <c r="D799" s="108"/>
      <c r="E799" s="107"/>
      <c r="F799" s="107"/>
      <c r="G799" s="35"/>
      <c r="H799" s="104"/>
      <c r="I799" s="35"/>
      <c r="J799" s="74"/>
      <c r="K799" s="74"/>
      <c r="L799" s="74"/>
      <c r="M799" s="74"/>
      <c r="N799" s="74"/>
      <c r="O799" s="74"/>
      <c r="P799" s="74"/>
      <c r="Q799" s="74"/>
      <c r="R799" s="74"/>
      <c r="S799" s="74"/>
      <c r="T799" s="74"/>
      <c r="U799" s="74"/>
      <c r="V799" s="74"/>
      <c r="W799" s="74"/>
      <c r="X799" s="74"/>
      <c r="Y799" s="74"/>
      <c r="Z799" s="74"/>
      <c r="AA799" s="74"/>
      <c r="AB799" s="74"/>
    </row>
    <row r="800" spans="1:28" ht="12" customHeight="1">
      <c r="A800" s="105"/>
      <c r="B800" s="106"/>
      <c r="C800" s="107"/>
      <c r="D800" s="108"/>
      <c r="E800" s="107"/>
      <c r="F800" s="107"/>
      <c r="G800" s="35"/>
      <c r="H800" s="104"/>
      <c r="I800" s="35"/>
      <c r="J800" s="74"/>
      <c r="K800" s="74"/>
      <c r="L800" s="74"/>
      <c r="M800" s="74"/>
      <c r="N800" s="74"/>
      <c r="O800" s="74"/>
      <c r="P800" s="74"/>
      <c r="Q800" s="74"/>
      <c r="R800" s="74"/>
      <c r="S800" s="74"/>
      <c r="T800" s="74"/>
      <c r="U800" s="74"/>
      <c r="V800" s="74"/>
      <c r="W800" s="74"/>
      <c r="X800" s="74"/>
      <c r="Y800" s="74"/>
      <c r="Z800" s="74"/>
      <c r="AA800" s="74"/>
      <c r="AB800" s="74"/>
    </row>
    <row r="801" spans="1:28" ht="12" customHeight="1">
      <c r="A801" s="105"/>
      <c r="B801" s="106"/>
      <c r="C801" s="107"/>
      <c r="D801" s="108"/>
      <c r="E801" s="107"/>
      <c r="F801" s="107"/>
      <c r="G801" s="35"/>
      <c r="H801" s="104"/>
      <c r="I801" s="35"/>
      <c r="J801" s="74"/>
      <c r="K801" s="74"/>
      <c r="L801" s="74"/>
      <c r="M801" s="74"/>
      <c r="N801" s="74"/>
      <c r="O801" s="74"/>
      <c r="P801" s="74"/>
      <c r="Q801" s="74"/>
      <c r="R801" s="74"/>
      <c r="S801" s="74"/>
      <c r="T801" s="74"/>
      <c r="U801" s="74"/>
      <c r="V801" s="74"/>
      <c r="W801" s="74"/>
      <c r="X801" s="74"/>
      <c r="Y801" s="74"/>
      <c r="Z801" s="74"/>
      <c r="AA801" s="74"/>
      <c r="AB801" s="74"/>
    </row>
    <row r="802" spans="1:28" ht="12" customHeight="1">
      <c r="A802" s="105"/>
      <c r="B802" s="106"/>
      <c r="C802" s="107"/>
      <c r="D802" s="108"/>
      <c r="E802" s="107"/>
      <c r="F802" s="107"/>
      <c r="G802" s="35"/>
      <c r="H802" s="104"/>
      <c r="I802" s="35"/>
      <c r="J802" s="74"/>
      <c r="K802" s="74"/>
      <c r="L802" s="74"/>
      <c r="M802" s="74"/>
      <c r="N802" s="74"/>
      <c r="O802" s="74"/>
      <c r="P802" s="74"/>
      <c r="Q802" s="74"/>
      <c r="R802" s="74"/>
      <c r="S802" s="74"/>
      <c r="T802" s="74"/>
      <c r="U802" s="74"/>
      <c r="V802" s="74"/>
      <c r="W802" s="74"/>
      <c r="X802" s="74"/>
      <c r="Y802" s="74"/>
      <c r="Z802" s="74"/>
      <c r="AA802" s="74"/>
      <c r="AB802" s="74"/>
    </row>
    <row r="803" spans="1:28" ht="12" customHeight="1">
      <c r="A803" s="105"/>
      <c r="B803" s="106"/>
      <c r="C803" s="107"/>
      <c r="D803" s="108"/>
      <c r="E803" s="107"/>
      <c r="F803" s="107"/>
      <c r="G803" s="35"/>
      <c r="H803" s="104"/>
      <c r="I803" s="35"/>
      <c r="J803" s="74"/>
      <c r="K803" s="74"/>
      <c r="L803" s="74"/>
      <c r="M803" s="74"/>
      <c r="N803" s="74"/>
      <c r="O803" s="74"/>
      <c r="P803" s="74"/>
      <c r="Q803" s="74"/>
      <c r="R803" s="74"/>
      <c r="S803" s="74"/>
      <c r="T803" s="74"/>
      <c r="U803" s="74"/>
      <c r="V803" s="74"/>
      <c r="W803" s="74"/>
      <c r="X803" s="74"/>
      <c r="Y803" s="74"/>
      <c r="Z803" s="74"/>
      <c r="AA803" s="74"/>
      <c r="AB803" s="74"/>
    </row>
    <row r="804" spans="1:28" ht="12" customHeight="1">
      <c r="A804" s="105"/>
      <c r="B804" s="106"/>
      <c r="C804" s="107"/>
      <c r="D804" s="108"/>
      <c r="E804" s="107"/>
      <c r="F804" s="107"/>
      <c r="G804" s="35"/>
      <c r="H804" s="104"/>
      <c r="I804" s="35"/>
      <c r="J804" s="74"/>
      <c r="K804" s="74"/>
      <c r="L804" s="74"/>
      <c r="M804" s="74"/>
      <c r="N804" s="74"/>
      <c r="O804" s="74"/>
      <c r="P804" s="74"/>
      <c r="Q804" s="74"/>
      <c r="R804" s="74"/>
      <c r="S804" s="74"/>
      <c r="T804" s="74"/>
      <c r="U804" s="74"/>
      <c r="V804" s="74"/>
      <c r="W804" s="74"/>
      <c r="X804" s="74"/>
      <c r="Y804" s="74"/>
      <c r="Z804" s="74"/>
      <c r="AA804" s="74"/>
      <c r="AB804" s="74"/>
    </row>
    <row r="805" spans="1:28" ht="12" customHeight="1">
      <c r="A805" s="105"/>
      <c r="B805" s="106"/>
      <c r="C805" s="107"/>
      <c r="D805" s="108"/>
      <c r="E805" s="107"/>
      <c r="F805" s="107"/>
      <c r="G805" s="35"/>
      <c r="H805" s="104"/>
      <c r="I805" s="35"/>
      <c r="J805" s="74"/>
      <c r="K805" s="74"/>
      <c r="L805" s="74"/>
      <c r="M805" s="74"/>
      <c r="N805" s="74"/>
      <c r="O805" s="74"/>
      <c r="P805" s="74"/>
      <c r="Q805" s="74"/>
      <c r="R805" s="74"/>
      <c r="S805" s="74"/>
      <c r="T805" s="74"/>
      <c r="U805" s="74"/>
      <c r="V805" s="74"/>
      <c r="W805" s="74"/>
      <c r="X805" s="74"/>
      <c r="Y805" s="74"/>
      <c r="Z805" s="74"/>
      <c r="AA805" s="74"/>
      <c r="AB805" s="74"/>
    </row>
    <row r="806" spans="1:28" ht="12" customHeight="1">
      <c r="A806" s="105"/>
      <c r="B806" s="106"/>
      <c r="C806" s="107"/>
      <c r="D806" s="108"/>
      <c r="E806" s="107"/>
      <c r="F806" s="107"/>
      <c r="G806" s="35"/>
      <c r="H806" s="104"/>
      <c r="I806" s="35"/>
      <c r="J806" s="74"/>
      <c r="K806" s="74"/>
      <c r="L806" s="74"/>
      <c r="M806" s="74"/>
      <c r="N806" s="74"/>
      <c r="O806" s="74"/>
      <c r="P806" s="74"/>
      <c r="Q806" s="74"/>
      <c r="R806" s="74"/>
      <c r="S806" s="74"/>
      <c r="T806" s="74"/>
      <c r="U806" s="74"/>
      <c r="V806" s="74"/>
      <c r="W806" s="74"/>
      <c r="X806" s="74"/>
      <c r="Y806" s="74"/>
      <c r="Z806" s="74"/>
      <c r="AA806" s="74"/>
      <c r="AB806" s="74"/>
    </row>
    <row r="807" spans="1:28" ht="12" customHeight="1">
      <c r="A807" s="105"/>
      <c r="B807" s="106"/>
      <c r="C807" s="107"/>
      <c r="D807" s="108"/>
      <c r="E807" s="107"/>
      <c r="F807" s="107"/>
      <c r="G807" s="35"/>
      <c r="H807" s="104"/>
      <c r="I807" s="35"/>
      <c r="J807" s="74"/>
      <c r="K807" s="74"/>
      <c r="L807" s="74"/>
      <c r="M807" s="74"/>
      <c r="N807" s="74"/>
      <c r="O807" s="74"/>
      <c r="P807" s="74"/>
      <c r="Q807" s="74"/>
      <c r="R807" s="74"/>
      <c r="S807" s="74"/>
      <c r="T807" s="74"/>
      <c r="U807" s="74"/>
      <c r="V807" s="74"/>
      <c r="W807" s="74"/>
      <c r="X807" s="74"/>
      <c r="Y807" s="74"/>
      <c r="Z807" s="74"/>
      <c r="AA807" s="74"/>
      <c r="AB807" s="74"/>
    </row>
    <row r="808" spans="1:28" ht="12" customHeight="1">
      <c r="A808" s="105"/>
      <c r="B808" s="106"/>
      <c r="C808" s="107"/>
      <c r="D808" s="108"/>
      <c r="E808" s="107"/>
      <c r="F808" s="107"/>
      <c r="G808" s="35"/>
      <c r="H808" s="104"/>
      <c r="I808" s="35"/>
      <c r="J808" s="74"/>
      <c r="K808" s="74"/>
      <c r="L808" s="74"/>
      <c r="M808" s="74"/>
      <c r="N808" s="74"/>
      <c r="O808" s="74"/>
      <c r="P808" s="74"/>
      <c r="Q808" s="74"/>
      <c r="R808" s="74"/>
      <c r="S808" s="74"/>
      <c r="T808" s="74"/>
      <c r="U808" s="74"/>
      <c r="V808" s="74"/>
      <c r="W808" s="74"/>
      <c r="X808" s="74"/>
      <c r="Y808" s="74"/>
      <c r="Z808" s="74"/>
      <c r="AA808" s="74"/>
      <c r="AB808" s="74"/>
    </row>
    <row r="809" spans="1:28" ht="12" customHeight="1">
      <c r="A809" s="105"/>
      <c r="B809" s="106"/>
      <c r="C809" s="107"/>
      <c r="D809" s="108"/>
      <c r="E809" s="107"/>
      <c r="F809" s="107"/>
      <c r="G809" s="35"/>
      <c r="H809" s="104"/>
      <c r="I809" s="35"/>
      <c r="J809" s="74"/>
      <c r="K809" s="74"/>
      <c r="L809" s="74"/>
      <c r="M809" s="74"/>
      <c r="N809" s="74"/>
      <c r="O809" s="74"/>
      <c r="P809" s="74"/>
      <c r="Q809" s="74"/>
      <c r="R809" s="74"/>
      <c r="S809" s="74"/>
      <c r="T809" s="74"/>
      <c r="U809" s="74"/>
      <c r="V809" s="74"/>
      <c r="W809" s="74"/>
      <c r="X809" s="74"/>
      <c r="Y809" s="74"/>
      <c r="Z809" s="74"/>
      <c r="AA809" s="74"/>
      <c r="AB809" s="74"/>
    </row>
    <row r="810" spans="1:28" ht="12" customHeight="1">
      <c r="A810" s="105"/>
      <c r="B810" s="106"/>
      <c r="C810" s="107"/>
      <c r="D810" s="108"/>
      <c r="E810" s="107"/>
      <c r="F810" s="107"/>
      <c r="G810" s="35"/>
      <c r="H810" s="104"/>
      <c r="I810" s="35"/>
      <c r="J810" s="74"/>
      <c r="K810" s="74"/>
      <c r="L810" s="74"/>
      <c r="M810" s="74"/>
      <c r="N810" s="74"/>
      <c r="O810" s="74"/>
      <c r="P810" s="74"/>
      <c r="Q810" s="74"/>
      <c r="R810" s="74"/>
      <c r="S810" s="74"/>
      <c r="T810" s="74"/>
      <c r="U810" s="74"/>
      <c r="V810" s="74"/>
      <c r="W810" s="74"/>
      <c r="X810" s="74"/>
      <c r="Y810" s="74"/>
      <c r="Z810" s="74"/>
      <c r="AA810" s="74"/>
      <c r="AB810" s="74"/>
    </row>
    <row r="811" spans="1:28" ht="12" customHeight="1">
      <c r="A811" s="105"/>
      <c r="B811" s="106"/>
      <c r="C811" s="107"/>
      <c r="D811" s="108"/>
      <c r="E811" s="107"/>
      <c r="F811" s="107"/>
      <c r="G811" s="35"/>
      <c r="H811" s="104"/>
      <c r="I811" s="35"/>
      <c r="J811" s="74"/>
      <c r="K811" s="74"/>
      <c r="L811" s="74"/>
      <c r="M811" s="74"/>
      <c r="N811" s="74"/>
      <c r="O811" s="74"/>
      <c r="P811" s="74"/>
      <c r="Q811" s="74"/>
      <c r="R811" s="74"/>
      <c r="S811" s="74"/>
      <c r="T811" s="74"/>
      <c r="U811" s="74"/>
      <c r="V811" s="74"/>
      <c r="W811" s="74"/>
      <c r="X811" s="74"/>
      <c r="Y811" s="74"/>
      <c r="Z811" s="74"/>
      <c r="AA811" s="74"/>
      <c r="AB811" s="74"/>
    </row>
    <row r="812" spans="1:28" ht="12" customHeight="1">
      <c r="A812" s="105"/>
      <c r="B812" s="106"/>
      <c r="C812" s="107"/>
      <c r="D812" s="108"/>
      <c r="E812" s="107"/>
      <c r="F812" s="107"/>
      <c r="G812" s="35"/>
      <c r="H812" s="104"/>
      <c r="I812" s="35"/>
      <c r="J812" s="74"/>
      <c r="K812" s="74"/>
      <c r="L812" s="74"/>
      <c r="M812" s="74"/>
      <c r="N812" s="74"/>
      <c r="O812" s="74"/>
      <c r="P812" s="74"/>
      <c r="Q812" s="74"/>
      <c r="R812" s="74"/>
      <c r="S812" s="74"/>
      <c r="T812" s="74"/>
      <c r="U812" s="74"/>
      <c r="V812" s="74"/>
      <c r="W812" s="74"/>
      <c r="X812" s="74"/>
      <c r="Y812" s="74"/>
      <c r="Z812" s="74"/>
      <c r="AA812" s="74"/>
      <c r="AB812" s="74"/>
    </row>
    <row r="813" spans="1:28" ht="12" customHeight="1">
      <c r="A813" s="105"/>
      <c r="B813" s="106"/>
      <c r="C813" s="107"/>
      <c r="D813" s="108"/>
      <c r="E813" s="107"/>
      <c r="F813" s="107"/>
      <c r="G813" s="35"/>
      <c r="H813" s="104"/>
      <c r="I813" s="35"/>
      <c r="J813" s="74"/>
      <c r="K813" s="74"/>
      <c r="L813" s="74"/>
      <c r="M813" s="74"/>
      <c r="N813" s="74"/>
      <c r="O813" s="74"/>
      <c r="P813" s="74"/>
      <c r="Q813" s="74"/>
      <c r="R813" s="74"/>
      <c r="S813" s="74"/>
      <c r="T813" s="74"/>
      <c r="U813" s="74"/>
      <c r="V813" s="74"/>
      <c r="W813" s="74"/>
      <c r="X813" s="74"/>
      <c r="Y813" s="74"/>
      <c r="Z813" s="74"/>
      <c r="AA813" s="74"/>
      <c r="AB813" s="74"/>
    </row>
    <row r="814" spans="1:28" ht="12" customHeight="1">
      <c r="A814" s="105"/>
      <c r="B814" s="106"/>
      <c r="C814" s="107"/>
      <c r="D814" s="108"/>
      <c r="E814" s="107"/>
      <c r="F814" s="107"/>
      <c r="G814" s="35"/>
      <c r="H814" s="104"/>
      <c r="I814" s="35"/>
      <c r="J814" s="74"/>
      <c r="K814" s="74"/>
      <c r="L814" s="74"/>
      <c r="M814" s="74"/>
      <c r="N814" s="74"/>
      <c r="O814" s="74"/>
      <c r="P814" s="74"/>
      <c r="Q814" s="74"/>
      <c r="R814" s="74"/>
      <c r="S814" s="74"/>
      <c r="T814" s="74"/>
      <c r="U814" s="74"/>
      <c r="V814" s="74"/>
      <c r="W814" s="74"/>
      <c r="X814" s="74"/>
      <c r="Y814" s="74"/>
      <c r="Z814" s="74"/>
      <c r="AA814" s="74"/>
      <c r="AB814" s="74"/>
    </row>
    <row r="815" spans="1:28" ht="12" customHeight="1">
      <c r="A815" s="105"/>
      <c r="B815" s="106"/>
      <c r="C815" s="107"/>
      <c r="D815" s="108"/>
      <c r="E815" s="107"/>
      <c r="F815" s="107"/>
      <c r="G815" s="35"/>
      <c r="H815" s="104"/>
      <c r="I815" s="35"/>
      <c r="J815" s="74"/>
      <c r="K815" s="74"/>
      <c r="L815" s="74"/>
      <c r="M815" s="74"/>
      <c r="N815" s="74"/>
      <c r="O815" s="74"/>
      <c r="P815" s="74"/>
      <c r="Q815" s="74"/>
      <c r="R815" s="74"/>
      <c r="S815" s="74"/>
      <c r="T815" s="74"/>
      <c r="U815" s="74"/>
      <c r="V815" s="74"/>
      <c r="W815" s="74"/>
      <c r="X815" s="74"/>
      <c r="Y815" s="74"/>
      <c r="Z815" s="74"/>
      <c r="AA815" s="74"/>
      <c r="AB815" s="74"/>
    </row>
    <row r="816" spans="1:28" ht="12" customHeight="1">
      <c r="A816" s="105"/>
      <c r="B816" s="106"/>
      <c r="C816" s="107"/>
      <c r="D816" s="108"/>
      <c r="E816" s="107"/>
      <c r="F816" s="107"/>
      <c r="G816" s="35"/>
      <c r="H816" s="104"/>
      <c r="I816" s="35"/>
      <c r="J816" s="74"/>
      <c r="K816" s="74"/>
      <c r="L816" s="74"/>
      <c r="M816" s="74"/>
      <c r="N816" s="74"/>
      <c r="O816" s="74"/>
      <c r="P816" s="74"/>
      <c r="Q816" s="74"/>
      <c r="R816" s="74"/>
      <c r="S816" s="74"/>
      <c r="T816" s="74"/>
      <c r="U816" s="74"/>
      <c r="V816" s="74"/>
      <c r="W816" s="74"/>
      <c r="X816" s="74"/>
      <c r="Y816" s="74"/>
      <c r="Z816" s="74"/>
      <c r="AA816" s="74"/>
      <c r="AB816" s="74"/>
    </row>
    <row r="817" spans="1:28" ht="12" customHeight="1">
      <c r="A817" s="105"/>
      <c r="B817" s="106"/>
      <c r="C817" s="107"/>
      <c r="D817" s="108"/>
      <c r="E817" s="107"/>
      <c r="F817" s="107"/>
      <c r="G817" s="35"/>
      <c r="H817" s="104"/>
      <c r="I817" s="35"/>
      <c r="J817" s="74"/>
      <c r="K817" s="74"/>
      <c r="L817" s="74"/>
      <c r="M817" s="74"/>
      <c r="N817" s="74"/>
      <c r="O817" s="74"/>
      <c r="P817" s="74"/>
      <c r="Q817" s="74"/>
      <c r="R817" s="74"/>
      <c r="S817" s="74"/>
      <c r="T817" s="74"/>
      <c r="U817" s="74"/>
      <c r="V817" s="74"/>
      <c r="W817" s="74"/>
      <c r="X817" s="74"/>
      <c r="Y817" s="74"/>
      <c r="Z817" s="74"/>
      <c r="AA817" s="74"/>
      <c r="AB817" s="74"/>
    </row>
    <row r="818" spans="1:28" ht="12" customHeight="1">
      <c r="A818" s="105"/>
      <c r="B818" s="106"/>
      <c r="C818" s="107"/>
      <c r="D818" s="108"/>
      <c r="E818" s="107"/>
      <c r="F818" s="107"/>
      <c r="G818" s="35"/>
      <c r="H818" s="104"/>
      <c r="I818" s="35"/>
      <c r="J818" s="74"/>
      <c r="K818" s="74"/>
      <c r="L818" s="74"/>
      <c r="M818" s="74"/>
      <c r="N818" s="74"/>
      <c r="O818" s="74"/>
      <c r="P818" s="74"/>
      <c r="Q818" s="74"/>
      <c r="R818" s="74"/>
      <c r="S818" s="74"/>
      <c r="T818" s="74"/>
      <c r="U818" s="74"/>
      <c r="V818" s="74"/>
      <c r="W818" s="74"/>
      <c r="X818" s="74"/>
      <c r="Y818" s="74"/>
      <c r="Z818" s="74"/>
      <c r="AA818" s="74"/>
      <c r="AB818" s="74"/>
    </row>
    <row r="819" spans="1:28" ht="12" customHeight="1">
      <c r="A819" s="105"/>
      <c r="B819" s="106"/>
      <c r="C819" s="107"/>
      <c r="D819" s="108"/>
      <c r="E819" s="107"/>
      <c r="F819" s="107"/>
      <c r="G819" s="35"/>
      <c r="H819" s="104"/>
      <c r="I819" s="35"/>
      <c r="J819" s="74"/>
      <c r="K819" s="74"/>
      <c r="L819" s="74"/>
      <c r="M819" s="74"/>
      <c r="N819" s="74"/>
      <c r="O819" s="74"/>
      <c r="P819" s="74"/>
      <c r="Q819" s="74"/>
      <c r="R819" s="74"/>
      <c r="S819" s="74"/>
      <c r="T819" s="74"/>
      <c r="U819" s="74"/>
      <c r="V819" s="74"/>
      <c r="W819" s="74"/>
      <c r="X819" s="74"/>
      <c r="Y819" s="74"/>
      <c r="Z819" s="74"/>
      <c r="AA819" s="74"/>
      <c r="AB819" s="74"/>
    </row>
    <row r="820" spans="1:28" ht="12" customHeight="1">
      <c r="A820" s="105"/>
      <c r="B820" s="106"/>
      <c r="C820" s="107"/>
      <c r="D820" s="108"/>
      <c r="E820" s="107"/>
      <c r="F820" s="107"/>
      <c r="G820" s="35"/>
      <c r="H820" s="104"/>
      <c r="I820" s="35"/>
      <c r="J820" s="74"/>
      <c r="K820" s="74"/>
      <c r="L820" s="74"/>
      <c r="M820" s="74"/>
      <c r="N820" s="74"/>
      <c r="O820" s="74"/>
      <c r="P820" s="74"/>
      <c r="Q820" s="74"/>
      <c r="R820" s="74"/>
      <c r="S820" s="74"/>
      <c r="T820" s="74"/>
      <c r="U820" s="74"/>
      <c r="V820" s="74"/>
      <c r="W820" s="74"/>
      <c r="X820" s="74"/>
      <c r="Y820" s="74"/>
      <c r="Z820" s="74"/>
      <c r="AA820" s="74"/>
      <c r="AB820" s="74"/>
    </row>
    <row r="821" spans="1:28" ht="12" customHeight="1">
      <c r="A821" s="105"/>
      <c r="B821" s="106"/>
      <c r="C821" s="107"/>
      <c r="D821" s="108"/>
      <c r="E821" s="107"/>
      <c r="F821" s="107"/>
      <c r="G821" s="35"/>
      <c r="H821" s="104"/>
      <c r="I821" s="35"/>
      <c r="J821" s="74"/>
      <c r="K821" s="74"/>
      <c r="L821" s="74"/>
      <c r="M821" s="74"/>
      <c r="N821" s="74"/>
      <c r="O821" s="74"/>
      <c r="P821" s="74"/>
      <c r="Q821" s="74"/>
      <c r="R821" s="74"/>
      <c r="S821" s="74"/>
      <c r="T821" s="74"/>
      <c r="U821" s="74"/>
      <c r="V821" s="74"/>
      <c r="W821" s="74"/>
      <c r="X821" s="74"/>
      <c r="Y821" s="74"/>
      <c r="Z821" s="74"/>
      <c r="AA821" s="74"/>
      <c r="AB821" s="74"/>
    </row>
    <row r="822" spans="1:28" ht="12" customHeight="1">
      <c r="A822" s="105"/>
      <c r="B822" s="106"/>
      <c r="C822" s="107"/>
      <c r="D822" s="108"/>
      <c r="E822" s="107"/>
      <c r="F822" s="107"/>
      <c r="G822" s="35"/>
      <c r="H822" s="104"/>
      <c r="I822" s="35"/>
      <c r="J822" s="74"/>
      <c r="K822" s="74"/>
      <c r="L822" s="74"/>
      <c r="M822" s="74"/>
      <c r="N822" s="74"/>
      <c r="O822" s="74"/>
      <c r="P822" s="74"/>
      <c r="Q822" s="74"/>
      <c r="R822" s="74"/>
      <c r="S822" s="74"/>
      <c r="T822" s="74"/>
      <c r="U822" s="74"/>
      <c r="V822" s="74"/>
      <c r="W822" s="74"/>
      <c r="X822" s="74"/>
      <c r="Y822" s="74"/>
      <c r="Z822" s="74"/>
      <c r="AA822" s="74"/>
      <c r="AB822" s="74"/>
    </row>
    <row r="823" spans="1:28" ht="12" customHeight="1">
      <c r="A823" s="105"/>
      <c r="B823" s="106"/>
      <c r="C823" s="107"/>
      <c r="D823" s="108"/>
      <c r="E823" s="107"/>
      <c r="F823" s="107"/>
      <c r="G823" s="35"/>
      <c r="H823" s="104"/>
      <c r="I823" s="35"/>
      <c r="J823" s="74"/>
      <c r="K823" s="74"/>
      <c r="L823" s="74"/>
      <c r="M823" s="74"/>
      <c r="N823" s="74"/>
      <c r="O823" s="74"/>
      <c r="P823" s="74"/>
      <c r="Q823" s="74"/>
      <c r="R823" s="74"/>
      <c r="S823" s="74"/>
      <c r="T823" s="74"/>
      <c r="U823" s="74"/>
      <c r="V823" s="74"/>
      <c r="W823" s="74"/>
      <c r="X823" s="74"/>
      <c r="Y823" s="74"/>
      <c r="Z823" s="74"/>
      <c r="AA823" s="74"/>
      <c r="AB823" s="74"/>
    </row>
    <row r="824" spans="1:28" ht="12" customHeight="1">
      <c r="A824" s="105"/>
      <c r="B824" s="106"/>
      <c r="C824" s="107"/>
      <c r="D824" s="108"/>
      <c r="E824" s="107"/>
      <c r="F824" s="107"/>
      <c r="G824" s="35"/>
      <c r="H824" s="104"/>
      <c r="I824" s="35"/>
      <c r="J824" s="74"/>
      <c r="K824" s="74"/>
      <c r="L824" s="74"/>
      <c r="M824" s="74"/>
      <c r="N824" s="74"/>
      <c r="O824" s="74"/>
      <c r="P824" s="74"/>
      <c r="Q824" s="74"/>
      <c r="R824" s="74"/>
      <c r="S824" s="74"/>
      <c r="T824" s="74"/>
      <c r="U824" s="74"/>
      <c r="V824" s="74"/>
      <c r="W824" s="74"/>
      <c r="X824" s="74"/>
      <c r="Y824" s="74"/>
      <c r="Z824" s="74"/>
      <c r="AA824" s="74"/>
      <c r="AB824" s="74"/>
    </row>
    <row r="825" spans="1:28" ht="12" customHeight="1">
      <c r="A825" s="105"/>
      <c r="B825" s="106"/>
      <c r="C825" s="107"/>
      <c r="D825" s="108"/>
      <c r="E825" s="107"/>
      <c r="F825" s="107"/>
      <c r="G825" s="35"/>
      <c r="H825" s="104"/>
      <c r="I825" s="35"/>
      <c r="J825" s="74"/>
      <c r="K825" s="74"/>
      <c r="L825" s="74"/>
      <c r="M825" s="74"/>
      <c r="N825" s="74"/>
      <c r="O825" s="74"/>
      <c r="P825" s="74"/>
      <c r="Q825" s="74"/>
      <c r="R825" s="74"/>
      <c r="S825" s="74"/>
      <c r="T825" s="74"/>
      <c r="U825" s="74"/>
      <c r="V825" s="74"/>
      <c r="W825" s="74"/>
      <c r="X825" s="74"/>
      <c r="Y825" s="74"/>
      <c r="Z825" s="74"/>
      <c r="AA825" s="74"/>
      <c r="AB825" s="74"/>
    </row>
    <row r="826" spans="1:28" ht="12" customHeight="1">
      <c r="A826" s="105"/>
      <c r="B826" s="106"/>
      <c r="C826" s="107"/>
      <c r="D826" s="108"/>
      <c r="E826" s="107"/>
      <c r="F826" s="107"/>
      <c r="G826" s="35"/>
      <c r="H826" s="104"/>
      <c r="I826" s="35"/>
      <c r="J826" s="74"/>
      <c r="K826" s="74"/>
      <c r="L826" s="74"/>
      <c r="M826" s="74"/>
      <c r="N826" s="74"/>
      <c r="O826" s="74"/>
      <c r="P826" s="74"/>
      <c r="Q826" s="74"/>
      <c r="R826" s="74"/>
      <c r="S826" s="74"/>
      <c r="T826" s="74"/>
      <c r="U826" s="74"/>
      <c r="V826" s="74"/>
      <c r="W826" s="74"/>
      <c r="X826" s="74"/>
      <c r="Y826" s="74"/>
      <c r="Z826" s="74"/>
      <c r="AA826" s="74"/>
      <c r="AB826" s="74"/>
    </row>
    <row r="827" spans="1:28" ht="12" customHeight="1">
      <c r="A827" s="105"/>
      <c r="B827" s="106"/>
      <c r="C827" s="107"/>
      <c r="D827" s="108"/>
      <c r="E827" s="107"/>
      <c r="F827" s="107"/>
      <c r="G827" s="35"/>
      <c r="H827" s="104"/>
      <c r="I827" s="35"/>
      <c r="J827" s="74"/>
      <c r="K827" s="74"/>
      <c r="L827" s="74"/>
      <c r="M827" s="74"/>
      <c r="N827" s="74"/>
      <c r="O827" s="74"/>
      <c r="P827" s="74"/>
      <c r="Q827" s="74"/>
      <c r="R827" s="74"/>
      <c r="S827" s="74"/>
      <c r="T827" s="74"/>
      <c r="U827" s="74"/>
      <c r="V827" s="74"/>
      <c r="W827" s="74"/>
      <c r="X827" s="74"/>
      <c r="Y827" s="74"/>
      <c r="Z827" s="74"/>
      <c r="AA827" s="74"/>
      <c r="AB827" s="74"/>
    </row>
    <row r="828" spans="1:28" ht="12" customHeight="1">
      <c r="A828" s="105"/>
      <c r="B828" s="106"/>
      <c r="C828" s="107"/>
      <c r="D828" s="108"/>
      <c r="E828" s="107"/>
      <c r="F828" s="107"/>
      <c r="G828" s="35"/>
      <c r="H828" s="104"/>
      <c r="I828" s="35"/>
      <c r="J828" s="74"/>
      <c r="K828" s="74"/>
      <c r="L828" s="74"/>
      <c r="M828" s="74"/>
      <c r="N828" s="74"/>
      <c r="O828" s="74"/>
      <c r="P828" s="74"/>
      <c r="Q828" s="74"/>
      <c r="R828" s="74"/>
      <c r="S828" s="74"/>
      <c r="T828" s="74"/>
      <c r="U828" s="74"/>
      <c r="V828" s="74"/>
      <c r="W828" s="74"/>
      <c r="X828" s="74"/>
      <c r="Y828" s="74"/>
      <c r="Z828" s="74"/>
      <c r="AA828" s="74"/>
      <c r="AB828" s="74"/>
    </row>
    <row r="829" spans="1:28" ht="12" customHeight="1">
      <c r="A829" s="105"/>
      <c r="B829" s="106"/>
      <c r="C829" s="107"/>
      <c r="D829" s="108"/>
      <c r="E829" s="107"/>
      <c r="F829" s="107"/>
      <c r="G829" s="35"/>
      <c r="H829" s="104"/>
      <c r="I829" s="35"/>
      <c r="J829" s="74"/>
      <c r="K829" s="74"/>
      <c r="L829" s="74"/>
      <c r="M829" s="74"/>
      <c r="N829" s="74"/>
      <c r="O829" s="74"/>
      <c r="P829" s="74"/>
      <c r="Q829" s="74"/>
      <c r="R829" s="74"/>
      <c r="S829" s="74"/>
      <c r="T829" s="74"/>
      <c r="U829" s="74"/>
      <c r="V829" s="74"/>
      <c r="W829" s="74"/>
      <c r="X829" s="74"/>
      <c r="Y829" s="74"/>
      <c r="Z829" s="74"/>
      <c r="AA829" s="74"/>
      <c r="AB829" s="74"/>
    </row>
    <row r="830" spans="1:28" ht="12" customHeight="1">
      <c r="A830" s="105"/>
      <c r="B830" s="106"/>
      <c r="C830" s="107"/>
      <c r="D830" s="108"/>
      <c r="E830" s="107"/>
      <c r="F830" s="107"/>
      <c r="G830" s="35"/>
      <c r="H830" s="104"/>
      <c r="I830" s="35"/>
      <c r="J830" s="74"/>
      <c r="K830" s="74"/>
      <c r="L830" s="74"/>
      <c r="M830" s="74"/>
      <c r="N830" s="74"/>
      <c r="O830" s="74"/>
      <c r="P830" s="74"/>
      <c r="Q830" s="74"/>
      <c r="R830" s="74"/>
      <c r="S830" s="74"/>
      <c r="T830" s="74"/>
      <c r="U830" s="74"/>
      <c r="V830" s="74"/>
      <c r="W830" s="74"/>
      <c r="X830" s="74"/>
      <c r="Y830" s="74"/>
      <c r="Z830" s="74"/>
      <c r="AA830" s="74"/>
      <c r="AB830" s="74"/>
    </row>
    <row r="831" spans="1:28" ht="12" customHeight="1">
      <c r="A831" s="105"/>
      <c r="B831" s="106"/>
      <c r="C831" s="107"/>
      <c r="D831" s="108"/>
      <c r="E831" s="107"/>
      <c r="F831" s="107"/>
      <c r="G831" s="35"/>
      <c r="H831" s="104"/>
      <c r="I831" s="35"/>
      <c r="J831" s="74"/>
      <c r="K831" s="74"/>
      <c r="L831" s="74"/>
      <c r="M831" s="74"/>
      <c r="N831" s="74"/>
      <c r="O831" s="74"/>
      <c r="P831" s="74"/>
      <c r="Q831" s="74"/>
      <c r="R831" s="74"/>
      <c r="S831" s="74"/>
      <c r="T831" s="74"/>
      <c r="U831" s="74"/>
      <c r="V831" s="74"/>
      <c r="W831" s="74"/>
      <c r="X831" s="74"/>
      <c r="Y831" s="74"/>
      <c r="Z831" s="74"/>
      <c r="AA831" s="74"/>
      <c r="AB831" s="74"/>
    </row>
    <row r="832" spans="1:28" ht="12" customHeight="1">
      <c r="A832" s="105"/>
      <c r="B832" s="106"/>
      <c r="C832" s="107"/>
      <c r="D832" s="108"/>
      <c r="E832" s="107"/>
      <c r="F832" s="107"/>
      <c r="G832" s="35"/>
      <c r="H832" s="104"/>
      <c r="I832" s="35"/>
      <c r="J832" s="74"/>
      <c r="K832" s="74"/>
      <c r="L832" s="74"/>
      <c r="M832" s="74"/>
      <c r="N832" s="74"/>
      <c r="O832" s="74"/>
      <c r="P832" s="74"/>
      <c r="Q832" s="74"/>
      <c r="R832" s="74"/>
      <c r="S832" s="74"/>
      <c r="T832" s="74"/>
      <c r="U832" s="74"/>
      <c r="V832" s="74"/>
      <c r="W832" s="74"/>
      <c r="X832" s="74"/>
      <c r="Y832" s="74"/>
      <c r="Z832" s="74"/>
      <c r="AA832" s="74"/>
      <c r="AB832" s="74"/>
    </row>
    <row r="833" spans="1:28" ht="12" customHeight="1">
      <c r="A833" s="105"/>
      <c r="B833" s="106"/>
      <c r="C833" s="107"/>
      <c r="D833" s="108"/>
      <c r="E833" s="107"/>
      <c r="F833" s="107"/>
      <c r="G833" s="35"/>
      <c r="H833" s="104"/>
      <c r="I833" s="35"/>
      <c r="J833" s="74"/>
      <c r="K833" s="74"/>
      <c r="L833" s="74"/>
      <c r="M833" s="74"/>
      <c r="N833" s="74"/>
      <c r="O833" s="74"/>
      <c r="P833" s="74"/>
      <c r="Q833" s="74"/>
      <c r="R833" s="74"/>
      <c r="S833" s="74"/>
      <c r="T833" s="74"/>
      <c r="U833" s="74"/>
      <c r="V833" s="74"/>
      <c r="W833" s="74"/>
      <c r="X833" s="74"/>
      <c r="Y833" s="74"/>
      <c r="Z833" s="74"/>
      <c r="AA833" s="74"/>
      <c r="AB833" s="74"/>
    </row>
    <row r="834" spans="1:28" ht="12" customHeight="1">
      <c r="A834" s="105"/>
      <c r="B834" s="106"/>
      <c r="C834" s="107"/>
      <c r="D834" s="108"/>
      <c r="E834" s="107"/>
      <c r="F834" s="107"/>
      <c r="G834" s="35"/>
      <c r="H834" s="104"/>
      <c r="I834" s="35"/>
      <c r="J834" s="74"/>
      <c r="K834" s="74"/>
      <c r="L834" s="74"/>
      <c r="M834" s="74"/>
      <c r="N834" s="74"/>
      <c r="O834" s="74"/>
      <c r="P834" s="74"/>
      <c r="Q834" s="74"/>
      <c r="R834" s="74"/>
      <c r="S834" s="74"/>
      <c r="T834" s="74"/>
      <c r="U834" s="74"/>
      <c r="V834" s="74"/>
      <c r="W834" s="74"/>
      <c r="X834" s="74"/>
      <c r="Y834" s="74"/>
      <c r="Z834" s="74"/>
      <c r="AA834" s="74"/>
      <c r="AB834" s="74"/>
    </row>
    <row r="835" spans="1:28" ht="12" customHeight="1">
      <c r="A835" s="105"/>
      <c r="B835" s="106"/>
      <c r="C835" s="107"/>
      <c r="D835" s="108"/>
      <c r="E835" s="107"/>
      <c r="F835" s="107"/>
      <c r="G835" s="35"/>
      <c r="H835" s="104"/>
      <c r="I835" s="35"/>
      <c r="J835" s="74"/>
      <c r="K835" s="74"/>
      <c r="L835" s="74"/>
      <c r="M835" s="74"/>
      <c r="N835" s="74"/>
      <c r="O835" s="74"/>
      <c r="P835" s="74"/>
      <c r="Q835" s="74"/>
      <c r="R835" s="74"/>
      <c r="S835" s="74"/>
      <c r="T835" s="74"/>
      <c r="U835" s="74"/>
      <c r="V835" s="74"/>
      <c r="W835" s="74"/>
      <c r="X835" s="74"/>
      <c r="Y835" s="74"/>
      <c r="Z835" s="74"/>
      <c r="AA835" s="74"/>
      <c r="AB835" s="74"/>
    </row>
    <row r="836" spans="1:28" ht="12" customHeight="1">
      <c r="A836" s="105"/>
      <c r="B836" s="106"/>
      <c r="C836" s="107"/>
      <c r="D836" s="108"/>
      <c r="E836" s="107"/>
      <c r="F836" s="107"/>
      <c r="G836" s="35"/>
      <c r="H836" s="104"/>
      <c r="I836" s="35"/>
      <c r="J836" s="74"/>
      <c r="K836" s="74"/>
      <c r="L836" s="74"/>
      <c r="M836" s="74"/>
      <c r="N836" s="74"/>
      <c r="O836" s="74"/>
      <c r="P836" s="74"/>
      <c r="Q836" s="74"/>
      <c r="R836" s="74"/>
      <c r="S836" s="74"/>
      <c r="T836" s="74"/>
      <c r="U836" s="74"/>
      <c r="V836" s="74"/>
      <c r="W836" s="74"/>
      <c r="X836" s="74"/>
      <c r="Y836" s="74"/>
      <c r="Z836" s="74"/>
      <c r="AA836" s="74"/>
      <c r="AB836" s="74"/>
    </row>
    <row r="837" spans="1:28" ht="12" customHeight="1">
      <c r="A837" s="105"/>
      <c r="B837" s="106"/>
      <c r="C837" s="107"/>
      <c r="D837" s="108"/>
      <c r="E837" s="107"/>
      <c r="F837" s="107"/>
      <c r="G837" s="35"/>
      <c r="H837" s="104"/>
      <c r="I837" s="35"/>
      <c r="J837" s="74"/>
      <c r="K837" s="74"/>
      <c r="L837" s="74"/>
      <c r="M837" s="74"/>
      <c r="N837" s="74"/>
      <c r="O837" s="74"/>
      <c r="P837" s="74"/>
      <c r="Q837" s="74"/>
      <c r="R837" s="74"/>
      <c r="S837" s="74"/>
      <c r="T837" s="74"/>
      <c r="U837" s="74"/>
      <c r="V837" s="74"/>
      <c r="W837" s="74"/>
      <c r="X837" s="74"/>
      <c r="Y837" s="74"/>
      <c r="Z837" s="74"/>
      <c r="AA837" s="74"/>
      <c r="AB837" s="74"/>
    </row>
    <row r="838" spans="1:28" ht="12" customHeight="1">
      <c r="A838" s="105"/>
      <c r="B838" s="106"/>
      <c r="C838" s="107"/>
      <c r="D838" s="108"/>
      <c r="E838" s="107"/>
      <c r="F838" s="107"/>
      <c r="G838" s="35"/>
      <c r="H838" s="104"/>
      <c r="I838" s="35"/>
      <c r="J838" s="74"/>
      <c r="K838" s="74"/>
      <c r="L838" s="74"/>
      <c r="M838" s="74"/>
      <c r="N838" s="74"/>
      <c r="O838" s="74"/>
      <c r="P838" s="74"/>
      <c r="Q838" s="74"/>
      <c r="R838" s="74"/>
      <c r="S838" s="74"/>
      <c r="T838" s="74"/>
      <c r="U838" s="74"/>
      <c r="V838" s="74"/>
      <c r="W838" s="74"/>
      <c r="X838" s="74"/>
      <c r="Y838" s="74"/>
      <c r="Z838" s="74"/>
      <c r="AA838" s="74"/>
      <c r="AB838" s="74"/>
    </row>
    <row r="839" spans="1:28" ht="12" customHeight="1">
      <c r="A839" s="105"/>
      <c r="B839" s="106"/>
      <c r="C839" s="107"/>
      <c r="D839" s="108"/>
      <c r="E839" s="107"/>
      <c r="F839" s="107"/>
      <c r="G839" s="35"/>
      <c r="H839" s="104"/>
      <c r="I839" s="35"/>
      <c r="J839" s="74"/>
      <c r="K839" s="74"/>
      <c r="L839" s="74"/>
      <c r="M839" s="74"/>
      <c r="N839" s="74"/>
      <c r="O839" s="74"/>
      <c r="P839" s="74"/>
      <c r="Q839" s="74"/>
      <c r="R839" s="74"/>
      <c r="S839" s="74"/>
      <c r="T839" s="74"/>
      <c r="U839" s="74"/>
      <c r="V839" s="74"/>
      <c r="W839" s="74"/>
      <c r="X839" s="74"/>
      <c r="Y839" s="74"/>
      <c r="Z839" s="74"/>
      <c r="AA839" s="74"/>
      <c r="AB839" s="74"/>
    </row>
    <row r="840" spans="1:28" ht="12" customHeight="1">
      <c r="A840" s="105"/>
      <c r="B840" s="106"/>
      <c r="C840" s="107"/>
      <c r="D840" s="108"/>
      <c r="E840" s="107"/>
      <c r="F840" s="107"/>
      <c r="G840" s="35"/>
      <c r="H840" s="104"/>
      <c r="I840" s="35"/>
      <c r="J840" s="74"/>
      <c r="K840" s="74"/>
      <c r="L840" s="74"/>
      <c r="M840" s="74"/>
      <c r="N840" s="74"/>
      <c r="O840" s="74"/>
      <c r="P840" s="74"/>
      <c r="Q840" s="74"/>
      <c r="R840" s="74"/>
      <c r="S840" s="74"/>
      <c r="T840" s="74"/>
      <c r="U840" s="74"/>
      <c r="V840" s="74"/>
      <c r="W840" s="74"/>
      <c r="X840" s="74"/>
      <c r="Y840" s="74"/>
      <c r="Z840" s="74"/>
      <c r="AA840" s="74"/>
      <c r="AB840" s="74"/>
    </row>
    <row r="841" spans="1:28" ht="12" customHeight="1">
      <c r="A841" s="105"/>
      <c r="B841" s="106"/>
      <c r="C841" s="107"/>
      <c r="D841" s="108"/>
      <c r="E841" s="107"/>
      <c r="F841" s="107"/>
      <c r="G841" s="35"/>
      <c r="H841" s="104"/>
      <c r="I841" s="35"/>
      <c r="J841" s="74"/>
      <c r="K841" s="74"/>
      <c r="L841" s="74"/>
      <c r="M841" s="74"/>
      <c r="N841" s="74"/>
      <c r="O841" s="74"/>
      <c r="P841" s="74"/>
      <c r="Q841" s="74"/>
      <c r="R841" s="74"/>
      <c r="S841" s="74"/>
      <c r="T841" s="74"/>
      <c r="U841" s="74"/>
      <c r="V841" s="74"/>
      <c r="W841" s="74"/>
      <c r="X841" s="74"/>
      <c r="Y841" s="74"/>
      <c r="Z841" s="74"/>
      <c r="AA841" s="74"/>
      <c r="AB841" s="74"/>
    </row>
    <row r="842" spans="1:28" ht="12" customHeight="1">
      <c r="A842" s="105"/>
      <c r="B842" s="106"/>
      <c r="C842" s="107"/>
      <c r="D842" s="108"/>
      <c r="E842" s="107"/>
      <c r="F842" s="107"/>
      <c r="G842" s="35"/>
      <c r="H842" s="104"/>
      <c r="I842" s="35"/>
      <c r="J842" s="74"/>
      <c r="K842" s="74"/>
      <c r="L842" s="74"/>
      <c r="M842" s="74"/>
      <c r="N842" s="74"/>
      <c r="O842" s="74"/>
      <c r="P842" s="74"/>
      <c r="Q842" s="74"/>
      <c r="R842" s="74"/>
      <c r="S842" s="74"/>
      <c r="T842" s="74"/>
      <c r="U842" s="74"/>
      <c r="V842" s="74"/>
      <c r="W842" s="74"/>
      <c r="X842" s="74"/>
      <c r="Y842" s="74"/>
      <c r="Z842" s="74"/>
      <c r="AA842" s="74"/>
      <c r="AB842" s="74"/>
    </row>
    <row r="843" spans="1:28" ht="12" customHeight="1">
      <c r="A843" s="105"/>
      <c r="B843" s="106"/>
      <c r="C843" s="107"/>
      <c r="D843" s="108"/>
      <c r="E843" s="107"/>
      <c r="F843" s="107"/>
      <c r="G843" s="35"/>
      <c r="H843" s="104"/>
      <c r="I843" s="35"/>
      <c r="J843" s="74"/>
      <c r="K843" s="74"/>
      <c r="L843" s="74"/>
      <c r="M843" s="74"/>
      <c r="N843" s="74"/>
      <c r="O843" s="74"/>
      <c r="P843" s="74"/>
      <c r="Q843" s="74"/>
      <c r="R843" s="74"/>
      <c r="S843" s="74"/>
      <c r="T843" s="74"/>
      <c r="U843" s="74"/>
      <c r="V843" s="74"/>
      <c r="W843" s="74"/>
      <c r="X843" s="74"/>
      <c r="Y843" s="74"/>
      <c r="Z843" s="74"/>
      <c r="AA843" s="74"/>
      <c r="AB843" s="74"/>
    </row>
    <row r="844" spans="1:28" ht="12" customHeight="1">
      <c r="A844" s="105"/>
      <c r="B844" s="106"/>
      <c r="C844" s="107"/>
      <c r="D844" s="108"/>
      <c r="E844" s="107"/>
      <c r="F844" s="107"/>
      <c r="G844" s="35"/>
      <c r="H844" s="104"/>
      <c r="I844" s="35"/>
      <c r="J844" s="74"/>
      <c r="K844" s="74"/>
      <c r="L844" s="74"/>
      <c r="M844" s="74"/>
      <c r="N844" s="74"/>
      <c r="O844" s="74"/>
      <c r="P844" s="74"/>
      <c r="Q844" s="74"/>
      <c r="R844" s="74"/>
      <c r="S844" s="74"/>
      <c r="T844" s="74"/>
      <c r="U844" s="74"/>
      <c r="V844" s="74"/>
      <c r="W844" s="74"/>
      <c r="X844" s="74"/>
      <c r="Y844" s="74"/>
      <c r="Z844" s="74"/>
      <c r="AA844" s="74"/>
      <c r="AB844" s="74"/>
    </row>
    <row r="845" spans="1:28" ht="12" customHeight="1">
      <c r="A845" s="105"/>
      <c r="B845" s="106"/>
      <c r="C845" s="107"/>
      <c r="D845" s="108"/>
      <c r="E845" s="107"/>
      <c r="F845" s="107"/>
      <c r="G845" s="35"/>
      <c r="H845" s="104"/>
      <c r="I845" s="35"/>
      <c r="J845" s="74"/>
      <c r="K845" s="74"/>
      <c r="L845" s="74"/>
      <c r="M845" s="74"/>
      <c r="N845" s="74"/>
      <c r="O845" s="74"/>
      <c r="P845" s="74"/>
      <c r="Q845" s="74"/>
      <c r="R845" s="74"/>
      <c r="S845" s="74"/>
      <c r="T845" s="74"/>
      <c r="U845" s="74"/>
      <c r="V845" s="74"/>
      <c r="W845" s="74"/>
      <c r="X845" s="74"/>
      <c r="Y845" s="74"/>
      <c r="Z845" s="74"/>
      <c r="AA845" s="74"/>
      <c r="AB845" s="74"/>
    </row>
    <row r="846" spans="1:28" ht="12" customHeight="1">
      <c r="A846" s="105"/>
      <c r="B846" s="106"/>
      <c r="C846" s="107"/>
      <c r="D846" s="108"/>
      <c r="E846" s="107"/>
      <c r="F846" s="107"/>
      <c r="G846" s="35"/>
      <c r="H846" s="104"/>
      <c r="I846" s="35"/>
      <c r="J846" s="74"/>
      <c r="K846" s="74"/>
      <c r="L846" s="74"/>
      <c r="M846" s="74"/>
      <c r="N846" s="74"/>
      <c r="O846" s="74"/>
      <c r="P846" s="74"/>
      <c r="Q846" s="74"/>
      <c r="R846" s="74"/>
      <c r="S846" s="74"/>
      <c r="T846" s="74"/>
      <c r="U846" s="74"/>
      <c r="V846" s="74"/>
      <c r="W846" s="74"/>
      <c r="X846" s="74"/>
      <c r="Y846" s="74"/>
      <c r="Z846" s="74"/>
      <c r="AA846" s="74"/>
      <c r="AB846" s="74"/>
    </row>
    <row r="847" spans="1:28" ht="12" customHeight="1">
      <c r="A847" s="105"/>
      <c r="B847" s="106"/>
      <c r="C847" s="107"/>
      <c r="D847" s="108"/>
      <c r="E847" s="107"/>
      <c r="F847" s="107"/>
      <c r="G847" s="35"/>
      <c r="H847" s="104"/>
      <c r="I847" s="35"/>
      <c r="J847" s="74"/>
      <c r="K847" s="74"/>
      <c r="L847" s="74"/>
      <c r="M847" s="74"/>
      <c r="N847" s="74"/>
      <c r="O847" s="74"/>
      <c r="P847" s="74"/>
      <c r="Q847" s="74"/>
      <c r="R847" s="74"/>
      <c r="S847" s="74"/>
      <c r="T847" s="74"/>
      <c r="U847" s="74"/>
      <c r="V847" s="74"/>
      <c r="W847" s="74"/>
      <c r="X847" s="74"/>
      <c r="Y847" s="74"/>
      <c r="Z847" s="74"/>
      <c r="AA847" s="74"/>
      <c r="AB847" s="74"/>
    </row>
    <row r="848" spans="1:28" ht="12" customHeight="1">
      <c r="A848" s="105"/>
      <c r="B848" s="106"/>
      <c r="C848" s="107"/>
      <c r="D848" s="108"/>
      <c r="E848" s="107"/>
      <c r="F848" s="107"/>
      <c r="G848" s="35"/>
      <c r="H848" s="104"/>
      <c r="I848" s="35"/>
      <c r="J848" s="74"/>
      <c r="K848" s="74"/>
      <c r="L848" s="74"/>
      <c r="M848" s="74"/>
      <c r="N848" s="74"/>
      <c r="O848" s="74"/>
      <c r="P848" s="74"/>
      <c r="Q848" s="74"/>
      <c r="R848" s="74"/>
      <c r="S848" s="74"/>
      <c r="T848" s="74"/>
      <c r="U848" s="74"/>
      <c r="V848" s="74"/>
      <c r="W848" s="74"/>
      <c r="X848" s="74"/>
      <c r="Y848" s="74"/>
      <c r="Z848" s="74"/>
      <c r="AA848" s="74"/>
      <c r="AB848" s="74"/>
    </row>
    <row r="849" spans="1:28" ht="12" customHeight="1">
      <c r="A849" s="105"/>
      <c r="B849" s="106"/>
      <c r="C849" s="107"/>
      <c r="D849" s="108"/>
      <c r="E849" s="107"/>
      <c r="F849" s="107"/>
      <c r="G849" s="35"/>
      <c r="H849" s="104"/>
      <c r="I849" s="35"/>
      <c r="J849" s="74"/>
      <c r="K849" s="74"/>
      <c r="L849" s="74"/>
      <c r="M849" s="74"/>
      <c r="N849" s="74"/>
      <c r="O849" s="74"/>
      <c r="P849" s="74"/>
      <c r="Q849" s="74"/>
      <c r="R849" s="74"/>
      <c r="S849" s="74"/>
      <c r="T849" s="74"/>
      <c r="U849" s="74"/>
      <c r="V849" s="74"/>
      <c r="W849" s="74"/>
      <c r="X849" s="74"/>
      <c r="Y849" s="74"/>
      <c r="Z849" s="74"/>
      <c r="AA849" s="74"/>
      <c r="AB849" s="74"/>
    </row>
    <row r="850" spans="1:28" ht="12" customHeight="1">
      <c r="A850" s="105"/>
      <c r="B850" s="106"/>
      <c r="C850" s="107"/>
      <c r="D850" s="108"/>
      <c r="E850" s="107"/>
      <c r="F850" s="107"/>
      <c r="G850" s="35"/>
      <c r="H850" s="104"/>
      <c r="I850" s="35"/>
      <c r="J850" s="74"/>
      <c r="K850" s="74"/>
      <c r="L850" s="74"/>
      <c r="M850" s="74"/>
      <c r="N850" s="74"/>
      <c r="O850" s="74"/>
      <c r="P850" s="74"/>
      <c r="Q850" s="74"/>
      <c r="R850" s="74"/>
      <c r="S850" s="74"/>
      <c r="T850" s="74"/>
      <c r="U850" s="74"/>
      <c r="V850" s="74"/>
      <c r="W850" s="74"/>
      <c r="X850" s="74"/>
      <c r="Y850" s="74"/>
      <c r="Z850" s="74"/>
      <c r="AA850" s="74"/>
      <c r="AB850" s="74"/>
    </row>
    <row r="851" spans="1:28" ht="12" customHeight="1">
      <c r="A851" s="105"/>
      <c r="B851" s="106"/>
      <c r="C851" s="107"/>
      <c r="D851" s="108"/>
      <c r="E851" s="107"/>
      <c r="F851" s="107"/>
      <c r="G851" s="35"/>
      <c r="H851" s="104"/>
      <c r="I851" s="35"/>
      <c r="J851" s="74"/>
      <c r="K851" s="74"/>
      <c r="L851" s="74"/>
      <c r="M851" s="74"/>
      <c r="N851" s="74"/>
      <c r="O851" s="74"/>
      <c r="P851" s="74"/>
      <c r="Q851" s="74"/>
      <c r="R851" s="74"/>
      <c r="S851" s="74"/>
      <c r="T851" s="74"/>
      <c r="U851" s="74"/>
      <c r="V851" s="74"/>
      <c r="W851" s="74"/>
      <c r="X851" s="74"/>
      <c r="Y851" s="74"/>
      <c r="Z851" s="74"/>
      <c r="AA851" s="74"/>
      <c r="AB851" s="74"/>
    </row>
    <row r="852" spans="1:28" ht="12" customHeight="1">
      <c r="A852" s="105"/>
      <c r="B852" s="106"/>
      <c r="C852" s="107"/>
      <c r="D852" s="108"/>
      <c r="E852" s="107"/>
      <c r="F852" s="107"/>
      <c r="G852" s="35"/>
      <c r="H852" s="104"/>
      <c r="I852" s="35"/>
      <c r="J852" s="74"/>
      <c r="K852" s="74"/>
      <c r="L852" s="74"/>
      <c r="M852" s="74"/>
      <c r="N852" s="74"/>
      <c r="O852" s="74"/>
      <c r="P852" s="74"/>
      <c r="Q852" s="74"/>
      <c r="R852" s="74"/>
      <c r="S852" s="74"/>
      <c r="T852" s="74"/>
      <c r="U852" s="74"/>
      <c r="V852" s="74"/>
      <c r="W852" s="74"/>
      <c r="X852" s="74"/>
      <c r="Y852" s="74"/>
      <c r="Z852" s="74"/>
      <c r="AA852" s="74"/>
      <c r="AB852" s="74"/>
    </row>
    <row r="853" spans="1:28" ht="12" customHeight="1">
      <c r="A853" s="105"/>
      <c r="B853" s="106"/>
      <c r="C853" s="107"/>
      <c r="D853" s="108"/>
      <c r="E853" s="107"/>
      <c r="F853" s="107"/>
      <c r="G853" s="35"/>
      <c r="H853" s="104"/>
      <c r="I853" s="35"/>
      <c r="J853" s="74"/>
      <c r="K853" s="74"/>
      <c r="L853" s="74"/>
      <c r="M853" s="74"/>
      <c r="N853" s="74"/>
      <c r="O853" s="74"/>
      <c r="P853" s="74"/>
      <c r="Q853" s="74"/>
      <c r="R853" s="74"/>
      <c r="S853" s="74"/>
      <c r="T853" s="74"/>
      <c r="U853" s="74"/>
      <c r="V853" s="74"/>
      <c r="W853" s="74"/>
      <c r="X853" s="74"/>
      <c r="Y853" s="74"/>
      <c r="Z853" s="74"/>
      <c r="AA853" s="74"/>
      <c r="AB853" s="74"/>
    </row>
    <row r="854" spans="1:28" ht="12" customHeight="1">
      <c r="A854" s="105"/>
      <c r="B854" s="106"/>
      <c r="C854" s="107"/>
      <c r="D854" s="108"/>
      <c r="E854" s="107"/>
      <c r="F854" s="107"/>
      <c r="G854" s="35"/>
      <c r="H854" s="104"/>
      <c r="I854" s="35"/>
      <c r="J854" s="74"/>
      <c r="K854" s="74"/>
      <c r="L854" s="74"/>
      <c r="M854" s="74"/>
      <c r="N854" s="74"/>
      <c r="O854" s="74"/>
      <c r="P854" s="74"/>
      <c r="Q854" s="74"/>
      <c r="R854" s="74"/>
      <c r="S854" s="74"/>
      <c r="T854" s="74"/>
      <c r="U854" s="74"/>
      <c r="V854" s="74"/>
      <c r="W854" s="74"/>
      <c r="X854" s="74"/>
      <c r="Y854" s="74"/>
      <c r="Z854" s="74"/>
      <c r="AA854" s="74"/>
      <c r="AB854" s="74"/>
    </row>
    <row r="855" spans="1:28" ht="12" customHeight="1">
      <c r="A855" s="105"/>
      <c r="B855" s="106"/>
      <c r="C855" s="107"/>
      <c r="D855" s="108"/>
      <c r="E855" s="107"/>
      <c r="F855" s="107"/>
      <c r="G855" s="35"/>
      <c r="H855" s="104"/>
      <c r="I855" s="35"/>
      <c r="J855" s="74"/>
      <c r="K855" s="74"/>
      <c r="L855" s="74"/>
      <c r="M855" s="74"/>
      <c r="N855" s="74"/>
      <c r="O855" s="74"/>
      <c r="P855" s="74"/>
      <c r="Q855" s="74"/>
      <c r="R855" s="74"/>
      <c r="S855" s="74"/>
      <c r="T855" s="74"/>
      <c r="U855" s="74"/>
      <c r="V855" s="74"/>
      <c r="W855" s="74"/>
      <c r="X855" s="74"/>
      <c r="Y855" s="74"/>
      <c r="Z855" s="74"/>
      <c r="AA855" s="74"/>
      <c r="AB855" s="74"/>
    </row>
    <row r="856" spans="1:28" ht="12" customHeight="1">
      <c r="A856" s="105"/>
      <c r="B856" s="106"/>
      <c r="C856" s="107"/>
      <c r="D856" s="108"/>
      <c r="E856" s="107"/>
      <c r="F856" s="107"/>
      <c r="G856" s="35"/>
      <c r="H856" s="104"/>
      <c r="I856" s="35"/>
      <c r="J856" s="74"/>
      <c r="K856" s="74"/>
      <c r="L856" s="74"/>
      <c r="M856" s="74"/>
      <c r="N856" s="74"/>
      <c r="O856" s="74"/>
      <c r="P856" s="74"/>
      <c r="Q856" s="74"/>
      <c r="R856" s="74"/>
      <c r="S856" s="74"/>
      <c r="T856" s="74"/>
      <c r="U856" s="74"/>
      <c r="V856" s="74"/>
      <c r="W856" s="74"/>
      <c r="X856" s="74"/>
      <c r="Y856" s="74"/>
      <c r="Z856" s="74"/>
      <c r="AA856" s="74"/>
      <c r="AB856" s="74"/>
    </row>
    <row r="857" spans="1:28" ht="12" customHeight="1">
      <c r="A857" s="105"/>
      <c r="B857" s="106"/>
      <c r="C857" s="107"/>
      <c r="D857" s="108"/>
      <c r="E857" s="107"/>
      <c r="F857" s="107"/>
      <c r="G857" s="35"/>
      <c r="H857" s="104"/>
      <c r="I857" s="35"/>
      <c r="J857" s="74"/>
      <c r="K857" s="74"/>
      <c r="L857" s="74"/>
      <c r="M857" s="74"/>
      <c r="N857" s="74"/>
      <c r="O857" s="74"/>
      <c r="P857" s="74"/>
      <c r="Q857" s="74"/>
      <c r="R857" s="74"/>
      <c r="S857" s="74"/>
      <c r="T857" s="74"/>
      <c r="U857" s="74"/>
      <c r="V857" s="74"/>
      <c r="W857" s="74"/>
      <c r="X857" s="74"/>
      <c r="Y857" s="74"/>
      <c r="Z857" s="74"/>
      <c r="AA857" s="74"/>
      <c r="AB857" s="74"/>
    </row>
    <row r="858" spans="1:28" ht="12" customHeight="1">
      <c r="A858" s="105"/>
      <c r="B858" s="106"/>
      <c r="C858" s="107"/>
      <c r="D858" s="108"/>
      <c r="E858" s="107"/>
      <c r="F858" s="107"/>
      <c r="G858" s="35"/>
      <c r="H858" s="104"/>
      <c r="I858" s="35"/>
      <c r="J858" s="74"/>
      <c r="K858" s="74"/>
      <c r="L858" s="74"/>
      <c r="M858" s="74"/>
      <c r="N858" s="74"/>
      <c r="O858" s="74"/>
      <c r="P858" s="74"/>
      <c r="Q858" s="74"/>
      <c r="R858" s="74"/>
      <c r="S858" s="74"/>
      <c r="T858" s="74"/>
      <c r="U858" s="74"/>
      <c r="V858" s="74"/>
      <c r="W858" s="74"/>
      <c r="X858" s="74"/>
      <c r="Y858" s="74"/>
      <c r="Z858" s="74"/>
      <c r="AA858" s="74"/>
      <c r="AB858" s="74"/>
    </row>
    <row r="859" spans="1:28" ht="12" customHeight="1">
      <c r="A859" s="105"/>
      <c r="B859" s="106"/>
      <c r="C859" s="107"/>
      <c r="D859" s="108"/>
      <c r="E859" s="107"/>
      <c r="F859" s="107"/>
      <c r="G859" s="35"/>
      <c r="H859" s="104"/>
      <c r="I859" s="35"/>
      <c r="J859" s="74"/>
      <c r="K859" s="74"/>
      <c r="L859" s="74"/>
      <c r="M859" s="74"/>
      <c r="N859" s="74"/>
      <c r="O859" s="74"/>
      <c r="P859" s="74"/>
      <c r="Q859" s="74"/>
      <c r="R859" s="74"/>
      <c r="S859" s="74"/>
      <c r="T859" s="74"/>
      <c r="U859" s="74"/>
      <c r="V859" s="74"/>
      <c r="W859" s="74"/>
      <c r="X859" s="74"/>
      <c r="Y859" s="74"/>
      <c r="Z859" s="74"/>
      <c r="AA859" s="74"/>
      <c r="AB859" s="74"/>
    </row>
    <row r="860" spans="1:28" ht="12" customHeight="1">
      <c r="A860" s="105"/>
      <c r="B860" s="106"/>
      <c r="C860" s="107"/>
      <c r="D860" s="108"/>
      <c r="E860" s="107"/>
      <c r="F860" s="107"/>
      <c r="G860" s="35"/>
      <c r="H860" s="104"/>
      <c r="I860" s="35"/>
      <c r="J860" s="74"/>
      <c r="K860" s="74"/>
      <c r="L860" s="74"/>
      <c r="M860" s="74"/>
      <c r="N860" s="74"/>
      <c r="O860" s="74"/>
      <c r="P860" s="74"/>
      <c r="Q860" s="74"/>
      <c r="R860" s="74"/>
      <c r="S860" s="74"/>
      <c r="T860" s="74"/>
      <c r="U860" s="74"/>
      <c r="V860" s="74"/>
      <c r="W860" s="74"/>
      <c r="X860" s="74"/>
      <c r="Y860" s="74"/>
      <c r="Z860" s="74"/>
      <c r="AA860" s="74"/>
      <c r="AB860" s="74"/>
    </row>
    <row r="861" spans="1:28" ht="12" customHeight="1">
      <c r="A861" s="105"/>
      <c r="B861" s="106"/>
      <c r="C861" s="107"/>
      <c r="D861" s="108"/>
      <c r="E861" s="107"/>
      <c r="F861" s="107"/>
      <c r="G861" s="35"/>
      <c r="H861" s="104"/>
      <c r="I861" s="35"/>
      <c r="J861" s="74"/>
      <c r="K861" s="74"/>
      <c r="L861" s="74"/>
      <c r="M861" s="74"/>
      <c r="N861" s="74"/>
      <c r="O861" s="74"/>
      <c r="P861" s="74"/>
      <c r="Q861" s="74"/>
      <c r="R861" s="74"/>
      <c r="S861" s="74"/>
      <c r="T861" s="74"/>
      <c r="U861" s="74"/>
      <c r="V861" s="74"/>
      <c r="W861" s="74"/>
      <c r="X861" s="74"/>
      <c r="Y861" s="74"/>
      <c r="Z861" s="74"/>
      <c r="AA861" s="74"/>
      <c r="AB861" s="74"/>
    </row>
    <row r="862" spans="1:28" ht="12" customHeight="1">
      <c r="A862" s="105"/>
      <c r="B862" s="106"/>
      <c r="C862" s="107"/>
      <c r="D862" s="108"/>
      <c r="E862" s="107"/>
      <c r="F862" s="107"/>
      <c r="G862" s="35"/>
      <c r="H862" s="104"/>
      <c r="I862" s="35"/>
      <c r="J862" s="74"/>
      <c r="K862" s="74"/>
      <c r="L862" s="74"/>
      <c r="M862" s="74"/>
      <c r="N862" s="74"/>
      <c r="O862" s="74"/>
      <c r="P862" s="74"/>
      <c r="Q862" s="74"/>
      <c r="R862" s="74"/>
      <c r="S862" s="74"/>
      <c r="T862" s="74"/>
      <c r="U862" s="74"/>
      <c r="V862" s="74"/>
      <c r="W862" s="74"/>
      <c r="X862" s="74"/>
      <c r="Y862" s="74"/>
      <c r="Z862" s="74"/>
      <c r="AA862" s="74"/>
      <c r="AB862" s="74"/>
    </row>
    <row r="863" spans="1:28" ht="12" customHeight="1">
      <c r="A863" s="105"/>
      <c r="B863" s="106"/>
      <c r="C863" s="107"/>
      <c r="D863" s="108"/>
      <c r="E863" s="107"/>
      <c r="F863" s="107"/>
      <c r="G863" s="35"/>
      <c r="H863" s="104"/>
      <c r="I863" s="35"/>
      <c r="J863" s="74"/>
      <c r="K863" s="74"/>
      <c r="L863" s="74"/>
      <c r="M863" s="74"/>
      <c r="N863" s="74"/>
      <c r="O863" s="74"/>
      <c r="P863" s="74"/>
      <c r="Q863" s="74"/>
      <c r="R863" s="74"/>
      <c r="S863" s="74"/>
      <c r="T863" s="74"/>
      <c r="U863" s="74"/>
      <c r="V863" s="74"/>
      <c r="W863" s="74"/>
      <c r="X863" s="74"/>
      <c r="Y863" s="74"/>
      <c r="Z863" s="74"/>
      <c r="AA863" s="74"/>
      <c r="AB863" s="74"/>
    </row>
    <row r="864" spans="1:28" ht="12" customHeight="1">
      <c r="A864" s="105"/>
      <c r="B864" s="106"/>
      <c r="C864" s="107"/>
      <c r="D864" s="108"/>
      <c r="E864" s="107"/>
      <c r="F864" s="107"/>
      <c r="G864" s="35"/>
      <c r="H864" s="104"/>
      <c r="I864" s="35"/>
      <c r="J864" s="74"/>
      <c r="K864" s="74"/>
      <c r="L864" s="74"/>
      <c r="M864" s="74"/>
      <c r="N864" s="74"/>
      <c r="O864" s="74"/>
      <c r="P864" s="74"/>
      <c r="Q864" s="74"/>
      <c r="R864" s="74"/>
      <c r="S864" s="74"/>
      <c r="T864" s="74"/>
      <c r="U864" s="74"/>
      <c r="V864" s="74"/>
      <c r="W864" s="74"/>
      <c r="X864" s="74"/>
      <c r="Y864" s="74"/>
      <c r="Z864" s="74"/>
      <c r="AA864" s="74"/>
      <c r="AB864" s="74"/>
    </row>
    <row r="865" spans="1:28" ht="12" customHeight="1">
      <c r="A865" s="105"/>
      <c r="B865" s="106"/>
      <c r="C865" s="107"/>
      <c r="D865" s="108"/>
      <c r="E865" s="107"/>
      <c r="F865" s="107"/>
      <c r="G865" s="35"/>
      <c r="H865" s="104"/>
      <c r="I865" s="35"/>
      <c r="J865" s="74"/>
      <c r="K865" s="74"/>
      <c r="L865" s="74"/>
      <c r="M865" s="74"/>
      <c r="N865" s="74"/>
      <c r="O865" s="74"/>
      <c r="P865" s="74"/>
      <c r="Q865" s="74"/>
      <c r="R865" s="74"/>
      <c r="S865" s="74"/>
      <c r="T865" s="74"/>
      <c r="U865" s="74"/>
      <c r="V865" s="74"/>
      <c r="W865" s="74"/>
      <c r="X865" s="74"/>
      <c r="Y865" s="74"/>
      <c r="Z865" s="74"/>
      <c r="AA865" s="74"/>
      <c r="AB865" s="74"/>
    </row>
    <row r="866" spans="1:28" ht="12" customHeight="1">
      <c r="A866" s="105"/>
      <c r="B866" s="106"/>
      <c r="C866" s="107"/>
      <c r="D866" s="108"/>
      <c r="E866" s="107"/>
      <c r="F866" s="107"/>
      <c r="G866" s="35"/>
      <c r="H866" s="104"/>
      <c r="I866" s="35"/>
      <c r="J866" s="74"/>
      <c r="K866" s="74"/>
      <c r="L866" s="74"/>
      <c r="M866" s="74"/>
      <c r="N866" s="74"/>
      <c r="O866" s="74"/>
      <c r="P866" s="74"/>
      <c r="Q866" s="74"/>
      <c r="R866" s="74"/>
      <c r="S866" s="74"/>
      <c r="T866" s="74"/>
      <c r="U866" s="74"/>
      <c r="V866" s="74"/>
      <c r="W866" s="74"/>
      <c r="X866" s="74"/>
      <c r="Y866" s="74"/>
      <c r="Z866" s="74"/>
      <c r="AA866" s="74"/>
      <c r="AB866" s="74"/>
    </row>
    <row r="867" spans="1:28" ht="12" customHeight="1">
      <c r="A867" s="105"/>
      <c r="B867" s="106"/>
      <c r="C867" s="107"/>
      <c r="D867" s="108"/>
      <c r="E867" s="107"/>
      <c r="F867" s="107"/>
      <c r="G867" s="35"/>
      <c r="H867" s="104"/>
      <c r="I867" s="35"/>
      <c r="J867" s="74"/>
      <c r="K867" s="74"/>
      <c r="L867" s="74"/>
      <c r="M867" s="74"/>
      <c r="N867" s="74"/>
      <c r="O867" s="74"/>
      <c r="P867" s="74"/>
      <c r="Q867" s="74"/>
      <c r="R867" s="74"/>
      <c r="S867" s="74"/>
      <c r="T867" s="74"/>
      <c r="U867" s="74"/>
      <c r="V867" s="74"/>
      <c r="W867" s="74"/>
      <c r="X867" s="74"/>
      <c r="Y867" s="74"/>
      <c r="Z867" s="74"/>
      <c r="AA867" s="74"/>
      <c r="AB867" s="74"/>
    </row>
    <row r="868" spans="1:28" ht="12" customHeight="1">
      <c r="A868" s="105"/>
      <c r="B868" s="106"/>
      <c r="C868" s="107"/>
      <c r="D868" s="108"/>
      <c r="E868" s="107"/>
      <c r="F868" s="107"/>
      <c r="G868" s="35"/>
      <c r="H868" s="104"/>
      <c r="I868" s="35"/>
      <c r="J868" s="74"/>
      <c r="K868" s="74"/>
      <c r="L868" s="74"/>
      <c r="M868" s="74"/>
      <c r="N868" s="74"/>
      <c r="O868" s="74"/>
      <c r="P868" s="74"/>
      <c r="Q868" s="74"/>
      <c r="R868" s="74"/>
      <c r="S868" s="74"/>
      <c r="T868" s="74"/>
      <c r="U868" s="74"/>
      <c r="V868" s="74"/>
      <c r="W868" s="74"/>
      <c r="X868" s="74"/>
      <c r="Y868" s="74"/>
      <c r="Z868" s="74"/>
      <c r="AA868" s="74"/>
      <c r="AB868" s="74"/>
    </row>
    <row r="869" spans="1:28" ht="12" customHeight="1">
      <c r="A869" s="105"/>
      <c r="B869" s="106"/>
      <c r="C869" s="107"/>
      <c r="D869" s="108"/>
      <c r="E869" s="107"/>
      <c r="F869" s="107"/>
      <c r="G869" s="35"/>
      <c r="H869" s="104"/>
      <c r="I869" s="35"/>
      <c r="J869" s="74"/>
      <c r="K869" s="74"/>
      <c r="L869" s="74"/>
      <c r="M869" s="74"/>
      <c r="N869" s="74"/>
      <c r="O869" s="74"/>
      <c r="P869" s="74"/>
      <c r="Q869" s="74"/>
      <c r="R869" s="74"/>
      <c r="S869" s="74"/>
      <c r="T869" s="74"/>
      <c r="U869" s="74"/>
      <c r="V869" s="74"/>
      <c r="W869" s="74"/>
      <c r="X869" s="74"/>
      <c r="Y869" s="74"/>
      <c r="Z869" s="74"/>
      <c r="AA869" s="74"/>
      <c r="AB869" s="74"/>
    </row>
    <row r="870" spans="1:28" ht="12" customHeight="1">
      <c r="A870" s="105"/>
      <c r="B870" s="106"/>
      <c r="C870" s="107"/>
      <c r="D870" s="108"/>
      <c r="E870" s="107"/>
      <c r="F870" s="107"/>
      <c r="G870" s="35"/>
      <c r="H870" s="104"/>
      <c r="I870" s="35"/>
      <c r="J870" s="74"/>
      <c r="K870" s="74"/>
      <c r="L870" s="74"/>
      <c r="M870" s="74"/>
      <c r="N870" s="74"/>
      <c r="O870" s="74"/>
      <c r="P870" s="74"/>
      <c r="Q870" s="74"/>
      <c r="R870" s="74"/>
      <c r="S870" s="74"/>
      <c r="T870" s="74"/>
      <c r="U870" s="74"/>
      <c r="V870" s="74"/>
      <c r="W870" s="74"/>
      <c r="X870" s="74"/>
      <c r="Y870" s="74"/>
      <c r="Z870" s="74"/>
      <c r="AA870" s="74"/>
      <c r="AB870" s="74"/>
    </row>
    <row r="871" spans="1:28" ht="12" customHeight="1">
      <c r="A871" s="105"/>
      <c r="B871" s="106"/>
      <c r="C871" s="107"/>
      <c r="D871" s="108"/>
      <c r="E871" s="107"/>
      <c r="F871" s="107"/>
      <c r="G871" s="35"/>
      <c r="H871" s="104"/>
      <c r="I871" s="35"/>
      <c r="J871" s="74"/>
      <c r="K871" s="74"/>
      <c r="L871" s="74"/>
      <c r="M871" s="74"/>
      <c r="N871" s="74"/>
      <c r="O871" s="74"/>
      <c r="P871" s="74"/>
      <c r="Q871" s="74"/>
      <c r="R871" s="74"/>
      <c r="S871" s="74"/>
      <c r="T871" s="74"/>
      <c r="U871" s="74"/>
      <c r="V871" s="74"/>
      <c r="W871" s="74"/>
      <c r="X871" s="74"/>
      <c r="Y871" s="74"/>
      <c r="Z871" s="74"/>
      <c r="AA871" s="74"/>
      <c r="AB871" s="74"/>
    </row>
    <row r="872" spans="1:28" ht="12" customHeight="1">
      <c r="A872" s="105"/>
      <c r="B872" s="106"/>
      <c r="C872" s="107"/>
      <c r="D872" s="108"/>
      <c r="E872" s="107"/>
      <c r="F872" s="107"/>
      <c r="G872" s="35"/>
      <c r="H872" s="104"/>
      <c r="I872" s="35"/>
      <c r="J872" s="74"/>
      <c r="K872" s="74"/>
      <c r="L872" s="74"/>
      <c r="M872" s="74"/>
      <c r="N872" s="74"/>
      <c r="O872" s="74"/>
      <c r="P872" s="74"/>
      <c r="Q872" s="74"/>
      <c r="R872" s="74"/>
      <c r="S872" s="74"/>
      <c r="T872" s="74"/>
      <c r="U872" s="74"/>
      <c r="V872" s="74"/>
      <c r="W872" s="74"/>
      <c r="X872" s="74"/>
      <c r="Y872" s="74"/>
      <c r="Z872" s="74"/>
      <c r="AA872" s="74"/>
      <c r="AB872" s="74"/>
    </row>
    <row r="873" spans="1:28" ht="12" customHeight="1">
      <c r="A873" s="105"/>
      <c r="B873" s="106"/>
      <c r="C873" s="107"/>
      <c r="D873" s="108"/>
      <c r="E873" s="107"/>
      <c r="F873" s="107"/>
      <c r="G873" s="35"/>
      <c r="H873" s="104"/>
      <c r="I873" s="35"/>
      <c r="J873" s="74"/>
      <c r="K873" s="74"/>
      <c r="L873" s="74"/>
      <c r="M873" s="74"/>
      <c r="N873" s="74"/>
      <c r="O873" s="74"/>
      <c r="P873" s="74"/>
      <c r="Q873" s="74"/>
      <c r="R873" s="74"/>
      <c r="S873" s="74"/>
      <c r="T873" s="74"/>
      <c r="U873" s="74"/>
      <c r="V873" s="74"/>
      <c r="W873" s="74"/>
      <c r="X873" s="74"/>
      <c r="Y873" s="74"/>
      <c r="Z873" s="74"/>
      <c r="AA873" s="74"/>
      <c r="AB873" s="74"/>
    </row>
    <row r="874" spans="1:28" ht="12" customHeight="1">
      <c r="A874" s="105"/>
      <c r="B874" s="106"/>
      <c r="C874" s="107"/>
      <c r="D874" s="108"/>
      <c r="E874" s="107"/>
      <c r="F874" s="107"/>
      <c r="G874" s="35"/>
      <c r="H874" s="104"/>
      <c r="I874" s="35"/>
      <c r="J874" s="74"/>
      <c r="K874" s="74"/>
      <c r="L874" s="74"/>
      <c r="M874" s="74"/>
      <c r="N874" s="74"/>
      <c r="O874" s="74"/>
      <c r="P874" s="74"/>
      <c r="Q874" s="74"/>
      <c r="R874" s="74"/>
      <c r="S874" s="74"/>
      <c r="T874" s="74"/>
      <c r="U874" s="74"/>
      <c r="V874" s="74"/>
      <c r="W874" s="74"/>
      <c r="X874" s="74"/>
      <c r="Y874" s="74"/>
      <c r="Z874" s="74"/>
      <c r="AA874" s="74"/>
      <c r="AB874" s="74"/>
    </row>
    <row r="875" spans="1:28" ht="12" customHeight="1">
      <c r="A875" s="105"/>
      <c r="B875" s="106"/>
      <c r="C875" s="107"/>
      <c r="D875" s="108"/>
      <c r="E875" s="107"/>
      <c r="F875" s="107"/>
      <c r="G875" s="35"/>
      <c r="H875" s="104"/>
      <c r="I875" s="35"/>
      <c r="J875" s="74"/>
      <c r="K875" s="74"/>
      <c r="L875" s="74"/>
      <c r="M875" s="74"/>
      <c r="N875" s="74"/>
      <c r="O875" s="74"/>
      <c r="P875" s="74"/>
      <c r="Q875" s="74"/>
      <c r="R875" s="74"/>
      <c r="S875" s="74"/>
      <c r="T875" s="74"/>
      <c r="U875" s="74"/>
      <c r="V875" s="74"/>
      <c r="W875" s="74"/>
      <c r="X875" s="74"/>
      <c r="Y875" s="74"/>
      <c r="Z875" s="74"/>
      <c r="AA875" s="74"/>
      <c r="AB875" s="74"/>
    </row>
    <row r="876" spans="1:28" ht="12" customHeight="1">
      <c r="A876" s="105"/>
      <c r="B876" s="106"/>
      <c r="C876" s="107"/>
      <c r="D876" s="108"/>
      <c r="E876" s="107"/>
      <c r="F876" s="107"/>
      <c r="G876" s="35"/>
      <c r="H876" s="104"/>
      <c r="I876" s="35"/>
      <c r="J876" s="74"/>
      <c r="K876" s="74"/>
      <c r="L876" s="74"/>
      <c r="M876" s="74"/>
      <c r="N876" s="74"/>
      <c r="O876" s="74"/>
      <c r="P876" s="74"/>
      <c r="Q876" s="74"/>
      <c r="R876" s="74"/>
      <c r="S876" s="74"/>
      <c r="T876" s="74"/>
      <c r="U876" s="74"/>
      <c r="V876" s="74"/>
      <c r="W876" s="74"/>
      <c r="X876" s="74"/>
      <c r="Y876" s="74"/>
      <c r="Z876" s="74"/>
      <c r="AA876" s="74"/>
      <c r="AB876" s="74"/>
    </row>
    <row r="877" spans="1:28" ht="12" customHeight="1">
      <c r="A877" s="105"/>
      <c r="B877" s="106"/>
      <c r="C877" s="107"/>
      <c r="D877" s="108"/>
      <c r="E877" s="107"/>
      <c r="F877" s="107"/>
      <c r="G877" s="35"/>
      <c r="H877" s="104"/>
      <c r="I877" s="35"/>
      <c r="J877" s="74"/>
      <c r="K877" s="74"/>
      <c r="L877" s="74"/>
      <c r="M877" s="74"/>
      <c r="N877" s="74"/>
      <c r="O877" s="74"/>
      <c r="P877" s="74"/>
      <c r="Q877" s="74"/>
      <c r="R877" s="74"/>
      <c r="S877" s="74"/>
      <c r="T877" s="74"/>
      <c r="U877" s="74"/>
      <c r="V877" s="74"/>
      <c r="W877" s="74"/>
      <c r="X877" s="74"/>
      <c r="Y877" s="74"/>
      <c r="Z877" s="74"/>
      <c r="AA877" s="74"/>
      <c r="AB877" s="74"/>
    </row>
    <row r="878" spans="1:28" ht="12" customHeight="1">
      <c r="A878" s="105"/>
      <c r="B878" s="106"/>
      <c r="C878" s="107"/>
      <c r="D878" s="108"/>
      <c r="E878" s="107"/>
      <c r="F878" s="107"/>
      <c r="G878" s="35"/>
      <c r="H878" s="104"/>
      <c r="I878" s="35"/>
      <c r="J878" s="74"/>
      <c r="K878" s="74"/>
      <c r="L878" s="74"/>
      <c r="M878" s="74"/>
      <c r="N878" s="74"/>
      <c r="O878" s="74"/>
      <c r="P878" s="74"/>
      <c r="Q878" s="74"/>
      <c r="R878" s="74"/>
      <c r="S878" s="74"/>
      <c r="T878" s="74"/>
      <c r="U878" s="74"/>
      <c r="V878" s="74"/>
      <c r="W878" s="74"/>
      <c r="X878" s="74"/>
      <c r="Y878" s="74"/>
      <c r="Z878" s="74"/>
      <c r="AA878" s="74"/>
      <c r="AB878" s="74"/>
    </row>
    <row r="879" spans="1:28" ht="12" customHeight="1">
      <c r="A879" s="105"/>
      <c r="B879" s="106"/>
      <c r="C879" s="107"/>
      <c r="D879" s="108"/>
      <c r="E879" s="107"/>
      <c r="F879" s="107"/>
      <c r="G879" s="35"/>
      <c r="H879" s="104"/>
      <c r="I879" s="35"/>
      <c r="J879" s="74"/>
      <c r="K879" s="74"/>
      <c r="L879" s="74"/>
      <c r="M879" s="74"/>
      <c r="N879" s="74"/>
      <c r="O879" s="74"/>
      <c r="P879" s="74"/>
      <c r="Q879" s="74"/>
      <c r="R879" s="74"/>
      <c r="S879" s="74"/>
      <c r="T879" s="74"/>
      <c r="U879" s="74"/>
      <c r="V879" s="74"/>
      <c r="W879" s="74"/>
      <c r="X879" s="74"/>
      <c r="Y879" s="74"/>
      <c r="Z879" s="74"/>
      <c r="AA879" s="74"/>
      <c r="AB879" s="74"/>
    </row>
    <row r="880" spans="1:28" ht="12" customHeight="1">
      <c r="A880" s="105"/>
      <c r="B880" s="106"/>
      <c r="C880" s="107"/>
      <c r="D880" s="108"/>
      <c r="E880" s="107"/>
      <c r="F880" s="107"/>
      <c r="G880" s="35"/>
      <c r="H880" s="104"/>
      <c r="I880" s="35"/>
      <c r="J880" s="74"/>
      <c r="K880" s="74"/>
      <c r="L880" s="74"/>
      <c r="M880" s="74"/>
      <c r="N880" s="74"/>
      <c r="O880" s="74"/>
      <c r="P880" s="74"/>
      <c r="Q880" s="74"/>
      <c r="R880" s="74"/>
      <c r="S880" s="74"/>
      <c r="T880" s="74"/>
      <c r="U880" s="74"/>
      <c r="V880" s="74"/>
      <c r="W880" s="74"/>
      <c r="X880" s="74"/>
      <c r="Y880" s="74"/>
      <c r="Z880" s="74"/>
      <c r="AA880" s="74"/>
      <c r="AB880" s="74"/>
    </row>
    <row r="881" spans="1:28" ht="12" customHeight="1">
      <c r="A881" s="105"/>
      <c r="B881" s="106"/>
      <c r="C881" s="107"/>
      <c r="D881" s="108"/>
      <c r="E881" s="107"/>
      <c r="F881" s="107"/>
      <c r="G881" s="35"/>
      <c r="H881" s="104"/>
      <c r="I881" s="35"/>
      <c r="J881" s="74"/>
      <c r="K881" s="74"/>
      <c r="L881" s="74"/>
      <c r="M881" s="74"/>
      <c r="N881" s="74"/>
      <c r="O881" s="74"/>
      <c r="P881" s="74"/>
      <c r="Q881" s="74"/>
      <c r="R881" s="74"/>
      <c r="S881" s="74"/>
      <c r="T881" s="74"/>
      <c r="U881" s="74"/>
      <c r="V881" s="74"/>
      <c r="W881" s="74"/>
      <c r="X881" s="74"/>
      <c r="Y881" s="74"/>
      <c r="Z881" s="74"/>
      <c r="AA881" s="74"/>
      <c r="AB881" s="74"/>
    </row>
    <row r="882" spans="1:28" ht="12" customHeight="1">
      <c r="A882" s="105"/>
      <c r="B882" s="106"/>
      <c r="C882" s="107"/>
      <c r="D882" s="108"/>
      <c r="E882" s="107"/>
      <c r="F882" s="107"/>
      <c r="G882" s="35"/>
      <c r="H882" s="104"/>
      <c r="I882" s="35"/>
      <c r="J882" s="74"/>
      <c r="K882" s="74"/>
      <c r="L882" s="74"/>
      <c r="M882" s="74"/>
      <c r="N882" s="74"/>
      <c r="O882" s="74"/>
      <c r="P882" s="74"/>
      <c r="Q882" s="74"/>
      <c r="R882" s="74"/>
      <c r="S882" s="74"/>
      <c r="T882" s="74"/>
      <c r="U882" s="74"/>
      <c r="V882" s="74"/>
      <c r="W882" s="74"/>
      <c r="X882" s="74"/>
      <c r="Y882" s="74"/>
      <c r="Z882" s="74"/>
      <c r="AA882" s="74"/>
      <c r="AB882" s="74"/>
    </row>
    <row r="883" spans="1:28" ht="12" customHeight="1">
      <c r="A883" s="105"/>
      <c r="B883" s="106"/>
      <c r="C883" s="107"/>
      <c r="D883" s="108"/>
      <c r="E883" s="107"/>
      <c r="F883" s="107"/>
      <c r="G883" s="35"/>
      <c r="H883" s="104"/>
      <c r="I883" s="35"/>
      <c r="J883" s="74"/>
      <c r="K883" s="74"/>
      <c r="L883" s="74"/>
      <c r="M883" s="74"/>
      <c r="N883" s="74"/>
      <c r="O883" s="74"/>
      <c r="P883" s="74"/>
      <c r="Q883" s="74"/>
      <c r="R883" s="74"/>
      <c r="S883" s="74"/>
      <c r="T883" s="74"/>
      <c r="U883" s="74"/>
      <c r="V883" s="74"/>
      <c r="W883" s="74"/>
      <c r="X883" s="74"/>
      <c r="Y883" s="74"/>
      <c r="Z883" s="74"/>
      <c r="AA883" s="74"/>
      <c r="AB883" s="74"/>
    </row>
    <row r="884" spans="1:28" ht="12" customHeight="1">
      <c r="A884" s="105"/>
      <c r="B884" s="106"/>
      <c r="C884" s="107"/>
      <c r="D884" s="108"/>
      <c r="E884" s="107"/>
      <c r="F884" s="107"/>
      <c r="G884" s="35"/>
      <c r="H884" s="104"/>
      <c r="I884" s="35"/>
      <c r="J884" s="74"/>
      <c r="K884" s="74"/>
      <c r="L884" s="74"/>
      <c r="M884" s="74"/>
      <c r="N884" s="74"/>
      <c r="O884" s="74"/>
      <c r="P884" s="74"/>
      <c r="Q884" s="74"/>
      <c r="R884" s="74"/>
      <c r="S884" s="74"/>
      <c r="T884" s="74"/>
      <c r="U884" s="74"/>
      <c r="V884" s="74"/>
      <c r="W884" s="74"/>
      <c r="X884" s="74"/>
      <c r="Y884" s="74"/>
      <c r="Z884" s="74"/>
      <c r="AA884" s="74"/>
      <c r="AB884" s="74"/>
    </row>
    <row r="885" spans="1:28" ht="12" customHeight="1">
      <c r="A885" s="105"/>
      <c r="B885" s="106"/>
      <c r="C885" s="107"/>
      <c r="D885" s="108"/>
      <c r="E885" s="107"/>
      <c r="F885" s="107"/>
      <c r="G885" s="35"/>
      <c r="H885" s="104"/>
      <c r="I885" s="35"/>
      <c r="J885" s="74"/>
      <c r="K885" s="74"/>
      <c r="L885" s="74"/>
      <c r="M885" s="74"/>
      <c r="N885" s="74"/>
      <c r="O885" s="74"/>
      <c r="P885" s="74"/>
      <c r="Q885" s="74"/>
      <c r="R885" s="74"/>
      <c r="S885" s="74"/>
      <c r="T885" s="74"/>
      <c r="U885" s="74"/>
      <c r="V885" s="74"/>
      <c r="W885" s="74"/>
      <c r="X885" s="74"/>
      <c r="Y885" s="74"/>
      <c r="Z885" s="74"/>
      <c r="AA885" s="74"/>
      <c r="AB885" s="74"/>
    </row>
    <row r="886" spans="1:28" ht="12" customHeight="1">
      <c r="A886" s="105"/>
      <c r="B886" s="106"/>
      <c r="C886" s="107"/>
      <c r="D886" s="108"/>
      <c r="E886" s="107"/>
      <c r="F886" s="107"/>
      <c r="G886" s="35"/>
      <c r="H886" s="104"/>
      <c r="I886" s="35"/>
      <c r="J886" s="74"/>
      <c r="K886" s="74"/>
      <c r="L886" s="74"/>
      <c r="M886" s="74"/>
      <c r="N886" s="74"/>
      <c r="O886" s="74"/>
      <c r="P886" s="74"/>
      <c r="Q886" s="74"/>
      <c r="R886" s="74"/>
      <c r="S886" s="74"/>
      <c r="T886" s="74"/>
      <c r="U886" s="74"/>
      <c r="V886" s="74"/>
      <c r="W886" s="74"/>
      <c r="X886" s="74"/>
      <c r="Y886" s="74"/>
      <c r="Z886" s="74"/>
      <c r="AA886" s="74"/>
      <c r="AB886" s="74"/>
    </row>
    <row r="887" spans="1:28" ht="12" customHeight="1">
      <c r="A887" s="105"/>
      <c r="B887" s="106"/>
      <c r="C887" s="107"/>
      <c r="D887" s="108"/>
      <c r="E887" s="107"/>
      <c r="F887" s="107"/>
      <c r="G887" s="35"/>
      <c r="H887" s="104"/>
      <c r="I887" s="35"/>
      <c r="J887" s="74"/>
      <c r="K887" s="74"/>
      <c r="L887" s="74"/>
      <c r="M887" s="74"/>
      <c r="N887" s="74"/>
      <c r="O887" s="74"/>
      <c r="P887" s="74"/>
      <c r="Q887" s="74"/>
      <c r="R887" s="74"/>
      <c r="S887" s="74"/>
      <c r="T887" s="74"/>
      <c r="U887" s="74"/>
      <c r="V887" s="74"/>
      <c r="W887" s="74"/>
      <c r="X887" s="74"/>
      <c r="Y887" s="74"/>
      <c r="Z887" s="74"/>
      <c r="AA887" s="74"/>
      <c r="AB887" s="74"/>
    </row>
    <row r="888" spans="1:28" ht="12" customHeight="1">
      <c r="A888" s="105"/>
      <c r="B888" s="106"/>
      <c r="C888" s="107"/>
      <c r="D888" s="108"/>
      <c r="E888" s="107"/>
      <c r="F888" s="107"/>
      <c r="G888" s="35"/>
      <c r="H888" s="104"/>
      <c r="I888" s="35"/>
      <c r="J888" s="74"/>
      <c r="K888" s="74"/>
      <c r="L888" s="74"/>
      <c r="M888" s="74"/>
      <c r="N888" s="74"/>
      <c r="O888" s="74"/>
      <c r="P888" s="74"/>
      <c r="Q888" s="74"/>
      <c r="R888" s="74"/>
      <c r="S888" s="74"/>
      <c r="T888" s="74"/>
      <c r="U888" s="74"/>
      <c r="V888" s="74"/>
      <c r="W888" s="74"/>
      <c r="X888" s="74"/>
      <c r="Y888" s="74"/>
      <c r="Z888" s="74"/>
      <c r="AA888" s="74"/>
      <c r="AB888" s="74"/>
    </row>
    <row r="889" spans="1:28" ht="12" customHeight="1">
      <c r="A889" s="105"/>
      <c r="B889" s="106"/>
      <c r="C889" s="107"/>
      <c r="D889" s="108"/>
      <c r="E889" s="107"/>
      <c r="F889" s="107"/>
      <c r="G889" s="35"/>
      <c r="H889" s="104"/>
      <c r="I889" s="35"/>
      <c r="J889" s="74"/>
      <c r="K889" s="74"/>
      <c r="L889" s="74"/>
      <c r="M889" s="74"/>
      <c r="N889" s="74"/>
      <c r="O889" s="74"/>
      <c r="P889" s="74"/>
      <c r="Q889" s="74"/>
      <c r="R889" s="74"/>
      <c r="S889" s="74"/>
      <c r="T889" s="74"/>
      <c r="U889" s="74"/>
      <c r="V889" s="74"/>
      <c r="W889" s="74"/>
      <c r="X889" s="74"/>
      <c r="Y889" s="74"/>
      <c r="Z889" s="74"/>
      <c r="AA889" s="74"/>
      <c r="AB889" s="74"/>
    </row>
    <row r="890" spans="1:28" ht="12" customHeight="1">
      <c r="A890" s="105"/>
      <c r="B890" s="106"/>
      <c r="C890" s="107"/>
      <c r="D890" s="108"/>
      <c r="E890" s="107"/>
      <c r="F890" s="107"/>
      <c r="G890" s="35"/>
      <c r="H890" s="104"/>
      <c r="I890" s="35"/>
      <c r="J890" s="74"/>
      <c r="K890" s="74"/>
      <c r="L890" s="74"/>
      <c r="M890" s="74"/>
      <c r="N890" s="74"/>
      <c r="O890" s="74"/>
      <c r="P890" s="74"/>
      <c r="Q890" s="74"/>
      <c r="R890" s="74"/>
      <c r="S890" s="74"/>
      <c r="T890" s="74"/>
      <c r="U890" s="74"/>
      <c r="V890" s="74"/>
      <c r="W890" s="74"/>
      <c r="X890" s="74"/>
      <c r="Y890" s="74"/>
      <c r="Z890" s="74"/>
      <c r="AA890" s="74"/>
      <c r="AB890" s="74"/>
    </row>
    <row r="891" spans="1:28" ht="12" customHeight="1">
      <c r="A891" s="105"/>
      <c r="B891" s="106"/>
      <c r="C891" s="107"/>
      <c r="D891" s="108"/>
      <c r="E891" s="107"/>
      <c r="F891" s="107"/>
      <c r="G891" s="35"/>
      <c r="H891" s="104"/>
      <c r="I891" s="35"/>
      <c r="J891" s="74"/>
      <c r="K891" s="74"/>
      <c r="L891" s="74"/>
      <c r="M891" s="74"/>
      <c r="N891" s="74"/>
      <c r="O891" s="74"/>
      <c r="P891" s="74"/>
      <c r="Q891" s="74"/>
      <c r="R891" s="74"/>
      <c r="S891" s="74"/>
      <c r="T891" s="74"/>
      <c r="U891" s="74"/>
      <c r="V891" s="74"/>
      <c r="W891" s="74"/>
      <c r="X891" s="74"/>
      <c r="Y891" s="74"/>
      <c r="Z891" s="74"/>
      <c r="AA891" s="74"/>
      <c r="AB891" s="74"/>
    </row>
    <row r="892" spans="1:28" ht="12" customHeight="1">
      <c r="A892" s="105"/>
      <c r="B892" s="106"/>
      <c r="C892" s="107"/>
      <c r="D892" s="108"/>
      <c r="E892" s="107"/>
      <c r="F892" s="107"/>
      <c r="G892" s="35"/>
      <c r="H892" s="104"/>
      <c r="I892" s="35"/>
      <c r="J892" s="74"/>
      <c r="K892" s="74"/>
      <c r="L892" s="74"/>
      <c r="M892" s="74"/>
      <c r="N892" s="74"/>
      <c r="O892" s="74"/>
      <c r="P892" s="74"/>
      <c r="Q892" s="74"/>
      <c r="R892" s="74"/>
      <c r="S892" s="74"/>
      <c r="T892" s="74"/>
      <c r="U892" s="74"/>
      <c r="V892" s="74"/>
      <c r="W892" s="74"/>
      <c r="X892" s="74"/>
      <c r="Y892" s="74"/>
      <c r="Z892" s="74"/>
      <c r="AA892" s="74"/>
      <c r="AB892" s="74"/>
    </row>
    <row r="893" spans="1:28" ht="12" customHeight="1">
      <c r="A893" s="105"/>
      <c r="B893" s="106"/>
      <c r="C893" s="107"/>
      <c r="D893" s="108"/>
      <c r="E893" s="107"/>
      <c r="F893" s="107"/>
      <c r="G893" s="35"/>
      <c r="H893" s="104"/>
      <c r="I893" s="35"/>
      <c r="J893" s="74"/>
      <c r="K893" s="74"/>
      <c r="L893" s="74"/>
      <c r="M893" s="74"/>
      <c r="N893" s="74"/>
      <c r="O893" s="74"/>
      <c r="P893" s="74"/>
      <c r="Q893" s="74"/>
      <c r="R893" s="74"/>
      <c r="S893" s="74"/>
      <c r="T893" s="74"/>
      <c r="U893" s="74"/>
      <c r="V893" s="74"/>
      <c r="W893" s="74"/>
      <c r="X893" s="74"/>
      <c r="Y893" s="74"/>
      <c r="Z893" s="74"/>
      <c r="AA893" s="74"/>
      <c r="AB893" s="74"/>
    </row>
    <row r="894" spans="1:28" ht="12" customHeight="1">
      <c r="A894" s="105"/>
      <c r="B894" s="106"/>
      <c r="C894" s="107"/>
      <c r="D894" s="108"/>
      <c r="E894" s="107"/>
      <c r="F894" s="107"/>
      <c r="G894" s="35"/>
      <c r="H894" s="104"/>
      <c r="I894" s="35"/>
      <c r="J894" s="74"/>
      <c r="K894" s="74"/>
      <c r="L894" s="74"/>
      <c r="M894" s="74"/>
      <c r="N894" s="74"/>
      <c r="O894" s="74"/>
      <c r="P894" s="74"/>
      <c r="Q894" s="74"/>
      <c r="R894" s="74"/>
      <c r="S894" s="74"/>
      <c r="T894" s="74"/>
      <c r="U894" s="74"/>
      <c r="V894" s="74"/>
      <c r="W894" s="74"/>
      <c r="X894" s="74"/>
      <c r="Y894" s="74"/>
      <c r="Z894" s="74"/>
      <c r="AA894" s="74"/>
      <c r="AB894" s="74"/>
    </row>
    <row r="895" spans="1:28" ht="12" customHeight="1">
      <c r="A895" s="105"/>
      <c r="B895" s="106"/>
      <c r="C895" s="107"/>
      <c r="D895" s="108"/>
      <c r="E895" s="107"/>
      <c r="F895" s="107"/>
      <c r="G895" s="35"/>
      <c r="H895" s="104"/>
      <c r="I895" s="35"/>
      <c r="J895" s="74"/>
      <c r="K895" s="74"/>
      <c r="L895" s="74"/>
      <c r="M895" s="74"/>
      <c r="N895" s="74"/>
      <c r="O895" s="74"/>
      <c r="P895" s="74"/>
      <c r="Q895" s="74"/>
      <c r="R895" s="74"/>
      <c r="S895" s="74"/>
      <c r="T895" s="74"/>
      <c r="U895" s="74"/>
      <c r="V895" s="74"/>
      <c r="W895" s="74"/>
      <c r="X895" s="74"/>
      <c r="Y895" s="74"/>
      <c r="Z895" s="74"/>
      <c r="AA895" s="74"/>
      <c r="AB895" s="74"/>
    </row>
    <row r="896" spans="1:28" ht="12" customHeight="1">
      <c r="A896" s="105"/>
      <c r="B896" s="106"/>
      <c r="C896" s="107"/>
      <c r="D896" s="108"/>
      <c r="E896" s="107"/>
      <c r="F896" s="107"/>
      <c r="G896" s="35"/>
      <c r="H896" s="104"/>
      <c r="I896" s="35"/>
      <c r="J896" s="74"/>
      <c r="K896" s="74"/>
      <c r="L896" s="74"/>
      <c r="M896" s="74"/>
      <c r="N896" s="74"/>
      <c r="O896" s="74"/>
      <c r="P896" s="74"/>
      <c r="Q896" s="74"/>
      <c r="R896" s="74"/>
      <c r="S896" s="74"/>
      <c r="T896" s="74"/>
      <c r="U896" s="74"/>
      <c r="V896" s="74"/>
      <c r="W896" s="74"/>
      <c r="X896" s="74"/>
      <c r="Y896" s="74"/>
      <c r="Z896" s="74"/>
      <c r="AA896" s="74"/>
      <c r="AB896" s="74"/>
    </row>
    <row r="897" spans="1:28" ht="12" customHeight="1">
      <c r="A897" s="105"/>
      <c r="B897" s="106"/>
      <c r="C897" s="107"/>
      <c r="D897" s="108"/>
      <c r="E897" s="107"/>
      <c r="F897" s="107"/>
      <c r="G897" s="35"/>
      <c r="H897" s="104"/>
      <c r="I897" s="35"/>
      <c r="J897" s="74"/>
      <c r="K897" s="74"/>
      <c r="L897" s="74"/>
      <c r="M897" s="74"/>
      <c r="N897" s="74"/>
      <c r="O897" s="74"/>
      <c r="P897" s="74"/>
      <c r="Q897" s="74"/>
      <c r="R897" s="74"/>
      <c r="S897" s="74"/>
      <c r="T897" s="74"/>
      <c r="U897" s="74"/>
      <c r="V897" s="74"/>
      <c r="W897" s="74"/>
      <c r="X897" s="74"/>
      <c r="Y897" s="74"/>
      <c r="Z897" s="74"/>
      <c r="AA897" s="74"/>
      <c r="AB897" s="74"/>
    </row>
    <row r="898" spans="1:28" ht="12" customHeight="1">
      <c r="A898" s="105"/>
      <c r="B898" s="106"/>
      <c r="C898" s="107"/>
      <c r="D898" s="108"/>
      <c r="E898" s="107"/>
      <c r="F898" s="107"/>
      <c r="G898" s="35"/>
      <c r="H898" s="104"/>
      <c r="I898" s="35"/>
      <c r="J898" s="74"/>
      <c r="K898" s="74"/>
      <c r="L898" s="74"/>
      <c r="M898" s="74"/>
      <c r="N898" s="74"/>
      <c r="O898" s="74"/>
      <c r="P898" s="74"/>
      <c r="Q898" s="74"/>
      <c r="R898" s="74"/>
      <c r="S898" s="74"/>
      <c r="T898" s="74"/>
      <c r="U898" s="74"/>
      <c r="V898" s="74"/>
      <c r="W898" s="74"/>
      <c r="X898" s="74"/>
      <c r="Y898" s="74"/>
      <c r="Z898" s="74"/>
      <c r="AA898" s="74"/>
      <c r="AB898" s="74"/>
    </row>
    <row r="899" spans="1:28" ht="12" customHeight="1">
      <c r="A899" s="105"/>
      <c r="B899" s="106"/>
      <c r="C899" s="107"/>
      <c r="D899" s="108"/>
      <c r="E899" s="107"/>
      <c r="F899" s="107"/>
      <c r="G899" s="35"/>
      <c r="H899" s="104"/>
      <c r="I899" s="35"/>
      <c r="J899" s="74"/>
      <c r="K899" s="74"/>
      <c r="L899" s="74"/>
      <c r="M899" s="74"/>
      <c r="N899" s="74"/>
      <c r="O899" s="74"/>
      <c r="P899" s="74"/>
      <c r="Q899" s="74"/>
      <c r="R899" s="74"/>
      <c r="S899" s="74"/>
      <c r="T899" s="74"/>
      <c r="U899" s="74"/>
      <c r="V899" s="74"/>
      <c r="W899" s="74"/>
      <c r="X899" s="74"/>
      <c r="Y899" s="74"/>
      <c r="Z899" s="74"/>
      <c r="AA899" s="74"/>
      <c r="AB899" s="74"/>
    </row>
    <row r="900" spans="1:28" ht="12" customHeight="1">
      <c r="A900" s="105"/>
      <c r="B900" s="106"/>
      <c r="C900" s="107"/>
      <c r="D900" s="108"/>
      <c r="E900" s="107"/>
      <c r="F900" s="107"/>
      <c r="G900" s="35"/>
      <c r="H900" s="104"/>
      <c r="I900" s="35"/>
      <c r="J900" s="74"/>
      <c r="K900" s="74"/>
      <c r="L900" s="74"/>
      <c r="M900" s="74"/>
      <c r="N900" s="74"/>
      <c r="O900" s="74"/>
      <c r="P900" s="74"/>
      <c r="Q900" s="74"/>
      <c r="R900" s="74"/>
      <c r="S900" s="74"/>
      <c r="T900" s="74"/>
      <c r="U900" s="74"/>
      <c r="V900" s="74"/>
      <c r="W900" s="74"/>
      <c r="X900" s="74"/>
      <c r="Y900" s="74"/>
      <c r="Z900" s="74"/>
      <c r="AA900" s="74"/>
      <c r="AB900" s="74"/>
    </row>
    <row r="901" spans="1:28" ht="12" customHeight="1">
      <c r="A901" s="105"/>
      <c r="B901" s="106"/>
      <c r="C901" s="107"/>
      <c r="D901" s="108"/>
      <c r="E901" s="107"/>
      <c r="F901" s="107"/>
      <c r="G901" s="35"/>
      <c r="H901" s="104"/>
      <c r="I901" s="35"/>
      <c r="J901" s="74"/>
      <c r="K901" s="74"/>
      <c r="L901" s="74"/>
      <c r="M901" s="74"/>
      <c r="N901" s="74"/>
      <c r="O901" s="74"/>
      <c r="P901" s="74"/>
      <c r="Q901" s="74"/>
      <c r="R901" s="74"/>
      <c r="S901" s="74"/>
      <c r="T901" s="74"/>
      <c r="U901" s="74"/>
      <c r="V901" s="74"/>
      <c r="W901" s="74"/>
      <c r="X901" s="74"/>
      <c r="Y901" s="74"/>
      <c r="Z901" s="74"/>
      <c r="AA901" s="74"/>
      <c r="AB901" s="74"/>
    </row>
    <row r="902" spans="1:28" ht="12" customHeight="1">
      <c r="A902" s="105"/>
      <c r="B902" s="106"/>
      <c r="C902" s="107"/>
      <c r="D902" s="108"/>
      <c r="E902" s="107"/>
      <c r="F902" s="107"/>
      <c r="G902" s="35"/>
      <c r="H902" s="104"/>
      <c r="I902" s="35"/>
      <c r="J902" s="74"/>
      <c r="K902" s="74"/>
      <c r="L902" s="74"/>
      <c r="M902" s="74"/>
      <c r="N902" s="74"/>
      <c r="O902" s="74"/>
      <c r="P902" s="74"/>
      <c r="Q902" s="74"/>
      <c r="R902" s="74"/>
      <c r="S902" s="74"/>
      <c r="T902" s="74"/>
      <c r="U902" s="74"/>
      <c r="V902" s="74"/>
      <c r="W902" s="74"/>
      <c r="X902" s="74"/>
      <c r="Y902" s="74"/>
      <c r="Z902" s="74"/>
      <c r="AA902" s="74"/>
      <c r="AB902" s="74"/>
    </row>
    <row r="903" spans="1:28" ht="12" customHeight="1">
      <c r="A903" s="105"/>
      <c r="B903" s="106"/>
      <c r="C903" s="107"/>
      <c r="D903" s="108"/>
      <c r="E903" s="107"/>
      <c r="F903" s="107"/>
      <c r="G903" s="35"/>
      <c r="H903" s="104"/>
      <c r="I903" s="35"/>
      <c r="J903" s="74"/>
      <c r="K903" s="74"/>
      <c r="L903" s="74"/>
      <c r="M903" s="74"/>
      <c r="N903" s="74"/>
      <c r="O903" s="74"/>
      <c r="P903" s="74"/>
      <c r="Q903" s="74"/>
      <c r="R903" s="74"/>
      <c r="S903" s="74"/>
      <c r="T903" s="74"/>
      <c r="U903" s="74"/>
      <c r="V903" s="74"/>
      <c r="W903" s="74"/>
      <c r="X903" s="74"/>
      <c r="Y903" s="74"/>
      <c r="Z903" s="74"/>
      <c r="AA903" s="74"/>
      <c r="AB903" s="74"/>
    </row>
    <row r="904" spans="1:28" ht="12" customHeight="1">
      <c r="A904" s="105"/>
      <c r="B904" s="106"/>
      <c r="C904" s="107"/>
      <c r="D904" s="108"/>
      <c r="E904" s="107"/>
      <c r="F904" s="107"/>
      <c r="G904" s="35"/>
      <c r="H904" s="104"/>
      <c r="I904" s="35"/>
      <c r="J904" s="74"/>
      <c r="K904" s="74"/>
      <c r="L904" s="74"/>
      <c r="M904" s="74"/>
      <c r="N904" s="74"/>
      <c r="O904" s="74"/>
      <c r="P904" s="74"/>
      <c r="Q904" s="74"/>
      <c r="R904" s="74"/>
      <c r="S904" s="74"/>
      <c r="T904" s="74"/>
      <c r="U904" s="74"/>
      <c r="V904" s="74"/>
      <c r="W904" s="74"/>
      <c r="X904" s="74"/>
      <c r="Y904" s="74"/>
      <c r="Z904" s="74"/>
      <c r="AA904" s="74"/>
      <c r="AB904" s="74"/>
    </row>
    <row r="905" spans="1:28" ht="12" customHeight="1">
      <c r="A905" s="105"/>
      <c r="B905" s="106"/>
      <c r="C905" s="107"/>
      <c r="D905" s="108"/>
      <c r="E905" s="107"/>
      <c r="F905" s="107"/>
      <c r="G905" s="35"/>
      <c r="H905" s="104"/>
      <c r="I905" s="35"/>
      <c r="J905" s="74"/>
      <c r="K905" s="74"/>
      <c r="L905" s="74"/>
      <c r="M905" s="74"/>
      <c r="N905" s="74"/>
      <c r="O905" s="74"/>
      <c r="P905" s="74"/>
      <c r="Q905" s="74"/>
      <c r="R905" s="74"/>
      <c r="S905" s="74"/>
      <c r="T905" s="74"/>
      <c r="U905" s="74"/>
      <c r="V905" s="74"/>
      <c r="W905" s="74"/>
      <c r="X905" s="74"/>
      <c r="Y905" s="74"/>
      <c r="Z905" s="74"/>
      <c r="AA905" s="74"/>
      <c r="AB905" s="74"/>
    </row>
    <row r="906" spans="1:28" ht="12" customHeight="1">
      <c r="A906" s="105"/>
      <c r="B906" s="106"/>
      <c r="C906" s="107"/>
      <c r="D906" s="108"/>
      <c r="E906" s="107"/>
      <c r="F906" s="107"/>
      <c r="G906" s="35"/>
      <c r="H906" s="104"/>
      <c r="I906" s="35"/>
      <c r="J906" s="74"/>
      <c r="K906" s="74"/>
      <c r="L906" s="74"/>
      <c r="M906" s="74"/>
      <c r="N906" s="74"/>
      <c r="O906" s="74"/>
      <c r="P906" s="74"/>
      <c r="Q906" s="74"/>
      <c r="R906" s="74"/>
      <c r="S906" s="74"/>
      <c r="T906" s="74"/>
      <c r="U906" s="74"/>
      <c r="V906" s="74"/>
      <c r="W906" s="74"/>
      <c r="X906" s="74"/>
      <c r="Y906" s="74"/>
      <c r="Z906" s="74"/>
      <c r="AA906" s="74"/>
      <c r="AB906" s="74"/>
    </row>
    <row r="907" spans="1:28" ht="12" customHeight="1">
      <c r="A907" s="105"/>
      <c r="B907" s="106"/>
      <c r="C907" s="107"/>
      <c r="D907" s="108"/>
      <c r="E907" s="107"/>
      <c r="F907" s="107"/>
      <c r="G907" s="35"/>
      <c r="H907" s="104"/>
      <c r="I907" s="35"/>
      <c r="J907" s="74"/>
      <c r="K907" s="74"/>
      <c r="L907" s="74"/>
      <c r="M907" s="74"/>
      <c r="N907" s="74"/>
      <c r="O907" s="74"/>
      <c r="P907" s="74"/>
      <c r="Q907" s="74"/>
      <c r="R907" s="74"/>
      <c r="S907" s="74"/>
      <c r="T907" s="74"/>
      <c r="U907" s="74"/>
      <c r="V907" s="74"/>
      <c r="W907" s="74"/>
      <c r="X907" s="74"/>
      <c r="Y907" s="74"/>
      <c r="Z907" s="74"/>
      <c r="AA907" s="74"/>
      <c r="AB907" s="74"/>
    </row>
    <row r="908" spans="1:28" ht="12" customHeight="1">
      <c r="A908" s="105"/>
      <c r="B908" s="106"/>
      <c r="C908" s="107"/>
      <c r="D908" s="108"/>
      <c r="E908" s="107"/>
      <c r="F908" s="107"/>
      <c r="G908" s="35"/>
      <c r="H908" s="104"/>
      <c r="I908" s="35"/>
      <c r="J908" s="74"/>
      <c r="K908" s="74"/>
      <c r="L908" s="74"/>
      <c r="M908" s="74"/>
      <c r="N908" s="74"/>
      <c r="O908" s="74"/>
      <c r="P908" s="74"/>
      <c r="Q908" s="74"/>
      <c r="R908" s="74"/>
      <c r="S908" s="74"/>
      <c r="T908" s="74"/>
      <c r="U908" s="74"/>
      <c r="V908" s="74"/>
      <c r="W908" s="74"/>
      <c r="X908" s="74"/>
      <c r="Y908" s="74"/>
      <c r="Z908" s="74"/>
      <c r="AA908" s="74"/>
      <c r="AB908" s="74"/>
    </row>
    <row r="909" spans="1:28" ht="12" customHeight="1">
      <c r="A909" s="105"/>
      <c r="B909" s="106"/>
      <c r="C909" s="107"/>
      <c r="D909" s="108"/>
      <c r="E909" s="107"/>
      <c r="F909" s="107"/>
      <c r="G909" s="35"/>
      <c r="H909" s="104"/>
      <c r="I909" s="35"/>
      <c r="J909" s="74"/>
      <c r="K909" s="74"/>
      <c r="L909" s="74"/>
      <c r="M909" s="74"/>
      <c r="N909" s="74"/>
      <c r="O909" s="74"/>
      <c r="P909" s="74"/>
      <c r="Q909" s="74"/>
      <c r="R909" s="74"/>
      <c r="S909" s="74"/>
      <c r="T909" s="74"/>
      <c r="U909" s="74"/>
      <c r="V909" s="74"/>
      <c r="W909" s="74"/>
      <c r="X909" s="74"/>
      <c r="Y909" s="74"/>
      <c r="Z909" s="74"/>
      <c r="AA909" s="74"/>
      <c r="AB909" s="74"/>
    </row>
    <row r="910" spans="1:28" ht="12" customHeight="1">
      <c r="A910" s="105"/>
      <c r="B910" s="106"/>
      <c r="C910" s="107"/>
      <c r="D910" s="108"/>
      <c r="E910" s="107"/>
      <c r="F910" s="107"/>
      <c r="G910" s="35"/>
      <c r="H910" s="104"/>
      <c r="I910" s="35"/>
      <c r="J910" s="74"/>
      <c r="K910" s="74"/>
      <c r="L910" s="74"/>
      <c r="M910" s="74"/>
      <c r="N910" s="74"/>
      <c r="O910" s="74"/>
      <c r="P910" s="74"/>
      <c r="Q910" s="74"/>
      <c r="R910" s="74"/>
      <c r="S910" s="74"/>
      <c r="T910" s="74"/>
      <c r="U910" s="74"/>
      <c r="V910" s="74"/>
      <c r="W910" s="74"/>
      <c r="X910" s="74"/>
      <c r="Y910" s="74"/>
      <c r="Z910" s="74"/>
      <c r="AA910" s="74"/>
      <c r="AB910" s="74"/>
    </row>
    <row r="911" spans="1:28" ht="12" customHeight="1">
      <c r="A911" s="105"/>
      <c r="B911" s="106"/>
      <c r="C911" s="107"/>
      <c r="D911" s="108"/>
      <c r="E911" s="107"/>
      <c r="F911" s="107"/>
      <c r="G911" s="35"/>
      <c r="H911" s="104"/>
      <c r="I911" s="35"/>
      <c r="J911" s="74"/>
      <c r="K911" s="74"/>
      <c r="L911" s="74"/>
      <c r="M911" s="74"/>
      <c r="N911" s="74"/>
      <c r="O911" s="74"/>
      <c r="P911" s="74"/>
      <c r="Q911" s="74"/>
      <c r="R911" s="74"/>
      <c r="S911" s="74"/>
      <c r="T911" s="74"/>
      <c r="U911" s="74"/>
      <c r="V911" s="74"/>
      <c r="W911" s="74"/>
      <c r="X911" s="74"/>
      <c r="Y911" s="74"/>
      <c r="Z911" s="74"/>
      <c r="AA911" s="74"/>
      <c r="AB911" s="74"/>
    </row>
    <row r="912" spans="1:28" ht="12" customHeight="1">
      <c r="A912" s="105"/>
      <c r="B912" s="106"/>
      <c r="C912" s="107"/>
      <c r="D912" s="108"/>
      <c r="E912" s="107"/>
      <c r="F912" s="107"/>
      <c r="G912" s="35"/>
      <c r="H912" s="104"/>
      <c r="I912" s="35"/>
      <c r="J912" s="74"/>
      <c r="K912" s="74"/>
      <c r="L912" s="74"/>
      <c r="M912" s="74"/>
      <c r="N912" s="74"/>
      <c r="O912" s="74"/>
      <c r="P912" s="74"/>
      <c r="Q912" s="74"/>
      <c r="R912" s="74"/>
      <c r="S912" s="74"/>
      <c r="T912" s="74"/>
      <c r="U912" s="74"/>
      <c r="V912" s="74"/>
      <c r="W912" s="74"/>
      <c r="X912" s="74"/>
      <c r="Y912" s="74"/>
      <c r="Z912" s="74"/>
      <c r="AA912" s="74"/>
      <c r="AB912" s="74"/>
    </row>
    <row r="913" spans="1:28" ht="12" customHeight="1">
      <c r="A913" s="105"/>
      <c r="B913" s="106"/>
      <c r="C913" s="107"/>
      <c r="D913" s="108"/>
      <c r="E913" s="107"/>
      <c r="F913" s="107"/>
      <c r="G913" s="35"/>
      <c r="H913" s="104"/>
      <c r="I913" s="35"/>
      <c r="J913" s="74"/>
      <c r="K913" s="74"/>
      <c r="L913" s="74"/>
      <c r="M913" s="74"/>
      <c r="N913" s="74"/>
      <c r="O913" s="74"/>
      <c r="P913" s="74"/>
      <c r="Q913" s="74"/>
      <c r="R913" s="74"/>
      <c r="S913" s="74"/>
      <c r="T913" s="74"/>
      <c r="U913" s="74"/>
      <c r="V913" s="74"/>
      <c r="W913" s="74"/>
      <c r="X913" s="74"/>
      <c r="Y913" s="74"/>
      <c r="Z913" s="74"/>
      <c r="AA913" s="74"/>
      <c r="AB913" s="74"/>
    </row>
    <row r="914" spans="1:28" ht="12" customHeight="1">
      <c r="A914" s="105"/>
      <c r="B914" s="106"/>
      <c r="C914" s="107"/>
      <c r="D914" s="108"/>
      <c r="E914" s="107"/>
      <c r="F914" s="107"/>
      <c r="G914" s="35"/>
      <c r="H914" s="104"/>
      <c r="I914" s="35"/>
      <c r="J914" s="74"/>
      <c r="K914" s="74"/>
      <c r="L914" s="74"/>
      <c r="M914" s="74"/>
      <c r="N914" s="74"/>
      <c r="O914" s="74"/>
      <c r="P914" s="74"/>
      <c r="Q914" s="74"/>
      <c r="R914" s="74"/>
      <c r="S914" s="74"/>
      <c r="T914" s="74"/>
      <c r="U914" s="74"/>
      <c r="V914" s="74"/>
      <c r="W914" s="74"/>
      <c r="X914" s="74"/>
      <c r="Y914" s="74"/>
      <c r="Z914" s="74"/>
      <c r="AA914" s="74"/>
      <c r="AB914" s="74"/>
    </row>
    <row r="915" spans="1:28" ht="12" customHeight="1">
      <c r="A915" s="105"/>
      <c r="B915" s="106"/>
      <c r="C915" s="107"/>
      <c r="D915" s="108"/>
      <c r="E915" s="107"/>
      <c r="F915" s="107"/>
      <c r="G915" s="35"/>
      <c r="H915" s="104"/>
      <c r="I915" s="35"/>
      <c r="J915" s="74"/>
      <c r="K915" s="74"/>
      <c r="L915" s="74"/>
      <c r="M915" s="74"/>
      <c r="N915" s="74"/>
      <c r="O915" s="74"/>
      <c r="P915" s="74"/>
      <c r="Q915" s="74"/>
      <c r="R915" s="74"/>
      <c r="S915" s="74"/>
      <c r="T915" s="74"/>
      <c r="U915" s="74"/>
      <c r="V915" s="74"/>
      <c r="W915" s="74"/>
      <c r="X915" s="74"/>
      <c r="Y915" s="74"/>
      <c r="Z915" s="74"/>
      <c r="AA915" s="74"/>
      <c r="AB915" s="74"/>
    </row>
    <row r="916" spans="1:28" ht="12" customHeight="1">
      <c r="A916" s="105"/>
      <c r="B916" s="106"/>
      <c r="C916" s="107"/>
      <c r="D916" s="108"/>
      <c r="E916" s="107"/>
      <c r="F916" s="107"/>
      <c r="G916" s="35"/>
      <c r="H916" s="104"/>
      <c r="I916" s="35"/>
      <c r="J916" s="74"/>
      <c r="K916" s="74"/>
      <c r="L916" s="74"/>
      <c r="M916" s="74"/>
      <c r="N916" s="74"/>
      <c r="O916" s="74"/>
      <c r="P916" s="74"/>
      <c r="Q916" s="74"/>
      <c r="R916" s="74"/>
      <c r="S916" s="74"/>
      <c r="T916" s="74"/>
      <c r="U916" s="74"/>
      <c r="V916" s="74"/>
      <c r="W916" s="74"/>
      <c r="X916" s="74"/>
      <c r="Y916" s="74"/>
      <c r="Z916" s="74"/>
      <c r="AA916" s="74"/>
      <c r="AB916" s="74"/>
    </row>
    <row r="917" spans="1:28" ht="12" customHeight="1">
      <c r="A917" s="105"/>
      <c r="B917" s="106"/>
      <c r="C917" s="107"/>
      <c r="D917" s="108"/>
      <c r="E917" s="107"/>
      <c r="F917" s="107"/>
      <c r="G917" s="35"/>
      <c r="H917" s="104"/>
      <c r="I917" s="35"/>
      <c r="J917" s="74"/>
      <c r="K917" s="74"/>
      <c r="L917" s="74"/>
      <c r="M917" s="74"/>
      <c r="N917" s="74"/>
      <c r="O917" s="74"/>
      <c r="P917" s="74"/>
      <c r="Q917" s="74"/>
      <c r="R917" s="74"/>
      <c r="S917" s="74"/>
      <c r="T917" s="74"/>
      <c r="U917" s="74"/>
      <c r="V917" s="74"/>
      <c r="W917" s="74"/>
      <c r="X917" s="74"/>
      <c r="Y917" s="74"/>
      <c r="Z917" s="74"/>
      <c r="AA917" s="74"/>
      <c r="AB917" s="74"/>
    </row>
    <row r="918" spans="1:28" ht="12" customHeight="1">
      <c r="A918" s="105"/>
      <c r="B918" s="106"/>
      <c r="C918" s="107"/>
      <c r="D918" s="108"/>
      <c r="E918" s="107"/>
      <c r="F918" s="107"/>
      <c r="G918" s="35"/>
      <c r="H918" s="104"/>
      <c r="I918" s="35"/>
      <c r="J918" s="74"/>
      <c r="K918" s="74"/>
      <c r="L918" s="74"/>
      <c r="M918" s="74"/>
      <c r="N918" s="74"/>
      <c r="O918" s="74"/>
      <c r="P918" s="74"/>
      <c r="Q918" s="74"/>
      <c r="R918" s="74"/>
      <c r="S918" s="74"/>
      <c r="T918" s="74"/>
      <c r="U918" s="74"/>
      <c r="V918" s="74"/>
      <c r="W918" s="74"/>
      <c r="X918" s="74"/>
      <c r="Y918" s="74"/>
      <c r="Z918" s="74"/>
      <c r="AA918" s="74"/>
      <c r="AB918" s="74"/>
    </row>
    <row r="919" spans="1:28" ht="12" customHeight="1">
      <c r="A919" s="105"/>
      <c r="B919" s="106"/>
      <c r="C919" s="107"/>
      <c r="D919" s="108"/>
      <c r="E919" s="107"/>
      <c r="F919" s="107"/>
      <c r="G919" s="35"/>
      <c r="H919" s="104"/>
      <c r="I919" s="35"/>
      <c r="J919" s="74"/>
      <c r="K919" s="74"/>
      <c r="L919" s="74"/>
      <c r="M919" s="74"/>
      <c r="N919" s="74"/>
      <c r="O919" s="74"/>
      <c r="P919" s="74"/>
      <c r="Q919" s="74"/>
      <c r="R919" s="74"/>
      <c r="S919" s="74"/>
      <c r="T919" s="74"/>
      <c r="U919" s="74"/>
      <c r="V919" s="74"/>
      <c r="W919" s="74"/>
      <c r="X919" s="74"/>
      <c r="Y919" s="74"/>
      <c r="Z919" s="74"/>
      <c r="AA919" s="74"/>
      <c r="AB919" s="74"/>
    </row>
    <row r="920" spans="1:28" ht="12" customHeight="1">
      <c r="A920" s="105"/>
      <c r="B920" s="106"/>
      <c r="C920" s="107"/>
      <c r="D920" s="108"/>
      <c r="E920" s="107"/>
      <c r="F920" s="107"/>
      <c r="G920" s="35"/>
      <c r="H920" s="104"/>
      <c r="I920" s="35"/>
      <c r="J920" s="74"/>
      <c r="K920" s="74"/>
      <c r="L920" s="74"/>
      <c r="M920" s="74"/>
      <c r="N920" s="74"/>
      <c r="O920" s="74"/>
      <c r="P920" s="74"/>
      <c r="Q920" s="74"/>
      <c r="R920" s="74"/>
      <c r="S920" s="74"/>
      <c r="T920" s="74"/>
      <c r="U920" s="74"/>
      <c r="V920" s="74"/>
      <c r="W920" s="74"/>
      <c r="X920" s="74"/>
      <c r="Y920" s="74"/>
      <c r="Z920" s="74"/>
      <c r="AA920" s="74"/>
      <c r="AB920" s="74"/>
    </row>
    <row r="921" spans="1:28" ht="12" customHeight="1">
      <c r="A921" s="105"/>
      <c r="B921" s="106"/>
      <c r="C921" s="107"/>
      <c r="D921" s="108"/>
      <c r="E921" s="107"/>
      <c r="F921" s="107"/>
      <c r="G921" s="35"/>
      <c r="H921" s="104"/>
      <c r="I921" s="35"/>
      <c r="J921" s="74"/>
      <c r="K921" s="74"/>
      <c r="L921" s="74"/>
      <c r="M921" s="74"/>
      <c r="N921" s="74"/>
      <c r="O921" s="74"/>
      <c r="P921" s="74"/>
      <c r="Q921" s="74"/>
      <c r="R921" s="74"/>
      <c r="S921" s="74"/>
      <c r="T921" s="74"/>
      <c r="U921" s="74"/>
      <c r="V921" s="74"/>
      <c r="W921" s="74"/>
      <c r="X921" s="74"/>
      <c r="Y921" s="74"/>
      <c r="Z921" s="74"/>
      <c r="AA921" s="74"/>
      <c r="AB921" s="74"/>
    </row>
    <row r="922" spans="1:28" ht="12" customHeight="1">
      <c r="A922" s="105"/>
      <c r="B922" s="106"/>
      <c r="C922" s="107"/>
      <c r="D922" s="108"/>
      <c r="E922" s="107"/>
      <c r="F922" s="107"/>
      <c r="G922" s="35"/>
      <c r="H922" s="104"/>
      <c r="I922" s="35"/>
      <c r="J922" s="74"/>
      <c r="K922" s="74"/>
      <c r="L922" s="74"/>
      <c r="M922" s="74"/>
      <c r="N922" s="74"/>
      <c r="O922" s="74"/>
      <c r="P922" s="74"/>
      <c r="Q922" s="74"/>
      <c r="R922" s="74"/>
      <c r="S922" s="74"/>
      <c r="T922" s="74"/>
      <c r="U922" s="74"/>
      <c r="V922" s="74"/>
      <c r="W922" s="74"/>
      <c r="X922" s="74"/>
      <c r="Y922" s="74"/>
      <c r="Z922" s="74"/>
      <c r="AA922" s="74"/>
      <c r="AB922" s="74"/>
    </row>
    <row r="923" spans="1:28" ht="12" customHeight="1">
      <c r="A923" s="105"/>
      <c r="B923" s="106"/>
      <c r="C923" s="107"/>
      <c r="D923" s="108"/>
      <c r="E923" s="107"/>
      <c r="F923" s="107"/>
      <c r="G923" s="35"/>
      <c r="H923" s="104"/>
      <c r="I923" s="35"/>
      <c r="J923" s="74"/>
      <c r="K923" s="74"/>
      <c r="L923" s="74"/>
      <c r="M923" s="74"/>
      <c r="N923" s="74"/>
      <c r="O923" s="74"/>
      <c r="P923" s="74"/>
      <c r="Q923" s="74"/>
      <c r="R923" s="74"/>
      <c r="S923" s="74"/>
      <c r="T923" s="74"/>
      <c r="U923" s="74"/>
      <c r="V923" s="74"/>
      <c r="W923" s="74"/>
      <c r="X923" s="74"/>
      <c r="Y923" s="74"/>
      <c r="Z923" s="74"/>
      <c r="AA923" s="74"/>
      <c r="AB923" s="74"/>
    </row>
    <row r="924" spans="1:28" ht="12" customHeight="1">
      <c r="A924" s="105"/>
      <c r="B924" s="106"/>
      <c r="C924" s="107"/>
      <c r="D924" s="108"/>
      <c r="E924" s="107"/>
      <c r="F924" s="107"/>
      <c r="G924" s="35"/>
      <c r="H924" s="104"/>
      <c r="I924" s="35"/>
      <c r="J924" s="74"/>
      <c r="K924" s="74"/>
      <c r="L924" s="74"/>
      <c r="M924" s="74"/>
      <c r="N924" s="74"/>
      <c r="O924" s="74"/>
      <c r="P924" s="74"/>
      <c r="Q924" s="74"/>
      <c r="R924" s="74"/>
      <c r="S924" s="74"/>
      <c r="T924" s="74"/>
      <c r="U924" s="74"/>
      <c r="V924" s="74"/>
      <c r="W924" s="74"/>
      <c r="X924" s="74"/>
      <c r="Y924" s="74"/>
      <c r="Z924" s="74"/>
      <c r="AA924" s="74"/>
      <c r="AB924" s="74"/>
    </row>
    <row r="925" spans="1:28" ht="12" customHeight="1">
      <c r="A925" s="105"/>
      <c r="B925" s="106"/>
      <c r="C925" s="107"/>
      <c r="D925" s="108"/>
      <c r="E925" s="107"/>
      <c r="F925" s="107"/>
      <c r="G925" s="35"/>
      <c r="H925" s="104"/>
      <c r="I925" s="35"/>
      <c r="J925" s="74"/>
      <c r="K925" s="74"/>
      <c r="L925" s="74"/>
      <c r="M925" s="74"/>
      <c r="N925" s="74"/>
      <c r="O925" s="74"/>
      <c r="P925" s="74"/>
      <c r="Q925" s="74"/>
      <c r="R925" s="74"/>
      <c r="S925" s="74"/>
      <c r="T925" s="74"/>
      <c r="U925" s="74"/>
      <c r="V925" s="74"/>
      <c r="W925" s="74"/>
      <c r="X925" s="74"/>
      <c r="Y925" s="74"/>
      <c r="Z925" s="74"/>
      <c r="AA925" s="74"/>
      <c r="AB925" s="74"/>
    </row>
    <row r="926" spans="1:28" ht="12" customHeight="1">
      <c r="A926" s="105"/>
      <c r="B926" s="106"/>
      <c r="C926" s="107"/>
      <c r="D926" s="108"/>
      <c r="E926" s="107"/>
      <c r="F926" s="107"/>
      <c r="G926" s="35"/>
      <c r="H926" s="104"/>
      <c r="I926" s="35"/>
      <c r="J926" s="74"/>
      <c r="K926" s="74"/>
      <c r="L926" s="74"/>
      <c r="M926" s="74"/>
      <c r="N926" s="74"/>
      <c r="O926" s="74"/>
      <c r="P926" s="74"/>
      <c r="Q926" s="74"/>
      <c r="R926" s="74"/>
      <c r="S926" s="74"/>
      <c r="T926" s="74"/>
      <c r="U926" s="74"/>
      <c r="V926" s="74"/>
      <c r="W926" s="74"/>
      <c r="X926" s="74"/>
      <c r="Y926" s="74"/>
      <c r="Z926" s="74"/>
      <c r="AA926" s="74"/>
      <c r="AB926" s="74"/>
    </row>
    <row r="927" spans="1:28" ht="12" customHeight="1">
      <c r="A927" s="105"/>
      <c r="B927" s="106"/>
      <c r="C927" s="107"/>
      <c r="D927" s="108"/>
      <c r="E927" s="107"/>
      <c r="F927" s="107"/>
      <c r="G927" s="35"/>
      <c r="H927" s="104"/>
      <c r="I927" s="35"/>
      <c r="J927" s="74"/>
      <c r="K927" s="74"/>
      <c r="L927" s="74"/>
      <c r="M927" s="74"/>
      <c r="N927" s="74"/>
      <c r="O927" s="74"/>
      <c r="P927" s="74"/>
      <c r="Q927" s="74"/>
      <c r="R927" s="74"/>
      <c r="S927" s="74"/>
      <c r="T927" s="74"/>
      <c r="U927" s="74"/>
      <c r="V927" s="74"/>
      <c r="W927" s="74"/>
      <c r="X927" s="74"/>
      <c r="Y927" s="74"/>
      <c r="Z927" s="74"/>
      <c r="AA927" s="74"/>
      <c r="AB927" s="74"/>
    </row>
    <row r="928" spans="1:28" ht="12" customHeight="1">
      <c r="A928" s="105"/>
      <c r="B928" s="106"/>
      <c r="C928" s="107"/>
      <c r="D928" s="108"/>
      <c r="E928" s="107"/>
      <c r="F928" s="107"/>
      <c r="G928" s="35"/>
      <c r="H928" s="104"/>
      <c r="I928" s="35"/>
      <c r="J928" s="74"/>
      <c r="K928" s="74"/>
      <c r="L928" s="74"/>
      <c r="M928" s="74"/>
      <c r="N928" s="74"/>
      <c r="O928" s="74"/>
      <c r="P928" s="74"/>
      <c r="Q928" s="74"/>
      <c r="R928" s="74"/>
      <c r="S928" s="74"/>
      <c r="T928" s="74"/>
      <c r="U928" s="74"/>
      <c r="V928" s="74"/>
      <c r="W928" s="74"/>
      <c r="X928" s="74"/>
      <c r="Y928" s="74"/>
      <c r="Z928" s="74"/>
      <c r="AA928" s="74"/>
      <c r="AB928" s="74"/>
    </row>
    <row r="929" spans="1:28" ht="12" customHeight="1">
      <c r="A929" s="105"/>
      <c r="B929" s="106"/>
      <c r="C929" s="107"/>
      <c r="D929" s="108"/>
      <c r="E929" s="107"/>
      <c r="F929" s="107"/>
      <c r="G929" s="35"/>
      <c r="H929" s="104"/>
      <c r="I929" s="35"/>
      <c r="J929" s="74"/>
      <c r="K929" s="74"/>
      <c r="L929" s="74"/>
      <c r="M929" s="74"/>
      <c r="N929" s="74"/>
      <c r="O929" s="74"/>
      <c r="P929" s="74"/>
      <c r="Q929" s="74"/>
      <c r="R929" s="74"/>
      <c r="S929" s="74"/>
      <c r="T929" s="74"/>
      <c r="U929" s="74"/>
      <c r="V929" s="74"/>
      <c r="W929" s="74"/>
      <c r="X929" s="74"/>
      <c r="Y929" s="74"/>
      <c r="Z929" s="74"/>
      <c r="AA929" s="74"/>
      <c r="AB929" s="74"/>
    </row>
    <row r="930" spans="1:28" ht="12" customHeight="1">
      <c r="A930" s="105"/>
      <c r="B930" s="106"/>
      <c r="C930" s="107"/>
      <c r="D930" s="108"/>
      <c r="E930" s="107"/>
      <c r="F930" s="107"/>
      <c r="G930" s="35"/>
      <c r="H930" s="104"/>
      <c r="I930" s="35"/>
      <c r="J930" s="74"/>
      <c r="K930" s="74"/>
      <c r="L930" s="74"/>
      <c r="M930" s="74"/>
      <c r="N930" s="74"/>
      <c r="O930" s="74"/>
      <c r="P930" s="74"/>
      <c r="Q930" s="74"/>
      <c r="R930" s="74"/>
      <c r="S930" s="74"/>
      <c r="T930" s="74"/>
      <c r="U930" s="74"/>
      <c r="V930" s="74"/>
      <c r="W930" s="74"/>
      <c r="X930" s="74"/>
      <c r="Y930" s="74"/>
      <c r="Z930" s="74"/>
      <c r="AA930" s="74"/>
      <c r="AB930" s="74"/>
    </row>
    <row r="931" spans="1:28" ht="12" customHeight="1">
      <c r="A931" s="105"/>
      <c r="B931" s="106"/>
      <c r="C931" s="107"/>
      <c r="D931" s="108"/>
      <c r="E931" s="107"/>
      <c r="F931" s="107"/>
      <c r="G931" s="35"/>
      <c r="H931" s="104"/>
      <c r="I931" s="35"/>
      <c r="J931" s="74"/>
      <c r="K931" s="74"/>
      <c r="L931" s="74"/>
      <c r="M931" s="74"/>
      <c r="N931" s="74"/>
      <c r="O931" s="74"/>
      <c r="P931" s="74"/>
      <c r="Q931" s="74"/>
      <c r="R931" s="74"/>
      <c r="S931" s="74"/>
      <c r="T931" s="74"/>
      <c r="U931" s="74"/>
      <c r="V931" s="74"/>
      <c r="W931" s="74"/>
      <c r="X931" s="74"/>
      <c r="Y931" s="74"/>
      <c r="Z931" s="74"/>
      <c r="AA931" s="74"/>
      <c r="AB931" s="74"/>
    </row>
    <row r="932" spans="1:28" ht="12" customHeight="1">
      <c r="A932" s="105"/>
      <c r="B932" s="106"/>
      <c r="C932" s="107"/>
      <c r="D932" s="108"/>
      <c r="E932" s="107"/>
      <c r="F932" s="107"/>
      <c r="G932" s="35"/>
      <c r="H932" s="104"/>
      <c r="I932" s="35"/>
      <c r="J932" s="74"/>
      <c r="K932" s="74"/>
      <c r="L932" s="74"/>
      <c r="M932" s="74"/>
      <c r="N932" s="74"/>
      <c r="O932" s="74"/>
      <c r="P932" s="74"/>
      <c r="Q932" s="74"/>
      <c r="R932" s="74"/>
      <c r="S932" s="74"/>
      <c r="T932" s="74"/>
      <c r="U932" s="74"/>
      <c r="V932" s="74"/>
      <c r="W932" s="74"/>
      <c r="X932" s="74"/>
      <c r="Y932" s="74"/>
      <c r="Z932" s="74"/>
      <c r="AA932" s="74"/>
      <c r="AB932" s="74"/>
    </row>
    <row r="933" spans="1:28" ht="12" customHeight="1">
      <c r="A933" s="105"/>
      <c r="B933" s="106"/>
      <c r="C933" s="107"/>
      <c r="D933" s="108"/>
      <c r="E933" s="107"/>
      <c r="F933" s="107"/>
      <c r="G933" s="35"/>
      <c r="H933" s="104"/>
      <c r="I933" s="35"/>
      <c r="J933" s="74"/>
      <c r="K933" s="74"/>
      <c r="L933" s="74"/>
      <c r="M933" s="74"/>
      <c r="N933" s="74"/>
      <c r="O933" s="74"/>
      <c r="P933" s="74"/>
      <c r="Q933" s="74"/>
      <c r="R933" s="74"/>
      <c r="S933" s="74"/>
      <c r="T933" s="74"/>
      <c r="U933" s="74"/>
      <c r="V933" s="74"/>
      <c r="W933" s="74"/>
      <c r="X933" s="74"/>
      <c r="Y933" s="74"/>
      <c r="Z933" s="74"/>
      <c r="AA933" s="74"/>
      <c r="AB933" s="74"/>
    </row>
    <row r="934" spans="1:28" ht="12" customHeight="1">
      <c r="A934" s="105"/>
      <c r="B934" s="106"/>
      <c r="C934" s="107"/>
      <c r="D934" s="108"/>
      <c r="E934" s="107"/>
      <c r="F934" s="107"/>
      <c r="G934" s="35"/>
      <c r="H934" s="104"/>
      <c r="I934" s="35"/>
      <c r="J934" s="74"/>
      <c r="K934" s="74"/>
      <c r="L934" s="74"/>
      <c r="M934" s="74"/>
      <c r="N934" s="74"/>
      <c r="O934" s="74"/>
      <c r="P934" s="74"/>
      <c r="Q934" s="74"/>
      <c r="R934" s="74"/>
      <c r="S934" s="74"/>
      <c r="T934" s="74"/>
      <c r="U934" s="74"/>
      <c r="V934" s="74"/>
      <c r="W934" s="74"/>
      <c r="X934" s="74"/>
      <c r="Y934" s="74"/>
      <c r="Z934" s="74"/>
      <c r="AA934" s="74"/>
      <c r="AB934" s="74"/>
    </row>
    <row r="935" spans="1:28" ht="12" customHeight="1">
      <c r="A935" s="105"/>
      <c r="B935" s="106"/>
      <c r="C935" s="107"/>
      <c r="D935" s="108"/>
      <c r="E935" s="107"/>
      <c r="F935" s="107"/>
      <c r="G935" s="35"/>
      <c r="H935" s="104"/>
      <c r="I935" s="35"/>
      <c r="J935" s="74"/>
      <c r="K935" s="74"/>
      <c r="L935" s="74"/>
      <c r="M935" s="74"/>
      <c r="N935" s="74"/>
      <c r="O935" s="74"/>
      <c r="P935" s="74"/>
      <c r="Q935" s="74"/>
      <c r="R935" s="74"/>
      <c r="S935" s="74"/>
      <c r="T935" s="74"/>
      <c r="U935" s="74"/>
      <c r="V935" s="74"/>
      <c r="W935" s="74"/>
      <c r="X935" s="74"/>
      <c r="Y935" s="74"/>
      <c r="Z935" s="74"/>
      <c r="AA935" s="74"/>
      <c r="AB935" s="74"/>
    </row>
    <row r="936" spans="1:28" ht="12" customHeight="1">
      <c r="A936" s="105"/>
      <c r="B936" s="106"/>
      <c r="C936" s="107"/>
      <c r="D936" s="108"/>
      <c r="E936" s="107"/>
      <c r="F936" s="107"/>
      <c r="G936" s="35"/>
      <c r="H936" s="104"/>
      <c r="I936" s="35"/>
      <c r="J936" s="74"/>
      <c r="K936" s="74"/>
      <c r="L936" s="74"/>
      <c r="M936" s="74"/>
      <c r="N936" s="74"/>
      <c r="O936" s="74"/>
      <c r="P936" s="74"/>
      <c r="Q936" s="74"/>
      <c r="R936" s="74"/>
      <c r="S936" s="74"/>
      <c r="T936" s="74"/>
      <c r="U936" s="74"/>
      <c r="V936" s="74"/>
      <c r="W936" s="74"/>
      <c r="X936" s="74"/>
      <c r="Y936" s="74"/>
      <c r="Z936" s="74"/>
      <c r="AA936" s="74"/>
      <c r="AB936" s="74"/>
    </row>
    <row r="937" spans="1:28" ht="12" customHeight="1">
      <c r="A937" s="105"/>
      <c r="B937" s="106"/>
      <c r="C937" s="107"/>
      <c r="D937" s="108"/>
      <c r="E937" s="107"/>
      <c r="F937" s="107"/>
      <c r="G937" s="35"/>
      <c r="H937" s="104"/>
      <c r="I937" s="35"/>
      <c r="J937" s="74"/>
      <c r="K937" s="74"/>
      <c r="L937" s="74"/>
      <c r="M937" s="74"/>
      <c r="N937" s="74"/>
      <c r="O937" s="74"/>
      <c r="P937" s="74"/>
      <c r="Q937" s="74"/>
      <c r="R937" s="74"/>
      <c r="S937" s="74"/>
      <c r="T937" s="74"/>
      <c r="U937" s="74"/>
      <c r="V937" s="74"/>
      <c r="W937" s="74"/>
      <c r="X937" s="74"/>
      <c r="Y937" s="74"/>
      <c r="Z937" s="74"/>
      <c r="AA937" s="74"/>
      <c r="AB937" s="74"/>
    </row>
    <row r="938" spans="1:28" ht="12" customHeight="1">
      <c r="A938" s="105"/>
      <c r="B938" s="106"/>
      <c r="C938" s="107"/>
      <c r="D938" s="108"/>
      <c r="E938" s="107"/>
      <c r="F938" s="107"/>
      <c r="G938" s="35"/>
      <c r="H938" s="104"/>
      <c r="I938" s="35"/>
      <c r="J938" s="74"/>
      <c r="K938" s="74"/>
      <c r="L938" s="74"/>
      <c r="M938" s="74"/>
      <c r="N938" s="74"/>
      <c r="O938" s="74"/>
      <c r="P938" s="74"/>
      <c r="Q938" s="74"/>
      <c r="R938" s="74"/>
      <c r="S938" s="74"/>
      <c r="T938" s="74"/>
      <c r="U938" s="74"/>
      <c r="V938" s="74"/>
      <c r="W938" s="74"/>
      <c r="X938" s="74"/>
      <c r="Y938" s="74"/>
      <c r="Z938" s="74"/>
      <c r="AA938" s="74"/>
      <c r="AB938" s="74"/>
    </row>
    <row r="939" spans="1:28" ht="12" customHeight="1">
      <c r="A939" s="105"/>
      <c r="B939" s="106"/>
      <c r="C939" s="107"/>
      <c r="D939" s="108"/>
      <c r="E939" s="107"/>
      <c r="F939" s="107"/>
      <c r="G939" s="35"/>
      <c r="H939" s="104"/>
      <c r="I939" s="35"/>
      <c r="J939" s="74"/>
      <c r="K939" s="74"/>
      <c r="L939" s="74"/>
      <c r="M939" s="74"/>
      <c r="N939" s="74"/>
      <c r="O939" s="74"/>
      <c r="P939" s="74"/>
      <c r="Q939" s="74"/>
      <c r="R939" s="74"/>
      <c r="S939" s="74"/>
      <c r="T939" s="74"/>
      <c r="U939" s="74"/>
      <c r="V939" s="74"/>
      <c r="W939" s="74"/>
      <c r="X939" s="74"/>
      <c r="Y939" s="74"/>
      <c r="Z939" s="74"/>
      <c r="AA939" s="74"/>
      <c r="AB939" s="74"/>
    </row>
    <row r="940" spans="1:28" ht="12" customHeight="1">
      <c r="A940" s="105"/>
      <c r="B940" s="106"/>
      <c r="C940" s="107"/>
      <c r="D940" s="108"/>
      <c r="E940" s="107"/>
      <c r="F940" s="107"/>
      <c r="G940" s="35"/>
      <c r="H940" s="104"/>
      <c r="I940" s="35"/>
      <c r="J940" s="74"/>
      <c r="K940" s="74"/>
      <c r="L940" s="74"/>
      <c r="M940" s="74"/>
      <c r="N940" s="74"/>
      <c r="O940" s="74"/>
      <c r="P940" s="74"/>
      <c r="Q940" s="74"/>
      <c r="R940" s="74"/>
      <c r="S940" s="74"/>
      <c r="T940" s="74"/>
      <c r="U940" s="74"/>
      <c r="V940" s="74"/>
      <c r="W940" s="74"/>
      <c r="X940" s="74"/>
      <c r="Y940" s="74"/>
      <c r="Z940" s="74"/>
      <c r="AA940" s="74"/>
      <c r="AB940" s="74"/>
    </row>
    <row r="941" spans="1:28" ht="12" customHeight="1">
      <c r="A941" s="105"/>
      <c r="B941" s="106"/>
      <c r="C941" s="107"/>
      <c r="D941" s="108"/>
      <c r="E941" s="107"/>
      <c r="F941" s="107"/>
      <c r="G941" s="35"/>
      <c r="H941" s="104"/>
      <c r="I941" s="35"/>
      <c r="J941" s="74"/>
      <c r="K941" s="74"/>
      <c r="L941" s="74"/>
      <c r="M941" s="74"/>
      <c r="N941" s="74"/>
      <c r="O941" s="74"/>
      <c r="P941" s="74"/>
      <c r="Q941" s="74"/>
      <c r="R941" s="74"/>
      <c r="S941" s="74"/>
      <c r="T941" s="74"/>
      <c r="U941" s="74"/>
      <c r="V941" s="74"/>
      <c r="W941" s="74"/>
      <c r="X941" s="74"/>
      <c r="Y941" s="74"/>
      <c r="Z941" s="74"/>
      <c r="AA941" s="74"/>
      <c r="AB941" s="74"/>
    </row>
    <row r="942" spans="1:28" ht="12" customHeight="1">
      <c r="A942" s="105"/>
      <c r="B942" s="106"/>
      <c r="C942" s="107"/>
      <c r="D942" s="108"/>
      <c r="E942" s="107"/>
      <c r="F942" s="107"/>
      <c r="G942" s="35"/>
      <c r="H942" s="104"/>
      <c r="I942" s="35"/>
      <c r="J942" s="74"/>
      <c r="K942" s="74"/>
      <c r="L942" s="74"/>
      <c r="M942" s="74"/>
      <c r="N942" s="74"/>
      <c r="O942" s="74"/>
      <c r="P942" s="74"/>
      <c r="Q942" s="74"/>
      <c r="R942" s="74"/>
      <c r="S942" s="74"/>
      <c r="T942" s="74"/>
      <c r="U942" s="74"/>
      <c r="V942" s="74"/>
      <c r="W942" s="74"/>
      <c r="X942" s="74"/>
      <c r="Y942" s="74"/>
      <c r="Z942" s="74"/>
      <c r="AA942" s="74"/>
      <c r="AB942" s="74"/>
    </row>
    <row r="943" spans="1:28" ht="12" customHeight="1">
      <c r="A943" s="105"/>
      <c r="B943" s="106"/>
      <c r="C943" s="107"/>
      <c r="D943" s="108"/>
      <c r="E943" s="107"/>
      <c r="F943" s="107"/>
      <c r="G943" s="35"/>
      <c r="H943" s="104"/>
      <c r="I943" s="35"/>
      <c r="J943" s="74"/>
      <c r="K943" s="74"/>
      <c r="L943" s="74"/>
      <c r="M943" s="74"/>
      <c r="N943" s="74"/>
      <c r="O943" s="74"/>
      <c r="P943" s="74"/>
      <c r="Q943" s="74"/>
      <c r="R943" s="74"/>
      <c r="S943" s="74"/>
      <c r="T943" s="74"/>
      <c r="U943" s="74"/>
      <c r="V943" s="74"/>
      <c r="W943" s="74"/>
      <c r="X943" s="74"/>
      <c r="Y943" s="74"/>
      <c r="Z943" s="74"/>
      <c r="AA943" s="74"/>
      <c r="AB943" s="74"/>
    </row>
    <row r="944" spans="1:28" ht="12" customHeight="1">
      <c r="A944" s="105"/>
      <c r="B944" s="106"/>
      <c r="C944" s="107"/>
      <c r="D944" s="108"/>
      <c r="E944" s="107"/>
      <c r="F944" s="107"/>
      <c r="G944" s="35"/>
      <c r="H944" s="104"/>
      <c r="I944" s="35"/>
      <c r="J944" s="74"/>
      <c r="K944" s="74"/>
      <c r="L944" s="74"/>
      <c r="M944" s="74"/>
      <c r="N944" s="74"/>
      <c r="O944" s="74"/>
      <c r="P944" s="74"/>
      <c r="Q944" s="74"/>
      <c r="R944" s="74"/>
      <c r="S944" s="74"/>
      <c r="T944" s="74"/>
      <c r="U944" s="74"/>
      <c r="V944" s="74"/>
      <c r="W944" s="74"/>
      <c r="X944" s="74"/>
      <c r="Y944" s="74"/>
      <c r="Z944" s="74"/>
      <c r="AA944" s="74"/>
      <c r="AB944" s="74"/>
    </row>
    <row r="945" spans="1:28" ht="12" customHeight="1">
      <c r="A945" s="105"/>
      <c r="B945" s="106"/>
      <c r="C945" s="107"/>
      <c r="D945" s="108"/>
      <c r="E945" s="107"/>
      <c r="F945" s="107"/>
      <c r="G945" s="35"/>
      <c r="H945" s="104"/>
      <c r="I945" s="35"/>
      <c r="J945" s="74"/>
      <c r="K945" s="74"/>
      <c r="L945" s="74"/>
      <c r="M945" s="74"/>
      <c r="N945" s="74"/>
      <c r="O945" s="74"/>
      <c r="P945" s="74"/>
      <c r="Q945" s="74"/>
      <c r="R945" s="74"/>
      <c r="S945" s="74"/>
      <c r="T945" s="74"/>
      <c r="U945" s="74"/>
      <c r="V945" s="74"/>
      <c r="W945" s="74"/>
      <c r="X945" s="74"/>
      <c r="Y945" s="74"/>
      <c r="Z945" s="74"/>
      <c r="AA945" s="74"/>
      <c r="AB945" s="74"/>
    </row>
    <row r="946" spans="1:28" ht="12" customHeight="1">
      <c r="A946" s="105"/>
      <c r="B946" s="106"/>
      <c r="C946" s="107"/>
      <c r="D946" s="108"/>
      <c r="E946" s="107"/>
      <c r="F946" s="107"/>
      <c r="G946" s="35"/>
      <c r="H946" s="104"/>
      <c r="I946" s="35"/>
      <c r="J946" s="74"/>
      <c r="K946" s="74"/>
      <c r="L946" s="74"/>
      <c r="M946" s="74"/>
      <c r="N946" s="74"/>
      <c r="O946" s="74"/>
      <c r="P946" s="74"/>
      <c r="Q946" s="74"/>
      <c r="R946" s="74"/>
      <c r="S946" s="74"/>
      <c r="T946" s="74"/>
      <c r="U946" s="74"/>
      <c r="V946" s="74"/>
      <c r="W946" s="74"/>
      <c r="X946" s="74"/>
      <c r="Y946" s="74"/>
      <c r="Z946" s="74"/>
      <c r="AA946" s="74"/>
      <c r="AB946" s="74"/>
    </row>
    <row r="947" spans="1:28" ht="12" customHeight="1">
      <c r="A947" s="105"/>
      <c r="B947" s="106"/>
      <c r="C947" s="107"/>
      <c r="D947" s="108"/>
      <c r="E947" s="107"/>
      <c r="F947" s="107"/>
      <c r="G947" s="35"/>
      <c r="H947" s="104"/>
      <c r="I947" s="35"/>
      <c r="J947" s="74"/>
      <c r="K947" s="74"/>
      <c r="L947" s="74"/>
      <c r="M947" s="74"/>
      <c r="N947" s="74"/>
      <c r="O947" s="74"/>
      <c r="P947" s="74"/>
      <c r="Q947" s="74"/>
      <c r="R947" s="74"/>
      <c r="S947" s="74"/>
      <c r="T947" s="74"/>
      <c r="U947" s="74"/>
      <c r="V947" s="74"/>
      <c r="W947" s="74"/>
      <c r="X947" s="74"/>
      <c r="Y947" s="74"/>
      <c r="Z947" s="74"/>
      <c r="AA947" s="74"/>
      <c r="AB947" s="74"/>
    </row>
    <row r="948" spans="1:28" ht="12" customHeight="1">
      <c r="A948" s="105"/>
      <c r="B948" s="106"/>
      <c r="C948" s="107"/>
      <c r="D948" s="108"/>
      <c r="E948" s="107"/>
      <c r="F948" s="107"/>
      <c r="G948" s="35"/>
      <c r="H948" s="104"/>
      <c r="I948" s="35"/>
      <c r="J948" s="74"/>
      <c r="K948" s="74"/>
      <c r="L948" s="74"/>
      <c r="M948" s="74"/>
      <c r="N948" s="74"/>
      <c r="O948" s="74"/>
      <c r="P948" s="74"/>
      <c r="Q948" s="74"/>
      <c r="R948" s="74"/>
      <c r="S948" s="74"/>
      <c r="T948" s="74"/>
      <c r="U948" s="74"/>
      <c r="V948" s="74"/>
      <c r="W948" s="74"/>
      <c r="X948" s="74"/>
      <c r="Y948" s="74"/>
      <c r="Z948" s="74"/>
      <c r="AA948" s="74"/>
      <c r="AB948" s="74"/>
    </row>
    <row r="949" spans="1:28" ht="12" customHeight="1">
      <c r="A949" s="105"/>
      <c r="B949" s="106"/>
      <c r="C949" s="107"/>
      <c r="D949" s="108"/>
      <c r="E949" s="107"/>
      <c r="F949" s="107"/>
      <c r="G949" s="35"/>
      <c r="H949" s="104"/>
      <c r="I949" s="35"/>
      <c r="J949" s="74"/>
      <c r="K949" s="74"/>
      <c r="L949" s="74"/>
      <c r="M949" s="74"/>
      <c r="N949" s="74"/>
      <c r="O949" s="74"/>
      <c r="P949" s="74"/>
      <c r="Q949" s="74"/>
      <c r="R949" s="74"/>
      <c r="S949" s="74"/>
      <c r="T949" s="74"/>
      <c r="U949" s="74"/>
      <c r="V949" s="74"/>
      <c r="W949" s="74"/>
      <c r="X949" s="74"/>
      <c r="Y949" s="74"/>
      <c r="Z949" s="74"/>
      <c r="AA949" s="74"/>
      <c r="AB949" s="74"/>
    </row>
    <row r="950" spans="1:28" ht="12" customHeight="1">
      <c r="A950" s="105"/>
      <c r="B950" s="106"/>
      <c r="C950" s="107"/>
      <c r="D950" s="108"/>
      <c r="E950" s="107"/>
      <c r="F950" s="107"/>
      <c r="G950" s="35"/>
      <c r="H950" s="104"/>
      <c r="I950" s="35"/>
      <c r="J950" s="74"/>
      <c r="K950" s="74"/>
      <c r="L950" s="74"/>
      <c r="M950" s="74"/>
      <c r="N950" s="74"/>
      <c r="O950" s="74"/>
      <c r="P950" s="74"/>
      <c r="Q950" s="74"/>
      <c r="R950" s="74"/>
      <c r="S950" s="74"/>
      <c r="T950" s="74"/>
      <c r="U950" s="74"/>
      <c r="V950" s="74"/>
      <c r="W950" s="74"/>
      <c r="X950" s="74"/>
      <c r="Y950" s="74"/>
      <c r="Z950" s="74"/>
      <c r="AA950" s="74"/>
      <c r="AB950" s="74"/>
    </row>
    <row r="951" spans="1:28" ht="12" customHeight="1">
      <c r="A951" s="105"/>
      <c r="B951" s="106"/>
      <c r="C951" s="107"/>
      <c r="D951" s="108"/>
      <c r="E951" s="107"/>
      <c r="F951" s="107"/>
      <c r="G951" s="35"/>
      <c r="H951" s="104"/>
      <c r="I951" s="35"/>
      <c r="J951" s="74"/>
      <c r="K951" s="74"/>
      <c r="L951" s="74"/>
      <c r="M951" s="74"/>
      <c r="N951" s="74"/>
      <c r="O951" s="74"/>
      <c r="P951" s="74"/>
      <c r="Q951" s="74"/>
      <c r="R951" s="74"/>
      <c r="S951" s="74"/>
      <c r="T951" s="74"/>
      <c r="U951" s="74"/>
      <c r="V951" s="74"/>
      <c r="W951" s="74"/>
      <c r="X951" s="74"/>
      <c r="Y951" s="74"/>
      <c r="Z951" s="74"/>
      <c r="AA951" s="74"/>
      <c r="AB951" s="74"/>
    </row>
    <row r="952" spans="1:28" ht="12" customHeight="1">
      <c r="A952" s="105"/>
      <c r="B952" s="106"/>
      <c r="C952" s="107"/>
      <c r="D952" s="108"/>
      <c r="E952" s="107"/>
      <c r="F952" s="107"/>
      <c r="G952" s="35"/>
      <c r="H952" s="104"/>
      <c r="I952" s="35"/>
      <c r="J952" s="74"/>
      <c r="K952" s="74"/>
      <c r="L952" s="74"/>
      <c r="M952" s="74"/>
      <c r="N952" s="74"/>
      <c r="O952" s="74"/>
      <c r="P952" s="74"/>
      <c r="Q952" s="74"/>
      <c r="R952" s="74"/>
      <c r="S952" s="74"/>
      <c r="T952" s="74"/>
      <c r="U952" s="74"/>
      <c r="V952" s="74"/>
      <c r="W952" s="74"/>
      <c r="X952" s="74"/>
      <c r="Y952" s="74"/>
      <c r="Z952" s="74"/>
      <c r="AA952" s="74"/>
      <c r="AB952" s="74"/>
    </row>
    <row r="953" spans="1:28" ht="12" customHeight="1">
      <c r="A953" s="105"/>
      <c r="B953" s="106"/>
      <c r="C953" s="107"/>
      <c r="D953" s="108"/>
      <c r="E953" s="107"/>
      <c r="F953" s="107"/>
      <c r="G953" s="35"/>
      <c r="H953" s="104"/>
      <c r="I953" s="35"/>
      <c r="J953" s="74"/>
      <c r="K953" s="74"/>
      <c r="L953" s="74"/>
      <c r="M953" s="74"/>
      <c r="N953" s="74"/>
      <c r="O953" s="74"/>
      <c r="P953" s="74"/>
      <c r="Q953" s="74"/>
      <c r="R953" s="74"/>
      <c r="S953" s="74"/>
      <c r="T953" s="74"/>
      <c r="U953" s="74"/>
      <c r="V953" s="74"/>
      <c r="W953" s="74"/>
      <c r="X953" s="74"/>
      <c r="Y953" s="74"/>
      <c r="Z953" s="74"/>
      <c r="AA953" s="74"/>
      <c r="AB953" s="74"/>
    </row>
    <row r="954" spans="1:28" ht="12" customHeight="1">
      <c r="A954" s="105"/>
      <c r="B954" s="106"/>
      <c r="C954" s="107"/>
      <c r="D954" s="108"/>
      <c r="E954" s="107"/>
      <c r="F954" s="107"/>
      <c r="G954" s="35"/>
      <c r="H954" s="104"/>
      <c r="I954" s="35"/>
      <c r="J954" s="74"/>
      <c r="K954" s="74"/>
      <c r="L954" s="74"/>
      <c r="M954" s="74"/>
      <c r="N954" s="74"/>
      <c r="O954" s="74"/>
      <c r="P954" s="74"/>
      <c r="Q954" s="74"/>
      <c r="R954" s="74"/>
      <c r="S954" s="74"/>
      <c r="T954" s="74"/>
      <c r="U954" s="74"/>
      <c r="V954" s="74"/>
      <c r="W954" s="74"/>
      <c r="X954" s="74"/>
      <c r="Y954" s="74"/>
      <c r="Z954" s="74"/>
      <c r="AA954" s="74"/>
      <c r="AB954" s="74"/>
    </row>
    <row r="955" spans="1:28" ht="12" customHeight="1">
      <c r="A955" s="105"/>
      <c r="B955" s="106"/>
      <c r="C955" s="107"/>
      <c r="D955" s="108"/>
      <c r="E955" s="107"/>
      <c r="F955" s="107"/>
      <c r="G955" s="35"/>
      <c r="H955" s="104"/>
      <c r="I955" s="35"/>
      <c r="J955" s="74"/>
      <c r="K955" s="74"/>
      <c r="L955" s="74"/>
      <c r="M955" s="74"/>
      <c r="N955" s="74"/>
      <c r="O955" s="74"/>
      <c r="P955" s="74"/>
      <c r="Q955" s="74"/>
      <c r="R955" s="74"/>
      <c r="S955" s="74"/>
      <c r="T955" s="74"/>
      <c r="U955" s="74"/>
      <c r="V955" s="74"/>
      <c r="W955" s="74"/>
      <c r="X955" s="74"/>
      <c r="Y955" s="74"/>
      <c r="Z955" s="74"/>
      <c r="AA955" s="74"/>
      <c r="AB955" s="74"/>
    </row>
    <row r="956" spans="1:28" ht="12" customHeight="1">
      <c r="A956" s="105"/>
      <c r="B956" s="106"/>
      <c r="C956" s="107"/>
      <c r="D956" s="108"/>
      <c r="E956" s="107"/>
      <c r="F956" s="107"/>
      <c r="G956" s="35"/>
      <c r="H956" s="104"/>
      <c r="I956" s="35"/>
      <c r="J956" s="74"/>
      <c r="K956" s="74"/>
      <c r="L956" s="74"/>
      <c r="M956" s="74"/>
      <c r="N956" s="74"/>
      <c r="O956" s="74"/>
      <c r="P956" s="74"/>
      <c r="Q956" s="74"/>
      <c r="R956" s="74"/>
      <c r="S956" s="74"/>
      <c r="T956" s="74"/>
      <c r="U956" s="74"/>
      <c r="V956" s="74"/>
      <c r="W956" s="74"/>
      <c r="X956" s="74"/>
      <c r="Y956" s="74"/>
      <c r="Z956" s="74"/>
      <c r="AA956" s="74"/>
      <c r="AB956" s="74"/>
    </row>
    <row r="957" spans="1:28" ht="12" customHeight="1">
      <c r="A957" s="105"/>
      <c r="B957" s="106"/>
      <c r="C957" s="107"/>
      <c r="D957" s="108"/>
      <c r="E957" s="107"/>
      <c r="F957" s="107"/>
      <c r="G957" s="35"/>
      <c r="H957" s="104"/>
      <c r="I957" s="35"/>
      <c r="J957" s="74"/>
      <c r="K957" s="74"/>
      <c r="L957" s="74"/>
      <c r="M957" s="74"/>
      <c r="N957" s="74"/>
      <c r="O957" s="74"/>
      <c r="P957" s="74"/>
      <c r="Q957" s="74"/>
      <c r="R957" s="74"/>
      <c r="S957" s="74"/>
      <c r="T957" s="74"/>
      <c r="U957" s="74"/>
      <c r="V957" s="74"/>
      <c r="W957" s="74"/>
      <c r="X957" s="74"/>
      <c r="Y957" s="74"/>
      <c r="Z957" s="74"/>
      <c r="AA957" s="74"/>
      <c r="AB957" s="74"/>
    </row>
    <row r="958" spans="1:28" ht="12" customHeight="1">
      <c r="A958" s="105"/>
      <c r="B958" s="106"/>
      <c r="C958" s="107"/>
      <c r="D958" s="108"/>
      <c r="E958" s="107"/>
      <c r="F958" s="107"/>
      <c r="G958" s="35"/>
      <c r="H958" s="104"/>
      <c r="I958" s="35"/>
      <c r="J958" s="74"/>
      <c r="K958" s="74"/>
      <c r="L958" s="74"/>
      <c r="M958" s="74"/>
      <c r="N958" s="74"/>
      <c r="O958" s="74"/>
      <c r="P958" s="74"/>
      <c r="Q958" s="74"/>
      <c r="R958" s="74"/>
      <c r="S958" s="74"/>
      <c r="T958" s="74"/>
      <c r="U958" s="74"/>
      <c r="V958" s="74"/>
      <c r="W958" s="74"/>
      <c r="X958" s="74"/>
      <c r="Y958" s="74"/>
      <c r="Z958" s="74"/>
      <c r="AA958" s="74"/>
      <c r="AB958" s="74"/>
    </row>
    <row r="959" spans="1:28" ht="12" customHeight="1">
      <c r="A959" s="105"/>
      <c r="B959" s="106"/>
      <c r="C959" s="107"/>
      <c r="D959" s="108"/>
      <c r="E959" s="107"/>
      <c r="F959" s="107"/>
      <c r="G959" s="35"/>
      <c r="H959" s="104"/>
      <c r="I959" s="35"/>
      <c r="J959" s="74"/>
      <c r="K959" s="74"/>
      <c r="L959" s="74"/>
      <c r="M959" s="74"/>
      <c r="N959" s="74"/>
      <c r="O959" s="74"/>
      <c r="P959" s="74"/>
      <c r="Q959" s="74"/>
      <c r="R959" s="74"/>
      <c r="S959" s="74"/>
      <c r="T959" s="74"/>
      <c r="U959" s="74"/>
      <c r="V959" s="74"/>
      <c r="W959" s="74"/>
      <c r="X959" s="74"/>
      <c r="Y959" s="74"/>
      <c r="Z959" s="74"/>
      <c r="AA959" s="74"/>
      <c r="AB959" s="74"/>
    </row>
    <row r="960" spans="1:28" ht="12" customHeight="1">
      <c r="A960" s="105"/>
      <c r="B960" s="106"/>
      <c r="C960" s="107"/>
      <c r="D960" s="108"/>
      <c r="E960" s="107"/>
      <c r="F960" s="107"/>
      <c r="G960" s="35"/>
      <c r="H960" s="104"/>
      <c r="I960" s="35"/>
      <c r="J960" s="74"/>
      <c r="K960" s="74"/>
      <c r="L960" s="74"/>
      <c r="M960" s="74"/>
      <c r="N960" s="74"/>
      <c r="O960" s="74"/>
      <c r="P960" s="74"/>
      <c r="Q960" s="74"/>
      <c r="R960" s="74"/>
      <c r="S960" s="74"/>
      <c r="T960" s="74"/>
      <c r="U960" s="74"/>
      <c r="V960" s="74"/>
      <c r="W960" s="74"/>
      <c r="X960" s="74"/>
      <c r="Y960" s="74"/>
      <c r="Z960" s="74"/>
      <c r="AA960" s="74"/>
      <c r="AB960" s="74"/>
    </row>
    <row r="961" spans="1:28" ht="12" customHeight="1">
      <c r="A961" s="105"/>
      <c r="B961" s="106"/>
      <c r="C961" s="107"/>
      <c r="D961" s="108"/>
      <c r="E961" s="107"/>
      <c r="F961" s="107"/>
      <c r="G961" s="35"/>
      <c r="H961" s="104"/>
      <c r="I961" s="35"/>
      <c r="J961" s="74"/>
      <c r="K961" s="74"/>
      <c r="L961" s="74"/>
      <c r="M961" s="74"/>
      <c r="N961" s="74"/>
      <c r="O961" s="74"/>
      <c r="P961" s="74"/>
      <c r="Q961" s="74"/>
      <c r="R961" s="74"/>
      <c r="S961" s="74"/>
      <c r="T961" s="74"/>
      <c r="U961" s="74"/>
      <c r="V961" s="74"/>
      <c r="W961" s="74"/>
      <c r="X961" s="74"/>
      <c r="Y961" s="74"/>
      <c r="Z961" s="74"/>
      <c r="AA961" s="74"/>
      <c r="AB961" s="74"/>
    </row>
    <row r="962" spans="1:28" ht="12" customHeight="1">
      <c r="A962" s="105"/>
      <c r="B962" s="106"/>
      <c r="C962" s="107"/>
      <c r="D962" s="108"/>
      <c r="E962" s="107"/>
      <c r="F962" s="107"/>
      <c r="G962" s="35"/>
      <c r="H962" s="104"/>
      <c r="I962" s="35"/>
      <c r="J962" s="74"/>
      <c r="K962" s="74"/>
      <c r="L962" s="74"/>
      <c r="M962" s="74"/>
      <c r="N962" s="74"/>
      <c r="O962" s="74"/>
      <c r="P962" s="74"/>
      <c r="Q962" s="74"/>
      <c r="R962" s="74"/>
      <c r="S962" s="74"/>
      <c r="T962" s="74"/>
      <c r="U962" s="74"/>
      <c r="V962" s="74"/>
      <c r="W962" s="74"/>
      <c r="X962" s="74"/>
      <c r="Y962" s="74"/>
      <c r="Z962" s="74"/>
      <c r="AA962" s="74"/>
      <c r="AB962" s="74"/>
    </row>
    <row r="963" spans="1:28" ht="12" customHeight="1">
      <c r="A963" s="105"/>
      <c r="B963" s="106"/>
      <c r="C963" s="107"/>
      <c r="D963" s="108"/>
      <c r="E963" s="107"/>
      <c r="F963" s="107"/>
      <c r="G963" s="35"/>
      <c r="H963" s="104"/>
      <c r="I963" s="35"/>
      <c r="J963" s="74"/>
      <c r="K963" s="74"/>
      <c r="L963" s="74"/>
      <c r="M963" s="74"/>
      <c r="N963" s="74"/>
      <c r="O963" s="74"/>
      <c r="P963" s="74"/>
      <c r="Q963" s="74"/>
      <c r="R963" s="74"/>
      <c r="S963" s="74"/>
      <c r="T963" s="74"/>
      <c r="U963" s="74"/>
      <c r="V963" s="74"/>
      <c r="W963" s="74"/>
      <c r="X963" s="74"/>
      <c r="Y963" s="74"/>
      <c r="Z963" s="74"/>
      <c r="AA963" s="74"/>
      <c r="AB963" s="74"/>
    </row>
    <row r="964" spans="1:28" ht="12" customHeight="1">
      <c r="A964" s="105"/>
      <c r="B964" s="106"/>
      <c r="C964" s="107"/>
      <c r="D964" s="108"/>
      <c r="E964" s="107"/>
      <c r="F964" s="107"/>
      <c r="G964" s="35"/>
      <c r="H964" s="104"/>
      <c r="I964" s="35"/>
      <c r="J964" s="74"/>
      <c r="K964" s="74"/>
      <c r="L964" s="74"/>
      <c r="M964" s="74"/>
      <c r="N964" s="74"/>
      <c r="O964" s="74"/>
      <c r="P964" s="74"/>
      <c r="Q964" s="74"/>
      <c r="R964" s="74"/>
      <c r="S964" s="74"/>
      <c r="T964" s="74"/>
      <c r="U964" s="74"/>
      <c r="V964" s="74"/>
      <c r="W964" s="74"/>
      <c r="X964" s="74"/>
      <c r="Y964" s="74"/>
      <c r="Z964" s="74"/>
      <c r="AA964" s="74"/>
      <c r="AB964" s="74"/>
    </row>
    <row r="965" spans="1:28" ht="12" customHeight="1">
      <c r="A965" s="105"/>
      <c r="B965" s="106"/>
      <c r="C965" s="107"/>
      <c r="D965" s="108"/>
      <c r="E965" s="107"/>
      <c r="F965" s="107"/>
      <c r="G965" s="35"/>
      <c r="H965" s="104"/>
      <c r="I965" s="35"/>
      <c r="J965" s="74"/>
      <c r="K965" s="74"/>
      <c r="L965" s="74"/>
      <c r="M965" s="74"/>
      <c r="N965" s="74"/>
      <c r="O965" s="74"/>
      <c r="P965" s="74"/>
      <c r="Q965" s="74"/>
      <c r="R965" s="74"/>
      <c r="S965" s="74"/>
      <c r="T965" s="74"/>
      <c r="U965" s="74"/>
      <c r="V965" s="74"/>
      <c r="W965" s="74"/>
      <c r="X965" s="74"/>
      <c r="Y965" s="74"/>
      <c r="Z965" s="74"/>
      <c r="AA965" s="74"/>
      <c r="AB965" s="74"/>
    </row>
    <row r="966" spans="1:28" ht="12" customHeight="1">
      <c r="A966" s="105"/>
      <c r="B966" s="106"/>
      <c r="C966" s="107"/>
      <c r="D966" s="108"/>
      <c r="E966" s="107"/>
      <c r="F966" s="107"/>
      <c r="G966" s="35"/>
      <c r="H966" s="104"/>
      <c r="I966" s="35"/>
      <c r="J966" s="74"/>
      <c r="K966" s="74"/>
      <c r="L966" s="74"/>
      <c r="M966" s="74"/>
      <c r="N966" s="74"/>
      <c r="O966" s="74"/>
      <c r="P966" s="74"/>
      <c r="Q966" s="74"/>
      <c r="R966" s="74"/>
      <c r="S966" s="74"/>
      <c r="T966" s="74"/>
      <c r="U966" s="74"/>
      <c r="V966" s="74"/>
      <c r="W966" s="74"/>
      <c r="X966" s="74"/>
      <c r="Y966" s="74"/>
      <c r="Z966" s="74"/>
      <c r="AA966" s="74"/>
      <c r="AB966" s="74"/>
    </row>
    <row r="967" spans="1:28" ht="12" customHeight="1">
      <c r="A967" s="105"/>
      <c r="B967" s="106"/>
      <c r="C967" s="107"/>
      <c r="D967" s="108"/>
      <c r="E967" s="107"/>
      <c r="F967" s="107"/>
      <c r="G967" s="35"/>
      <c r="H967" s="104"/>
      <c r="I967" s="35"/>
      <c r="J967" s="74"/>
      <c r="K967" s="74"/>
      <c r="L967" s="74"/>
      <c r="M967" s="74"/>
      <c r="N967" s="74"/>
      <c r="O967" s="74"/>
      <c r="P967" s="74"/>
      <c r="Q967" s="74"/>
      <c r="R967" s="74"/>
      <c r="S967" s="74"/>
      <c r="T967" s="74"/>
      <c r="U967" s="74"/>
      <c r="V967" s="74"/>
      <c r="W967" s="74"/>
      <c r="X967" s="74"/>
      <c r="Y967" s="74"/>
      <c r="Z967" s="74"/>
      <c r="AA967" s="74"/>
      <c r="AB967" s="74"/>
    </row>
    <row r="968" spans="1:28" ht="12" customHeight="1">
      <c r="A968" s="105"/>
      <c r="B968" s="106"/>
      <c r="C968" s="107"/>
      <c r="D968" s="108"/>
      <c r="E968" s="107"/>
      <c r="F968" s="107"/>
      <c r="G968" s="35"/>
      <c r="H968" s="104"/>
      <c r="I968" s="35"/>
      <c r="J968" s="74"/>
      <c r="K968" s="74"/>
      <c r="L968" s="74"/>
      <c r="M968" s="74"/>
      <c r="N968" s="74"/>
      <c r="O968" s="74"/>
      <c r="P968" s="74"/>
      <c r="Q968" s="74"/>
      <c r="R968" s="74"/>
      <c r="S968" s="74"/>
      <c r="T968" s="74"/>
      <c r="U968" s="74"/>
      <c r="V968" s="74"/>
      <c r="W968" s="74"/>
      <c r="X968" s="74"/>
      <c r="Y968" s="74"/>
      <c r="Z968" s="74"/>
      <c r="AA968" s="74"/>
      <c r="AB968" s="74"/>
    </row>
    <row r="969" spans="1:28" ht="12" customHeight="1">
      <c r="A969" s="105"/>
      <c r="B969" s="106"/>
      <c r="C969" s="107"/>
      <c r="D969" s="108"/>
      <c r="E969" s="107"/>
      <c r="F969" s="107"/>
      <c r="G969" s="35"/>
      <c r="H969" s="104"/>
      <c r="I969" s="35"/>
      <c r="J969" s="74"/>
      <c r="K969" s="74"/>
      <c r="L969" s="74"/>
      <c r="M969" s="74"/>
      <c r="N969" s="74"/>
      <c r="O969" s="74"/>
      <c r="P969" s="74"/>
      <c r="Q969" s="74"/>
      <c r="R969" s="74"/>
      <c r="S969" s="74"/>
      <c r="T969" s="74"/>
      <c r="U969" s="74"/>
      <c r="V969" s="74"/>
      <c r="W969" s="74"/>
      <c r="X969" s="74"/>
      <c r="Y969" s="74"/>
      <c r="Z969" s="74"/>
      <c r="AA969" s="74"/>
      <c r="AB969" s="74"/>
    </row>
    <row r="970" spans="1:28" ht="12" customHeight="1">
      <c r="A970" s="105"/>
      <c r="B970" s="106"/>
      <c r="C970" s="107"/>
      <c r="D970" s="108"/>
      <c r="E970" s="107"/>
      <c r="F970" s="107"/>
      <c r="G970" s="35"/>
      <c r="H970" s="104"/>
      <c r="I970" s="35"/>
      <c r="J970" s="74"/>
      <c r="K970" s="74"/>
      <c r="L970" s="74"/>
      <c r="M970" s="74"/>
      <c r="N970" s="74"/>
      <c r="O970" s="74"/>
      <c r="P970" s="74"/>
      <c r="Q970" s="74"/>
      <c r="R970" s="74"/>
      <c r="S970" s="74"/>
      <c r="T970" s="74"/>
      <c r="U970" s="74"/>
      <c r="V970" s="74"/>
      <c r="W970" s="74"/>
      <c r="X970" s="74"/>
      <c r="Y970" s="74"/>
      <c r="Z970" s="74"/>
      <c r="AA970" s="74"/>
      <c r="AB970" s="74"/>
    </row>
    <row r="971" spans="1:28" ht="12" customHeight="1">
      <c r="A971" s="105"/>
      <c r="B971" s="106"/>
      <c r="C971" s="107"/>
      <c r="D971" s="108"/>
      <c r="E971" s="107"/>
      <c r="F971" s="107"/>
      <c r="G971" s="35"/>
      <c r="H971" s="104"/>
      <c r="I971" s="35"/>
      <c r="J971" s="74"/>
      <c r="K971" s="74"/>
      <c r="L971" s="74"/>
      <c r="M971" s="74"/>
      <c r="N971" s="74"/>
      <c r="O971" s="74"/>
      <c r="P971" s="74"/>
      <c r="Q971" s="74"/>
      <c r="R971" s="74"/>
      <c r="S971" s="74"/>
      <c r="T971" s="74"/>
      <c r="U971" s="74"/>
      <c r="V971" s="74"/>
      <c r="W971" s="74"/>
      <c r="X971" s="74"/>
      <c r="Y971" s="74"/>
      <c r="Z971" s="74"/>
      <c r="AA971" s="74"/>
      <c r="AB971" s="74"/>
    </row>
    <row r="972" spans="1:28" ht="12" customHeight="1">
      <c r="A972" s="105"/>
      <c r="B972" s="106"/>
      <c r="C972" s="107"/>
      <c r="D972" s="108"/>
      <c r="E972" s="107"/>
      <c r="F972" s="107"/>
      <c r="G972" s="35"/>
      <c r="H972" s="104"/>
      <c r="I972" s="35"/>
      <c r="J972" s="74"/>
      <c r="K972" s="74"/>
      <c r="L972" s="74"/>
      <c r="M972" s="74"/>
      <c r="N972" s="74"/>
      <c r="O972" s="74"/>
      <c r="P972" s="74"/>
      <c r="Q972" s="74"/>
      <c r="R972" s="74"/>
      <c r="S972" s="74"/>
      <c r="T972" s="74"/>
      <c r="U972" s="74"/>
      <c r="V972" s="74"/>
      <c r="W972" s="74"/>
      <c r="X972" s="74"/>
      <c r="Y972" s="74"/>
      <c r="Z972" s="74"/>
      <c r="AA972" s="74"/>
      <c r="AB972" s="74"/>
    </row>
    <row r="973" spans="1:28" ht="12" customHeight="1">
      <c r="A973" s="105"/>
      <c r="B973" s="106"/>
      <c r="C973" s="107"/>
      <c r="D973" s="108"/>
      <c r="E973" s="107"/>
      <c r="F973" s="107"/>
      <c r="G973" s="35"/>
      <c r="H973" s="104"/>
      <c r="I973" s="35"/>
      <c r="J973" s="74"/>
      <c r="K973" s="74"/>
      <c r="L973" s="74"/>
      <c r="M973" s="74"/>
      <c r="N973" s="74"/>
      <c r="O973" s="74"/>
      <c r="P973" s="74"/>
      <c r="Q973" s="74"/>
      <c r="R973" s="74"/>
      <c r="S973" s="74"/>
      <c r="T973" s="74"/>
      <c r="U973" s="74"/>
      <c r="V973" s="74"/>
      <c r="W973" s="74"/>
      <c r="X973" s="74"/>
      <c r="Y973" s="74"/>
      <c r="Z973" s="74"/>
      <c r="AA973" s="74"/>
      <c r="AB973" s="74"/>
    </row>
    <row r="974" spans="1:28" ht="12" customHeight="1">
      <c r="A974" s="105"/>
      <c r="B974" s="106"/>
      <c r="C974" s="107"/>
      <c r="D974" s="108"/>
      <c r="E974" s="107"/>
      <c r="F974" s="107"/>
      <c r="G974" s="35"/>
      <c r="H974" s="104"/>
      <c r="I974" s="35"/>
      <c r="J974" s="74"/>
      <c r="K974" s="74"/>
      <c r="L974" s="74"/>
      <c r="M974" s="74"/>
      <c r="N974" s="74"/>
      <c r="O974" s="74"/>
      <c r="P974" s="74"/>
      <c r="Q974" s="74"/>
      <c r="R974" s="74"/>
      <c r="S974" s="74"/>
      <c r="T974" s="74"/>
      <c r="U974" s="74"/>
      <c r="V974" s="74"/>
      <c r="W974" s="74"/>
      <c r="X974" s="74"/>
      <c r="Y974" s="74"/>
      <c r="Z974" s="74"/>
      <c r="AA974" s="74"/>
      <c r="AB974" s="74"/>
    </row>
    <row r="975" spans="1:28" ht="12" customHeight="1">
      <c r="A975" s="105"/>
      <c r="B975" s="106"/>
      <c r="C975" s="107"/>
      <c r="D975" s="108"/>
      <c r="E975" s="107"/>
      <c r="F975" s="107"/>
      <c r="G975" s="35"/>
      <c r="H975" s="104"/>
      <c r="I975" s="35"/>
      <c r="J975" s="74"/>
      <c r="K975" s="74"/>
      <c r="L975" s="74"/>
      <c r="M975" s="74"/>
      <c r="N975" s="74"/>
      <c r="O975" s="74"/>
      <c r="P975" s="74"/>
      <c r="Q975" s="74"/>
      <c r="R975" s="74"/>
      <c r="S975" s="74"/>
      <c r="T975" s="74"/>
      <c r="U975" s="74"/>
      <c r="V975" s="74"/>
      <c r="W975" s="74"/>
      <c r="X975" s="74"/>
      <c r="Y975" s="74"/>
      <c r="Z975" s="74"/>
      <c r="AA975" s="74"/>
      <c r="AB975" s="74"/>
    </row>
    <row r="976" spans="1:28" ht="12" customHeight="1">
      <c r="A976" s="105"/>
      <c r="B976" s="106"/>
      <c r="C976" s="107"/>
      <c r="D976" s="108"/>
      <c r="E976" s="107"/>
      <c r="F976" s="107"/>
      <c r="G976" s="35"/>
      <c r="H976" s="104"/>
      <c r="I976" s="35"/>
      <c r="J976" s="74"/>
      <c r="K976" s="74"/>
      <c r="L976" s="74"/>
      <c r="M976" s="74"/>
      <c r="N976" s="74"/>
      <c r="O976" s="74"/>
      <c r="P976" s="74"/>
      <c r="Q976" s="74"/>
      <c r="R976" s="74"/>
      <c r="S976" s="74"/>
      <c r="T976" s="74"/>
      <c r="U976" s="74"/>
      <c r="V976" s="74"/>
      <c r="W976" s="74"/>
      <c r="X976" s="74"/>
      <c r="Y976" s="74"/>
      <c r="Z976" s="74"/>
      <c r="AA976" s="74"/>
      <c r="AB976" s="74"/>
    </row>
    <row r="977" spans="1:28" ht="12" customHeight="1">
      <c r="A977" s="105"/>
      <c r="B977" s="106"/>
      <c r="C977" s="107"/>
      <c r="D977" s="108"/>
      <c r="E977" s="107"/>
      <c r="F977" s="107"/>
      <c r="G977" s="35"/>
      <c r="H977" s="104"/>
      <c r="I977" s="35"/>
      <c r="J977" s="74"/>
      <c r="K977" s="74"/>
      <c r="L977" s="74"/>
      <c r="M977" s="74"/>
      <c r="N977" s="74"/>
      <c r="O977" s="74"/>
      <c r="P977" s="74"/>
      <c r="Q977" s="74"/>
      <c r="R977" s="74"/>
      <c r="S977" s="74"/>
      <c r="T977" s="74"/>
      <c r="U977" s="74"/>
      <c r="V977" s="74"/>
      <c r="W977" s="74"/>
      <c r="X977" s="74"/>
      <c r="Y977" s="74"/>
      <c r="Z977" s="74"/>
      <c r="AA977" s="74"/>
      <c r="AB977" s="74"/>
    </row>
    <row r="978" spans="1:28" ht="12" customHeight="1">
      <c r="A978" s="105"/>
      <c r="B978" s="106"/>
      <c r="C978" s="107"/>
      <c r="D978" s="108"/>
      <c r="E978" s="107"/>
      <c r="F978" s="107"/>
      <c r="G978" s="35"/>
      <c r="H978" s="104"/>
      <c r="I978" s="35"/>
      <c r="J978" s="74"/>
      <c r="K978" s="74"/>
      <c r="L978" s="74"/>
      <c r="M978" s="74"/>
      <c r="N978" s="74"/>
      <c r="O978" s="74"/>
      <c r="P978" s="74"/>
      <c r="Q978" s="74"/>
      <c r="R978" s="74"/>
      <c r="S978" s="74"/>
      <c r="T978" s="74"/>
      <c r="U978" s="74"/>
      <c r="V978" s="74"/>
      <c r="W978" s="74"/>
      <c r="X978" s="74"/>
      <c r="Y978" s="74"/>
      <c r="Z978" s="74"/>
      <c r="AA978" s="74"/>
      <c r="AB978" s="74"/>
    </row>
    <row r="979" spans="1:28" ht="12" customHeight="1">
      <c r="A979" s="105"/>
      <c r="B979" s="106"/>
      <c r="C979" s="107"/>
      <c r="D979" s="108"/>
      <c r="E979" s="107"/>
      <c r="F979" s="107"/>
      <c r="G979" s="35"/>
      <c r="H979" s="104"/>
      <c r="I979" s="35"/>
      <c r="J979" s="74"/>
      <c r="K979" s="74"/>
      <c r="L979" s="74"/>
      <c r="M979" s="74"/>
      <c r="N979" s="74"/>
      <c r="O979" s="74"/>
      <c r="P979" s="74"/>
      <c r="Q979" s="74"/>
      <c r="R979" s="74"/>
      <c r="S979" s="74"/>
      <c r="T979" s="74"/>
      <c r="U979" s="74"/>
      <c r="V979" s="74"/>
      <c r="W979" s="74"/>
      <c r="X979" s="74"/>
      <c r="Y979" s="74"/>
      <c r="Z979" s="74"/>
      <c r="AA979" s="74"/>
      <c r="AB979" s="74"/>
    </row>
    <row r="980" spans="1:28" ht="12" customHeight="1">
      <c r="A980" s="105"/>
      <c r="B980" s="106"/>
      <c r="C980" s="107"/>
      <c r="D980" s="108"/>
      <c r="E980" s="107"/>
      <c r="F980" s="107"/>
      <c r="G980" s="35"/>
      <c r="H980" s="104"/>
      <c r="I980" s="35"/>
      <c r="J980" s="74"/>
      <c r="K980" s="74"/>
      <c r="L980" s="74"/>
      <c r="M980" s="74"/>
      <c r="N980" s="74"/>
      <c r="O980" s="74"/>
      <c r="P980" s="74"/>
      <c r="Q980" s="74"/>
      <c r="R980" s="74"/>
      <c r="S980" s="74"/>
      <c r="T980" s="74"/>
      <c r="U980" s="74"/>
      <c r="V980" s="74"/>
      <c r="W980" s="74"/>
      <c r="X980" s="74"/>
      <c r="Y980" s="74"/>
      <c r="Z980" s="74"/>
      <c r="AA980" s="74"/>
      <c r="AB980" s="74"/>
    </row>
    <row r="981" spans="1:28" ht="12" customHeight="1">
      <c r="A981" s="105"/>
      <c r="B981" s="106"/>
      <c r="C981" s="107"/>
      <c r="D981" s="108"/>
      <c r="E981" s="107"/>
      <c r="F981" s="107"/>
      <c r="G981" s="35"/>
      <c r="H981" s="104"/>
      <c r="I981" s="35"/>
      <c r="J981" s="74"/>
      <c r="K981" s="74"/>
      <c r="L981" s="74"/>
      <c r="M981" s="74"/>
      <c r="N981" s="74"/>
      <c r="O981" s="74"/>
      <c r="P981" s="74"/>
      <c r="Q981" s="74"/>
      <c r="R981" s="74"/>
      <c r="S981" s="74"/>
      <c r="T981" s="74"/>
      <c r="U981" s="74"/>
      <c r="V981" s="74"/>
      <c r="W981" s="74"/>
      <c r="X981" s="74"/>
      <c r="Y981" s="74"/>
      <c r="Z981" s="74"/>
      <c r="AA981" s="74"/>
      <c r="AB981" s="74"/>
    </row>
    <row r="982" spans="1:28" ht="12" customHeight="1">
      <c r="A982" s="105"/>
      <c r="B982" s="106"/>
      <c r="C982" s="107"/>
      <c r="D982" s="108"/>
      <c r="E982" s="107"/>
      <c r="F982" s="107"/>
      <c r="G982" s="35"/>
      <c r="H982" s="104"/>
      <c r="I982" s="35"/>
      <c r="J982" s="74"/>
      <c r="K982" s="74"/>
      <c r="L982" s="74"/>
      <c r="M982" s="74"/>
      <c r="N982" s="74"/>
      <c r="O982" s="74"/>
      <c r="P982" s="74"/>
      <c r="Q982" s="74"/>
      <c r="R982" s="74"/>
      <c r="S982" s="74"/>
      <c r="T982" s="74"/>
      <c r="U982" s="74"/>
      <c r="V982" s="74"/>
      <c r="W982" s="74"/>
      <c r="X982" s="74"/>
      <c r="Y982" s="74"/>
      <c r="Z982" s="74"/>
      <c r="AA982" s="74"/>
      <c r="AB982" s="74"/>
    </row>
    <row r="983" spans="1:28" ht="12" customHeight="1">
      <c r="A983" s="105"/>
      <c r="B983" s="106"/>
      <c r="C983" s="107"/>
      <c r="D983" s="108"/>
      <c r="E983" s="107"/>
      <c r="F983" s="107"/>
      <c r="G983" s="35"/>
      <c r="H983" s="104"/>
      <c r="I983" s="35"/>
      <c r="J983" s="74"/>
      <c r="K983" s="74"/>
      <c r="L983" s="74"/>
      <c r="M983" s="74"/>
      <c r="N983" s="74"/>
      <c r="O983" s="74"/>
      <c r="P983" s="74"/>
      <c r="Q983" s="74"/>
      <c r="R983" s="74"/>
      <c r="S983" s="74"/>
      <c r="T983" s="74"/>
      <c r="U983" s="74"/>
      <c r="V983" s="74"/>
      <c r="W983" s="74"/>
      <c r="X983" s="74"/>
      <c r="Y983" s="74"/>
      <c r="Z983" s="74"/>
      <c r="AA983" s="74"/>
      <c r="AB983" s="74"/>
    </row>
    <row r="984" spans="1:28" ht="12" customHeight="1">
      <c r="A984" s="105"/>
      <c r="B984" s="106"/>
      <c r="C984" s="107"/>
      <c r="D984" s="108"/>
      <c r="E984" s="107"/>
      <c r="F984" s="107"/>
      <c r="G984" s="35"/>
      <c r="H984" s="104"/>
      <c r="I984" s="35"/>
      <c r="J984" s="74"/>
      <c r="K984" s="74"/>
      <c r="L984" s="74"/>
      <c r="M984" s="74"/>
      <c r="N984" s="74"/>
      <c r="O984" s="74"/>
      <c r="P984" s="74"/>
      <c r="Q984" s="74"/>
      <c r="R984" s="74"/>
      <c r="S984" s="74"/>
      <c r="T984" s="74"/>
      <c r="U984" s="74"/>
      <c r="V984" s="74"/>
      <c r="W984" s="74"/>
      <c r="X984" s="74"/>
      <c r="Y984" s="74"/>
      <c r="Z984" s="74"/>
      <c r="AA984" s="74"/>
      <c r="AB984" s="74"/>
    </row>
    <row r="985" spans="1:28" ht="12" customHeight="1">
      <c r="A985" s="105"/>
      <c r="B985" s="106"/>
      <c r="C985" s="107"/>
      <c r="D985" s="108"/>
      <c r="E985" s="107"/>
      <c r="F985" s="107"/>
      <c r="G985" s="35"/>
      <c r="H985" s="104"/>
      <c r="I985" s="35"/>
      <c r="J985" s="74"/>
      <c r="K985" s="74"/>
      <c r="L985" s="74"/>
      <c r="M985" s="74"/>
      <c r="N985" s="74"/>
      <c r="O985" s="74"/>
      <c r="P985" s="74"/>
      <c r="Q985" s="74"/>
      <c r="R985" s="74"/>
      <c r="S985" s="74"/>
      <c r="T985" s="74"/>
      <c r="U985" s="74"/>
      <c r="V985" s="74"/>
      <c r="W985" s="74"/>
      <c r="X985" s="74"/>
      <c r="Y985" s="74"/>
      <c r="Z985" s="74"/>
      <c r="AA985" s="74"/>
      <c r="AB985" s="74"/>
    </row>
    <row r="986" spans="1:28" ht="12" customHeight="1">
      <c r="A986" s="105"/>
      <c r="B986" s="106"/>
      <c r="C986" s="107"/>
      <c r="D986" s="108"/>
      <c r="E986" s="107"/>
      <c r="F986" s="107"/>
      <c r="G986" s="35"/>
      <c r="H986" s="104"/>
      <c r="I986" s="35"/>
      <c r="J986" s="74"/>
      <c r="K986" s="74"/>
      <c r="L986" s="74"/>
      <c r="M986" s="74"/>
      <c r="N986" s="74"/>
      <c r="O986" s="74"/>
      <c r="P986" s="74"/>
      <c r="Q986" s="74"/>
      <c r="R986" s="74"/>
      <c r="S986" s="74"/>
      <c r="T986" s="74"/>
      <c r="U986" s="74"/>
      <c r="V986" s="74"/>
      <c r="W986" s="74"/>
      <c r="X986" s="74"/>
      <c r="Y986" s="74"/>
      <c r="Z986" s="74"/>
      <c r="AA986" s="74"/>
      <c r="AB986" s="74"/>
    </row>
    <row r="987" spans="1:28" ht="12" customHeight="1">
      <c r="A987" s="105"/>
      <c r="B987" s="106"/>
      <c r="C987" s="107"/>
      <c r="D987" s="108"/>
      <c r="E987" s="107"/>
      <c r="F987" s="107"/>
      <c r="G987" s="35"/>
      <c r="H987" s="104"/>
      <c r="I987" s="35"/>
      <c r="J987" s="74"/>
      <c r="K987" s="74"/>
      <c r="L987" s="74"/>
      <c r="M987" s="74"/>
      <c r="N987" s="74"/>
      <c r="O987" s="74"/>
      <c r="P987" s="74"/>
      <c r="Q987" s="74"/>
      <c r="R987" s="74"/>
      <c r="S987" s="74"/>
      <c r="T987" s="74"/>
      <c r="U987" s="74"/>
      <c r="V987" s="74"/>
      <c r="W987" s="74"/>
      <c r="X987" s="74"/>
      <c r="Y987" s="74"/>
      <c r="Z987" s="74"/>
      <c r="AA987" s="74"/>
      <c r="AB987" s="74"/>
    </row>
    <row r="988" spans="1:28" ht="12" customHeight="1">
      <c r="A988" s="105"/>
      <c r="B988" s="106"/>
      <c r="C988" s="107"/>
      <c r="D988" s="108"/>
      <c r="E988" s="107"/>
      <c r="F988" s="107"/>
      <c r="G988" s="35"/>
      <c r="H988" s="104"/>
      <c r="I988" s="35"/>
      <c r="J988" s="74"/>
      <c r="K988" s="74"/>
      <c r="L988" s="74"/>
      <c r="M988" s="74"/>
      <c r="N988" s="74"/>
      <c r="O988" s="74"/>
      <c r="P988" s="74"/>
      <c r="Q988" s="74"/>
      <c r="R988" s="74"/>
      <c r="S988" s="74"/>
      <c r="T988" s="74"/>
      <c r="U988" s="74"/>
      <c r="V988" s="74"/>
      <c r="W988" s="74"/>
      <c r="X988" s="74"/>
      <c r="Y988" s="74"/>
      <c r="Z988" s="74"/>
      <c r="AA988" s="74"/>
      <c r="AB988" s="74"/>
    </row>
    <row r="989" spans="1:28" ht="12" customHeight="1">
      <c r="A989" s="105"/>
      <c r="B989" s="106"/>
      <c r="C989" s="107"/>
      <c r="D989" s="108"/>
      <c r="E989" s="107"/>
      <c r="F989" s="107"/>
      <c r="G989" s="35"/>
      <c r="H989" s="104"/>
      <c r="I989" s="35"/>
      <c r="J989" s="74"/>
      <c r="K989" s="74"/>
      <c r="L989" s="74"/>
      <c r="M989" s="74"/>
      <c r="N989" s="74"/>
      <c r="O989" s="74"/>
      <c r="P989" s="74"/>
      <c r="Q989" s="74"/>
      <c r="R989" s="74"/>
      <c r="S989" s="74"/>
      <c r="T989" s="74"/>
      <c r="U989" s="74"/>
      <c r="V989" s="74"/>
      <c r="W989" s="74"/>
      <c r="X989" s="74"/>
      <c r="Y989" s="74"/>
      <c r="Z989" s="74"/>
      <c r="AA989" s="74"/>
      <c r="AB989" s="74"/>
    </row>
    <row r="990" spans="1:28" ht="12" customHeight="1">
      <c r="A990" s="105"/>
      <c r="B990" s="106"/>
      <c r="C990" s="107"/>
      <c r="D990" s="108"/>
      <c r="E990" s="107"/>
      <c r="F990" s="107"/>
      <c r="G990" s="35"/>
      <c r="H990" s="104"/>
      <c r="I990" s="35"/>
      <c r="J990" s="74"/>
      <c r="K990" s="74"/>
      <c r="L990" s="74"/>
      <c r="M990" s="74"/>
      <c r="N990" s="74"/>
      <c r="O990" s="74"/>
      <c r="P990" s="74"/>
      <c r="Q990" s="74"/>
      <c r="R990" s="74"/>
      <c r="S990" s="74"/>
      <c r="T990" s="74"/>
      <c r="U990" s="74"/>
      <c r="V990" s="74"/>
      <c r="W990" s="74"/>
      <c r="X990" s="74"/>
      <c r="Y990" s="74"/>
      <c r="Z990" s="74"/>
      <c r="AA990" s="74"/>
      <c r="AB990" s="74"/>
    </row>
    <row r="991" spans="1:28" ht="12" customHeight="1">
      <c r="A991" s="105"/>
      <c r="B991" s="106"/>
      <c r="C991" s="107"/>
      <c r="D991" s="108"/>
      <c r="E991" s="107"/>
      <c r="F991" s="107"/>
      <c r="G991" s="35"/>
      <c r="H991" s="104"/>
      <c r="I991" s="35"/>
      <c r="J991" s="74"/>
      <c r="K991" s="74"/>
      <c r="L991" s="74"/>
      <c r="M991" s="74"/>
      <c r="N991" s="74"/>
      <c r="O991" s="74"/>
      <c r="P991" s="74"/>
      <c r="Q991" s="74"/>
      <c r="R991" s="74"/>
      <c r="S991" s="74"/>
      <c r="T991" s="74"/>
      <c r="U991" s="74"/>
      <c r="V991" s="74"/>
      <c r="W991" s="74"/>
      <c r="X991" s="74"/>
      <c r="Y991" s="74"/>
      <c r="Z991" s="74"/>
      <c r="AA991" s="74"/>
      <c r="AB991" s="74"/>
    </row>
    <row r="992" spans="1:28" ht="12" customHeight="1">
      <c r="A992" s="105"/>
      <c r="B992" s="106"/>
      <c r="C992" s="107"/>
      <c r="D992" s="108"/>
      <c r="E992" s="107"/>
      <c r="F992" s="107"/>
      <c r="G992" s="35"/>
      <c r="H992" s="104"/>
      <c r="I992" s="35"/>
      <c r="J992" s="74"/>
      <c r="K992" s="74"/>
      <c r="L992" s="74"/>
      <c r="M992" s="74"/>
      <c r="N992" s="74"/>
      <c r="O992" s="74"/>
      <c r="P992" s="74"/>
      <c r="Q992" s="74"/>
      <c r="R992" s="74"/>
      <c r="S992" s="74"/>
      <c r="T992" s="74"/>
      <c r="U992" s="74"/>
      <c r="V992" s="74"/>
      <c r="W992" s="74"/>
      <c r="X992" s="74"/>
      <c r="Y992" s="74"/>
      <c r="Z992" s="74"/>
      <c r="AA992" s="74"/>
      <c r="AB992" s="74"/>
    </row>
    <row r="993" spans="1:28" ht="12" customHeight="1">
      <c r="A993" s="105"/>
      <c r="B993" s="106"/>
      <c r="C993" s="107"/>
      <c r="D993" s="108"/>
      <c r="E993" s="107"/>
      <c r="F993" s="107"/>
      <c r="G993" s="35"/>
      <c r="H993" s="104"/>
      <c r="I993" s="35"/>
      <c r="J993" s="74"/>
      <c r="K993" s="74"/>
      <c r="L993" s="74"/>
      <c r="M993" s="74"/>
      <c r="N993" s="74"/>
      <c r="O993" s="74"/>
      <c r="P993" s="74"/>
      <c r="Q993" s="74"/>
      <c r="R993" s="74"/>
      <c r="S993" s="74"/>
      <c r="T993" s="74"/>
      <c r="U993" s="74"/>
      <c r="V993" s="74"/>
      <c r="W993" s="74"/>
      <c r="X993" s="74"/>
      <c r="Y993" s="74"/>
      <c r="Z993" s="74"/>
      <c r="AA993" s="74"/>
      <c r="AB993" s="74"/>
    </row>
    <row r="994" spans="1:28" ht="12" customHeight="1">
      <c r="A994" s="105"/>
      <c r="B994" s="106"/>
      <c r="C994" s="107"/>
      <c r="D994" s="108"/>
      <c r="E994" s="107"/>
      <c r="F994" s="107"/>
      <c r="G994" s="35"/>
      <c r="H994" s="104"/>
      <c r="I994" s="35"/>
      <c r="J994" s="74"/>
      <c r="K994" s="74"/>
      <c r="L994" s="74"/>
      <c r="M994" s="74"/>
      <c r="N994" s="74"/>
      <c r="O994" s="74"/>
      <c r="P994" s="74"/>
      <c r="Q994" s="74"/>
      <c r="R994" s="74"/>
      <c r="S994" s="74"/>
      <c r="T994" s="74"/>
      <c r="U994" s="74"/>
      <c r="V994" s="74"/>
      <c r="W994" s="74"/>
      <c r="X994" s="74"/>
      <c r="Y994" s="74"/>
      <c r="Z994" s="74"/>
      <c r="AA994" s="74"/>
      <c r="AB994" s="74"/>
    </row>
    <row r="995" spans="1:28" ht="12" customHeight="1">
      <c r="A995" s="105"/>
      <c r="B995" s="106"/>
      <c r="C995" s="107"/>
      <c r="D995" s="108"/>
      <c r="E995" s="107"/>
      <c r="F995" s="107"/>
      <c r="G995" s="35"/>
      <c r="H995" s="104"/>
      <c r="I995" s="35"/>
      <c r="J995" s="74"/>
      <c r="K995" s="74"/>
      <c r="L995" s="74"/>
      <c r="M995" s="74"/>
      <c r="N995" s="74"/>
      <c r="O995" s="74"/>
      <c r="P995" s="74"/>
      <c r="Q995" s="74"/>
      <c r="R995" s="74"/>
      <c r="S995" s="74"/>
      <c r="T995" s="74"/>
      <c r="U995" s="74"/>
      <c r="V995" s="74"/>
      <c r="W995" s="74"/>
      <c r="X995" s="74"/>
      <c r="Y995" s="74"/>
      <c r="Z995" s="74"/>
      <c r="AA995" s="74"/>
      <c r="AB995" s="74"/>
    </row>
    <row r="996" spans="1:28" ht="12" customHeight="1">
      <c r="A996" s="105"/>
      <c r="B996" s="106"/>
      <c r="C996" s="107"/>
      <c r="D996" s="108"/>
      <c r="E996" s="107"/>
      <c r="F996" s="107"/>
      <c r="G996" s="35"/>
      <c r="H996" s="104"/>
      <c r="I996" s="35"/>
      <c r="J996" s="74"/>
      <c r="K996" s="74"/>
      <c r="L996" s="74"/>
      <c r="M996" s="74"/>
      <c r="N996" s="74"/>
      <c r="O996" s="74"/>
      <c r="P996" s="74"/>
      <c r="Q996" s="74"/>
      <c r="R996" s="74"/>
      <c r="S996" s="74"/>
      <c r="T996" s="74"/>
      <c r="U996" s="74"/>
      <c r="V996" s="74"/>
      <c r="W996" s="74"/>
      <c r="X996" s="74"/>
      <c r="Y996" s="74"/>
      <c r="Z996" s="74"/>
      <c r="AA996" s="74"/>
      <c r="AB996" s="74"/>
    </row>
    <row r="997" spans="1:28" ht="12" customHeight="1">
      <c r="A997" s="105"/>
      <c r="B997" s="106"/>
      <c r="C997" s="107"/>
      <c r="D997" s="108"/>
      <c r="E997" s="107"/>
      <c r="F997" s="107"/>
      <c r="G997" s="35"/>
      <c r="H997" s="104"/>
      <c r="I997" s="35"/>
      <c r="J997" s="74"/>
      <c r="K997" s="74"/>
      <c r="L997" s="74"/>
      <c r="M997" s="74"/>
      <c r="N997" s="74"/>
      <c r="O997" s="74"/>
      <c r="P997" s="74"/>
      <c r="Q997" s="74"/>
      <c r="R997" s="74"/>
      <c r="S997" s="74"/>
      <c r="T997" s="74"/>
      <c r="U997" s="74"/>
      <c r="V997" s="74"/>
      <c r="W997" s="74"/>
      <c r="X997" s="74"/>
      <c r="Y997" s="74"/>
      <c r="Z997" s="74"/>
      <c r="AA997" s="74"/>
      <c r="AB997" s="74"/>
    </row>
    <row r="998" spans="1:28" ht="12" customHeight="1">
      <c r="A998" s="105"/>
      <c r="B998" s="106"/>
      <c r="C998" s="107"/>
      <c r="D998" s="108"/>
      <c r="E998" s="107"/>
      <c r="F998" s="107"/>
      <c r="G998" s="35"/>
      <c r="H998" s="104"/>
      <c r="I998" s="35"/>
      <c r="J998" s="74"/>
      <c r="K998" s="74"/>
      <c r="L998" s="74"/>
      <c r="M998" s="74"/>
      <c r="N998" s="74"/>
      <c r="O998" s="74"/>
      <c r="P998" s="74"/>
      <c r="Q998" s="74"/>
      <c r="R998" s="74"/>
      <c r="S998" s="74"/>
      <c r="T998" s="74"/>
      <c r="U998" s="74"/>
      <c r="V998" s="74"/>
      <c r="W998" s="74"/>
      <c r="X998" s="74"/>
      <c r="Y998" s="74"/>
      <c r="Z998" s="74"/>
      <c r="AA998" s="74"/>
      <c r="AB998" s="74"/>
    </row>
    <row r="999" spans="1:28" ht="12" customHeight="1">
      <c r="A999" s="105"/>
      <c r="B999" s="106"/>
      <c r="C999" s="107"/>
      <c r="D999" s="108"/>
      <c r="E999" s="107"/>
      <c r="F999" s="107"/>
      <c r="G999" s="35"/>
      <c r="H999" s="104"/>
      <c r="I999" s="35"/>
      <c r="J999" s="74"/>
      <c r="K999" s="74"/>
      <c r="L999" s="74"/>
      <c r="M999" s="74"/>
      <c r="N999" s="74"/>
      <c r="O999" s="74"/>
      <c r="P999" s="74"/>
      <c r="Q999" s="74"/>
      <c r="R999" s="74"/>
      <c r="S999" s="74"/>
      <c r="T999" s="74"/>
      <c r="U999" s="74"/>
      <c r="V999" s="74"/>
      <c r="W999" s="74"/>
      <c r="X999" s="74"/>
      <c r="Y999" s="74"/>
      <c r="Z999" s="74"/>
      <c r="AA999" s="74"/>
      <c r="AB999" s="74"/>
    </row>
    <row r="1000" spans="1:28" ht="12" customHeight="1">
      <c r="A1000" s="105"/>
      <c r="B1000" s="106"/>
      <c r="C1000" s="107"/>
      <c r="D1000" s="108"/>
      <c r="E1000" s="107"/>
      <c r="F1000" s="107"/>
      <c r="G1000" s="35"/>
      <c r="H1000" s="104"/>
      <c r="I1000" s="35"/>
      <c r="J1000" s="74"/>
      <c r="K1000" s="74"/>
      <c r="L1000" s="74"/>
      <c r="M1000" s="74"/>
      <c r="N1000" s="74"/>
      <c r="O1000" s="74"/>
      <c r="P1000" s="74"/>
      <c r="Q1000" s="74"/>
      <c r="R1000" s="74"/>
      <c r="S1000" s="74"/>
      <c r="T1000" s="74"/>
      <c r="U1000" s="74"/>
      <c r="V1000" s="74"/>
      <c r="W1000" s="74"/>
      <c r="X1000" s="74"/>
      <c r="Y1000" s="74"/>
      <c r="Z1000" s="74"/>
      <c r="AA1000" s="74"/>
      <c r="AB1000" s="74"/>
    </row>
    <row r="1001" spans="1:28" ht="12" customHeight="1">
      <c r="A1001" s="105"/>
      <c r="B1001" s="106"/>
      <c r="C1001" s="107"/>
      <c r="D1001" s="108"/>
      <c r="E1001" s="107"/>
      <c r="F1001" s="107"/>
      <c r="G1001" s="35"/>
      <c r="H1001" s="104"/>
      <c r="I1001" s="35"/>
      <c r="J1001" s="74"/>
      <c r="K1001" s="74"/>
      <c r="L1001" s="74"/>
      <c r="M1001" s="74"/>
      <c r="N1001" s="74"/>
      <c r="O1001" s="74"/>
      <c r="P1001" s="74"/>
      <c r="Q1001" s="74"/>
      <c r="R1001" s="74"/>
      <c r="S1001" s="74"/>
      <c r="T1001" s="74"/>
      <c r="U1001" s="74"/>
      <c r="V1001" s="74"/>
      <c r="W1001" s="74"/>
      <c r="X1001" s="74"/>
      <c r="Y1001" s="74"/>
      <c r="Z1001" s="74"/>
      <c r="AA1001" s="74"/>
      <c r="AB1001" s="74"/>
    </row>
    <row r="1002" spans="1:28" ht="12" customHeight="1">
      <c r="A1002" s="105"/>
      <c r="B1002" s="106"/>
      <c r="C1002" s="107"/>
      <c r="D1002" s="108"/>
      <c r="E1002" s="107"/>
      <c r="F1002" s="107"/>
      <c r="G1002" s="35"/>
      <c r="H1002" s="104"/>
      <c r="I1002" s="35"/>
      <c r="J1002" s="74"/>
      <c r="K1002" s="74"/>
      <c r="L1002" s="74"/>
      <c r="M1002" s="74"/>
      <c r="N1002" s="74"/>
      <c r="O1002" s="74"/>
      <c r="P1002" s="74"/>
      <c r="Q1002" s="74"/>
      <c r="R1002" s="74"/>
      <c r="S1002" s="74"/>
      <c r="T1002" s="74"/>
      <c r="U1002" s="74"/>
      <c r="V1002" s="74"/>
      <c r="W1002" s="74"/>
      <c r="X1002" s="74"/>
      <c r="Y1002" s="74"/>
      <c r="Z1002" s="74"/>
      <c r="AA1002" s="74"/>
      <c r="AB1002" s="74"/>
    </row>
    <row r="1003" spans="1:28" ht="12" customHeight="1">
      <c r="A1003" s="105"/>
      <c r="B1003" s="106"/>
      <c r="C1003" s="107"/>
      <c r="D1003" s="108"/>
      <c r="E1003" s="107"/>
      <c r="F1003" s="107"/>
      <c r="G1003" s="35"/>
      <c r="H1003" s="104"/>
      <c r="I1003" s="35"/>
      <c r="J1003" s="74"/>
      <c r="K1003" s="74"/>
      <c r="L1003" s="74"/>
      <c r="M1003" s="74"/>
      <c r="N1003" s="74"/>
      <c r="O1003" s="74"/>
      <c r="P1003" s="74"/>
      <c r="Q1003" s="74"/>
      <c r="R1003" s="74"/>
      <c r="S1003" s="74"/>
      <c r="T1003" s="74"/>
      <c r="U1003" s="74"/>
      <c r="V1003" s="74"/>
      <c r="W1003" s="74"/>
      <c r="X1003" s="74"/>
      <c r="Y1003" s="74"/>
      <c r="Z1003" s="74"/>
      <c r="AA1003" s="74"/>
      <c r="AB1003" s="74"/>
    </row>
    <row r="1004" spans="1:28" ht="12" customHeight="1">
      <c r="A1004" s="105"/>
      <c r="B1004" s="106"/>
      <c r="C1004" s="107"/>
      <c r="D1004" s="108"/>
      <c r="E1004" s="107"/>
      <c r="F1004" s="107"/>
      <c r="G1004" s="35"/>
      <c r="H1004" s="104"/>
      <c r="I1004" s="35"/>
      <c r="J1004" s="74"/>
      <c r="K1004" s="74"/>
      <c r="L1004" s="74"/>
      <c r="M1004" s="74"/>
      <c r="N1004" s="74"/>
      <c r="O1004" s="74"/>
      <c r="P1004" s="74"/>
      <c r="Q1004" s="74"/>
      <c r="R1004" s="74"/>
      <c r="S1004" s="74"/>
      <c r="T1004" s="74"/>
      <c r="U1004" s="74"/>
      <c r="V1004" s="74"/>
      <c r="W1004" s="74"/>
      <c r="X1004" s="74"/>
      <c r="Y1004" s="74"/>
      <c r="Z1004" s="74"/>
      <c r="AA1004" s="74"/>
      <c r="AB1004" s="74"/>
    </row>
    <row r="1005" spans="1:28" ht="12" customHeight="1">
      <c r="A1005" s="105"/>
      <c r="B1005" s="106"/>
      <c r="C1005" s="107"/>
      <c r="D1005" s="108"/>
      <c r="E1005" s="107"/>
      <c r="F1005" s="107"/>
      <c r="G1005" s="35"/>
      <c r="H1005" s="104"/>
      <c r="I1005" s="35"/>
      <c r="J1005" s="74"/>
      <c r="K1005" s="74"/>
      <c r="L1005" s="74"/>
      <c r="M1005" s="74"/>
      <c r="N1005" s="74"/>
      <c r="O1005" s="74"/>
      <c r="P1005" s="74"/>
      <c r="Q1005" s="74"/>
      <c r="R1005" s="74"/>
      <c r="S1005" s="74"/>
      <c r="T1005" s="74"/>
      <c r="U1005" s="74"/>
      <c r="V1005" s="74"/>
      <c r="W1005" s="74"/>
      <c r="X1005" s="74"/>
      <c r="Y1005" s="74"/>
      <c r="Z1005" s="74"/>
      <c r="AA1005" s="74"/>
      <c r="AB1005" s="74"/>
    </row>
    <row r="1006" spans="1:28" ht="12" customHeight="1">
      <c r="A1006" s="105"/>
      <c r="B1006" s="106"/>
      <c r="C1006" s="107"/>
      <c r="D1006" s="108"/>
      <c r="E1006" s="107"/>
      <c r="F1006" s="107"/>
      <c r="G1006" s="35"/>
      <c r="H1006" s="104"/>
      <c r="I1006" s="35"/>
      <c r="J1006" s="74"/>
      <c r="K1006" s="74"/>
      <c r="L1006" s="74"/>
      <c r="M1006" s="74"/>
      <c r="N1006" s="74"/>
      <c r="O1006" s="74"/>
      <c r="P1006" s="74"/>
      <c r="Q1006" s="74"/>
      <c r="R1006" s="74"/>
      <c r="S1006" s="74"/>
      <c r="T1006" s="74"/>
      <c r="U1006" s="74"/>
      <c r="V1006" s="74"/>
      <c r="W1006" s="74"/>
      <c r="X1006" s="74"/>
      <c r="Y1006" s="74"/>
      <c r="Z1006" s="74"/>
      <c r="AA1006" s="74"/>
      <c r="AB1006" s="74"/>
    </row>
    <row r="1007" spans="1:28" ht="12" customHeight="1">
      <c r="A1007" s="105"/>
      <c r="B1007" s="106"/>
      <c r="C1007" s="107"/>
      <c r="D1007" s="108"/>
      <c r="E1007" s="107"/>
      <c r="F1007" s="107"/>
      <c r="G1007" s="35"/>
      <c r="H1007" s="104"/>
      <c r="I1007" s="35"/>
      <c r="J1007" s="74"/>
      <c r="K1007" s="74"/>
      <c r="L1007" s="74"/>
      <c r="M1007" s="74"/>
      <c r="N1007" s="74"/>
      <c r="O1007" s="74"/>
      <c r="P1007" s="74"/>
      <c r="Q1007" s="74"/>
      <c r="R1007" s="74"/>
      <c r="S1007" s="74"/>
      <c r="T1007" s="74"/>
      <c r="U1007" s="74"/>
      <c r="V1007" s="74"/>
      <c r="W1007" s="74"/>
      <c r="X1007" s="74"/>
      <c r="Y1007" s="74"/>
      <c r="Z1007" s="74"/>
      <c r="AA1007" s="74"/>
      <c r="AB1007" s="74"/>
    </row>
    <row r="1008" spans="1:28" ht="12" customHeight="1">
      <c r="A1008" s="105"/>
      <c r="B1008" s="106"/>
      <c r="C1008" s="107"/>
      <c r="D1008" s="108"/>
      <c r="E1008" s="107"/>
      <c r="F1008" s="107"/>
      <c r="G1008" s="35"/>
      <c r="H1008" s="104"/>
      <c r="I1008" s="35"/>
      <c r="J1008" s="74"/>
      <c r="K1008" s="74"/>
      <c r="L1008" s="74"/>
      <c r="M1008" s="74"/>
      <c r="N1008" s="74"/>
      <c r="O1008" s="74"/>
      <c r="P1008" s="74"/>
      <c r="Q1008" s="74"/>
      <c r="R1008" s="74"/>
      <c r="S1008" s="74"/>
      <c r="T1008" s="74"/>
      <c r="U1008" s="74"/>
      <c r="V1008" s="74"/>
      <c r="W1008" s="74"/>
      <c r="X1008" s="74"/>
      <c r="Y1008" s="74"/>
      <c r="Z1008" s="74"/>
      <c r="AA1008" s="74"/>
      <c r="AB1008" s="74"/>
    </row>
    <row r="1009" spans="1:28" ht="12" customHeight="1">
      <c r="A1009" s="105"/>
      <c r="B1009" s="106"/>
      <c r="C1009" s="107"/>
      <c r="D1009" s="108"/>
      <c r="E1009" s="107"/>
      <c r="F1009" s="107"/>
      <c r="G1009" s="35"/>
      <c r="H1009" s="104"/>
      <c r="I1009" s="35"/>
      <c r="J1009" s="74"/>
      <c r="K1009" s="74"/>
      <c r="L1009" s="74"/>
      <c r="M1009" s="74"/>
      <c r="N1009" s="74"/>
      <c r="O1009" s="74"/>
      <c r="P1009" s="74"/>
      <c r="Q1009" s="74"/>
      <c r="R1009" s="74"/>
      <c r="S1009" s="74"/>
      <c r="T1009" s="74"/>
      <c r="U1009" s="74"/>
      <c r="V1009" s="74"/>
      <c r="W1009" s="74"/>
      <c r="X1009" s="74"/>
      <c r="Y1009" s="74"/>
      <c r="Z1009" s="74"/>
      <c r="AA1009" s="74"/>
      <c r="AB1009" s="74"/>
    </row>
    <row r="1010" spans="1:28" ht="12" customHeight="1">
      <c r="A1010" s="105"/>
      <c r="B1010" s="106"/>
      <c r="C1010" s="107"/>
      <c r="D1010" s="108"/>
      <c r="E1010" s="107"/>
      <c r="F1010" s="107"/>
      <c r="G1010" s="35"/>
      <c r="H1010" s="104"/>
      <c r="I1010" s="35"/>
      <c r="J1010" s="74"/>
      <c r="K1010" s="74"/>
      <c r="L1010" s="74"/>
      <c r="M1010" s="74"/>
      <c r="N1010" s="74"/>
      <c r="O1010" s="74"/>
      <c r="P1010" s="74"/>
      <c r="Q1010" s="74"/>
      <c r="R1010" s="74"/>
      <c r="S1010" s="74"/>
      <c r="T1010" s="74"/>
      <c r="U1010" s="74"/>
      <c r="V1010" s="74"/>
      <c r="W1010" s="74"/>
      <c r="X1010" s="74"/>
      <c r="Y1010" s="74"/>
      <c r="Z1010" s="74"/>
      <c r="AA1010" s="74"/>
      <c r="AB1010" s="74"/>
    </row>
    <row r="1011" spans="1:28" ht="12" customHeight="1">
      <c r="A1011" s="105"/>
      <c r="B1011" s="106"/>
      <c r="C1011" s="107"/>
      <c r="D1011" s="108"/>
      <c r="E1011" s="107"/>
      <c r="F1011" s="107"/>
      <c r="G1011" s="35"/>
      <c r="H1011" s="104"/>
      <c r="I1011" s="35"/>
      <c r="J1011" s="74"/>
      <c r="K1011" s="74"/>
      <c r="L1011" s="74"/>
      <c r="M1011" s="74"/>
      <c r="N1011" s="74"/>
      <c r="O1011" s="74"/>
      <c r="P1011" s="74"/>
      <c r="Q1011" s="74"/>
      <c r="R1011" s="74"/>
      <c r="S1011" s="74"/>
      <c r="T1011" s="74"/>
      <c r="U1011" s="74"/>
      <c r="V1011" s="74"/>
      <c r="W1011" s="74"/>
      <c r="X1011" s="74"/>
      <c r="Y1011" s="74"/>
      <c r="Z1011" s="74"/>
      <c r="AA1011" s="74"/>
      <c r="AB1011" s="74"/>
    </row>
    <row r="1012" spans="1:28" ht="12" customHeight="1">
      <c r="A1012" s="105"/>
      <c r="B1012" s="106"/>
      <c r="C1012" s="107"/>
      <c r="D1012" s="108"/>
      <c r="E1012" s="107"/>
      <c r="F1012" s="107"/>
      <c r="G1012" s="35"/>
      <c r="H1012" s="104"/>
      <c r="I1012" s="35"/>
      <c r="J1012" s="74"/>
      <c r="K1012" s="74"/>
      <c r="L1012" s="74"/>
      <c r="M1012" s="74"/>
      <c r="N1012" s="74"/>
      <c r="O1012" s="74"/>
      <c r="P1012" s="74"/>
      <c r="Q1012" s="74"/>
      <c r="R1012" s="74"/>
      <c r="S1012" s="74"/>
      <c r="T1012" s="74"/>
      <c r="U1012" s="74"/>
      <c r="V1012" s="74"/>
      <c r="W1012" s="74"/>
      <c r="X1012" s="74"/>
      <c r="Y1012" s="74"/>
      <c r="Z1012" s="74"/>
      <c r="AA1012" s="74"/>
      <c r="AB1012" s="74"/>
    </row>
    <row r="1013" spans="1:28" ht="12" customHeight="1">
      <c r="A1013" s="105"/>
      <c r="B1013" s="106"/>
      <c r="C1013" s="107"/>
      <c r="D1013" s="108"/>
      <c r="E1013" s="107"/>
      <c r="F1013" s="107"/>
      <c r="G1013" s="35"/>
      <c r="H1013" s="104"/>
      <c r="I1013" s="35"/>
      <c r="J1013" s="74"/>
      <c r="K1013" s="74"/>
      <c r="L1013" s="74"/>
      <c r="M1013" s="74"/>
      <c r="N1013" s="74"/>
      <c r="O1013" s="74"/>
      <c r="P1013" s="74"/>
      <c r="Q1013" s="74"/>
      <c r="R1013" s="74"/>
      <c r="S1013" s="74"/>
      <c r="T1013" s="74"/>
      <c r="U1013" s="74"/>
      <c r="V1013" s="74"/>
      <c r="W1013" s="74"/>
      <c r="X1013" s="74"/>
      <c r="Y1013" s="74"/>
      <c r="Z1013" s="74"/>
      <c r="AA1013" s="74"/>
      <c r="AB1013" s="74"/>
    </row>
    <row r="1014" spans="1:28" ht="12" customHeight="1">
      <c r="A1014" s="105"/>
      <c r="B1014" s="106"/>
      <c r="C1014" s="107"/>
      <c r="D1014" s="108"/>
      <c r="E1014" s="107"/>
      <c r="F1014" s="107"/>
      <c r="G1014" s="35"/>
      <c r="H1014" s="104"/>
      <c r="I1014" s="35"/>
      <c r="J1014" s="74"/>
      <c r="K1014" s="74"/>
      <c r="L1014" s="74"/>
      <c r="M1014" s="74"/>
      <c r="N1014" s="74"/>
      <c r="O1014" s="74"/>
      <c r="P1014" s="74"/>
      <c r="Q1014" s="74"/>
      <c r="R1014" s="74"/>
      <c r="S1014" s="74"/>
      <c r="T1014" s="74"/>
      <c r="U1014" s="74"/>
      <c r="V1014" s="74"/>
      <c r="W1014" s="74"/>
      <c r="X1014" s="74"/>
      <c r="Y1014" s="74"/>
      <c r="Z1014" s="74"/>
      <c r="AA1014" s="74"/>
      <c r="AB1014" s="74"/>
    </row>
    <row r="1015" spans="1:28" ht="12" customHeight="1">
      <c r="A1015" s="105"/>
      <c r="B1015" s="106"/>
      <c r="C1015" s="107"/>
      <c r="D1015" s="108"/>
      <c r="E1015" s="107"/>
      <c r="F1015" s="107"/>
      <c r="G1015" s="35"/>
      <c r="H1015" s="104"/>
      <c r="I1015" s="35"/>
      <c r="J1015" s="74"/>
      <c r="K1015" s="74"/>
      <c r="L1015" s="74"/>
      <c r="M1015" s="74"/>
      <c r="N1015" s="74"/>
      <c r="O1015" s="74"/>
      <c r="P1015" s="74"/>
      <c r="Q1015" s="74"/>
      <c r="R1015" s="74"/>
      <c r="S1015" s="74"/>
      <c r="T1015" s="74"/>
      <c r="U1015" s="74"/>
      <c r="V1015" s="74"/>
      <c r="W1015" s="74"/>
      <c r="X1015" s="74"/>
      <c r="Y1015" s="74"/>
      <c r="Z1015" s="74"/>
      <c r="AA1015" s="74"/>
      <c r="AB1015" s="74"/>
    </row>
    <row r="1016" spans="1:28" ht="12" customHeight="1">
      <c r="A1016" s="105"/>
      <c r="B1016" s="106"/>
      <c r="C1016" s="107"/>
      <c r="D1016" s="108"/>
      <c r="E1016" s="107"/>
      <c r="F1016" s="107"/>
      <c r="G1016" s="35"/>
      <c r="H1016" s="104"/>
      <c r="I1016" s="35"/>
      <c r="J1016" s="74"/>
      <c r="K1016" s="74"/>
      <c r="L1016" s="74"/>
      <c r="M1016" s="74"/>
      <c r="N1016" s="74"/>
      <c r="O1016" s="74"/>
      <c r="P1016" s="74"/>
      <c r="Q1016" s="74"/>
      <c r="R1016" s="74"/>
      <c r="S1016" s="74"/>
      <c r="T1016" s="74"/>
      <c r="U1016" s="74"/>
      <c r="V1016" s="74"/>
      <c r="W1016" s="74"/>
      <c r="X1016" s="74"/>
      <c r="Y1016" s="74"/>
      <c r="Z1016" s="74"/>
      <c r="AA1016" s="74"/>
      <c r="AB1016" s="74"/>
    </row>
    <row r="1017" spans="1:28" ht="12" customHeight="1">
      <c r="A1017" s="105"/>
      <c r="B1017" s="106"/>
      <c r="C1017" s="107"/>
      <c r="D1017" s="108"/>
      <c r="E1017" s="107"/>
      <c r="F1017" s="107"/>
      <c r="G1017" s="35"/>
      <c r="H1017" s="104"/>
      <c r="I1017" s="35"/>
      <c r="J1017" s="74"/>
      <c r="K1017" s="74"/>
      <c r="L1017" s="74"/>
      <c r="M1017" s="74"/>
      <c r="N1017" s="74"/>
      <c r="O1017" s="74"/>
      <c r="P1017" s="74"/>
      <c r="Q1017" s="74"/>
      <c r="R1017" s="74"/>
      <c r="S1017" s="74"/>
      <c r="T1017" s="74"/>
      <c r="U1017" s="74"/>
      <c r="V1017" s="74"/>
      <c r="W1017" s="74"/>
      <c r="X1017" s="74"/>
      <c r="Y1017" s="74"/>
      <c r="Z1017" s="74"/>
      <c r="AA1017" s="74"/>
      <c r="AB1017" s="74"/>
    </row>
    <row r="1018" spans="1:28" ht="12" customHeight="1">
      <c r="A1018" s="105"/>
      <c r="B1018" s="106"/>
      <c r="C1018" s="107"/>
      <c r="D1018" s="108"/>
      <c r="E1018" s="107"/>
      <c r="F1018" s="107"/>
      <c r="G1018" s="35"/>
      <c r="H1018" s="104"/>
      <c r="I1018" s="35"/>
      <c r="J1018" s="74"/>
      <c r="K1018" s="74"/>
      <c r="L1018" s="74"/>
      <c r="M1018" s="74"/>
      <c r="N1018" s="74"/>
      <c r="O1018" s="74"/>
      <c r="P1018" s="74"/>
      <c r="Q1018" s="74"/>
      <c r="R1018" s="74"/>
      <c r="S1018" s="74"/>
      <c r="T1018" s="74"/>
      <c r="U1018" s="74"/>
      <c r="V1018" s="74"/>
      <c r="W1018" s="74"/>
      <c r="X1018" s="74"/>
      <c r="Y1018" s="74"/>
      <c r="Z1018" s="74"/>
      <c r="AA1018" s="74"/>
      <c r="AB1018" s="74"/>
    </row>
    <row r="1019" spans="1:28" ht="12" customHeight="1">
      <c r="A1019" s="105"/>
      <c r="B1019" s="106"/>
      <c r="C1019" s="107"/>
      <c r="D1019" s="108"/>
      <c r="E1019" s="107"/>
      <c r="F1019" s="107"/>
      <c r="G1019" s="35"/>
      <c r="H1019" s="104"/>
      <c r="I1019" s="35"/>
      <c r="J1019" s="74"/>
      <c r="K1019" s="74"/>
      <c r="L1019" s="74"/>
      <c r="M1019" s="74"/>
      <c r="N1019" s="74"/>
      <c r="O1019" s="74"/>
      <c r="P1019" s="74"/>
      <c r="Q1019" s="74"/>
      <c r="R1019" s="74"/>
      <c r="S1019" s="74"/>
      <c r="T1019" s="74"/>
      <c r="U1019" s="74"/>
      <c r="V1019" s="74"/>
      <c r="W1019" s="74"/>
      <c r="X1019" s="74"/>
      <c r="Y1019" s="74"/>
      <c r="Z1019" s="74"/>
      <c r="AA1019" s="74"/>
      <c r="AB1019" s="74"/>
    </row>
    <row r="1020" spans="1:28" ht="12" customHeight="1">
      <c r="A1020" s="105"/>
      <c r="B1020" s="106"/>
      <c r="C1020" s="107"/>
      <c r="D1020" s="108"/>
      <c r="E1020" s="107"/>
      <c r="F1020" s="107"/>
      <c r="G1020" s="35"/>
      <c r="H1020" s="104"/>
      <c r="I1020" s="35"/>
      <c r="J1020" s="74"/>
      <c r="K1020" s="74"/>
      <c r="L1020" s="74"/>
      <c r="M1020" s="74"/>
      <c r="N1020" s="74"/>
      <c r="O1020" s="74"/>
      <c r="P1020" s="74"/>
      <c r="Q1020" s="74"/>
      <c r="R1020" s="74"/>
      <c r="S1020" s="74"/>
      <c r="T1020" s="74"/>
      <c r="U1020" s="74"/>
      <c r="V1020" s="74"/>
      <c r="W1020" s="74"/>
      <c r="X1020" s="74"/>
      <c r="Y1020" s="74"/>
      <c r="Z1020" s="74"/>
      <c r="AA1020" s="74"/>
      <c r="AB1020" s="74"/>
    </row>
    <row r="1021" spans="1:28" ht="12" customHeight="1">
      <c r="A1021" s="105"/>
      <c r="B1021" s="106"/>
      <c r="C1021" s="107"/>
      <c r="D1021" s="108"/>
      <c r="E1021" s="107"/>
      <c r="F1021" s="107"/>
      <c r="G1021" s="35"/>
      <c r="H1021" s="104"/>
      <c r="I1021" s="35"/>
      <c r="J1021" s="74"/>
      <c r="K1021" s="74"/>
      <c r="L1021" s="74"/>
      <c r="M1021" s="74"/>
      <c r="N1021" s="74"/>
      <c r="O1021" s="74"/>
      <c r="P1021" s="74"/>
      <c r="Q1021" s="74"/>
      <c r="R1021" s="74"/>
      <c r="S1021" s="74"/>
      <c r="T1021" s="74"/>
      <c r="U1021" s="74"/>
      <c r="V1021" s="74"/>
      <c r="W1021" s="74"/>
      <c r="X1021" s="74"/>
      <c r="Y1021" s="74"/>
      <c r="Z1021" s="74"/>
      <c r="AA1021" s="74"/>
      <c r="AB1021" s="74"/>
    </row>
    <row r="1022" spans="1:28" ht="12" customHeight="1">
      <c r="A1022" s="105"/>
      <c r="B1022" s="106"/>
      <c r="C1022" s="107"/>
      <c r="D1022" s="108"/>
      <c r="E1022" s="107"/>
      <c r="F1022" s="107"/>
      <c r="G1022" s="35"/>
      <c r="H1022" s="104"/>
      <c r="I1022" s="35"/>
      <c r="J1022" s="74"/>
      <c r="K1022" s="74"/>
      <c r="L1022" s="74"/>
      <c r="M1022" s="74"/>
      <c r="N1022" s="74"/>
      <c r="O1022" s="74"/>
      <c r="P1022" s="74"/>
      <c r="Q1022" s="74"/>
      <c r="R1022" s="74"/>
      <c r="S1022" s="74"/>
      <c r="T1022" s="74"/>
      <c r="U1022" s="74"/>
      <c r="V1022" s="74"/>
      <c r="W1022" s="74"/>
      <c r="X1022" s="74"/>
      <c r="Y1022" s="74"/>
      <c r="Z1022" s="74"/>
      <c r="AA1022" s="74"/>
      <c r="AB1022" s="74"/>
    </row>
    <row r="1023" spans="1:28" ht="12" customHeight="1">
      <c r="A1023" s="105"/>
      <c r="B1023" s="106"/>
      <c r="C1023" s="107"/>
      <c r="D1023" s="108"/>
      <c r="E1023" s="107"/>
      <c r="F1023" s="107"/>
      <c r="G1023" s="35"/>
      <c r="H1023" s="104"/>
      <c r="I1023" s="35"/>
      <c r="J1023" s="74"/>
      <c r="K1023" s="74"/>
      <c r="L1023" s="74"/>
      <c r="M1023" s="74"/>
      <c r="N1023" s="74"/>
      <c r="O1023" s="74"/>
      <c r="P1023" s="74"/>
      <c r="Q1023" s="74"/>
      <c r="R1023" s="74"/>
      <c r="S1023" s="74"/>
      <c r="T1023" s="74"/>
      <c r="U1023" s="74"/>
      <c r="V1023" s="74"/>
      <c r="W1023" s="74"/>
      <c r="X1023" s="74"/>
      <c r="Y1023" s="74"/>
      <c r="Z1023" s="74"/>
      <c r="AA1023" s="74"/>
      <c r="AB1023" s="74"/>
    </row>
    <row r="1024" spans="1:28" ht="12" customHeight="1">
      <c r="A1024" s="105"/>
      <c r="B1024" s="106"/>
      <c r="C1024" s="107"/>
      <c r="D1024" s="108"/>
      <c r="E1024" s="107"/>
      <c r="F1024" s="107"/>
      <c r="G1024" s="35"/>
      <c r="H1024" s="104"/>
      <c r="I1024" s="35"/>
      <c r="J1024" s="74"/>
      <c r="K1024" s="74"/>
      <c r="L1024" s="74"/>
      <c r="M1024" s="74"/>
      <c r="N1024" s="74"/>
      <c r="O1024" s="74"/>
      <c r="P1024" s="74"/>
      <c r="Q1024" s="74"/>
      <c r="R1024" s="74"/>
      <c r="S1024" s="74"/>
      <c r="T1024" s="74"/>
      <c r="U1024" s="74"/>
      <c r="V1024" s="74"/>
      <c r="W1024" s="74"/>
      <c r="X1024" s="74"/>
      <c r="Y1024" s="74"/>
      <c r="Z1024" s="74"/>
      <c r="AA1024" s="74"/>
      <c r="AB1024" s="74"/>
    </row>
    <row r="1025" spans="1:28" ht="12" customHeight="1">
      <c r="A1025" s="105"/>
      <c r="B1025" s="106"/>
      <c r="C1025" s="107"/>
      <c r="D1025" s="108"/>
      <c r="E1025" s="107"/>
      <c r="F1025" s="107"/>
      <c r="G1025" s="35"/>
      <c r="H1025" s="104"/>
      <c r="I1025" s="35"/>
      <c r="J1025" s="74"/>
      <c r="K1025" s="74"/>
      <c r="L1025" s="74"/>
      <c r="M1025" s="74"/>
      <c r="N1025" s="74"/>
      <c r="O1025" s="74"/>
      <c r="P1025" s="74"/>
      <c r="Q1025" s="74"/>
      <c r="R1025" s="74"/>
      <c r="S1025" s="74"/>
      <c r="T1025" s="74"/>
      <c r="U1025" s="74"/>
      <c r="V1025" s="74"/>
      <c r="W1025" s="74"/>
      <c r="X1025" s="74"/>
      <c r="Y1025" s="74"/>
      <c r="Z1025" s="74"/>
      <c r="AA1025" s="74"/>
      <c r="AB1025" s="74"/>
    </row>
    <row r="1026" spans="1:28" ht="12" customHeight="1">
      <c r="A1026" s="105"/>
      <c r="B1026" s="106"/>
      <c r="C1026" s="107"/>
      <c r="D1026" s="108"/>
      <c r="E1026" s="107"/>
      <c r="F1026" s="107"/>
      <c r="G1026" s="35"/>
      <c r="H1026" s="104"/>
      <c r="I1026" s="35"/>
      <c r="J1026" s="74"/>
      <c r="K1026" s="74"/>
      <c r="L1026" s="74"/>
      <c r="M1026" s="74"/>
      <c r="N1026" s="74"/>
      <c r="O1026" s="74"/>
      <c r="P1026" s="74"/>
      <c r="Q1026" s="74"/>
      <c r="R1026" s="74"/>
      <c r="S1026" s="74"/>
      <c r="T1026" s="74"/>
      <c r="U1026" s="74"/>
      <c r="V1026" s="74"/>
      <c r="W1026" s="74"/>
      <c r="X1026" s="74"/>
      <c r="Y1026" s="74"/>
      <c r="Z1026" s="74"/>
      <c r="AA1026" s="74"/>
      <c r="AB1026" s="74"/>
    </row>
    <row r="1027" spans="1:28" ht="12" customHeight="1">
      <c r="A1027" s="105"/>
      <c r="B1027" s="106"/>
      <c r="C1027" s="107"/>
      <c r="D1027" s="108"/>
      <c r="E1027" s="107"/>
      <c r="F1027" s="107"/>
      <c r="G1027" s="35"/>
      <c r="H1027" s="104"/>
      <c r="I1027" s="35"/>
      <c r="J1027" s="74"/>
      <c r="K1027" s="74"/>
      <c r="L1027" s="74"/>
      <c r="M1027" s="74"/>
      <c r="N1027" s="74"/>
      <c r="O1027" s="74"/>
      <c r="P1027" s="74"/>
      <c r="Q1027" s="74"/>
      <c r="R1027" s="74"/>
      <c r="S1027" s="74"/>
      <c r="T1027" s="74"/>
      <c r="U1027" s="74"/>
      <c r="V1027" s="74"/>
      <c r="W1027" s="74"/>
      <c r="X1027" s="74"/>
      <c r="Y1027" s="74"/>
      <c r="Z1027" s="74"/>
      <c r="AA1027" s="74"/>
      <c r="AB1027" s="74"/>
    </row>
    <row r="1028" spans="1:28" ht="12" customHeight="1">
      <c r="A1028" s="105"/>
      <c r="B1028" s="106"/>
      <c r="C1028" s="107"/>
      <c r="D1028" s="108"/>
      <c r="E1028" s="107"/>
      <c r="F1028" s="107"/>
      <c r="G1028" s="35"/>
      <c r="H1028" s="104"/>
      <c r="I1028" s="35"/>
      <c r="J1028" s="74"/>
      <c r="K1028" s="74"/>
      <c r="L1028" s="74"/>
      <c r="M1028" s="74"/>
      <c r="N1028" s="74"/>
      <c r="O1028" s="74"/>
      <c r="P1028" s="74"/>
      <c r="Q1028" s="74"/>
      <c r="R1028" s="74"/>
      <c r="S1028" s="74"/>
      <c r="T1028" s="74"/>
      <c r="U1028" s="74"/>
      <c r="V1028" s="74"/>
      <c r="W1028" s="74"/>
      <c r="X1028" s="74"/>
      <c r="Y1028" s="74"/>
      <c r="Z1028" s="74"/>
      <c r="AA1028" s="74"/>
      <c r="AB1028" s="74"/>
    </row>
    <row r="1029" spans="1:28" ht="12" customHeight="1">
      <c r="A1029" s="105"/>
      <c r="B1029" s="106"/>
      <c r="C1029" s="107"/>
      <c r="D1029" s="108"/>
      <c r="E1029" s="107"/>
      <c r="F1029" s="107"/>
      <c r="G1029" s="35"/>
      <c r="H1029" s="104"/>
      <c r="I1029" s="35"/>
      <c r="J1029" s="74"/>
      <c r="K1029" s="74"/>
      <c r="L1029" s="74"/>
      <c r="M1029" s="74"/>
      <c r="N1029" s="74"/>
      <c r="O1029" s="74"/>
      <c r="P1029" s="74"/>
      <c r="Q1029" s="74"/>
      <c r="R1029" s="74"/>
      <c r="S1029" s="74"/>
      <c r="T1029" s="74"/>
      <c r="U1029" s="74"/>
      <c r="V1029" s="74"/>
      <c r="W1029" s="74"/>
      <c r="X1029" s="74"/>
      <c r="Y1029" s="74"/>
      <c r="Z1029" s="74"/>
      <c r="AA1029" s="74"/>
      <c r="AB1029" s="74"/>
    </row>
    <row r="1030" spans="1:28" ht="12" customHeight="1">
      <c r="A1030" s="105"/>
      <c r="B1030" s="106"/>
      <c r="C1030" s="107"/>
      <c r="D1030" s="108"/>
      <c r="E1030" s="107"/>
      <c r="F1030" s="107"/>
      <c r="G1030" s="35"/>
      <c r="H1030" s="104"/>
      <c r="I1030" s="35"/>
      <c r="J1030" s="74"/>
      <c r="K1030" s="74"/>
      <c r="L1030" s="74"/>
      <c r="M1030" s="74"/>
      <c r="N1030" s="74"/>
      <c r="O1030" s="74"/>
      <c r="P1030" s="74"/>
      <c r="Q1030" s="74"/>
      <c r="R1030" s="74"/>
      <c r="S1030" s="74"/>
      <c r="T1030" s="74"/>
      <c r="U1030" s="74"/>
      <c r="V1030" s="74"/>
      <c r="W1030" s="74"/>
      <c r="X1030" s="74"/>
      <c r="Y1030" s="74"/>
      <c r="Z1030" s="74"/>
      <c r="AA1030" s="74"/>
      <c r="AB1030" s="74"/>
    </row>
    <row r="1031" spans="1:28" ht="12" customHeight="1">
      <c r="A1031" s="105"/>
      <c r="B1031" s="106"/>
      <c r="C1031" s="107"/>
      <c r="D1031" s="108"/>
      <c r="E1031" s="107"/>
      <c r="F1031" s="107"/>
      <c r="G1031" s="35"/>
      <c r="H1031" s="104"/>
      <c r="I1031" s="35"/>
      <c r="J1031" s="74"/>
      <c r="K1031" s="74"/>
      <c r="L1031" s="74"/>
      <c r="M1031" s="74"/>
      <c r="N1031" s="74"/>
      <c r="O1031" s="74"/>
      <c r="P1031" s="74"/>
      <c r="Q1031" s="74"/>
      <c r="R1031" s="74"/>
      <c r="S1031" s="74"/>
      <c r="T1031" s="74"/>
      <c r="U1031" s="74"/>
      <c r="V1031" s="74"/>
      <c r="W1031" s="74"/>
      <c r="X1031" s="74"/>
      <c r="Y1031" s="74"/>
      <c r="Z1031" s="74"/>
      <c r="AA1031" s="74"/>
      <c r="AB1031" s="74"/>
    </row>
    <row r="1032" spans="1:28" ht="12" customHeight="1">
      <c r="A1032" s="105"/>
      <c r="B1032" s="106"/>
      <c r="C1032" s="107"/>
      <c r="D1032" s="108"/>
      <c r="E1032" s="107"/>
      <c r="F1032" s="107"/>
      <c r="G1032" s="35"/>
      <c r="H1032" s="104"/>
      <c r="I1032" s="35"/>
      <c r="J1032" s="74"/>
      <c r="K1032" s="74"/>
      <c r="L1032" s="74"/>
      <c r="M1032" s="74"/>
      <c r="N1032" s="74"/>
      <c r="O1032" s="74"/>
      <c r="P1032" s="74"/>
      <c r="Q1032" s="74"/>
      <c r="R1032" s="74"/>
      <c r="S1032" s="74"/>
      <c r="T1032" s="74"/>
      <c r="U1032" s="74"/>
      <c r="V1032" s="74"/>
      <c r="W1032" s="74"/>
      <c r="X1032" s="74"/>
      <c r="Y1032" s="74"/>
      <c r="Z1032" s="74"/>
      <c r="AA1032" s="74"/>
      <c r="AB1032" s="74"/>
    </row>
    <row r="1033" spans="1:28" ht="12" customHeight="1">
      <c r="A1033" s="105"/>
      <c r="B1033" s="106"/>
      <c r="C1033" s="107"/>
      <c r="D1033" s="108"/>
      <c r="E1033" s="107"/>
      <c r="F1033" s="107"/>
      <c r="G1033" s="35"/>
      <c r="H1033" s="104"/>
      <c r="I1033" s="35"/>
      <c r="J1033" s="74"/>
      <c r="K1033" s="74"/>
      <c r="L1033" s="74"/>
      <c r="M1033" s="74"/>
      <c r="N1033" s="74"/>
      <c r="O1033" s="74"/>
      <c r="P1033" s="74"/>
      <c r="Q1033" s="74"/>
      <c r="R1033" s="74"/>
      <c r="S1033" s="74"/>
      <c r="T1033" s="74"/>
      <c r="U1033" s="74"/>
      <c r="V1033" s="74"/>
      <c r="W1033" s="74"/>
      <c r="X1033" s="74"/>
      <c r="Y1033" s="74"/>
      <c r="Z1033" s="74"/>
      <c r="AA1033" s="74"/>
      <c r="AB1033" s="74"/>
    </row>
    <row r="1034" spans="1:28" ht="12" customHeight="1">
      <c r="A1034" s="105"/>
      <c r="B1034" s="106"/>
      <c r="C1034" s="107"/>
      <c r="D1034" s="108"/>
      <c r="E1034" s="107"/>
      <c r="F1034" s="107"/>
      <c r="G1034" s="35"/>
      <c r="H1034" s="104"/>
      <c r="I1034" s="35"/>
      <c r="J1034" s="74"/>
      <c r="K1034" s="74"/>
      <c r="L1034" s="74"/>
      <c r="M1034" s="74"/>
      <c r="N1034" s="74"/>
      <c r="O1034" s="74"/>
      <c r="P1034" s="74"/>
      <c r="Q1034" s="74"/>
      <c r="R1034" s="74"/>
      <c r="S1034" s="74"/>
      <c r="T1034" s="74"/>
      <c r="U1034" s="74"/>
      <c r="V1034" s="74"/>
      <c r="W1034" s="74"/>
      <c r="X1034" s="74"/>
      <c r="Y1034" s="74"/>
      <c r="Z1034" s="74"/>
      <c r="AA1034" s="74"/>
      <c r="AB1034" s="74"/>
    </row>
    <row r="1035" spans="1:28" ht="12" customHeight="1">
      <c r="A1035" s="105"/>
      <c r="B1035" s="106"/>
      <c r="C1035" s="107"/>
      <c r="D1035" s="108"/>
      <c r="E1035" s="107"/>
      <c r="F1035" s="107"/>
      <c r="G1035" s="35"/>
      <c r="H1035" s="104"/>
      <c r="I1035" s="35"/>
      <c r="J1035" s="74"/>
      <c r="K1035" s="74"/>
      <c r="L1035" s="74"/>
      <c r="M1035" s="74"/>
      <c r="N1035" s="74"/>
      <c r="O1035" s="74"/>
      <c r="P1035" s="74"/>
      <c r="Q1035" s="74"/>
      <c r="R1035" s="74"/>
      <c r="S1035" s="74"/>
      <c r="T1035" s="74"/>
      <c r="U1035" s="74"/>
      <c r="V1035" s="74"/>
      <c r="W1035" s="74"/>
      <c r="X1035" s="74"/>
      <c r="Y1035" s="74"/>
      <c r="Z1035" s="74"/>
      <c r="AA1035" s="74"/>
      <c r="AB1035" s="74"/>
    </row>
    <row r="1036" spans="1:28" ht="12" customHeight="1">
      <c r="A1036" s="105"/>
      <c r="B1036" s="106"/>
      <c r="C1036" s="107"/>
      <c r="D1036" s="108"/>
      <c r="E1036" s="107"/>
      <c r="F1036" s="107"/>
      <c r="G1036" s="35"/>
      <c r="H1036" s="104"/>
      <c r="I1036" s="35"/>
      <c r="J1036" s="74"/>
      <c r="K1036" s="74"/>
      <c r="L1036" s="74"/>
      <c r="M1036" s="74"/>
      <c r="N1036" s="74"/>
      <c r="O1036" s="74"/>
      <c r="P1036" s="74"/>
      <c r="Q1036" s="74"/>
      <c r="R1036" s="74"/>
      <c r="S1036" s="74"/>
      <c r="T1036" s="74"/>
      <c r="U1036" s="74"/>
      <c r="V1036" s="74"/>
      <c r="W1036" s="74"/>
      <c r="X1036" s="74"/>
      <c r="Y1036" s="74"/>
      <c r="Z1036" s="74"/>
      <c r="AA1036" s="74"/>
      <c r="AB1036" s="74"/>
    </row>
    <row r="1037" spans="1:28" ht="12" customHeight="1">
      <c r="A1037" s="105"/>
      <c r="B1037" s="106"/>
      <c r="C1037" s="107"/>
      <c r="D1037" s="108"/>
      <c r="E1037" s="107"/>
      <c r="F1037" s="107"/>
      <c r="G1037" s="35"/>
      <c r="H1037" s="104"/>
      <c r="I1037" s="35"/>
      <c r="J1037" s="74"/>
      <c r="K1037" s="74"/>
      <c r="L1037" s="74"/>
      <c r="M1037" s="74"/>
      <c r="N1037" s="74"/>
      <c r="O1037" s="74"/>
      <c r="P1037" s="74"/>
      <c r="Q1037" s="74"/>
      <c r="R1037" s="74"/>
      <c r="S1037" s="74"/>
      <c r="T1037" s="74"/>
      <c r="U1037" s="74"/>
      <c r="V1037" s="74"/>
      <c r="W1037" s="74"/>
      <c r="X1037" s="74"/>
      <c r="Y1037" s="74"/>
      <c r="Z1037" s="74"/>
      <c r="AA1037" s="74"/>
      <c r="AB1037" s="74"/>
    </row>
    <row r="1038" spans="1:28" ht="12" customHeight="1">
      <c r="A1038" s="105"/>
      <c r="B1038" s="106"/>
      <c r="C1038" s="107"/>
      <c r="D1038" s="108"/>
      <c r="E1038" s="107"/>
      <c r="F1038" s="107"/>
      <c r="G1038" s="35"/>
      <c r="H1038" s="104"/>
      <c r="I1038" s="35"/>
      <c r="J1038" s="74"/>
      <c r="K1038" s="74"/>
      <c r="L1038" s="74"/>
      <c r="M1038" s="74"/>
      <c r="N1038" s="74"/>
      <c r="O1038" s="74"/>
      <c r="P1038" s="74"/>
      <c r="Q1038" s="74"/>
      <c r="R1038" s="74"/>
      <c r="S1038" s="74"/>
      <c r="T1038" s="74"/>
      <c r="U1038" s="74"/>
      <c r="V1038" s="74"/>
      <c r="W1038" s="74"/>
      <c r="X1038" s="74"/>
      <c r="Y1038" s="74"/>
      <c r="Z1038" s="74"/>
      <c r="AA1038" s="74"/>
      <c r="AB1038" s="74"/>
    </row>
    <row r="1039" spans="1:28" ht="12" customHeight="1">
      <c r="A1039" s="105"/>
      <c r="B1039" s="106"/>
      <c r="C1039" s="107"/>
      <c r="D1039" s="108"/>
      <c r="E1039" s="107"/>
      <c r="F1039" s="107"/>
      <c r="G1039" s="35"/>
      <c r="H1039" s="104"/>
      <c r="I1039" s="35"/>
      <c r="J1039" s="74"/>
      <c r="K1039" s="74"/>
      <c r="L1039" s="74"/>
      <c r="M1039" s="74"/>
      <c r="N1039" s="74"/>
      <c r="O1039" s="74"/>
      <c r="P1039" s="74"/>
      <c r="Q1039" s="74"/>
      <c r="R1039" s="74"/>
      <c r="S1039" s="74"/>
      <c r="T1039" s="74"/>
      <c r="U1039" s="74"/>
      <c r="V1039" s="74"/>
      <c r="W1039" s="74"/>
      <c r="X1039" s="74"/>
      <c r="Y1039" s="74"/>
      <c r="Z1039" s="74"/>
      <c r="AA1039" s="74"/>
      <c r="AB1039" s="74"/>
    </row>
    <row r="1040" spans="1:28" ht="12" customHeight="1">
      <c r="A1040" s="105"/>
      <c r="B1040" s="106"/>
      <c r="C1040" s="107"/>
      <c r="D1040" s="108"/>
      <c r="E1040" s="107"/>
      <c r="F1040" s="107"/>
      <c r="G1040" s="35"/>
      <c r="H1040" s="104"/>
      <c r="I1040" s="35"/>
      <c r="J1040" s="74"/>
      <c r="K1040" s="74"/>
      <c r="L1040" s="74"/>
      <c r="M1040" s="74"/>
      <c r="N1040" s="74"/>
      <c r="O1040" s="74"/>
      <c r="P1040" s="74"/>
      <c r="Q1040" s="74"/>
      <c r="R1040" s="74"/>
      <c r="S1040" s="74"/>
      <c r="T1040" s="74"/>
      <c r="U1040" s="74"/>
      <c r="V1040" s="74"/>
      <c r="W1040" s="74"/>
      <c r="X1040" s="74"/>
      <c r="Y1040" s="74"/>
      <c r="Z1040" s="74"/>
      <c r="AA1040" s="74"/>
      <c r="AB1040" s="74"/>
    </row>
    <row r="1041" spans="1:28" ht="12" customHeight="1">
      <c r="A1041" s="105"/>
      <c r="B1041" s="106"/>
      <c r="C1041" s="107"/>
      <c r="D1041" s="108"/>
      <c r="E1041" s="107"/>
      <c r="F1041" s="107"/>
      <c r="G1041" s="35"/>
      <c r="H1041" s="104"/>
      <c r="I1041" s="35"/>
      <c r="J1041" s="74"/>
      <c r="K1041" s="74"/>
      <c r="L1041" s="74"/>
      <c r="M1041" s="74"/>
      <c r="N1041" s="74"/>
      <c r="O1041" s="74"/>
      <c r="P1041" s="74"/>
      <c r="Q1041" s="74"/>
      <c r="R1041" s="74"/>
      <c r="S1041" s="74"/>
      <c r="T1041" s="74"/>
      <c r="U1041" s="74"/>
      <c r="V1041" s="74"/>
      <c r="W1041" s="74"/>
      <c r="X1041" s="74"/>
      <c r="Y1041" s="74"/>
      <c r="Z1041" s="74"/>
      <c r="AA1041" s="74"/>
      <c r="AB1041" s="74"/>
    </row>
    <row r="1042" spans="1:28" ht="12" customHeight="1">
      <c r="A1042" s="105"/>
      <c r="B1042" s="106"/>
      <c r="C1042" s="107"/>
      <c r="D1042" s="108"/>
      <c r="E1042" s="107"/>
      <c r="F1042" s="107"/>
      <c r="G1042" s="35"/>
      <c r="H1042" s="104"/>
      <c r="I1042" s="35"/>
      <c r="J1042" s="74"/>
      <c r="K1042" s="74"/>
      <c r="L1042" s="74"/>
      <c r="M1042" s="74"/>
      <c r="N1042" s="74"/>
      <c r="O1042" s="74"/>
      <c r="P1042" s="74"/>
      <c r="Q1042" s="74"/>
      <c r="R1042" s="74"/>
      <c r="S1042" s="74"/>
      <c r="T1042" s="74"/>
      <c r="U1042" s="74"/>
      <c r="V1042" s="74"/>
      <c r="W1042" s="74"/>
      <c r="X1042" s="74"/>
      <c r="Y1042" s="74"/>
      <c r="Z1042" s="74"/>
      <c r="AA1042" s="74"/>
      <c r="AB1042" s="74"/>
    </row>
    <row r="1043" spans="1:28" ht="12" customHeight="1">
      <c r="A1043" s="105"/>
      <c r="B1043" s="106"/>
      <c r="C1043" s="107"/>
      <c r="D1043" s="108"/>
      <c r="E1043" s="107"/>
      <c r="F1043" s="107"/>
      <c r="G1043" s="35"/>
      <c r="H1043" s="104"/>
      <c r="I1043" s="35"/>
      <c r="J1043" s="74"/>
      <c r="K1043" s="74"/>
      <c r="L1043" s="74"/>
      <c r="M1043" s="74"/>
      <c r="N1043" s="74"/>
      <c r="O1043" s="74"/>
      <c r="P1043" s="74"/>
      <c r="Q1043" s="74"/>
      <c r="R1043" s="74"/>
      <c r="S1043" s="74"/>
      <c r="T1043" s="74"/>
      <c r="U1043" s="74"/>
      <c r="V1043" s="74"/>
      <c r="W1043" s="74"/>
      <c r="X1043" s="74"/>
      <c r="Y1043" s="74"/>
      <c r="Z1043" s="74"/>
      <c r="AA1043" s="74"/>
      <c r="AB1043" s="74"/>
    </row>
    <row r="1044" spans="1:28" ht="12" customHeight="1">
      <c r="A1044" s="105"/>
      <c r="B1044" s="106"/>
      <c r="C1044" s="107"/>
      <c r="D1044" s="108"/>
      <c r="E1044" s="107"/>
      <c r="F1044" s="107"/>
      <c r="G1044" s="35"/>
      <c r="H1044" s="104"/>
      <c r="I1044" s="35"/>
      <c r="J1044" s="74"/>
      <c r="K1044" s="74"/>
      <c r="L1044" s="74"/>
      <c r="M1044" s="74"/>
      <c r="N1044" s="74"/>
      <c r="O1044" s="74"/>
      <c r="P1044" s="74"/>
      <c r="Q1044" s="74"/>
      <c r="R1044" s="74"/>
      <c r="S1044" s="74"/>
      <c r="T1044" s="74"/>
      <c r="U1044" s="74"/>
      <c r="V1044" s="74"/>
      <c r="W1044" s="74"/>
      <c r="X1044" s="74"/>
      <c r="Y1044" s="74"/>
      <c r="Z1044" s="74"/>
      <c r="AA1044" s="74"/>
      <c r="AB1044" s="74"/>
    </row>
    <row r="1045" spans="1:28" ht="12" customHeight="1">
      <c r="A1045" s="105"/>
      <c r="B1045" s="106"/>
      <c r="C1045" s="107"/>
      <c r="D1045" s="108"/>
      <c r="E1045" s="107"/>
      <c r="F1045" s="107"/>
      <c r="G1045" s="35"/>
      <c r="H1045" s="104"/>
      <c r="I1045" s="35"/>
      <c r="J1045" s="74"/>
      <c r="K1045" s="74"/>
      <c r="L1045" s="74"/>
      <c r="M1045" s="74"/>
      <c r="N1045" s="74"/>
      <c r="O1045" s="74"/>
      <c r="P1045" s="74"/>
      <c r="Q1045" s="74"/>
      <c r="R1045" s="74"/>
      <c r="S1045" s="74"/>
      <c r="T1045" s="74"/>
      <c r="U1045" s="74"/>
      <c r="V1045" s="74"/>
      <c r="W1045" s="74"/>
      <c r="X1045" s="74"/>
      <c r="Y1045" s="74"/>
      <c r="Z1045" s="74"/>
      <c r="AA1045" s="74"/>
      <c r="AB1045" s="74"/>
    </row>
    <row r="1046" spans="1:28" ht="12" customHeight="1">
      <c r="A1046" s="105"/>
      <c r="B1046" s="106"/>
      <c r="C1046" s="107"/>
      <c r="D1046" s="108"/>
      <c r="E1046" s="107"/>
      <c r="F1046" s="107"/>
      <c r="G1046" s="35"/>
      <c r="H1046" s="104"/>
      <c r="I1046" s="35"/>
      <c r="J1046" s="74"/>
      <c r="K1046" s="74"/>
      <c r="L1046" s="74"/>
      <c r="M1046" s="74"/>
      <c r="N1046" s="74"/>
      <c r="O1046" s="74"/>
      <c r="P1046" s="74"/>
      <c r="Q1046" s="74"/>
      <c r="R1046" s="74"/>
      <c r="S1046" s="74"/>
      <c r="T1046" s="74"/>
      <c r="U1046" s="74"/>
      <c r="V1046" s="74"/>
      <c r="W1046" s="74"/>
      <c r="X1046" s="74"/>
      <c r="Y1046" s="74"/>
      <c r="Z1046" s="74"/>
      <c r="AA1046" s="74"/>
      <c r="AB1046" s="74"/>
    </row>
    <row r="1047" spans="1:28" ht="12" customHeight="1">
      <c r="A1047" s="105"/>
      <c r="B1047" s="106"/>
      <c r="C1047" s="107"/>
      <c r="D1047" s="108"/>
      <c r="E1047" s="107"/>
      <c r="F1047" s="107"/>
      <c r="G1047" s="35"/>
      <c r="H1047" s="104"/>
      <c r="I1047" s="35"/>
      <c r="J1047" s="74"/>
      <c r="K1047" s="74"/>
      <c r="L1047" s="74"/>
      <c r="M1047" s="74"/>
      <c r="N1047" s="74"/>
      <c r="O1047" s="74"/>
      <c r="P1047" s="74"/>
      <c r="Q1047" s="74"/>
      <c r="R1047" s="74"/>
      <c r="S1047" s="74"/>
      <c r="T1047" s="74"/>
      <c r="U1047" s="74"/>
      <c r="V1047" s="74"/>
      <c r="W1047" s="74"/>
      <c r="X1047" s="74"/>
      <c r="Y1047" s="74"/>
      <c r="Z1047" s="74"/>
      <c r="AA1047" s="74"/>
      <c r="AB1047" s="74"/>
    </row>
    <row r="1048" spans="1:28" ht="12" customHeight="1">
      <c r="A1048" s="105"/>
      <c r="B1048" s="106"/>
      <c r="C1048" s="107"/>
      <c r="D1048" s="108"/>
      <c r="E1048" s="107"/>
      <c r="F1048" s="107"/>
      <c r="G1048" s="35"/>
      <c r="H1048" s="104"/>
      <c r="I1048" s="35"/>
      <c r="J1048" s="74"/>
      <c r="K1048" s="74"/>
      <c r="L1048" s="74"/>
      <c r="M1048" s="74"/>
      <c r="N1048" s="74"/>
      <c r="O1048" s="74"/>
      <c r="P1048" s="74"/>
      <c r="Q1048" s="74"/>
      <c r="R1048" s="74"/>
      <c r="S1048" s="74"/>
      <c r="T1048" s="74"/>
      <c r="U1048" s="74"/>
      <c r="V1048" s="74"/>
      <c r="W1048" s="74"/>
      <c r="X1048" s="74"/>
      <c r="Y1048" s="74"/>
      <c r="Z1048" s="74"/>
      <c r="AA1048" s="74"/>
      <c r="AB1048" s="74"/>
    </row>
    <row r="1049" spans="1:28" ht="12" customHeight="1">
      <c r="A1049" s="105"/>
      <c r="B1049" s="106"/>
      <c r="C1049" s="107"/>
      <c r="D1049" s="108"/>
      <c r="E1049" s="107"/>
      <c r="F1049" s="107"/>
      <c r="G1049" s="35"/>
      <c r="H1049" s="104"/>
      <c r="I1049" s="35"/>
      <c r="J1049" s="74"/>
      <c r="K1049" s="74"/>
      <c r="L1049" s="74"/>
      <c r="M1049" s="74"/>
      <c r="N1049" s="74"/>
      <c r="O1049" s="74"/>
      <c r="P1049" s="74"/>
      <c r="Q1049" s="74"/>
      <c r="R1049" s="74"/>
      <c r="S1049" s="74"/>
      <c r="T1049" s="74"/>
      <c r="U1049" s="74"/>
      <c r="V1049" s="74"/>
      <c r="W1049" s="74"/>
      <c r="X1049" s="74"/>
      <c r="Y1049" s="74"/>
      <c r="Z1049" s="74"/>
      <c r="AA1049" s="74"/>
      <c r="AB1049" s="74"/>
    </row>
    <row r="1050" spans="1:28" ht="12" customHeight="1">
      <c r="A1050" s="105"/>
      <c r="B1050" s="106"/>
      <c r="C1050" s="107"/>
      <c r="D1050" s="108"/>
      <c r="E1050" s="107"/>
      <c r="F1050" s="107"/>
      <c r="G1050" s="35"/>
      <c r="H1050" s="104"/>
      <c r="I1050" s="35"/>
      <c r="J1050" s="74"/>
      <c r="K1050" s="74"/>
      <c r="L1050" s="74"/>
      <c r="M1050" s="74"/>
      <c r="N1050" s="74"/>
      <c r="O1050" s="74"/>
      <c r="P1050" s="74"/>
      <c r="Q1050" s="74"/>
      <c r="R1050" s="74"/>
      <c r="S1050" s="74"/>
      <c r="T1050" s="74"/>
      <c r="U1050" s="74"/>
      <c r="V1050" s="74"/>
      <c r="W1050" s="74"/>
      <c r="X1050" s="74"/>
      <c r="Y1050" s="74"/>
      <c r="Z1050" s="74"/>
      <c r="AA1050" s="74"/>
      <c r="AB1050" s="74"/>
    </row>
    <row r="1051" spans="1:28" ht="12" customHeight="1">
      <c r="A1051" s="105"/>
      <c r="B1051" s="106"/>
      <c r="C1051" s="107"/>
      <c r="D1051" s="108"/>
      <c r="E1051" s="107"/>
      <c r="F1051" s="107"/>
      <c r="G1051" s="35"/>
      <c r="H1051" s="104"/>
      <c r="I1051" s="35"/>
      <c r="J1051" s="74"/>
      <c r="K1051" s="74"/>
      <c r="L1051" s="74"/>
      <c r="M1051" s="74"/>
      <c r="N1051" s="74"/>
      <c r="O1051" s="74"/>
      <c r="P1051" s="74"/>
      <c r="Q1051" s="74"/>
      <c r="R1051" s="74"/>
      <c r="S1051" s="74"/>
      <c r="T1051" s="74"/>
      <c r="U1051" s="74"/>
      <c r="V1051" s="74"/>
      <c r="W1051" s="74"/>
      <c r="X1051" s="74"/>
      <c r="Y1051" s="74"/>
      <c r="Z1051" s="74"/>
      <c r="AA1051" s="74"/>
      <c r="AB1051" s="74"/>
    </row>
    <row r="1052" spans="1:28" ht="12" customHeight="1">
      <c r="A1052" s="105"/>
      <c r="B1052" s="106"/>
      <c r="C1052" s="107"/>
      <c r="D1052" s="108"/>
      <c r="E1052" s="107"/>
      <c r="F1052" s="107"/>
      <c r="G1052" s="35"/>
      <c r="H1052" s="104"/>
      <c r="I1052" s="35"/>
      <c r="J1052" s="74"/>
      <c r="K1052" s="74"/>
      <c r="L1052" s="74"/>
      <c r="M1052" s="74"/>
      <c r="N1052" s="74"/>
      <c r="O1052" s="74"/>
      <c r="P1052" s="74"/>
      <c r="Q1052" s="74"/>
      <c r="R1052" s="74"/>
      <c r="S1052" s="74"/>
      <c r="T1052" s="74"/>
      <c r="U1052" s="74"/>
      <c r="V1052" s="74"/>
      <c r="W1052" s="74"/>
      <c r="X1052" s="74"/>
      <c r="Y1052" s="74"/>
      <c r="Z1052" s="74"/>
      <c r="AA1052" s="74"/>
      <c r="AB1052" s="74"/>
    </row>
    <row r="1053" spans="1:28" ht="12" customHeight="1">
      <c r="A1053" s="105"/>
      <c r="B1053" s="106"/>
      <c r="C1053" s="107"/>
      <c r="D1053" s="108"/>
      <c r="E1053" s="107"/>
      <c r="F1053" s="107"/>
      <c r="G1053" s="35"/>
      <c r="H1053" s="104"/>
      <c r="I1053" s="35"/>
      <c r="J1053" s="74"/>
      <c r="K1053" s="74"/>
      <c r="L1053" s="74"/>
      <c r="M1053" s="74"/>
      <c r="N1053" s="74"/>
      <c r="O1053" s="74"/>
      <c r="P1053" s="74"/>
      <c r="Q1053" s="74"/>
      <c r="R1053" s="74"/>
      <c r="S1053" s="74"/>
      <c r="T1053" s="74"/>
      <c r="U1053" s="74"/>
      <c r="V1053" s="74"/>
      <c r="W1053" s="74"/>
      <c r="X1053" s="74"/>
      <c r="Y1053" s="74"/>
      <c r="Z1053" s="74"/>
      <c r="AA1053" s="74"/>
      <c r="AB1053" s="74"/>
    </row>
    <row r="1054" spans="1:28" ht="12" customHeight="1">
      <c r="A1054" s="105"/>
      <c r="B1054" s="106"/>
      <c r="C1054" s="107"/>
      <c r="D1054" s="108"/>
      <c r="E1054" s="107"/>
      <c r="F1054" s="107"/>
      <c r="G1054" s="35"/>
      <c r="H1054" s="104"/>
      <c r="I1054" s="35"/>
      <c r="J1054" s="74"/>
      <c r="K1054" s="74"/>
      <c r="L1054" s="74"/>
      <c r="M1054" s="74"/>
      <c r="N1054" s="74"/>
      <c r="O1054" s="74"/>
      <c r="P1054" s="74"/>
      <c r="Q1054" s="74"/>
      <c r="R1054" s="74"/>
      <c r="S1054" s="74"/>
      <c r="T1054" s="74"/>
      <c r="U1054" s="74"/>
      <c r="V1054" s="74"/>
      <c r="W1054" s="74"/>
      <c r="X1054" s="74"/>
      <c r="Y1054" s="74"/>
      <c r="Z1054" s="74"/>
      <c r="AA1054" s="74"/>
      <c r="AB1054" s="74"/>
    </row>
    <row r="1055" spans="1:28" ht="12" customHeight="1">
      <c r="A1055" s="105"/>
      <c r="B1055" s="106"/>
      <c r="C1055" s="107"/>
      <c r="D1055" s="108"/>
      <c r="E1055" s="107"/>
      <c r="F1055" s="107"/>
      <c r="G1055" s="35"/>
      <c r="H1055" s="104"/>
      <c r="I1055" s="35"/>
      <c r="J1055" s="74"/>
      <c r="K1055" s="74"/>
      <c r="L1055" s="74"/>
      <c r="M1055" s="74"/>
      <c r="N1055" s="74"/>
      <c r="O1055" s="74"/>
      <c r="P1055" s="74"/>
      <c r="Q1055" s="74"/>
      <c r="R1055" s="74"/>
      <c r="S1055" s="74"/>
      <c r="T1055" s="74"/>
      <c r="U1055" s="74"/>
      <c r="V1055" s="74"/>
      <c r="W1055" s="74"/>
      <c r="X1055" s="74"/>
      <c r="Y1055" s="74"/>
      <c r="Z1055" s="74"/>
      <c r="AA1055" s="74"/>
      <c r="AB1055" s="74"/>
    </row>
    <row r="1056" spans="1:28" ht="12" customHeight="1">
      <c r="A1056" s="105"/>
      <c r="B1056" s="106"/>
      <c r="C1056" s="107"/>
      <c r="D1056" s="108"/>
      <c r="E1056" s="107"/>
      <c r="F1056" s="107"/>
      <c r="G1056" s="35"/>
      <c r="H1056" s="104"/>
      <c r="I1056" s="35"/>
      <c r="J1056" s="74"/>
      <c r="K1056" s="74"/>
      <c r="L1056" s="74"/>
      <c r="M1056" s="74"/>
      <c r="N1056" s="74"/>
      <c r="O1056" s="74"/>
      <c r="P1056" s="74"/>
      <c r="Q1056" s="74"/>
      <c r="R1056" s="74"/>
      <c r="S1056" s="74"/>
      <c r="T1056" s="74"/>
      <c r="U1056" s="74"/>
      <c r="V1056" s="74"/>
      <c r="W1056" s="74"/>
      <c r="X1056" s="74"/>
      <c r="Y1056" s="74"/>
      <c r="Z1056" s="74"/>
      <c r="AA1056" s="74"/>
      <c r="AB1056" s="74"/>
    </row>
    <row r="1057" spans="1:28" ht="12" customHeight="1">
      <c r="A1057" s="105"/>
      <c r="B1057" s="106"/>
      <c r="C1057" s="107"/>
      <c r="D1057" s="108"/>
      <c r="E1057" s="107"/>
      <c r="F1057" s="107"/>
      <c r="G1057" s="35"/>
      <c r="H1057" s="104"/>
      <c r="I1057" s="35"/>
      <c r="J1057" s="74"/>
      <c r="K1057" s="74"/>
      <c r="L1057" s="74"/>
      <c r="M1057" s="74"/>
      <c r="N1057" s="74"/>
      <c r="O1057" s="74"/>
      <c r="P1057" s="74"/>
      <c r="Q1057" s="74"/>
      <c r="R1057" s="74"/>
      <c r="S1057" s="74"/>
      <c r="T1057" s="74"/>
      <c r="U1057" s="74"/>
      <c r="V1057" s="74"/>
      <c r="W1057" s="74"/>
      <c r="X1057" s="74"/>
      <c r="Y1057" s="74"/>
      <c r="Z1057" s="74"/>
      <c r="AA1057" s="74"/>
      <c r="AB1057" s="74"/>
    </row>
    <row r="1058" spans="1:28" ht="12" customHeight="1">
      <c r="A1058" s="105"/>
      <c r="B1058" s="106"/>
      <c r="C1058" s="107"/>
      <c r="D1058" s="108"/>
      <c r="E1058" s="107"/>
      <c r="F1058" s="107"/>
      <c r="G1058" s="35"/>
      <c r="H1058" s="104"/>
      <c r="I1058" s="35"/>
      <c r="J1058" s="74"/>
      <c r="K1058" s="74"/>
      <c r="L1058" s="74"/>
      <c r="M1058" s="74"/>
      <c r="N1058" s="74"/>
      <c r="O1058" s="74"/>
      <c r="P1058" s="74"/>
      <c r="Q1058" s="74"/>
      <c r="R1058" s="74"/>
      <c r="S1058" s="74"/>
      <c r="T1058" s="74"/>
      <c r="U1058" s="74"/>
      <c r="V1058" s="74"/>
      <c r="W1058" s="74"/>
      <c r="X1058" s="74"/>
      <c r="Y1058" s="74"/>
      <c r="Z1058" s="74"/>
      <c r="AA1058" s="74"/>
      <c r="AB1058" s="74"/>
    </row>
    <row r="1059" spans="1:28" ht="12" customHeight="1">
      <c r="A1059" s="105"/>
      <c r="B1059" s="106"/>
      <c r="C1059" s="107"/>
      <c r="D1059" s="108"/>
      <c r="E1059" s="107"/>
      <c r="F1059" s="107"/>
      <c r="G1059" s="35"/>
      <c r="H1059" s="104"/>
      <c r="I1059" s="35"/>
      <c r="J1059" s="74"/>
      <c r="K1059" s="74"/>
      <c r="L1059" s="74"/>
      <c r="M1059" s="74"/>
      <c r="N1059" s="74"/>
      <c r="O1059" s="74"/>
      <c r="P1059" s="74"/>
      <c r="Q1059" s="74"/>
      <c r="R1059" s="74"/>
      <c r="S1059" s="74"/>
      <c r="T1059" s="74"/>
      <c r="U1059" s="74"/>
      <c r="V1059" s="74"/>
      <c r="W1059" s="74"/>
      <c r="X1059" s="74"/>
      <c r="Y1059" s="74"/>
      <c r="Z1059" s="74"/>
      <c r="AA1059" s="74"/>
      <c r="AB1059" s="74"/>
    </row>
    <row r="1060" spans="1:28" ht="12" customHeight="1">
      <c r="A1060" s="105"/>
      <c r="B1060" s="106"/>
      <c r="C1060" s="107"/>
      <c r="D1060" s="108"/>
      <c r="E1060" s="107"/>
      <c r="F1060" s="107"/>
      <c r="G1060" s="35"/>
      <c r="H1060" s="104"/>
      <c r="I1060" s="35"/>
      <c r="J1060" s="74"/>
      <c r="K1060" s="74"/>
      <c r="L1060" s="74"/>
      <c r="M1060" s="74"/>
      <c r="N1060" s="74"/>
      <c r="O1060" s="74"/>
      <c r="P1060" s="74"/>
      <c r="Q1060" s="74"/>
      <c r="R1060" s="74"/>
      <c r="S1060" s="74"/>
      <c r="T1060" s="74"/>
      <c r="U1060" s="74"/>
      <c r="V1060" s="74"/>
      <c r="W1060" s="74"/>
      <c r="X1060" s="74"/>
      <c r="Y1060" s="74"/>
      <c r="Z1060" s="74"/>
      <c r="AA1060" s="74"/>
      <c r="AB1060" s="74"/>
    </row>
    <row r="1061" spans="1:28" ht="12" customHeight="1">
      <c r="A1061" s="105"/>
      <c r="B1061" s="106"/>
      <c r="C1061" s="107"/>
      <c r="D1061" s="108"/>
      <c r="E1061" s="107"/>
      <c r="F1061" s="107"/>
      <c r="G1061" s="35"/>
      <c r="H1061" s="104"/>
      <c r="I1061" s="35"/>
      <c r="J1061" s="74"/>
      <c r="K1061" s="74"/>
      <c r="L1061" s="74"/>
      <c r="M1061" s="74"/>
      <c r="N1061" s="74"/>
      <c r="O1061" s="74"/>
      <c r="P1061" s="74"/>
      <c r="Q1061" s="74"/>
      <c r="R1061" s="74"/>
      <c r="S1061" s="74"/>
      <c r="T1061" s="74"/>
      <c r="U1061" s="74"/>
      <c r="V1061" s="74"/>
      <c r="W1061" s="74"/>
      <c r="X1061" s="74"/>
      <c r="Y1061" s="74"/>
      <c r="Z1061" s="74"/>
      <c r="AA1061" s="74"/>
      <c r="AB1061" s="74"/>
    </row>
    <row r="1062" spans="1:28" ht="12" customHeight="1">
      <c r="A1062" s="105"/>
      <c r="B1062" s="106"/>
      <c r="C1062" s="107"/>
      <c r="D1062" s="108"/>
      <c r="E1062" s="107"/>
      <c r="F1062" s="107"/>
      <c r="G1062" s="35"/>
      <c r="H1062" s="104"/>
      <c r="I1062" s="35"/>
      <c r="J1062" s="74"/>
      <c r="K1062" s="74"/>
      <c r="L1062" s="74"/>
      <c r="M1062" s="74"/>
      <c r="N1062" s="74"/>
      <c r="O1062" s="74"/>
      <c r="P1062" s="74"/>
      <c r="Q1062" s="74"/>
      <c r="R1062" s="74"/>
      <c r="S1062" s="74"/>
      <c r="T1062" s="74"/>
      <c r="U1062" s="74"/>
      <c r="V1062" s="74"/>
      <c r="W1062" s="74"/>
      <c r="X1062" s="74"/>
      <c r="Y1062" s="74"/>
      <c r="Z1062" s="74"/>
      <c r="AA1062" s="74"/>
      <c r="AB1062" s="74"/>
    </row>
    <row r="1063" spans="1:28" ht="12" customHeight="1">
      <c r="A1063" s="105"/>
      <c r="B1063" s="106"/>
      <c r="C1063" s="107"/>
      <c r="D1063" s="108"/>
      <c r="E1063" s="107"/>
      <c r="F1063" s="107"/>
      <c r="G1063" s="35"/>
      <c r="H1063" s="104"/>
      <c r="I1063" s="35"/>
      <c r="J1063" s="74"/>
      <c r="K1063" s="74"/>
      <c r="L1063" s="74"/>
      <c r="M1063" s="74"/>
      <c r="N1063" s="74"/>
      <c r="O1063" s="74"/>
      <c r="P1063" s="74"/>
      <c r="Q1063" s="74"/>
      <c r="R1063" s="74"/>
      <c r="S1063" s="74"/>
      <c r="T1063" s="74"/>
      <c r="U1063" s="74"/>
      <c r="V1063" s="74"/>
      <c r="W1063" s="74"/>
      <c r="X1063" s="74"/>
      <c r="Y1063" s="74"/>
      <c r="Z1063" s="74"/>
      <c r="AA1063" s="74"/>
      <c r="AB1063" s="74"/>
    </row>
    <row r="1064" spans="1:28" ht="12" customHeight="1">
      <c r="A1064" s="105"/>
      <c r="B1064" s="106"/>
      <c r="C1064" s="107"/>
      <c r="D1064" s="108"/>
      <c r="E1064" s="107"/>
      <c r="F1064" s="107"/>
      <c r="G1064" s="35"/>
      <c r="H1064" s="104"/>
      <c r="I1064" s="35"/>
      <c r="J1064" s="74"/>
      <c r="K1064" s="74"/>
      <c r="L1064" s="74"/>
      <c r="M1064" s="74"/>
      <c r="N1064" s="74"/>
      <c r="O1064" s="74"/>
      <c r="P1064" s="74"/>
      <c r="Q1064" s="74"/>
      <c r="R1064" s="74"/>
      <c r="S1064" s="74"/>
      <c r="T1064" s="74"/>
      <c r="U1064" s="74"/>
      <c r="V1064" s="74"/>
      <c r="W1064" s="74"/>
      <c r="X1064" s="74"/>
      <c r="Y1064" s="74"/>
      <c r="Z1064" s="74"/>
      <c r="AA1064" s="74"/>
      <c r="AB1064" s="74"/>
    </row>
    <row r="1065" spans="1:28" ht="12" customHeight="1">
      <c r="A1065" s="105"/>
      <c r="B1065" s="106"/>
      <c r="C1065" s="107"/>
      <c r="D1065" s="108"/>
      <c r="E1065" s="107"/>
      <c r="F1065" s="107"/>
      <c r="G1065" s="35"/>
      <c r="H1065" s="104"/>
      <c r="I1065" s="35"/>
      <c r="J1065" s="74"/>
      <c r="K1065" s="74"/>
      <c r="L1065" s="74"/>
      <c r="M1065" s="74"/>
      <c r="N1065" s="74"/>
      <c r="O1065" s="74"/>
      <c r="P1065" s="74"/>
      <c r="Q1065" s="74"/>
      <c r="R1065" s="74"/>
      <c r="S1065" s="74"/>
      <c r="T1065" s="74"/>
      <c r="U1065" s="74"/>
      <c r="V1065" s="74"/>
      <c r="W1065" s="74"/>
      <c r="X1065" s="74"/>
      <c r="Y1065" s="74"/>
      <c r="Z1065" s="74"/>
      <c r="AA1065" s="74"/>
      <c r="AB1065" s="74"/>
    </row>
    <row r="1066" spans="1:28" ht="12" customHeight="1">
      <c r="A1066" s="105"/>
      <c r="B1066" s="106"/>
      <c r="C1066" s="107"/>
      <c r="D1066" s="108"/>
      <c r="E1066" s="107"/>
      <c r="F1066" s="107"/>
      <c r="G1066" s="35"/>
      <c r="H1066" s="104"/>
      <c r="I1066" s="35"/>
      <c r="J1066" s="74"/>
      <c r="K1066" s="74"/>
      <c r="L1066" s="74"/>
      <c r="M1066" s="74"/>
      <c r="N1066" s="74"/>
      <c r="O1066" s="74"/>
      <c r="P1066" s="74"/>
      <c r="Q1066" s="74"/>
      <c r="R1066" s="74"/>
      <c r="S1066" s="74"/>
      <c r="T1066" s="74"/>
      <c r="U1066" s="74"/>
      <c r="V1066" s="74"/>
      <c r="W1066" s="74"/>
      <c r="X1066" s="74"/>
      <c r="Y1066" s="74"/>
      <c r="Z1066" s="74"/>
      <c r="AA1066" s="74"/>
      <c r="AB1066" s="74"/>
    </row>
    <row r="1067" spans="1:28" ht="12" customHeight="1">
      <c r="A1067" s="105"/>
      <c r="B1067" s="106"/>
      <c r="C1067" s="107"/>
      <c r="D1067" s="108"/>
      <c r="E1067" s="107"/>
      <c r="F1067" s="107"/>
      <c r="G1067" s="35"/>
      <c r="H1067" s="104"/>
      <c r="I1067" s="35"/>
      <c r="J1067" s="74"/>
      <c r="K1067" s="74"/>
      <c r="L1067" s="74"/>
      <c r="M1067" s="74"/>
      <c r="N1067" s="74"/>
      <c r="O1067" s="74"/>
      <c r="P1067" s="74"/>
      <c r="Q1067" s="74"/>
      <c r="R1067" s="74"/>
      <c r="S1067" s="74"/>
      <c r="T1067" s="74"/>
      <c r="U1067" s="74"/>
      <c r="V1067" s="74"/>
      <c r="W1067" s="74"/>
      <c r="X1067" s="74"/>
      <c r="Y1067" s="74"/>
      <c r="Z1067" s="74"/>
      <c r="AA1067" s="74"/>
      <c r="AB1067" s="74"/>
    </row>
    <row r="1068" spans="1:28" ht="12" customHeight="1">
      <c r="A1068" s="105"/>
      <c r="B1068" s="106"/>
      <c r="C1068" s="107"/>
      <c r="D1068" s="108"/>
      <c r="E1068" s="107"/>
      <c r="F1068" s="107"/>
      <c r="G1068" s="35"/>
      <c r="H1068" s="104"/>
      <c r="I1068" s="35"/>
      <c r="J1068" s="74"/>
      <c r="K1068" s="74"/>
      <c r="L1068" s="74"/>
      <c r="M1068" s="74"/>
      <c r="N1068" s="74"/>
      <c r="O1068" s="74"/>
      <c r="P1068" s="74"/>
      <c r="Q1068" s="74"/>
      <c r="R1068" s="74"/>
      <c r="S1068" s="74"/>
      <c r="T1068" s="74"/>
      <c r="U1068" s="74"/>
      <c r="V1068" s="74"/>
      <c r="W1068" s="74"/>
      <c r="X1068" s="74"/>
      <c r="Y1068" s="74"/>
      <c r="Z1068" s="74"/>
      <c r="AA1068" s="74"/>
      <c r="AB1068" s="74"/>
    </row>
    <row r="1069" spans="1:28" ht="12" customHeight="1">
      <c r="A1069" s="105"/>
      <c r="B1069" s="106"/>
      <c r="C1069" s="107"/>
      <c r="D1069" s="108"/>
      <c r="E1069" s="107"/>
      <c r="F1069" s="107"/>
      <c r="G1069" s="35"/>
      <c r="H1069" s="104"/>
      <c r="I1069" s="35"/>
      <c r="J1069" s="74"/>
      <c r="K1069" s="74"/>
      <c r="L1069" s="74"/>
      <c r="M1069" s="74"/>
      <c r="N1069" s="74"/>
      <c r="O1069" s="74"/>
      <c r="P1069" s="74"/>
      <c r="Q1069" s="74"/>
      <c r="R1069" s="74"/>
      <c r="S1069" s="74"/>
      <c r="T1069" s="74"/>
      <c r="U1069" s="74"/>
      <c r="V1069" s="74"/>
      <c r="W1069" s="74"/>
      <c r="X1069" s="74"/>
      <c r="Y1069" s="74"/>
      <c r="Z1069" s="74"/>
      <c r="AA1069" s="74"/>
      <c r="AB1069" s="74"/>
    </row>
    <row r="1070" spans="1:28" ht="12" customHeight="1">
      <c r="A1070" s="105"/>
      <c r="B1070" s="106"/>
      <c r="C1070" s="107"/>
      <c r="D1070" s="108"/>
      <c r="E1070" s="107"/>
      <c r="F1070" s="107"/>
      <c r="G1070" s="35"/>
      <c r="H1070" s="104"/>
      <c r="I1070" s="35"/>
      <c r="J1070" s="74"/>
      <c r="K1070" s="74"/>
      <c r="L1070" s="74"/>
      <c r="M1070" s="74"/>
      <c r="N1070" s="74"/>
      <c r="O1070" s="74"/>
      <c r="P1070" s="74"/>
      <c r="Q1070" s="74"/>
      <c r="R1070" s="74"/>
      <c r="S1070" s="74"/>
      <c r="T1070" s="74"/>
      <c r="U1070" s="74"/>
      <c r="V1070" s="74"/>
      <c r="W1070" s="74"/>
      <c r="X1070" s="74"/>
      <c r="Y1070" s="74"/>
      <c r="Z1070" s="74"/>
      <c r="AA1070" s="74"/>
      <c r="AB1070" s="74"/>
    </row>
    <row r="1071" spans="1:28" ht="12" customHeight="1">
      <c r="A1071" s="105"/>
      <c r="B1071" s="106"/>
      <c r="C1071" s="107"/>
      <c r="D1071" s="108"/>
      <c r="E1071" s="107"/>
      <c r="F1071" s="107"/>
      <c r="G1071" s="35"/>
      <c r="H1071" s="104"/>
      <c r="I1071" s="35"/>
      <c r="J1071" s="74"/>
      <c r="K1071" s="74"/>
      <c r="L1071" s="74"/>
      <c r="M1071" s="74"/>
      <c r="N1071" s="74"/>
      <c r="O1071" s="74"/>
      <c r="P1071" s="74"/>
      <c r="Q1071" s="74"/>
      <c r="R1071" s="74"/>
      <c r="S1071" s="74"/>
      <c r="T1071" s="74"/>
      <c r="U1071" s="74"/>
      <c r="V1071" s="74"/>
      <c r="W1071" s="74"/>
      <c r="X1071" s="74"/>
      <c r="Y1071" s="74"/>
      <c r="Z1071" s="74"/>
      <c r="AA1071" s="74"/>
      <c r="AB1071" s="74"/>
    </row>
    <row r="1072" spans="1:28" ht="12" customHeight="1">
      <c r="A1072" s="105"/>
      <c r="B1072" s="106"/>
      <c r="C1072" s="107"/>
      <c r="D1072" s="108"/>
      <c r="E1072" s="107"/>
      <c r="F1072" s="107"/>
      <c r="G1072" s="35"/>
      <c r="H1072" s="104"/>
      <c r="I1072" s="35"/>
      <c r="J1072" s="74"/>
      <c r="K1072" s="74"/>
      <c r="L1072" s="74"/>
      <c r="M1072" s="74"/>
      <c r="N1072" s="74"/>
      <c r="O1072" s="74"/>
      <c r="P1072" s="74"/>
      <c r="Q1072" s="74"/>
      <c r="R1072" s="74"/>
      <c r="S1072" s="74"/>
      <c r="T1072" s="74"/>
      <c r="U1072" s="74"/>
      <c r="V1072" s="74"/>
      <c r="W1072" s="74"/>
      <c r="X1072" s="74"/>
      <c r="Y1072" s="74"/>
      <c r="Z1072" s="74"/>
      <c r="AA1072" s="74"/>
      <c r="AB1072" s="74"/>
    </row>
    <row r="1073" spans="1:28" ht="12" customHeight="1">
      <c r="A1073" s="105"/>
      <c r="B1073" s="106"/>
      <c r="C1073" s="107"/>
      <c r="D1073" s="108"/>
      <c r="E1073" s="107"/>
      <c r="F1073" s="107"/>
      <c r="G1073" s="35"/>
      <c r="H1073" s="104"/>
      <c r="I1073" s="35"/>
      <c r="J1073" s="74"/>
      <c r="K1073" s="74"/>
      <c r="L1073" s="74"/>
      <c r="M1073" s="74"/>
      <c r="N1073" s="74"/>
      <c r="O1073" s="74"/>
      <c r="P1073" s="74"/>
      <c r="Q1073" s="74"/>
      <c r="R1073" s="74"/>
      <c r="S1073" s="74"/>
      <c r="T1073" s="74"/>
      <c r="U1073" s="74"/>
      <c r="V1073" s="74"/>
      <c r="W1073" s="74"/>
      <c r="X1073" s="74"/>
      <c r="Y1073" s="74"/>
      <c r="Z1073" s="74"/>
      <c r="AA1073" s="74"/>
      <c r="AB1073" s="74"/>
    </row>
    <row r="1074" spans="1:28" ht="12" customHeight="1">
      <c r="A1074" s="105"/>
      <c r="B1074" s="106"/>
      <c r="C1074" s="107"/>
      <c r="D1074" s="108"/>
      <c r="E1074" s="107"/>
      <c r="F1074" s="107"/>
      <c r="G1074" s="35"/>
      <c r="H1074" s="104"/>
      <c r="I1074" s="35"/>
      <c r="J1074" s="74"/>
      <c r="K1074" s="74"/>
      <c r="L1074" s="74"/>
      <c r="M1074" s="74"/>
      <c r="N1074" s="74"/>
      <c r="O1074" s="74"/>
      <c r="P1074" s="74"/>
      <c r="Q1074" s="74"/>
      <c r="R1074" s="74"/>
      <c r="S1074" s="74"/>
      <c r="T1074" s="74"/>
      <c r="U1074" s="74"/>
      <c r="V1074" s="74"/>
      <c r="W1074" s="74"/>
      <c r="X1074" s="74"/>
      <c r="Y1074" s="74"/>
      <c r="Z1074" s="74"/>
      <c r="AA1074" s="74"/>
      <c r="AB1074" s="74"/>
    </row>
    <row r="1075" spans="1:28" ht="12" customHeight="1">
      <c r="A1075" s="105"/>
      <c r="B1075" s="106"/>
      <c r="C1075" s="107"/>
      <c r="D1075" s="108"/>
      <c r="E1075" s="107"/>
      <c r="F1075" s="107"/>
      <c r="G1075" s="35"/>
      <c r="H1075" s="104"/>
      <c r="I1075" s="35"/>
      <c r="J1075" s="74"/>
      <c r="K1075" s="74"/>
      <c r="L1075" s="74"/>
      <c r="M1075" s="74"/>
      <c r="N1075" s="74"/>
      <c r="O1075" s="74"/>
      <c r="P1075" s="74"/>
      <c r="Q1075" s="74"/>
      <c r="R1075" s="74"/>
      <c r="S1075" s="74"/>
      <c r="T1075" s="74"/>
      <c r="U1075" s="74"/>
      <c r="V1075" s="74"/>
      <c r="W1075" s="74"/>
      <c r="X1075" s="74"/>
      <c r="Y1075" s="74"/>
      <c r="Z1075" s="74"/>
      <c r="AA1075" s="74"/>
      <c r="AB1075" s="74"/>
    </row>
    <row r="1076" spans="1:28" ht="12" customHeight="1">
      <c r="A1076" s="105"/>
      <c r="B1076" s="106"/>
      <c r="C1076" s="107"/>
      <c r="D1076" s="108"/>
      <c r="E1076" s="107"/>
      <c r="F1076" s="107"/>
      <c r="G1076" s="35"/>
      <c r="H1076" s="104"/>
      <c r="I1076" s="35"/>
      <c r="J1076" s="74"/>
      <c r="K1076" s="74"/>
      <c r="L1076" s="74"/>
      <c r="M1076" s="74"/>
      <c r="N1076" s="74"/>
      <c r="O1076" s="74"/>
      <c r="P1076" s="74"/>
      <c r="Q1076" s="74"/>
      <c r="R1076" s="74"/>
      <c r="S1076" s="74"/>
      <c r="T1076" s="74"/>
      <c r="U1076" s="74"/>
      <c r="V1076" s="74"/>
      <c r="W1076" s="74"/>
      <c r="X1076" s="74"/>
      <c r="Y1076" s="74"/>
      <c r="Z1076" s="74"/>
      <c r="AA1076" s="74"/>
      <c r="AB1076" s="74"/>
    </row>
    <row r="1077" spans="1:28" ht="12" customHeight="1">
      <c r="A1077" s="105"/>
      <c r="B1077" s="106"/>
      <c r="C1077" s="107"/>
      <c r="D1077" s="108"/>
      <c r="E1077" s="107"/>
      <c r="F1077" s="107"/>
      <c r="G1077" s="35"/>
      <c r="H1077" s="104"/>
      <c r="I1077" s="35"/>
      <c r="J1077" s="74"/>
      <c r="K1077" s="74"/>
      <c r="L1077" s="74"/>
      <c r="M1077" s="74"/>
      <c r="N1077" s="74"/>
      <c r="O1077" s="74"/>
      <c r="P1077" s="74"/>
      <c r="Q1077" s="74"/>
      <c r="R1077" s="74"/>
      <c r="S1077" s="74"/>
      <c r="T1077" s="74"/>
      <c r="U1077" s="74"/>
      <c r="V1077" s="74"/>
      <c r="W1077" s="74"/>
      <c r="X1077" s="74"/>
      <c r="Y1077" s="74"/>
      <c r="Z1077" s="74"/>
      <c r="AA1077" s="74"/>
      <c r="AB1077" s="74"/>
    </row>
    <row r="1078" spans="1:28" ht="12" customHeight="1">
      <c r="A1078" s="105"/>
      <c r="B1078" s="106"/>
      <c r="C1078" s="107"/>
      <c r="D1078" s="108"/>
      <c r="E1078" s="107"/>
      <c r="F1078" s="107"/>
      <c r="G1078" s="35"/>
      <c r="H1078" s="104"/>
      <c r="I1078" s="35"/>
      <c r="J1078" s="74"/>
      <c r="K1078" s="74"/>
      <c r="L1078" s="74"/>
      <c r="M1078" s="74"/>
      <c r="N1078" s="74"/>
      <c r="O1078" s="74"/>
      <c r="P1078" s="74"/>
      <c r="Q1078" s="74"/>
      <c r="R1078" s="74"/>
      <c r="S1078" s="74"/>
      <c r="T1078" s="74"/>
      <c r="U1078" s="74"/>
      <c r="V1078" s="74"/>
      <c r="W1078" s="74"/>
      <c r="X1078" s="74"/>
      <c r="Y1078" s="74"/>
      <c r="Z1078" s="74"/>
      <c r="AA1078" s="74"/>
      <c r="AB1078" s="74"/>
    </row>
    <row r="1079" spans="1:28" ht="12" customHeight="1">
      <c r="A1079" s="105"/>
      <c r="B1079" s="106"/>
      <c r="C1079" s="107"/>
      <c r="D1079" s="108"/>
      <c r="E1079" s="107"/>
      <c r="F1079" s="107"/>
      <c r="G1079" s="35"/>
      <c r="H1079" s="104"/>
      <c r="I1079" s="35"/>
      <c r="J1079" s="74"/>
      <c r="K1079" s="74"/>
      <c r="L1079" s="74"/>
      <c r="M1079" s="74"/>
      <c r="N1079" s="74"/>
      <c r="O1079" s="74"/>
      <c r="P1079" s="74"/>
      <c r="Q1079" s="74"/>
      <c r="R1079" s="74"/>
      <c r="S1079" s="74"/>
      <c r="T1079" s="74"/>
      <c r="U1079" s="74"/>
      <c r="V1079" s="74"/>
      <c r="W1079" s="74"/>
      <c r="X1079" s="74"/>
      <c r="Y1079" s="74"/>
      <c r="Z1079" s="74"/>
      <c r="AA1079" s="74"/>
      <c r="AB1079" s="74"/>
    </row>
    <row r="1080" spans="1:28" ht="12" customHeight="1">
      <c r="A1080" s="105"/>
      <c r="B1080" s="106"/>
      <c r="C1080" s="107"/>
      <c r="D1080" s="108"/>
      <c r="E1080" s="107"/>
      <c r="F1080" s="107"/>
      <c r="G1080" s="35"/>
      <c r="H1080" s="104"/>
      <c r="I1080" s="35"/>
      <c r="J1080" s="74"/>
      <c r="K1080" s="74"/>
      <c r="L1080" s="74"/>
      <c r="M1080" s="74"/>
      <c r="N1080" s="74"/>
      <c r="O1080" s="74"/>
      <c r="P1080" s="74"/>
      <c r="Q1080" s="74"/>
      <c r="R1080" s="74"/>
      <c r="S1080" s="74"/>
      <c r="T1080" s="74"/>
      <c r="U1080" s="74"/>
      <c r="V1080" s="74"/>
      <c r="W1080" s="74"/>
      <c r="X1080" s="74"/>
      <c r="Y1080" s="74"/>
      <c r="Z1080" s="74"/>
      <c r="AA1080" s="74"/>
      <c r="AB1080" s="74"/>
    </row>
    <row r="1081" spans="1:28" ht="12" customHeight="1">
      <c r="A1081" s="105"/>
      <c r="B1081" s="106"/>
      <c r="C1081" s="107"/>
      <c r="D1081" s="108"/>
      <c r="E1081" s="107"/>
      <c r="F1081" s="107"/>
      <c r="G1081" s="35"/>
      <c r="H1081" s="104"/>
      <c r="I1081" s="35"/>
      <c r="J1081" s="74"/>
      <c r="K1081" s="74"/>
      <c r="L1081" s="74"/>
      <c r="M1081" s="74"/>
      <c r="N1081" s="74"/>
      <c r="O1081" s="74"/>
      <c r="P1081" s="74"/>
      <c r="Q1081" s="74"/>
      <c r="R1081" s="74"/>
      <c r="S1081" s="74"/>
      <c r="T1081" s="74"/>
      <c r="U1081" s="74"/>
      <c r="V1081" s="74"/>
      <c r="W1081" s="74"/>
      <c r="X1081" s="74"/>
      <c r="Y1081" s="74"/>
      <c r="Z1081" s="74"/>
      <c r="AA1081" s="74"/>
      <c r="AB1081" s="74"/>
    </row>
    <row r="1082" spans="1:28" ht="12" customHeight="1">
      <c r="A1082" s="105"/>
      <c r="B1082" s="106"/>
      <c r="C1082" s="107"/>
      <c r="D1082" s="108"/>
      <c r="E1082" s="107"/>
      <c r="F1082" s="107"/>
      <c r="G1082" s="35"/>
      <c r="H1082" s="104"/>
      <c r="I1082" s="35"/>
      <c r="J1082" s="74"/>
      <c r="K1082" s="74"/>
      <c r="L1082" s="74"/>
      <c r="M1082" s="74"/>
      <c r="N1082" s="74"/>
      <c r="O1082" s="74"/>
      <c r="P1082" s="74"/>
      <c r="Q1082" s="74"/>
      <c r="R1082" s="74"/>
      <c r="S1082" s="74"/>
      <c r="T1082" s="74"/>
      <c r="U1082" s="74"/>
      <c r="V1082" s="74"/>
      <c r="W1082" s="74"/>
      <c r="X1082" s="74"/>
      <c r="Y1082" s="74"/>
      <c r="Z1082" s="74"/>
      <c r="AA1082" s="74"/>
      <c r="AB1082" s="74"/>
    </row>
    <row r="1083" spans="1:28" ht="12" customHeight="1">
      <c r="A1083" s="105"/>
      <c r="B1083" s="106"/>
      <c r="C1083" s="107"/>
      <c r="D1083" s="108"/>
      <c r="E1083" s="107"/>
      <c r="F1083" s="107"/>
      <c r="G1083" s="35"/>
      <c r="H1083" s="104"/>
      <c r="I1083" s="35"/>
      <c r="J1083" s="74"/>
      <c r="K1083" s="74"/>
      <c r="L1083" s="74"/>
      <c r="M1083" s="74"/>
      <c r="N1083" s="74"/>
      <c r="O1083" s="74"/>
      <c r="P1083" s="74"/>
      <c r="Q1083" s="74"/>
      <c r="R1083" s="74"/>
      <c r="S1083" s="74"/>
      <c r="T1083" s="74"/>
      <c r="U1083" s="74"/>
      <c r="V1083" s="74"/>
      <c r="W1083" s="74"/>
      <c r="X1083" s="74"/>
      <c r="Y1083" s="74"/>
      <c r="Z1083" s="74"/>
      <c r="AA1083" s="74"/>
      <c r="AB1083" s="74"/>
    </row>
    <row r="1084" spans="1:28" ht="12" customHeight="1">
      <c r="A1084" s="105"/>
      <c r="B1084" s="106"/>
      <c r="C1084" s="107"/>
      <c r="D1084" s="108"/>
      <c r="E1084" s="107"/>
      <c r="F1084" s="107"/>
      <c r="G1084" s="35"/>
      <c r="H1084" s="104"/>
      <c r="I1084" s="35"/>
      <c r="J1084" s="74"/>
      <c r="K1084" s="74"/>
      <c r="L1084" s="74"/>
      <c r="M1084" s="74"/>
      <c r="N1084" s="74"/>
      <c r="O1084" s="74"/>
      <c r="P1084" s="74"/>
      <c r="Q1084" s="74"/>
      <c r="R1084" s="74"/>
      <c r="S1084" s="74"/>
      <c r="T1084" s="74"/>
      <c r="U1084" s="74"/>
      <c r="V1084" s="74"/>
      <c r="W1084" s="74"/>
      <c r="X1084" s="74"/>
      <c r="Y1084" s="74"/>
      <c r="Z1084" s="74"/>
      <c r="AA1084" s="74"/>
      <c r="AB1084" s="74"/>
    </row>
    <row r="1085" spans="1:28" ht="12" customHeight="1">
      <c r="A1085" s="105"/>
      <c r="B1085" s="106"/>
      <c r="C1085" s="107"/>
      <c r="D1085" s="108"/>
      <c r="E1085" s="107"/>
      <c r="F1085" s="107"/>
      <c r="G1085" s="35"/>
      <c r="H1085" s="104"/>
      <c r="I1085" s="35"/>
      <c r="J1085" s="74"/>
      <c r="K1085" s="74"/>
      <c r="L1085" s="74"/>
      <c r="M1085" s="74"/>
      <c r="N1085" s="74"/>
      <c r="O1085" s="74"/>
      <c r="P1085" s="74"/>
      <c r="Q1085" s="74"/>
      <c r="R1085" s="74"/>
      <c r="S1085" s="74"/>
      <c r="T1085" s="74"/>
      <c r="U1085" s="74"/>
      <c r="V1085" s="74"/>
      <c r="W1085" s="74"/>
      <c r="X1085" s="74"/>
      <c r="Y1085" s="74"/>
      <c r="Z1085" s="74"/>
      <c r="AA1085" s="74"/>
      <c r="AB1085" s="74"/>
    </row>
    <row r="1086" spans="1:28" ht="12" customHeight="1">
      <c r="A1086" s="105"/>
      <c r="B1086" s="106"/>
      <c r="C1086" s="107"/>
      <c r="D1086" s="108"/>
      <c r="E1086" s="107"/>
      <c r="F1086" s="107"/>
      <c r="G1086" s="35"/>
      <c r="H1086" s="104"/>
      <c r="I1086" s="35"/>
      <c r="J1086" s="74"/>
      <c r="K1086" s="74"/>
      <c r="L1086" s="74"/>
      <c r="M1086" s="74"/>
      <c r="N1086" s="74"/>
      <c r="O1086" s="74"/>
      <c r="P1086" s="74"/>
      <c r="Q1086" s="74"/>
      <c r="R1086" s="74"/>
      <c r="S1086" s="74"/>
      <c r="T1086" s="74"/>
      <c r="U1086" s="74"/>
      <c r="V1086" s="74"/>
      <c r="W1086" s="74"/>
      <c r="X1086" s="74"/>
      <c r="Y1086" s="74"/>
      <c r="Z1086" s="74"/>
      <c r="AA1086" s="74"/>
      <c r="AB1086" s="74"/>
    </row>
    <row r="1087" spans="1:28" ht="12" customHeight="1">
      <c r="A1087" s="105"/>
      <c r="B1087" s="106"/>
      <c r="C1087" s="107"/>
      <c r="D1087" s="108"/>
      <c r="E1087" s="107"/>
      <c r="F1087" s="107"/>
      <c r="G1087" s="35"/>
      <c r="H1087" s="104"/>
      <c r="I1087" s="35"/>
      <c r="J1087" s="74"/>
      <c r="K1087" s="74"/>
      <c r="L1087" s="74"/>
      <c r="M1087" s="74"/>
      <c r="N1087" s="74"/>
      <c r="O1087" s="74"/>
      <c r="P1087" s="74"/>
      <c r="Q1087" s="74"/>
      <c r="R1087" s="74"/>
      <c r="S1087" s="74"/>
      <c r="T1087" s="74"/>
      <c r="U1087" s="74"/>
      <c r="V1087" s="74"/>
      <c r="W1087" s="74"/>
      <c r="X1087" s="74"/>
      <c r="Y1087" s="74"/>
      <c r="Z1087" s="74"/>
      <c r="AA1087" s="74"/>
      <c r="AB1087" s="74"/>
    </row>
    <row r="1088" spans="1:28" ht="12" customHeight="1">
      <c r="A1088" s="105"/>
      <c r="B1088" s="106"/>
      <c r="C1088" s="107"/>
      <c r="D1088" s="108"/>
      <c r="E1088" s="107"/>
      <c r="F1088" s="107"/>
      <c r="G1088" s="35"/>
      <c r="H1088" s="104"/>
      <c r="I1088" s="35"/>
      <c r="J1088" s="74"/>
      <c r="K1088" s="74"/>
      <c r="L1088" s="74"/>
      <c r="M1088" s="74"/>
      <c r="N1088" s="74"/>
      <c r="O1088" s="74"/>
      <c r="P1088" s="74"/>
      <c r="Q1088" s="74"/>
      <c r="R1088" s="74"/>
      <c r="S1088" s="74"/>
      <c r="T1088" s="74"/>
      <c r="U1088" s="74"/>
      <c r="V1088" s="74"/>
      <c r="W1088" s="74"/>
      <c r="X1088" s="74"/>
      <c r="Y1088" s="74"/>
      <c r="Z1088" s="74"/>
      <c r="AA1088" s="74"/>
      <c r="AB1088" s="74"/>
    </row>
  </sheetData>
  <autoFilter ref="A5:AB90" xr:uid="{00000000-0009-0000-0000-000002000000}">
    <sortState xmlns:xlrd2="http://schemas.microsoft.com/office/spreadsheetml/2017/richdata2" ref="A5:AB90">
      <sortCondition ref="B5:B90"/>
    </sortState>
  </autoFilter>
  <mergeCells count="3">
    <mergeCell ref="A1:H1"/>
    <mergeCell ref="A2:F2"/>
    <mergeCell ref="A4:F4"/>
  </mergeCells>
  <hyperlinks>
    <hyperlink ref="F3" location="Menu por Procesos!A1" display="MENU" xr:uid="{00000000-0004-0000-0200-000000000000}"/>
    <hyperlink ref="A6" r:id="rId1" xr:uid="{00000000-0004-0000-0200-000001000000}"/>
    <hyperlink ref="A7" r:id="rId2" xr:uid="{00000000-0004-0000-0200-000002000000}"/>
    <hyperlink ref="A8" r:id="rId3" xr:uid="{00000000-0004-0000-0200-000003000000}"/>
    <hyperlink ref="A9" r:id="rId4" xr:uid="{00000000-0004-0000-0200-000004000000}"/>
    <hyperlink ref="A10" r:id="rId5" xr:uid="{00000000-0004-0000-0200-000005000000}"/>
    <hyperlink ref="A11" r:id="rId6" xr:uid="{00000000-0004-0000-0200-000006000000}"/>
    <hyperlink ref="A12" r:id="rId7" xr:uid="{00000000-0004-0000-0200-000007000000}"/>
    <hyperlink ref="A13" r:id="rId8" xr:uid="{00000000-0004-0000-0200-000008000000}"/>
    <hyperlink ref="A15" r:id="rId9" xr:uid="{00000000-0004-0000-0200-000009000000}"/>
    <hyperlink ref="A16" r:id="rId10" xr:uid="{00000000-0004-0000-0200-00000A000000}"/>
    <hyperlink ref="A17" r:id="rId11" xr:uid="{00000000-0004-0000-0200-00000B000000}"/>
    <hyperlink ref="A18" r:id="rId12" xr:uid="{00000000-0004-0000-0200-00000C000000}"/>
    <hyperlink ref="A19" r:id="rId13" xr:uid="{00000000-0004-0000-0200-00000D000000}"/>
    <hyperlink ref="A20" r:id="rId14" xr:uid="{00000000-0004-0000-0200-00000E000000}"/>
    <hyperlink ref="A21" r:id="rId15" xr:uid="{00000000-0004-0000-0200-00000F000000}"/>
    <hyperlink ref="A22" r:id="rId16" xr:uid="{00000000-0004-0000-0200-000010000000}"/>
    <hyperlink ref="A23" r:id="rId17" xr:uid="{00000000-0004-0000-0200-000011000000}"/>
    <hyperlink ref="A24" r:id="rId18" xr:uid="{00000000-0004-0000-0200-000012000000}"/>
    <hyperlink ref="A25" r:id="rId19" xr:uid="{00000000-0004-0000-0200-000013000000}"/>
    <hyperlink ref="A26" r:id="rId20" xr:uid="{00000000-0004-0000-0200-000014000000}"/>
    <hyperlink ref="A27" r:id="rId21" xr:uid="{00000000-0004-0000-0200-000015000000}"/>
    <hyperlink ref="A28" r:id="rId22" xr:uid="{00000000-0004-0000-0200-000016000000}"/>
    <hyperlink ref="A30" r:id="rId23" xr:uid="{00000000-0004-0000-0200-000017000000}"/>
    <hyperlink ref="A33" r:id="rId24" xr:uid="{00000000-0004-0000-0200-000018000000}"/>
    <hyperlink ref="A34" r:id="rId25" xr:uid="{00000000-0004-0000-0200-000019000000}"/>
    <hyperlink ref="A35" r:id="rId26" xr:uid="{00000000-0004-0000-0200-00001A000000}"/>
    <hyperlink ref="A37" r:id="rId27" xr:uid="{00000000-0004-0000-0200-00001B000000}"/>
    <hyperlink ref="A40" r:id="rId28" location="4.p" xr:uid="{00000000-0004-0000-0200-00001C000000}"/>
    <hyperlink ref="A41" r:id="rId29" xr:uid="{00000000-0004-0000-0200-00001D000000}"/>
    <hyperlink ref="A42" r:id="rId30" xr:uid="{00000000-0004-0000-0200-00001E000000}"/>
    <hyperlink ref="A43" r:id="rId31" xr:uid="{00000000-0004-0000-0200-00001F000000}"/>
    <hyperlink ref="A56" r:id="rId32" xr:uid="{00000000-0004-0000-0200-000020000000}"/>
    <hyperlink ref="A57" r:id="rId33" xr:uid="{00000000-0004-0000-0200-000021000000}"/>
    <hyperlink ref="A58" r:id="rId34" xr:uid="{00000000-0004-0000-0200-000022000000}"/>
    <hyperlink ref="A59" r:id="rId35" xr:uid="{00000000-0004-0000-0200-000023000000}"/>
    <hyperlink ref="A60" r:id="rId36" xr:uid="{00000000-0004-0000-0200-000024000000}"/>
    <hyperlink ref="A61" r:id="rId37" xr:uid="{00000000-0004-0000-0200-000025000000}"/>
    <hyperlink ref="A62" r:id="rId38" xr:uid="{00000000-0004-0000-0200-000026000000}"/>
    <hyperlink ref="A63" r:id="rId39" xr:uid="{00000000-0004-0000-0200-000027000000}"/>
    <hyperlink ref="A64" r:id="rId40" xr:uid="{00000000-0004-0000-0200-000028000000}"/>
    <hyperlink ref="A65" r:id="rId41" xr:uid="{00000000-0004-0000-0200-000029000000}"/>
    <hyperlink ref="A66" r:id="rId42" xr:uid="{00000000-0004-0000-0200-00002A000000}"/>
    <hyperlink ref="A67" r:id="rId43" xr:uid="{00000000-0004-0000-0200-00002B000000}"/>
    <hyperlink ref="A68" r:id="rId44" xr:uid="{00000000-0004-0000-0200-00002C000000}"/>
    <hyperlink ref="A69" r:id="rId45" xr:uid="{00000000-0004-0000-0200-00002D000000}"/>
    <hyperlink ref="A70" r:id="rId46" xr:uid="{00000000-0004-0000-0200-00002E000000}"/>
    <hyperlink ref="A72" r:id="rId47" xr:uid="{00000000-0004-0000-0200-00002F000000}"/>
    <hyperlink ref="A73" r:id="rId48" xr:uid="{00000000-0004-0000-0200-000030000000}"/>
    <hyperlink ref="A74" r:id="rId49" xr:uid="{00000000-0004-0000-0200-000031000000}"/>
    <hyperlink ref="A75" r:id="rId50" xr:uid="{00000000-0004-0000-0200-000032000000}"/>
    <hyperlink ref="A76" r:id="rId51" xr:uid="{00000000-0004-0000-0200-000033000000}"/>
    <hyperlink ref="A77" r:id="rId52" xr:uid="{00000000-0004-0000-0200-000034000000}"/>
    <hyperlink ref="A78" r:id="rId53" xr:uid="{00000000-0004-0000-0200-000035000000}"/>
    <hyperlink ref="A79" r:id="rId54" xr:uid="{00000000-0004-0000-0200-000036000000}"/>
    <hyperlink ref="A80" r:id="rId55" xr:uid="{00000000-0004-0000-0200-000037000000}"/>
    <hyperlink ref="A81" r:id="rId56" xr:uid="{00000000-0004-0000-0200-000038000000}"/>
    <hyperlink ref="A82" r:id="rId57" xr:uid="{00000000-0004-0000-0200-000039000000}"/>
    <hyperlink ref="A83" r:id="rId58" xr:uid="{00000000-0004-0000-0200-00003A000000}"/>
    <hyperlink ref="A84" r:id="rId59" xr:uid="{00000000-0004-0000-0200-00003B000000}"/>
    <hyperlink ref="A85" r:id="rId60" xr:uid="{00000000-0004-0000-0200-00003C000000}"/>
    <hyperlink ref="A86" r:id="rId61" xr:uid="{00000000-0004-0000-0200-00003D000000}"/>
    <hyperlink ref="A87" r:id="rId62" xr:uid="{00000000-0004-0000-0200-00003E000000}"/>
    <hyperlink ref="A88" r:id="rId63" xr:uid="{00000000-0004-0000-0200-00003F000000}"/>
    <hyperlink ref="A89" r:id="rId64" xr:uid="{00000000-0004-0000-0200-000040000000}"/>
    <hyperlink ref="A90" r:id="rId65" xr:uid="{00000000-0004-0000-0200-000041000000}"/>
  </hyperlinks>
  <pageMargins left="0.7" right="0.7" top="0.75" bottom="0.75" header="0" footer="0"/>
  <pageSetup orientation="landscape"/>
  <drawing r:id="rId66"/>
  <legacyDrawing r:id="rId6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A9D18E"/>
  </sheetPr>
  <dimension ref="A1:AC37"/>
  <sheetViews>
    <sheetView workbookViewId="0">
      <pane ySplit="5" topLeftCell="A6" activePane="bottomLeft" state="frozen"/>
      <selection pane="bottomLeft" activeCell="B7" sqref="B7"/>
    </sheetView>
  </sheetViews>
  <sheetFormatPr baseColWidth="10" defaultColWidth="14.42578125" defaultRowHeight="15" customHeight="1"/>
  <cols>
    <col min="1" max="1" width="34" customWidth="1"/>
    <col min="2" max="2" width="12.85546875" customWidth="1"/>
    <col min="3" max="3" width="23.7109375" customWidth="1"/>
    <col min="4" max="4" width="61.7109375" customWidth="1"/>
    <col min="5" max="5" width="28.5703125" customWidth="1"/>
    <col min="6" max="6" width="55.5703125" customWidth="1"/>
    <col min="7" max="7" width="42" customWidth="1"/>
    <col min="8" max="9" width="10" hidden="1" customWidth="1"/>
    <col min="10" max="10" width="15.140625" customWidth="1"/>
    <col min="11" max="11" width="18" customWidth="1"/>
    <col min="12" max="16" width="11.42578125" customWidth="1"/>
    <col min="17" max="17" width="16.28515625" customWidth="1"/>
    <col min="18" max="18" width="11.42578125" customWidth="1"/>
    <col min="19" max="19" width="15.140625" customWidth="1"/>
    <col min="20" max="29" width="11.42578125" customWidth="1"/>
  </cols>
  <sheetData>
    <row r="1" spans="1:29" ht="61.5" customHeight="1">
      <c r="A1" s="773"/>
      <c r="B1" s="769"/>
      <c r="C1" s="769"/>
      <c r="D1" s="769"/>
      <c r="E1" s="769"/>
      <c r="F1" s="769"/>
      <c r="G1" s="769"/>
      <c r="H1" s="769"/>
      <c r="I1" s="769"/>
      <c r="J1" s="17"/>
      <c r="K1" s="18"/>
      <c r="L1" s="18"/>
      <c r="M1" s="18"/>
      <c r="N1" s="18"/>
      <c r="O1" s="18"/>
      <c r="P1" s="18"/>
      <c r="Q1" s="18"/>
      <c r="R1" s="18"/>
      <c r="S1" s="18"/>
      <c r="T1" s="18"/>
      <c r="U1" s="18"/>
      <c r="V1" s="18"/>
      <c r="W1" s="18"/>
      <c r="X1" s="18"/>
      <c r="Y1" s="18"/>
      <c r="Z1" s="18"/>
      <c r="AA1" s="18"/>
      <c r="AB1" s="18"/>
      <c r="AC1" s="18"/>
    </row>
    <row r="2" spans="1:29" ht="41.25" customHeight="1">
      <c r="A2" s="767" t="s">
        <v>28</v>
      </c>
      <c r="B2" s="765"/>
      <c r="C2" s="765"/>
      <c r="D2" s="765"/>
      <c r="E2" s="765"/>
      <c r="F2" s="765"/>
      <c r="G2" s="766"/>
      <c r="H2" s="110"/>
      <c r="I2" s="111"/>
      <c r="J2" s="17"/>
      <c r="K2" s="18"/>
      <c r="L2" s="18"/>
      <c r="M2" s="18"/>
      <c r="N2" s="18"/>
      <c r="O2" s="18"/>
      <c r="P2" s="18"/>
      <c r="Q2" s="18"/>
      <c r="R2" s="18"/>
      <c r="S2" s="18"/>
      <c r="T2" s="18"/>
      <c r="U2" s="18"/>
      <c r="V2" s="18"/>
      <c r="W2" s="18"/>
      <c r="X2" s="18"/>
      <c r="Y2" s="18"/>
      <c r="Z2" s="18"/>
      <c r="AA2" s="18"/>
      <c r="AB2" s="18"/>
      <c r="AC2" s="18"/>
    </row>
    <row r="3" spans="1:29" ht="24.75" customHeight="1">
      <c r="A3" s="75" t="s">
        <v>402</v>
      </c>
      <c r="B3" s="19"/>
      <c r="C3" s="19"/>
      <c r="D3" s="19"/>
      <c r="E3" s="19"/>
      <c r="F3" s="19"/>
      <c r="G3" s="20" t="s">
        <v>30</v>
      </c>
      <c r="H3" s="112"/>
      <c r="I3" s="113"/>
      <c r="J3" s="17"/>
      <c r="K3" s="18"/>
      <c r="L3" s="18"/>
      <c r="M3" s="18"/>
      <c r="N3" s="18"/>
      <c r="O3" s="18"/>
      <c r="P3" s="18"/>
      <c r="Q3" s="18"/>
      <c r="R3" s="18"/>
      <c r="S3" s="18"/>
      <c r="T3" s="18"/>
      <c r="U3" s="18"/>
      <c r="V3" s="18"/>
      <c r="W3" s="18"/>
      <c r="X3" s="18"/>
      <c r="Y3" s="18"/>
      <c r="Z3" s="18"/>
      <c r="AA3" s="18"/>
      <c r="AB3" s="18"/>
      <c r="AC3" s="18"/>
    </row>
    <row r="4" spans="1:29" ht="33" customHeight="1">
      <c r="A4" s="770" t="s">
        <v>403</v>
      </c>
      <c r="B4" s="765"/>
      <c r="C4" s="765"/>
      <c r="D4" s="765"/>
      <c r="E4" s="765"/>
      <c r="F4" s="765"/>
      <c r="G4" s="766"/>
      <c r="H4" s="16"/>
      <c r="I4" s="22"/>
      <c r="J4" s="17"/>
      <c r="K4" s="18"/>
      <c r="L4" s="18"/>
      <c r="M4" s="18"/>
      <c r="N4" s="18"/>
      <c r="O4" s="18"/>
      <c r="P4" s="18"/>
      <c r="Q4" s="18"/>
      <c r="R4" s="18"/>
      <c r="S4" s="18"/>
      <c r="T4" s="18"/>
      <c r="U4" s="18"/>
      <c r="V4" s="18"/>
      <c r="W4" s="18"/>
      <c r="X4" s="18"/>
      <c r="Y4" s="18"/>
      <c r="Z4" s="18"/>
      <c r="AA4" s="18"/>
      <c r="AB4" s="18"/>
      <c r="AC4" s="18"/>
    </row>
    <row r="5" spans="1:29" ht="34.5" customHeight="1">
      <c r="A5" s="76" t="s">
        <v>235</v>
      </c>
      <c r="B5" s="24" t="s">
        <v>32</v>
      </c>
      <c r="C5" s="25" t="s">
        <v>33</v>
      </c>
      <c r="D5" s="25" t="s">
        <v>34</v>
      </c>
      <c r="E5" s="25" t="s">
        <v>35</v>
      </c>
      <c r="F5" s="25" t="s">
        <v>36</v>
      </c>
      <c r="G5" s="25" t="s">
        <v>404</v>
      </c>
      <c r="H5" s="26" t="s">
        <v>37</v>
      </c>
      <c r="I5" s="27" t="s">
        <v>38</v>
      </c>
      <c r="J5" s="28"/>
      <c r="K5" s="29"/>
      <c r="L5" s="29"/>
      <c r="M5" s="29"/>
      <c r="N5" s="29"/>
      <c r="O5" s="29"/>
      <c r="P5" s="29"/>
      <c r="Q5" s="29"/>
      <c r="R5" s="29"/>
      <c r="S5" s="29"/>
      <c r="T5" s="29"/>
      <c r="U5" s="29"/>
      <c r="V5" s="29"/>
      <c r="W5" s="29"/>
      <c r="X5" s="29"/>
      <c r="Y5" s="29"/>
      <c r="Z5" s="29"/>
      <c r="AA5" s="29"/>
      <c r="AB5" s="29"/>
      <c r="AC5" s="29"/>
    </row>
    <row r="6" spans="1:29" ht="84">
      <c r="A6" s="114" t="str">
        <f>HYPERLINK("https://www.bogotajuridica.gov.co/sisjur/normas/Norma1.jsp?i=4125","CONSTITUCIÓN POLÍTICA DE COLOMBIA")</f>
        <v>CONSTITUCIÓN POLÍTICA DE COLOMBIA</v>
      </c>
      <c r="B6" s="78">
        <v>33423</v>
      </c>
      <c r="C6" s="115" t="s">
        <v>405</v>
      </c>
      <c r="D6" s="115" t="s">
        <v>406</v>
      </c>
      <c r="E6" s="81" t="s">
        <v>41</v>
      </c>
      <c r="F6" s="81" t="s">
        <v>42</v>
      </c>
      <c r="G6" s="81" t="s">
        <v>407</v>
      </c>
      <c r="H6" s="116" t="s">
        <v>43</v>
      </c>
      <c r="I6" s="117" t="s">
        <v>408</v>
      </c>
      <c r="J6" s="35"/>
      <c r="K6" s="36"/>
      <c r="L6" s="36"/>
      <c r="M6" s="36"/>
      <c r="N6" s="36"/>
      <c r="O6" s="36"/>
      <c r="P6" s="36"/>
      <c r="Q6" s="36"/>
      <c r="R6" s="36"/>
      <c r="S6" s="36"/>
      <c r="T6" s="36"/>
      <c r="U6" s="36"/>
      <c r="V6" s="36"/>
      <c r="W6" s="36"/>
      <c r="X6" s="36"/>
      <c r="Y6" s="36"/>
      <c r="Z6" s="36"/>
      <c r="AA6" s="36"/>
      <c r="AB6" s="36"/>
      <c r="AC6" s="36"/>
    </row>
    <row r="7" spans="1:29" ht="84">
      <c r="A7" s="114" t="str">
        <f>HYPERLINK("https://www.bogotajuridica.gov.co/sisjur/normas/Norma1.jsp?i=304","LEY 80")</f>
        <v>LEY 80</v>
      </c>
      <c r="B7" s="85">
        <v>34270</v>
      </c>
      <c r="C7" s="115" t="s">
        <v>39</v>
      </c>
      <c r="D7" s="115" t="s">
        <v>246</v>
      </c>
      <c r="E7" s="81" t="s">
        <v>41</v>
      </c>
      <c r="F7" s="81" t="s">
        <v>42</v>
      </c>
      <c r="G7" s="81" t="s">
        <v>407</v>
      </c>
      <c r="H7" s="116" t="s">
        <v>43</v>
      </c>
      <c r="I7" s="117" t="s">
        <v>408</v>
      </c>
      <c r="J7" s="35"/>
      <c r="K7" s="36"/>
      <c r="L7" s="36"/>
      <c r="M7" s="36"/>
      <c r="N7" s="36"/>
      <c r="O7" s="36"/>
      <c r="P7" s="36"/>
      <c r="Q7" s="36"/>
      <c r="R7" s="36"/>
      <c r="S7" s="36"/>
      <c r="T7" s="36"/>
      <c r="U7" s="36"/>
      <c r="V7" s="36"/>
      <c r="W7" s="36"/>
      <c r="X7" s="36"/>
      <c r="Y7" s="36"/>
      <c r="Z7" s="36"/>
      <c r="AA7" s="36"/>
      <c r="AB7" s="36"/>
      <c r="AC7" s="36"/>
    </row>
    <row r="8" spans="1:29" ht="36">
      <c r="A8" s="114" t="str">
        <f>HYPERLINK("https://www.alcaldiabogota.gov.co/sisjur/normas/Norma1.jsp?i=321","LEY 190")</f>
        <v>LEY 190</v>
      </c>
      <c r="B8" s="78">
        <v>34856</v>
      </c>
      <c r="C8" s="115" t="s">
        <v>39</v>
      </c>
      <c r="D8" s="115" t="s">
        <v>409</v>
      </c>
      <c r="E8" s="81" t="s">
        <v>41</v>
      </c>
      <c r="F8" s="81" t="s">
        <v>42</v>
      </c>
      <c r="G8" s="81" t="s">
        <v>407</v>
      </c>
      <c r="H8" s="116" t="s">
        <v>43</v>
      </c>
      <c r="I8" s="117" t="s">
        <v>410</v>
      </c>
      <c r="J8" s="35"/>
      <c r="K8" s="36"/>
      <c r="L8" s="36"/>
      <c r="M8" s="36"/>
      <c r="N8" s="36"/>
      <c r="O8" s="36"/>
      <c r="P8" s="36"/>
      <c r="Q8" s="36"/>
      <c r="R8" s="36"/>
      <c r="S8" s="36"/>
      <c r="T8" s="36"/>
      <c r="U8" s="36"/>
      <c r="V8" s="36"/>
      <c r="W8" s="36"/>
      <c r="X8" s="36"/>
      <c r="Y8" s="36"/>
      <c r="Z8" s="36"/>
      <c r="AA8" s="36"/>
      <c r="AB8" s="36"/>
      <c r="AC8" s="36"/>
    </row>
    <row r="9" spans="1:29" ht="84">
      <c r="A9" s="114" t="str">
        <f>HYPERLINK("https://www.alcaldiabogota.gov.co/sisjur/normas/Norma1.jsp?i=6388","LEY 599")</f>
        <v>LEY 599</v>
      </c>
      <c r="B9" s="78">
        <v>36731</v>
      </c>
      <c r="C9" s="115" t="s">
        <v>39</v>
      </c>
      <c r="D9" s="115" t="s">
        <v>411</v>
      </c>
      <c r="E9" s="81" t="s">
        <v>41</v>
      </c>
      <c r="F9" s="94" t="s">
        <v>42</v>
      </c>
      <c r="G9" s="81" t="s">
        <v>407</v>
      </c>
      <c r="H9" s="116" t="s">
        <v>43</v>
      </c>
      <c r="I9" s="117" t="s">
        <v>408</v>
      </c>
      <c r="J9" s="35"/>
      <c r="K9" s="36"/>
      <c r="L9" s="36"/>
      <c r="M9" s="36"/>
      <c r="N9" s="36"/>
      <c r="O9" s="36"/>
      <c r="P9" s="36"/>
      <c r="Q9" s="36"/>
      <c r="R9" s="36"/>
      <c r="S9" s="36"/>
      <c r="T9" s="36"/>
      <c r="U9" s="36"/>
      <c r="V9" s="36"/>
      <c r="W9" s="36"/>
      <c r="X9" s="36"/>
      <c r="Y9" s="36"/>
      <c r="Z9" s="36"/>
      <c r="AA9" s="36"/>
      <c r="AB9" s="36"/>
      <c r="AC9" s="36"/>
    </row>
    <row r="10" spans="1:29" ht="36">
      <c r="A10" s="114" t="str">
        <f>HYPERLINK("https://www.alcaldiabogota.gov.co/sisjur/normas/Norma1.jsp?i=6389#0","LEY 600")</f>
        <v>LEY 600</v>
      </c>
      <c r="B10" s="78">
        <v>36731</v>
      </c>
      <c r="C10" s="115" t="s">
        <v>39</v>
      </c>
      <c r="D10" s="115" t="s">
        <v>412</v>
      </c>
      <c r="E10" s="81" t="s">
        <v>41</v>
      </c>
      <c r="F10" s="94" t="s">
        <v>42</v>
      </c>
      <c r="G10" s="81" t="s">
        <v>407</v>
      </c>
      <c r="H10" s="116" t="s">
        <v>43</v>
      </c>
      <c r="I10" s="117" t="s">
        <v>410</v>
      </c>
      <c r="J10" s="35"/>
      <c r="K10" s="36"/>
      <c r="L10" s="36"/>
      <c r="M10" s="36"/>
      <c r="N10" s="36"/>
      <c r="O10" s="36"/>
      <c r="P10" s="36"/>
      <c r="Q10" s="36"/>
      <c r="R10" s="36"/>
      <c r="S10" s="36"/>
      <c r="T10" s="36"/>
      <c r="U10" s="36"/>
      <c r="V10" s="36"/>
      <c r="W10" s="36"/>
      <c r="X10" s="36"/>
      <c r="Y10" s="36"/>
      <c r="Z10" s="36"/>
      <c r="AA10" s="36"/>
      <c r="AB10" s="36"/>
      <c r="AC10" s="36"/>
    </row>
    <row r="11" spans="1:29" ht="36">
      <c r="A11" s="114" t="str">
        <f>HYPERLINK("https://www.alcaldiabogota.gov.co/sisjur/normas/Norma1.jsp?i=41249","LEY 1437")</f>
        <v>LEY 1437</v>
      </c>
      <c r="B11" s="84">
        <v>40561</v>
      </c>
      <c r="C11" s="115" t="s">
        <v>39</v>
      </c>
      <c r="D11" s="115" t="s">
        <v>281</v>
      </c>
      <c r="E11" s="81" t="s">
        <v>41</v>
      </c>
      <c r="F11" s="81" t="s">
        <v>42</v>
      </c>
      <c r="G11" s="81" t="s">
        <v>407</v>
      </c>
      <c r="H11" s="116" t="s">
        <v>43</v>
      </c>
      <c r="I11" s="117" t="s">
        <v>410</v>
      </c>
      <c r="J11" s="35"/>
      <c r="K11" s="36"/>
      <c r="L11" s="36"/>
      <c r="M11" s="36"/>
      <c r="N11" s="36"/>
      <c r="O11" s="36"/>
      <c r="P11" s="36"/>
      <c r="Q11" s="36"/>
      <c r="R11" s="36"/>
      <c r="S11" s="36"/>
      <c r="T11" s="36"/>
      <c r="U11" s="36"/>
      <c r="V11" s="36"/>
      <c r="W11" s="36"/>
      <c r="X11" s="36"/>
      <c r="Y11" s="36"/>
      <c r="Z11" s="36"/>
      <c r="AA11" s="36"/>
      <c r="AB11" s="36"/>
      <c r="AC11" s="36"/>
    </row>
    <row r="12" spans="1:29" ht="48">
      <c r="A12" s="114" t="str">
        <f>HYPERLINK("https://www.alcaldiabogota.gov.co/sisjur/normas/Norma1.jsp?i=43292","LEY 1474")</f>
        <v>LEY 1474</v>
      </c>
      <c r="B12" s="84">
        <v>40736</v>
      </c>
      <c r="C12" s="115" t="s">
        <v>39</v>
      </c>
      <c r="D12" s="115" t="s">
        <v>413</v>
      </c>
      <c r="E12" s="118">
        <v>28011</v>
      </c>
      <c r="F12" s="115" t="s">
        <v>414</v>
      </c>
      <c r="G12" s="81" t="s">
        <v>407</v>
      </c>
      <c r="H12" s="119" t="s">
        <v>43</v>
      </c>
      <c r="I12" s="117" t="s">
        <v>415</v>
      </c>
      <c r="J12" s="35"/>
      <c r="K12" s="36"/>
      <c r="L12" s="36"/>
      <c r="M12" s="36"/>
      <c r="N12" s="36"/>
      <c r="O12" s="36"/>
      <c r="P12" s="36"/>
      <c r="Q12" s="36"/>
      <c r="R12" s="36"/>
      <c r="S12" s="36"/>
      <c r="T12" s="36"/>
      <c r="U12" s="36"/>
      <c r="V12" s="36"/>
      <c r="W12" s="36"/>
      <c r="X12" s="36"/>
      <c r="Y12" s="36"/>
      <c r="Z12" s="36"/>
      <c r="AA12" s="36"/>
      <c r="AB12" s="36"/>
      <c r="AC12" s="36"/>
    </row>
    <row r="13" spans="1:29" ht="48">
      <c r="A13" s="114" t="str">
        <f>HYPERLINK("https://www.alcaldiabogota.gov.co/sisjur/normas/Norma1.jsp?i=48425","LEY 1564")</f>
        <v>LEY 1564</v>
      </c>
      <c r="B13" s="78">
        <v>41102</v>
      </c>
      <c r="C13" s="115" t="s">
        <v>39</v>
      </c>
      <c r="D13" s="115" t="s">
        <v>416</v>
      </c>
      <c r="E13" s="81" t="s">
        <v>41</v>
      </c>
      <c r="F13" s="94" t="s">
        <v>42</v>
      </c>
      <c r="G13" s="81" t="s">
        <v>407</v>
      </c>
      <c r="H13" s="119" t="s">
        <v>43</v>
      </c>
      <c r="I13" s="117" t="s">
        <v>415</v>
      </c>
      <c r="J13" s="35"/>
      <c r="K13" s="36"/>
      <c r="L13" s="36"/>
      <c r="M13" s="36"/>
      <c r="N13" s="36"/>
      <c r="O13" s="36"/>
      <c r="P13" s="36"/>
      <c r="Q13" s="36"/>
      <c r="R13" s="36"/>
      <c r="S13" s="36"/>
      <c r="T13" s="36"/>
      <c r="U13" s="36"/>
      <c r="V13" s="36"/>
      <c r="W13" s="36"/>
      <c r="X13" s="36"/>
      <c r="Y13" s="36"/>
      <c r="Z13" s="36"/>
      <c r="AA13" s="36"/>
      <c r="AB13" s="36"/>
      <c r="AC13" s="36"/>
    </row>
    <row r="14" spans="1:29" ht="84">
      <c r="A14" s="114" t="str">
        <f>HYPERLINK("https://www.alcaldiabogota.gov.co/sisjur/normas/Norma1.jsp?i=62152","LEY 1755")</f>
        <v>LEY 1755</v>
      </c>
      <c r="B14" s="78">
        <v>42185</v>
      </c>
      <c r="C14" s="115" t="s">
        <v>39</v>
      </c>
      <c r="D14" s="115" t="s">
        <v>417</v>
      </c>
      <c r="E14" s="81" t="s">
        <v>41</v>
      </c>
      <c r="F14" s="81" t="s">
        <v>42</v>
      </c>
      <c r="G14" s="81" t="s">
        <v>407</v>
      </c>
      <c r="H14" s="116" t="s">
        <v>43</v>
      </c>
      <c r="I14" s="117" t="s">
        <v>408</v>
      </c>
      <c r="J14" s="35"/>
      <c r="K14" s="36"/>
      <c r="L14" s="36"/>
      <c r="M14" s="36"/>
      <c r="N14" s="36"/>
      <c r="O14" s="36"/>
      <c r="P14" s="36"/>
      <c r="Q14" s="36"/>
      <c r="R14" s="36"/>
      <c r="S14" s="36"/>
      <c r="T14" s="36"/>
      <c r="U14" s="36"/>
      <c r="V14" s="36"/>
      <c r="W14" s="36"/>
      <c r="X14" s="36"/>
      <c r="Y14" s="36"/>
      <c r="Z14" s="36"/>
      <c r="AA14" s="36"/>
      <c r="AB14" s="36"/>
      <c r="AC14" s="36"/>
    </row>
    <row r="15" spans="1:29">
      <c r="A15" s="120" t="str">
        <f>HYPERLINK("https://www.alcaldiabogota.gov.co/sisjur/normas/Norma1.jsp?i=82445","LEY 1952")</f>
        <v>LEY 1952</v>
      </c>
      <c r="B15" s="121">
        <v>43493</v>
      </c>
      <c r="C15" s="115" t="s">
        <v>39</v>
      </c>
      <c r="D15" s="115" t="s">
        <v>418</v>
      </c>
      <c r="E15" s="81" t="s">
        <v>41</v>
      </c>
      <c r="F15" s="81" t="s">
        <v>42</v>
      </c>
      <c r="G15" s="81" t="s">
        <v>407</v>
      </c>
      <c r="H15" s="116"/>
      <c r="I15" s="117"/>
      <c r="J15" s="35"/>
      <c r="K15" s="36"/>
      <c r="L15" s="36"/>
      <c r="M15" s="36"/>
      <c r="N15" s="36"/>
      <c r="O15" s="36"/>
      <c r="P15" s="36"/>
      <c r="Q15" s="36"/>
      <c r="R15" s="36"/>
      <c r="S15" s="36"/>
      <c r="T15" s="36"/>
      <c r="U15" s="36"/>
      <c r="V15" s="36"/>
      <c r="W15" s="36"/>
      <c r="X15" s="36"/>
      <c r="Y15" s="36"/>
      <c r="Z15" s="36"/>
      <c r="AA15" s="36"/>
      <c r="AB15" s="36"/>
      <c r="AC15" s="36"/>
    </row>
    <row r="16" spans="1:29" ht="36">
      <c r="A16" s="120" t="str">
        <f>HYPERLINK("https://www.alcaldiabogota.gov.co/sisjur/normas/Norma1.jsp?i=78449&amp;dt=S","Directiva 015")</f>
        <v>Directiva 015</v>
      </c>
      <c r="B16" s="121">
        <v>43251</v>
      </c>
      <c r="C16" s="115" t="s">
        <v>419</v>
      </c>
      <c r="D16" s="115" t="s">
        <v>420</v>
      </c>
      <c r="E16" s="81" t="s">
        <v>41</v>
      </c>
      <c r="F16" s="81" t="s">
        <v>42</v>
      </c>
      <c r="G16" s="81" t="s">
        <v>407</v>
      </c>
      <c r="H16" s="116" t="s">
        <v>43</v>
      </c>
      <c r="I16" s="117" t="s">
        <v>410</v>
      </c>
      <c r="J16" s="35"/>
      <c r="K16" s="36"/>
      <c r="L16" s="36"/>
      <c r="M16" s="36"/>
      <c r="N16" s="36"/>
      <c r="O16" s="36"/>
      <c r="P16" s="36"/>
      <c r="Q16" s="36"/>
      <c r="R16" s="36"/>
      <c r="S16" s="36"/>
      <c r="T16" s="36"/>
      <c r="U16" s="36"/>
      <c r="V16" s="36"/>
      <c r="W16" s="36"/>
      <c r="X16" s="36"/>
      <c r="Y16" s="36"/>
      <c r="Z16" s="36"/>
      <c r="AA16" s="36"/>
      <c r="AB16" s="36"/>
      <c r="AC16" s="36"/>
    </row>
    <row r="17" spans="1:29" ht="36">
      <c r="A17" s="120" t="str">
        <f>HYPERLINK("https://www.alcaldiabogota.gov.co/sisjur/normas/Norma1.jsp?i=81327","Directiva 009")</f>
        <v>Directiva 009</v>
      </c>
      <c r="B17" s="121">
        <v>43410</v>
      </c>
      <c r="C17" s="115" t="s">
        <v>419</v>
      </c>
      <c r="D17" s="115" t="s">
        <v>421</v>
      </c>
      <c r="E17" s="81" t="s">
        <v>41</v>
      </c>
      <c r="F17" s="81" t="s">
        <v>42</v>
      </c>
      <c r="G17" s="81" t="s">
        <v>407</v>
      </c>
      <c r="H17" s="116" t="s">
        <v>43</v>
      </c>
      <c r="I17" s="117" t="s">
        <v>410</v>
      </c>
      <c r="J17" s="35"/>
      <c r="K17" s="36"/>
      <c r="L17" s="36"/>
      <c r="M17" s="36"/>
      <c r="N17" s="36"/>
      <c r="O17" s="36"/>
      <c r="P17" s="36"/>
      <c r="Q17" s="36"/>
      <c r="R17" s="36"/>
      <c r="S17" s="36"/>
      <c r="T17" s="36"/>
      <c r="U17" s="36"/>
      <c r="V17" s="36"/>
      <c r="W17" s="36"/>
      <c r="X17" s="36"/>
      <c r="Y17" s="36"/>
      <c r="Z17" s="36"/>
      <c r="AA17" s="36"/>
      <c r="AB17" s="36"/>
      <c r="AC17" s="36"/>
    </row>
    <row r="18" spans="1:29" ht="84">
      <c r="A18" s="122" t="str">
        <f>HYPERLINK("https://www.alcaldiabogota.gov.co/sisjur/normas/Norma1.jsp?i=77029","DIRECTIVA 1")</f>
        <v>DIRECTIVA 1</v>
      </c>
      <c r="B18" s="78">
        <v>43174</v>
      </c>
      <c r="C18" s="115" t="s">
        <v>419</v>
      </c>
      <c r="D18" s="115" t="s">
        <v>422</v>
      </c>
      <c r="E18" s="81" t="s">
        <v>41</v>
      </c>
      <c r="F18" s="81" t="s">
        <v>42</v>
      </c>
      <c r="G18" s="81" t="s">
        <v>407</v>
      </c>
      <c r="H18" s="116" t="s">
        <v>43</v>
      </c>
      <c r="I18" s="117" t="s">
        <v>408</v>
      </c>
      <c r="J18" s="35"/>
      <c r="K18" s="36"/>
      <c r="L18" s="36"/>
      <c r="M18" s="36"/>
      <c r="N18" s="36"/>
      <c r="O18" s="36"/>
      <c r="P18" s="36"/>
      <c r="Q18" s="36"/>
      <c r="R18" s="36"/>
      <c r="S18" s="36"/>
      <c r="T18" s="36"/>
      <c r="U18" s="36"/>
      <c r="V18" s="36"/>
      <c r="W18" s="36"/>
      <c r="X18" s="36"/>
      <c r="Y18" s="36"/>
      <c r="Z18" s="36"/>
      <c r="AA18" s="36"/>
      <c r="AB18" s="36"/>
      <c r="AC18" s="36"/>
    </row>
    <row r="19" spans="1:29" ht="84">
      <c r="A19" s="122" t="str">
        <f>HYPERLINK("https://www.alcaldiabogota.gov.co/sisjur/normas/Norma1.jsp?i=76371&amp;dt=S","DIRECTIVA 2")</f>
        <v>DIRECTIVA 2</v>
      </c>
      <c r="B19" s="78">
        <v>43174</v>
      </c>
      <c r="C19" s="115" t="s">
        <v>419</v>
      </c>
      <c r="D19" s="115" t="s">
        <v>423</v>
      </c>
      <c r="E19" s="81" t="s">
        <v>41</v>
      </c>
      <c r="F19" s="81" t="s">
        <v>42</v>
      </c>
      <c r="G19" s="81" t="s">
        <v>407</v>
      </c>
      <c r="H19" s="116" t="s">
        <v>43</v>
      </c>
      <c r="I19" s="117" t="s">
        <v>408</v>
      </c>
      <c r="J19" s="35"/>
      <c r="K19" s="36"/>
      <c r="L19" s="36"/>
      <c r="M19" s="36"/>
      <c r="N19" s="36"/>
      <c r="O19" s="36"/>
      <c r="P19" s="36"/>
      <c r="Q19" s="36"/>
      <c r="R19" s="36"/>
      <c r="S19" s="36"/>
      <c r="T19" s="36"/>
      <c r="U19" s="36"/>
      <c r="V19" s="36"/>
      <c r="W19" s="36"/>
      <c r="X19" s="36"/>
      <c r="Y19" s="36"/>
      <c r="Z19" s="36"/>
      <c r="AA19" s="36"/>
      <c r="AB19" s="36"/>
      <c r="AC19" s="36"/>
    </row>
    <row r="20" spans="1:29" ht="48">
      <c r="A20" s="68" t="str">
        <f>HYPERLINK("https://www.alcaldiabogota.gov.co/sisjur/normas/Norma1.jsp?i=81323","DIRECTIVA 008")</f>
        <v>DIRECTIVA 008</v>
      </c>
      <c r="B20" s="31">
        <v>43410</v>
      </c>
      <c r="C20" s="123" t="s">
        <v>419</v>
      </c>
      <c r="D20" s="39" t="s">
        <v>424</v>
      </c>
      <c r="E20" s="40" t="s">
        <v>41</v>
      </c>
      <c r="F20" s="124" t="s">
        <v>42</v>
      </c>
      <c r="G20" s="40" t="s">
        <v>407</v>
      </c>
      <c r="H20" s="119" t="s">
        <v>43</v>
      </c>
      <c r="I20" s="117" t="s">
        <v>415</v>
      </c>
      <c r="J20" s="35"/>
      <c r="K20" s="36"/>
      <c r="L20" s="36"/>
      <c r="M20" s="36"/>
      <c r="N20" s="36"/>
      <c r="O20" s="36"/>
      <c r="P20" s="36"/>
      <c r="Q20" s="36"/>
      <c r="R20" s="36"/>
      <c r="S20" s="36"/>
      <c r="T20" s="36"/>
      <c r="U20" s="36"/>
      <c r="V20" s="36"/>
      <c r="W20" s="36"/>
      <c r="X20" s="36"/>
      <c r="Y20" s="36"/>
      <c r="Z20" s="36"/>
      <c r="AA20" s="36"/>
      <c r="AB20" s="36"/>
      <c r="AC20" s="36"/>
    </row>
    <row r="21" spans="1:29" ht="48">
      <c r="A21" s="68" t="str">
        <f>HYPERLINK("https://drive.google.com/drive/folders/1iXT7qSUqOh-ePCb-n5nY5I6w3U6k6jQV","CIRCULAR 002")</f>
        <v>CIRCULAR 002</v>
      </c>
      <c r="B21" s="31">
        <v>43277</v>
      </c>
      <c r="C21" s="40" t="s">
        <v>425</v>
      </c>
      <c r="D21" s="39" t="s">
        <v>426</v>
      </c>
      <c r="E21" s="40" t="s">
        <v>41</v>
      </c>
      <c r="F21" s="40" t="s">
        <v>42</v>
      </c>
      <c r="G21" s="40" t="s">
        <v>407</v>
      </c>
      <c r="H21" s="116" t="s">
        <v>43</v>
      </c>
      <c r="I21" s="117" t="s">
        <v>415</v>
      </c>
      <c r="J21" s="35"/>
      <c r="K21" s="36"/>
      <c r="L21" s="36"/>
      <c r="M21" s="36"/>
      <c r="N21" s="36"/>
      <c r="O21" s="36"/>
      <c r="P21" s="36"/>
      <c r="Q21" s="36"/>
      <c r="R21" s="36"/>
      <c r="S21" s="36"/>
      <c r="T21" s="36"/>
      <c r="U21" s="36"/>
      <c r="V21" s="36"/>
      <c r="W21" s="36"/>
      <c r="X21" s="36"/>
      <c r="Y21" s="36"/>
      <c r="Z21" s="36"/>
      <c r="AA21" s="36"/>
      <c r="AB21" s="36"/>
      <c r="AC21" s="36"/>
    </row>
    <row r="22" spans="1:29" ht="12" customHeight="1">
      <c r="A22" s="125" t="str">
        <f>HYPERLINK("http://sisjur.bogotajuridica.gov.co/sisjur/normas/Norma1.jsp?i=88734","DIRECTIVA 008")</f>
        <v>DIRECTIVA 008</v>
      </c>
      <c r="B22" s="103">
        <v>43830</v>
      </c>
      <c r="C22" s="115" t="s">
        <v>419</v>
      </c>
      <c r="D22" s="39" t="s">
        <v>427</v>
      </c>
      <c r="E22" s="55" t="s">
        <v>41</v>
      </c>
      <c r="F22" s="40" t="s">
        <v>42</v>
      </c>
      <c r="G22" s="40" t="s">
        <v>407</v>
      </c>
      <c r="H22" s="35"/>
      <c r="I22" s="104"/>
      <c r="J22" s="35"/>
      <c r="K22" s="36"/>
      <c r="L22" s="36"/>
      <c r="M22" s="36"/>
      <c r="N22" s="36"/>
      <c r="O22" s="36"/>
      <c r="P22" s="36"/>
      <c r="Q22" s="36"/>
      <c r="R22" s="36"/>
      <c r="S22" s="36"/>
      <c r="T22" s="36"/>
      <c r="U22" s="36"/>
      <c r="V22" s="36"/>
      <c r="W22" s="36"/>
      <c r="X22" s="36"/>
      <c r="Y22" s="36"/>
      <c r="Z22" s="36"/>
      <c r="AA22" s="36"/>
      <c r="AB22" s="36"/>
      <c r="AC22" s="36"/>
    </row>
    <row r="23" spans="1:29" ht="12" customHeight="1">
      <c r="A23" s="125" t="str">
        <f>HYPERLINK("http://sisjur.bogotajuridica.gov.co/sisjur/normas/Norma1.jsp?i=88720","DIRECTIVA 010")</f>
        <v>DIRECTIVA 010</v>
      </c>
      <c r="B23" s="103">
        <v>43830</v>
      </c>
      <c r="C23" s="115" t="s">
        <v>419</v>
      </c>
      <c r="D23" s="39" t="s">
        <v>428</v>
      </c>
      <c r="E23" s="55" t="s">
        <v>41</v>
      </c>
      <c r="F23" s="40" t="s">
        <v>42</v>
      </c>
      <c r="G23" s="40" t="s">
        <v>407</v>
      </c>
      <c r="H23" s="35"/>
      <c r="I23" s="104"/>
      <c r="J23" s="35"/>
      <c r="K23" s="36"/>
      <c r="L23" s="36"/>
      <c r="M23" s="36"/>
      <c r="N23" s="36"/>
      <c r="O23" s="36"/>
      <c r="P23" s="36"/>
      <c r="Q23" s="36"/>
      <c r="R23" s="36"/>
      <c r="S23" s="36"/>
      <c r="T23" s="36"/>
      <c r="U23" s="36"/>
      <c r="V23" s="36"/>
      <c r="W23" s="36"/>
      <c r="X23" s="36"/>
      <c r="Y23" s="36"/>
      <c r="Z23" s="36"/>
      <c r="AA23" s="36"/>
      <c r="AB23" s="36"/>
      <c r="AC23" s="36"/>
    </row>
    <row r="24" spans="1:29" ht="12" customHeight="1">
      <c r="A24" s="126" t="s">
        <v>429</v>
      </c>
      <c r="B24" s="127">
        <v>43909</v>
      </c>
      <c r="C24" s="55" t="s">
        <v>430</v>
      </c>
      <c r="D24" s="128" t="s">
        <v>431</v>
      </c>
      <c r="E24" s="55" t="s">
        <v>41</v>
      </c>
      <c r="F24" s="40" t="s">
        <v>42</v>
      </c>
      <c r="G24" s="40" t="s">
        <v>407</v>
      </c>
      <c r="H24" s="35"/>
      <c r="I24" s="104"/>
      <c r="J24" s="35"/>
      <c r="K24" s="36"/>
      <c r="L24" s="36"/>
      <c r="M24" s="36"/>
      <c r="N24" s="36"/>
      <c r="O24" s="36"/>
      <c r="P24" s="36"/>
      <c r="Q24" s="36"/>
      <c r="R24" s="36"/>
      <c r="S24" s="36"/>
      <c r="T24" s="36"/>
      <c r="U24" s="36"/>
      <c r="V24" s="36"/>
      <c r="W24" s="36"/>
      <c r="X24" s="36"/>
      <c r="Y24" s="36"/>
      <c r="Z24" s="36"/>
      <c r="AA24" s="36"/>
      <c r="AB24" s="36"/>
      <c r="AC24" s="36"/>
    </row>
    <row r="25" spans="1:29" ht="12" customHeight="1">
      <c r="A25" s="126" t="s">
        <v>432</v>
      </c>
      <c r="B25" s="127">
        <v>43914</v>
      </c>
      <c r="C25" s="55" t="s">
        <v>430</v>
      </c>
      <c r="D25" s="129" t="s">
        <v>433</v>
      </c>
      <c r="E25" s="55" t="s">
        <v>41</v>
      </c>
      <c r="F25" s="40" t="s">
        <v>42</v>
      </c>
      <c r="G25" s="40" t="s">
        <v>407</v>
      </c>
      <c r="H25" s="35"/>
      <c r="I25" s="104"/>
      <c r="J25" s="35"/>
      <c r="K25" s="36"/>
      <c r="L25" s="36"/>
      <c r="M25" s="36"/>
      <c r="N25" s="36"/>
      <c r="O25" s="36"/>
      <c r="P25" s="36"/>
      <c r="Q25" s="36"/>
      <c r="R25" s="36"/>
      <c r="S25" s="36"/>
      <c r="T25" s="36"/>
      <c r="U25" s="36"/>
      <c r="V25" s="36"/>
      <c r="W25" s="36"/>
      <c r="X25" s="36"/>
      <c r="Y25" s="36"/>
      <c r="Z25" s="36"/>
      <c r="AA25" s="36"/>
      <c r="AB25" s="36"/>
      <c r="AC25" s="36"/>
    </row>
    <row r="26" spans="1:29" ht="29.25" customHeight="1">
      <c r="A26" s="126" t="s">
        <v>434</v>
      </c>
      <c r="B26" s="127">
        <v>43918</v>
      </c>
      <c r="C26" s="55" t="s">
        <v>435</v>
      </c>
      <c r="D26" s="130" t="s">
        <v>436</v>
      </c>
      <c r="E26" s="55" t="s">
        <v>437</v>
      </c>
      <c r="F26" s="40" t="s">
        <v>438</v>
      </c>
      <c r="G26" s="40" t="s">
        <v>407</v>
      </c>
      <c r="H26" s="35"/>
      <c r="I26" s="104"/>
      <c r="J26" s="35"/>
      <c r="K26" s="36"/>
      <c r="L26" s="36"/>
      <c r="M26" s="36"/>
      <c r="N26" s="36"/>
      <c r="O26" s="36"/>
      <c r="P26" s="36"/>
      <c r="Q26" s="36"/>
      <c r="R26" s="36"/>
      <c r="S26" s="36"/>
      <c r="T26" s="36"/>
      <c r="U26" s="36"/>
      <c r="V26" s="36"/>
      <c r="W26" s="36"/>
      <c r="X26" s="36"/>
      <c r="Y26" s="36"/>
      <c r="Z26" s="36"/>
      <c r="AA26" s="36"/>
      <c r="AB26" s="36"/>
      <c r="AC26" s="36"/>
    </row>
    <row r="27" spans="1:29" ht="29.25" customHeight="1">
      <c r="A27" s="126" t="s">
        <v>439</v>
      </c>
      <c r="B27" s="127">
        <v>43934</v>
      </c>
      <c r="C27" s="55" t="s">
        <v>430</v>
      </c>
      <c r="D27" s="129" t="s">
        <v>440</v>
      </c>
      <c r="E27" s="55" t="s">
        <v>41</v>
      </c>
      <c r="F27" s="40" t="s">
        <v>42</v>
      </c>
      <c r="G27" s="40" t="s">
        <v>407</v>
      </c>
      <c r="H27" s="35"/>
      <c r="I27" s="104"/>
      <c r="J27" s="35"/>
      <c r="K27" s="36"/>
      <c r="L27" s="36"/>
      <c r="M27" s="36"/>
      <c r="N27" s="36"/>
      <c r="O27" s="36"/>
      <c r="P27" s="36"/>
      <c r="Q27" s="36"/>
      <c r="R27" s="36"/>
      <c r="S27" s="36"/>
      <c r="T27" s="36"/>
      <c r="U27" s="36"/>
      <c r="V27" s="36"/>
      <c r="W27" s="36"/>
      <c r="X27" s="36"/>
      <c r="Y27" s="36"/>
      <c r="Z27" s="36"/>
      <c r="AA27" s="36"/>
      <c r="AB27" s="36"/>
      <c r="AC27" s="36"/>
    </row>
    <row r="28" spans="1:29" ht="12" customHeight="1">
      <c r="A28" s="131" t="s">
        <v>441</v>
      </c>
      <c r="B28" s="127">
        <v>43978</v>
      </c>
      <c r="C28" s="40" t="s">
        <v>419</v>
      </c>
      <c r="D28" s="132" t="s">
        <v>442</v>
      </c>
      <c r="E28" s="55" t="s">
        <v>41</v>
      </c>
      <c r="F28" s="40" t="s">
        <v>42</v>
      </c>
      <c r="G28" s="40" t="s">
        <v>407</v>
      </c>
      <c r="H28" s="35"/>
      <c r="I28" s="104"/>
      <c r="J28" s="35"/>
      <c r="K28" s="36"/>
      <c r="L28" s="36"/>
      <c r="M28" s="36"/>
      <c r="N28" s="36"/>
      <c r="O28" s="36"/>
      <c r="P28" s="36"/>
      <c r="Q28" s="36"/>
      <c r="R28" s="36"/>
      <c r="S28" s="36"/>
      <c r="T28" s="36"/>
      <c r="U28" s="36"/>
      <c r="V28" s="36"/>
      <c r="W28" s="36"/>
      <c r="X28" s="36"/>
      <c r="Y28" s="36"/>
      <c r="Z28" s="36"/>
      <c r="AA28" s="36"/>
      <c r="AB28" s="36"/>
      <c r="AC28" s="36"/>
    </row>
    <row r="29" spans="1:29" ht="12" customHeight="1">
      <c r="A29" s="126" t="s">
        <v>443</v>
      </c>
      <c r="B29" s="127">
        <v>44083</v>
      </c>
      <c r="C29" s="55" t="s">
        <v>430</v>
      </c>
      <c r="D29" s="133" t="s">
        <v>444</v>
      </c>
      <c r="E29" s="55" t="s">
        <v>41</v>
      </c>
      <c r="F29" s="40" t="s">
        <v>42</v>
      </c>
      <c r="G29" s="40" t="s">
        <v>407</v>
      </c>
      <c r="H29" s="35"/>
      <c r="I29" s="104"/>
      <c r="J29" s="35"/>
      <c r="K29" s="36"/>
      <c r="L29" s="36"/>
      <c r="M29" s="36"/>
      <c r="N29" s="36"/>
      <c r="O29" s="36"/>
      <c r="P29" s="36"/>
      <c r="Q29" s="36"/>
      <c r="R29" s="36"/>
      <c r="S29" s="36"/>
      <c r="T29" s="36"/>
      <c r="U29" s="36"/>
      <c r="V29" s="36"/>
      <c r="W29" s="36"/>
      <c r="X29" s="36"/>
      <c r="Y29" s="36"/>
      <c r="Z29" s="36"/>
      <c r="AA29" s="36"/>
      <c r="AB29" s="36"/>
      <c r="AC29" s="36"/>
    </row>
    <row r="30" spans="1:29" ht="12" customHeight="1">
      <c r="A30" s="126" t="s">
        <v>445</v>
      </c>
      <c r="B30" s="103">
        <v>44134</v>
      </c>
      <c r="C30" s="55" t="s">
        <v>223</v>
      </c>
      <c r="D30" s="134" t="s">
        <v>446</v>
      </c>
      <c r="E30" s="55" t="s">
        <v>41</v>
      </c>
      <c r="F30" s="40" t="s">
        <v>42</v>
      </c>
      <c r="G30" s="40" t="s">
        <v>407</v>
      </c>
      <c r="H30" s="35"/>
      <c r="I30" s="104"/>
      <c r="J30" s="35"/>
      <c r="K30" s="36"/>
      <c r="L30" s="36"/>
      <c r="M30" s="36"/>
      <c r="N30" s="36"/>
      <c r="O30" s="36"/>
      <c r="P30" s="36"/>
      <c r="Q30" s="36"/>
      <c r="R30" s="36"/>
      <c r="S30" s="36"/>
      <c r="T30" s="36"/>
      <c r="U30" s="36"/>
      <c r="V30" s="36"/>
      <c r="W30" s="36"/>
      <c r="X30" s="36"/>
      <c r="Y30" s="36"/>
      <c r="Z30" s="36"/>
      <c r="AA30" s="36"/>
      <c r="AB30" s="36"/>
      <c r="AC30" s="36"/>
    </row>
    <row r="31" spans="1:29" ht="12" customHeight="1">
      <c r="A31" s="126" t="s">
        <v>447</v>
      </c>
      <c r="B31" s="127">
        <v>44109</v>
      </c>
      <c r="C31" s="55" t="s">
        <v>223</v>
      </c>
      <c r="D31" s="134" t="s">
        <v>448</v>
      </c>
      <c r="E31" s="55" t="s">
        <v>41</v>
      </c>
      <c r="F31" s="40" t="s">
        <v>42</v>
      </c>
      <c r="G31" s="40" t="s">
        <v>407</v>
      </c>
      <c r="H31" s="35"/>
      <c r="I31" s="104"/>
      <c r="J31" s="35"/>
      <c r="K31" s="36"/>
      <c r="L31" s="36"/>
      <c r="M31" s="36"/>
      <c r="N31" s="36"/>
      <c r="O31" s="36"/>
      <c r="P31" s="36"/>
      <c r="Q31" s="36"/>
      <c r="R31" s="36"/>
      <c r="S31" s="36"/>
      <c r="T31" s="36"/>
      <c r="U31" s="36"/>
      <c r="V31" s="36"/>
      <c r="W31" s="36"/>
      <c r="X31" s="36"/>
      <c r="Y31" s="36"/>
      <c r="Z31" s="36"/>
      <c r="AA31" s="36"/>
      <c r="AB31" s="36"/>
      <c r="AC31" s="36"/>
    </row>
    <row r="32" spans="1:29" ht="12" customHeight="1">
      <c r="A32" s="131" t="s">
        <v>449</v>
      </c>
      <c r="B32" s="135">
        <v>44264</v>
      </c>
      <c r="C32" s="55" t="s">
        <v>223</v>
      </c>
      <c r="D32" s="54" t="s">
        <v>450</v>
      </c>
      <c r="E32" s="55" t="s">
        <v>451</v>
      </c>
      <c r="F32" s="55" t="s">
        <v>452</v>
      </c>
      <c r="G32" s="40" t="s">
        <v>407</v>
      </c>
      <c r="H32" s="35"/>
      <c r="I32" s="104"/>
      <c r="J32" s="35"/>
      <c r="K32" s="36"/>
      <c r="L32" s="36"/>
      <c r="M32" s="36"/>
      <c r="N32" s="36"/>
      <c r="O32" s="36"/>
      <c r="P32" s="36"/>
      <c r="Q32" s="36"/>
      <c r="R32" s="36"/>
      <c r="S32" s="36"/>
      <c r="T32" s="36"/>
      <c r="U32" s="36"/>
      <c r="V32" s="36"/>
      <c r="W32" s="36"/>
      <c r="X32" s="36"/>
      <c r="Y32" s="36"/>
      <c r="Z32" s="36"/>
      <c r="AA32" s="36"/>
      <c r="AB32" s="36"/>
      <c r="AC32" s="36"/>
    </row>
    <row r="33" spans="1:29" ht="12" customHeight="1">
      <c r="A33" s="126" t="s">
        <v>453</v>
      </c>
      <c r="B33" s="135">
        <v>44376</v>
      </c>
      <c r="C33" s="115" t="s">
        <v>39</v>
      </c>
      <c r="D33" s="136" t="s">
        <v>454</v>
      </c>
      <c r="E33" s="55" t="s">
        <v>41</v>
      </c>
      <c r="F33" s="40" t="s">
        <v>42</v>
      </c>
      <c r="G33" s="40" t="s">
        <v>407</v>
      </c>
      <c r="H33" s="35"/>
      <c r="I33" s="104"/>
      <c r="J33" s="35"/>
      <c r="K33" s="36"/>
      <c r="L33" s="36"/>
      <c r="M33" s="36"/>
      <c r="N33" s="36"/>
      <c r="O33" s="36"/>
      <c r="P33" s="36"/>
      <c r="Q33" s="36"/>
      <c r="R33" s="36"/>
      <c r="S33" s="36"/>
      <c r="T33" s="36"/>
      <c r="U33" s="36"/>
      <c r="V33" s="36"/>
      <c r="W33" s="36"/>
      <c r="X33" s="36"/>
      <c r="Y33" s="36"/>
      <c r="Z33" s="36"/>
      <c r="AA33" s="36"/>
      <c r="AB33" s="36"/>
      <c r="AC33" s="36"/>
    </row>
    <row r="34" spans="1:29" ht="12" customHeight="1">
      <c r="A34" s="126" t="s">
        <v>455</v>
      </c>
      <c r="B34" s="135">
        <v>44393</v>
      </c>
      <c r="C34" s="55" t="s">
        <v>334</v>
      </c>
      <c r="D34" s="54" t="s">
        <v>456</v>
      </c>
      <c r="E34" s="55" t="s">
        <v>41</v>
      </c>
      <c r="F34" s="40" t="s">
        <v>42</v>
      </c>
      <c r="G34" s="40" t="s">
        <v>407</v>
      </c>
      <c r="H34" s="35"/>
      <c r="I34" s="104"/>
      <c r="J34" s="35"/>
      <c r="K34" s="36"/>
      <c r="L34" s="36"/>
      <c r="M34" s="36"/>
      <c r="N34" s="36"/>
      <c r="O34" s="36"/>
      <c r="P34" s="36"/>
      <c r="Q34" s="36"/>
      <c r="R34" s="36"/>
      <c r="S34" s="36"/>
      <c r="T34" s="36"/>
      <c r="U34" s="36"/>
      <c r="V34" s="36"/>
      <c r="W34" s="36"/>
      <c r="X34" s="36"/>
      <c r="Y34" s="36"/>
      <c r="Z34" s="36"/>
      <c r="AA34" s="36"/>
      <c r="AB34" s="36"/>
      <c r="AC34" s="36"/>
    </row>
    <row r="35" spans="1:29" ht="12" customHeight="1">
      <c r="A35" s="126" t="s">
        <v>457</v>
      </c>
      <c r="B35" s="137">
        <v>44530</v>
      </c>
      <c r="C35" s="55" t="s">
        <v>458</v>
      </c>
      <c r="D35" s="138" t="s">
        <v>459</v>
      </c>
      <c r="E35" s="55" t="s">
        <v>41</v>
      </c>
      <c r="F35" s="55" t="s">
        <v>42</v>
      </c>
      <c r="G35" s="40" t="s">
        <v>407</v>
      </c>
      <c r="H35" s="35"/>
      <c r="I35" s="104"/>
      <c r="J35" s="35"/>
      <c r="K35" s="36"/>
      <c r="L35" s="36"/>
      <c r="M35" s="36"/>
      <c r="N35" s="36"/>
      <c r="O35" s="36"/>
      <c r="P35" s="36"/>
      <c r="Q35" s="36"/>
      <c r="R35" s="36"/>
      <c r="S35" s="36"/>
      <c r="T35" s="36"/>
      <c r="U35" s="36"/>
      <c r="V35" s="36"/>
      <c r="W35" s="36"/>
      <c r="X35" s="36"/>
      <c r="Y35" s="36"/>
      <c r="Z35" s="36"/>
      <c r="AA35" s="36"/>
      <c r="AB35" s="36"/>
      <c r="AC35" s="36"/>
    </row>
    <row r="36" spans="1:29" ht="12" customHeight="1">
      <c r="A36" s="126" t="s">
        <v>460</v>
      </c>
      <c r="B36" s="103">
        <v>44530</v>
      </c>
      <c r="C36" s="55" t="s">
        <v>458</v>
      </c>
      <c r="D36" s="139" t="s">
        <v>461</v>
      </c>
      <c r="E36" s="55" t="s">
        <v>41</v>
      </c>
      <c r="F36" s="55" t="s">
        <v>42</v>
      </c>
      <c r="G36" s="40" t="s">
        <v>407</v>
      </c>
      <c r="H36" s="35"/>
      <c r="I36" s="104"/>
      <c r="J36" s="35"/>
      <c r="K36" s="36"/>
      <c r="L36" s="36"/>
      <c r="M36" s="36"/>
      <c r="N36" s="36"/>
      <c r="O36" s="36"/>
      <c r="P36" s="36"/>
      <c r="Q36" s="36"/>
      <c r="R36" s="36"/>
      <c r="S36" s="36"/>
      <c r="T36" s="36"/>
      <c r="U36" s="36"/>
      <c r="V36" s="36"/>
      <c r="W36" s="36"/>
      <c r="X36" s="36"/>
      <c r="Y36" s="36"/>
      <c r="Z36" s="36"/>
      <c r="AA36" s="36"/>
      <c r="AB36" s="36"/>
      <c r="AC36" s="36"/>
    </row>
    <row r="37" spans="1:29" ht="12" customHeight="1">
      <c r="A37" s="52"/>
      <c r="B37" s="51"/>
      <c r="C37" s="51"/>
      <c r="D37" s="52"/>
      <c r="E37" s="51"/>
      <c r="F37" s="51"/>
      <c r="G37" s="140"/>
      <c r="H37" s="35"/>
      <c r="I37" s="104"/>
      <c r="J37" s="35"/>
      <c r="K37" s="36"/>
      <c r="L37" s="36"/>
      <c r="M37" s="36"/>
      <c r="N37" s="36"/>
      <c r="O37" s="36"/>
      <c r="P37" s="36"/>
      <c r="Q37" s="36"/>
      <c r="R37" s="36"/>
      <c r="S37" s="36"/>
      <c r="T37" s="36"/>
      <c r="U37" s="36"/>
      <c r="V37" s="36"/>
      <c r="W37" s="36"/>
      <c r="X37" s="36"/>
      <c r="Y37" s="36"/>
      <c r="Z37" s="36"/>
      <c r="AA37" s="36"/>
      <c r="AB37" s="36"/>
      <c r="AC37" s="36"/>
    </row>
  </sheetData>
  <autoFilter ref="A5:AC36" xr:uid="{00000000-0009-0000-0000-000003000000}"/>
  <mergeCells count="3">
    <mergeCell ref="A1:I1"/>
    <mergeCell ref="A2:G2"/>
    <mergeCell ref="A4:G4"/>
  </mergeCells>
  <hyperlinks>
    <hyperlink ref="G3" location="Menu por Procesos!A1" display="MENU" xr:uid="{00000000-0004-0000-0300-000000000000}"/>
    <hyperlink ref="A24" r:id="rId1" xr:uid="{00000000-0004-0000-0300-000001000000}"/>
    <hyperlink ref="A25" r:id="rId2" xr:uid="{00000000-0004-0000-0300-000002000000}"/>
    <hyperlink ref="A26" r:id="rId3" xr:uid="{00000000-0004-0000-0300-000003000000}"/>
    <hyperlink ref="A27" r:id="rId4" xr:uid="{00000000-0004-0000-0300-000004000000}"/>
    <hyperlink ref="A28" r:id="rId5" xr:uid="{00000000-0004-0000-0300-000005000000}"/>
    <hyperlink ref="A29" r:id="rId6" xr:uid="{00000000-0004-0000-0300-000006000000}"/>
    <hyperlink ref="A30" r:id="rId7" xr:uid="{00000000-0004-0000-0300-000007000000}"/>
    <hyperlink ref="A31" r:id="rId8" xr:uid="{00000000-0004-0000-0300-000008000000}"/>
    <hyperlink ref="A32" r:id="rId9" xr:uid="{00000000-0004-0000-0300-000009000000}"/>
    <hyperlink ref="A33" r:id="rId10" xr:uid="{00000000-0004-0000-0300-00000A000000}"/>
    <hyperlink ref="A34" r:id="rId11" xr:uid="{00000000-0004-0000-0300-00000B000000}"/>
    <hyperlink ref="A35" r:id="rId12" xr:uid="{00000000-0004-0000-0300-00000C000000}"/>
    <hyperlink ref="A36" r:id="rId13" xr:uid="{00000000-0004-0000-0300-00000D000000}"/>
  </hyperlinks>
  <pageMargins left="0.7" right="0.7" top="0.75" bottom="0.75" header="0" footer="0"/>
  <pageSetup orientation="landscape"/>
  <drawing r:id="rId14"/>
  <legacyDrawing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
  <sheetViews>
    <sheetView workbookViewId="0"/>
  </sheetViews>
  <sheetFormatPr baseColWidth="10" defaultColWidth="14.42578125" defaultRowHeight="15" customHeight="1"/>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9D18E"/>
  </sheetPr>
  <dimension ref="A1:AB2420"/>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774"/>
      <c r="B1" s="769"/>
      <c r="C1" s="769"/>
      <c r="D1" s="769"/>
      <c r="E1" s="769"/>
      <c r="F1" s="769"/>
      <c r="G1" s="769"/>
      <c r="H1" s="769"/>
      <c r="I1" s="141"/>
      <c r="J1" s="18"/>
      <c r="K1" s="18"/>
      <c r="L1" s="18"/>
      <c r="M1" s="18"/>
      <c r="N1" s="18"/>
      <c r="O1" s="18"/>
      <c r="P1" s="18"/>
      <c r="Q1" s="18"/>
      <c r="R1" s="18"/>
      <c r="S1" s="18"/>
      <c r="T1" s="18"/>
      <c r="U1" s="18"/>
      <c r="V1" s="18"/>
      <c r="W1" s="18"/>
      <c r="X1" s="18"/>
      <c r="Y1" s="18"/>
      <c r="Z1" s="18"/>
      <c r="AA1" s="18"/>
      <c r="AB1" s="18"/>
    </row>
    <row r="2" spans="1:28" ht="45" customHeight="1">
      <c r="A2" s="767" t="s">
        <v>28</v>
      </c>
      <c r="B2" s="765"/>
      <c r="C2" s="765"/>
      <c r="D2" s="765"/>
      <c r="E2" s="765"/>
      <c r="F2" s="766"/>
      <c r="G2" s="110"/>
      <c r="H2" s="111"/>
      <c r="I2" s="17"/>
      <c r="J2" s="18"/>
      <c r="K2" s="18"/>
      <c r="L2" s="18"/>
      <c r="M2" s="18"/>
      <c r="N2" s="18"/>
      <c r="O2" s="18"/>
      <c r="P2" s="18"/>
      <c r="Q2" s="18"/>
      <c r="R2" s="18"/>
      <c r="S2" s="18"/>
      <c r="T2" s="18"/>
      <c r="U2" s="18"/>
      <c r="V2" s="18"/>
      <c r="W2" s="18"/>
      <c r="X2" s="18"/>
      <c r="Y2" s="18"/>
      <c r="Z2" s="18"/>
      <c r="AA2" s="18"/>
      <c r="AB2" s="18"/>
    </row>
    <row r="3" spans="1:28" ht="27.75" customHeight="1">
      <c r="A3" s="75" t="s">
        <v>462</v>
      </c>
      <c r="B3" s="19"/>
      <c r="C3" s="19"/>
      <c r="D3" s="19"/>
      <c r="E3" s="19"/>
      <c r="F3" s="20" t="s">
        <v>30</v>
      </c>
      <c r="G3" s="112"/>
      <c r="H3" s="113"/>
      <c r="I3" s="17"/>
      <c r="J3" s="18"/>
      <c r="K3" s="18"/>
      <c r="L3" s="18"/>
      <c r="M3" s="18"/>
      <c r="N3" s="18"/>
      <c r="O3" s="18"/>
      <c r="P3" s="18"/>
      <c r="Q3" s="18"/>
      <c r="R3" s="18"/>
      <c r="S3" s="18"/>
      <c r="T3" s="18"/>
      <c r="U3" s="18"/>
      <c r="V3" s="18"/>
      <c r="W3" s="18"/>
      <c r="X3" s="18"/>
      <c r="Y3" s="18"/>
      <c r="Z3" s="18"/>
      <c r="AA3" s="18"/>
      <c r="AB3" s="18"/>
    </row>
    <row r="4" spans="1:28" ht="33" customHeight="1">
      <c r="A4" s="775" t="s">
        <v>463</v>
      </c>
      <c r="B4" s="765"/>
      <c r="C4" s="765"/>
      <c r="D4" s="765"/>
      <c r="E4" s="765"/>
      <c r="F4" s="766"/>
      <c r="G4" s="16"/>
      <c r="H4" s="22"/>
      <c r="I4" s="17"/>
      <c r="J4" s="18"/>
      <c r="K4" s="18"/>
      <c r="L4" s="18"/>
      <c r="M4" s="18"/>
      <c r="N4" s="18"/>
      <c r="O4" s="18"/>
      <c r="P4" s="18"/>
      <c r="Q4" s="18"/>
      <c r="R4" s="18"/>
      <c r="S4" s="18"/>
      <c r="T4" s="18"/>
      <c r="U4" s="18"/>
      <c r="V4" s="18"/>
      <c r="W4" s="18"/>
      <c r="X4" s="18"/>
      <c r="Y4" s="18"/>
      <c r="Z4" s="18"/>
      <c r="AA4" s="18"/>
      <c r="AB4" s="18"/>
    </row>
    <row r="5" spans="1:28" ht="34.5" customHeight="1">
      <c r="A5" s="76" t="s">
        <v>235</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ht="19.5" hidden="1" customHeight="1">
      <c r="A6" s="67" t="str">
        <f>HYPERLINK("https://www.alcaldiabogota.gov.co/sisjur/normas/Norma1.jsp?i=39535","LEY 57   ")</f>
        <v xml:space="preserve">LEY 57   </v>
      </c>
      <c r="B6" s="64">
        <v>1887</v>
      </c>
      <c r="C6" s="142" t="s">
        <v>238</v>
      </c>
      <c r="D6" s="33" t="s">
        <v>464</v>
      </c>
      <c r="E6" s="32" t="s">
        <v>41</v>
      </c>
      <c r="F6" s="32" t="s">
        <v>42</v>
      </c>
      <c r="G6" s="116" t="s">
        <v>43</v>
      </c>
      <c r="H6" s="117" t="s">
        <v>240</v>
      </c>
      <c r="I6" s="35"/>
      <c r="J6" s="36"/>
      <c r="K6" s="36"/>
      <c r="L6" s="36"/>
      <c r="M6" s="36"/>
      <c r="N6" s="36"/>
      <c r="O6" s="36"/>
      <c r="P6" s="36"/>
      <c r="Q6" s="36"/>
      <c r="R6" s="36"/>
      <c r="S6" s="36"/>
      <c r="T6" s="36"/>
      <c r="U6" s="36"/>
      <c r="V6" s="36"/>
      <c r="W6" s="36"/>
      <c r="X6" s="36"/>
      <c r="Y6" s="36"/>
      <c r="Z6" s="36"/>
      <c r="AA6" s="36"/>
      <c r="AB6" s="36"/>
    </row>
    <row r="7" spans="1:28" ht="23.25" hidden="1" customHeight="1">
      <c r="A7" s="67" t="str">
        <f>HYPERLINK("https://www.alcaldiabogota.gov.co/sisjur/normas/Norma1.jsp?i=1177","LEY 9")</f>
        <v>LEY 9</v>
      </c>
      <c r="B7" s="64">
        <v>1979</v>
      </c>
      <c r="C7" s="142" t="s">
        <v>39</v>
      </c>
      <c r="D7" s="33" t="s">
        <v>465</v>
      </c>
      <c r="E7" s="32" t="s">
        <v>41</v>
      </c>
      <c r="F7" s="32" t="s">
        <v>42</v>
      </c>
      <c r="G7" s="116" t="s">
        <v>43</v>
      </c>
      <c r="H7" s="117" t="s">
        <v>240</v>
      </c>
      <c r="I7" s="35"/>
      <c r="J7" s="36"/>
      <c r="K7" s="36"/>
      <c r="L7" s="36"/>
      <c r="M7" s="36"/>
      <c r="N7" s="36"/>
      <c r="O7" s="36"/>
      <c r="P7" s="36"/>
      <c r="Q7" s="36"/>
      <c r="R7" s="36"/>
      <c r="S7" s="36"/>
      <c r="T7" s="36"/>
      <c r="U7" s="36"/>
      <c r="V7" s="36"/>
      <c r="W7" s="36"/>
      <c r="X7" s="36"/>
      <c r="Y7" s="36"/>
      <c r="Z7" s="36"/>
      <c r="AA7" s="36"/>
      <c r="AB7" s="36"/>
    </row>
    <row r="8" spans="1:28" ht="24" hidden="1" customHeight="1">
      <c r="A8" s="67" t="str">
        <f>HYPERLINK("https://www.alcaldiabogota.gov.co/sisjur/normas/Norma1.jsp?i=304","LEY 80")</f>
        <v>LEY 80</v>
      </c>
      <c r="B8" s="64">
        <v>1993</v>
      </c>
      <c r="C8" s="142" t="s">
        <v>39</v>
      </c>
      <c r="D8" s="33" t="s">
        <v>246</v>
      </c>
      <c r="E8" s="32" t="s">
        <v>41</v>
      </c>
      <c r="F8" s="32" t="s">
        <v>42</v>
      </c>
      <c r="G8" s="116" t="s">
        <v>43</v>
      </c>
      <c r="H8" s="117" t="s">
        <v>240</v>
      </c>
      <c r="I8" s="35"/>
      <c r="J8" s="36"/>
      <c r="K8" s="36"/>
      <c r="L8" s="36"/>
      <c r="M8" s="36"/>
      <c r="N8" s="36"/>
      <c r="O8" s="36"/>
      <c r="P8" s="36"/>
      <c r="Q8" s="36"/>
      <c r="R8" s="36"/>
      <c r="S8" s="36"/>
      <c r="T8" s="36"/>
      <c r="U8" s="36"/>
      <c r="V8" s="36"/>
      <c r="W8" s="36"/>
      <c r="X8" s="36"/>
      <c r="Y8" s="36"/>
      <c r="Z8" s="36"/>
      <c r="AA8" s="36"/>
      <c r="AB8" s="36"/>
    </row>
    <row r="9" spans="1:28" ht="24" hidden="1" customHeight="1">
      <c r="A9" s="67" t="str">
        <f>HYPERLINK("https://www.alcaldiabogota.gov.co/sisjur/normas/Norma1.jsp?i=300","LEY 87")</f>
        <v>LEY 87</v>
      </c>
      <c r="B9" s="64">
        <v>1993</v>
      </c>
      <c r="C9" s="142" t="s">
        <v>39</v>
      </c>
      <c r="D9" s="33" t="s">
        <v>466</v>
      </c>
      <c r="E9" s="32" t="s">
        <v>41</v>
      </c>
      <c r="F9" s="32" t="s">
        <v>42</v>
      </c>
      <c r="G9" s="116" t="s">
        <v>43</v>
      </c>
      <c r="H9" s="117" t="s">
        <v>240</v>
      </c>
      <c r="I9" s="35"/>
      <c r="J9" s="36"/>
      <c r="K9" s="36"/>
      <c r="L9" s="36"/>
      <c r="M9" s="36"/>
      <c r="N9" s="36"/>
      <c r="O9" s="36"/>
      <c r="P9" s="36"/>
      <c r="Q9" s="36"/>
      <c r="R9" s="36"/>
      <c r="S9" s="36"/>
      <c r="T9" s="36"/>
      <c r="U9" s="36"/>
      <c r="V9" s="36"/>
      <c r="W9" s="36"/>
      <c r="X9" s="36"/>
      <c r="Y9" s="36"/>
      <c r="Z9" s="36"/>
      <c r="AA9" s="36"/>
      <c r="AB9" s="36"/>
    </row>
    <row r="10" spans="1:28" ht="48" hidden="1" customHeight="1">
      <c r="A10" s="67" t="str">
        <f>HYPERLINK("https://www.alcaldiabogota.gov.co/sisjur/normas/Norma1.jsp?i=297","LEY 99")</f>
        <v>LEY 99</v>
      </c>
      <c r="B10" s="64">
        <v>1993</v>
      </c>
      <c r="C10" s="142" t="s">
        <v>39</v>
      </c>
      <c r="D10" s="33" t="s">
        <v>467</v>
      </c>
      <c r="E10" s="32" t="s">
        <v>41</v>
      </c>
      <c r="F10" s="32" t="s">
        <v>42</v>
      </c>
      <c r="G10" s="116" t="s">
        <v>43</v>
      </c>
      <c r="H10" s="117" t="s">
        <v>240</v>
      </c>
      <c r="I10" s="35"/>
      <c r="J10" s="36"/>
      <c r="K10" s="36"/>
      <c r="L10" s="36"/>
      <c r="M10" s="36"/>
      <c r="N10" s="36"/>
      <c r="O10" s="36"/>
      <c r="P10" s="36"/>
      <c r="Q10" s="36"/>
      <c r="R10" s="36"/>
      <c r="S10" s="36"/>
      <c r="T10" s="36"/>
      <c r="U10" s="36"/>
      <c r="V10" s="36"/>
      <c r="W10" s="36"/>
      <c r="X10" s="36"/>
      <c r="Y10" s="36"/>
      <c r="Z10" s="36"/>
      <c r="AA10" s="36"/>
      <c r="AB10" s="36"/>
    </row>
    <row r="11" spans="1:28" ht="24" hidden="1" customHeight="1">
      <c r="A11" s="67" t="str">
        <f>HYPERLINK("https://www.alcaldiabogota.gov.co/sisjur/normas/Norma1.jsp?i=5248","LEY 100")</f>
        <v>LEY 100</v>
      </c>
      <c r="B11" s="32">
        <v>1993</v>
      </c>
      <c r="C11" s="142" t="s">
        <v>39</v>
      </c>
      <c r="D11" s="33" t="s">
        <v>468</v>
      </c>
      <c r="E11" s="32" t="s">
        <v>41</v>
      </c>
      <c r="F11" s="32" t="s">
        <v>42</v>
      </c>
      <c r="G11" s="116" t="s">
        <v>43</v>
      </c>
      <c r="H11" s="117" t="s">
        <v>240</v>
      </c>
      <c r="I11" s="35"/>
      <c r="J11" s="36"/>
      <c r="K11" s="36"/>
      <c r="L11" s="36"/>
      <c r="M11" s="36"/>
      <c r="N11" s="36"/>
      <c r="O11" s="36"/>
      <c r="P11" s="36"/>
      <c r="Q11" s="36"/>
      <c r="R11" s="36"/>
      <c r="S11" s="36"/>
      <c r="T11" s="36"/>
      <c r="U11" s="36"/>
      <c r="V11" s="36"/>
      <c r="W11" s="36"/>
      <c r="X11" s="36"/>
      <c r="Y11" s="36"/>
      <c r="Z11" s="36"/>
      <c r="AA11" s="36"/>
      <c r="AB11" s="36"/>
    </row>
    <row r="12" spans="1:28" ht="24" hidden="1" customHeight="1">
      <c r="A12" s="67" t="str">
        <f>HYPERLINK("https://www.alcaldiabogota.gov.co/sisjur/normas/Norma1.jsp?i=289#0","LEY 42")</f>
        <v>LEY 42</v>
      </c>
      <c r="B12" s="64">
        <v>1993</v>
      </c>
      <c r="C12" s="142" t="s">
        <v>39</v>
      </c>
      <c r="D12" s="33" t="s">
        <v>469</v>
      </c>
      <c r="E12" s="32" t="s">
        <v>41</v>
      </c>
      <c r="F12" s="32" t="s">
        <v>42</v>
      </c>
      <c r="G12" s="116" t="s">
        <v>43</v>
      </c>
      <c r="H12" s="117" t="s">
        <v>240</v>
      </c>
      <c r="I12" s="35"/>
      <c r="J12" s="36"/>
      <c r="K12" s="36"/>
      <c r="L12" s="36"/>
      <c r="M12" s="36"/>
      <c r="N12" s="36"/>
      <c r="O12" s="36"/>
      <c r="P12" s="36"/>
      <c r="Q12" s="36"/>
      <c r="R12" s="36"/>
      <c r="S12" s="36"/>
      <c r="T12" s="36"/>
      <c r="U12" s="36"/>
      <c r="V12" s="36"/>
      <c r="W12" s="36"/>
      <c r="X12" s="36"/>
      <c r="Y12" s="36"/>
      <c r="Z12" s="36"/>
      <c r="AA12" s="36"/>
      <c r="AB12" s="36"/>
    </row>
    <row r="13" spans="1:28" ht="24" hidden="1" customHeight="1">
      <c r="A13" s="67" t="str">
        <f>HYPERLINK("https://www.alcaldiabogota.gov.co/sisjur/normas/Norma1.jsp?i=2752","LEY 142")</f>
        <v>LEY 142</v>
      </c>
      <c r="B13" s="64">
        <v>1994</v>
      </c>
      <c r="C13" s="142" t="s">
        <v>39</v>
      </c>
      <c r="D13" s="33" t="s">
        <v>470</v>
      </c>
      <c r="E13" s="32" t="s">
        <v>41</v>
      </c>
      <c r="F13" s="32" t="s">
        <v>42</v>
      </c>
      <c r="G13" s="116" t="s">
        <v>43</v>
      </c>
      <c r="H13" s="117" t="s">
        <v>240</v>
      </c>
      <c r="I13" s="35"/>
      <c r="J13" s="36"/>
      <c r="K13" s="36"/>
      <c r="L13" s="36"/>
      <c r="M13" s="36"/>
      <c r="N13" s="36"/>
      <c r="O13" s="36"/>
      <c r="P13" s="36"/>
      <c r="Q13" s="36"/>
      <c r="R13" s="36"/>
      <c r="S13" s="36"/>
      <c r="T13" s="36"/>
      <c r="U13" s="36"/>
      <c r="V13" s="36"/>
      <c r="W13" s="36"/>
      <c r="X13" s="36"/>
      <c r="Y13" s="36"/>
      <c r="Z13" s="36"/>
      <c r="AA13" s="36"/>
      <c r="AB13" s="36"/>
    </row>
    <row r="14" spans="1:28" ht="36" hidden="1" customHeight="1">
      <c r="A14" s="67" t="str">
        <f>HYPERLINK("https://www.alcaldiabogota.gov.co/sisjur/normas/Norma1.jsp?i=3424","LEY 181")</f>
        <v>LEY 181</v>
      </c>
      <c r="B14" s="64">
        <v>1995</v>
      </c>
      <c r="C14" s="142" t="s">
        <v>39</v>
      </c>
      <c r="D14" s="33" t="s">
        <v>471</v>
      </c>
      <c r="E14" s="32" t="s">
        <v>41</v>
      </c>
      <c r="F14" s="32" t="s">
        <v>42</v>
      </c>
      <c r="G14" s="116" t="s">
        <v>43</v>
      </c>
      <c r="H14" s="117" t="s">
        <v>240</v>
      </c>
      <c r="I14" s="35"/>
      <c r="J14" s="36"/>
      <c r="K14" s="36"/>
      <c r="L14" s="36"/>
      <c r="M14" s="36"/>
      <c r="N14" s="36"/>
      <c r="O14" s="36"/>
      <c r="P14" s="36"/>
      <c r="Q14" s="36"/>
      <c r="R14" s="36"/>
      <c r="S14" s="36"/>
      <c r="T14" s="36"/>
      <c r="U14" s="36"/>
      <c r="V14" s="36"/>
      <c r="W14" s="36"/>
      <c r="X14" s="36"/>
      <c r="Y14" s="36"/>
      <c r="Z14" s="36"/>
      <c r="AA14" s="36"/>
      <c r="AB14" s="36"/>
    </row>
    <row r="15" spans="1:28" ht="48" hidden="1" customHeight="1">
      <c r="A15" s="67" t="str">
        <f>HYPERLINK("https://www.alcaldiabogota.gov.co/sisjur/normas/Norma1.jsp?i=6026","LEY 185")</f>
        <v>LEY 185</v>
      </c>
      <c r="B15" s="64">
        <v>1995</v>
      </c>
      <c r="C15" s="142" t="s">
        <v>39</v>
      </c>
      <c r="D15" s="33" t="s">
        <v>472</v>
      </c>
      <c r="E15" s="32" t="s">
        <v>41</v>
      </c>
      <c r="F15" s="32" t="s">
        <v>42</v>
      </c>
      <c r="G15" s="116" t="s">
        <v>43</v>
      </c>
      <c r="H15" s="117" t="s">
        <v>240</v>
      </c>
      <c r="I15" s="35"/>
      <c r="J15" s="36"/>
      <c r="K15" s="36"/>
      <c r="L15" s="36"/>
      <c r="M15" s="36"/>
      <c r="N15" s="36"/>
      <c r="O15" s="36"/>
      <c r="P15" s="36"/>
      <c r="Q15" s="36"/>
      <c r="R15" s="36"/>
      <c r="S15" s="36"/>
      <c r="T15" s="36"/>
      <c r="U15" s="36"/>
      <c r="V15" s="36"/>
      <c r="W15" s="36"/>
      <c r="X15" s="36"/>
      <c r="Y15" s="36"/>
      <c r="Z15" s="36"/>
      <c r="AA15" s="36"/>
      <c r="AB15" s="36"/>
    </row>
    <row r="16" spans="1:28" ht="36" hidden="1" customHeight="1">
      <c r="A16" s="67" t="str">
        <f>HYPERLINK("https://www.alcaldiabogota.gov.co/sisjur/normas/Norma1.jsp?i=321&amp;dt=S","LEY 190")</f>
        <v>LEY 190</v>
      </c>
      <c r="B16" s="64">
        <v>1995</v>
      </c>
      <c r="C16" s="142" t="s">
        <v>39</v>
      </c>
      <c r="D16" s="33" t="s">
        <v>409</v>
      </c>
      <c r="E16" s="32" t="s">
        <v>41</v>
      </c>
      <c r="F16" s="32" t="s">
        <v>42</v>
      </c>
      <c r="G16" s="116" t="s">
        <v>43</v>
      </c>
      <c r="H16" s="117" t="s">
        <v>240</v>
      </c>
      <c r="I16" s="35"/>
      <c r="J16" s="36"/>
      <c r="K16" s="36"/>
      <c r="L16" s="36"/>
      <c r="M16" s="36"/>
      <c r="N16" s="36"/>
      <c r="O16" s="36"/>
      <c r="P16" s="36"/>
      <c r="Q16" s="36"/>
      <c r="R16" s="36"/>
      <c r="S16" s="36"/>
      <c r="T16" s="36"/>
      <c r="U16" s="36"/>
      <c r="V16" s="36"/>
      <c r="W16" s="36"/>
      <c r="X16" s="36"/>
      <c r="Y16" s="36"/>
      <c r="Z16" s="36"/>
      <c r="AA16" s="36"/>
      <c r="AB16" s="36"/>
    </row>
    <row r="17" spans="1:28" ht="27" hidden="1" customHeight="1">
      <c r="A17" s="67" t="str">
        <f>HYPERLINK("https://www.alcaldiabogota.gov.co/sisjur/normas/Norma1.jsp?i=318","LEY 200")</f>
        <v>LEY 200</v>
      </c>
      <c r="B17" s="64">
        <v>1995</v>
      </c>
      <c r="C17" s="142" t="s">
        <v>39</v>
      </c>
      <c r="D17" s="33" t="s">
        <v>473</v>
      </c>
      <c r="E17" s="32" t="s">
        <v>41</v>
      </c>
      <c r="F17" s="32" t="s">
        <v>42</v>
      </c>
      <c r="G17" s="116" t="s">
        <v>43</v>
      </c>
      <c r="H17" s="117" t="s">
        <v>240</v>
      </c>
      <c r="I17" s="35"/>
      <c r="J17" s="36"/>
      <c r="K17" s="36"/>
      <c r="L17" s="36"/>
      <c r="M17" s="36"/>
      <c r="N17" s="36"/>
      <c r="O17" s="36"/>
      <c r="P17" s="36"/>
      <c r="Q17" s="36"/>
      <c r="R17" s="36"/>
      <c r="S17" s="36"/>
      <c r="T17" s="36"/>
      <c r="U17" s="36"/>
      <c r="V17" s="36"/>
      <c r="W17" s="36"/>
      <c r="X17" s="36"/>
      <c r="Y17" s="36"/>
      <c r="Z17" s="36"/>
      <c r="AA17" s="36"/>
      <c r="AB17" s="36"/>
    </row>
    <row r="18" spans="1:28" ht="24" hidden="1" customHeight="1">
      <c r="A18" s="67" t="str">
        <f>HYPERLINK("https://www.alcaldiabogota.gov.co/sisjur/normas/Norma1.jsp?i=6968","LEY 223")</f>
        <v>LEY 223</v>
      </c>
      <c r="B18" s="64">
        <v>1995</v>
      </c>
      <c r="C18" s="142" t="s">
        <v>39</v>
      </c>
      <c r="D18" s="33" t="s">
        <v>474</v>
      </c>
      <c r="E18" s="32" t="s">
        <v>41</v>
      </c>
      <c r="F18" s="32" t="s">
        <v>42</v>
      </c>
      <c r="G18" s="116" t="s">
        <v>43</v>
      </c>
      <c r="H18" s="117" t="s">
        <v>240</v>
      </c>
      <c r="I18" s="35"/>
      <c r="J18" s="36"/>
      <c r="K18" s="36"/>
      <c r="L18" s="36"/>
      <c r="M18" s="36"/>
      <c r="N18" s="36"/>
      <c r="O18" s="36"/>
      <c r="P18" s="36"/>
      <c r="Q18" s="36"/>
      <c r="R18" s="36"/>
      <c r="S18" s="36"/>
      <c r="T18" s="36"/>
      <c r="U18" s="36"/>
      <c r="V18" s="36"/>
      <c r="W18" s="36"/>
      <c r="X18" s="36"/>
      <c r="Y18" s="36"/>
      <c r="Z18" s="36"/>
      <c r="AA18" s="36"/>
      <c r="AB18" s="36"/>
    </row>
    <row r="19" spans="1:28" ht="24" hidden="1" customHeight="1">
      <c r="A19" s="67" t="str">
        <f>HYPERLINK("https://www.alcaldiabogota.gov.co/sisjur/normas/Norma1.jsp?i=343","LEY 361")</f>
        <v>LEY 361</v>
      </c>
      <c r="B19" s="64">
        <v>1997</v>
      </c>
      <c r="C19" s="142" t="s">
        <v>39</v>
      </c>
      <c r="D19" s="33" t="s">
        <v>475</v>
      </c>
      <c r="E19" s="32" t="s">
        <v>41</v>
      </c>
      <c r="F19" s="32" t="s">
        <v>42</v>
      </c>
      <c r="G19" s="116" t="s">
        <v>43</v>
      </c>
      <c r="H19" s="117" t="s">
        <v>240</v>
      </c>
      <c r="I19" s="35"/>
      <c r="J19" s="36"/>
      <c r="K19" s="36"/>
      <c r="L19" s="36"/>
      <c r="M19" s="36"/>
      <c r="N19" s="36"/>
      <c r="O19" s="36"/>
      <c r="P19" s="36"/>
      <c r="Q19" s="36"/>
      <c r="R19" s="36"/>
      <c r="S19" s="36"/>
      <c r="T19" s="36"/>
      <c r="U19" s="36"/>
      <c r="V19" s="36"/>
      <c r="W19" s="36"/>
      <c r="X19" s="36"/>
      <c r="Y19" s="36"/>
      <c r="Z19" s="36"/>
      <c r="AA19" s="36"/>
      <c r="AB19" s="36"/>
    </row>
    <row r="20" spans="1:28" ht="24" hidden="1" customHeight="1">
      <c r="A20" s="67" t="str">
        <f>HYPERLINK("https://www.alcaldiabogota.gov.co/sisjur/normas/Norma1.jsp?i=342#0","LEY 373")</f>
        <v>LEY 373</v>
      </c>
      <c r="B20" s="64">
        <v>1997</v>
      </c>
      <c r="C20" s="143" t="s">
        <v>39</v>
      </c>
      <c r="D20" s="33" t="s">
        <v>476</v>
      </c>
      <c r="E20" s="32" t="s">
        <v>41</v>
      </c>
      <c r="F20" s="32" t="s">
        <v>42</v>
      </c>
      <c r="G20" s="116" t="s">
        <v>43</v>
      </c>
      <c r="H20" s="117" t="s">
        <v>240</v>
      </c>
      <c r="I20" s="35"/>
      <c r="J20" s="36"/>
      <c r="K20" s="36"/>
      <c r="L20" s="36"/>
      <c r="M20" s="36"/>
      <c r="N20" s="36"/>
      <c r="O20" s="36"/>
      <c r="P20" s="36"/>
      <c r="Q20" s="36"/>
      <c r="R20" s="36"/>
      <c r="S20" s="36"/>
      <c r="T20" s="36"/>
      <c r="U20" s="36"/>
      <c r="V20" s="36"/>
      <c r="W20" s="36"/>
      <c r="X20" s="36"/>
      <c r="Y20" s="36"/>
      <c r="Z20" s="36"/>
      <c r="AA20" s="36"/>
      <c r="AB20" s="36"/>
    </row>
    <row r="21" spans="1:28" ht="24" hidden="1" customHeight="1">
      <c r="A21" s="67" t="str">
        <f>HYPERLINK("https://www.alcaldiabogota.gov.co/sisjur/normas/Norma1.jsp?i=341","LEY 383")</f>
        <v>LEY 383</v>
      </c>
      <c r="B21" s="64">
        <v>1997</v>
      </c>
      <c r="C21" s="142" t="s">
        <v>39</v>
      </c>
      <c r="D21" s="33" t="s">
        <v>477</v>
      </c>
      <c r="E21" s="32" t="s">
        <v>41</v>
      </c>
      <c r="F21" s="32" t="s">
        <v>42</v>
      </c>
      <c r="G21" s="116" t="s">
        <v>43</v>
      </c>
      <c r="H21" s="117" t="s">
        <v>240</v>
      </c>
      <c r="I21" s="35"/>
      <c r="J21" s="36"/>
      <c r="K21" s="36"/>
      <c r="L21" s="36"/>
      <c r="M21" s="36"/>
      <c r="N21" s="36"/>
      <c r="O21" s="36"/>
      <c r="P21" s="36"/>
      <c r="Q21" s="36"/>
      <c r="R21" s="36"/>
      <c r="S21" s="36"/>
      <c r="T21" s="36"/>
      <c r="U21" s="36"/>
      <c r="V21" s="36"/>
      <c r="W21" s="36"/>
      <c r="X21" s="36"/>
      <c r="Y21" s="36"/>
      <c r="Z21" s="36"/>
      <c r="AA21" s="36"/>
      <c r="AB21" s="36"/>
    </row>
    <row r="22" spans="1:28" ht="24" hidden="1" customHeight="1">
      <c r="A22" s="67" t="str">
        <f>HYPERLINK("https://www.alcaldiabogota.gov.co/sisjur/normas/Norma1.jsp?i=339#1","LEY 388")</f>
        <v>LEY 388</v>
      </c>
      <c r="B22" s="64">
        <v>1997</v>
      </c>
      <c r="C22" s="142" t="s">
        <v>39</v>
      </c>
      <c r="D22" s="33" t="s">
        <v>478</v>
      </c>
      <c r="E22" s="32" t="s">
        <v>41</v>
      </c>
      <c r="F22" s="32" t="s">
        <v>42</v>
      </c>
      <c r="G22" s="116" t="s">
        <v>43</v>
      </c>
      <c r="H22" s="117" t="s">
        <v>240</v>
      </c>
      <c r="I22" s="35"/>
      <c r="J22" s="36"/>
      <c r="K22" s="36"/>
      <c r="L22" s="36"/>
      <c r="M22" s="36"/>
      <c r="N22" s="36"/>
      <c r="O22" s="36"/>
      <c r="P22" s="36"/>
      <c r="Q22" s="36"/>
      <c r="R22" s="36"/>
      <c r="S22" s="36"/>
      <c r="T22" s="36"/>
      <c r="U22" s="36"/>
      <c r="V22" s="36"/>
      <c r="W22" s="36"/>
      <c r="X22" s="36"/>
      <c r="Y22" s="36"/>
      <c r="Z22" s="36"/>
      <c r="AA22" s="36"/>
      <c r="AB22" s="36"/>
    </row>
    <row r="23" spans="1:28" ht="36" hidden="1" customHeight="1">
      <c r="A23" s="67" t="str">
        <f>HYPERLINK("https://www.alcaldiabogota.gov.co/sisjur/normas/Norma1.jsp?i=6091","LEY 448")</f>
        <v>LEY 448</v>
      </c>
      <c r="B23" s="64">
        <v>1998</v>
      </c>
      <c r="C23" s="142" t="s">
        <v>39</v>
      </c>
      <c r="D23" s="33" t="s">
        <v>479</v>
      </c>
      <c r="E23" s="32" t="s">
        <v>41</v>
      </c>
      <c r="F23" s="32" t="s">
        <v>42</v>
      </c>
      <c r="G23" s="116" t="s">
        <v>43</v>
      </c>
      <c r="H23" s="117" t="s">
        <v>240</v>
      </c>
      <c r="I23" s="35"/>
      <c r="J23" s="36"/>
      <c r="K23" s="36"/>
      <c r="L23" s="36"/>
      <c r="M23" s="36"/>
      <c r="N23" s="36"/>
      <c r="O23" s="36"/>
      <c r="P23" s="36"/>
      <c r="Q23" s="36"/>
      <c r="R23" s="36"/>
      <c r="S23" s="36"/>
      <c r="T23" s="36"/>
      <c r="U23" s="36"/>
      <c r="V23" s="36"/>
      <c r="W23" s="36"/>
      <c r="X23" s="36"/>
      <c r="Y23" s="36"/>
      <c r="Z23" s="36"/>
      <c r="AA23" s="36"/>
      <c r="AB23" s="36"/>
    </row>
    <row r="24" spans="1:28" ht="60" hidden="1" customHeight="1">
      <c r="A24" s="67" t="str">
        <f>HYPERLINK("https://www.alcaldiabogota.gov.co/sisjur/normas/Norma1.jsp?i=186","LEY 489")</f>
        <v>LEY 489</v>
      </c>
      <c r="B24" s="64">
        <v>1998</v>
      </c>
      <c r="C24" s="142" t="s">
        <v>39</v>
      </c>
      <c r="D24" s="33" t="s">
        <v>265</v>
      </c>
      <c r="E24" s="32" t="s">
        <v>41</v>
      </c>
      <c r="F24" s="32" t="s">
        <v>42</v>
      </c>
      <c r="G24" s="116" t="s">
        <v>43</v>
      </c>
      <c r="H24" s="117" t="s">
        <v>240</v>
      </c>
      <c r="I24" s="35"/>
      <c r="J24" s="36"/>
      <c r="K24" s="36"/>
      <c r="L24" s="36"/>
      <c r="M24" s="36"/>
      <c r="N24" s="36"/>
      <c r="O24" s="36"/>
      <c r="P24" s="36"/>
      <c r="Q24" s="36"/>
      <c r="R24" s="36"/>
      <c r="S24" s="36"/>
      <c r="T24" s="36"/>
      <c r="U24" s="36"/>
      <c r="V24" s="36"/>
      <c r="W24" s="36"/>
      <c r="X24" s="36"/>
      <c r="Y24" s="36"/>
      <c r="Z24" s="36"/>
      <c r="AA24" s="36"/>
      <c r="AB24" s="36"/>
    </row>
    <row r="25" spans="1:28" ht="41.25" hidden="1" customHeight="1">
      <c r="A25" s="67" t="str">
        <f>HYPERLINK("https://www.alcaldiabogota.gov.co/sisjur/normas/Norma1.jsp?i=38937#0","LEY 494")</f>
        <v>LEY 494</v>
      </c>
      <c r="B25" s="64">
        <v>1999</v>
      </c>
      <c r="C25" s="142" t="s">
        <v>39</v>
      </c>
      <c r="D25" s="33" t="s">
        <v>480</v>
      </c>
      <c r="E25" s="32" t="s">
        <v>41</v>
      </c>
      <c r="F25" s="32" t="s">
        <v>42</v>
      </c>
      <c r="G25" s="116" t="s">
        <v>43</v>
      </c>
      <c r="H25" s="117" t="s">
        <v>240</v>
      </c>
      <c r="I25" s="35"/>
      <c r="J25" s="36"/>
      <c r="K25" s="36"/>
      <c r="L25" s="36"/>
      <c r="M25" s="36"/>
      <c r="N25" s="36"/>
      <c r="O25" s="36"/>
      <c r="P25" s="36"/>
      <c r="Q25" s="36"/>
      <c r="R25" s="36"/>
      <c r="S25" s="36"/>
      <c r="T25" s="36"/>
      <c r="U25" s="36"/>
      <c r="V25" s="36"/>
      <c r="W25" s="36"/>
      <c r="X25" s="36"/>
      <c r="Y25" s="36"/>
      <c r="Z25" s="36"/>
      <c r="AA25" s="36"/>
      <c r="AB25" s="36"/>
    </row>
    <row r="26" spans="1:28" ht="48" hidden="1" customHeight="1">
      <c r="A26" s="67" t="str">
        <f>HYPERLINK("https://www.alcaldiabogota.gov.co/sisjur/normas/Norma1.jsp?i=4276","LEY 527")</f>
        <v>LEY 527</v>
      </c>
      <c r="B26" s="64">
        <v>1999</v>
      </c>
      <c r="C26" s="142" t="s">
        <v>39</v>
      </c>
      <c r="D26" s="33" t="s">
        <v>481</v>
      </c>
      <c r="E26" s="32" t="s">
        <v>41</v>
      </c>
      <c r="F26" s="32" t="s">
        <v>42</v>
      </c>
      <c r="G26" s="116" t="s">
        <v>43</v>
      </c>
      <c r="H26" s="117" t="s">
        <v>240</v>
      </c>
      <c r="I26" s="35"/>
      <c r="J26" s="36"/>
      <c r="K26" s="36"/>
      <c r="L26" s="36"/>
      <c r="M26" s="36"/>
      <c r="N26" s="36"/>
      <c r="O26" s="36"/>
      <c r="P26" s="36"/>
      <c r="Q26" s="36"/>
      <c r="R26" s="36"/>
      <c r="S26" s="36"/>
      <c r="T26" s="36"/>
      <c r="U26" s="36"/>
      <c r="V26" s="36"/>
      <c r="W26" s="36"/>
      <c r="X26" s="36"/>
      <c r="Y26" s="36"/>
      <c r="Z26" s="36"/>
      <c r="AA26" s="36"/>
      <c r="AB26" s="36"/>
    </row>
    <row r="27" spans="1:28" ht="60" hidden="1" customHeight="1">
      <c r="A27" s="67" t="str">
        <f>HYPERLINK("https://www.alcaldiabogota.gov.co/sisjur/normas/Norma1.jsp?i=6164&amp;dt=S","LEY 550")</f>
        <v>LEY 550</v>
      </c>
      <c r="B27" s="64">
        <v>1999</v>
      </c>
      <c r="C27" s="142" t="s">
        <v>39</v>
      </c>
      <c r="D27" s="33" t="s">
        <v>482</v>
      </c>
      <c r="E27" s="32" t="s">
        <v>41</v>
      </c>
      <c r="F27" s="32" t="s">
        <v>42</v>
      </c>
      <c r="G27" s="116" t="s">
        <v>43</v>
      </c>
      <c r="H27" s="117" t="s">
        <v>240</v>
      </c>
      <c r="I27" s="35"/>
      <c r="J27" s="36"/>
      <c r="K27" s="36"/>
      <c r="L27" s="36"/>
      <c r="M27" s="36"/>
      <c r="N27" s="36"/>
      <c r="O27" s="36"/>
      <c r="P27" s="36"/>
      <c r="Q27" s="36"/>
      <c r="R27" s="36"/>
      <c r="S27" s="36"/>
      <c r="T27" s="36"/>
      <c r="U27" s="36"/>
      <c r="V27" s="36"/>
      <c r="W27" s="36"/>
      <c r="X27" s="36"/>
      <c r="Y27" s="36"/>
      <c r="Z27" s="36"/>
      <c r="AA27" s="36"/>
      <c r="AB27" s="36"/>
    </row>
    <row r="28" spans="1:28" ht="36" hidden="1" customHeight="1">
      <c r="A28" s="67" t="str">
        <f>HYPERLINK("https://www.alcaldiabogota.gov.co/sisjur/normas/Norma1.jsp?i=4826#0","LEY 582")</f>
        <v>LEY 582</v>
      </c>
      <c r="B28" s="64">
        <v>2000</v>
      </c>
      <c r="C28" s="142" t="s">
        <v>39</v>
      </c>
      <c r="D28" s="33" t="s">
        <v>483</v>
      </c>
      <c r="E28" s="32" t="s">
        <v>41</v>
      </c>
      <c r="F28" s="32" t="s">
        <v>42</v>
      </c>
      <c r="G28" s="116" t="s">
        <v>43</v>
      </c>
      <c r="H28" s="117" t="s">
        <v>240</v>
      </c>
      <c r="I28" s="35"/>
      <c r="J28" s="36"/>
      <c r="K28" s="36"/>
      <c r="L28" s="36"/>
      <c r="M28" s="36"/>
      <c r="N28" s="36"/>
      <c r="O28" s="36"/>
      <c r="P28" s="36"/>
      <c r="Q28" s="36"/>
      <c r="R28" s="36"/>
      <c r="S28" s="36"/>
      <c r="T28" s="36"/>
      <c r="U28" s="36"/>
      <c r="V28" s="36"/>
      <c r="W28" s="36"/>
      <c r="X28" s="36"/>
      <c r="Y28" s="36"/>
      <c r="Z28" s="36"/>
      <c r="AA28" s="36"/>
      <c r="AB28" s="36"/>
    </row>
    <row r="29" spans="1:28" ht="24" hidden="1" customHeight="1">
      <c r="A29" s="67" t="str">
        <f>HYPERLINK("https://www.alcaldiabogota.gov.co/sisjur/normas/Norma1.jsp?i=12672","LEY 590")</f>
        <v>LEY 590</v>
      </c>
      <c r="B29" s="64">
        <v>2000</v>
      </c>
      <c r="C29" s="142" t="s">
        <v>39</v>
      </c>
      <c r="D29" s="33" t="s">
        <v>484</v>
      </c>
      <c r="E29" s="32" t="s">
        <v>41</v>
      </c>
      <c r="F29" s="32" t="s">
        <v>42</v>
      </c>
      <c r="G29" s="116" t="s">
        <v>43</v>
      </c>
      <c r="H29" s="117" t="s">
        <v>240</v>
      </c>
      <c r="I29" s="35"/>
      <c r="J29" s="36"/>
      <c r="K29" s="36"/>
      <c r="L29" s="36"/>
      <c r="M29" s="36"/>
      <c r="N29" s="36"/>
      <c r="O29" s="36"/>
      <c r="P29" s="36"/>
      <c r="Q29" s="36"/>
      <c r="R29" s="36"/>
      <c r="S29" s="36"/>
      <c r="T29" s="36"/>
      <c r="U29" s="36"/>
      <c r="V29" s="36"/>
      <c r="W29" s="36"/>
      <c r="X29" s="36"/>
      <c r="Y29" s="36"/>
      <c r="Z29" s="36"/>
      <c r="AA29" s="36"/>
      <c r="AB29" s="36"/>
    </row>
    <row r="30" spans="1:28" ht="25.5" hidden="1" customHeight="1">
      <c r="A30" s="67" t="str">
        <f>HYPERLINK("https://www.alcaldiabogota.gov.co/sisjur/normas/Norma1.jsp?i=6388","LEY 599    ")</f>
        <v xml:space="preserve">LEY 599    </v>
      </c>
      <c r="B30" s="64">
        <v>2000</v>
      </c>
      <c r="C30" s="32" t="s">
        <v>39</v>
      </c>
      <c r="D30" s="33" t="s">
        <v>411</v>
      </c>
      <c r="E30" s="32" t="s">
        <v>41</v>
      </c>
      <c r="F30" s="32" t="s">
        <v>42</v>
      </c>
      <c r="G30" s="116" t="s">
        <v>43</v>
      </c>
      <c r="H30" s="117" t="s">
        <v>240</v>
      </c>
      <c r="I30" s="35"/>
      <c r="J30" s="36"/>
      <c r="K30" s="36"/>
      <c r="L30" s="36"/>
      <c r="M30" s="36"/>
      <c r="N30" s="36"/>
      <c r="O30" s="36"/>
      <c r="P30" s="36"/>
      <c r="Q30" s="36"/>
      <c r="R30" s="36"/>
      <c r="S30" s="36"/>
      <c r="T30" s="36"/>
      <c r="U30" s="36"/>
      <c r="V30" s="36"/>
      <c r="W30" s="36"/>
      <c r="X30" s="36"/>
      <c r="Y30" s="36"/>
      <c r="Z30" s="36"/>
      <c r="AA30" s="36"/>
      <c r="AB30" s="36"/>
    </row>
    <row r="31" spans="1:28" ht="36" hidden="1" customHeight="1">
      <c r="A31" s="67" t="str">
        <f>HYPERLINK("https://www.alcaldiabogota.gov.co/sisjur/normas/Norma1.jsp?i=5725","LEY 610")</f>
        <v>LEY 610</v>
      </c>
      <c r="B31" s="64">
        <v>2000</v>
      </c>
      <c r="C31" s="142" t="s">
        <v>39</v>
      </c>
      <c r="D31" s="33" t="s">
        <v>485</v>
      </c>
      <c r="E31" s="32" t="s">
        <v>41</v>
      </c>
      <c r="F31" s="32" t="s">
        <v>42</v>
      </c>
      <c r="G31" s="116" t="s">
        <v>43</v>
      </c>
      <c r="H31" s="117" t="s">
        <v>240</v>
      </c>
      <c r="I31" s="35"/>
      <c r="J31" s="36"/>
      <c r="K31" s="36"/>
      <c r="L31" s="36"/>
      <c r="M31" s="36"/>
      <c r="N31" s="36"/>
      <c r="O31" s="36"/>
      <c r="P31" s="36"/>
      <c r="Q31" s="36"/>
      <c r="R31" s="36"/>
      <c r="S31" s="36"/>
      <c r="T31" s="36"/>
      <c r="U31" s="36"/>
      <c r="V31" s="36"/>
      <c r="W31" s="36"/>
      <c r="X31" s="36"/>
      <c r="Y31" s="36"/>
      <c r="Z31" s="36"/>
      <c r="AA31" s="36"/>
      <c r="AB31" s="36"/>
    </row>
    <row r="32" spans="1:28" ht="60" hidden="1" customHeight="1">
      <c r="A32" s="67" t="str">
        <f>HYPERLINK("https://www.alcaldiabogota.gov.co/sisjur/normas/Norma1.jsp?i=3771","LEY 617")</f>
        <v>LEY 617</v>
      </c>
      <c r="B32" s="64">
        <v>2000</v>
      </c>
      <c r="C32" s="32" t="s">
        <v>39</v>
      </c>
      <c r="D32" s="33" t="s">
        <v>486</v>
      </c>
      <c r="E32" s="32" t="s">
        <v>41</v>
      </c>
      <c r="F32" s="32" t="s">
        <v>42</v>
      </c>
      <c r="G32" s="116" t="s">
        <v>43</v>
      </c>
      <c r="H32" s="117" t="s">
        <v>240</v>
      </c>
      <c r="I32" s="35"/>
      <c r="J32" s="36"/>
      <c r="K32" s="36"/>
      <c r="L32" s="36"/>
      <c r="M32" s="36"/>
      <c r="N32" s="36"/>
      <c r="O32" s="36"/>
      <c r="P32" s="36"/>
      <c r="Q32" s="36"/>
      <c r="R32" s="36"/>
      <c r="S32" s="36"/>
      <c r="T32" s="36"/>
      <c r="U32" s="36"/>
      <c r="V32" s="36"/>
      <c r="W32" s="36"/>
      <c r="X32" s="36"/>
      <c r="Y32" s="36"/>
      <c r="Z32" s="36"/>
      <c r="AA32" s="36"/>
      <c r="AB32" s="36"/>
    </row>
    <row r="33" spans="1:28" ht="24" hidden="1" customHeight="1">
      <c r="A33" s="67" t="str">
        <f>HYPERLINK("https://www.alcaldiabogota.gov.co/sisjur/normas/Norma1.jsp?i=4156&amp;dt=S","LEY 648")</f>
        <v>LEY 648</v>
      </c>
      <c r="B33" s="64">
        <v>2001</v>
      </c>
      <c r="C33" s="142" t="s">
        <v>39</v>
      </c>
      <c r="D33" s="33" t="s">
        <v>487</v>
      </c>
      <c r="E33" s="32" t="s">
        <v>41</v>
      </c>
      <c r="F33" s="32" t="s">
        <v>42</v>
      </c>
      <c r="G33" s="116" t="s">
        <v>43</v>
      </c>
      <c r="H33" s="117" t="s">
        <v>240</v>
      </c>
      <c r="I33" s="35"/>
      <c r="J33" s="36"/>
      <c r="K33" s="36"/>
      <c r="L33" s="36"/>
      <c r="M33" s="36"/>
      <c r="N33" s="36"/>
      <c r="O33" s="36"/>
      <c r="P33" s="36"/>
      <c r="Q33" s="36"/>
      <c r="R33" s="36"/>
      <c r="S33" s="36"/>
      <c r="T33" s="36"/>
      <c r="U33" s="36"/>
      <c r="V33" s="36"/>
      <c r="W33" s="36"/>
      <c r="X33" s="36"/>
      <c r="Y33" s="36"/>
      <c r="Z33" s="36"/>
      <c r="AA33" s="36"/>
      <c r="AB33" s="36"/>
    </row>
    <row r="34" spans="1:28" ht="48" hidden="1" customHeight="1">
      <c r="A34" s="67" t="str">
        <f>HYPERLINK("https://www.alcaldiabogota.gov.co/sisjur/normas/Norma1.jsp?i=4164","LEY 678")</f>
        <v>LEY 678</v>
      </c>
      <c r="B34" s="64">
        <v>2001</v>
      </c>
      <c r="C34" s="142" t="s">
        <v>39</v>
      </c>
      <c r="D34" s="33" t="s">
        <v>488</v>
      </c>
      <c r="E34" s="32" t="s">
        <v>41</v>
      </c>
      <c r="F34" s="32" t="s">
        <v>42</v>
      </c>
      <c r="G34" s="116" t="s">
        <v>43</v>
      </c>
      <c r="H34" s="117" t="s">
        <v>240</v>
      </c>
      <c r="I34" s="35"/>
      <c r="J34" s="36"/>
      <c r="K34" s="36"/>
      <c r="L34" s="36"/>
      <c r="M34" s="36"/>
      <c r="N34" s="36"/>
      <c r="O34" s="36"/>
      <c r="P34" s="36"/>
      <c r="Q34" s="36"/>
      <c r="R34" s="36"/>
      <c r="S34" s="36"/>
      <c r="T34" s="36"/>
      <c r="U34" s="36"/>
      <c r="V34" s="36"/>
      <c r="W34" s="36"/>
      <c r="X34" s="36"/>
      <c r="Y34" s="36"/>
      <c r="Z34" s="36"/>
      <c r="AA34" s="36"/>
      <c r="AB34" s="36"/>
    </row>
    <row r="35" spans="1:28" ht="24" hidden="1" customHeight="1">
      <c r="A35" s="67" t="str">
        <f>HYPERLINK("https://www.alcaldiabogota.gov.co/sisjur/normas/Norma1.jsp?i=4589","LEY 734")</f>
        <v>LEY 734</v>
      </c>
      <c r="B35" s="64">
        <v>2002</v>
      </c>
      <c r="C35" s="142" t="s">
        <v>39</v>
      </c>
      <c r="D35" s="33" t="s">
        <v>489</v>
      </c>
      <c r="E35" s="32" t="s">
        <v>41</v>
      </c>
      <c r="F35" s="32" t="s">
        <v>42</v>
      </c>
      <c r="G35" s="116" t="s">
        <v>43</v>
      </c>
      <c r="H35" s="117" t="s">
        <v>240</v>
      </c>
      <c r="I35" s="35"/>
      <c r="J35" s="36"/>
      <c r="K35" s="36"/>
      <c r="L35" s="36"/>
      <c r="M35" s="36"/>
      <c r="N35" s="36"/>
      <c r="O35" s="36"/>
      <c r="P35" s="36"/>
      <c r="Q35" s="36"/>
      <c r="R35" s="36"/>
      <c r="S35" s="36"/>
      <c r="T35" s="36"/>
      <c r="U35" s="36"/>
      <c r="V35" s="36"/>
      <c r="W35" s="36"/>
      <c r="X35" s="36"/>
      <c r="Y35" s="36"/>
      <c r="Z35" s="36"/>
      <c r="AA35" s="36"/>
      <c r="AB35" s="36"/>
    </row>
    <row r="36" spans="1:28" ht="48" hidden="1" customHeight="1">
      <c r="A36" s="67" t="str">
        <f>HYPERLINK("https://www.alcaldiabogota.gov.co/sisjur/normas/Norma1.jsp?i=15206","LEY 781")</f>
        <v>LEY 781</v>
      </c>
      <c r="B36" s="64">
        <v>2002</v>
      </c>
      <c r="C36" s="142" t="s">
        <v>39</v>
      </c>
      <c r="D36" s="33" t="s">
        <v>490</v>
      </c>
      <c r="E36" s="32" t="s">
        <v>41</v>
      </c>
      <c r="F36" s="32" t="s">
        <v>42</v>
      </c>
      <c r="G36" s="116" t="s">
        <v>43</v>
      </c>
      <c r="H36" s="117" t="s">
        <v>240</v>
      </c>
      <c r="I36" s="35"/>
      <c r="J36" s="36"/>
      <c r="K36" s="36"/>
      <c r="L36" s="36"/>
      <c r="M36" s="36"/>
      <c r="N36" s="36"/>
      <c r="O36" s="36"/>
      <c r="P36" s="36"/>
      <c r="Q36" s="36"/>
      <c r="R36" s="36"/>
      <c r="S36" s="36"/>
      <c r="T36" s="36"/>
      <c r="U36" s="36"/>
      <c r="V36" s="36"/>
      <c r="W36" s="36"/>
      <c r="X36" s="36"/>
      <c r="Y36" s="36"/>
      <c r="Z36" s="36"/>
      <c r="AA36" s="36"/>
      <c r="AB36" s="36"/>
    </row>
    <row r="37" spans="1:28" ht="36" hidden="1" customHeight="1">
      <c r="A37" s="67" t="str">
        <f>HYPERLINK("https://www.alcaldiabogota.gov.co/sisjur/normas/Norma1.jsp?i=6778","LEY 789")</f>
        <v>LEY 789</v>
      </c>
      <c r="B37" s="64">
        <v>2002</v>
      </c>
      <c r="C37" s="142" t="s">
        <v>39</v>
      </c>
      <c r="D37" s="33" t="s">
        <v>491</v>
      </c>
      <c r="E37" s="32" t="s">
        <v>41</v>
      </c>
      <c r="F37" s="32" t="s">
        <v>42</v>
      </c>
      <c r="G37" s="116" t="s">
        <v>43</v>
      </c>
      <c r="H37" s="117" t="s">
        <v>240</v>
      </c>
      <c r="I37" s="35"/>
      <c r="J37" s="36"/>
      <c r="K37" s="36"/>
      <c r="L37" s="36"/>
      <c r="M37" s="36"/>
      <c r="N37" s="36"/>
      <c r="O37" s="36"/>
      <c r="P37" s="36"/>
      <c r="Q37" s="36"/>
      <c r="R37" s="36"/>
      <c r="S37" s="36"/>
      <c r="T37" s="36"/>
      <c r="U37" s="36"/>
      <c r="V37" s="36"/>
      <c r="W37" s="36"/>
      <c r="X37" s="36"/>
      <c r="Y37" s="36"/>
      <c r="Z37" s="36"/>
      <c r="AA37" s="36"/>
      <c r="AB37" s="36"/>
    </row>
    <row r="38" spans="1:28" ht="24" hidden="1" customHeight="1">
      <c r="A38" s="67" t="str">
        <f>HYPERLINK("https://www.alcaldiabogota.gov.co/sisjur/normas/Norma1.jsp?i=8788","LEY 816")</f>
        <v>LEY 816</v>
      </c>
      <c r="B38" s="64">
        <v>2003</v>
      </c>
      <c r="C38" s="142" t="s">
        <v>39</v>
      </c>
      <c r="D38" s="33" t="s">
        <v>269</v>
      </c>
      <c r="E38" s="32" t="s">
        <v>41</v>
      </c>
      <c r="F38" s="32" t="s">
        <v>42</v>
      </c>
      <c r="G38" s="116" t="s">
        <v>43</v>
      </c>
      <c r="H38" s="117" t="s">
        <v>240</v>
      </c>
      <c r="I38" s="35"/>
      <c r="J38" s="36"/>
      <c r="K38" s="36"/>
      <c r="L38" s="36"/>
      <c r="M38" s="36"/>
      <c r="N38" s="36"/>
      <c r="O38" s="36"/>
      <c r="P38" s="36"/>
      <c r="Q38" s="36"/>
      <c r="R38" s="36"/>
      <c r="S38" s="36"/>
      <c r="T38" s="36"/>
      <c r="U38" s="36"/>
      <c r="V38" s="36"/>
      <c r="W38" s="36"/>
      <c r="X38" s="36"/>
      <c r="Y38" s="36"/>
      <c r="Z38" s="36"/>
      <c r="AA38" s="36"/>
      <c r="AB38" s="36"/>
    </row>
    <row r="39" spans="1:28" ht="24" hidden="1" customHeight="1">
      <c r="A39" s="67" t="str">
        <f>HYPERLINK("https://www.alcaldiabogota.gov.co/sisjur/normas/Norma1.jsp?i=13712","LEY 819")</f>
        <v>LEY 819</v>
      </c>
      <c r="B39" s="64">
        <v>2003</v>
      </c>
      <c r="C39" s="142" t="s">
        <v>39</v>
      </c>
      <c r="D39" s="33" t="s">
        <v>492</v>
      </c>
      <c r="E39" s="32" t="s">
        <v>41</v>
      </c>
      <c r="F39" s="32" t="s">
        <v>42</v>
      </c>
      <c r="G39" s="116" t="s">
        <v>43</v>
      </c>
      <c r="H39" s="117" t="s">
        <v>240</v>
      </c>
      <c r="I39" s="35"/>
      <c r="J39" s="36"/>
      <c r="K39" s="36"/>
      <c r="L39" s="36"/>
      <c r="M39" s="36"/>
      <c r="N39" s="36"/>
      <c r="O39" s="36"/>
      <c r="P39" s="36"/>
      <c r="Q39" s="36"/>
      <c r="R39" s="36"/>
      <c r="S39" s="36"/>
      <c r="T39" s="36"/>
      <c r="U39" s="36"/>
      <c r="V39" s="36"/>
      <c r="W39" s="36"/>
      <c r="X39" s="36"/>
      <c r="Y39" s="36"/>
      <c r="Z39" s="36"/>
      <c r="AA39" s="36"/>
      <c r="AB39" s="36"/>
    </row>
    <row r="40" spans="1:28" ht="24" hidden="1" customHeight="1">
      <c r="A40" s="67" t="str">
        <f>HYPERLINK("https://www.alcaldiabogota.gov.co/sisjur/normas/Norma1.jsp?i=8816","LEY 828")</f>
        <v>LEY 828</v>
      </c>
      <c r="B40" s="64">
        <v>2003</v>
      </c>
      <c r="C40" s="142" t="s">
        <v>39</v>
      </c>
      <c r="D40" s="33" t="s">
        <v>493</v>
      </c>
      <c r="E40" s="32" t="s">
        <v>41</v>
      </c>
      <c r="F40" s="32" t="s">
        <v>42</v>
      </c>
      <c r="G40" s="116" t="s">
        <v>43</v>
      </c>
      <c r="H40" s="117" t="s">
        <v>240</v>
      </c>
      <c r="I40" s="35"/>
      <c r="J40" s="36"/>
      <c r="K40" s="36"/>
      <c r="L40" s="36"/>
      <c r="M40" s="36"/>
      <c r="N40" s="36"/>
      <c r="O40" s="36"/>
      <c r="P40" s="36"/>
      <c r="Q40" s="36"/>
      <c r="R40" s="36"/>
      <c r="S40" s="36"/>
      <c r="T40" s="36"/>
      <c r="U40" s="36"/>
      <c r="V40" s="36"/>
      <c r="W40" s="36"/>
      <c r="X40" s="36"/>
      <c r="Y40" s="36"/>
      <c r="Z40" s="36"/>
      <c r="AA40" s="36"/>
      <c r="AB40" s="36"/>
    </row>
    <row r="41" spans="1:28" ht="36" hidden="1" customHeight="1">
      <c r="A41" s="67" t="str">
        <f>HYPERLINK("http://www.secretariasenado.gov.co/senado/basedoc/ley_0842_2003.html","LEY 842")</f>
        <v>LEY 842</v>
      </c>
      <c r="B41" s="64">
        <v>2003</v>
      </c>
      <c r="C41" s="142" t="s">
        <v>39</v>
      </c>
      <c r="D41" s="33" t="s">
        <v>271</v>
      </c>
      <c r="E41" s="32" t="s">
        <v>41</v>
      </c>
      <c r="F41" s="32" t="s">
        <v>42</v>
      </c>
      <c r="G41" s="116" t="s">
        <v>43</v>
      </c>
      <c r="H41" s="117" t="s">
        <v>240</v>
      </c>
      <c r="I41" s="35"/>
      <c r="J41" s="36"/>
      <c r="K41" s="36"/>
      <c r="L41" s="36"/>
      <c r="M41" s="36"/>
      <c r="N41" s="36"/>
      <c r="O41" s="36"/>
      <c r="P41" s="36"/>
      <c r="Q41" s="36"/>
      <c r="R41" s="36"/>
      <c r="S41" s="36"/>
      <c r="T41" s="36"/>
      <c r="U41" s="36"/>
      <c r="V41" s="36"/>
      <c r="W41" s="36"/>
      <c r="X41" s="36"/>
      <c r="Y41" s="36"/>
      <c r="Z41" s="36"/>
      <c r="AA41" s="36"/>
      <c r="AB41" s="36"/>
    </row>
    <row r="42" spans="1:28" ht="33.75" hidden="1" customHeight="1">
      <c r="A42" s="67" t="str">
        <f>HYPERLINK("https://www.alcaldiabogota.gov.co/sisjur/normas/Norma1.jsp?i=10570","LEY  850")</f>
        <v>LEY  850</v>
      </c>
      <c r="B42" s="64">
        <v>2003</v>
      </c>
      <c r="C42" s="32" t="s">
        <v>39</v>
      </c>
      <c r="D42" s="33" t="s">
        <v>49</v>
      </c>
      <c r="E42" s="32" t="s">
        <v>41</v>
      </c>
      <c r="F42" s="32" t="s">
        <v>42</v>
      </c>
      <c r="G42" s="116" t="s">
        <v>43</v>
      </c>
      <c r="H42" s="117" t="s">
        <v>240</v>
      </c>
      <c r="I42" s="35"/>
      <c r="J42" s="36"/>
      <c r="K42" s="36"/>
      <c r="L42" s="36"/>
      <c r="M42" s="36"/>
      <c r="N42" s="36"/>
      <c r="O42" s="36"/>
      <c r="P42" s="36"/>
      <c r="Q42" s="36"/>
      <c r="R42" s="36"/>
      <c r="S42" s="36"/>
      <c r="T42" s="36"/>
      <c r="U42" s="36"/>
      <c r="V42" s="36"/>
      <c r="W42" s="36"/>
      <c r="X42" s="36"/>
      <c r="Y42" s="36"/>
      <c r="Z42" s="36"/>
      <c r="AA42" s="36"/>
      <c r="AB42" s="36"/>
    </row>
    <row r="43" spans="1:28" ht="36" hidden="1" customHeight="1">
      <c r="A43" s="67" t="str">
        <f>HYPERLINK("https://www.alcaldiabogota.gov.co/sisjur/normas/Norma1.jsp?i=11172","LEY 863")</f>
        <v>LEY 863</v>
      </c>
      <c r="B43" s="64">
        <v>2003</v>
      </c>
      <c r="C43" s="32" t="s">
        <v>39</v>
      </c>
      <c r="D43" s="33" t="s">
        <v>494</v>
      </c>
      <c r="E43" s="32" t="s">
        <v>41</v>
      </c>
      <c r="F43" s="32" t="s">
        <v>42</v>
      </c>
      <c r="G43" s="116" t="s">
        <v>43</v>
      </c>
      <c r="H43" s="117" t="s">
        <v>240</v>
      </c>
      <c r="I43" s="35"/>
      <c r="J43" s="36"/>
      <c r="K43" s="36"/>
      <c r="L43" s="36"/>
      <c r="M43" s="36"/>
      <c r="N43" s="36"/>
      <c r="O43" s="36"/>
      <c r="P43" s="36"/>
      <c r="Q43" s="36"/>
      <c r="R43" s="36"/>
      <c r="S43" s="36"/>
      <c r="T43" s="36"/>
      <c r="U43" s="36"/>
      <c r="V43" s="36"/>
      <c r="W43" s="36"/>
      <c r="X43" s="36"/>
      <c r="Y43" s="36"/>
      <c r="Z43" s="36"/>
      <c r="AA43" s="36"/>
      <c r="AB43" s="36"/>
    </row>
    <row r="44" spans="1:28" ht="48" hidden="1" customHeight="1">
      <c r="A44" s="67" t="str">
        <f>HYPERLINK("https://www.alcaldiabogota.gov.co/sisjur/normas/Norma1.jsp?i=17004","LEY 962")</f>
        <v>LEY 962</v>
      </c>
      <c r="B44" s="64">
        <v>2005</v>
      </c>
      <c r="C44" s="142" t="s">
        <v>39</v>
      </c>
      <c r="D44" s="144" t="s">
        <v>495</v>
      </c>
      <c r="E44" s="32" t="s">
        <v>41</v>
      </c>
      <c r="F44" s="32" t="s">
        <v>42</v>
      </c>
      <c r="G44" s="116" t="s">
        <v>43</v>
      </c>
      <c r="H44" s="117" t="s">
        <v>240</v>
      </c>
      <c r="I44" s="35"/>
      <c r="J44" s="36"/>
      <c r="K44" s="36"/>
      <c r="L44" s="36"/>
      <c r="M44" s="36"/>
      <c r="N44" s="36"/>
      <c r="O44" s="36"/>
      <c r="P44" s="36"/>
      <c r="Q44" s="36"/>
      <c r="R44" s="36"/>
      <c r="S44" s="36"/>
      <c r="T44" s="36"/>
      <c r="U44" s="36"/>
      <c r="V44" s="36"/>
      <c r="W44" s="36"/>
      <c r="X44" s="36"/>
      <c r="Y44" s="36"/>
      <c r="Z44" s="36"/>
      <c r="AA44" s="36"/>
      <c r="AB44" s="36"/>
    </row>
    <row r="45" spans="1:28" ht="48" hidden="1" customHeight="1">
      <c r="A45" s="67" t="str">
        <f>HYPERLINK("https://www.alcaldiabogota.gov.co/sisjur/normas/Norma1.jsp?i=18232","LEY 996")</f>
        <v>LEY 996</v>
      </c>
      <c r="B45" s="64">
        <v>2005</v>
      </c>
      <c r="C45" s="142" t="s">
        <v>39</v>
      </c>
      <c r="D45" s="33" t="s">
        <v>496</v>
      </c>
      <c r="E45" s="32" t="s">
        <v>41</v>
      </c>
      <c r="F45" s="32" t="s">
        <v>42</v>
      </c>
      <c r="G45" s="116" t="s">
        <v>43</v>
      </c>
      <c r="H45" s="117" t="s">
        <v>240</v>
      </c>
      <c r="I45" s="35"/>
      <c r="J45" s="36"/>
      <c r="K45" s="36"/>
      <c r="L45" s="36"/>
      <c r="M45" s="36"/>
      <c r="N45" s="36"/>
      <c r="O45" s="36"/>
      <c r="P45" s="36"/>
      <c r="Q45" s="36"/>
      <c r="R45" s="36"/>
      <c r="S45" s="36"/>
      <c r="T45" s="36"/>
      <c r="U45" s="36"/>
      <c r="V45" s="36"/>
      <c r="W45" s="36"/>
      <c r="X45" s="36"/>
      <c r="Y45" s="36"/>
      <c r="Z45" s="36"/>
      <c r="AA45" s="36"/>
      <c r="AB45" s="36"/>
    </row>
    <row r="46" spans="1:28" ht="24" hidden="1" customHeight="1">
      <c r="A46" s="67" t="str">
        <f>HYPERLINK("https://www.alcaldiabogota.gov.co/sisjur/normas/Norma1.jsp?i=22580","LEY 1111")</f>
        <v>LEY 1111</v>
      </c>
      <c r="B46" s="64">
        <v>2006</v>
      </c>
      <c r="C46" s="142" t="s">
        <v>39</v>
      </c>
      <c r="D46" s="33" t="s">
        <v>497</v>
      </c>
      <c r="E46" s="32" t="s">
        <v>41</v>
      </c>
      <c r="F46" s="32" t="s">
        <v>42</v>
      </c>
      <c r="G46" s="116" t="s">
        <v>43</v>
      </c>
      <c r="H46" s="117" t="s">
        <v>240</v>
      </c>
      <c r="I46" s="35"/>
      <c r="J46" s="36"/>
      <c r="K46" s="36"/>
      <c r="L46" s="36"/>
      <c r="M46" s="36"/>
      <c r="N46" s="36"/>
      <c r="O46" s="36"/>
      <c r="P46" s="36"/>
      <c r="Q46" s="36"/>
      <c r="R46" s="36"/>
      <c r="S46" s="36"/>
      <c r="T46" s="36"/>
      <c r="U46" s="36"/>
      <c r="V46" s="36"/>
      <c r="W46" s="36"/>
      <c r="X46" s="36"/>
      <c r="Y46" s="36"/>
      <c r="Z46" s="36"/>
      <c r="AA46" s="36"/>
      <c r="AB46" s="36"/>
    </row>
    <row r="47" spans="1:28" ht="24" hidden="1" customHeight="1">
      <c r="A47" s="67" t="str">
        <f>HYPERLINK("https://www.alcaldiabogota.gov.co/sisjur/normas/Norma1.jsp?i=22657","LEY 1116")</f>
        <v>LEY 1116</v>
      </c>
      <c r="B47" s="64">
        <v>2006</v>
      </c>
      <c r="C47" s="142" t="s">
        <v>39</v>
      </c>
      <c r="D47" s="33" t="s">
        <v>498</v>
      </c>
      <c r="E47" s="32" t="s">
        <v>41</v>
      </c>
      <c r="F47" s="32" t="s">
        <v>42</v>
      </c>
      <c r="G47" s="116" t="s">
        <v>43</v>
      </c>
      <c r="H47" s="117" t="s">
        <v>240</v>
      </c>
      <c r="I47" s="35"/>
      <c r="J47" s="36"/>
      <c r="K47" s="36"/>
      <c r="L47" s="36"/>
      <c r="M47" s="36"/>
      <c r="N47" s="36"/>
      <c r="O47" s="36"/>
      <c r="P47" s="36"/>
      <c r="Q47" s="36"/>
      <c r="R47" s="36"/>
      <c r="S47" s="36"/>
      <c r="T47" s="36"/>
      <c r="U47" s="36"/>
      <c r="V47" s="36"/>
      <c r="W47" s="36"/>
      <c r="X47" s="36"/>
      <c r="Y47" s="36"/>
      <c r="Z47" s="36"/>
      <c r="AA47" s="36"/>
      <c r="AB47" s="36"/>
    </row>
    <row r="48" spans="1:28" ht="36" hidden="1" customHeight="1">
      <c r="A48" s="145" t="s">
        <v>499</v>
      </c>
      <c r="B48" s="64">
        <v>2006</v>
      </c>
      <c r="C48" s="142" t="s">
        <v>39</v>
      </c>
      <c r="D48" s="33" t="s">
        <v>500</v>
      </c>
      <c r="E48" s="32" t="s">
        <v>41</v>
      </c>
      <c r="F48" s="32" t="s">
        <v>42</v>
      </c>
      <c r="G48" s="116" t="s">
        <v>43</v>
      </c>
      <c r="H48" s="117" t="s">
        <v>240</v>
      </c>
      <c r="I48" s="35"/>
      <c r="J48" s="36"/>
      <c r="K48" s="36"/>
      <c r="L48" s="36"/>
      <c r="M48" s="36"/>
      <c r="N48" s="36"/>
      <c r="O48" s="36"/>
      <c r="P48" s="36"/>
      <c r="Q48" s="36"/>
      <c r="R48" s="36"/>
      <c r="S48" s="36"/>
      <c r="T48" s="36"/>
      <c r="U48" s="36"/>
      <c r="V48" s="36"/>
      <c r="W48" s="36"/>
      <c r="X48" s="36"/>
      <c r="Y48" s="36"/>
      <c r="Z48" s="36"/>
      <c r="AA48" s="36"/>
      <c r="AB48" s="36"/>
    </row>
    <row r="49" spans="1:28" ht="24" hidden="1" customHeight="1">
      <c r="A49" s="67" t="str">
        <f>HYPERLINK("https://www.alcaldiabogota.gov.co/sisjur/normas/Norma1.jsp?i=22600","LEY 1122")</f>
        <v>LEY 1122</v>
      </c>
      <c r="B49" s="64">
        <v>2007</v>
      </c>
      <c r="C49" s="142" t="s">
        <v>39</v>
      </c>
      <c r="D49" s="33" t="s">
        <v>501</v>
      </c>
      <c r="E49" s="32" t="s">
        <v>41</v>
      </c>
      <c r="F49" s="32" t="s">
        <v>42</v>
      </c>
      <c r="G49" s="116" t="s">
        <v>43</v>
      </c>
      <c r="H49" s="117" t="s">
        <v>240</v>
      </c>
      <c r="I49" s="35"/>
      <c r="J49" s="36"/>
      <c r="K49" s="36"/>
      <c r="L49" s="36"/>
      <c r="M49" s="36"/>
      <c r="N49" s="36"/>
      <c r="O49" s="36"/>
      <c r="P49" s="36"/>
      <c r="Q49" s="36"/>
      <c r="R49" s="36"/>
      <c r="S49" s="36"/>
      <c r="T49" s="36"/>
      <c r="U49" s="36"/>
      <c r="V49" s="36"/>
      <c r="W49" s="36"/>
      <c r="X49" s="36"/>
      <c r="Y49" s="36"/>
      <c r="Z49" s="36"/>
      <c r="AA49" s="36"/>
      <c r="AB49" s="36"/>
    </row>
    <row r="50" spans="1:28" ht="60" hidden="1" customHeight="1">
      <c r="A50" s="67" t="str">
        <f>HYPERLINK("https://www.funcionpublica.gov.co/eva/gestornormativo/norma.php?i=25668","LEY 1148")</f>
        <v>LEY 1148</v>
      </c>
      <c r="B50" s="64">
        <v>2007</v>
      </c>
      <c r="C50" s="142" t="s">
        <v>39</v>
      </c>
      <c r="D50" s="33" t="s">
        <v>502</v>
      </c>
      <c r="E50" s="32" t="s">
        <v>41</v>
      </c>
      <c r="F50" s="32" t="s">
        <v>42</v>
      </c>
      <c r="G50" s="116" t="s">
        <v>43</v>
      </c>
      <c r="H50" s="117" t="s">
        <v>240</v>
      </c>
      <c r="I50" s="35"/>
      <c r="J50" s="36"/>
      <c r="K50" s="36"/>
      <c r="L50" s="36"/>
      <c r="M50" s="36"/>
      <c r="N50" s="36"/>
      <c r="O50" s="36"/>
      <c r="P50" s="36"/>
      <c r="Q50" s="36"/>
      <c r="R50" s="36"/>
      <c r="S50" s="36"/>
      <c r="T50" s="36"/>
      <c r="U50" s="36"/>
      <c r="V50" s="36"/>
      <c r="W50" s="36"/>
      <c r="X50" s="36"/>
      <c r="Y50" s="36"/>
      <c r="Z50" s="36"/>
      <c r="AA50" s="36"/>
      <c r="AB50" s="36"/>
    </row>
    <row r="51" spans="1:28" ht="46.5" hidden="1" customHeight="1">
      <c r="A51" s="67" t="str">
        <f>HYPERLINK("https://www.alcaldiabogota.gov.co/sisjur/normas/Norma1.jsp?i=25678","LEY 1150")</f>
        <v>LEY 1150</v>
      </c>
      <c r="B51" s="64">
        <v>2007</v>
      </c>
      <c r="C51" s="142" t="s">
        <v>39</v>
      </c>
      <c r="D51" s="33" t="s">
        <v>276</v>
      </c>
      <c r="E51" s="32" t="s">
        <v>41</v>
      </c>
      <c r="F51" s="32" t="s">
        <v>42</v>
      </c>
      <c r="G51" s="116" t="s">
        <v>43</v>
      </c>
      <c r="H51" s="117" t="s">
        <v>240</v>
      </c>
      <c r="I51" s="35"/>
      <c r="J51" s="36"/>
      <c r="K51" s="36"/>
      <c r="L51" s="36"/>
      <c r="M51" s="36"/>
      <c r="N51" s="36"/>
      <c r="O51" s="36"/>
      <c r="P51" s="36"/>
      <c r="Q51" s="36"/>
      <c r="R51" s="36"/>
      <c r="S51" s="36"/>
      <c r="T51" s="36"/>
      <c r="U51" s="36"/>
      <c r="V51" s="36"/>
      <c r="W51" s="36"/>
      <c r="X51" s="36"/>
      <c r="Y51" s="36"/>
      <c r="Z51" s="36"/>
      <c r="AA51" s="36"/>
      <c r="AB51" s="36"/>
    </row>
    <row r="52" spans="1:28" ht="33" hidden="1" customHeight="1">
      <c r="A52" s="67" t="str">
        <f>HYPERLINK("http://www.secretariasenado.gov.co/senado/basedoc/ley_1296_2009.html","LEY 1296")</f>
        <v>LEY 1296</v>
      </c>
      <c r="B52" s="64">
        <v>2009</v>
      </c>
      <c r="C52" s="142" t="s">
        <v>39</v>
      </c>
      <c r="D52" s="33" t="s">
        <v>503</v>
      </c>
      <c r="E52" s="32" t="s">
        <v>41</v>
      </c>
      <c r="F52" s="32" t="s">
        <v>42</v>
      </c>
      <c r="G52" s="116" t="s">
        <v>43</v>
      </c>
      <c r="H52" s="117" t="s">
        <v>240</v>
      </c>
      <c r="I52" s="35"/>
      <c r="J52" s="36"/>
      <c r="K52" s="36"/>
      <c r="L52" s="36"/>
      <c r="M52" s="36"/>
      <c r="N52" s="36"/>
      <c r="O52" s="36"/>
      <c r="P52" s="36"/>
      <c r="Q52" s="36"/>
      <c r="R52" s="36"/>
      <c r="S52" s="36"/>
      <c r="T52" s="36"/>
      <c r="U52" s="36"/>
      <c r="V52" s="36"/>
      <c r="W52" s="36"/>
      <c r="X52" s="36"/>
      <c r="Y52" s="36"/>
      <c r="Z52" s="36"/>
      <c r="AA52" s="36"/>
      <c r="AB52" s="36"/>
    </row>
    <row r="53" spans="1:28" ht="24" hidden="1" customHeight="1">
      <c r="A53" s="67" t="str">
        <f>HYPERLINK("http://www.secretariasenado.gov.co/senado/basedoc/ley_1333_2009.html","LEY 1333")</f>
        <v>LEY 1333</v>
      </c>
      <c r="B53" s="64">
        <v>2009</v>
      </c>
      <c r="C53" s="142" t="s">
        <v>39</v>
      </c>
      <c r="D53" s="33" t="s">
        <v>504</v>
      </c>
      <c r="E53" s="32" t="s">
        <v>41</v>
      </c>
      <c r="F53" s="32" t="s">
        <v>42</v>
      </c>
      <c r="G53" s="116" t="s">
        <v>43</v>
      </c>
      <c r="H53" s="117" t="s">
        <v>240</v>
      </c>
      <c r="I53" s="35"/>
      <c r="J53" s="36"/>
      <c r="K53" s="36"/>
      <c r="L53" s="36"/>
      <c r="M53" s="36"/>
      <c r="N53" s="36"/>
      <c r="O53" s="36"/>
      <c r="P53" s="36"/>
      <c r="Q53" s="36"/>
      <c r="R53" s="36"/>
      <c r="S53" s="36"/>
      <c r="T53" s="36"/>
      <c r="U53" s="36"/>
      <c r="V53" s="36"/>
      <c r="W53" s="36"/>
      <c r="X53" s="36"/>
      <c r="Y53" s="36"/>
      <c r="Z53" s="36"/>
      <c r="AA53" s="36"/>
      <c r="AB53" s="36"/>
    </row>
    <row r="54" spans="1:28" ht="60" hidden="1" customHeight="1">
      <c r="A54" s="67" t="str">
        <f>HYPERLINK("https://www.alcaldiabogota.gov.co/sisjur/normas/Norma1.jsp?i=34492","Ley 1273")</f>
        <v>Ley 1273</v>
      </c>
      <c r="B54" s="32">
        <v>2009</v>
      </c>
      <c r="C54" s="32" t="s">
        <v>39</v>
      </c>
      <c r="D54" s="33" t="s">
        <v>505</v>
      </c>
      <c r="E54" s="64" t="s">
        <v>41</v>
      </c>
      <c r="F54" s="32" t="s">
        <v>97</v>
      </c>
      <c r="G54" s="116" t="s">
        <v>43</v>
      </c>
      <c r="H54" s="117" t="s">
        <v>240</v>
      </c>
      <c r="I54" s="35"/>
      <c r="J54" s="36"/>
      <c r="K54" s="36"/>
      <c r="L54" s="36"/>
      <c r="M54" s="36"/>
      <c r="N54" s="36"/>
      <c r="O54" s="36"/>
      <c r="P54" s="36"/>
      <c r="Q54" s="36"/>
      <c r="R54" s="36"/>
      <c r="S54" s="36"/>
      <c r="T54" s="36"/>
      <c r="U54" s="36"/>
      <c r="V54" s="36"/>
      <c r="W54" s="36"/>
      <c r="X54" s="36"/>
      <c r="Y54" s="36"/>
      <c r="Z54" s="36"/>
      <c r="AA54" s="36"/>
      <c r="AB54" s="36"/>
    </row>
    <row r="55" spans="1:28" ht="24" hidden="1" customHeight="1">
      <c r="A55" s="67" t="str">
        <f>HYPERLINK("https://www.alcaldiabogota.gov.co/sisjur/normas/Norma1.jsp?i=41249","LEY 1437")</f>
        <v>LEY 1437</v>
      </c>
      <c r="B55" s="32">
        <v>2011</v>
      </c>
      <c r="C55" s="142" t="s">
        <v>39</v>
      </c>
      <c r="D55" s="33" t="s">
        <v>281</v>
      </c>
      <c r="E55" s="32" t="s">
        <v>41</v>
      </c>
      <c r="F55" s="32" t="s">
        <v>42</v>
      </c>
      <c r="G55" s="116" t="s">
        <v>43</v>
      </c>
      <c r="H55" s="117" t="s">
        <v>240</v>
      </c>
      <c r="I55" s="35"/>
      <c r="J55" s="36"/>
      <c r="K55" s="36"/>
      <c r="L55" s="36"/>
      <c r="M55" s="36"/>
      <c r="N55" s="36"/>
      <c r="O55" s="36"/>
      <c r="P55" s="36"/>
      <c r="Q55" s="36"/>
      <c r="R55" s="36"/>
      <c r="S55" s="36"/>
      <c r="T55" s="36"/>
      <c r="U55" s="36"/>
      <c r="V55" s="36"/>
      <c r="W55" s="36"/>
      <c r="X55" s="36"/>
      <c r="Y55" s="36"/>
      <c r="Z55" s="36"/>
      <c r="AA55" s="36"/>
      <c r="AB55" s="36"/>
    </row>
    <row r="56" spans="1:28" ht="36" hidden="1" customHeight="1">
      <c r="A56" s="67" t="str">
        <f>HYPERLINK("https://www.alcaldiabogota.gov.co/sisjur/normas/Norma1.jsp?i=43213#0","LEY 1469")</f>
        <v>LEY 1469</v>
      </c>
      <c r="B56" s="64">
        <v>2011</v>
      </c>
      <c r="C56" s="142" t="s">
        <v>39</v>
      </c>
      <c r="D56" s="33" t="s">
        <v>506</v>
      </c>
      <c r="E56" s="32" t="s">
        <v>41</v>
      </c>
      <c r="F56" s="32" t="s">
        <v>42</v>
      </c>
      <c r="G56" s="116" t="s">
        <v>43</v>
      </c>
      <c r="H56" s="117" t="s">
        <v>240</v>
      </c>
      <c r="I56" s="35"/>
      <c r="J56" s="36"/>
      <c r="K56" s="36"/>
      <c r="L56" s="36"/>
      <c r="M56" s="36"/>
      <c r="N56" s="36"/>
      <c r="O56" s="36"/>
      <c r="P56" s="36"/>
      <c r="Q56" s="36"/>
      <c r="R56" s="36"/>
      <c r="S56" s="36"/>
      <c r="T56" s="36"/>
      <c r="U56" s="36"/>
      <c r="V56" s="36"/>
      <c r="W56" s="36"/>
      <c r="X56" s="36"/>
      <c r="Y56" s="36"/>
      <c r="Z56" s="36"/>
      <c r="AA56" s="36"/>
      <c r="AB56" s="36"/>
    </row>
    <row r="57" spans="1:28" ht="36" hidden="1" customHeight="1">
      <c r="A57" s="67" t="str">
        <f>HYPERLINK("https://www.alcaldiabogota.gov.co/sisjur/normas/Norma1.jsp?i=43292","LEY 1474")</f>
        <v>LEY 1474</v>
      </c>
      <c r="B57" s="32">
        <v>2011</v>
      </c>
      <c r="C57" s="142" t="s">
        <v>39</v>
      </c>
      <c r="D57" s="33" t="s">
        <v>54</v>
      </c>
      <c r="E57" s="32" t="s">
        <v>41</v>
      </c>
      <c r="F57" s="32" t="s">
        <v>42</v>
      </c>
      <c r="G57" s="116" t="s">
        <v>43</v>
      </c>
      <c r="H57" s="117" t="s">
        <v>240</v>
      </c>
      <c r="I57" s="35"/>
      <c r="J57" s="36"/>
      <c r="K57" s="36"/>
      <c r="L57" s="36"/>
      <c r="M57" s="36"/>
      <c r="N57" s="36"/>
      <c r="O57" s="36"/>
      <c r="P57" s="36"/>
      <c r="Q57" s="36"/>
      <c r="R57" s="36"/>
      <c r="S57" s="36"/>
      <c r="T57" s="36"/>
      <c r="U57" s="36"/>
      <c r="V57" s="36"/>
      <c r="W57" s="36"/>
      <c r="X57" s="36"/>
      <c r="Y57" s="36"/>
      <c r="Z57" s="36"/>
      <c r="AA57" s="36"/>
      <c r="AB57" s="36"/>
    </row>
    <row r="58" spans="1:28" ht="36" hidden="1" customHeight="1">
      <c r="A58" s="67" t="str">
        <f>HYPERLINK("https://www.alcaldiabogota.gov.co/sisjur/normas/Norma1.jsp?i=45329","LEY 1508")</f>
        <v>LEY 1508</v>
      </c>
      <c r="B58" s="64">
        <v>2012</v>
      </c>
      <c r="C58" s="142" t="s">
        <v>39</v>
      </c>
      <c r="D58" s="33" t="s">
        <v>291</v>
      </c>
      <c r="E58" s="32" t="s">
        <v>41</v>
      </c>
      <c r="F58" s="32" t="s">
        <v>42</v>
      </c>
      <c r="G58" s="116" t="s">
        <v>43</v>
      </c>
      <c r="H58" s="117" t="s">
        <v>240</v>
      </c>
      <c r="I58" s="35"/>
      <c r="J58" s="36"/>
      <c r="K58" s="36"/>
      <c r="L58" s="36"/>
      <c r="M58" s="36"/>
      <c r="N58" s="36"/>
      <c r="O58" s="36"/>
      <c r="P58" s="36"/>
      <c r="Q58" s="36"/>
      <c r="R58" s="36"/>
      <c r="S58" s="36"/>
      <c r="T58" s="36"/>
      <c r="U58" s="36"/>
      <c r="V58" s="36"/>
      <c r="W58" s="36"/>
      <c r="X58" s="36"/>
      <c r="Y58" s="36"/>
      <c r="Z58" s="36"/>
      <c r="AA58" s="36"/>
      <c r="AB58" s="36"/>
    </row>
    <row r="59" spans="1:28" ht="24" hidden="1" customHeight="1">
      <c r="A59" s="67" t="str">
        <f>HYPERLINK("https://www.alcaldiabogota.gov.co/sisjur/normas/Norma1.jsp?i=48425","LEY 1564")</f>
        <v>LEY 1564</v>
      </c>
      <c r="B59" s="64">
        <v>2012</v>
      </c>
      <c r="C59" s="142" t="s">
        <v>39</v>
      </c>
      <c r="D59" s="33" t="s">
        <v>416</v>
      </c>
      <c r="E59" s="32" t="s">
        <v>41</v>
      </c>
      <c r="F59" s="32" t="s">
        <v>42</v>
      </c>
      <c r="G59" s="116" t="s">
        <v>43</v>
      </c>
      <c r="H59" s="117" t="s">
        <v>240</v>
      </c>
      <c r="I59" s="35"/>
      <c r="J59" s="36"/>
      <c r="K59" s="36"/>
      <c r="L59" s="36"/>
      <c r="M59" s="36"/>
      <c r="N59" s="36"/>
      <c r="O59" s="36"/>
      <c r="P59" s="36"/>
      <c r="Q59" s="36"/>
      <c r="R59" s="36"/>
      <c r="S59" s="36"/>
      <c r="T59" s="36"/>
      <c r="U59" s="36"/>
      <c r="V59" s="36"/>
      <c r="W59" s="36"/>
      <c r="X59" s="36"/>
      <c r="Y59" s="36"/>
      <c r="Z59" s="36"/>
      <c r="AA59" s="36"/>
      <c r="AB59" s="36"/>
    </row>
    <row r="60" spans="1:28" ht="24" hidden="1" customHeight="1">
      <c r="A60" s="67" t="str">
        <f>HYPERLINK("https://www.alcaldiabogota.gov.co/sisjur/normas/Norma1.jsp?i=52081#11","LEY 1618")</f>
        <v>LEY 1618</v>
      </c>
      <c r="B60" s="32">
        <v>2013</v>
      </c>
      <c r="C60" s="32" t="s">
        <v>507</v>
      </c>
      <c r="D60" s="33" t="s">
        <v>508</v>
      </c>
      <c r="E60" s="32" t="s">
        <v>41</v>
      </c>
      <c r="F60" s="32" t="s">
        <v>97</v>
      </c>
      <c r="G60" s="116" t="s">
        <v>43</v>
      </c>
      <c r="H60" s="117" t="s">
        <v>240</v>
      </c>
      <c r="I60" s="35"/>
      <c r="J60" s="36"/>
      <c r="K60" s="36"/>
      <c r="L60" s="36"/>
      <c r="M60" s="36"/>
      <c r="N60" s="36"/>
      <c r="O60" s="36"/>
      <c r="P60" s="36"/>
      <c r="Q60" s="36"/>
      <c r="R60" s="36"/>
      <c r="S60" s="36"/>
      <c r="T60" s="36"/>
      <c r="U60" s="36"/>
      <c r="V60" s="36"/>
      <c r="W60" s="36"/>
      <c r="X60" s="36"/>
      <c r="Y60" s="36"/>
      <c r="Z60" s="36"/>
      <c r="AA60" s="36"/>
      <c r="AB60" s="36"/>
    </row>
    <row r="61" spans="1:28" ht="36" hidden="1" customHeight="1">
      <c r="A61" s="67" t="str">
        <f>HYPERLINK("https://www.alcaldiabogota.gov.co/sisjur/normas/Norma1.jsp?i=56882","LEY 1712")</f>
        <v>LEY 1712</v>
      </c>
      <c r="B61" s="64">
        <v>2014</v>
      </c>
      <c r="C61" s="142" t="s">
        <v>39</v>
      </c>
      <c r="D61" s="33" t="s">
        <v>295</v>
      </c>
      <c r="E61" s="32" t="s">
        <v>41</v>
      </c>
      <c r="F61" s="32" t="s">
        <v>42</v>
      </c>
      <c r="G61" s="116" t="s">
        <v>43</v>
      </c>
      <c r="H61" s="117" t="s">
        <v>240</v>
      </c>
      <c r="I61" s="35"/>
      <c r="J61" s="36"/>
      <c r="K61" s="36"/>
      <c r="L61" s="36"/>
      <c r="M61" s="36"/>
      <c r="N61" s="36"/>
      <c r="O61" s="36"/>
      <c r="P61" s="36"/>
      <c r="Q61" s="36"/>
      <c r="R61" s="36"/>
      <c r="S61" s="36"/>
      <c r="T61" s="36"/>
      <c r="U61" s="36"/>
      <c r="V61" s="36"/>
      <c r="W61" s="36"/>
      <c r="X61" s="36"/>
      <c r="Y61" s="36"/>
      <c r="Z61" s="36"/>
      <c r="AA61" s="36"/>
      <c r="AB61" s="36"/>
    </row>
    <row r="62" spans="1:28" ht="24" hidden="1" customHeight="1">
      <c r="A62" s="67" t="str">
        <f>HYPERLINK("https://www.alcaldiabogota.gov.co/sisjur/normas/Norma1.jsp?i=61933","LEY 1753")</f>
        <v>LEY 1753</v>
      </c>
      <c r="B62" s="64">
        <v>2015</v>
      </c>
      <c r="C62" s="142" t="s">
        <v>39</v>
      </c>
      <c r="D62" s="144" t="s">
        <v>509</v>
      </c>
      <c r="E62" s="32" t="s">
        <v>41</v>
      </c>
      <c r="F62" s="32" t="s">
        <v>42</v>
      </c>
      <c r="G62" s="116" t="s">
        <v>43</v>
      </c>
      <c r="H62" s="117" t="s">
        <v>240</v>
      </c>
      <c r="I62" s="35"/>
      <c r="J62" s="36"/>
      <c r="K62" s="36"/>
      <c r="L62" s="36"/>
      <c r="M62" s="36"/>
      <c r="N62" s="36"/>
      <c r="O62" s="36"/>
      <c r="P62" s="36"/>
      <c r="Q62" s="36"/>
      <c r="R62" s="36"/>
      <c r="S62" s="36"/>
      <c r="T62" s="36"/>
      <c r="U62" s="36"/>
      <c r="V62" s="36"/>
      <c r="W62" s="36"/>
      <c r="X62" s="36"/>
      <c r="Y62" s="36"/>
      <c r="Z62" s="36"/>
      <c r="AA62" s="36"/>
      <c r="AB62" s="36"/>
    </row>
    <row r="63" spans="1:28" ht="36" hidden="1" customHeight="1">
      <c r="A63" s="67" t="str">
        <f>HYPERLINK("https://www.alcaldiabogota.gov.co/sisjur/normas/Norma1.jsp?i=62152","LEY 1755")</f>
        <v>LEY 1755</v>
      </c>
      <c r="B63" s="64">
        <v>2015</v>
      </c>
      <c r="C63" s="142" t="s">
        <v>39</v>
      </c>
      <c r="D63" s="33" t="s">
        <v>510</v>
      </c>
      <c r="E63" s="32" t="s">
        <v>41</v>
      </c>
      <c r="F63" s="32" t="s">
        <v>42</v>
      </c>
      <c r="G63" s="116" t="s">
        <v>43</v>
      </c>
      <c r="H63" s="117" t="s">
        <v>240</v>
      </c>
      <c r="I63" s="35"/>
      <c r="J63" s="36"/>
      <c r="K63" s="36"/>
      <c r="L63" s="36"/>
      <c r="M63" s="36"/>
      <c r="N63" s="36"/>
      <c r="O63" s="36"/>
      <c r="P63" s="36"/>
      <c r="Q63" s="36"/>
      <c r="R63" s="36"/>
      <c r="S63" s="36"/>
      <c r="T63" s="36"/>
      <c r="U63" s="36"/>
      <c r="V63" s="36"/>
      <c r="W63" s="36"/>
      <c r="X63" s="36"/>
      <c r="Y63" s="36"/>
      <c r="Z63" s="36"/>
      <c r="AA63" s="36"/>
      <c r="AB63" s="36"/>
    </row>
    <row r="64" spans="1:28" ht="36" hidden="1" customHeight="1">
      <c r="A64" s="67" t="str">
        <f>HYPERLINK("https://www.alcaldiabogota.gov.co/sisjur/normas/Norma1.jsp?i=73590#4.p","LEY 1882")</f>
        <v>LEY 1882</v>
      </c>
      <c r="B64" s="64">
        <v>2018</v>
      </c>
      <c r="C64" s="32" t="s">
        <v>39</v>
      </c>
      <c r="D64" s="33" t="s">
        <v>308</v>
      </c>
      <c r="E64" s="32" t="s">
        <v>41</v>
      </c>
      <c r="F64" s="32" t="s">
        <v>42</v>
      </c>
      <c r="G64" s="116" t="s">
        <v>43</v>
      </c>
      <c r="H64" s="117" t="s">
        <v>240</v>
      </c>
      <c r="I64" s="35"/>
      <c r="J64" s="36"/>
      <c r="K64" s="36"/>
      <c r="L64" s="36"/>
      <c r="M64" s="36"/>
      <c r="N64" s="36"/>
      <c r="O64" s="36"/>
      <c r="P64" s="36"/>
      <c r="Q64" s="36"/>
      <c r="R64" s="36"/>
      <c r="S64" s="36"/>
      <c r="T64" s="36"/>
      <c r="U64" s="36"/>
      <c r="V64" s="36"/>
      <c r="W64" s="36"/>
      <c r="X64" s="36"/>
      <c r="Y64" s="36"/>
      <c r="Z64" s="36"/>
      <c r="AA64" s="36"/>
      <c r="AB64" s="36"/>
    </row>
    <row r="65" spans="1:28" ht="24" hidden="1" customHeight="1">
      <c r="A65" s="67" t="str">
        <f>HYPERLINK("https://www.alcaldiabogota.gov.co/sisjur/normas/Norma1.jsp?i=41102","DECRETO 410")</f>
        <v>DECRETO 410</v>
      </c>
      <c r="B65" s="64">
        <v>1971</v>
      </c>
      <c r="C65" s="142" t="s">
        <v>57</v>
      </c>
      <c r="D65" s="33" t="s">
        <v>242</v>
      </c>
      <c r="E65" s="32" t="s">
        <v>41</v>
      </c>
      <c r="F65" s="32" t="s">
        <v>42</v>
      </c>
      <c r="G65" s="116" t="s">
        <v>43</v>
      </c>
      <c r="H65" s="117" t="s">
        <v>240</v>
      </c>
      <c r="I65" s="35"/>
      <c r="J65" s="36"/>
      <c r="K65" s="36"/>
      <c r="L65" s="36"/>
      <c r="M65" s="36"/>
      <c r="N65" s="36"/>
      <c r="O65" s="36"/>
      <c r="P65" s="36"/>
      <c r="Q65" s="36"/>
      <c r="R65" s="36"/>
      <c r="S65" s="36"/>
      <c r="T65" s="36"/>
      <c r="U65" s="36"/>
      <c r="V65" s="36"/>
      <c r="W65" s="36"/>
      <c r="X65" s="36"/>
      <c r="Y65" s="36"/>
      <c r="Z65" s="36"/>
      <c r="AA65" s="36"/>
      <c r="AB65" s="36"/>
    </row>
    <row r="66" spans="1:28" ht="24" hidden="1" customHeight="1">
      <c r="A66" s="67" t="str">
        <f>HYPERLINK("https://www.alcaldiabogota.gov.co/sisjur/normas/Norma1.jsp?i=1551","DECRETO 2811")</f>
        <v>DECRETO 2811</v>
      </c>
      <c r="B66" s="64">
        <v>1974</v>
      </c>
      <c r="C66" s="142" t="s">
        <v>57</v>
      </c>
      <c r="D66" s="33" t="s">
        <v>511</v>
      </c>
      <c r="E66" s="32" t="s">
        <v>41</v>
      </c>
      <c r="F66" s="32" t="s">
        <v>42</v>
      </c>
      <c r="G66" s="116" t="s">
        <v>43</v>
      </c>
      <c r="H66" s="117" t="s">
        <v>240</v>
      </c>
      <c r="I66" s="35"/>
      <c r="J66" s="36"/>
      <c r="K66" s="36"/>
      <c r="L66" s="36"/>
      <c r="M66" s="36"/>
      <c r="N66" s="36"/>
      <c r="O66" s="36"/>
      <c r="P66" s="36"/>
      <c r="Q66" s="36"/>
      <c r="R66" s="36"/>
      <c r="S66" s="36"/>
      <c r="T66" s="36"/>
      <c r="U66" s="36"/>
      <c r="V66" s="36"/>
      <c r="W66" s="36"/>
      <c r="X66" s="36"/>
      <c r="Y66" s="36"/>
      <c r="Z66" s="36"/>
      <c r="AA66" s="36"/>
      <c r="AB66" s="36"/>
    </row>
    <row r="67" spans="1:28" ht="24" hidden="1" customHeight="1">
      <c r="A67" s="68" t="str">
        <f>HYPERLINK("http://www.suin-juriscol.gov.co/viewDocument.asp?id=1335778","DECRETO 1712")</f>
        <v>DECRETO 1712</v>
      </c>
      <c r="B67" s="64">
        <v>1989</v>
      </c>
      <c r="C67" s="142" t="s">
        <v>57</v>
      </c>
      <c r="D67" s="33" t="s">
        <v>512</v>
      </c>
      <c r="E67" s="32" t="s">
        <v>41</v>
      </c>
      <c r="F67" s="32" t="s">
        <v>42</v>
      </c>
      <c r="G67" s="116" t="s">
        <v>43</v>
      </c>
      <c r="H67" s="117" t="s">
        <v>240</v>
      </c>
      <c r="I67" s="35"/>
      <c r="J67" s="36"/>
      <c r="K67" s="36"/>
      <c r="L67" s="36"/>
      <c r="M67" s="36"/>
      <c r="N67" s="36"/>
      <c r="O67" s="36"/>
      <c r="P67" s="36"/>
      <c r="Q67" s="36"/>
      <c r="R67" s="36"/>
      <c r="S67" s="36"/>
      <c r="T67" s="36"/>
      <c r="U67" s="36"/>
      <c r="V67" s="36"/>
      <c r="W67" s="36"/>
      <c r="X67" s="36"/>
      <c r="Y67" s="36"/>
      <c r="Z67" s="36"/>
      <c r="AA67" s="36"/>
      <c r="AB67" s="36"/>
    </row>
    <row r="68" spans="1:28" ht="24" hidden="1" customHeight="1">
      <c r="A68" s="67" t="str">
        <f>HYPERLINK("https://www.alcaldiabogota.gov.co/sisjur/normas/Norma1.jsp?i=1507","DECRETO LEY 1421")</f>
        <v>DECRETO LEY 1421</v>
      </c>
      <c r="B68" s="64">
        <v>1993</v>
      </c>
      <c r="C68" s="142" t="s">
        <v>57</v>
      </c>
      <c r="D68" s="33" t="s">
        <v>513</v>
      </c>
      <c r="E68" s="32" t="s">
        <v>41</v>
      </c>
      <c r="F68" s="32" t="s">
        <v>42</v>
      </c>
      <c r="G68" s="116" t="s">
        <v>43</v>
      </c>
      <c r="H68" s="117" t="s">
        <v>240</v>
      </c>
      <c r="I68" s="35"/>
      <c r="J68" s="36"/>
      <c r="K68" s="36"/>
      <c r="L68" s="36"/>
      <c r="M68" s="36"/>
      <c r="N68" s="36"/>
      <c r="O68" s="36"/>
      <c r="P68" s="36"/>
      <c r="Q68" s="36"/>
      <c r="R68" s="36"/>
      <c r="S68" s="36"/>
      <c r="T68" s="36"/>
      <c r="U68" s="36"/>
      <c r="V68" s="36"/>
      <c r="W68" s="36"/>
      <c r="X68" s="36"/>
      <c r="Y68" s="36"/>
      <c r="Z68" s="36"/>
      <c r="AA68" s="36"/>
      <c r="AB68" s="36"/>
    </row>
    <row r="69" spans="1:28" ht="36" hidden="1" customHeight="1">
      <c r="A69" s="67" t="str">
        <f>HYPERLINK("https://www.alcaldiabogota.gov.co/sisjur/normas/Norma1.jsp?i=1190","DECRETO 2681")</f>
        <v>DECRETO 2681</v>
      </c>
      <c r="B69" s="64">
        <v>1993</v>
      </c>
      <c r="C69" s="142" t="s">
        <v>57</v>
      </c>
      <c r="D69" s="33" t="s">
        <v>514</v>
      </c>
      <c r="E69" s="32" t="s">
        <v>41</v>
      </c>
      <c r="F69" s="32" t="s">
        <v>42</v>
      </c>
      <c r="G69" s="116" t="s">
        <v>43</v>
      </c>
      <c r="H69" s="117" t="s">
        <v>240</v>
      </c>
      <c r="I69" s="35"/>
      <c r="J69" s="36"/>
      <c r="K69" s="36"/>
      <c r="L69" s="36"/>
      <c r="M69" s="36"/>
      <c r="N69" s="36"/>
      <c r="O69" s="36"/>
      <c r="P69" s="36"/>
      <c r="Q69" s="36"/>
      <c r="R69" s="36"/>
      <c r="S69" s="36"/>
      <c r="T69" s="36"/>
      <c r="U69" s="36"/>
      <c r="V69" s="36"/>
      <c r="W69" s="36"/>
      <c r="X69" s="36"/>
      <c r="Y69" s="36"/>
      <c r="Z69" s="36"/>
      <c r="AA69" s="36"/>
      <c r="AB69" s="36"/>
    </row>
    <row r="70" spans="1:28" ht="60" hidden="1" customHeight="1">
      <c r="A70" s="67" t="str">
        <f>HYPERLINK("https://www.alcaldiabogota.gov.co/sisjur/normas/Norma1.jsp?i=1499#0","DECRETO 1121")</f>
        <v>DECRETO 1121</v>
      </c>
      <c r="B70" s="64">
        <v>1994</v>
      </c>
      <c r="C70" s="32" t="s">
        <v>260</v>
      </c>
      <c r="D70" s="33" t="s">
        <v>515</v>
      </c>
      <c r="E70" s="32" t="s">
        <v>41</v>
      </c>
      <c r="F70" s="32" t="s">
        <v>42</v>
      </c>
      <c r="G70" s="116" t="s">
        <v>43</v>
      </c>
      <c r="H70" s="117" t="s">
        <v>240</v>
      </c>
      <c r="I70" s="35"/>
      <c r="J70" s="36"/>
      <c r="K70" s="36"/>
      <c r="L70" s="36"/>
      <c r="M70" s="36"/>
      <c r="N70" s="36"/>
      <c r="O70" s="36"/>
      <c r="P70" s="36"/>
      <c r="Q70" s="36"/>
      <c r="R70" s="36"/>
      <c r="S70" s="36"/>
      <c r="T70" s="36"/>
      <c r="U70" s="36"/>
      <c r="V70" s="36"/>
      <c r="W70" s="36"/>
      <c r="X70" s="36"/>
      <c r="Y70" s="36"/>
      <c r="Z70" s="36"/>
      <c r="AA70" s="36"/>
      <c r="AB70" s="36"/>
    </row>
    <row r="71" spans="1:28" ht="60" hidden="1" customHeight="1">
      <c r="A71" s="67" t="str">
        <f>HYPERLINK("https://www.alcaldiabogota.gov.co/sisjur/normas/Norma1.jsp?i=1479#0","DECRETO 948")</f>
        <v>DECRETO 948</v>
      </c>
      <c r="B71" s="64">
        <v>1995</v>
      </c>
      <c r="C71" s="32" t="s">
        <v>516</v>
      </c>
      <c r="D71" s="33" t="s">
        <v>517</v>
      </c>
      <c r="E71" s="32" t="s">
        <v>41</v>
      </c>
      <c r="F71" s="32" t="s">
        <v>42</v>
      </c>
      <c r="G71" s="116" t="s">
        <v>43</v>
      </c>
      <c r="H71" s="117" t="s">
        <v>240</v>
      </c>
      <c r="I71" s="35"/>
      <c r="J71" s="36"/>
      <c r="K71" s="36"/>
      <c r="L71" s="36"/>
      <c r="M71" s="36"/>
      <c r="N71" s="36"/>
      <c r="O71" s="36"/>
      <c r="P71" s="36"/>
      <c r="Q71" s="36"/>
      <c r="R71" s="36"/>
      <c r="S71" s="36"/>
      <c r="T71" s="36"/>
      <c r="U71" s="36"/>
      <c r="V71" s="36"/>
      <c r="W71" s="36"/>
      <c r="X71" s="36"/>
      <c r="Y71" s="36"/>
      <c r="Z71" s="36"/>
      <c r="AA71" s="36"/>
      <c r="AB71" s="36"/>
    </row>
    <row r="72" spans="1:28" ht="106.5" hidden="1" customHeight="1">
      <c r="A72" s="67" t="str">
        <f>HYPERLINK("https://www.alcaldiabogota.gov.co/sisjur/normas/Norma1.jsp?i=6023","DECRETO 1721")</f>
        <v>DECRETO 1721</v>
      </c>
      <c r="B72" s="64">
        <v>1995</v>
      </c>
      <c r="C72" s="142" t="s">
        <v>273</v>
      </c>
      <c r="D72" s="33" t="s">
        <v>518</v>
      </c>
      <c r="E72" s="32" t="s">
        <v>41</v>
      </c>
      <c r="F72" s="32" t="s">
        <v>42</v>
      </c>
      <c r="G72" s="116" t="s">
        <v>43</v>
      </c>
      <c r="H72" s="117" t="s">
        <v>240</v>
      </c>
      <c r="I72" s="35"/>
      <c r="J72" s="36"/>
      <c r="K72" s="36"/>
      <c r="L72" s="36"/>
      <c r="M72" s="36"/>
      <c r="N72" s="36"/>
      <c r="O72" s="36"/>
      <c r="P72" s="36"/>
      <c r="Q72" s="36"/>
      <c r="R72" s="36"/>
      <c r="S72" s="36"/>
      <c r="T72" s="36"/>
      <c r="U72" s="36"/>
      <c r="V72" s="36"/>
      <c r="W72" s="36"/>
      <c r="X72" s="36"/>
      <c r="Y72" s="36"/>
      <c r="Z72" s="36"/>
      <c r="AA72" s="36"/>
      <c r="AB72" s="36"/>
    </row>
    <row r="73" spans="1:28" ht="36" hidden="1" customHeight="1">
      <c r="A73" s="67" t="str">
        <f>HYPERLINK("https://www.alcaldiabogota.gov.co/sisjur/normas/Norma1.jsp?i=7128#1","DECRETO 2107")</f>
        <v>DECRETO 2107</v>
      </c>
      <c r="B73" s="64">
        <v>1995</v>
      </c>
      <c r="C73" s="32" t="s">
        <v>516</v>
      </c>
      <c r="D73" s="33" t="s">
        <v>519</v>
      </c>
      <c r="E73" s="32" t="s">
        <v>41</v>
      </c>
      <c r="F73" s="32" t="s">
        <v>42</v>
      </c>
      <c r="G73" s="116" t="s">
        <v>43</v>
      </c>
      <c r="H73" s="117" t="s">
        <v>240</v>
      </c>
      <c r="I73" s="35"/>
      <c r="J73" s="36"/>
      <c r="K73" s="36"/>
      <c r="L73" s="36"/>
      <c r="M73" s="36"/>
      <c r="N73" s="36"/>
      <c r="O73" s="36"/>
      <c r="P73" s="36"/>
      <c r="Q73" s="36"/>
      <c r="R73" s="36"/>
      <c r="S73" s="36"/>
      <c r="T73" s="36"/>
      <c r="U73" s="36"/>
      <c r="V73" s="36"/>
      <c r="W73" s="36"/>
      <c r="X73" s="36"/>
      <c r="Y73" s="36"/>
      <c r="Z73" s="36"/>
      <c r="AA73" s="36"/>
      <c r="AB73" s="36"/>
    </row>
    <row r="74" spans="1:28" ht="24" hidden="1" customHeight="1">
      <c r="A74" s="67" t="str">
        <f>HYPERLINK("https://www.alcaldiabogota.gov.co/sisjur/normas/Norma1.jsp?i=1208","DECRETO 2150")</f>
        <v>DECRETO 2150</v>
      </c>
      <c r="B74" s="64">
        <v>1995</v>
      </c>
      <c r="C74" s="32" t="s">
        <v>520</v>
      </c>
      <c r="D74" s="33" t="s">
        <v>521</v>
      </c>
      <c r="E74" s="32" t="s">
        <v>41</v>
      </c>
      <c r="F74" s="32" t="s">
        <v>42</v>
      </c>
      <c r="G74" s="116" t="s">
        <v>43</v>
      </c>
      <c r="H74" s="117" t="s">
        <v>240</v>
      </c>
      <c r="I74" s="35"/>
      <c r="J74" s="36"/>
      <c r="K74" s="36"/>
      <c r="L74" s="36"/>
      <c r="M74" s="36"/>
      <c r="N74" s="36"/>
      <c r="O74" s="36"/>
      <c r="P74" s="36"/>
      <c r="Q74" s="36"/>
      <c r="R74" s="36"/>
      <c r="S74" s="36"/>
      <c r="T74" s="36"/>
      <c r="U74" s="36"/>
      <c r="V74" s="36"/>
      <c r="W74" s="36"/>
      <c r="X74" s="36"/>
      <c r="Y74" s="36"/>
      <c r="Z74" s="36"/>
      <c r="AA74" s="36"/>
      <c r="AB74" s="36"/>
    </row>
    <row r="75" spans="1:28" ht="36" hidden="1" customHeight="1">
      <c r="A75" s="67" t="str">
        <f>HYPERLINK("https://www.alcaldiabogota.gov.co/sisjur/normas/Norma1.jsp?i=1533","DECRETO 2232")</f>
        <v>DECRETO 2232</v>
      </c>
      <c r="B75" s="64">
        <v>1995</v>
      </c>
      <c r="C75" s="142" t="s">
        <v>57</v>
      </c>
      <c r="D75" s="33" t="s">
        <v>522</v>
      </c>
      <c r="E75" s="32" t="s">
        <v>41</v>
      </c>
      <c r="F75" s="32" t="s">
        <v>42</v>
      </c>
      <c r="G75" s="116" t="s">
        <v>43</v>
      </c>
      <c r="H75" s="117" t="s">
        <v>240</v>
      </c>
      <c r="I75" s="35"/>
      <c r="J75" s="36"/>
      <c r="K75" s="36"/>
      <c r="L75" s="36"/>
      <c r="M75" s="36"/>
      <c r="N75" s="36"/>
      <c r="O75" s="36"/>
      <c r="P75" s="36"/>
      <c r="Q75" s="36"/>
      <c r="R75" s="36"/>
      <c r="S75" s="36"/>
      <c r="T75" s="36"/>
      <c r="U75" s="36"/>
      <c r="V75" s="36"/>
      <c r="W75" s="36"/>
      <c r="X75" s="36"/>
      <c r="Y75" s="36"/>
      <c r="Z75" s="36"/>
      <c r="AA75" s="36"/>
      <c r="AB75" s="36"/>
    </row>
    <row r="76" spans="1:28" ht="48" hidden="1" customHeight="1">
      <c r="A76" s="67" t="str">
        <f>HYPERLINK("https://www.alcaldiabogota.gov.co/sisjur/normas/Norma1.jsp?i=5876","DECRETO 2326")</f>
        <v>DECRETO 2326</v>
      </c>
      <c r="B76" s="64">
        <v>1995</v>
      </c>
      <c r="C76" s="142" t="s">
        <v>57</v>
      </c>
      <c r="D76" s="33" t="s">
        <v>252</v>
      </c>
      <c r="E76" s="32" t="s">
        <v>41</v>
      </c>
      <c r="F76" s="32" t="s">
        <v>42</v>
      </c>
      <c r="G76" s="116" t="s">
        <v>43</v>
      </c>
      <c r="H76" s="117" t="s">
        <v>240</v>
      </c>
      <c r="I76" s="35"/>
      <c r="J76" s="36"/>
      <c r="K76" s="36"/>
      <c r="L76" s="36"/>
      <c r="M76" s="36"/>
      <c r="N76" s="36"/>
      <c r="O76" s="36"/>
      <c r="P76" s="36"/>
      <c r="Q76" s="36"/>
      <c r="R76" s="36"/>
      <c r="S76" s="36"/>
      <c r="T76" s="36"/>
      <c r="U76" s="36"/>
      <c r="V76" s="36"/>
      <c r="W76" s="36"/>
      <c r="X76" s="36"/>
      <c r="Y76" s="36"/>
      <c r="Z76" s="36"/>
      <c r="AA76" s="36"/>
      <c r="AB76" s="36"/>
    </row>
    <row r="77" spans="1:28" ht="24" hidden="1" customHeight="1">
      <c r="A77" s="67" t="str">
        <f>HYPERLINK("https://www.alcaldiabogota.gov.co/sisjur/normas/Norma1.jsp?i=1428","DECRETO 62")</f>
        <v>DECRETO 62</v>
      </c>
      <c r="B77" s="64">
        <v>1996</v>
      </c>
      <c r="C77" s="142" t="s">
        <v>57</v>
      </c>
      <c r="D77" s="33" t="s">
        <v>254</v>
      </c>
      <c r="E77" s="32" t="s">
        <v>41</v>
      </c>
      <c r="F77" s="32" t="s">
        <v>42</v>
      </c>
      <c r="G77" s="116" t="s">
        <v>43</v>
      </c>
      <c r="H77" s="117" t="s">
        <v>240</v>
      </c>
      <c r="I77" s="35"/>
      <c r="J77" s="36"/>
      <c r="K77" s="36"/>
      <c r="L77" s="36"/>
      <c r="M77" s="36"/>
      <c r="N77" s="36"/>
      <c r="O77" s="36"/>
      <c r="P77" s="36"/>
      <c r="Q77" s="36"/>
      <c r="R77" s="36"/>
      <c r="S77" s="36"/>
      <c r="T77" s="36"/>
      <c r="U77" s="36"/>
      <c r="V77" s="36"/>
      <c r="W77" s="36"/>
      <c r="X77" s="36"/>
      <c r="Y77" s="36"/>
      <c r="Z77" s="36"/>
      <c r="AA77" s="36"/>
      <c r="AB77" s="36"/>
    </row>
    <row r="78" spans="1:28" ht="24" hidden="1" customHeight="1">
      <c r="A78" s="67" t="str">
        <f>HYPERLINK("https://www.alcaldiabogota.gov.co/sisjur/normas/Norma1.jsp?i=1693","DECRETO DISTRITAL 714")</f>
        <v>DECRETO DISTRITAL 714</v>
      </c>
      <c r="B78" s="64">
        <v>1996</v>
      </c>
      <c r="C78" s="32" t="s">
        <v>61</v>
      </c>
      <c r="D78" s="33" t="s">
        <v>523</v>
      </c>
      <c r="E78" s="32" t="s">
        <v>41</v>
      </c>
      <c r="F78" s="32" t="s">
        <v>42</v>
      </c>
      <c r="G78" s="116" t="s">
        <v>43</v>
      </c>
      <c r="H78" s="117" t="s">
        <v>240</v>
      </c>
      <c r="I78" s="35"/>
      <c r="J78" s="36"/>
      <c r="K78" s="36"/>
      <c r="L78" s="36"/>
      <c r="M78" s="36"/>
      <c r="N78" s="36"/>
      <c r="O78" s="36"/>
      <c r="P78" s="36"/>
      <c r="Q78" s="36"/>
      <c r="R78" s="36"/>
      <c r="S78" s="36"/>
      <c r="T78" s="36"/>
      <c r="U78" s="36"/>
      <c r="V78" s="36"/>
      <c r="W78" s="36"/>
      <c r="X78" s="36"/>
      <c r="Y78" s="36"/>
      <c r="Z78" s="36"/>
      <c r="AA78" s="36"/>
      <c r="AB78" s="36"/>
    </row>
    <row r="79" spans="1:28" ht="24" hidden="1" customHeight="1">
      <c r="A79" s="67" t="str">
        <f>HYPERLINK("https://www.alcaldiabogota.gov.co/sisjur/normas/Norma1.jsp?i=1838","DECRETO 357")</f>
        <v>DECRETO 357</v>
      </c>
      <c r="B79" s="64">
        <v>1997</v>
      </c>
      <c r="C79" s="32" t="s">
        <v>61</v>
      </c>
      <c r="D79" s="33" t="s">
        <v>524</v>
      </c>
      <c r="E79" s="32" t="s">
        <v>41</v>
      </c>
      <c r="F79" s="32" t="s">
        <v>42</v>
      </c>
      <c r="G79" s="116" t="s">
        <v>43</v>
      </c>
      <c r="H79" s="117" t="s">
        <v>240</v>
      </c>
      <c r="I79" s="35"/>
      <c r="J79" s="36"/>
      <c r="K79" s="36"/>
      <c r="L79" s="36"/>
      <c r="M79" s="36"/>
      <c r="N79" s="36"/>
      <c r="O79" s="36"/>
      <c r="P79" s="36"/>
      <c r="Q79" s="36"/>
      <c r="R79" s="36"/>
      <c r="S79" s="36"/>
      <c r="T79" s="36"/>
      <c r="U79" s="36"/>
      <c r="V79" s="36"/>
      <c r="W79" s="36"/>
      <c r="X79" s="36"/>
      <c r="Y79" s="36"/>
      <c r="Z79" s="36"/>
      <c r="AA79" s="36"/>
      <c r="AB79" s="36"/>
    </row>
    <row r="80" spans="1:28" ht="36" hidden="1" customHeight="1">
      <c r="A80" s="67" t="str">
        <f>HYPERLINK("https://www.alcaldiabogota.gov.co/sisjur/normas/Norma1.jsp?i=1304","DECRETO 1737")</f>
        <v>DECRETO 1737</v>
      </c>
      <c r="B80" s="64">
        <v>1998</v>
      </c>
      <c r="C80" s="32" t="s">
        <v>260</v>
      </c>
      <c r="D80" s="33" t="s">
        <v>261</v>
      </c>
      <c r="E80" s="32" t="s">
        <v>41</v>
      </c>
      <c r="F80" s="32" t="s">
        <v>42</v>
      </c>
      <c r="G80" s="116" t="s">
        <v>43</v>
      </c>
      <c r="H80" s="117" t="s">
        <v>240</v>
      </c>
      <c r="I80" s="35"/>
      <c r="J80" s="36"/>
      <c r="K80" s="36"/>
      <c r="L80" s="36"/>
      <c r="M80" s="36"/>
      <c r="N80" s="36"/>
      <c r="O80" s="36"/>
      <c r="P80" s="36"/>
      <c r="Q80" s="36"/>
      <c r="R80" s="36"/>
      <c r="S80" s="36"/>
      <c r="T80" s="36"/>
      <c r="U80" s="36"/>
      <c r="V80" s="36"/>
      <c r="W80" s="36"/>
      <c r="X80" s="36"/>
      <c r="Y80" s="36"/>
      <c r="Z80" s="36"/>
      <c r="AA80" s="36"/>
      <c r="AB80" s="36"/>
    </row>
    <row r="81" spans="1:28" ht="24" hidden="1" customHeight="1">
      <c r="A81" s="67" t="str">
        <f>HYPERLINK("https://www.alcaldiabogota.gov.co/sisjur/normas/Norma1.jsp?i=1535","DECRETO 2209")</f>
        <v>DECRETO 2209</v>
      </c>
      <c r="B81" s="64">
        <v>1998</v>
      </c>
      <c r="C81" s="142" t="s">
        <v>260</v>
      </c>
      <c r="D81" s="33" t="s">
        <v>263</v>
      </c>
      <c r="E81" s="32" t="s">
        <v>41</v>
      </c>
      <c r="F81" s="32" t="s">
        <v>42</v>
      </c>
      <c r="G81" s="116" t="s">
        <v>43</v>
      </c>
      <c r="H81" s="117" t="s">
        <v>240</v>
      </c>
      <c r="I81" s="35"/>
      <c r="J81" s="36"/>
      <c r="K81" s="36"/>
      <c r="L81" s="36"/>
      <c r="M81" s="36"/>
      <c r="N81" s="36"/>
      <c r="O81" s="36"/>
      <c r="P81" s="36"/>
      <c r="Q81" s="36"/>
      <c r="R81" s="36"/>
      <c r="S81" s="36"/>
      <c r="T81" s="36"/>
      <c r="U81" s="36"/>
      <c r="V81" s="36"/>
      <c r="W81" s="36"/>
      <c r="X81" s="36"/>
      <c r="Y81" s="36"/>
      <c r="Z81" s="36"/>
      <c r="AA81" s="36"/>
      <c r="AB81" s="36"/>
    </row>
    <row r="82" spans="1:28" ht="24" hidden="1" customHeight="1">
      <c r="A82" s="67" t="str">
        <f>HYPERLINK("https://www.alcaldiabogota.gov.co/sisjur/normas/Norma1.jsp?i=4825","DECRETO 641")</f>
        <v>DECRETO 641</v>
      </c>
      <c r="B82" s="64">
        <v>2001</v>
      </c>
      <c r="C82" s="142" t="s">
        <v>57</v>
      </c>
      <c r="D82" s="33" t="s">
        <v>525</v>
      </c>
      <c r="E82" s="32" t="s">
        <v>41</v>
      </c>
      <c r="F82" s="32" t="s">
        <v>42</v>
      </c>
      <c r="G82" s="116" t="s">
        <v>43</v>
      </c>
      <c r="H82" s="117" t="s">
        <v>240</v>
      </c>
      <c r="I82" s="35"/>
      <c r="J82" s="36"/>
      <c r="K82" s="36"/>
      <c r="L82" s="36"/>
      <c r="M82" s="36"/>
      <c r="N82" s="36"/>
      <c r="O82" s="36"/>
      <c r="P82" s="36"/>
      <c r="Q82" s="36"/>
      <c r="R82" s="36"/>
      <c r="S82" s="36"/>
      <c r="T82" s="36"/>
      <c r="U82" s="36"/>
      <c r="V82" s="36"/>
      <c r="W82" s="36"/>
      <c r="X82" s="36"/>
      <c r="Y82" s="36"/>
      <c r="Z82" s="36"/>
      <c r="AA82" s="36"/>
      <c r="AB82" s="36"/>
    </row>
    <row r="83" spans="1:28" ht="36" hidden="1" customHeight="1">
      <c r="A83" s="67" t="str">
        <f>HYPERLINK("https://www.alcaldiabogota.gov.co/sisjur/normas/Norma1.jsp?i=4088","DECRETO 854")</f>
        <v>DECRETO 854</v>
      </c>
      <c r="B83" s="64">
        <v>2001</v>
      </c>
      <c r="C83" s="32" t="s">
        <v>61</v>
      </c>
      <c r="D83" s="33" t="s">
        <v>526</v>
      </c>
      <c r="E83" s="32" t="s">
        <v>41</v>
      </c>
      <c r="F83" s="32" t="s">
        <v>42</v>
      </c>
      <c r="G83" s="116" t="s">
        <v>43</v>
      </c>
      <c r="H83" s="117" t="s">
        <v>240</v>
      </c>
      <c r="I83" s="35"/>
      <c r="J83" s="36"/>
      <c r="K83" s="36"/>
      <c r="L83" s="36"/>
      <c r="M83" s="36"/>
      <c r="N83" s="36"/>
      <c r="O83" s="36"/>
      <c r="P83" s="36"/>
      <c r="Q83" s="36"/>
      <c r="R83" s="36"/>
      <c r="S83" s="36"/>
      <c r="T83" s="36"/>
      <c r="U83" s="36"/>
      <c r="V83" s="36"/>
      <c r="W83" s="36"/>
      <c r="X83" s="36"/>
      <c r="Y83" s="36"/>
      <c r="Z83" s="36"/>
      <c r="AA83" s="36"/>
      <c r="AB83" s="36"/>
    </row>
    <row r="84" spans="1:28" ht="48" hidden="1" customHeight="1">
      <c r="A84" s="67" t="str">
        <f>HYPERLINK("https://www.alcaldiabogota.gov.co/sisjur/normas/Norma1.jsp?i=5437","DECRETO 352")</f>
        <v>DECRETO 352</v>
      </c>
      <c r="B84" s="64">
        <v>2002</v>
      </c>
      <c r="C84" s="32" t="s">
        <v>61</v>
      </c>
      <c r="D84" s="33" t="s">
        <v>527</v>
      </c>
      <c r="E84" s="32" t="s">
        <v>41</v>
      </c>
      <c r="F84" s="32" t="s">
        <v>42</v>
      </c>
      <c r="G84" s="116" t="s">
        <v>43</v>
      </c>
      <c r="H84" s="117" t="s">
        <v>240</v>
      </c>
      <c r="I84" s="35"/>
      <c r="J84" s="36"/>
      <c r="K84" s="36"/>
      <c r="L84" s="36"/>
      <c r="M84" s="36"/>
      <c r="N84" s="36"/>
      <c r="O84" s="36"/>
      <c r="P84" s="36"/>
      <c r="Q84" s="36"/>
      <c r="R84" s="36"/>
      <c r="S84" s="36"/>
      <c r="T84" s="36"/>
      <c r="U84" s="36"/>
      <c r="V84" s="36"/>
      <c r="W84" s="36"/>
      <c r="X84" s="36"/>
      <c r="Y84" s="36"/>
      <c r="Z84" s="36"/>
      <c r="AA84" s="36"/>
      <c r="AB84" s="36"/>
    </row>
    <row r="85" spans="1:28" ht="36" hidden="1" customHeight="1">
      <c r="A85" s="67" t="str">
        <f>HYPERLINK("https://www.alcaldiabogota.gov.co/sisjur/normas/Norma1.jsp?i=5425","DECRETO 362")</f>
        <v>DECRETO 362</v>
      </c>
      <c r="B85" s="64">
        <v>2002</v>
      </c>
      <c r="C85" s="32" t="s">
        <v>61</v>
      </c>
      <c r="D85" s="33" t="s">
        <v>528</v>
      </c>
      <c r="E85" s="32" t="s">
        <v>41</v>
      </c>
      <c r="F85" s="32" t="s">
        <v>42</v>
      </c>
      <c r="G85" s="116" t="s">
        <v>43</v>
      </c>
      <c r="H85" s="117" t="s">
        <v>240</v>
      </c>
      <c r="I85" s="35"/>
      <c r="J85" s="36"/>
      <c r="K85" s="36"/>
      <c r="L85" s="36"/>
      <c r="M85" s="36"/>
      <c r="N85" s="36"/>
      <c r="O85" s="36"/>
      <c r="P85" s="36"/>
      <c r="Q85" s="36"/>
      <c r="R85" s="36"/>
      <c r="S85" s="36"/>
      <c r="T85" s="36"/>
      <c r="U85" s="36"/>
      <c r="V85" s="36"/>
      <c r="W85" s="36"/>
      <c r="X85" s="36"/>
      <c r="Y85" s="36"/>
      <c r="Z85" s="36"/>
      <c r="AA85" s="36"/>
      <c r="AB85" s="36"/>
    </row>
    <row r="86" spans="1:28" ht="48" hidden="1" customHeight="1">
      <c r="A86" s="67" t="str">
        <f>HYPERLINK("https://www.alcaldiabogota.gov.co/sisjur/normas/Norma1.jsp?i=5357","DECRETO 941")</f>
        <v>DECRETO 941</v>
      </c>
      <c r="B86" s="64">
        <v>2002</v>
      </c>
      <c r="C86" s="142" t="s">
        <v>57</v>
      </c>
      <c r="D86" s="33" t="s">
        <v>529</v>
      </c>
      <c r="E86" s="32" t="s">
        <v>41</v>
      </c>
      <c r="F86" s="32" t="s">
        <v>42</v>
      </c>
      <c r="G86" s="116" t="s">
        <v>43</v>
      </c>
      <c r="H86" s="117" t="s">
        <v>240</v>
      </c>
      <c r="I86" s="35"/>
      <c r="J86" s="36"/>
      <c r="K86" s="36"/>
      <c r="L86" s="36"/>
      <c r="M86" s="36"/>
      <c r="N86" s="36"/>
      <c r="O86" s="36"/>
      <c r="P86" s="36"/>
      <c r="Q86" s="36"/>
      <c r="R86" s="36"/>
      <c r="S86" s="36"/>
      <c r="T86" s="36"/>
      <c r="U86" s="36"/>
      <c r="V86" s="36"/>
      <c r="W86" s="36"/>
      <c r="X86" s="36"/>
      <c r="Y86" s="36"/>
      <c r="Z86" s="36"/>
      <c r="AA86" s="36"/>
      <c r="AB86" s="36"/>
    </row>
    <row r="87" spans="1:28" ht="36" hidden="1" customHeight="1">
      <c r="A87" s="67" t="str">
        <f>HYPERLINK("https://www.alcaldiabogota.gov.co/sisjur/normas/Norma1.jsp?i=7418","DECRETO 3258")</f>
        <v>DECRETO 3258</v>
      </c>
      <c r="B87" s="64">
        <v>2002</v>
      </c>
      <c r="C87" s="32" t="s">
        <v>260</v>
      </c>
      <c r="D87" s="33" t="s">
        <v>530</v>
      </c>
      <c r="E87" s="32" t="s">
        <v>41</v>
      </c>
      <c r="F87" s="32" t="s">
        <v>42</v>
      </c>
      <c r="G87" s="116" t="s">
        <v>43</v>
      </c>
      <c r="H87" s="117" t="s">
        <v>240</v>
      </c>
      <c r="I87" s="35"/>
      <c r="J87" s="36"/>
      <c r="K87" s="36"/>
      <c r="L87" s="36"/>
      <c r="M87" s="36"/>
      <c r="N87" s="36"/>
      <c r="O87" s="36"/>
      <c r="P87" s="36"/>
      <c r="Q87" s="36"/>
      <c r="R87" s="36"/>
      <c r="S87" s="36"/>
      <c r="T87" s="36"/>
      <c r="U87" s="36"/>
      <c r="V87" s="36"/>
      <c r="W87" s="36"/>
      <c r="X87" s="36"/>
      <c r="Y87" s="36"/>
      <c r="Z87" s="36"/>
      <c r="AA87" s="36"/>
      <c r="AB87" s="36"/>
    </row>
    <row r="88" spans="1:28" ht="24" hidden="1" customHeight="1">
      <c r="A88" s="145" t="s">
        <v>531</v>
      </c>
      <c r="B88" s="64">
        <v>2003</v>
      </c>
      <c r="C88" s="32" t="s">
        <v>61</v>
      </c>
      <c r="D88" s="146" t="s">
        <v>532</v>
      </c>
      <c r="E88" s="32" t="s">
        <v>41</v>
      </c>
      <c r="F88" s="32" t="s">
        <v>42</v>
      </c>
      <c r="G88" s="116" t="s">
        <v>43</v>
      </c>
      <c r="H88" s="117" t="s">
        <v>240</v>
      </c>
      <c r="I88" s="35"/>
      <c r="J88" s="36"/>
      <c r="K88" s="36"/>
      <c r="L88" s="36"/>
      <c r="M88" s="36"/>
      <c r="N88" s="36"/>
      <c r="O88" s="36"/>
      <c r="P88" s="36"/>
      <c r="Q88" s="36"/>
      <c r="R88" s="36"/>
      <c r="S88" s="36"/>
      <c r="T88" s="36"/>
      <c r="U88" s="36"/>
      <c r="V88" s="36"/>
      <c r="W88" s="36"/>
      <c r="X88" s="36"/>
      <c r="Y88" s="36"/>
      <c r="Z88" s="36"/>
      <c r="AA88" s="36"/>
      <c r="AB88" s="36"/>
    </row>
    <row r="89" spans="1:28" ht="36" hidden="1" customHeight="1">
      <c r="A89" s="67" t="str">
        <f>HYPERLINK("https://www.alcaldiabogota.gov.co/sisjur/normas/Norma1.jsp?i=9625#0","DECRETO 296")</f>
        <v>DECRETO 296</v>
      </c>
      <c r="B89" s="64">
        <v>2003</v>
      </c>
      <c r="C89" s="32" t="s">
        <v>61</v>
      </c>
      <c r="D89" s="33" t="s">
        <v>533</v>
      </c>
      <c r="E89" s="32" t="s">
        <v>41</v>
      </c>
      <c r="F89" s="32" t="s">
        <v>42</v>
      </c>
      <c r="G89" s="116" t="s">
        <v>43</v>
      </c>
      <c r="H89" s="117" t="s">
        <v>240</v>
      </c>
      <c r="I89" s="35"/>
      <c r="J89" s="36"/>
      <c r="K89" s="36"/>
      <c r="L89" s="36"/>
      <c r="M89" s="36"/>
      <c r="N89" s="36"/>
      <c r="O89" s="36"/>
      <c r="P89" s="36"/>
      <c r="Q89" s="36"/>
      <c r="R89" s="36"/>
      <c r="S89" s="36"/>
      <c r="T89" s="36"/>
      <c r="U89" s="36"/>
      <c r="V89" s="36"/>
      <c r="W89" s="36"/>
      <c r="X89" s="36"/>
      <c r="Y89" s="36"/>
      <c r="Z89" s="36"/>
      <c r="AA89" s="36"/>
      <c r="AB89" s="36"/>
    </row>
    <row r="90" spans="1:28" ht="24" hidden="1" customHeight="1">
      <c r="A90" s="67" t="str">
        <f>HYPERLINK("https://www.alcaldiabogota.gov.co/sisjur/normas/Norma1.jsp?i=9706","DECRETO DISTRITAL 350")</f>
        <v>DECRETO DISTRITAL 350</v>
      </c>
      <c r="B90" s="64">
        <v>2003</v>
      </c>
      <c r="C90" s="32" t="s">
        <v>61</v>
      </c>
      <c r="D90" s="33" t="s">
        <v>534</v>
      </c>
      <c r="E90" s="32" t="s">
        <v>41</v>
      </c>
      <c r="F90" s="32" t="s">
        <v>42</v>
      </c>
      <c r="G90" s="116" t="s">
        <v>43</v>
      </c>
      <c r="H90" s="117" t="s">
        <v>240</v>
      </c>
      <c r="I90" s="35"/>
      <c r="J90" s="36"/>
      <c r="K90" s="36"/>
      <c r="L90" s="36"/>
      <c r="M90" s="36"/>
      <c r="N90" s="36"/>
      <c r="O90" s="36"/>
      <c r="P90" s="36"/>
      <c r="Q90" s="36"/>
      <c r="R90" s="36"/>
      <c r="S90" s="36"/>
      <c r="T90" s="36"/>
      <c r="U90" s="36"/>
      <c r="V90" s="36"/>
      <c r="W90" s="36"/>
      <c r="X90" s="36"/>
      <c r="Y90" s="36"/>
      <c r="Z90" s="36"/>
      <c r="AA90" s="36"/>
      <c r="AB90" s="36"/>
    </row>
    <row r="91" spans="1:28" ht="48" hidden="1" customHeight="1">
      <c r="A91" s="67" t="str">
        <f>HYPERLINK("https://www.alcaldiabogota.gov.co/sisjur/normas/Norma1.jsp?i=14968","DECRETO 321")</f>
        <v>DECRETO 321</v>
      </c>
      <c r="B91" s="64">
        <v>2004</v>
      </c>
      <c r="C91" s="32" t="s">
        <v>61</v>
      </c>
      <c r="D91" s="33" t="s">
        <v>535</v>
      </c>
      <c r="E91" s="32" t="s">
        <v>41</v>
      </c>
      <c r="F91" s="32" t="s">
        <v>42</v>
      </c>
      <c r="G91" s="116" t="s">
        <v>43</v>
      </c>
      <c r="H91" s="117" t="s">
        <v>240</v>
      </c>
      <c r="I91" s="35"/>
      <c r="J91" s="36"/>
      <c r="K91" s="36"/>
      <c r="L91" s="36"/>
      <c r="M91" s="36"/>
      <c r="N91" s="36"/>
      <c r="O91" s="36"/>
      <c r="P91" s="36"/>
      <c r="Q91" s="36"/>
      <c r="R91" s="36"/>
      <c r="S91" s="36"/>
      <c r="T91" s="36"/>
      <c r="U91" s="36"/>
      <c r="V91" s="36"/>
      <c r="W91" s="36"/>
      <c r="X91" s="36"/>
      <c r="Y91" s="36"/>
      <c r="Z91" s="36"/>
      <c r="AA91" s="36"/>
      <c r="AB91" s="36"/>
    </row>
    <row r="92" spans="1:28" ht="24" hidden="1" customHeight="1">
      <c r="A92" s="67" t="str">
        <f>HYPERLINK("https://www.alcaldiabogota.gov.co/sisjur/normas/Norma1.jsp?i=15113","DECRETO 3629")</f>
        <v>DECRETO 3629</v>
      </c>
      <c r="B92" s="64">
        <v>2004</v>
      </c>
      <c r="C92" s="142" t="s">
        <v>273</v>
      </c>
      <c r="D92" s="33" t="s">
        <v>274</v>
      </c>
      <c r="E92" s="32" t="s">
        <v>41</v>
      </c>
      <c r="F92" s="32" t="s">
        <v>42</v>
      </c>
      <c r="G92" s="116" t="s">
        <v>43</v>
      </c>
      <c r="H92" s="117" t="s">
        <v>240</v>
      </c>
      <c r="I92" s="35"/>
      <c r="J92" s="36"/>
      <c r="K92" s="36"/>
      <c r="L92" s="36"/>
      <c r="M92" s="36"/>
      <c r="N92" s="36"/>
      <c r="O92" s="36"/>
      <c r="P92" s="36"/>
      <c r="Q92" s="36"/>
      <c r="R92" s="36"/>
      <c r="S92" s="36"/>
      <c r="T92" s="36"/>
      <c r="U92" s="36"/>
      <c r="V92" s="36"/>
      <c r="W92" s="36"/>
      <c r="X92" s="36"/>
      <c r="Y92" s="36"/>
      <c r="Z92" s="36"/>
      <c r="AA92" s="36"/>
      <c r="AB92" s="36"/>
    </row>
    <row r="93" spans="1:28" ht="48" hidden="1" customHeight="1">
      <c r="A93" s="67" t="str">
        <f>HYPERLINK("https://www.alcaldiabogota.gov.co/sisjur/normas/Norma1.jsp?i=18593","DECRETO 479")</f>
        <v>DECRETO 479</v>
      </c>
      <c r="B93" s="64">
        <v>2005</v>
      </c>
      <c r="C93" s="32" t="s">
        <v>61</v>
      </c>
      <c r="D93" s="33" t="s">
        <v>536</v>
      </c>
      <c r="E93" s="32" t="s">
        <v>41</v>
      </c>
      <c r="F93" s="32" t="s">
        <v>42</v>
      </c>
      <c r="G93" s="116" t="s">
        <v>43</v>
      </c>
      <c r="H93" s="117" t="s">
        <v>240</v>
      </c>
      <c r="I93" s="35"/>
      <c r="J93" s="36"/>
      <c r="K93" s="36"/>
      <c r="L93" s="36"/>
      <c r="M93" s="36"/>
      <c r="N93" s="36"/>
      <c r="O93" s="36"/>
      <c r="P93" s="36"/>
      <c r="Q93" s="36"/>
      <c r="R93" s="36"/>
      <c r="S93" s="36"/>
      <c r="T93" s="36"/>
      <c r="U93" s="36"/>
      <c r="V93" s="36"/>
      <c r="W93" s="36"/>
      <c r="X93" s="36"/>
      <c r="Y93" s="36"/>
      <c r="Z93" s="36"/>
      <c r="AA93" s="36"/>
      <c r="AB93" s="36"/>
    </row>
    <row r="94" spans="1:28" ht="36" hidden="1" customHeight="1">
      <c r="A94" s="67" t="str">
        <f>HYPERLINK("https://www.alcaldiabogota.gov.co/sisjur/normas/Norma1.jsp?i=21101","DECRETO 329")</f>
        <v>DECRETO 329</v>
      </c>
      <c r="B94" s="64">
        <v>2006</v>
      </c>
      <c r="C94" s="32" t="s">
        <v>61</v>
      </c>
      <c r="D94" s="33" t="s">
        <v>537</v>
      </c>
      <c r="E94" s="32" t="s">
        <v>41</v>
      </c>
      <c r="F94" s="32" t="s">
        <v>42</v>
      </c>
      <c r="G94" s="116" t="s">
        <v>43</v>
      </c>
      <c r="H94" s="117" t="s">
        <v>240</v>
      </c>
      <c r="I94" s="35"/>
      <c r="J94" s="36"/>
      <c r="K94" s="36"/>
      <c r="L94" s="36"/>
      <c r="M94" s="36"/>
      <c r="N94" s="36"/>
      <c r="O94" s="36"/>
      <c r="P94" s="36"/>
      <c r="Q94" s="36"/>
      <c r="R94" s="36"/>
      <c r="S94" s="36"/>
      <c r="T94" s="36"/>
      <c r="U94" s="36"/>
      <c r="V94" s="36"/>
      <c r="W94" s="36"/>
      <c r="X94" s="36"/>
      <c r="Y94" s="36"/>
      <c r="Z94" s="36"/>
      <c r="AA94" s="36"/>
      <c r="AB94" s="36"/>
    </row>
    <row r="95" spans="1:28" ht="36" hidden="1" customHeight="1">
      <c r="A95" s="67" t="str">
        <f>HYPERLINK("https://www.alcaldiabogota.gov.co/sisjur/normas/Norma1.jsp?i=19973","DECRETO 979")</f>
        <v>DECRETO 979</v>
      </c>
      <c r="B95" s="64">
        <v>2006</v>
      </c>
      <c r="C95" s="32" t="s">
        <v>128</v>
      </c>
      <c r="D95" s="33" t="s">
        <v>538</v>
      </c>
      <c r="E95" s="32" t="s">
        <v>41</v>
      </c>
      <c r="F95" s="32" t="s">
        <v>42</v>
      </c>
      <c r="G95" s="116" t="s">
        <v>43</v>
      </c>
      <c r="H95" s="117" t="s">
        <v>240</v>
      </c>
      <c r="I95" s="35"/>
      <c r="J95" s="36"/>
      <c r="K95" s="36"/>
      <c r="L95" s="36"/>
      <c r="M95" s="36"/>
      <c r="N95" s="36"/>
      <c r="O95" s="36"/>
      <c r="P95" s="36"/>
      <c r="Q95" s="36"/>
      <c r="R95" s="36"/>
      <c r="S95" s="36"/>
      <c r="T95" s="36"/>
      <c r="U95" s="36"/>
      <c r="V95" s="36"/>
      <c r="W95" s="36"/>
      <c r="X95" s="36"/>
      <c r="Y95" s="36"/>
      <c r="Z95" s="36"/>
      <c r="AA95" s="36"/>
      <c r="AB95" s="36"/>
    </row>
    <row r="96" spans="1:28" ht="48" hidden="1" customHeight="1">
      <c r="A96" s="67" t="str">
        <f>HYPERLINK("https://www.alcaldiabogota.gov.co/sisjur/normas/Norma1.jsp?i=34258","DECRETO 455")</f>
        <v>DECRETO 455</v>
      </c>
      <c r="B96" s="64">
        <v>2008</v>
      </c>
      <c r="C96" s="32" t="s">
        <v>61</v>
      </c>
      <c r="D96" s="33" t="s">
        <v>539</v>
      </c>
      <c r="E96" s="32" t="s">
        <v>41</v>
      </c>
      <c r="F96" s="32" t="s">
        <v>42</v>
      </c>
      <c r="G96" s="116" t="s">
        <v>43</v>
      </c>
      <c r="H96" s="117" t="s">
        <v>240</v>
      </c>
      <c r="I96" s="35"/>
      <c r="J96" s="36"/>
      <c r="K96" s="36"/>
      <c r="L96" s="36"/>
      <c r="M96" s="36"/>
      <c r="N96" s="36"/>
      <c r="O96" s="36"/>
      <c r="P96" s="36"/>
      <c r="Q96" s="36"/>
      <c r="R96" s="36"/>
      <c r="S96" s="36"/>
      <c r="T96" s="36"/>
      <c r="U96" s="36"/>
      <c r="V96" s="36"/>
      <c r="W96" s="36"/>
      <c r="X96" s="36"/>
      <c r="Y96" s="36"/>
      <c r="Z96" s="36"/>
      <c r="AA96" s="36"/>
      <c r="AB96" s="36"/>
    </row>
    <row r="97" spans="1:28" ht="24" hidden="1" customHeight="1">
      <c r="A97" s="67" t="str">
        <f>HYPERLINK("https://www.alcaldiabogota.gov.co/sisjur/normas/Norma1.jsp?i=34284","DECRETO 456")</f>
        <v>DECRETO 456</v>
      </c>
      <c r="B97" s="64">
        <v>2008</v>
      </c>
      <c r="C97" s="32" t="s">
        <v>540</v>
      </c>
      <c r="D97" s="33" t="s">
        <v>541</v>
      </c>
      <c r="E97" s="32" t="s">
        <v>41</v>
      </c>
      <c r="F97" s="32" t="s">
        <v>42</v>
      </c>
      <c r="G97" s="116" t="s">
        <v>43</v>
      </c>
      <c r="H97" s="117" t="s">
        <v>240</v>
      </c>
      <c r="I97" s="35"/>
      <c r="J97" s="36"/>
      <c r="K97" s="36"/>
      <c r="L97" s="36"/>
      <c r="M97" s="36"/>
      <c r="N97" s="36"/>
      <c r="O97" s="36"/>
      <c r="P97" s="36"/>
      <c r="Q97" s="36"/>
      <c r="R97" s="36"/>
      <c r="S97" s="36"/>
      <c r="T97" s="36"/>
      <c r="U97" s="36"/>
      <c r="V97" s="36"/>
      <c r="W97" s="36"/>
      <c r="X97" s="36"/>
      <c r="Y97" s="36"/>
      <c r="Z97" s="36"/>
      <c r="AA97" s="36"/>
      <c r="AB97" s="36"/>
    </row>
    <row r="98" spans="1:28" ht="24" hidden="1" customHeight="1">
      <c r="A98" s="67" t="str">
        <f>HYPERLINK("https://www.alcaldiabogota.gov.co/sisjur/normas/Norma1.jsp?i=30211","DECRETO 1525")</f>
        <v>DECRETO 1525</v>
      </c>
      <c r="B98" s="64">
        <v>2008</v>
      </c>
      <c r="C98" s="32" t="s">
        <v>260</v>
      </c>
      <c r="D98" s="33" t="s">
        <v>542</v>
      </c>
      <c r="E98" s="32" t="s">
        <v>41</v>
      </c>
      <c r="F98" s="32" t="s">
        <v>42</v>
      </c>
      <c r="G98" s="116" t="s">
        <v>43</v>
      </c>
      <c r="H98" s="117" t="s">
        <v>240</v>
      </c>
      <c r="I98" s="35"/>
      <c r="J98" s="36"/>
      <c r="K98" s="36"/>
      <c r="L98" s="36"/>
      <c r="M98" s="36"/>
      <c r="N98" s="36"/>
      <c r="O98" s="36"/>
      <c r="P98" s="36"/>
      <c r="Q98" s="36"/>
      <c r="R98" s="36"/>
      <c r="S98" s="36"/>
      <c r="T98" s="36"/>
      <c r="U98" s="36"/>
      <c r="V98" s="36"/>
      <c r="W98" s="36"/>
      <c r="X98" s="36"/>
      <c r="Y98" s="36"/>
      <c r="Z98" s="36"/>
      <c r="AA98" s="36"/>
      <c r="AB98" s="36"/>
    </row>
    <row r="99" spans="1:28" ht="36" hidden="1" customHeight="1">
      <c r="A99" s="67" t="str">
        <f>HYPERLINK("https://www.alcaldiabogota.gov.co/sisjur/normas/Norma1.jsp?i=34947","DECRETO 34")</f>
        <v>DECRETO 34</v>
      </c>
      <c r="B99" s="64">
        <v>2009</v>
      </c>
      <c r="C99" s="32" t="s">
        <v>61</v>
      </c>
      <c r="D99" s="144" t="s">
        <v>543</v>
      </c>
      <c r="E99" s="32" t="s">
        <v>41</v>
      </c>
      <c r="F99" s="32" t="s">
        <v>42</v>
      </c>
      <c r="G99" s="116" t="s">
        <v>43</v>
      </c>
      <c r="H99" s="117" t="s">
        <v>240</v>
      </c>
      <c r="I99" s="35"/>
      <c r="J99" s="36"/>
      <c r="K99" s="36"/>
      <c r="L99" s="36"/>
      <c r="M99" s="36"/>
      <c r="N99" s="36"/>
      <c r="O99" s="36"/>
      <c r="P99" s="36"/>
      <c r="Q99" s="36"/>
      <c r="R99" s="36"/>
      <c r="S99" s="36"/>
      <c r="T99" s="36"/>
      <c r="U99" s="36"/>
      <c r="V99" s="36"/>
      <c r="W99" s="36"/>
      <c r="X99" s="36"/>
      <c r="Y99" s="36"/>
      <c r="Z99" s="36"/>
      <c r="AA99" s="36"/>
      <c r="AB99" s="36"/>
    </row>
    <row r="100" spans="1:28" ht="36" hidden="1" customHeight="1">
      <c r="A100" s="67" t="str">
        <f>HYPERLINK("http://www.suin-juriscol.gov.co/viewDocument.asp?id=1492144","DECRETO 2805")</f>
        <v>DECRETO 2805</v>
      </c>
      <c r="B100" s="64">
        <v>2009</v>
      </c>
      <c r="C100" s="32" t="s">
        <v>260</v>
      </c>
      <c r="D100" s="33" t="s">
        <v>544</v>
      </c>
      <c r="E100" s="32" t="s">
        <v>41</v>
      </c>
      <c r="F100" s="32" t="s">
        <v>42</v>
      </c>
      <c r="G100" s="116" t="s">
        <v>43</v>
      </c>
      <c r="H100" s="117" t="s">
        <v>240</v>
      </c>
      <c r="I100" s="35"/>
      <c r="J100" s="36"/>
      <c r="K100" s="36"/>
      <c r="L100" s="36"/>
      <c r="M100" s="36"/>
      <c r="N100" s="36"/>
      <c r="O100" s="36"/>
      <c r="P100" s="36"/>
      <c r="Q100" s="36"/>
      <c r="R100" s="36"/>
      <c r="S100" s="36"/>
      <c r="T100" s="36"/>
      <c r="U100" s="36"/>
      <c r="V100" s="36"/>
      <c r="W100" s="36"/>
      <c r="X100" s="36"/>
      <c r="Y100" s="36"/>
      <c r="Z100" s="36"/>
      <c r="AA100" s="36"/>
      <c r="AB100" s="36"/>
    </row>
    <row r="101" spans="1:28" ht="36" hidden="1" customHeight="1">
      <c r="A101" s="67" t="str">
        <f>HYPERLINK("https://www.alcaldiabogota.gov.co/sisjur/normas/Norma1.jsp?i=40685","DECRETO 371")</f>
        <v>DECRETO 371</v>
      </c>
      <c r="B101" s="64">
        <v>2010</v>
      </c>
      <c r="C101" s="32" t="s">
        <v>61</v>
      </c>
      <c r="D101" s="33" t="s">
        <v>278</v>
      </c>
      <c r="E101" s="32" t="s">
        <v>41</v>
      </c>
      <c r="F101" s="32" t="s">
        <v>42</v>
      </c>
      <c r="G101" s="116" t="s">
        <v>43</v>
      </c>
      <c r="H101" s="117" t="s">
        <v>240</v>
      </c>
      <c r="I101" s="35"/>
      <c r="J101" s="36"/>
      <c r="K101" s="36"/>
      <c r="L101" s="36"/>
      <c r="M101" s="36"/>
      <c r="N101" s="36"/>
      <c r="O101" s="36"/>
      <c r="P101" s="36"/>
      <c r="Q101" s="36"/>
      <c r="R101" s="36"/>
      <c r="S101" s="36"/>
      <c r="T101" s="36"/>
      <c r="U101" s="36"/>
      <c r="V101" s="36"/>
      <c r="W101" s="36"/>
      <c r="X101" s="36"/>
      <c r="Y101" s="36"/>
      <c r="Z101" s="36"/>
      <c r="AA101" s="36"/>
      <c r="AB101" s="36"/>
    </row>
    <row r="102" spans="1:28" ht="48" hidden="1" customHeight="1">
      <c r="A102" s="67" t="str">
        <f>HYPERLINK("https://www.alcaldiabogota.gov.co/sisjur/normas/Norma1.jsp?i=40983","DECRETO 531")</f>
        <v>DECRETO 531</v>
      </c>
      <c r="B102" s="64">
        <v>2010</v>
      </c>
      <c r="C102" s="32" t="s">
        <v>540</v>
      </c>
      <c r="D102" s="33" t="s">
        <v>545</v>
      </c>
      <c r="E102" s="32" t="s">
        <v>41</v>
      </c>
      <c r="F102" s="32" t="s">
        <v>42</v>
      </c>
      <c r="G102" s="116" t="s">
        <v>43</v>
      </c>
      <c r="H102" s="117" t="s">
        <v>240</v>
      </c>
      <c r="I102" s="35"/>
      <c r="J102" s="36"/>
      <c r="K102" s="36"/>
      <c r="L102" s="36"/>
      <c r="M102" s="36"/>
      <c r="N102" s="36"/>
      <c r="O102" s="36"/>
      <c r="P102" s="36"/>
      <c r="Q102" s="36"/>
      <c r="R102" s="36"/>
      <c r="S102" s="36"/>
      <c r="T102" s="36"/>
      <c r="U102" s="36"/>
      <c r="V102" s="36"/>
      <c r="W102" s="36"/>
      <c r="X102" s="36"/>
      <c r="Y102" s="36"/>
      <c r="Z102" s="36"/>
      <c r="AA102" s="36"/>
      <c r="AB102" s="36"/>
    </row>
    <row r="103" spans="1:28" ht="36" hidden="1" customHeight="1">
      <c r="A103" s="67" t="str">
        <f>HYPERLINK("https://www.alcaldiabogota.gov.co/sisjur/normas/Norma1.jsp?i=45322","DECRETO - LEY 019")</f>
        <v>DECRETO - LEY 019</v>
      </c>
      <c r="B103" s="32">
        <v>2012</v>
      </c>
      <c r="C103" s="32" t="s">
        <v>57</v>
      </c>
      <c r="D103" s="33" t="s">
        <v>546</v>
      </c>
      <c r="E103" s="32" t="s">
        <v>41</v>
      </c>
      <c r="F103" s="32" t="s">
        <v>42</v>
      </c>
      <c r="G103" s="116" t="s">
        <v>43</v>
      </c>
      <c r="H103" s="117" t="s">
        <v>240</v>
      </c>
      <c r="I103" s="35"/>
      <c r="J103" s="36"/>
      <c r="K103" s="36"/>
      <c r="L103" s="36"/>
      <c r="M103" s="36"/>
      <c r="N103" s="36"/>
      <c r="O103" s="36"/>
      <c r="P103" s="36"/>
      <c r="Q103" s="36"/>
      <c r="R103" s="36"/>
      <c r="S103" s="36"/>
      <c r="T103" s="36"/>
      <c r="U103" s="36"/>
      <c r="V103" s="36"/>
      <c r="W103" s="36"/>
      <c r="X103" s="36"/>
      <c r="Y103" s="36"/>
      <c r="Z103" s="36"/>
      <c r="AA103" s="36"/>
      <c r="AB103" s="36"/>
    </row>
    <row r="104" spans="1:28" ht="24" hidden="1" customHeight="1">
      <c r="A104" s="67" t="str">
        <f>HYPERLINK("https://www.alcaldiabogota.gov.co/sisjur/normas/Norma1.jsp?i=54978","DECRETO 456")</f>
        <v>DECRETO 456</v>
      </c>
      <c r="B104" s="64">
        <v>2013</v>
      </c>
      <c r="C104" s="32" t="s">
        <v>61</v>
      </c>
      <c r="D104" s="144" t="s">
        <v>547</v>
      </c>
      <c r="E104" s="32" t="s">
        <v>41</v>
      </c>
      <c r="F104" s="32" t="s">
        <v>42</v>
      </c>
      <c r="G104" s="116" t="s">
        <v>43</v>
      </c>
      <c r="H104" s="117" t="s">
        <v>240</v>
      </c>
      <c r="I104" s="35"/>
      <c r="J104" s="36"/>
      <c r="K104" s="36"/>
      <c r="L104" s="36"/>
      <c r="M104" s="36"/>
      <c r="N104" s="36"/>
      <c r="O104" s="36"/>
      <c r="P104" s="36"/>
      <c r="Q104" s="36"/>
      <c r="R104" s="36"/>
      <c r="S104" s="36"/>
      <c r="T104" s="36"/>
      <c r="U104" s="36"/>
      <c r="V104" s="36"/>
      <c r="W104" s="36"/>
      <c r="X104" s="36"/>
      <c r="Y104" s="36"/>
      <c r="Z104" s="36"/>
      <c r="AA104" s="36"/>
      <c r="AB104" s="36"/>
    </row>
    <row r="105" spans="1:28" ht="24" hidden="1" customHeight="1">
      <c r="A105" s="67" t="str">
        <f>HYPERLINK("http://www.suin-juriscol.gov.co/viewDocument.asp?id=1510530","DECRETO 3054")</f>
        <v>DECRETO 3054</v>
      </c>
      <c r="B105" s="64">
        <v>2013</v>
      </c>
      <c r="C105" s="32" t="s">
        <v>302</v>
      </c>
      <c r="D105" s="33" t="s">
        <v>548</v>
      </c>
      <c r="E105" s="32" t="s">
        <v>41</v>
      </c>
      <c r="F105" s="32" t="s">
        <v>42</v>
      </c>
      <c r="G105" s="116" t="s">
        <v>43</v>
      </c>
      <c r="H105" s="117" t="s">
        <v>240</v>
      </c>
      <c r="I105" s="35"/>
      <c r="J105" s="36"/>
      <c r="K105" s="36"/>
      <c r="L105" s="36"/>
      <c r="M105" s="36"/>
      <c r="N105" s="36"/>
      <c r="O105" s="36"/>
      <c r="P105" s="36"/>
      <c r="Q105" s="36"/>
      <c r="R105" s="36"/>
      <c r="S105" s="36"/>
      <c r="T105" s="36"/>
      <c r="U105" s="36"/>
      <c r="V105" s="36"/>
      <c r="W105" s="36"/>
      <c r="X105" s="36"/>
      <c r="Y105" s="36"/>
      <c r="Z105" s="36"/>
      <c r="AA105" s="36"/>
      <c r="AB105" s="36"/>
    </row>
    <row r="106" spans="1:28" ht="48" hidden="1" customHeight="1">
      <c r="A106" s="67" t="str">
        <f>HYPERLINK("https://www.alcaldiabogota.gov.co/sisjur/normas/Norma1.jsp?i=60027","DECRETO 527")</f>
        <v>DECRETO 527</v>
      </c>
      <c r="B106" s="64">
        <v>2014</v>
      </c>
      <c r="C106" s="32" t="s">
        <v>61</v>
      </c>
      <c r="D106" s="33" t="s">
        <v>549</v>
      </c>
      <c r="E106" s="32" t="s">
        <v>41</v>
      </c>
      <c r="F106" s="32" t="s">
        <v>42</v>
      </c>
      <c r="G106" s="116" t="s">
        <v>43</v>
      </c>
      <c r="H106" s="117" t="s">
        <v>240</v>
      </c>
      <c r="I106" s="35"/>
      <c r="J106" s="36"/>
      <c r="K106" s="36"/>
      <c r="L106" s="36"/>
      <c r="M106" s="36"/>
      <c r="N106" s="36"/>
      <c r="O106" s="36"/>
      <c r="P106" s="36"/>
      <c r="Q106" s="36"/>
      <c r="R106" s="36"/>
      <c r="S106" s="36"/>
      <c r="T106" s="36"/>
      <c r="U106" s="36"/>
      <c r="V106" s="36"/>
      <c r="W106" s="36"/>
      <c r="X106" s="36"/>
      <c r="Y106" s="36"/>
      <c r="Z106" s="36"/>
      <c r="AA106" s="36"/>
      <c r="AB106" s="36"/>
    </row>
    <row r="107" spans="1:28" ht="24" hidden="1" customHeight="1">
      <c r="A107" s="67" t="str">
        <f>HYPERLINK("https://www.alcaldiabogota.gov.co/sisjur/normas/Norma1.jsp?i=57239","DECRETO 791")</f>
        <v>DECRETO 791</v>
      </c>
      <c r="B107" s="64">
        <v>2014</v>
      </c>
      <c r="C107" s="32" t="s">
        <v>302</v>
      </c>
      <c r="D107" s="33" t="s">
        <v>297</v>
      </c>
      <c r="E107" s="32" t="s">
        <v>41</v>
      </c>
      <c r="F107" s="32" t="s">
        <v>42</v>
      </c>
      <c r="G107" s="116" t="s">
        <v>43</v>
      </c>
      <c r="H107" s="117" t="s">
        <v>240</v>
      </c>
      <c r="I107" s="35"/>
      <c r="J107" s="36"/>
      <c r="K107" s="36"/>
      <c r="L107" s="36"/>
      <c r="M107" s="36"/>
      <c r="N107" s="36"/>
      <c r="O107" s="36"/>
      <c r="P107" s="36"/>
      <c r="Q107" s="36"/>
      <c r="R107" s="36"/>
      <c r="S107" s="36"/>
      <c r="T107" s="36"/>
      <c r="U107" s="36"/>
      <c r="V107" s="36"/>
      <c r="W107" s="36"/>
      <c r="X107" s="36"/>
      <c r="Y107" s="36"/>
      <c r="Z107" s="36"/>
      <c r="AA107" s="36"/>
      <c r="AB107" s="36"/>
    </row>
    <row r="108" spans="1:28" ht="24" hidden="1" customHeight="1">
      <c r="A108" s="67" t="str">
        <f>HYPERLINK("https://www.alcaldiabogota.gov.co/sisjur/normas/Norma1.jsp?i=59782","DECRETO 2041")</f>
        <v>DECRETO 2041</v>
      </c>
      <c r="B108" s="64">
        <v>2014</v>
      </c>
      <c r="C108" s="32" t="s">
        <v>550</v>
      </c>
      <c r="D108" s="33" t="s">
        <v>551</v>
      </c>
      <c r="E108" s="32" t="s">
        <v>41</v>
      </c>
      <c r="F108" s="32" t="s">
        <v>42</v>
      </c>
      <c r="G108" s="116" t="s">
        <v>43</v>
      </c>
      <c r="H108" s="117" t="s">
        <v>240</v>
      </c>
      <c r="I108" s="35"/>
      <c r="J108" s="36"/>
      <c r="K108" s="36"/>
      <c r="L108" s="36"/>
      <c r="M108" s="36"/>
      <c r="N108" s="36"/>
      <c r="O108" s="36"/>
      <c r="P108" s="36"/>
      <c r="Q108" s="36"/>
      <c r="R108" s="36"/>
      <c r="S108" s="36"/>
      <c r="T108" s="36"/>
      <c r="U108" s="36"/>
      <c r="V108" s="36"/>
      <c r="W108" s="36"/>
      <c r="X108" s="36"/>
      <c r="Y108" s="36"/>
      <c r="Z108" s="36"/>
      <c r="AA108" s="36"/>
      <c r="AB108" s="36"/>
    </row>
    <row r="109" spans="1:28" ht="36" hidden="1" customHeight="1">
      <c r="A109" s="67" t="str">
        <f>HYPERLINK("https://www.alcaldiabogota.gov.co/sisjur/normas/Norma1.jsp?i=63644","DECRETO 442")</f>
        <v>DECRETO 442</v>
      </c>
      <c r="B109" s="64">
        <v>2015</v>
      </c>
      <c r="C109" s="32" t="s">
        <v>540</v>
      </c>
      <c r="D109" s="33" t="s">
        <v>552</v>
      </c>
      <c r="E109" s="32" t="s">
        <v>41</v>
      </c>
      <c r="F109" s="32" t="s">
        <v>42</v>
      </c>
      <c r="G109" s="116" t="s">
        <v>43</v>
      </c>
      <c r="H109" s="117" t="s">
        <v>240</v>
      </c>
      <c r="I109" s="35"/>
      <c r="J109" s="36"/>
      <c r="K109" s="36"/>
      <c r="L109" s="36"/>
      <c r="M109" s="36"/>
      <c r="N109" s="36"/>
      <c r="O109" s="36"/>
      <c r="P109" s="36"/>
      <c r="Q109" s="36"/>
      <c r="R109" s="36"/>
      <c r="S109" s="36"/>
      <c r="T109" s="36"/>
      <c r="U109" s="36"/>
      <c r="V109" s="36"/>
      <c r="W109" s="36"/>
      <c r="X109" s="36"/>
      <c r="Y109" s="36"/>
      <c r="Z109" s="36"/>
      <c r="AA109" s="36"/>
      <c r="AB109" s="36"/>
    </row>
    <row r="110" spans="1:28" ht="24" hidden="1" customHeight="1">
      <c r="A110" s="67" t="str">
        <f>HYPERLINK("https://www.alcaldiabogota.gov.co/sisjur/normas/Norma1.jsp?i=60556","DECRETO 103")</f>
        <v>DECRETO 103</v>
      </c>
      <c r="B110" s="64">
        <v>2015</v>
      </c>
      <c r="C110" s="32" t="s">
        <v>57</v>
      </c>
      <c r="D110" s="33" t="s">
        <v>299</v>
      </c>
      <c r="E110" s="32" t="s">
        <v>41</v>
      </c>
      <c r="F110" s="32" t="s">
        <v>42</v>
      </c>
      <c r="G110" s="116" t="s">
        <v>43</v>
      </c>
      <c r="H110" s="117" t="s">
        <v>240</v>
      </c>
      <c r="I110" s="35"/>
      <c r="J110" s="36"/>
      <c r="K110" s="36"/>
      <c r="L110" s="36"/>
      <c r="M110" s="36"/>
      <c r="N110" s="36"/>
      <c r="O110" s="36"/>
      <c r="P110" s="36"/>
      <c r="Q110" s="36"/>
      <c r="R110" s="36"/>
      <c r="S110" s="36"/>
      <c r="T110" s="36"/>
      <c r="U110" s="36"/>
      <c r="V110" s="36"/>
      <c r="W110" s="36"/>
      <c r="X110" s="36"/>
      <c r="Y110" s="36"/>
      <c r="Z110" s="36"/>
      <c r="AA110" s="36"/>
      <c r="AB110" s="36"/>
    </row>
    <row r="111" spans="1:28" ht="24" hidden="1" customHeight="1">
      <c r="A111" s="67" t="str">
        <f>HYPERLINK("https://www.alcaldiabogota.gov.co/sisjur/normas/Norma1.jsp?i=71552","DECRETO 1082")</f>
        <v>DECRETO 1082</v>
      </c>
      <c r="B111" s="64">
        <v>2015</v>
      </c>
      <c r="C111" s="32" t="s">
        <v>302</v>
      </c>
      <c r="D111" s="33" t="s">
        <v>553</v>
      </c>
      <c r="E111" s="32" t="s">
        <v>41</v>
      </c>
      <c r="F111" s="32" t="s">
        <v>42</v>
      </c>
      <c r="G111" s="116" t="s">
        <v>43</v>
      </c>
      <c r="H111" s="117" t="s">
        <v>240</v>
      </c>
      <c r="I111" s="35"/>
      <c r="J111" s="36"/>
      <c r="K111" s="36"/>
      <c r="L111" s="36"/>
      <c r="M111" s="36"/>
      <c r="N111" s="36"/>
      <c r="O111" s="36"/>
      <c r="P111" s="36"/>
      <c r="Q111" s="36"/>
      <c r="R111" s="36"/>
      <c r="S111" s="36"/>
      <c r="T111" s="36"/>
      <c r="U111" s="36"/>
      <c r="V111" s="36"/>
      <c r="W111" s="36"/>
      <c r="X111" s="36"/>
      <c r="Y111" s="36"/>
      <c r="Z111" s="36"/>
      <c r="AA111" s="36"/>
      <c r="AB111" s="36"/>
    </row>
    <row r="112" spans="1:28" ht="24" hidden="1" customHeight="1">
      <c r="A112" s="67" t="str">
        <f>HYPERLINK("https://www.alcaldiabogota.gov.co/sisjur/normas/Norma1.jsp?i=66815","DECRETO 340")</f>
        <v>DECRETO 340</v>
      </c>
      <c r="B112" s="64">
        <v>2016</v>
      </c>
      <c r="C112" s="32" t="s">
        <v>61</v>
      </c>
      <c r="D112" s="33" t="s">
        <v>554</v>
      </c>
      <c r="E112" s="32" t="s">
        <v>41</v>
      </c>
      <c r="F112" s="32" t="s">
        <v>42</v>
      </c>
      <c r="G112" s="116" t="s">
        <v>43</v>
      </c>
      <c r="H112" s="117" t="s">
        <v>240</v>
      </c>
      <c r="I112" s="35"/>
      <c r="J112" s="36"/>
      <c r="K112" s="36"/>
      <c r="L112" s="36"/>
      <c r="M112" s="36"/>
      <c r="N112" s="36"/>
      <c r="O112" s="36"/>
      <c r="P112" s="36"/>
      <c r="Q112" s="36"/>
      <c r="R112" s="36"/>
      <c r="S112" s="36"/>
      <c r="T112" s="36"/>
      <c r="U112" s="36"/>
      <c r="V112" s="36"/>
      <c r="W112" s="36"/>
      <c r="X112" s="36"/>
      <c r="Y112" s="36"/>
      <c r="Z112" s="36"/>
      <c r="AA112" s="36"/>
      <c r="AB112" s="36"/>
    </row>
    <row r="113" spans="1:28" ht="72" hidden="1" customHeight="1">
      <c r="A113" s="67" t="str">
        <f>HYPERLINK("https://www.alcaldiabogota.gov.co/sisjur/normas/Norma1.jsp?i=67994","DECRETO 37")</f>
        <v>DECRETO 37</v>
      </c>
      <c r="B113" s="64">
        <v>2017</v>
      </c>
      <c r="C113" s="32" t="s">
        <v>61</v>
      </c>
      <c r="D113" s="33" t="s">
        <v>555</v>
      </c>
      <c r="E113" s="32" t="s">
        <v>41</v>
      </c>
      <c r="F113" s="32" t="s">
        <v>42</v>
      </c>
      <c r="G113" s="116" t="s">
        <v>43</v>
      </c>
      <c r="H113" s="117" t="s">
        <v>240</v>
      </c>
      <c r="I113" s="35"/>
      <c r="J113" s="36"/>
      <c r="K113" s="36"/>
      <c r="L113" s="36"/>
      <c r="M113" s="36"/>
      <c r="N113" s="36"/>
      <c r="O113" s="36"/>
      <c r="P113" s="36"/>
      <c r="Q113" s="36"/>
      <c r="R113" s="36"/>
      <c r="S113" s="36"/>
      <c r="T113" s="36"/>
      <c r="U113" s="36"/>
      <c r="V113" s="36"/>
      <c r="W113" s="36"/>
      <c r="X113" s="36"/>
      <c r="Y113" s="36"/>
      <c r="Z113" s="36"/>
      <c r="AA113" s="36"/>
      <c r="AB113" s="36"/>
    </row>
    <row r="114" spans="1:28" ht="36" hidden="1" customHeight="1">
      <c r="A114" s="67" t="str">
        <f>HYPERLINK("https://www.alcaldiabogota.gov.co/sisjur/normas/Norma1.jsp?i=67988","DECRETO 92")</f>
        <v>DECRETO 92</v>
      </c>
      <c r="B114" s="64">
        <v>2017</v>
      </c>
      <c r="C114" s="32" t="s">
        <v>302</v>
      </c>
      <c r="D114" s="33" t="s">
        <v>556</v>
      </c>
      <c r="E114" s="32" t="s">
        <v>41</v>
      </c>
      <c r="F114" s="32" t="s">
        <v>42</v>
      </c>
      <c r="G114" s="116" t="s">
        <v>43</v>
      </c>
      <c r="H114" s="117" t="s">
        <v>240</v>
      </c>
      <c r="I114" s="35"/>
      <c r="J114" s="36"/>
      <c r="K114" s="36"/>
      <c r="L114" s="36"/>
      <c r="M114" s="36"/>
      <c r="N114" s="36"/>
      <c r="O114" s="36"/>
      <c r="P114" s="36"/>
      <c r="Q114" s="36"/>
      <c r="R114" s="36"/>
      <c r="S114" s="36"/>
      <c r="T114" s="36"/>
      <c r="U114" s="36"/>
      <c r="V114" s="36"/>
      <c r="W114" s="36"/>
      <c r="X114" s="36"/>
      <c r="Y114" s="36"/>
      <c r="Z114" s="36"/>
      <c r="AA114" s="36"/>
      <c r="AB114" s="36"/>
    </row>
    <row r="115" spans="1:28" ht="36" hidden="1" customHeight="1">
      <c r="A115" s="67" t="str">
        <f>HYPERLINK("https://www.alcaldiabogota.gov.co/sisjur/normas/Norma1.jsp?i=68688","DECRETO 139")</f>
        <v>DECRETO 139</v>
      </c>
      <c r="B115" s="64">
        <v>2017</v>
      </c>
      <c r="C115" s="32" t="s">
        <v>61</v>
      </c>
      <c r="D115" s="33" t="s">
        <v>557</v>
      </c>
      <c r="E115" s="32" t="s">
        <v>41</v>
      </c>
      <c r="F115" s="32" t="s">
        <v>42</v>
      </c>
      <c r="G115" s="116" t="s">
        <v>43</v>
      </c>
      <c r="H115" s="117" t="s">
        <v>240</v>
      </c>
      <c r="I115" s="35"/>
      <c r="J115" s="36"/>
      <c r="K115" s="36"/>
      <c r="L115" s="36"/>
      <c r="M115" s="36"/>
      <c r="N115" s="36"/>
      <c r="O115" s="36"/>
      <c r="P115" s="36"/>
      <c r="Q115" s="36"/>
      <c r="R115" s="36"/>
      <c r="S115" s="36"/>
      <c r="T115" s="36"/>
      <c r="U115" s="36"/>
      <c r="V115" s="36"/>
      <c r="W115" s="36"/>
      <c r="X115" s="36"/>
      <c r="Y115" s="36"/>
      <c r="Z115" s="36"/>
      <c r="AA115" s="36"/>
      <c r="AB115" s="36"/>
    </row>
    <row r="116" spans="1:28" ht="84" hidden="1" customHeight="1">
      <c r="A116" s="67" t="str">
        <f>HYPERLINK("https://www.alcaldiabogota.gov.co/sisjur/normas/Norma1.jsp?i=79862","DECRETO 1273")</f>
        <v>DECRETO 1273</v>
      </c>
      <c r="B116" s="64">
        <v>2018</v>
      </c>
      <c r="C116" s="142" t="s">
        <v>57</v>
      </c>
      <c r="D116" s="33" t="s">
        <v>312</v>
      </c>
      <c r="E116" s="64" t="s">
        <v>41</v>
      </c>
      <c r="F116" s="32" t="s">
        <v>42</v>
      </c>
      <c r="G116" s="147" t="s">
        <v>43</v>
      </c>
      <c r="H116" s="117" t="s">
        <v>240</v>
      </c>
      <c r="I116" s="35"/>
      <c r="J116" s="36"/>
      <c r="K116" s="36"/>
      <c r="L116" s="36"/>
      <c r="M116" s="36"/>
      <c r="N116" s="36"/>
      <c r="O116" s="36"/>
      <c r="P116" s="36"/>
      <c r="Q116" s="36"/>
      <c r="R116" s="36"/>
      <c r="S116" s="36"/>
      <c r="T116" s="36"/>
      <c r="U116" s="36"/>
      <c r="V116" s="36"/>
      <c r="W116" s="36"/>
      <c r="X116" s="36"/>
      <c r="Y116" s="36"/>
      <c r="Z116" s="36"/>
      <c r="AA116" s="36"/>
      <c r="AB116" s="36"/>
    </row>
    <row r="117" spans="1:28" ht="36" hidden="1" customHeight="1">
      <c r="A117" s="67" t="str">
        <f>HYPERLINK("https://www.alcaldiabogota.gov.co/sisjur/normas/Norma1.jsp?i=897&amp;dt=S","ACUERDO 4")</f>
        <v>ACUERDO 4</v>
      </c>
      <c r="B117" s="32">
        <v>1978</v>
      </c>
      <c r="C117" s="32" t="s">
        <v>195</v>
      </c>
      <c r="D117" s="33" t="s">
        <v>244</v>
      </c>
      <c r="E117" s="32" t="s">
        <v>41</v>
      </c>
      <c r="F117" s="32" t="s">
        <v>42</v>
      </c>
      <c r="G117" s="116" t="s">
        <v>43</v>
      </c>
      <c r="H117" s="117" t="s">
        <v>240</v>
      </c>
      <c r="I117" s="35"/>
      <c r="J117" s="36"/>
      <c r="K117" s="36"/>
      <c r="L117" s="36"/>
      <c r="M117" s="36"/>
      <c r="N117" s="36"/>
      <c r="O117" s="36"/>
      <c r="P117" s="36"/>
      <c r="Q117" s="36"/>
      <c r="R117" s="36"/>
      <c r="S117" s="36"/>
      <c r="T117" s="36"/>
      <c r="U117" s="36"/>
      <c r="V117" s="36"/>
      <c r="W117" s="36"/>
      <c r="X117" s="36"/>
      <c r="Y117" s="36"/>
      <c r="Z117" s="36"/>
      <c r="AA117" s="36"/>
      <c r="AB117" s="36"/>
    </row>
    <row r="118" spans="1:28" ht="48" hidden="1" customHeight="1">
      <c r="A118" s="67" t="str">
        <f>HYPERLINK("https://www.alcaldiabogota.gov.co/sisjur/normas/Norma1.jsp?i=506","ACUERDO 19")</f>
        <v>ACUERDO 19</v>
      </c>
      <c r="B118" s="64">
        <v>1996</v>
      </c>
      <c r="C118" s="32" t="s">
        <v>195</v>
      </c>
      <c r="D118" s="33" t="s">
        <v>558</v>
      </c>
      <c r="E118" s="32" t="s">
        <v>41</v>
      </c>
      <c r="F118" s="32" t="s">
        <v>42</v>
      </c>
      <c r="G118" s="116" t="s">
        <v>43</v>
      </c>
      <c r="H118" s="117" t="s">
        <v>240</v>
      </c>
      <c r="I118" s="35"/>
      <c r="J118" s="36"/>
      <c r="K118" s="36"/>
      <c r="L118" s="36"/>
      <c r="M118" s="36"/>
      <c r="N118" s="36"/>
      <c r="O118" s="36"/>
      <c r="P118" s="36"/>
      <c r="Q118" s="36"/>
      <c r="R118" s="36"/>
      <c r="S118" s="36"/>
      <c r="T118" s="36"/>
      <c r="U118" s="36"/>
      <c r="V118" s="36"/>
      <c r="W118" s="36"/>
      <c r="X118" s="36"/>
      <c r="Y118" s="36"/>
      <c r="Z118" s="36"/>
      <c r="AA118" s="36"/>
      <c r="AB118" s="36"/>
    </row>
    <row r="119" spans="1:28" ht="36" hidden="1" customHeight="1">
      <c r="A119" s="67" t="str">
        <f>HYPERLINK("https://www.alcaldiabogota.gov.co/sisjur/normas/Norma1.jsp?i=4408","ACUERDO 53")</f>
        <v>ACUERDO 53</v>
      </c>
      <c r="B119" s="64">
        <v>2002</v>
      </c>
      <c r="C119" s="32" t="s">
        <v>195</v>
      </c>
      <c r="D119" s="33" t="s">
        <v>559</v>
      </c>
      <c r="E119" s="32" t="s">
        <v>41</v>
      </c>
      <c r="F119" s="32" t="s">
        <v>42</v>
      </c>
      <c r="G119" s="116" t="s">
        <v>43</v>
      </c>
      <c r="H119" s="117" t="s">
        <v>240</v>
      </c>
      <c r="I119" s="35"/>
      <c r="J119" s="36"/>
      <c r="K119" s="36"/>
      <c r="L119" s="36"/>
      <c r="M119" s="36"/>
      <c r="N119" s="36"/>
      <c r="O119" s="36"/>
      <c r="P119" s="36"/>
      <c r="Q119" s="36"/>
      <c r="R119" s="36"/>
      <c r="S119" s="36"/>
      <c r="T119" s="36"/>
      <c r="U119" s="36"/>
      <c r="V119" s="36"/>
      <c r="W119" s="36"/>
      <c r="X119" s="36"/>
      <c r="Y119" s="36"/>
      <c r="Z119" s="36"/>
      <c r="AA119" s="36"/>
      <c r="AB119" s="36"/>
    </row>
    <row r="120" spans="1:28" ht="24" hidden="1" customHeight="1">
      <c r="A120" s="67" t="str">
        <f>HYPERLINK("https://www.alcaldiabogota.gov.co/sisjur/normas/Norma1.jsp?i=18545","ACUERDO 187")</f>
        <v>ACUERDO 187</v>
      </c>
      <c r="B120" s="64">
        <v>2005</v>
      </c>
      <c r="C120" s="32" t="s">
        <v>195</v>
      </c>
      <c r="D120" s="33" t="s">
        <v>560</v>
      </c>
      <c r="E120" s="32" t="s">
        <v>41</v>
      </c>
      <c r="F120" s="32" t="s">
        <v>42</v>
      </c>
      <c r="G120" s="116" t="s">
        <v>43</v>
      </c>
      <c r="H120" s="117" t="s">
        <v>240</v>
      </c>
      <c r="I120" s="35"/>
      <c r="J120" s="36"/>
      <c r="K120" s="36"/>
      <c r="L120" s="36"/>
      <c r="M120" s="36"/>
      <c r="N120" s="36"/>
      <c r="O120" s="36"/>
      <c r="P120" s="36"/>
      <c r="Q120" s="36"/>
      <c r="R120" s="36"/>
      <c r="S120" s="36"/>
      <c r="T120" s="36"/>
      <c r="U120" s="36"/>
      <c r="V120" s="36"/>
      <c r="W120" s="36"/>
      <c r="X120" s="36"/>
      <c r="Y120" s="36"/>
      <c r="Z120" s="36"/>
      <c r="AA120" s="36"/>
      <c r="AB120" s="36"/>
    </row>
    <row r="121" spans="1:28" ht="48" hidden="1" customHeight="1">
      <c r="A121" s="67" t="str">
        <f>HYPERLINK("https://www.alcaldiabogota.gov.co/sisjur/normas/Norma1.jsp?i=18546","ACUERDO 188")</f>
        <v>ACUERDO 188</v>
      </c>
      <c r="B121" s="64">
        <v>2005</v>
      </c>
      <c r="C121" s="32" t="s">
        <v>195</v>
      </c>
      <c r="D121" s="33" t="s">
        <v>561</v>
      </c>
      <c r="E121" s="32" t="s">
        <v>41</v>
      </c>
      <c r="F121" s="32" t="s">
        <v>42</v>
      </c>
      <c r="G121" s="116" t="s">
        <v>43</v>
      </c>
      <c r="H121" s="117" t="s">
        <v>240</v>
      </c>
      <c r="I121" s="35"/>
      <c r="J121" s="36"/>
      <c r="K121" s="36"/>
      <c r="L121" s="36"/>
      <c r="M121" s="36"/>
      <c r="N121" s="36"/>
      <c r="O121" s="36"/>
      <c r="P121" s="36"/>
      <c r="Q121" s="36"/>
      <c r="R121" s="36"/>
      <c r="S121" s="36"/>
      <c r="T121" s="36"/>
      <c r="U121" s="36"/>
      <c r="V121" s="36"/>
      <c r="W121" s="36"/>
      <c r="X121" s="36"/>
      <c r="Y121" s="36"/>
      <c r="Z121" s="36"/>
      <c r="AA121" s="36"/>
      <c r="AB121" s="36"/>
    </row>
    <row r="122" spans="1:28" ht="36" hidden="1" customHeight="1">
      <c r="A122" s="67" t="str">
        <f>HYPERLINK("https://www.alcaldiabogota.gov.co/sisjur/normas/Norma1.jsp?i=22307#0","ACUERDO 257")</f>
        <v>ACUERDO 257</v>
      </c>
      <c r="B122" s="64">
        <v>2006</v>
      </c>
      <c r="C122" s="32" t="s">
        <v>195</v>
      </c>
      <c r="D122" s="33" t="s">
        <v>197</v>
      </c>
      <c r="E122" s="32" t="s">
        <v>41</v>
      </c>
      <c r="F122" s="32" t="s">
        <v>42</v>
      </c>
      <c r="G122" s="116" t="s">
        <v>43</v>
      </c>
      <c r="H122" s="117" t="s">
        <v>240</v>
      </c>
      <c r="I122" s="35"/>
      <c r="J122" s="36"/>
      <c r="K122" s="36"/>
      <c r="L122" s="36"/>
      <c r="M122" s="36"/>
      <c r="N122" s="36"/>
      <c r="O122" s="36"/>
      <c r="P122" s="36"/>
      <c r="Q122" s="36"/>
      <c r="R122" s="36"/>
      <c r="S122" s="36"/>
      <c r="T122" s="36"/>
      <c r="U122" s="36"/>
      <c r="V122" s="36"/>
      <c r="W122" s="36"/>
      <c r="X122" s="36"/>
      <c r="Y122" s="36"/>
      <c r="Z122" s="36"/>
      <c r="AA122" s="36"/>
      <c r="AB122" s="36"/>
    </row>
    <row r="123" spans="1:28" ht="36" hidden="1" customHeight="1">
      <c r="A123" s="67" t="str">
        <f>HYPERLINK("https://www.alcaldiabogota.gov.co/sisjur/normas/Norma1.jsp?i=32770","ACUERDO 327")</f>
        <v>ACUERDO 327</v>
      </c>
      <c r="B123" s="64">
        <v>2008</v>
      </c>
      <c r="C123" s="32" t="s">
        <v>195</v>
      </c>
      <c r="D123" s="33" t="s">
        <v>562</v>
      </c>
      <c r="E123" s="32" t="s">
        <v>41</v>
      </c>
      <c r="F123" s="32" t="s">
        <v>42</v>
      </c>
      <c r="G123" s="116" t="s">
        <v>43</v>
      </c>
      <c r="H123" s="117" t="s">
        <v>240</v>
      </c>
      <c r="I123" s="35"/>
      <c r="J123" s="36"/>
      <c r="K123" s="36"/>
      <c r="L123" s="36"/>
      <c r="M123" s="36"/>
      <c r="N123" s="36"/>
      <c r="O123" s="36"/>
      <c r="P123" s="36"/>
      <c r="Q123" s="36"/>
      <c r="R123" s="36"/>
      <c r="S123" s="36"/>
      <c r="T123" s="36"/>
      <c r="U123" s="36"/>
      <c r="V123" s="36"/>
      <c r="W123" s="36"/>
      <c r="X123" s="36"/>
      <c r="Y123" s="36"/>
      <c r="Z123" s="36"/>
      <c r="AA123" s="36"/>
      <c r="AB123" s="36"/>
    </row>
    <row r="124" spans="1:28" ht="36" hidden="1" customHeight="1">
      <c r="A124" s="67" t="str">
        <f>HYPERLINK("https://www.alcaldiabogota.gov.co/sisjur/normas/Norma1.jsp?i=66271","ACUERDO 645")</f>
        <v>ACUERDO 645</v>
      </c>
      <c r="B124" s="64">
        <v>2016</v>
      </c>
      <c r="C124" s="32" t="s">
        <v>195</v>
      </c>
      <c r="D124" s="33" t="s">
        <v>563</v>
      </c>
      <c r="E124" s="32" t="s">
        <v>41</v>
      </c>
      <c r="F124" s="32" t="s">
        <v>42</v>
      </c>
      <c r="G124" s="116" t="s">
        <v>43</v>
      </c>
      <c r="H124" s="117" t="s">
        <v>240</v>
      </c>
      <c r="I124" s="35"/>
      <c r="J124" s="36"/>
      <c r="K124" s="36"/>
      <c r="L124" s="36"/>
      <c r="M124" s="36"/>
      <c r="N124" s="36"/>
      <c r="O124" s="36"/>
      <c r="P124" s="36"/>
      <c r="Q124" s="36"/>
      <c r="R124" s="36"/>
      <c r="S124" s="36"/>
      <c r="T124" s="36"/>
      <c r="U124" s="36"/>
      <c r="V124" s="36"/>
      <c r="W124" s="36"/>
      <c r="X124" s="36"/>
      <c r="Y124" s="36"/>
      <c r="Z124" s="36"/>
      <c r="AA124" s="36"/>
      <c r="AB124" s="36"/>
    </row>
    <row r="125" spans="1:28" ht="36" hidden="1" customHeight="1">
      <c r="A125" s="67" t="str">
        <f>HYPERLINK("https://www.alcaldiabogota.gov.co/sisjur/normas/Norma1.jsp?i=65686","ACUERDO 641")</f>
        <v>ACUERDO 641</v>
      </c>
      <c r="B125" s="64">
        <v>2016</v>
      </c>
      <c r="C125" s="32" t="s">
        <v>195</v>
      </c>
      <c r="D125" s="33" t="s">
        <v>564</v>
      </c>
      <c r="E125" s="32" t="s">
        <v>41</v>
      </c>
      <c r="F125" s="32" t="s">
        <v>42</v>
      </c>
      <c r="G125" s="116" t="s">
        <v>43</v>
      </c>
      <c r="H125" s="117" t="s">
        <v>240</v>
      </c>
      <c r="I125" s="35"/>
      <c r="J125" s="36"/>
      <c r="K125" s="36"/>
      <c r="L125" s="36"/>
      <c r="M125" s="36"/>
      <c r="N125" s="36"/>
      <c r="O125" s="36"/>
      <c r="P125" s="36"/>
      <c r="Q125" s="36"/>
      <c r="R125" s="36"/>
      <c r="S125" s="36"/>
      <c r="T125" s="36"/>
      <c r="U125" s="36"/>
      <c r="V125" s="36"/>
      <c r="W125" s="36"/>
      <c r="X125" s="36"/>
      <c r="Y125" s="36"/>
      <c r="Z125" s="36"/>
      <c r="AA125" s="36"/>
      <c r="AB125" s="36"/>
    </row>
    <row r="126" spans="1:28" ht="24" hidden="1" customHeight="1">
      <c r="A126" s="67" t="str">
        <f>HYPERLINK("https://www.alcaldiabogota.gov.co/sisjur/normas/Norma1.jsp?i=68754","ACUERDO 669")</f>
        <v>ACUERDO 669</v>
      </c>
      <c r="B126" s="64">
        <v>2017</v>
      </c>
      <c r="C126" s="32" t="s">
        <v>195</v>
      </c>
      <c r="D126" s="33" t="s">
        <v>565</v>
      </c>
      <c r="E126" s="32" t="s">
        <v>41</v>
      </c>
      <c r="F126" s="32" t="s">
        <v>42</v>
      </c>
      <c r="G126" s="116" t="s">
        <v>43</v>
      </c>
      <c r="H126" s="117" t="s">
        <v>240</v>
      </c>
      <c r="I126" s="35"/>
      <c r="J126" s="36"/>
      <c r="K126" s="36"/>
      <c r="L126" s="36"/>
      <c r="M126" s="36"/>
      <c r="N126" s="36"/>
      <c r="O126" s="36"/>
      <c r="P126" s="36"/>
      <c r="Q126" s="36"/>
      <c r="R126" s="36"/>
      <c r="S126" s="36"/>
      <c r="T126" s="36"/>
      <c r="U126" s="36"/>
      <c r="V126" s="36"/>
      <c r="W126" s="36"/>
      <c r="X126" s="36"/>
      <c r="Y126" s="36"/>
      <c r="Z126" s="36"/>
      <c r="AA126" s="36"/>
      <c r="AB126" s="36"/>
    </row>
    <row r="127" spans="1:28" ht="24" hidden="1" customHeight="1">
      <c r="A127" s="67" t="str">
        <f>HYPERLINK("https://www.icbf.gov.co/cargues/avance/docs/resolucion_mintrabajo_rt241379.htm","RESOLUCION 2413")</f>
        <v>RESOLUCION 2413</v>
      </c>
      <c r="B127" s="64">
        <v>1979</v>
      </c>
      <c r="C127" s="32" t="s">
        <v>566</v>
      </c>
      <c r="D127" s="33" t="s">
        <v>567</v>
      </c>
      <c r="E127" s="32" t="s">
        <v>41</v>
      </c>
      <c r="F127" s="32" t="s">
        <v>42</v>
      </c>
      <c r="G127" s="116" t="s">
        <v>43</v>
      </c>
      <c r="H127" s="117" t="s">
        <v>240</v>
      </c>
      <c r="I127" s="35"/>
      <c r="J127" s="36"/>
      <c r="K127" s="36"/>
      <c r="L127" s="36"/>
      <c r="M127" s="36"/>
      <c r="N127" s="36"/>
      <c r="O127" s="36"/>
      <c r="P127" s="36"/>
      <c r="Q127" s="36"/>
      <c r="R127" s="36"/>
      <c r="S127" s="36"/>
      <c r="T127" s="36"/>
      <c r="U127" s="36"/>
      <c r="V127" s="36"/>
      <c r="W127" s="36"/>
      <c r="X127" s="36"/>
      <c r="Y127" s="36"/>
      <c r="Z127" s="36"/>
      <c r="AA127" s="36"/>
      <c r="AB127" s="36"/>
    </row>
    <row r="128" spans="1:28" ht="36" hidden="1" customHeight="1">
      <c r="A128" s="67" t="str">
        <f>HYPERLINK("https://www.alcaldiabogota.gov.co/sisjur/normas/Norma1.jsp?i=6305","RESOLUCION 8321")</f>
        <v>RESOLUCION 8321</v>
      </c>
      <c r="B128" s="64">
        <v>1983</v>
      </c>
      <c r="C128" s="32" t="s">
        <v>124</v>
      </c>
      <c r="D128" s="33" t="s">
        <v>568</v>
      </c>
      <c r="E128" s="32" t="s">
        <v>41</v>
      </c>
      <c r="F128" s="32" t="s">
        <v>42</v>
      </c>
      <c r="G128" s="116" t="s">
        <v>43</v>
      </c>
      <c r="H128" s="117" t="s">
        <v>240</v>
      </c>
      <c r="I128" s="35"/>
      <c r="J128" s="36"/>
      <c r="K128" s="36"/>
      <c r="L128" s="36"/>
      <c r="M128" s="36"/>
      <c r="N128" s="36"/>
      <c r="O128" s="36"/>
      <c r="P128" s="36"/>
      <c r="Q128" s="36"/>
      <c r="R128" s="36"/>
      <c r="S128" s="36"/>
      <c r="T128" s="36"/>
      <c r="U128" s="36"/>
      <c r="V128" s="36"/>
      <c r="W128" s="36"/>
      <c r="X128" s="36"/>
      <c r="Y128" s="36"/>
      <c r="Z128" s="36"/>
      <c r="AA128" s="36"/>
      <c r="AB128" s="36"/>
    </row>
    <row r="129" spans="1:28" ht="48" hidden="1" customHeight="1">
      <c r="A129" s="67" t="str">
        <f>HYPERLINK("https://www.alcaldiabogota.gov.co/sisjur/normas/Norma1.jsp?i=45540&amp;dt=S","RESOLUCION 541")</f>
        <v>RESOLUCION 541</v>
      </c>
      <c r="B129" s="64">
        <v>1994</v>
      </c>
      <c r="C129" s="32" t="s">
        <v>516</v>
      </c>
      <c r="D129" s="33" t="s">
        <v>569</v>
      </c>
      <c r="E129" s="32" t="s">
        <v>41</v>
      </c>
      <c r="F129" s="32" t="s">
        <v>42</v>
      </c>
      <c r="G129" s="116" t="s">
        <v>43</v>
      </c>
      <c r="H129" s="117" t="s">
        <v>240</v>
      </c>
      <c r="I129" s="35"/>
      <c r="J129" s="36"/>
      <c r="K129" s="36"/>
      <c r="L129" s="36"/>
      <c r="M129" s="36"/>
      <c r="N129" s="36"/>
      <c r="O129" s="36"/>
      <c r="P129" s="36"/>
      <c r="Q129" s="36"/>
      <c r="R129" s="36"/>
      <c r="S129" s="36"/>
      <c r="T129" s="36"/>
      <c r="U129" s="36"/>
      <c r="V129" s="36"/>
      <c r="W129" s="36"/>
      <c r="X129" s="36"/>
      <c r="Y129" s="36"/>
      <c r="Z129" s="36"/>
      <c r="AA129" s="36"/>
      <c r="AB129" s="36"/>
    </row>
    <row r="130" spans="1:28" ht="36" hidden="1" customHeight="1">
      <c r="A130" s="67" t="str">
        <f>HYPERLINK("https://www.alcaldiabogota.gov.co/sisjur/normas/Norma1.jsp?i=17793&amp;dt=S","RESOLUCIÓN IDRD 2")</f>
        <v>RESOLUCIÓN IDRD 2</v>
      </c>
      <c r="B130" s="64">
        <v>2005</v>
      </c>
      <c r="C130" s="142" t="s">
        <v>130</v>
      </c>
      <c r="D130" s="33" t="s">
        <v>570</v>
      </c>
      <c r="E130" s="32" t="s">
        <v>41</v>
      </c>
      <c r="F130" s="32" t="s">
        <v>42</v>
      </c>
      <c r="G130" s="116" t="s">
        <v>43</v>
      </c>
      <c r="H130" s="117" t="s">
        <v>240</v>
      </c>
      <c r="I130" s="35"/>
      <c r="J130" s="36"/>
      <c r="K130" s="36"/>
      <c r="L130" s="36"/>
      <c r="M130" s="36"/>
      <c r="N130" s="36"/>
      <c r="O130" s="36"/>
      <c r="P130" s="36"/>
      <c r="Q130" s="36"/>
      <c r="R130" s="36"/>
      <c r="S130" s="36"/>
      <c r="T130" s="36"/>
      <c r="U130" s="36"/>
      <c r="V130" s="36"/>
      <c r="W130" s="36"/>
      <c r="X130" s="36"/>
      <c r="Y130" s="36"/>
      <c r="Z130" s="36"/>
      <c r="AA130" s="36"/>
      <c r="AB130" s="36"/>
    </row>
    <row r="131" spans="1:28" ht="36" hidden="1" customHeight="1">
      <c r="A131" s="67" t="str">
        <f>HYPERLINK("https://www.icbf.gov.co/cargues/avance/docs/resolucion_minambientevdt_1023_2005.htm","RESOLUCIÓN 1023")</f>
        <v>RESOLUCIÓN 1023</v>
      </c>
      <c r="B131" s="64">
        <v>2005</v>
      </c>
      <c r="C131" s="32" t="s">
        <v>128</v>
      </c>
      <c r="D131" s="33" t="s">
        <v>571</v>
      </c>
      <c r="E131" s="32" t="s">
        <v>41</v>
      </c>
      <c r="F131" s="32" t="s">
        <v>42</v>
      </c>
      <c r="G131" s="116" t="s">
        <v>43</v>
      </c>
      <c r="H131" s="117" t="s">
        <v>240</v>
      </c>
      <c r="I131" s="35"/>
      <c r="J131" s="36"/>
      <c r="K131" s="36"/>
      <c r="L131" s="36"/>
      <c r="M131" s="36"/>
      <c r="N131" s="36"/>
      <c r="O131" s="36"/>
      <c r="P131" s="36"/>
      <c r="Q131" s="36"/>
      <c r="R131" s="36"/>
      <c r="S131" s="36"/>
      <c r="T131" s="36"/>
      <c r="U131" s="36"/>
      <c r="V131" s="36"/>
      <c r="W131" s="36"/>
      <c r="X131" s="36"/>
      <c r="Y131" s="36"/>
      <c r="Z131" s="36"/>
      <c r="AA131" s="36"/>
      <c r="AB131" s="36"/>
    </row>
    <row r="132" spans="1:28" ht="36" hidden="1" customHeight="1">
      <c r="A132" s="67" t="str">
        <f>HYPERLINK("https://www.alcaldiabogota.gov.co/sisjur/normas/Norma1.jsp?i=19982&amp;dt=S","RESOLUCION 627")</f>
        <v>RESOLUCION 627</v>
      </c>
      <c r="B132" s="64">
        <v>2006</v>
      </c>
      <c r="C132" s="32" t="s">
        <v>128</v>
      </c>
      <c r="D132" s="33" t="s">
        <v>572</v>
      </c>
      <c r="E132" s="32" t="s">
        <v>41</v>
      </c>
      <c r="F132" s="32" t="s">
        <v>42</v>
      </c>
      <c r="G132" s="116" t="s">
        <v>43</v>
      </c>
      <c r="H132" s="117" t="s">
        <v>240</v>
      </c>
      <c r="I132" s="35"/>
      <c r="J132" s="36"/>
      <c r="K132" s="36"/>
      <c r="L132" s="36"/>
      <c r="M132" s="36"/>
      <c r="N132" s="36"/>
      <c r="O132" s="36"/>
      <c r="P132" s="36"/>
      <c r="Q132" s="36"/>
      <c r="R132" s="36"/>
      <c r="S132" s="36"/>
      <c r="T132" s="36"/>
      <c r="U132" s="36"/>
      <c r="V132" s="36"/>
      <c r="W132" s="36"/>
      <c r="X132" s="36"/>
      <c r="Y132" s="36"/>
      <c r="Z132" s="36"/>
      <c r="AA132" s="36"/>
      <c r="AB132" s="36"/>
    </row>
    <row r="133" spans="1:28" ht="36" hidden="1" customHeight="1">
      <c r="A133" s="67" t="str">
        <f>HYPERLINK("https://www.alcaldiabogota.gov.co/sisjur/normas/Norma1.jsp?i=25617&amp;dt=S","RESOLUCIÓN IDRD 277")</f>
        <v>RESOLUCIÓN IDRD 277</v>
      </c>
      <c r="B133" s="64">
        <v>2007</v>
      </c>
      <c r="C133" s="142" t="s">
        <v>130</v>
      </c>
      <c r="D133" s="33" t="s">
        <v>573</v>
      </c>
      <c r="E133" s="32" t="s">
        <v>41</v>
      </c>
      <c r="F133" s="32" t="s">
        <v>42</v>
      </c>
      <c r="G133" s="116" t="s">
        <v>43</v>
      </c>
      <c r="H133" s="117" t="s">
        <v>240</v>
      </c>
      <c r="I133" s="35"/>
      <c r="J133" s="36"/>
      <c r="K133" s="36"/>
      <c r="L133" s="36"/>
      <c r="M133" s="36"/>
      <c r="N133" s="36"/>
      <c r="O133" s="36"/>
      <c r="P133" s="36"/>
      <c r="Q133" s="36"/>
      <c r="R133" s="36"/>
      <c r="S133" s="36"/>
      <c r="T133" s="36"/>
      <c r="U133" s="36"/>
      <c r="V133" s="36"/>
      <c r="W133" s="36"/>
      <c r="X133" s="36"/>
      <c r="Y133" s="36"/>
      <c r="Z133" s="36"/>
      <c r="AA133" s="36"/>
      <c r="AB133" s="36"/>
    </row>
    <row r="134" spans="1:28" ht="24" hidden="1" customHeight="1">
      <c r="A134" s="67" t="str">
        <f>HYPERLINK("https://www.alcaldiabogota.gov.co/sisjur/normas/Norma1.jsp?i=33543&amp;dt=S","RESOLUCIÓN 420")</f>
        <v>RESOLUCIÓN 420</v>
      </c>
      <c r="B134" s="64">
        <v>2008</v>
      </c>
      <c r="C134" s="142" t="s">
        <v>130</v>
      </c>
      <c r="D134" s="33" t="s">
        <v>574</v>
      </c>
      <c r="E134" s="32" t="s">
        <v>41</v>
      </c>
      <c r="F134" s="32" t="s">
        <v>42</v>
      </c>
      <c r="G134" s="116" t="s">
        <v>43</v>
      </c>
      <c r="H134" s="117" t="s">
        <v>240</v>
      </c>
      <c r="I134" s="35"/>
      <c r="J134" s="36"/>
      <c r="K134" s="36"/>
      <c r="L134" s="36"/>
      <c r="M134" s="36"/>
      <c r="N134" s="36"/>
      <c r="O134" s="36"/>
      <c r="P134" s="36"/>
      <c r="Q134" s="36"/>
      <c r="R134" s="36"/>
      <c r="S134" s="36"/>
      <c r="T134" s="36"/>
      <c r="U134" s="36"/>
      <c r="V134" s="36"/>
      <c r="W134" s="36"/>
      <c r="X134" s="36"/>
      <c r="Y134" s="36"/>
      <c r="Z134" s="36"/>
      <c r="AA134" s="36"/>
      <c r="AB134" s="36"/>
    </row>
    <row r="135" spans="1:28" ht="36" hidden="1" customHeight="1">
      <c r="A135" s="67" t="str">
        <f>HYPERLINK("https://www.alcaldiabogota.gov.co/sisjur/normas/Norma1.jsp?i=35322&amp;dt=S","RESOLUCIÓN IDRD 583")</f>
        <v>RESOLUCIÓN IDRD 583</v>
      </c>
      <c r="B135" s="64">
        <v>2008</v>
      </c>
      <c r="C135" s="142" t="s">
        <v>130</v>
      </c>
      <c r="D135" s="33" t="s">
        <v>573</v>
      </c>
      <c r="E135" s="32" t="s">
        <v>41</v>
      </c>
      <c r="F135" s="32" t="s">
        <v>42</v>
      </c>
      <c r="G135" s="116" t="s">
        <v>43</v>
      </c>
      <c r="H135" s="117" t="s">
        <v>240</v>
      </c>
      <c r="I135" s="35"/>
      <c r="J135" s="36"/>
      <c r="K135" s="36"/>
      <c r="L135" s="36"/>
      <c r="M135" s="36"/>
      <c r="N135" s="36"/>
      <c r="O135" s="36"/>
      <c r="P135" s="36"/>
      <c r="Q135" s="36"/>
      <c r="R135" s="36"/>
      <c r="S135" s="36"/>
      <c r="T135" s="36"/>
      <c r="U135" s="36"/>
      <c r="V135" s="36"/>
      <c r="W135" s="36"/>
      <c r="X135" s="36"/>
      <c r="Y135" s="36"/>
      <c r="Z135" s="36"/>
      <c r="AA135" s="36"/>
      <c r="AB135" s="36"/>
    </row>
    <row r="136" spans="1:28" ht="36" hidden="1" customHeight="1">
      <c r="A136" s="67" t="str">
        <f>HYPERLINK("https://www.alcaldiabogota.gov.co/sisjur/normas/Norma1.jsp?i=33005","RESOLUCIÓN 931")</f>
        <v>RESOLUCIÓN 931</v>
      </c>
      <c r="B136" s="64">
        <v>2008</v>
      </c>
      <c r="C136" s="32" t="s">
        <v>540</v>
      </c>
      <c r="D136" s="33" t="s">
        <v>575</v>
      </c>
      <c r="E136" s="32" t="s">
        <v>41</v>
      </c>
      <c r="F136" s="32" t="s">
        <v>42</v>
      </c>
      <c r="G136" s="116" t="s">
        <v>43</v>
      </c>
      <c r="H136" s="117" t="s">
        <v>240</v>
      </c>
      <c r="I136" s="35"/>
      <c r="J136" s="36"/>
      <c r="K136" s="36"/>
      <c r="L136" s="36"/>
      <c r="M136" s="36"/>
      <c r="N136" s="36"/>
      <c r="O136" s="36"/>
      <c r="P136" s="36"/>
      <c r="Q136" s="36"/>
      <c r="R136" s="36"/>
      <c r="S136" s="36"/>
      <c r="T136" s="36"/>
      <c r="U136" s="36"/>
      <c r="V136" s="36"/>
      <c r="W136" s="36"/>
      <c r="X136" s="36"/>
      <c r="Y136" s="36"/>
      <c r="Z136" s="36"/>
      <c r="AA136" s="36"/>
      <c r="AB136" s="36"/>
    </row>
    <row r="137" spans="1:28" ht="36" hidden="1" customHeight="1">
      <c r="A137" s="67" t="str">
        <f>HYPERLINK("https://www.alcaldiabogota.gov.co/sisjur/normas/Norma1.jsp?i=40177","RESOLUCIÓN IDRD 338")</f>
        <v>RESOLUCIÓN IDRD 338</v>
      </c>
      <c r="B137" s="64">
        <v>2010</v>
      </c>
      <c r="C137" s="142" t="s">
        <v>130</v>
      </c>
      <c r="D137" s="33" t="s">
        <v>135</v>
      </c>
      <c r="E137" s="32" t="s">
        <v>41</v>
      </c>
      <c r="F137" s="32" t="s">
        <v>42</v>
      </c>
      <c r="G137" s="116" t="s">
        <v>43</v>
      </c>
      <c r="H137" s="117" t="s">
        <v>240</v>
      </c>
      <c r="I137" s="35"/>
      <c r="J137" s="36"/>
      <c r="K137" s="36"/>
      <c r="L137" s="36"/>
      <c r="M137" s="36"/>
      <c r="N137" s="36"/>
      <c r="O137" s="36"/>
      <c r="P137" s="36"/>
      <c r="Q137" s="36"/>
      <c r="R137" s="36"/>
      <c r="S137" s="36"/>
      <c r="T137" s="36"/>
      <c r="U137" s="36"/>
      <c r="V137" s="36"/>
      <c r="W137" s="36"/>
      <c r="X137" s="36"/>
      <c r="Y137" s="36"/>
      <c r="Z137" s="36"/>
      <c r="AA137" s="36"/>
      <c r="AB137" s="36"/>
    </row>
    <row r="138" spans="1:28" ht="36" hidden="1" customHeight="1">
      <c r="A138" s="67" t="str">
        <f>HYPERLINK("https://www.icbf.gov.co/cargues/avance/docs/resolucion_minambientevdt_1503_2010.htm","RESOLUCIÓN 1503")</f>
        <v>RESOLUCIÓN 1503</v>
      </c>
      <c r="B138" s="64">
        <v>2010</v>
      </c>
      <c r="C138" s="32" t="s">
        <v>128</v>
      </c>
      <c r="D138" s="33" t="s">
        <v>576</v>
      </c>
      <c r="E138" s="32" t="s">
        <v>41</v>
      </c>
      <c r="F138" s="32" t="s">
        <v>42</v>
      </c>
      <c r="G138" s="116" t="s">
        <v>43</v>
      </c>
      <c r="H138" s="117" t="s">
        <v>240</v>
      </c>
      <c r="I138" s="35"/>
      <c r="J138" s="36"/>
      <c r="K138" s="36"/>
      <c r="L138" s="36"/>
      <c r="M138" s="36"/>
      <c r="N138" s="36"/>
      <c r="O138" s="36"/>
      <c r="P138" s="36"/>
      <c r="Q138" s="36"/>
      <c r="R138" s="36"/>
      <c r="S138" s="36"/>
      <c r="T138" s="36"/>
      <c r="U138" s="36"/>
      <c r="V138" s="36"/>
      <c r="W138" s="36"/>
      <c r="X138" s="36"/>
      <c r="Y138" s="36"/>
      <c r="Z138" s="36"/>
      <c r="AA138" s="36"/>
      <c r="AB138" s="36"/>
    </row>
    <row r="139" spans="1:28" ht="36" hidden="1" customHeight="1">
      <c r="A139" s="67" t="str">
        <f>HYPERLINK("https://www.alcaldiabogota.gov.co/sisjur/normas/Norma1.jsp?i=44089&amp;dt=S","RESOLUCIÓN  579")</f>
        <v>RESOLUCIÓN  579</v>
      </c>
      <c r="B139" s="64">
        <v>2011</v>
      </c>
      <c r="C139" s="142" t="s">
        <v>130</v>
      </c>
      <c r="D139" s="33" t="s">
        <v>288</v>
      </c>
      <c r="E139" s="32" t="s">
        <v>41</v>
      </c>
      <c r="F139" s="32" t="s">
        <v>42</v>
      </c>
      <c r="G139" s="116" t="s">
        <v>43</v>
      </c>
      <c r="H139" s="117" t="s">
        <v>240</v>
      </c>
      <c r="I139" s="35"/>
      <c r="J139" s="36"/>
      <c r="K139" s="36"/>
      <c r="L139" s="36"/>
      <c r="M139" s="36"/>
      <c r="N139" s="36"/>
      <c r="O139" s="36"/>
      <c r="P139" s="36"/>
      <c r="Q139" s="36"/>
      <c r="R139" s="36"/>
      <c r="S139" s="36"/>
      <c r="T139" s="36"/>
      <c r="U139" s="36"/>
      <c r="V139" s="36"/>
      <c r="W139" s="36"/>
      <c r="X139" s="36"/>
      <c r="Y139" s="36"/>
      <c r="Z139" s="36"/>
      <c r="AA139" s="36"/>
      <c r="AB139" s="36"/>
    </row>
    <row r="140" spans="1:28" ht="24" hidden="1" customHeight="1">
      <c r="A140" s="67" t="str">
        <f>HYPERLINK("https://www.alcaldiabogota.gov.co/sisjur/normas/Norma1.jsp?i=45085","RESOLUCIÓN 5589")</f>
        <v>RESOLUCIÓN 5589</v>
      </c>
      <c r="B140" s="64">
        <v>2011</v>
      </c>
      <c r="C140" s="32" t="s">
        <v>540</v>
      </c>
      <c r="D140" s="33" t="s">
        <v>577</v>
      </c>
      <c r="E140" s="32" t="s">
        <v>41</v>
      </c>
      <c r="F140" s="32" t="s">
        <v>42</v>
      </c>
      <c r="G140" s="116" t="s">
        <v>43</v>
      </c>
      <c r="H140" s="117" t="s">
        <v>240</v>
      </c>
      <c r="I140" s="35"/>
      <c r="J140" s="36"/>
      <c r="K140" s="36"/>
      <c r="L140" s="36"/>
      <c r="M140" s="36"/>
      <c r="N140" s="36"/>
      <c r="O140" s="36"/>
      <c r="P140" s="36"/>
      <c r="Q140" s="36"/>
      <c r="R140" s="36"/>
      <c r="S140" s="36"/>
      <c r="T140" s="36"/>
      <c r="U140" s="36"/>
      <c r="V140" s="36"/>
      <c r="W140" s="36"/>
      <c r="X140" s="36"/>
      <c r="Y140" s="36"/>
      <c r="Z140" s="36"/>
      <c r="AA140" s="36"/>
      <c r="AB140" s="36"/>
    </row>
    <row r="141" spans="1:28" ht="24" hidden="1" customHeight="1">
      <c r="A141" s="67" t="str">
        <f>HYPERLINK("https://www.alcaldiabogota.gov.co/sisjur/normas/Norma1.jsp?i=44603","RESOLUCIÓN 5983")</f>
        <v>RESOLUCIÓN 5983</v>
      </c>
      <c r="B141" s="64">
        <v>2011</v>
      </c>
      <c r="C141" s="32" t="s">
        <v>540</v>
      </c>
      <c r="D141" s="33" t="s">
        <v>578</v>
      </c>
      <c r="E141" s="32" t="s">
        <v>41</v>
      </c>
      <c r="F141" s="32" t="s">
        <v>42</v>
      </c>
      <c r="G141" s="116" t="s">
        <v>43</v>
      </c>
      <c r="H141" s="117" t="s">
        <v>240</v>
      </c>
      <c r="I141" s="35"/>
      <c r="J141" s="36"/>
      <c r="K141" s="36"/>
      <c r="L141" s="36"/>
      <c r="M141" s="36"/>
      <c r="N141" s="36"/>
      <c r="O141" s="36"/>
      <c r="P141" s="36"/>
      <c r="Q141" s="36"/>
      <c r="R141" s="36"/>
      <c r="S141" s="36"/>
      <c r="T141" s="36"/>
      <c r="U141" s="36"/>
      <c r="V141" s="36"/>
      <c r="W141" s="36"/>
      <c r="X141" s="36"/>
      <c r="Y141" s="36"/>
      <c r="Z141" s="36"/>
      <c r="AA141" s="36"/>
      <c r="AB141" s="36"/>
    </row>
    <row r="142" spans="1:28" ht="24" hidden="1" customHeight="1">
      <c r="A142" s="67" t="str">
        <f>HYPERLINK("https://www.alcaldiabogota.gov.co/sisjur/normas/Norma1.jsp?i=45261","RESOLUCIÓN 6563")</f>
        <v>RESOLUCIÓN 6563</v>
      </c>
      <c r="B142" s="64">
        <v>2011</v>
      </c>
      <c r="C142" s="32" t="s">
        <v>540</v>
      </c>
      <c r="D142" s="33" t="s">
        <v>579</v>
      </c>
      <c r="E142" s="32" t="s">
        <v>41</v>
      </c>
      <c r="F142" s="32" t="s">
        <v>42</v>
      </c>
      <c r="G142" s="116" t="s">
        <v>43</v>
      </c>
      <c r="H142" s="117" t="s">
        <v>240</v>
      </c>
      <c r="I142" s="35"/>
      <c r="J142" s="36"/>
      <c r="K142" s="36"/>
      <c r="L142" s="36"/>
      <c r="M142" s="36"/>
      <c r="N142" s="36"/>
      <c r="O142" s="36"/>
      <c r="P142" s="36"/>
      <c r="Q142" s="36"/>
      <c r="R142" s="36"/>
      <c r="S142" s="36"/>
      <c r="T142" s="36"/>
      <c r="U142" s="36"/>
      <c r="V142" s="36"/>
      <c r="W142" s="36"/>
      <c r="X142" s="36"/>
      <c r="Y142" s="36"/>
      <c r="Z142" s="36"/>
      <c r="AA142" s="36"/>
      <c r="AB142" s="36"/>
    </row>
    <row r="143" spans="1:28" ht="24" hidden="1" customHeight="1">
      <c r="A143" s="67" t="str">
        <f>HYPERLINK("http://190.27.245.106/BLA/resoluciones/RESOLUCIONES%202011/6971.pdf","RESOLUCIÓN 6971")</f>
        <v>RESOLUCIÓN 6971</v>
      </c>
      <c r="B143" s="64">
        <v>2011</v>
      </c>
      <c r="C143" s="32" t="s">
        <v>540</v>
      </c>
      <c r="D143" s="33" t="s">
        <v>580</v>
      </c>
      <c r="E143" s="32" t="s">
        <v>41</v>
      </c>
      <c r="F143" s="32" t="s">
        <v>42</v>
      </c>
      <c r="G143" s="116" t="s">
        <v>43</v>
      </c>
      <c r="H143" s="117" t="s">
        <v>240</v>
      </c>
      <c r="I143" s="35"/>
      <c r="J143" s="36"/>
      <c r="K143" s="36"/>
      <c r="L143" s="36"/>
      <c r="M143" s="36"/>
      <c r="N143" s="36"/>
      <c r="O143" s="36"/>
      <c r="P143" s="36"/>
      <c r="Q143" s="36"/>
      <c r="R143" s="36"/>
      <c r="S143" s="36"/>
      <c r="T143" s="36"/>
      <c r="U143" s="36"/>
      <c r="V143" s="36"/>
      <c r="W143" s="36"/>
      <c r="X143" s="36"/>
      <c r="Y143" s="36"/>
      <c r="Z143" s="36"/>
      <c r="AA143" s="36"/>
      <c r="AB143" s="36"/>
    </row>
    <row r="144" spans="1:28" ht="36" hidden="1" customHeight="1">
      <c r="A144" s="67" t="str">
        <f>HYPERLINK("https://www.alcaldiabogota.gov.co/sisjur/normas/Norma1.jsp?i=45409","RESOLUCIÓN 7132")</f>
        <v>RESOLUCIÓN 7132</v>
      </c>
      <c r="B144" s="64">
        <v>2011</v>
      </c>
      <c r="C144" s="32" t="s">
        <v>540</v>
      </c>
      <c r="D144" s="33" t="s">
        <v>581</v>
      </c>
      <c r="E144" s="32" t="s">
        <v>41</v>
      </c>
      <c r="F144" s="32" t="s">
        <v>42</v>
      </c>
      <c r="G144" s="116" t="s">
        <v>43</v>
      </c>
      <c r="H144" s="117" t="s">
        <v>240</v>
      </c>
      <c r="I144" s="35"/>
      <c r="J144" s="36"/>
      <c r="K144" s="36"/>
      <c r="L144" s="36"/>
      <c r="M144" s="36"/>
      <c r="N144" s="36"/>
      <c r="O144" s="36"/>
      <c r="P144" s="36"/>
      <c r="Q144" s="36"/>
      <c r="R144" s="36"/>
      <c r="S144" s="36"/>
      <c r="T144" s="36"/>
      <c r="U144" s="36"/>
      <c r="V144" s="36"/>
      <c r="W144" s="36"/>
      <c r="X144" s="36"/>
      <c r="Y144" s="36"/>
      <c r="Z144" s="36"/>
      <c r="AA144" s="36"/>
      <c r="AB144" s="36"/>
    </row>
    <row r="145" spans="1:28" ht="36" hidden="1" customHeight="1">
      <c r="A145" s="67" t="str">
        <f>HYPERLINK("https://www.alcaldiabogota.gov.co/sisjur/normas/Norma1.jsp?i=49822","RESOLUCIÓN 1115")</f>
        <v>RESOLUCIÓN 1115</v>
      </c>
      <c r="B145" s="64">
        <v>2012</v>
      </c>
      <c r="C145" s="32" t="s">
        <v>540</v>
      </c>
      <c r="D145" s="33" t="s">
        <v>582</v>
      </c>
      <c r="E145" s="32" t="s">
        <v>41</v>
      </c>
      <c r="F145" s="32" t="s">
        <v>42</v>
      </c>
      <c r="G145" s="116" t="s">
        <v>43</v>
      </c>
      <c r="H145" s="117" t="s">
        <v>240</v>
      </c>
      <c r="I145" s="35"/>
      <c r="J145" s="36"/>
      <c r="K145" s="36"/>
      <c r="L145" s="36"/>
      <c r="M145" s="36"/>
      <c r="N145" s="36"/>
      <c r="O145" s="36"/>
      <c r="P145" s="36"/>
      <c r="Q145" s="36"/>
      <c r="R145" s="36"/>
      <c r="S145" s="36"/>
      <c r="T145" s="36"/>
      <c r="U145" s="36"/>
      <c r="V145" s="36"/>
      <c r="W145" s="36"/>
      <c r="X145" s="36"/>
      <c r="Y145" s="36"/>
      <c r="Z145" s="36"/>
      <c r="AA145" s="36"/>
      <c r="AB145" s="36"/>
    </row>
    <row r="146" spans="1:28" ht="24" hidden="1" customHeight="1">
      <c r="A146" s="67" t="str">
        <f>HYPERLINK("https://www.alcaldiabogota.gov.co/sisjur/normas/Norma1.jsp?i=47476","RESOLUCIÓN 359")</f>
        <v>RESOLUCIÓN 359</v>
      </c>
      <c r="B146" s="64">
        <v>2012</v>
      </c>
      <c r="C146" s="32" t="s">
        <v>540</v>
      </c>
      <c r="D146" s="33" t="s">
        <v>583</v>
      </c>
      <c r="E146" s="32" t="s">
        <v>41</v>
      </c>
      <c r="F146" s="32" t="s">
        <v>42</v>
      </c>
      <c r="G146" s="116" t="s">
        <v>43</v>
      </c>
      <c r="H146" s="117" t="s">
        <v>240</v>
      </c>
      <c r="I146" s="35"/>
      <c r="J146" s="36"/>
      <c r="K146" s="36"/>
      <c r="L146" s="36"/>
      <c r="M146" s="36"/>
      <c r="N146" s="36"/>
      <c r="O146" s="36"/>
      <c r="P146" s="36"/>
      <c r="Q146" s="36"/>
      <c r="R146" s="36"/>
      <c r="S146" s="36"/>
      <c r="T146" s="36"/>
      <c r="U146" s="36"/>
      <c r="V146" s="36"/>
      <c r="W146" s="36"/>
      <c r="X146" s="36"/>
      <c r="Y146" s="36"/>
      <c r="Z146" s="36"/>
      <c r="AA146" s="36"/>
      <c r="AB146" s="36"/>
    </row>
    <row r="147" spans="1:28" ht="36" hidden="1" customHeight="1">
      <c r="A147" s="148" t="s">
        <v>584</v>
      </c>
      <c r="B147" s="64">
        <v>2013</v>
      </c>
      <c r="C147" s="142" t="s">
        <v>130</v>
      </c>
      <c r="D147" s="33" t="s">
        <v>585</v>
      </c>
      <c r="E147" s="32" t="s">
        <v>41</v>
      </c>
      <c r="F147" s="32" t="s">
        <v>42</v>
      </c>
      <c r="G147" s="116" t="s">
        <v>43</v>
      </c>
      <c r="H147" s="117" t="s">
        <v>240</v>
      </c>
      <c r="I147" s="35"/>
      <c r="J147" s="36"/>
      <c r="K147" s="36"/>
      <c r="L147" s="36"/>
      <c r="M147" s="36"/>
      <c r="N147" s="36"/>
      <c r="O147" s="36"/>
      <c r="P147" s="36"/>
      <c r="Q147" s="36"/>
      <c r="R147" s="36"/>
      <c r="S147" s="36"/>
      <c r="T147" s="36"/>
      <c r="U147" s="36"/>
      <c r="V147" s="36"/>
      <c r="W147" s="36"/>
      <c r="X147" s="36"/>
      <c r="Y147" s="36"/>
      <c r="Z147" s="36"/>
      <c r="AA147" s="36"/>
      <c r="AB147" s="36"/>
    </row>
    <row r="148" spans="1:28" ht="24" hidden="1" customHeight="1">
      <c r="A148" s="148" t="s">
        <v>586</v>
      </c>
      <c r="B148" s="64">
        <v>2013</v>
      </c>
      <c r="C148" s="142" t="s">
        <v>130</v>
      </c>
      <c r="D148" s="33" t="s">
        <v>587</v>
      </c>
      <c r="E148" s="32" t="s">
        <v>41</v>
      </c>
      <c r="F148" s="32" t="s">
        <v>42</v>
      </c>
      <c r="G148" s="116" t="s">
        <v>43</v>
      </c>
      <c r="H148" s="117" t="s">
        <v>240</v>
      </c>
      <c r="I148" s="35"/>
      <c r="J148" s="36"/>
      <c r="K148" s="36"/>
      <c r="L148" s="36"/>
      <c r="M148" s="36"/>
      <c r="N148" s="36"/>
      <c r="O148" s="36"/>
      <c r="P148" s="36"/>
      <c r="Q148" s="36"/>
      <c r="R148" s="36"/>
      <c r="S148" s="36"/>
      <c r="T148" s="36"/>
      <c r="U148" s="36"/>
      <c r="V148" s="36"/>
      <c r="W148" s="36"/>
      <c r="X148" s="36"/>
      <c r="Y148" s="36"/>
      <c r="Z148" s="36"/>
      <c r="AA148" s="36"/>
      <c r="AB148" s="36"/>
    </row>
    <row r="149" spans="1:28" ht="24" hidden="1" customHeight="1">
      <c r="A149" s="148" t="s">
        <v>588</v>
      </c>
      <c r="B149" s="64">
        <v>2013</v>
      </c>
      <c r="C149" s="142" t="s">
        <v>130</v>
      </c>
      <c r="D149" s="33" t="s">
        <v>292</v>
      </c>
      <c r="E149" s="32" t="s">
        <v>41</v>
      </c>
      <c r="F149" s="32" t="s">
        <v>42</v>
      </c>
      <c r="G149" s="116" t="s">
        <v>43</v>
      </c>
      <c r="H149" s="117" t="s">
        <v>240</v>
      </c>
      <c r="I149" s="35"/>
      <c r="J149" s="36"/>
      <c r="K149" s="36"/>
      <c r="L149" s="36"/>
      <c r="M149" s="36"/>
      <c r="N149" s="36"/>
      <c r="O149" s="36"/>
      <c r="P149" s="36"/>
      <c r="Q149" s="36"/>
      <c r="R149" s="36"/>
      <c r="S149" s="36"/>
      <c r="T149" s="36"/>
      <c r="U149" s="36"/>
      <c r="V149" s="36"/>
      <c r="W149" s="36"/>
      <c r="X149" s="36"/>
      <c r="Y149" s="36"/>
      <c r="Z149" s="36"/>
      <c r="AA149" s="36"/>
      <c r="AB149" s="36"/>
    </row>
    <row r="150" spans="1:28" ht="48" hidden="1" customHeight="1">
      <c r="A150" s="148" t="s">
        <v>589</v>
      </c>
      <c r="B150" s="64">
        <v>2014</v>
      </c>
      <c r="C150" s="142" t="s">
        <v>130</v>
      </c>
      <c r="D150" s="33" t="s">
        <v>590</v>
      </c>
      <c r="E150" s="32" t="s">
        <v>41</v>
      </c>
      <c r="F150" s="32" t="s">
        <v>42</v>
      </c>
      <c r="G150" s="116" t="s">
        <v>43</v>
      </c>
      <c r="H150" s="117" t="s">
        <v>240</v>
      </c>
      <c r="I150" s="35"/>
      <c r="J150" s="36"/>
      <c r="K150" s="36"/>
      <c r="L150" s="36"/>
      <c r="M150" s="36"/>
      <c r="N150" s="36"/>
      <c r="O150" s="36"/>
      <c r="P150" s="36"/>
      <c r="Q150" s="36"/>
      <c r="R150" s="36"/>
      <c r="S150" s="36"/>
      <c r="T150" s="36"/>
      <c r="U150" s="36"/>
      <c r="V150" s="36"/>
      <c r="W150" s="36"/>
      <c r="X150" s="36"/>
      <c r="Y150" s="36"/>
      <c r="Z150" s="36"/>
      <c r="AA150" s="36"/>
      <c r="AB150" s="36"/>
    </row>
    <row r="151" spans="1:28" ht="36" hidden="1" customHeight="1">
      <c r="A151" s="148" t="s">
        <v>591</v>
      </c>
      <c r="B151" s="32">
        <v>2015</v>
      </c>
      <c r="C151" s="142" t="s">
        <v>130</v>
      </c>
      <c r="D151" s="33" t="s">
        <v>592</v>
      </c>
      <c r="E151" s="32" t="s">
        <v>41</v>
      </c>
      <c r="F151" s="32" t="s">
        <v>42</v>
      </c>
      <c r="G151" s="116" t="s">
        <v>43</v>
      </c>
      <c r="H151" s="117" t="s">
        <v>240</v>
      </c>
      <c r="I151" s="35"/>
      <c r="J151" s="36"/>
      <c r="K151" s="36"/>
      <c r="L151" s="36"/>
      <c r="M151" s="36"/>
      <c r="N151" s="36"/>
      <c r="O151" s="36"/>
      <c r="P151" s="36"/>
      <c r="Q151" s="36"/>
      <c r="R151" s="36"/>
      <c r="S151" s="36"/>
      <c r="T151" s="36"/>
      <c r="U151" s="36"/>
      <c r="V151" s="36"/>
      <c r="W151" s="36"/>
      <c r="X151" s="36"/>
      <c r="Y151" s="36"/>
      <c r="Z151" s="36"/>
      <c r="AA151" s="36"/>
      <c r="AB151" s="36"/>
    </row>
    <row r="152" spans="1:28" ht="48" hidden="1" customHeight="1">
      <c r="A152" s="67" t="str">
        <f>HYPERLINK("https://www.alcaldiabogota.gov.co/sisjur/normas/Norma1.jsp?i=61276","RESOLUCION 190")</f>
        <v>RESOLUCION 190</v>
      </c>
      <c r="B152" s="64">
        <v>2015</v>
      </c>
      <c r="C152" s="142" t="s">
        <v>130</v>
      </c>
      <c r="D152" s="33" t="s">
        <v>593</v>
      </c>
      <c r="E152" s="32" t="s">
        <v>41</v>
      </c>
      <c r="F152" s="32" t="s">
        <v>42</v>
      </c>
      <c r="G152" s="116" t="s">
        <v>43</v>
      </c>
      <c r="H152" s="117" t="s">
        <v>240</v>
      </c>
      <c r="I152" s="35"/>
      <c r="J152" s="36"/>
      <c r="K152" s="36"/>
      <c r="L152" s="36"/>
      <c r="M152" s="36"/>
      <c r="N152" s="36"/>
      <c r="O152" s="36"/>
      <c r="P152" s="36"/>
      <c r="Q152" s="36"/>
      <c r="R152" s="36"/>
      <c r="S152" s="36"/>
      <c r="T152" s="36"/>
      <c r="U152" s="36"/>
      <c r="V152" s="36"/>
      <c r="W152" s="36"/>
      <c r="X152" s="36"/>
      <c r="Y152" s="36"/>
      <c r="Z152" s="36"/>
      <c r="AA152" s="36"/>
      <c r="AB152" s="36"/>
    </row>
    <row r="153" spans="1:28" ht="24" hidden="1" customHeight="1">
      <c r="A153" s="148" t="s">
        <v>594</v>
      </c>
      <c r="B153" s="64">
        <v>2016</v>
      </c>
      <c r="C153" s="142" t="s">
        <v>130</v>
      </c>
      <c r="D153" s="33" t="s">
        <v>595</v>
      </c>
      <c r="E153" s="32" t="s">
        <v>41</v>
      </c>
      <c r="F153" s="32" t="s">
        <v>42</v>
      </c>
      <c r="G153" s="116" t="s">
        <v>43</v>
      </c>
      <c r="H153" s="117" t="s">
        <v>240</v>
      </c>
      <c r="I153" s="35"/>
      <c r="J153" s="36"/>
      <c r="K153" s="36"/>
      <c r="L153" s="36"/>
      <c r="M153" s="36"/>
      <c r="N153" s="36"/>
      <c r="O153" s="36"/>
      <c r="P153" s="36"/>
      <c r="Q153" s="36"/>
      <c r="R153" s="36"/>
      <c r="S153" s="36"/>
      <c r="T153" s="36"/>
      <c r="U153" s="36"/>
      <c r="V153" s="36"/>
      <c r="W153" s="36"/>
      <c r="X153" s="36"/>
      <c r="Y153" s="36"/>
      <c r="Z153" s="36"/>
      <c r="AA153" s="36"/>
      <c r="AB153" s="36"/>
    </row>
    <row r="154" spans="1:28" ht="24" hidden="1" customHeight="1">
      <c r="A154" s="148" t="s">
        <v>596</v>
      </c>
      <c r="B154" s="64">
        <v>2016</v>
      </c>
      <c r="C154" s="142" t="s">
        <v>130</v>
      </c>
      <c r="D154" s="33" t="s">
        <v>597</v>
      </c>
      <c r="E154" s="32" t="s">
        <v>41</v>
      </c>
      <c r="F154" s="32" t="s">
        <v>42</v>
      </c>
      <c r="G154" s="116" t="s">
        <v>43</v>
      </c>
      <c r="H154" s="117" t="s">
        <v>240</v>
      </c>
      <c r="I154" s="35"/>
      <c r="J154" s="36"/>
      <c r="K154" s="36"/>
      <c r="L154" s="36"/>
      <c r="M154" s="36"/>
      <c r="N154" s="36"/>
      <c r="O154" s="36"/>
      <c r="P154" s="36"/>
      <c r="Q154" s="36"/>
      <c r="R154" s="36"/>
      <c r="S154" s="36"/>
      <c r="T154" s="36"/>
      <c r="U154" s="36"/>
      <c r="V154" s="36"/>
      <c r="W154" s="36"/>
      <c r="X154" s="36"/>
      <c r="Y154" s="36"/>
      <c r="Z154" s="36"/>
      <c r="AA154" s="36"/>
      <c r="AB154" s="36"/>
    </row>
    <row r="155" spans="1:28" ht="36" hidden="1" customHeight="1">
      <c r="A155" s="67" t="str">
        <f>HYPERLINK("https://www.idrd.gov.co/sitio/idrd/sites/default/files/imagenes/resolucion_1226_manual_supervision_interventoria.pdf","RESOLUCIÓN 1226")</f>
        <v>RESOLUCIÓN 1226</v>
      </c>
      <c r="B155" s="64">
        <v>2016</v>
      </c>
      <c r="C155" s="142" t="s">
        <v>130</v>
      </c>
      <c r="D155" s="33" t="s">
        <v>598</v>
      </c>
      <c r="E155" s="32" t="s">
        <v>41</v>
      </c>
      <c r="F155" s="32" t="s">
        <v>42</v>
      </c>
      <c r="G155" s="116" t="s">
        <v>43</v>
      </c>
      <c r="H155" s="117" t="s">
        <v>240</v>
      </c>
      <c r="I155" s="35"/>
      <c r="J155" s="36"/>
      <c r="K155" s="36"/>
      <c r="L155" s="36"/>
      <c r="M155" s="36"/>
      <c r="N155" s="36"/>
      <c r="O155" s="36"/>
      <c r="P155" s="36"/>
      <c r="Q155" s="36"/>
      <c r="R155" s="36"/>
      <c r="S155" s="36"/>
      <c r="T155" s="36"/>
      <c r="U155" s="36"/>
      <c r="V155" s="36"/>
      <c r="W155" s="36"/>
      <c r="X155" s="36"/>
      <c r="Y155" s="36"/>
      <c r="Z155" s="36"/>
      <c r="AA155" s="36"/>
      <c r="AB155" s="36"/>
    </row>
    <row r="156" spans="1:28" ht="36" hidden="1" customHeight="1">
      <c r="A156" s="67" t="str">
        <f>HYPERLINK("https://www.bogotajuridica.gov.co/sisjur/normas/Norma1.jsp?i=6399","DIRECTIVA PRESIDENCIAL 2")</f>
        <v>DIRECTIVA PRESIDENCIAL 2</v>
      </c>
      <c r="B156" s="64">
        <v>2000</v>
      </c>
      <c r="C156" s="32" t="s">
        <v>599</v>
      </c>
      <c r="D156" s="33" t="s">
        <v>600</v>
      </c>
      <c r="E156" s="32" t="s">
        <v>41</v>
      </c>
      <c r="F156" s="32" t="s">
        <v>42</v>
      </c>
      <c r="G156" s="116" t="s">
        <v>43</v>
      </c>
      <c r="H156" s="117" t="s">
        <v>240</v>
      </c>
      <c r="I156" s="35"/>
      <c r="J156" s="36"/>
      <c r="K156" s="36"/>
      <c r="L156" s="36"/>
      <c r="M156" s="36"/>
      <c r="N156" s="36"/>
      <c r="O156" s="36"/>
      <c r="P156" s="36"/>
      <c r="Q156" s="36"/>
      <c r="R156" s="36"/>
      <c r="S156" s="36"/>
      <c r="T156" s="36"/>
      <c r="U156" s="36"/>
      <c r="V156" s="36"/>
      <c r="W156" s="36"/>
      <c r="X156" s="36"/>
      <c r="Y156" s="36"/>
      <c r="Z156" s="36"/>
      <c r="AA156" s="36"/>
      <c r="AB156" s="36"/>
    </row>
    <row r="157" spans="1:28" ht="36" hidden="1" customHeight="1">
      <c r="A157" s="67" t="str">
        <f>HYPERLINK("http://www.suin-juriscol.gov.co/viewDocument.asp?ruta=DirectivasP/30021435","DIRECTIVA PRESIDENCIAL 12")</f>
        <v>DIRECTIVA PRESIDENCIAL 12</v>
      </c>
      <c r="B157" s="64">
        <v>2002</v>
      </c>
      <c r="C157" s="32" t="s">
        <v>599</v>
      </c>
      <c r="D157" s="33" t="s">
        <v>601</v>
      </c>
      <c r="E157" s="32" t="s">
        <v>41</v>
      </c>
      <c r="F157" s="32" t="s">
        <v>42</v>
      </c>
      <c r="G157" s="116" t="s">
        <v>43</v>
      </c>
      <c r="H157" s="117" t="s">
        <v>240</v>
      </c>
      <c r="I157" s="35"/>
      <c r="J157" s="36"/>
      <c r="K157" s="36"/>
      <c r="L157" s="36"/>
      <c r="M157" s="36"/>
      <c r="N157" s="36"/>
      <c r="O157" s="36"/>
      <c r="P157" s="36"/>
      <c r="Q157" s="36"/>
      <c r="R157" s="36"/>
      <c r="S157" s="36"/>
      <c r="T157" s="36"/>
      <c r="U157" s="36"/>
      <c r="V157" s="36"/>
      <c r="W157" s="36"/>
      <c r="X157" s="36"/>
      <c r="Y157" s="36"/>
      <c r="Z157" s="36"/>
      <c r="AA157" s="36"/>
      <c r="AB157" s="36"/>
    </row>
    <row r="158" spans="1:28" ht="48" hidden="1" customHeight="1">
      <c r="A158" s="67" t="str">
        <f>HYPERLINK("https://www.bogotajuridica.gov.co/sisjur/normas/Norma1.jsp?i=41383&amp;dt=S","DIRECTIVA 1")</f>
        <v>DIRECTIVA 1</v>
      </c>
      <c r="B158" s="64">
        <v>2011</v>
      </c>
      <c r="C158" s="32" t="s">
        <v>61</v>
      </c>
      <c r="D158" s="33" t="s">
        <v>219</v>
      </c>
      <c r="E158" s="32" t="s">
        <v>41</v>
      </c>
      <c r="F158" s="32" t="s">
        <v>42</v>
      </c>
      <c r="G158" s="116" t="s">
        <v>43</v>
      </c>
      <c r="H158" s="117" t="s">
        <v>240</v>
      </c>
      <c r="I158" s="35"/>
      <c r="J158" s="36"/>
      <c r="K158" s="36"/>
      <c r="L158" s="36"/>
      <c r="M158" s="36"/>
      <c r="N158" s="36"/>
      <c r="O158" s="36"/>
      <c r="P158" s="36"/>
      <c r="Q158" s="36"/>
      <c r="R158" s="36"/>
      <c r="S158" s="36"/>
      <c r="T158" s="36"/>
      <c r="U158" s="36"/>
      <c r="V158" s="36"/>
      <c r="W158" s="36"/>
      <c r="X158" s="36"/>
      <c r="Y158" s="36"/>
      <c r="Z158" s="36"/>
      <c r="AA158" s="36"/>
      <c r="AB158" s="36"/>
    </row>
    <row r="159" spans="1:28" ht="24" hidden="1" customHeight="1">
      <c r="A159" s="67" t="str">
        <f>HYPERLINK("https://www.bogotajuridica.gov.co/sisjur/normas/Norma1.jsp?i=43572","DIRECTIVA 16")</f>
        <v>DIRECTIVA 16</v>
      </c>
      <c r="B159" s="64">
        <v>2011</v>
      </c>
      <c r="C159" s="32" t="s">
        <v>61</v>
      </c>
      <c r="D159" s="33" t="s">
        <v>285</v>
      </c>
      <c r="E159" s="32" t="s">
        <v>41</v>
      </c>
      <c r="F159" s="32" t="s">
        <v>42</v>
      </c>
      <c r="G159" s="116" t="s">
        <v>43</v>
      </c>
      <c r="H159" s="117" t="s">
        <v>240</v>
      </c>
      <c r="I159" s="35"/>
      <c r="J159" s="36"/>
      <c r="K159" s="36"/>
      <c r="L159" s="36"/>
      <c r="M159" s="36"/>
      <c r="N159" s="36"/>
      <c r="O159" s="36"/>
      <c r="P159" s="36"/>
      <c r="Q159" s="36"/>
      <c r="R159" s="36"/>
      <c r="S159" s="36"/>
      <c r="T159" s="36"/>
      <c r="U159" s="36"/>
      <c r="V159" s="36"/>
      <c r="W159" s="36"/>
      <c r="X159" s="36"/>
      <c r="Y159" s="36"/>
      <c r="Z159" s="36"/>
      <c r="AA159" s="36"/>
      <c r="AB159" s="36"/>
    </row>
    <row r="160" spans="1:28" ht="36" hidden="1" customHeight="1">
      <c r="A160" s="67" t="str">
        <f>HYPERLINK("https://www.colombiacompra.gov.co/sites/cce_public/files/cce_informe_seguimiento/bogota-alcaldia-directiva-2016-n0000009_20160908.pdf","DIRECTIVA DISTRITAL 9")</f>
        <v>DIRECTIVA DISTRITAL 9</v>
      </c>
      <c r="B160" s="64">
        <v>2016</v>
      </c>
      <c r="C160" s="32" t="s">
        <v>61</v>
      </c>
      <c r="D160" s="33" t="s">
        <v>602</v>
      </c>
      <c r="E160" s="32" t="s">
        <v>41</v>
      </c>
      <c r="F160" s="32" t="s">
        <v>42</v>
      </c>
      <c r="G160" s="116" t="s">
        <v>43</v>
      </c>
      <c r="H160" s="117" t="s">
        <v>240</v>
      </c>
      <c r="I160" s="35"/>
      <c r="J160" s="36"/>
      <c r="K160" s="36"/>
      <c r="L160" s="36"/>
      <c r="M160" s="36"/>
      <c r="N160" s="36"/>
      <c r="O160" s="36"/>
      <c r="P160" s="36"/>
      <c r="Q160" s="36"/>
      <c r="R160" s="36"/>
      <c r="S160" s="36"/>
      <c r="T160" s="36"/>
      <c r="U160" s="36"/>
      <c r="V160" s="36"/>
      <c r="W160" s="36"/>
      <c r="X160" s="36"/>
      <c r="Y160" s="36"/>
      <c r="Z160" s="36"/>
      <c r="AA160" s="36"/>
      <c r="AB160" s="36"/>
    </row>
    <row r="161" spans="1:28" ht="36" hidden="1" customHeight="1">
      <c r="A161" s="67" t="str">
        <f>HYPERLINK("https://www.alcaldiabogota.gov.co/sisjur/normas/Norma1.jsp?i=75362","DECRETO 392")</f>
        <v>DECRETO 392</v>
      </c>
      <c r="B161" s="64">
        <v>2018</v>
      </c>
      <c r="C161" s="142" t="s">
        <v>57</v>
      </c>
      <c r="D161" s="33" t="s">
        <v>310</v>
      </c>
      <c r="E161" s="32" t="s">
        <v>41</v>
      </c>
      <c r="F161" s="32" t="s">
        <v>42</v>
      </c>
      <c r="G161" s="116" t="s">
        <v>43</v>
      </c>
      <c r="H161" s="117" t="s">
        <v>240</v>
      </c>
      <c r="I161" s="35"/>
      <c r="J161" s="36"/>
      <c r="K161" s="36"/>
      <c r="L161" s="36"/>
      <c r="M161" s="36"/>
      <c r="N161" s="36"/>
      <c r="O161" s="36"/>
      <c r="P161" s="36"/>
      <c r="Q161" s="36"/>
      <c r="R161" s="36"/>
      <c r="S161" s="36"/>
      <c r="T161" s="36"/>
      <c r="U161" s="36"/>
      <c r="V161" s="36"/>
      <c r="W161" s="36"/>
      <c r="X161" s="36"/>
      <c r="Y161" s="36"/>
      <c r="Z161" s="36"/>
      <c r="AA161" s="36"/>
      <c r="AB161" s="36"/>
    </row>
    <row r="162" spans="1:28" ht="72" hidden="1" customHeight="1">
      <c r="A162" s="67" t="str">
        <f>HYPERLINK("https://www.alcaldiabogota.gov.co/sisjur/normas/Norma1.jsp?i=33486","RESOLUCIÓN 305")</f>
        <v>RESOLUCIÓN 305</v>
      </c>
      <c r="B162" s="64">
        <v>2008</v>
      </c>
      <c r="C162" s="32" t="s">
        <v>603</v>
      </c>
      <c r="D162" s="33" t="s">
        <v>604</v>
      </c>
      <c r="E162" s="32" t="s">
        <v>41</v>
      </c>
      <c r="F162" s="32" t="s">
        <v>97</v>
      </c>
      <c r="G162" s="116" t="s">
        <v>43</v>
      </c>
      <c r="H162" s="117" t="s">
        <v>240</v>
      </c>
      <c r="I162" s="35"/>
      <c r="J162" s="36"/>
      <c r="K162" s="36"/>
      <c r="L162" s="36"/>
      <c r="M162" s="36"/>
      <c r="N162" s="36"/>
      <c r="O162" s="36"/>
      <c r="P162" s="36"/>
      <c r="Q162" s="36"/>
      <c r="R162" s="36"/>
      <c r="S162" s="36"/>
      <c r="T162" s="36"/>
      <c r="U162" s="36"/>
      <c r="V162" s="36"/>
      <c r="W162" s="36"/>
      <c r="X162" s="36"/>
      <c r="Y162" s="36"/>
      <c r="Z162" s="36"/>
      <c r="AA162" s="36"/>
      <c r="AB162" s="36"/>
    </row>
    <row r="163" spans="1:28" ht="24" hidden="1" customHeight="1">
      <c r="A163" s="67" t="str">
        <f>HYPERLINK("https://www.colombiacompra.gov.co/sites/cce_public/files/cce_circulares/cce_circular_unica.pdf","Circular Externa Única")</f>
        <v>Circular Externa Única</v>
      </c>
      <c r="B163" s="64">
        <v>2018</v>
      </c>
      <c r="C163" s="32" t="s">
        <v>193</v>
      </c>
      <c r="D163" s="33" t="s">
        <v>318</v>
      </c>
      <c r="E163" s="64" t="s">
        <v>41</v>
      </c>
      <c r="F163" s="32" t="s">
        <v>42</v>
      </c>
      <c r="G163" s="147" t="s">
        <v>43</v>
      </c>
      <c r="H163" s="117" t="s">
        <v>240</v>
      </c>
      <c r="I163" s="35"/>
      <c r="J163" s="36"/>
      <c r="K163" s="36"/>
      <c r="L163" s="36"/>
      <c r="M163" s="36"/>
      <c r="N163" s="36"/>
      <c r="O163" s="36"/>
      <c r="P163" s="36"/>
      <c r="Q163" s="36"/>
      <c r="R163" s="36"/>
      <c r="S163" s="36"/>
      <c r="T163" s="36"/>
      <c r="U163" s="36"/>
      <c r="V163" s="36"/>
      <c r="W163" s="36"/>
      <c r="X163" s="36"/>
      <c r="Y163" s="36"/>
      <c r="Z163" s="36"/>
      <c r="AA163" s="36"/>
      <c r="AB163" s="36"/>
    </row>
    <row r="164" spans="1:28" ht="49.5" hidden="1" customHeight="1">
      <c r="A164" s="67" t="str">
        <f>HYPERLINK("http://legal.legis.com.co/document/Index?obra=jurcol&amp;document=jurcol_a4665ea3ef954617ac3ba193a55decfc","AUTO SUSPENSION ")</f>
        <v xml:space="preserve">AUTO SUSPENSION </v>
      </c>
      <c r="B164" s="64">
        <v>2018</v>
      </c>
      <c r="C164" s="32" t="s">
        <v>314</v>
      </c>
      <c r="D164" s="149" t="s">
        <v>315</v>
      </c>
      <c r="E164" s="64" t="s">
        <v>41</v>
      </c>
      <c r="F164" s="32" t="s">
        <v>42</v>
      </c>
      <c r="G164" s="147" t="s">
        <v>43</v>
      </c>
      <c r="H164" s="117" t="s">
        <v>240</v>
      </c>
      <c r="I164" s="35"/>
      <c r="J164" s="36"/>
      <c r="K164" s="36"/>
      <c r="L164" s="36"/>
      <c r="M164" s="36"/>
      <c r="N164" s="36"/>
      <c r="O164" s="36"/>
      <c r="P164" s="36"/>
      <c r="Q164" s="36"/>
      <c r="R164" s="36"/>
      <c r="S164" s="36"/>
      <c r="T164" s="36"/>
      <c r="U164" s="36"/>
      <c r="V164" s="36"/>
      <c r="W164" s="36"/>
      <c r="X164" s="36"/>
      <c r="Y164" s="36"/>
      <c r="Z164" s="36"/>
      <c r="AA164" s="36"/>
      <c r="AB164" s="36"/>
    </row>
    <row r="165" spans="1:28" ht="36" hidden="1" customHeight="1">
      <c r="A165" s="67" t="str">
        <f>HYPERLINK("https://www.alcaldiabogota.gov.co/sisjur/normas/Norma1.jsp?i=75362","DECRETO 392")</f>
        <v>DECRETO 392</v>
      </c>
      <c r="B165" s="64">
        <v>2018</v>
      </c>
      <c r="C165" s="142" t="s">
        <v>57</v>
      </c>
      <c r="D165" s="33" t="s">
        <v>310</v>
      </c>
      <c r="E165" s="32" t="s">
        <v>41</v>
      </c>
      <c r="F165" s="32" t="s">
        <v>42</v>
      </c>
      <c r="G165" s="116" t="s">
        <v>43</v>
      </c>
      <c r="H165" s="117" t="s">
        <v>240</v>
      </c>
      <c r="I165" s="35"/>
      <c r="J165" s="36"/>
      <c r="K165" s="36"/>
      <c r="L165" s="36"/>
      <c r="M165" s="36"/>
      <c r="N165" s="36"/>
      <c r="O165" s="36"/>
      <c r="P165" s="36"/>
      <c r="Q165" s="36"/>
      <c r="R165" s="36"/>
      <c r="S165" s="36"/>
      <c r="T165" s="36"/>
      <c r="U165" s="36"/>
      <c r="V165" s="36"/>
      <c r="W165" s="36"/>
      <c r="X165" s="36"/>
      <c r="Y165" s="36"/>
      <c r="Z165" s="36"/>
      <c r="AA165" s="36"/>
      <c r="AB165" s="36"/>
    </row>
    <row r="166" spans="1:28" ht="72" hidden="1" customHeight="1">
      <c r="A166" s="67" t="str">
        <f>HYPERLINK("https://www.alcaldiabogota.gov.co/sisjur/normas/Norma1.jsp?i=33486","RESOLUCIÓN 305")</f>
        <v>RESOLUCIÓN 305</v>
      </c>
      <c r="B166" s="64">
        <v>2008</v>
      </c>
      <c r="C166" s="32" t="s">
        <v>603</v>
      </c>
      <c r="D166" s="33" t="s">
        <v>604</v>
      </c>
      <c r="E166" s="32" t="s">
        <v>41</v>
      </c>
      <c r="F166" s="32" t="s">
        <v>97</v>
      </c>
      <c r="G166" s="116" t="s">
        <v>43</v>
      </c>
      <c r="H166" s="117" t="s">
        <v>240</v>
      </c>
      <c r="I166" s="35"/>
      <c r="J166" s="36"/>
      <c r="K166" s="36"/>
      <c r="L166" s="36"/>
      <c r="M166" s="36"/>
      <c r="N166" s="36"/>
      <c r="O166" s="36"/>
      <c r="P166" s="36"/>
      <c r="Q166" s="36"/>
      <c r="R166" s="36"/>
      <c r="S166" s="36"/>
      <c r="T166" s="36"/>
      <c r="U166" s="36"/>
      <c r="V166" s="36"/>
      <c r="W166" s="36"/>
      <c r="X166" s="36"/>
      <c r="Y166" s="36"/>
      <c r="Z166" s="36"/>
      <c r="AA166" s="36"/>
      <c r="AB166" s="36"/>
    </row>
    <row r="167" spans="1:28" ht="24" hidden="1" customHeight="1">
      <c r="A167" s="67" t="str">
        <f>HYPERLINK("https://www.alcaldiabogota.gov.co/sisjur/normas/Norma1.jsp?i=52081#0","LEY 1618")</f>
        <v>LEY 1618</v>
      </c>
      <c r="B167" s="32">
        <v>2013</v>
      </c>
      <c r="C167" s="32" t="s">
        <v>507</v>
      </c>
      <c r="D167" s="33" t="s">
        <v>508</v>
      </c>
      <c r="E167" s="32" t="s">
        <v>41</v>
      </c>
      <c r="F167" s="32" t="s">
        <v>97</v>
      </c>
      <c r="G167" s="116" t="s">
        <v>43</v>
      </c>
      <c r="H167" s="117" t="s">
        <v>240</v>
      </c>
      <c r="I167" s="35"/>
      <c r="J167" s="36"/>
      <c r="K167" s="36"/>
      <c r="L167" s="36"/>
      <c r="M167" s="36"/>
      <c r="N167" s="36"/>
      <c r="O167" s="36"/>
      <c r="P167" s="36"/>
      <c r="Q167" s="36"/>
      <c r="R167" s="36"/>
      <c r="S167" s="36"/>
      <c r="T167" s="36"/>
      <c r="U167" s="36"/>
      <c r="V167" s="36"/>
      <c r="W167" s="36"/>
      <c r="X167" s="36"/>
      <c r="Y167" s="36"/>
      <c r="Z167" s="36"/>
      <c r="AA167" s="36"/>
      <c r="AB167" s="36"/>
    </row>
    <row r="168" spans="1:28" ht="36" hidden="1" customHeight="1">
      <c r="A168" s="67" t="str">
        <f>HYPERLINK("https://www.alcaldiabogota.gov.co/sisjur/normas/Norma1.jsp?i=73590","LEY 1882")</f>
        <v>LEY 1882</v>
      </c>
      <c r="B168" s="64">
        <v>2018</v>
      </c>
      <c r="C168" s="32" t="s">
        <v>39</v>
      </c>
      <c r="D168" s="33" t="s">
        <v>308</v>
      </c>
      <c r="E168" s="32" t="s">
        <v>41</v>
      </c>
      <c r="F168" s="32" t="s">
        <v>42</v>
      </c>
      <c r="G168" s="116" t="s">
        <v>43</v>
      </c>
      <c r="H168" s="117" t="s">
        <v>240</v>
      </c>
      <c r="I168" s="35"/>
      <c r="J168" s="36"/>
      <c r="K168" s="36"/>
      <c r="L168" s="36"/>
      <c r="M168" s="36"/>
      <c r="N168" s="36"/>
      <c r="O168" s="36"/>
      <c r="P168" s="36"/>
      <c r="Q168" s="36"/>
      <c r="R168" s="36"/>
      <c r="S168" s="36"/>
      <c r="T168" s="36"/>
      <c r="U168" s="36"/>
      <c r="V168" s="36"/>
      <c r="W168" s="36"/>
      <c r="X168" s="36"/>
      <c r="Y168" s="36"/>
      <c r="Z168" s="36"/>
      <c r="AA168" s="36"/>
      <c r="AB168" s="36"/>
    </row>
    <row r="169" spans="1:28" ht="29.25" hidden="1" customHeight="1">
      <c r="A169" s="67" t="str">
        <f>HYPERLINK("https://www.alcaldiabogota.gov.co/sisjur/normas/Norma1.jsp?i=10570","LEY  850")</f>
        <v>LEY  850</v>
      </c>
      <c r="B169" s="64">
        <v>2003</v>
      </c>
      <c r="C169" s="32" t="s">
        <v>39</v>
      </c>
      <c r="D169" s="33" t="s">
        <v>49</v>
      </c>
      <c r="E169" s="32" t="s">
        <v>41</v>
      </c>
      <c r="F169" s="32" t="s">
        <v>42</v>
      </c>
      <c r="G169" s="116" t="s">
        <v>43</v>
      </c>
      <c r="H169" s="117" t="s">
        <v>240</v>
      </c>
      <c r="I169" s="35"/>
      <c r="J169" s="36"/>
      <c r="K169" s="36"/>
      <c r="L169" s="36"/>
      <c r="M169" s="36"/>
      <c r="N169" s="36"/>
      <c r="O169" s="36"/>
      <c r="P169" s="36"/>
      <c r="Q169" s="36"/>
      <c r="R169" s="36"/>
      <c r="S169" s="36"/>
      <c r="T169" s="36"/>
      <c r="U169" s="36"/>
      <c r="V169" s="36"/>
      <c r="W169" s="36"/>
      <c r="X169" s="36"/>
      <c r="Y169" s="36"/>
      <c r="Z169" s="36"/>
      <c r="AA169" s="36"/>
      <c r="AB169" s="36"/>
    </row>
    <row r="170" spans="1:28" ht="60" hidden="1" customHeight="1">
      <c r="A170" s="67" t="str">
        <f>HYPERLINK("https://www.alcaldiabogota.gov.co/sisjur/normas/Norma1.jsp?i=34492","Ley 1273")</f>
        <v>Ley 1273</v>
      </c>
      <c r="B170" s="32">
        <v>2009</v>
      </c>
      <c r="C170" s="32" t="s">
        <v>39</v>
      </c>
      <c r="D170" s="33" t="s">
        <v>505</v>
      </c>
      <c r="E170" s="64" t="s">
        <v>41</v>
      </c>
      <c r="F170" s="32" t="s">
        <v>97</v>
      </c>
      <c r="G170" s="116" t="s">
        <v>43</v>
      </c>
      <c r="H170" s="150" t="s">
        <v>240</v>
      </c>
      <c r="I170" s="35"/>
      <c r="J170" s="36"/>
      <c r="K170" s="36"/>
      <c r="L170" s="36"/>
      <c r="M170" s="36"/>
      <c r="N170" s="36"/>
      <c r="O170" s="36"/>
      <c r="P170" s="36"/>
      <c r="Q170" s="36"/>
      <c r="R170" s="36"/>
      <c r="S170" s="36"/>
      <c r="T170" s="36"/>
      <c r="U170" s="36"/>
      <c r="V170" s="36"/>
      <c r="W170" s="36"/>
      <c r="X170" s="36"/>
      <c r="Y170" s="36"/>
      <c r="Z170" s="36"/>
      <c r="AA170" s="36"/>
      <c r="AB170" s="36"/>
    </row>
    <row r="171" spans="1:28" ht="24" customHeight="1">
      <c r="A171" s="49" t="str">
        <f>HYPERLINK("https://www.alcaldiabogota.gov.co/sisjur/normas/Norma1.jsp?i=4125","CONSTITUCIÓN POLÍTICA DE COLOMBIA ")</f>
        <v xml:space="preserve">CONSTITUCIÓN POLÍTICA DE COLOMBIA </v>
      </c>
      <c r="B171" s="31">
        <v>33423</v>
      </c>
      <c r="C171" s="32" t="s">
        <v>405</v>
      </c>
      <c r="D171" s="39" t="s">
        <v>605</v>
      </c>
      <c r="E171" s="32" t="s">
        <v>41</v>
      </c>
      <c r="F171" s="32" t="s">
        <v>42</v>
      </c>
      <c r="G171" s="116" t="s">
        <v>43</v>
      </c>
      <c r="H171" s="117" t="s">
        <v>408</v>
      </c>
      <c r="I171" s="74"/>
      <c r="J171" s="36"/>
      <c r="K171" s="36"/>
      <c r="L171" s="36"/>
      <c r="M171" s="36"/>
      <c r="N171" s="36"/>
      <c r="O171" s="36"/>
      <c r="P171" s="36"/>
      <c r="Q171" s="36"/>
      <c r="R171" s="36"/>
      <c r="S171" s="36"/>
      <c r="T171" s="36"/>
      <c r="U171" s="36"/>
      <c r="V171" s="36"/>
      <c r="W171" s="36"/>
      <c r="X171" s="36"/>
      <c r="Y171" s="36"/>
      <c r="Z171" s="36"/>
      <c r="AA171" s="36"/>
      <c r="AB171" s="36"/>
    </row>
    <row r="172" spans="1:28" ht="24" customHeight="1">
      <c r="A172" s="37" t="s">
        <v>606</v>
      </c>
      <c r="B172" s="31">
        <v>43726</v>
      </c>
      <c r="C172" s="40" t="s">
        <v>39</v>
      </c>
      <c r="D172" s="39" t="s">
        <v>607</v>
      </c>
      <c r="E172" s="40" t="s">
        <v>41</v>
      </c>
      <c r="F172" s="40" t="s">
        <v>42</v>
      </c>
      <c r="G172" s="116"/>
      <c r="H172" s="117"/>
      <c r="I172" s="74"/>
      <c r="J172" s="36"/>
      <c r="K172" s="36"/>
      <c r="L172" s="36"/>
      <c r="M172" s="36"/>
      <c r="N172" s="36"/>
      <c r="O172" s="36"/>
      <c r="P172" s="36"/>
      <c r="Q172" s="36"/>
      <c r="R172" s="36"/>
      <c r="S172" s="36"/>
      <c r="T172" s="36"/>
      <c r="U172" s="36"/>
      <c r="V172" s="36"/>
      <c r="W172" s="36"/>
      <c r="X172" s="36"/>
      <c r="Y172" s="36"/>
      <c r="Z172" s="36"/>
      <c r="AA172" s="36"/>
      <c r="AB172" s="36"/>
    </row>
    <row r="173" spans="1:28" ht="24" customHeight="1">
      <c r="A173" s="49" t="str">
        <f>HYPERLINK("https://www.alcaldiabogota.gov.co/sisjur/normas/Norma1.jsp?i=304","LEY 80")</f>
        <v>LEY 80</v>
      </c>
      <c r="B173" s="38">
        <v>34270</v>
      </c>
      <c r="C173" s="142" t="s">
        <v>39</v>
      </c>
      <c r="D173" s="33" t="s">
        <v>246</v>
      </c>
      <c r="E173" s="32" t="s">
        <v>41</v>
      </c>
      <c r="F173" s="32" t="s">
        <v>42</v>
      </c>
      <c r="G173" s="116" t="s">
        <v>43</v>
      </c>
      <c r="H173" s="117" t="s">
        <v>408</v>
      </c>
      <c r="I173" s="74"/>
      <c r="J173" s="36"/>
      <c r="K173" s="36"/>
      <c r="L173" s="36"/>
      <c r="M173" s="36"/>
      <c r="N173" s="36"/>
      <c r="O173" s="36"/>
      <c r="P173" s="36"/>
      <c r="Q173" s="36"/>
      <c r="R173" s="36"/>
      <c r="S173" s="36"/>
      <c r="T173" s="36"/>
      <c r="U173" s="36"/>
      <c r="V173" s="36"/>
      <c r="W173" s="36"/>
      <c r="X173" s="36"/>
      <c r="Y173" s="36"/>
      <c r="Z173" s="36"/>
      <c r="AA173" s="36"/>
      <c r="AB173" s="36"/>
    </row>
    <row r="174" spans="1:28" ht="24" customHeight="1">
      <c r="A174" s="49" t="str">
        <f>HYPERLINK("https://www.alcaldiabogota.gov.co/sisjur/normas/Norma1.jsp?i=300","LEY 87")</f>
        <v>LEY 87</v>
      </c>
      <c r="B174" s="38">
        <v>34302</v>
      </c>
      <c r="C174" s="142" t="s">
        <v>39</v>
      </c>
      <c r="D174" s="33" t="s">
        <v>466</v>
      </c>
      <c r="E174" s="32" t="s">
        <v>41</v>
      </c>
      <c r="F174" s="32" t="s">
        <v>42</v>
      </c>
      <c r="G174" s="116" t="s">
        <v>43</v>
      </c>
      <c r="H174" s="117" t="s">
        <v>410</v>
      </c>
      <c r="I174" s="74"/>
      <c r="J174" s="36"/>
      <c r="K174" s="36"/>
      <c r="L174" s="36"/>
      <c r="M174" s="36"/>
      <c r="N174" s="36"/>
      <c r="O174" s="36"/>
      <c r="P174" s="36"/>
      <c r="Q174" s="36"/>
      <c r="R174" s="36"/>
      <c r="S174" s="36"/>
      <c r="T174" s="36"/>
      <c r="U174" s="36"/>
      <c r="V174" s="36"/>
      <c r="W174" s="36"/>
      <c r="X174" s="36"/>
      <c r="Y174" s="36"/>
      <c r="Z174" s="36"/>
      <c r="AA174" s="36"/>
      <c r="AB174" s="36"/>
    </row>
    <row r="175" spans="1:28" ht="24" customHeight="1">
      <c r="A175" s="151" t="s">
        <v>608</v>
      </c>
      <c r="B175" s="31">
        <v>34487</v>
      </c>
      <c r="C175" s="123" t="s">
        <v>255</v>
      </c>
      <c r="D175" s="39" t="s">
        <v>609</v>
      </c>
      <c r="E175" s="40" t="s">
        <v>610</v>
      </c>
      <c r="F175" s="40" t="s">
        <v>611</v>
      </c>
      <c r="G175" s="116"/>
      <c r="H175" s="117"/>
      <c r="I175" s="74"/>
      <c r="J175" s="36"/>
      <c r="K175" s="36"/>
      <c r="L175" s="36"/>
      <c r="M175" s="36"/>
      <c r="N175" s="36"/>
      <c r="O175" s="36"/>
      <c r="P175" s="36"/>
      <c r="Q175" s="36"/>
      <c r="R175" s="36"/>
      <c r="S175" s="36"/>
      <c r="T175" s="36"/>
      <c r="U175" s="36"/>
      <c r="V175" s="36"/>
      <c r="W175" s="36"/>
      <c r="X175" s="36"/>
      <c r="Y175" s="36"/>
      <c r="Z175" s="36"/>
      <c r="AA175" s="36"/>
      <c r="AB175" s="36"/>
    </row>
    <row r="176" spans="1:28" ht="36" customHeight="1">
      <c r="A176" s="49" t="str">
        <f>HYPERLINK("https://www.alcaldiabogota.gov.co/sisjur/normas/Norma1.jsp?i=321","LEY 190")</f>
        <v>LEY 190</v>
      </c>
      <c r="B176" s="31">
        <v>34856</v>
      </c>
      <c r="C176" s="142" t="s">
        <v>39</v>
      </c>
      <c r="D176" s="33" t="s">
        <v>409</v>
      </c>
      <c r="E176" s="32" t="s">
        <v>41</v>
      </c>
      <c r="F176" s="32" t="s">
        <v>42</v>
      </c>
      <c r="G176" s="116" t="s">
        <v>43</v>
      </c>
      <c r="H176" s="117" t="s">
        <v>408</v>
      </c>
      <c r="I176" s="74"/>
      <c r="J176" s="36"/>
      <c r="K176" s="36"/>
      <c r="L176" s="36"/>
      <c r="M176" s="36"/>
      <c r="N176" s="36"/>
      <c r="O176" s="36"/>
      <c r="P176" s="36"/>
      <c r="Q176" s="36"/>
      <c r="R176" s="36"/>
      <c r="S176" s="36"/>
      <c r="T176" s="36"/>
      <c r="U176" s="36"/>
      <c r="V176" s="36"/>
      <c r="W176" s="36"/>
      <c r="X176" s="36"/>
      <c r="Y176" s="36"/>
      <c r="Z176" s="36"/>
      <c r="AA176" s="36"/>
      <c r="AB176" s="36"/>
    </row>
    <row r="177" spans="1:28" ht="48" customHeight="1">
      <c r="A177" s="49" t="str">
        <f>HYPERLINK("https://www.alcaldiabogota.gov.co/sisjur/normas/Norma1.jsp?i=15071","LEY 298    ")</f>
        <v xml:space="preserve">LEY 298    </v>
      </c>
      <c r="B177" s="31">
        <v>35269</v>
      </c>
      <c r="C177" s="32" t="s">
        <v>39</v>
      </c>
      <c r="D177" s="33" t="s">
        <v>612</v>
      </c>
      <c r="E177" s="32" t="s">
        <v>41</v>
      </c>
      <c r="F177" s="32" t="s">
        <v>42</v>
      </c>
      <c r="G177" s="116" t="s">
        <v>43</v>
      </c>
      <c r="H177" s="117" t="s">
        <v>410</v>
      </c>
      <c r="I177" s="74"/>
      <c r="J177" s="36"/>
      <c r="K177" s="36"/>
      <c r="L177" s="36"/>
      <c r="M177" s="36"/>
      <c r="N177" s="36"/>
      <c r="O177" s="36"/>
      <c r="P177" s="36"/>
      <c r="Q177" s="36"/>
      <c r="R177" s="36"/>
      <c r="S177" s="36"/>
      <c r="T177" s="36"/>
      <c r="U177" s="36"/>
      <c r="V177" s="36"/>
      <c r="W177" s="36"/>
      <c r="X177" s="36"/>
      <c r="Y177" s="36"/>
      <c r="Z177" s="36"/>
      <c r="AA177" s="36"/>
      <c r="AB177" s="36"/>
    </row>
    <row r="178" spans="1:28" ht="48" customHeight="1">
      <c r="A178" s="49" t="str">
        <f>HYPERLINK("https://www.alcaldiabogota.gov.co/sisjur/normas/Norma1.jsp?i=190","LEY 443    ")</f>
        <v xml:space="preserve">LEY 443    </v>
      </c>
      <c r="B178" s="31">
        <v>35957</v>
      </c>
      <c r="C178" s="32" t="s">
        <v>39</v>
      </c>
      <c r="D178" s="33" t="s">
        <v>613</v>
      </c>
      <c r="E178" s="32" t="s">
        <v>614</v>
      </c>
      <c r="F178" s="32" t="s">
        <v>615</v>
      </c>
      <c r="G178" s="116" t="s">
        <v>43</v>
      </c>
      <c r="H178" s="117" t="s">
        <v>410</v>
      </c>
      <c r="I178" s="74"/>
      <c r="J178" s="36"/>
      <c r="K178" s="36"/>
      <c r="L178" s="36"/>
      <c r="M178" s="36"/>
      <c r="N178" s="36"/>
      <c r="O178" s="36"/>
      <c r="P178" s="36"/>
      <c r="Q178" s="36"/>
      <c r="R178" s="36"/>
      <c r="S178" s="36"/>
      <c r="T178" s="36"/>
      <c r="U178" s="36"/>
      <c r="V178" s="36"/>
      <c r="W178" s="36"/>
      <c r="X178" s="36"/>
      <c r="Y178" s="36"/>
      <c r="Z178" s="36"/>
      <c r="AA178" s="36"/>
      <c r="AB178" s="36"/>
    </row>
    <row r="179" spans="1:28" ht="60" customHeight="1">
      <c r="A179" s="49" t="str">
        <f>HYPERLINK("https://www.alcaldiabogota.gov.co/sisjur/normas/Norma1.jsp?i=186","LEY 489")</f>
        <v>LEY 489</v>
      </c>
      <c r="B179" s="38">
        <v>36158</v>
      </c>
      <c r="C179" s="32" t="s">
        <v>39</v>
      </c>
      <c r="D179" s="33" t="s">
        <v>616</v>
      </c>
      <c r="E179" s="32" t="s">
        <v>41</v>
      </c>
      <c r="F179" s="32" t="s">
        <v>42</v>
      </c>
      <c r="G179" s="116" t="s">
        <v>43</v>
      </c>
      <c r="H179" s="117" t="s">
        <v>410</v>
      </c>
      <c r="I179" s="74"/>
      <c r="J179" s="36"/>
      <c r="K179" s="36"/>
      <c r="L179" s="36"/>
      <c r="M179" s="36"/>
      <c r="N179" s="36"/>
      <c r="O179" s="36"/>
      <c r="P179" s="36"/>
      <c r="Q179" s="36"/>
      <c r="R179" s="36"/>
      <c r="S179" s="36"/>
      <c r="T179" s="36"/>
      <c r="U179" s="36"/>
      <c r="V179" s="36"/>
      <c r="W179" s="36"/>
      <c r="X179" s="36"/>
      <c r="Y179" s="36"/>
      <c r="Z179" s="36"/>
      <c r="AA179" s="36"/>
      <c r="AB179" s="36"/>
    </row>
    <row r="180" spans="1:28" ht="60" customHeight="1">
      <c r="A180" s="151" t="s">
        <v>617</v>
      </c>
      <c r="B180" s="31">
        <v>36677</v>
      </c>
      <c r="C180" s="40" t="s">
        <v>255</v>
      </c>
      <c r="D180" s="39" t="s">
        <v>618</v>
      </c>
      <c r="E180" s="40" t="s">
        <v>41</v>
      </c>
      <c r="F180" s="40" t="s">
        <v>42</v>
      </c>
      <c r="G180" s="116"/>
      <c r="H180" s="117"/>
      <c r="I180" s="74"/>
      <c r="J180" s="36"/>
      <c r="K180" s="36"/>
      <c r="L180" s="36"/>
      <c r="M180" s="36"/>
      <c r="N180" s="36"/>
      <c r="O180" s="36"/>
      <c r="P180" s="36"/>
      <c r="Q180" s="36"/>
      <c r="R180" s="36"/>
      <c r="S180" s="36"/>
      <c r="T180" s="36"/>
      <c r="U180" s="36"/>
      <c r="V180" s="36"/>
      <c r="W180" s="36"/>
      <c r="X180" s="36"/>
      <c r="Y180" s="36"/>
      <c r="Z180" s="36"/>
      <c r="AA180" s="36"/>
      <c r="AB180" s="36"/>
    </row>
    <row r="181" spans="1:28" ht="24" customHeight="1">
      <c r="A181" s="49" t="str">
        <f>HYPERLINK("https://www.alcaldiabogota.gov.co/sisjur/normas/Norma1.jsp?i=4589","LEY 734")</f>
        <v>LEY 734</v>
      </c>
      <c r="B181" s="31">
        <v>37292</v>
      </c>
      <c r="C181" s="142" t="s">
        <v>39</v>
      </c>
      <c r="D181" s="33" t="s">
        <v>489</v>
      </c>
      <c r="E181" s="32" t="s">
        <v>41</v>
      </c>
      <c r="F181" s="32" t="s">
        <v>42</v>
      </c>
      <c r="G181" s="116" t="s">
        <v>43</v>
      </c>
      <c r="H181" s="117" t="s">
        <v>408</v>
      </c>
      <c r="I181" s="74"/>
      <c r="J181" s="36"/>
      <c r="K181" s="36"/>
      <c r="L181" s="36"/>
      <c r="M181" s="36"/>
      <c r="N181" s="36"/>
      <c r="O181" s="36"/>
      <c r="P181" s="36"/>
      <c r="Q181" s="36"/>
      <c r="R181" s="36"/>
      <c r="S181" s="36"/>
      <c r="T181" s="36"/>
      <c r="U181" s="36"/>
      <c r="V181" s="36"/>
      <c r="W181" s="36"/>
      <c r="X181" s="36"/>
      <c r="Y181" s="36"/>
      <c r="Z181" s="36"/>
      <c r="AA181" s="36"/>
      <c r="AB181" s="36"/>
    </row>
    <row r="182" spans="1:28" ht="24" customHeight="1">
      <c r="A182" s="48" t="str">
        <f>HYPERLINK("https://www.alcaldiabogota.gov.co/sisjur/normas/Norma1.jsp?i=14311","LEY 901")</f>
        <v>LEY 901</v>
      </c>
      <c r="B182" s="41">
        <v>38194</v>
      </c>
      <c r="C182" s="142" t="s">
        <v>39</v>
      </c>
      <c r="D182" s="39" t="s">
        <v>619</v>
      </c>
      <c r="E182" s="40" t="s">
        <v>620</v>
      </c>
      <c r="F182" s="40" t="s">
        <v>621</v>
      </c>
      <c r="G182" s="116"/>
      <c r="H182" s="117"/>
      <c r="I182" s="74"/>
      <c r="J182" s="36"/>
      <c r="K182" s="36"/>
      <c r="L182" s="36"/>
      <c r="M182" s="36"/>
      <c r="N182" s="36"/>
      <c r="O182" s="36"/>
      <c r="P182" s="36"/>
      <c r="Q182" s="36"/>
      <c r="R182" s="36"/>
      <c r="S182" s="36"/>
      <c r="T182" s="36"/>
      <c r="U182" s="36"/>
      <c r="V182" s="36"/>
      <c r="W182" s="36"/>
      <c r="X182" s="36"/>
      <c r="Y182" s="36"/>
      <c r="Z182" s="36"/>
      <c r="AA182" s="36"/>
      <c r="AB182" s="36"/>
    </row>
    <row r="183" spans="1:28" ht="24" customHeight="1">
      <c r="A183" s="49" t="str">
        <f>HYPERLINK("https://www.alcaldiabogota.gov.co/sisjur/normas/Norma1.jsp?i=14861","LEY 909")</f>
        <v>LEY 909</v>
      </c>
      <c r="B183" s="41">
        <v>38253</v>
      </c>
      <c r="C183" s="142" t="s">
        <v>39</v>
      </c>
      <c r="D183" s="33" t="s">
        <v>622</v>
      </c>
      <c r="E183" s="32" t="s">
        <v>41</v>
      </c>
      <c r="F183" s="32" t="s">
        <v>42</v>
      </c>
      <c r="G183" s="116" t="s">
        <v>43</v>
      </c>
      <c r="H183" s="117" t="s">
        <v>410</v>
      </c>
      <c r="I183" s="74"/>
      <c r="J183" s="36"/>
      <c r="K183" s="36"/>
      <c r="L183" s="36"/>
      <c r="M183" s="36"/>
      <c r="N183" s="36"/>
      <c r="O183" s="36"/>
      <c r="P183" s="36"/>
      <c r="Q183" s="36"/>
      <c r="R183" s="36"/>
      <c r="S183" s="36"/>
      <c r="T183" s="36"/>
      <c r="U183" s="36"/>
      <c r="V183" s="36"/>
      <c r="W183" s="36"/>
      <c r="X183" s="36"/>
      <c r="Y183" s="36"/>
      <c r="Z183" s="36"/>
      <c r="AA183" s="36"/>
      <c r="AB183" s="36"/>
    </row>
    <row r="184" spans="1:28" ht="36" customHeight="1">
      <c r="A184" s="49" t="str">
        <f>HYPERLINK("https://www.alcaldiabogota.gov.co/sisjur/normas/Norma1.jsp?i=17079","LEY 970    ")</f>
        <v xml:space="preserve">LEY 970    </v>
      </c>
      <c r="B184" s="31">
        <v>38546</v>
      </c>
      <c r="C184" s="142" t="s">
        <v>39</v>
      </c>
      <c r="D184" s="33" t="s">
        <v>623</v>
      </c>
      <c r="E184" s="32" t="s">
        <v>41</v>
      </c>
      <c r="F184" s="32" t="s">
        <v>42</v>
      </c>
      <c r="G184" s="116" t="s">
        <v>43</v>
      </c>
      <c r="H184" s="117" t="s">
        <v>410</v>
      </c>
      <c r="I184" s="74"/>
      <c r="J184" s="36"/>
      <c r="K184" s="36"/>
      <c r="L184" s="36"/>
      <c r="M184" s="36"/>
      <c r="N184" s="36"/>
      <c r="O184" s="36"/>
      <c r="P184" s="36"/>
      <c r="Q184" s="36"/>
      <c r="R184" s="36"/>
      <c r="S184" s="36"/>
      <c r="T184" s="36"/>
      <c r="U184" s="36"/>
      <c r="V184" s="36"/>
      <c r="W184" s="36"/>
      <c r="X184" s="36"/>
      <c r="Y184" s="36"/>
      <c r="Z184" s="36"/>
      <c r="AA184" s="36"/>
      <c r="AB184" s="36"/>
    </row>
    <row r="185" spans="1:28" ht="36" customHeight="1">
      <c r="A185" s="37" t="s">
        <v>624</v>
      </c>
      <c r="B185" s="31">
        <v>39645</v>
      </c>
      <c r="C185" s="123" t="s">
        <v>39</v>
      </c>
      <c r="D185" s="152" t="s">
        <v>625</v>
      </c>
      <c r="E185" s="40" t="s">
        <v>41</v>
      </c>
      <c r="F185" s="40" t="s">
        <v>42</v>
      </c>
      <c r="G185" s="116"/>
      <c r="H185" s="117"/>
      <c r="I185" s="74"/>
      <c r="J185" s="36"/>
      <c r="K185" s="36"/>
      <c r="L185" s="36"/>
      <c r="M185" s="36"/>
      <c r="N185" s="36"/>
      <c r="O185" s="36"/>
      <c r="P185" s="36"/>
      <c r="Q185" s="36"/>
      <c r="R185" s="36"/>
      <c r="S185" s="36"/>
      <c r="T185" s="36"/>
      <c r="U185" s="36"/>
      <c r="V185" s="36"/>
      <c r="W185" s="36"/>
      <c r="X185" s="36"/>
      <c r="Y185" s="36"/>
      <c r="Z185" s="36"/>
      <c r="AA185" s="36"/>
      <c r="AB185" s="36"/>
    </row>
    <row r="186" spans="1:28" ht="24" customHeight="1">
      <c r="A186" s="49" t="str">
        <f>HYPERLINK("https://www.alcaldiabogota.gov.co/sisjur/normas/Norma1.jsp?i=41249","LEY 1437")</f>
        <v>LEY 1437</v>
      </c>
      <c r="B186" s="41">
        <v>40561</v>
      </c>
      <c r="C186" s="142" t="s">
        <v>39</v>
      </c>
      <c r="D186" s="33" t="s">
        <v>281</v>
      </c>
      <c r="E186" s="32" t="s">
        <v>41</v>
      </c>
      <c r="F186" s="32" t="s">
        <v>42</v>
      </c>
      <c r="G186" s="116" t="s">
        <v>43</v>
      </c>
      <c r="H186" s="117" t="s">
        <v>408</v>
      </c>
      <c r="I186" s="74"/>
      <c r="J186" s="36"/>
      <c r="K186" s="36"/>
      <c r="L186" s="36"/>
      <c r="M186" s="36"/>
      <c r="N186" s="36"/>
      <c r="O186" s="36"/>
      <c r="P186" s="36"/>
      <c r="Q186" s="36"/>
      <c r="R186" s="36"/>
      <c r="S186" s="36"/>
      <c r="T186" s="36"/>
      <c r="U186" s="36"/>
      <c r="V186" s="36"/>
      <c r="W186" s="36"/>
      <c r="X186" s="36"/>
      <c r="Y186" s="36"/>
      <c r="Z186" s="36"/>
      <c r="AA186" s="36"/>
      <c r="AB186" s="36"/>
    </row>
    <row r="187" spans="1:28" ht="50.25" customHeight="1">
      <c r="A187" s="49" t="str">
        <f>HYPERLINK("https://www.alcaldiabogota.gov.co/sisjur/normas/Norma1.jsp?i=43292","LEY 1474")</f>
        <v>LEY 1474</v>
      </c>
      <c r="B187" s="41">
        <v>40736</v>
      </c>
      <c r="C187" s="142" t="s">
        <v>39</v>
      </c>
      <c r="D187" s="33" t="s">
        <v>54</v>
      </c>
      <c r="E187" s="40" t="s">
        <v>626</v>
      </c>
      <c r="F187" s="32" t="s">
        <v>627</v>
      </c>
      <c r="G187" s="116" t="s">
        <v>43</v>
      </c>
      <c r="H187" s="117" t="s">
        <v>408</v>
      </c>
      <c r="I187" s="74"/>
      <c r="J187" s="36"/>
      <c r="K187" s="36"/>
      <c r="L187" s="36"/>
      <c r="M187" s="36"/>
      <c r="N187" s="36"/>
      <c r="O187" s="36"/>
      <c r="P187" s="36"/>
      <c r="Q187" s="36"/>
      <c r="R187" s="36"/>
      <c r="S187" s="36"/>
      <c r="T187" s="36"/>
      <c r="U187" s="36"/>
      <c r="V187" s="36"/>
      <c r="W187" s="36"/>
      <c r="X187" s="36"/>
      <c r="Y187" s="36"/>
      <c r="Z187" s="36"/>
      <c r="AA187" s="36"/>
      <c r="AB187" s="36"/>
    </row>
    <row r="188" spans="1:28" ht="31.5" customHeight="1">
      <c r="A188" s="49" t="str">
        <f>HYPERLINK("https://www.alcaldiabogota.gov.co/sisjur/normas/Norma1.jsp?i=56882","LEY 1712")</f>
        <v>LEY 1712</v>
      </c>
      <c r="B188" s="31">
        <v>41704</v>
      </c>
      <c r="C188" s="142" t="s">
        <v>39</v>
      </c>
      <c r="D188" s="33" t="s">
        <v>628</v>
      </c>
      <c r="E188" s="32" t="s">
        <v>41</v>
      </c>
      <c r="F188" s="32" t="s">
        <v>42</v>
      </c>
      <c r="G188" s="116" t="s">
        <v>43</v>
      </c>
      <c r="H188" s="117" t="s">
        <v>410</v>
      </c>
      <c r="I188" s="74"/>
      <c r="J188" s="36"/>
      <c r="K188" s="36"/>
      <c r="L188" s="36"/>
      <c r="M188" s="36"/>
      <c r="N188" s="36"/>
      <c r="O188" s="36"/>
      <c r="P188" s="36"/>
      <c r="Q188" s="36"/>
      <c r="R188" s="36"/>
      <c r="S188" s="36"/>
      <c r="T188" s="36"/>
      <c r="U188" s="36"/>
      <c r="V188" s="36"/>
      <c r="W188" s="36"/>
      <c r="X188" s="36"/>
      <c r="Y188" s="36"/>
      <c r="Z188" s="36"/>
      <c r="AA188" s="36"/>
      <c r="AB188" s="36"/>
    </row>
    <row r="189" spans="1:28" ht="36" customHeight="1">
      <c r="A189" s="49" t="str">
        <f>HYPERLINK("https://www.alcaldiabogota.gov.co/sisjur/normas/Norma1.jsp?i=62152","LEY 1755    ")</f>
        <v xml:space="preserve">LEY 1755    </v>
      </c>
      <c r="B189" s="31">
        <v>42185</v>
      </c>
      <c r="C189" s="32" t="s">
        <v>39</v>
      </c>
      <c r="D189" s="33" t="s">
        <v>417</v>
      </c>
      <c r="E189" s="32" t="s">
        <v>41</v>
      </c>
      <c r="F189" s="40" t="s">
        <v>42</v>
      </c>
      <c r="G189" s="116" t="s">
        <v>43</v>
      </c>
      <c r="H189" s="117" t="s">
        <v>408</v>
      </c>
      <c r="I189" s="74"/>
      <c r="J189" s="36"/>
      <c r="K189" s="36"/>
      <c r="L189" s="36"/>
      <c r="M189" s="36"/>
      <c r="N189" s="36"/>
      <c r="O189" s="36"/>
      <c r="P189" s="36"/>
      <c r="Q189" s="36"/>
      <c r="R189" s="36"/>
      <c r="S189" s="36"/>
      <c r="T189" s="36"/>
      <c r="U189" s="36"/>
      <c r="V189" s="36"/>
      <c r="W189" s="36"/>
      <c r="X189" s="36"/>
      <c r="Y189" s="36"/>
      <c r="Z189" s="36"/>
      <c r="AA189" s="36"/>
      <c r="AB189" s="36"/>
    </row>
    <row r="190" spans="1:28" ht="36" customHeight="1">
      <c r="A190" s="37" t="s">
        <v>378</v>
      </c>
      <c r="B190" s="31">
        <v>44406</v>
      </c>
      <c r="C190" s="40" t="s">
        <v>39</v>
      </c>
      <c r="D190" s="153" t="s">
        <v>629</v>
      </c>
      <c r="E190" s="40" t="s">
        <v>41</v>
      </c>
      <c r="F190" s="40" t="s">
        <v>42</v>
      </c>
      <c r="G190" s="116"/>
      <c r="H190" s="117"/>
      <c r="I190" s="74"/>
      <c r="J190" s="36"/>
      <c r="K190" s="36"/>
      <c r="L190" s="36"/>
      <c r="M190" s="36"/>
      <c r="N190" s="36"/>
      <c r="O190" s="36"/>
      <c r="P190" s="36"/>
      <c r="Q190" s="36"/>
      <c r="R190" s="36"/>
      <c r="S190" s="36"/>
      <c r="T190" s="36"/>
      <c r="U190" s="36"/>
      <c r="V190" s="36"/>
      <c r="W190" s="36"/>
      <c r="X190" s="36"/>
      <c r="Y190" s="36"/>
      <c r="Z190" s="36"/>
      <c r="AA190" s="36"/>
      <c r="AB190" s="36"/>
    </row>
    <row r="191" spans="1:28" ht="36" customHeight="1">
      <c r="A191" s="37" t="s">
        <v>630</v>
      </c>
      <c r="B191" s="31">
        <v>44579</v>
      </c>
      <c r="C191" s="40" t="s">
        <v>39</v>
      </c>
      <c r="D191" s="154" t="s">
        <v>631</v>
      </c>
      <c r="E191" s="40" t="s">
        <v>41</v>
      </c>
      <c r="F191" s="40" t="s">
        <v>42</v>
      </c>
      <c r="G191" s="116"/>
      <c r="H191" s="117"/>
      <c r="I191" s="74"/>
      <c r="J191" s="36"/>
      <c r="K191" s="36"/>
      <c r="L191" s="36"/>
      <c r="M191" s="36"/>
      <c r="N191" s="36"/>
      <c r="O191" s="36"/>
      <c r="P191" s="36"/>
      <c r="Q191" s="36"/>
      <c r="R191" s="36"/>
      <c r="S191" s="36"/>
      <c r="T191" s="36"/>
      <c r="U191" s="36"/>
      <c r="V191" s="36"/>
      <c r="W191" s="36"/>
      <c r="X191" s="36"/>
      <c r="Y191" s="36"/>
      <c r="Z191" s="36"/>
      <c r="AA191" s="36"/>
      <c r="AB191" s="36"/>
    </row>
    <row r="192" spans="1:28" ht="48" customHeight="1">
      <c r="A192" s="49" t="str">
        <f>HYPERLINK("https://www.alcaldiabogota.gov.co/sisjur/normas/Norma1.jsp?i=1304","DECRETO 1737")</f>
        <v>DECRETO 1737</v>
      </c>
      <c r="B192" s="31">
        <v>36028</v>
      </c>
      <c r="C192" s="142" t="s">
        <v>57</v>
      </c>
      <c r="D192" s="33" t="s">
        <v>632</v>
      </c>
      <c r="E192" s="32" t="s">
        <v>41</v>
      </c>
      <c r="F192" s="32" t="s">
        <v>42</v>
      </c>
      <c r="G192" s="116" t="s">
        <v>43</v>
      </c>
      <c r="H192" s="117" t="s">
        <v>410</v>
      </c>
      <c r="I192" s="74"/>
      <c r="J192" s="36"/>
      <c r="K192" s="36"/>
      <c r="L192" s="36"/>
      <c r="M192" s="36"/>
      <c r="N192" s="36"/>
      <c r="O192" s="36"/>
      <c r="P192" s="36"/>
      <c r="Q192" s="36"/>
      <c r="R192" s="36"/>
      <c r="S192" s="36"/>
      <c r="T192" s="36"/>
      <c r="U192" s="36"/>
      <c r="V192" s="36"/>
      <c r="W192" s="36"/>
      <c r="X192" s="36"/>
      <c r="Y192" s="36"/>
      <c r="Z192" s="36"/>
      <c r="AA192" s="36"/>
      <c r="AB192" s="36"/>
    </row>
    <row r="193" spans="1:28" ht="24" customHeight="1">
      <c r="A193" s="49" t="str">
        <f>HYPERLINK("https://www.alcaldiabogota.gov.co/sisjur/normas/Norma1.jsp?i=1535","DECRETO 2209")</f>
        <v>DECRETO 2209</v>
      </c>
      <c r="B193" s="38">
        <v>36097</v>
      </c>
      <c r="C193" s="142" t="s">
        <v>57</v>
      </c>
      <c r="D193" s="33" t="s">
        <v>633</v>
      </c>
      <c r="E193" s="32" t="s">
        <v>41</v>
      </c>
      <c r="F193" s="32" t="s">
        <v>42</v>
      </c>
      <c r="G193" s="116" t="s">
        <v>43</v>
      </c>
      <c r="H193" s="117" t="s">
        <v>410</v>
      </c>
      <c r="I193" s="74"/>
      <c r="J193" s="36"/>
      <c r="K193" s="36"/>
      <c r="L193" s="36"/>
      <c r="M193" s="36"/>
      <c r="N193" s="36"/>
      <c r="O193" s="36"/>
      <c r="P193" s="36"/>
      <c r="Q193" s="36"/>
      <c r="R193" s="36"/>
      <c r="S193" s="36"/>
      <c r="T193" s="36"/>
      <c r="U193" s="36"/>
      <c r="V193" s="36"/>
      <c r="W193" s="36"/>
      <c r="X193" s="36"/>
      <c r="Y193" s="36"/>
      <c r="Z193" s="36"/>
      <c r="AA193" s="36"/>
      <c r="AB193" s="36"/>
    </row>
    <row r="194" spans="1:28" ht="24" customHeight="1">
      <c r="A194" s="49" t="str">
        <f>HYPERLINK("https://www.alcaldiabogota.gov.co/sisjur/normas/Norma1.jsp?i=22041","DECRETO 2445")</f>
        <v>DECRETO 2445</v>
      </c>
      <c r="B194" s="38">
        <v>36853</v>
      </c>
      <c r="C194" s="142" t="s">
        <v>57</v>
      </c>
      <c r="D194" s="33" t="s">
        <v>634</v>
      </c>
      <c r="E194" s="32" t="s">
        <v>41</v>
      </c>
      <c r="F194" s="32" t="s">
        <v>42</v>
      </c>
      <c r="G194" s="116" t="s">
        <v>43</v>
      </c>
      <c r="H194" s="117" t="s">
        <v>410</v>
      </c>
      <c r="I194" s="74"/>
      <c r="J194" s="36"/>
      <c r="K194" s="36"/>
      <c r="L194" s="36"/>
      <c r="M194" s="36"/>
      <c r="N194" s="36"/>
      <c r="O194" s="36"/>
      <c r="P194" s="36"/>
      <c r="Q194" s="36"/>
      <c r="R194" s="36"/>
      <c r="S194" s="36"/>
      <c r="T194" s="36"/>
      <c r="U194" s="36"/>
      <c r="V194" s="36"/>
      <c r="W194" s="36"/>
      <c r="X194" s="36"/>
      <c r="Y194" s="36"/>
      <c r="Z194" s="36"/>
      <c r="AA194" s="36"/>
      <c r="AB194" s="36"/>
    </row>
    <row r="195" spans="1:28" ht="24" customHeight="1">
      <c r="A195" s="49" t="str">
        <f>HYPERLINK("https://www.alcaldiabogota.gov.co/sisjur/normas/Norma1.jsp?i=6127","DECRETO 2465")</f>
        <v>DECRETO 2465</v>
      </c>
      <c r="B195" s="38">
        <v>36857</v>
      </c>
      <c r="C195" s="142" t="s">
        <v>57</v>
      </c>
      <c r="D195" s="33" t="s">
        <v>635</v>
      </c>
      <c r="E195" s="32" t="s">
        <v>41</v>
      </c>
      <c r="F195" s="32" t="s">
        <v>42</v>
      </c>
      <c r="G195" s="116" t="s">
        <v>43</v>
      </c>
      <c r="H195" s="117" t="s">
        <v>410</v>
      </c>
      <c r="I195" s="74"/>
      <c r="J195" s="36"/>
      <c r="K195" s="36"/>
      <c r="L195" s="36"/>
      <c r="M195" s="36"/>
      <c r="N195" s="36"/>
      <c r="O195" s="36"/>
      <c r="P195" s="36"/>
      <c r="Q195" s="36"/>
      <c r="R195" s="36"/>
      <c r="S195" s="36"/>
      <c r="T195" s="36"/>
      <c r="U195" s="36"/>
      <c r="V195" s="36"/>
      <c r="W195" s="36"/>
      <c r="X195" s="36"/>
      <c r="Y195" s="36"/>
      <c r="Z195" s="36"/>
      <c r="AA195" s="36"/>
      <c r="AB195" s="36"/>
    </row>
    <row r="196" spans="1:28" ht="24" customHeight="1">
      <c r="A196" s="49" t="str">
        <f>HYPERLINK("https://www.alcaldiabogota.gov.co/sisjur/normas/Norma1.jsp?i=4558#1","DECRETO 2539    ")</f>
        <v xml:space="preserve">DECRETO 2539    </v>
      </c>
      <c r="B196" s="31">
        <v>36864</v>
      </c>
      <c r="C196" s="32" t="s">
        <v>57</v>
      </c>
      <c r="D196" s="33" t="s">
        <v>636</v>
      </c>
      <c r="E196" s="32" t="s">
        <v>41</v>
      </c>
      <c r="F196" s="32" t="s">
        <v>42</v>
      </c>
      <c r="G196" s="116" t="s">
        <v>43</v>
      </c>
      <c r="H196" s="117" t="s">
        <v>410</v>
      </c>
      <c r="I196" s="74"/>
      <c r="J196" s="36"/>
      <c r="K196" s="36"/>
      <c r="L196" s="36"/>
      <c r="M196" s="36"/>
      <c r="N196" s="36"/>
      <c r="O196" s="36"/>
      <c r="P196" s="36"/>
      <c r="Q196" s="36"/>
      <c r="R196" s="36"/>
      <c r="S196" s="36"/>
      <c r="T196" s="36"/>
      <c r="U196" s="36"/>
      <c r="V196" s="36"/>
      <c r="W196" s="36"/>
      <c r="X196" s="36"/>
      <c r="Y196" s="36"/>
      <c r="Z196" s="36"/>
      <c r="AA196" s="36"/>
      <c r="AB196" s="36"/>
    </row>
    <row r="197" spans="1:28" ht="24" customHeight="1">
      <c r="A197" s="48" t="str">
        <f>HYPERLINK("https://www.alcaldiabogota.gov.co/sisjur/normas/Norma1.jsp?i=5324","DECRETO 1537    ")</f>
        <v xml:space="preserve">DECRETO 1537    </v>
      </c>
      <c r="B197" s="31">
        <v>37098</v>
      </c>
      <c r="C197" s="40" t="s">
        <v>637</v>
      </c>
      <c r="D197" s="39" t="s">
        <v>638</v>
      </c>
      <c r="E197" s="40" t="s">
        <v>41</v>
      </c>
      <c r="F197" s="40" t="s">
        <v>42</v>
      </c>
      <c r="G197" s="116"/>
      <c r="H197" s="117"/>
      <c r="I197" s="74"/>
      <c r="J197" s="36"/>
      <c r="K197" s="36"/>
      <c r="L197" s="36"/>
      <c r="M197" s="36"/>
      <c r="N197" s="36"/>
      <c r="O197" s="36"/>
      <c r="P197" s="36"/>
      <c r="Q197" s="36"/>
      <c r="R197" s="36"/>
      <c r="S197" s="36"/>
      <c r="T197" s="36"/>
      <c r="U197" s="36"/>
      <c r="V197" s="36"/>
      <c r="W197" s="36"/>
      <c r="X197" s="36"/>
      <c r="Y197" s="36"/>
      <c r="Z197" s="36"/>
      <c r="AA197" s="36"/>
      <c r="AB197" s="36"/>
    </row>
    <row r="198" spans="1:28" ht="24" customHeight="1">
      <c r="A198" s="49" t="str">
        <f>HYPERLINK("https://www.alcaldiabogota.gov.co/sisjur/normas/Norma1.jsp?i=8663","DECRETO 2672")</f>
        <v>DECRETO 2672</v>
      </c>
      <c r="B198" s="38">
        <v>37236</v>
      </c>
      <c r="C198" s="142" t="s">
        <v>57</v>
      </c>
      <c r="D198" s="33" t="s">
        <v>639</v>
      </c>
      <c r="E198" s="32" t="s">
        <v>41</v>
      </c>
      <c r="F198" s="32" t="s">
        <v>42</v>
      </c>
      <c r="G198" s="116" t="s">
        <v>43</v>
      </c>
      <c r="H198" s="117" t="s">
        <v>410</v>
      </c>
      <c r="I198" s="74"/>
      <c r="J198" s="36"/>
      <c r="K198" s="36"/>
      <c r="L198" s="36"/>
      <c r="M198" s="36"/>
      <c r="N198" s="36"/>
      <c r="O198" s="36"/>
      <c r="P198" s="36"/>
      <c r="Q198" s="36"/>
      <c r="R198" s="36"/>
      <c r="S198" s="36"/>
      <c r="T198" s="36"/>
      <c r="U198" s="36"/>
      <c r="V198" s="36"/>
      <c r="W198" s="36"/>
      <c r="X198" s="36"/>
      <c r="Y198" s="36"/>
      <c r="Z198" s="36"/>
      <c r="AA198" s="36"/>
      <c r="AB198" s="36"/>
    </row>
    <row r="199" spans="1:28" ht="24" customHeight="1">
      <c r="A199" s="49" t="str">
        <f>HYPERLINK("https://www.alcaldiabogota.gov.co/sisjur/normas/Norma1.jsp?i=49240","DECRETO 2785")</f>
        <v>DECRETO 2785</v>
      </c>
      <c r="B199" s="31">
        <v>40759</v>
      </c>
      <c r="C199" s="142" t="s">
        <v>57</v>
      </c>
      <c r="D199" s="33" t="s">
        <v>640</v>
      </c>
      <c r="E199" s="32" t="s">
        <v>41</v>
      </c>
      <c r="F199" s="32" t="s">
        <v>42</v>
      </c>
      <c r="G199" s="116" t="s">
        <v>43</v>
      </c>
      <c r="H199" s="117" t="s">
        <v>410</v>
      </c>
      <c r="I199" s="74"/>
      <c r="J199" s="36"/>
      <c r="K199" s="36"/>
      <c r="L199" s="36"/>
      <c r="M199" s="36"/>
      <c r="N199" s="36"/>
      <c r="O199" s="36"/>
      <c r="P199" s="36"/>
      <c r="Q199" s="36"/>
      <c r="R199" s="36"/>
      <c r="S199" s="36"/>
      <c r="T199" s="36"/>
      <c r="U199" s="36"/>
      <c r="V199" s="36"/>
      <c r="W199" s="36"/>
      <c r="X199" s="36"/>
      <c r="Y199" s="36"/>
      <c r="Z199" s="36"/>
      <c r="AA199" s="36"/>
      <c r="AB199" s="36"/>
    </row>
    <row r="200" spans="1:28" ht="24" customHeight="1">
      <c r="A200" s="49" t="str">
        <f>HYPERLINK("https://www.alcaldiabogota.gov.co/sisjur/normas/Norma1.jsp?i=47466","DECRETO 984")</f>
        <v>DECRETO 984</v>
      </c>
      <c r="B200" s="31">
        <v>41043</v>
      </c>
      <c r="C200" s="142" t="s">
        <v>57</v>
      </c>
      <c r="D200" s="33" t="s">
        <v>641</v>
      </c>
      <c r="E200" s="32" t="s">
        <v>41</v>
      </c>
      <c r="F200" s="32" t="s">
        <v>42</v>
      </c>
      <c r="G200" s="116" t="s">
        <v>43</v>
      </c>
      <c r="H200" s="117" t="s">
        <v>410</v>
      </c>
      <c r="I200" s="74"/>
      <c r="J200" s="36"/>
      <c r="K200" s="36"/>
      <c r="L200" s="36"/>
      <c r="M200" s="36"/>
      <c r="N200" s="36"/>
      <c r="O200" s="36"/>
      <c r="P200" s="36"/>
      <c r="Q200" s="36"/>
      <c r="R200" s="36"/>
      <c r="S200" s="36"/>
      <c r="T200" s="36"/>
      <c r="U200" s="36"/>
      <c r="V200" s="36"/>
      <c r="W200" s="36"/>
      <c r="X200" s="36"/>
      <c r="Y200" s="36"/>
      <c r="Z200" s="36"/>
      <c r="AA200" s="36"/>
      <c r="AB200" s="36"/>
    </row>
    <row r="201" spans="1:28" ht="36" customHeight="1">
      <c r="A201" s="49" t="str">
        <f>HYPERLINK("https://www.alcaldiabogota.gov.co/sisjur/normas/Norma1.jsp?i=45322","DECRETO - LEY 019")</f>
        <v>DECRETO - LEY 019</v>
      </c>
      <c r="B201" s="41">
        <v>40918</v>
      </c>
      <c r="C201" s="32" t="s">
        <v>57</v>
      </c>
      <c r="D201" s="33" t="s">
        <v>546</v>
      </c>
      <c r="E201" s="32" t="s">
        <v>41</v>
      </c>
      <c r="F201" s="32" t="s">
        <v>42</v>
      </c>
      <c r="G201" s="116" t="s">
        <v>43</v>
      </c>
      <c r="H201" s="117" t="s">
        <v>410</v>
      </c>
      <c r="I201" s="74"/>
      <c r="J201" s="36"/>
      <c r="K201" s="36"/>
      <c r="L201" s="36"/>
      <c r="M201" s="36"/>
      <c r="N201" s="36"/>
      <c r="O201" s="36"/>
      <c r="P201" s="36"/>
      <c r="Q201" s="36"/>
      <c r="R201" s="36"/>
      <c r="S201" s="36"/>
      <c r="T201" s="36"/>
      <c r="U201" s="36"/>
      <c r="V201" s="36"/>
      <c r="W201" s="36"/>
      <c r="X201" s="36"/>
      <c r="Y201" s="36"/>
      <c r="Z201" s="36"/>
      <c r="AA201" s="36"/>
      <c r="AB201" s="36"/>
    </row>
    <row r="202" spans="1:28" ht="48" customHeight="1">
      <c r="A202" s="49" t="str">
        <f>HYPERLINK("https://www.funcionpublica.gov.co/eva/gestornormativo/norma.php?i=60640","DECRETO 106")</f>
        <v>DECRETO 106</v>
      </c>
      <c r="B202" s="31">
        <v>42025</v>
      </c>
      <c r="C202" s="32" t="s">
        <v>57</v>
      </c>
      <c r="D202" s="33" t="s">
        <v>642</v>
      </c>
      <c r="E202" s="32" t="s">
        <v>41</v>
      </c>
      <c r="F202" s="32" t="s">
        <v>42</v>
      </c>
      <c r="G202" s="116" t="s">
        <v>43</v>
      </c>
      <c r="H202" s="117" t="s">
        <v>410</v>
      </c>
      <c r="I202" s="74"/>
      <c r="J202" s="36"/>
      <c r="K202" s="36"/>
      <c r="L202" s="36"/>
      <c r="M202" s="36"/>
      <c r="N202" s="36"/>
      <c r="O202" s="36"/>
      <c r="P202" s="36"/>
      <c r="Q202" s="36"/>
      <c r="R202" s="36"/>
      <c r="S202" s="36"/>
      <c r="T202" s="36"/>
      <c r="U202" s="36"/>
      <c r="V202" s="36"/>
      <c r="W202" s="36"/>
      <c r="X202" s="36"/>
      <c r="Y202" s="36"/>
      <c r="Z202" s="36"/>
      <c r="AA202" s="36"/>
      <c r="AB202" s="36"/>
    </row>
    <row r="203" spans="1:28" ht="24" customHeight="1">
      <c r="A203" s="49" t="str">
        <f>HYPERLINK("https://www.alcaldiabogota.gov.co/sisjur/normas/Norma1.jsp?i=62518","DECRETO 1083")</f>
        <v>DECRETO 1083</v>
      </c>
      <c r="B203" s="31">
        <v>42150</v>
      </c>
      <c r="C203" s="32" t="s">
        <v>57</v>
      </c>
      <c r="D203" s="33" t="s">
        <v>643</v>
      </c>
      <c r="E203" s="32" t="s">
        <v>41</v>
      </c>
      <c r="F203" s="32" t="s">
        <v>42</v>
      </c>
      <c r="G203" s="116" t="s">
        <v>43</v>
      </c>
      <c r="H203" s="117" t="s">
        <v>410</v>
      </c>
      <c r="I203" s="74"/>
      <c r="J203" s="36"/>
      <c r="K203" s="36"/>
      <c r="L203" s="36"/>
      <c r="M203" s="36"/>
      <c r="N203" s="36"/>
      <c r="O203" s="36"/>
      <c r="P203" s="36"/>
      <c r="Q203" s="36"/>
      <c r="R203" s="36"/>
      <c r="S203" s="36"/>
      <c r="T203" s="36"/>
      <c r="U203" s="36"/>
      <c r="V203" s="36"/>
      <c r="W203" s="36"/>
      <c r="X203" s="36"/>
      <c r="Y203" s="36"/>
      <c r="Z203" s="36"/>
      <c r="AA203" s="36"/>
      <c r="AB203" s="36"/>
    </row>
    <row r="204" spans="1:28" ht="24" customHeight="1">
      <c r="A204" s="49" t="str">
        <f>HYPERLINK("https://www.funcionpublica.gov.co/eva/gestornormativo/norma.php?i=80915","DECRETO 648")</f>
        <v>DECRETO 648</v>
      </c>
      <c r="B204" s="31">
        <v>42844</v>
      </c>
      <c r="C204" s="32" t="s">
        <v>57</v>
      </c>
      <c r="D204" s="155" t="s">
        <v>644</v>
      </c>
      <c r="E204" s="32" t="s">
        <v>41</v>
      </c>
      <c r="F204" s="32" t="s">
        <v>42</v>
      </c>
      <c r="G204" s="116" t="s">
        <v>43</v>
      </c>
      <c r="H204" s="117" t="s">
        <v>410</v>
      </c>
      <c r="I204" s="74"/>
      <c r="J204" s="36"/>
      <c r="K204" s="36"/>
      <c r="L204" s="36"/>
      <c r="M204" s="36"/>
      <c r="N204" s="36"/>
      <c r="O204" s="36"/>
      <c r="P204" s="36"/>
      <c r="Q204" s="36"/>
      <c r="R204" s="36"/>
      <c r="S204" s="36"/>
      <c r="T204" s="36"/>
      <c r="U204" s="36"/>
      <c r="V204" s="36"/>
      <c r="W204" s="36"/>
      <c r="X204" s="36"/>
      <c r="Y204" s="36"/>
      <c r="Z204" s="36"/>
      <c r="AA204" s="36"/>
      <c r="AB204" s="36"/>
    </row>
    <row r="205" spans="1:28" ht="40.5" customHeight="1">
      <c r="A205" s="49" t="str">
        <f>HYPERLINK("https://www.alcaldiabogota.gov.co/sisjur/normas/Norma1.jsp?i=71261","DECRETO 1499")</f>
        <v>DECRETO 1499</v>
      </c>
      <c r="B205" s="31">
        <v>42989</v>
      </c>
      <c r="C205" s="32" t="s">
        <v>57</v>
      </c>
      <c r="D205" s="33" t="s">
        <v>645</v>
      </c>
      <c r="E205" s="32" t="s">
        <v>41</v>
      </c>
      <c r="F205" s="32" t="s">
        <v>42</v>
      </c>
      <c r="G205" s="116" t="s">
        <v>43</v>
      </c>
      <c r="H205" s="117" t="s">
        <v>410</v>
      </c>
      <c r="I205" s="74"/>
      <c r="J205" s="36"/>
      <c r="K205" s="36"/>
      <c r="L205" s="36"/>
      <c r="M205" s="36"/>
      <c r="N205" s="36"/>
      <c r="O205" s="36"/>
      <c r="P205" s="36"/>
      <c r="Q205" s="36"/>
      <c r="R205" s="36"/>
      <c r="S205" s="36"/>
      <c r="T205" s="36"/>
      <c r="U205" s="36"/>
      <c r="V205" s="36"/>
      <c r="W205" s="36"/>
      <c r="X205" s="36"/>
      <c r="Y205" s="36"/>
      <c r="Z205" s="36"/>
      <c r="AA205" s="36"/>
      <c r="AB205" s="36"/>
    </row>
    <row r="206" spans="1:28" ht="40.5" customHeight="1">
      <c r="A206" s="49" t="str">
        <f>HYPERLINK("https://www.alcaldiabogota.gov.co/sisjur/normas/Norma1.jsp?i=82857","DECRETO 338")</f>
        <v>DECRETO 338</v>
      </c>
      <c r="B206" s="31">
        <v>43528</v>
      </c>
      <c r="C206" s="32" t="s">
        <v>57</v>
      </c>
      <c r="D206" s="33" t="s">
        <v>646</v>
      </c>
      <c r="E206" s="32" t="s">
        <v>41</v>
      </c>
      <c r="F206" s="32" t="s">
        <v>42</v>
      </c>
      <c r="G206" s="116" t="s">
        <v>43</v>
      </c>
      <c r="H206" s="117" t="s">
        <v>410</v>
      </c>
      <c r="I206" s="74"/>
      <c r="J206" s="36"/>
      <c r="K206" s="36"/>
      <c r="L206" s="36"/>
      <c r="M206" s="36"/>
      <c r="N206" s="36"/>
      <c r="O206" s="36"/>
      <c r="P206" s="36"/>
      <c r="Q206" s="36"/>
      <c r="R206" s="36"/>
      <c r="S206" s="36"/>
      <c r="T206" s="36"/>
      <c r="U206" s="36"/>
      <c r="V206" s="36"/>
      <c r="W206" s="36"/>
      <c r="X206" s="36"/>
      <c r="Y206" s="36"/>
      <c r="Z206" s="36"/>
      <c r="AA206" s="36"/>
      <c r="AB206" s="36"/>
    </row>
    <row r="207" spans="1:28" ht="40.5" customHeight="1">
      <c r="A207" s="49" t="str">
        <f>HYPERLINK("https://www.alcaldiabogota.gov.co/sisjur/normas/Norma1.jsp?i=5324","DECRETO 1537    ")</f>
        <v xml:space="preserve">DECRETO 1537    </v>
      </c>
      <c r="B207" s="31">
        <v>37098</v>
      </c>
      <c r="C207" s="32" t="s">
        <v>647</v>
      </c>
      <c r="D207" s="33" t="s">
        <v>648</v>
      </c>
      <c r="E207" s="32" t="s">
        <v>41</v>
      </c>
      <c r="F207" s="32" t="s">
        <v>42</v>
      </c>
      <c r="G207" s="116" t="s">
        <v>43</v>
      </c>
      <c r="H207" s="117" t="s">
        <v>410</v>
      </c>
      <c r="I207" s="74"/>
      <c r="J207" s="36"/>
      <c r="K207" s="36"/>
      <c r="L207" s="36"/>
      <c r="M207" s="36"/>
      <c r="N207" s="36"/>
      <c r="O207" s="36"/>
      <c r="P207" s="36"/>
      <c r="Q207" s="36"/>
      <c r="R207" s="36"/>
      <c r="S207" s="36"/>
      <c r="T207" s="36"/>
      <c r="U207" s="36"/>
      <c r="V207" s="36"/>
      <c r="W207" s="36"/>
      <c r="X207" s="36"/>
      <c r="Y207" s="36"/>
      <c r="Z207" s="36"/>
      <c r="AA207" s="36"/>
      <c r="AB207" s="36"/>
    </row>
    <row r="208" spans="1:28" ht="40.5" customHeight="1">
      <c r="A208" s="49" t="str">
        <f>HYPERLINK("https://www.alcaldiabogota.gov.co/sisjur/normas/Norma1.jsp?i=14800","DECRETO 284    ")</f>
        <v xml:space="preserve">DECRETO 284    </v>
      </c>
      <c r="B208" s="31">
        <v>38240</v>
      </c>
      <c r="C208" s="32" t="s">
        <v>61</v>
      </c>
      <c r="D208" s="33" t="s">
        <v>649</v>
      </c>
      <c r="E208" s="32" t="s">
        <v>41</v>
      </c>
      <c r="F208" s="32" t="s">
        <v>42</v>
      </c>
      <c r="G208" s="116" t="s">
        <v>43</v>
      </c>
      <c r="H208" s="117" t="s">
        <v>410</v>
      </c>
      <c r="I208" s="74"/>
      <c r="J208" s="36"/>
      <c r="K208" s="36"/>
      <c r="L208" s="36"/>
      <c r="M208" s="36"/>
      <c r="N208" s="36"/>
      <c r="O208" s="36"/>
      <c r="P208" s="36"/>
      <c r="Q208" s="36"/>
      <c r="R208" s="36"/>
      <c r="S208" s="36"/>
      <c r="T208" s="36"/>
      <c r="U208" s="36"/>
      <c r="V208" s="36"/>
      <c r="W208" s="36"/>
      <c r="X208" s="36"/>
      <c r="Y208" s="36"/>
      <c r="Z208" s="36"/>
      <c r="AA208" s="36"/>
      <c r="AB208" s="36"/>
    </row>
    <row r="209" spans="1:28" ht="36" customHeight="1">
      <c r="A209" s="49" t="str">
        <f>HYPERLINK("https://www.alcaldiabogota.gov.co/sisjur/normas/Norma1.jsp?i=40685","DECRETO 371")</f>
        <v>DECRETO 371</v>
      </c>
      <c r="B209" s="31">
        <v>40420</v>
      </c>
      <c r="C209" s="32" t="s">
        <v>61</v>
      </c>
      <c r="D209" s="33" t="s">
        <v>278</v>
      </c>
      <c r="E209" s="32" t="s">
        <v>41</v>
      </c>
      <c r="F209" s="32" t="s">
        <v>42</v>
      </c>
      <c r="G209" s="116" t="s">
        <v>43</v>
      </c>
      <c r="H209" s="117" t="s">
        <v>410</v>
      </c>
      <c r="I209" s="74"/>
      <c r="J209" s="36"/>
      <c r="K209" s="36"/>
      <c r="L209" s="36"/>
      <c r="M209" s="36"/>
      <c r="N209" s="36"/>
      <c r="O209" s="36"/>
      <c r="P209" s="36"/>
      <c r="Q209" s="36"/>
      <c r="R209" s="36"/>
      <c r="S209" s="36"/>
      <c r="T209" s="36"/>
      <c r="U209" s="36"/>
      <c r="V209" s="36"/>
      <c r="W209" s="36"/>
      <c r="X209" s="36"/>
      <c r="Y209" s="36"/>
      <c r="Z209" s="36"/>
      <c r="AA209" s="36"/>
      <c r="AB209" s="36"/>
    </row>
    <row r="210" spans="1:28" ht="48" customHeight="1">
      <c r="A210" s="49" t="str">
        <f>HYPERLINK("https://www.alcaldiabogota.gov.co/sisjur/normas/Norma1.jsp?i=80343","DECRETO 452")</f>
        <v>DECRETO 452</v>
      </c>
      <c r="B210" s="31">
        <v>43315</v>
      </c>
      <c r="C210" s="32" t="s">
        <v>61</v>
      </c>
      <c r="D210" s="33" t="s">
        <v>650</v>
      </c>
      <c r="E210" s="32" t="s">
        <v>41</v>
      </c>
      <c r="F210" s="32" t="s">
        <v>42</v>
      </c>
      <c r="G210" s="116" t="s">
        <v>43</v>
      </c>
      <c r="H210" s="117" t="s">
        <v>410</v>
      </c>
      <c r="I210" s="74"/>
      <c r="J210" s="36"/>
      <c r="K210" s="36"/>
      <c r="L210" s="36"/>
      <c r="M210" s="36"/>
      <c r="N210" s="36"/>
      <c r="O210" s="36"/>
      <c r="P210" s="36"/>
      <c r="Q210" s="36"/>
      <c r="R210" s="36"/>
      <c r="S210" s="36"/>
      <c r="T210" s="36"/>
      <c r="U210" s="36"/>
      <c r="V210" s="36"/>
      <c r="W210" s="36"/>
      <c r="X210" s="36"/>
      <c r="Y210" s="36"/>
      <c r="Z210" s="36"/>
      <c r="AA210" s="36"/>
      <c r="AB210" s="36"/>
    </row>
    <row r="211" spans="1:28" ht="24" customHeight="1">
      <c r="A211" s="49" t="str">
        <f>HYPERLINK("https://www.alcaldiabogota.gov.co/sisjur/normas/Norma1.jsp?i=81283","DECRETO 625")</f>
        <v>DECRETO 625</v>
      </c>
      <c r="B211" s="38">
        <v>43404</v>
      </c>
      <c r="C211" s="32" t="s">
        <v>61</v>
      </c>
      <c r="D211" s="33" t="s">
        <v>651</v>
      </c>
      <c r="E211" s="32" t="s">
        <v>41</v>
      </c>
      <c r="F211" s="32" t="s">
        <v>42</v>
      </c>
      <c r="G211" s="116" t="s">
        <v>43</v>
      </c>
      <c r="H211" s="117" t="s">
        <v>410</v>
      </c>
      <c r="I211" s="74"/>
      <c r="J211" s="36"/>
      <c r="K211" s="36"/>
      <c r="L211" s="36"/>
      <c r="M211" s="36"/>
      <c r="N211" s="36"/>
      <c r="O211" s="36"/>
      <c r="P211" s="36"/>
      <c r="Q211" s="36"/>
      <c r="R211" s="36"/>
      <c r="S211" s="36"/>
      <c r="T211" s="36"/>
      <c r="U211" s="36"/>
      <c r="V211" s="36"/>
      <c r="W211" s="36"/>
      <c r="X211" s="36"/>
      <c r="Y211" s="36"/>
      <c r="Z211" s="36"/>
      <c r="AA211" s="36"/>
      <c r="AB211" s="36"/>
    </row>
    <row r="212" spans="1:28" ht="48.75" customHeight="1">
      <c r="A212" s="151" t="s">
        <v>652</v>
      </c>
      <c r="B212" s="31">
        <v>43692</v>
      </c>
      <c r="C212" s="40" t="s">
        <v>61</v>
      </c>
      <c r="D212" s="39" t="s">
        <v>653</v>
      </c>
      <c r="E212" s="32" t="s">
        <v>41</v>
      </c>
      <c r="F212" s="40" t="s">
        <v>42</v>
      </c>
      <c r="G212" s="116"/>
      <c r="H212" s="117"/>
      <c r="I212" s="74"/>
      <c r="J212" s="36"/>
      <c r="K212" s="36"/>
      <c r="L212" s="36"/>
      <c r="M212" s="36"/>
      <c r="N212" s="36"/>
      <c r="O212" s="36"/>
      <c r="P212" s="36"/>
      <c r="Q212" s="36"/>
      <c r="R212" s="36"/>
      <c r="S212" s="36"/>
      <c r="T212" s="36"/>
      <c r="U212" s="36"/>
      <c r="V212" s="36"/>
      <c r="W212" s="36"/>
      <c r="X212" s="36"/>
      <c r="Y212" s="36"/>
      <c r="Z212" s="36"/>
      <c r="AA212" s="36"/>
      <c r="AB212" s="36"/>
    </row>
    <row r="213" spans="1:28" ht="48.75" customHeight="1">
      <c r="A213" s="48" t="str">
        <f>HYPERLINK("https://www.funcionpublica.gov.co/eva/gestornormativo/norma.php?i=99973","DECRETO 1605")</f>
        <v>DECRETO 1605</v>
      </c>
      <c r="B213" s="31">
        <v>43712</v>
      </c>
      <c r="C213" s="40" t="s">
        <v>654</v>
      </c>
      <c r="D213" s="33" t="s">
        <v>655</v>
      </c>
      <c r="E213" s="32" t="s">
        <v>41</v>
      </c>
      <c r="F213" s="32" t="s">
        <v>42</v>
      </c>
      <c r="G213" s="116"/>
      <c r="H213" s="117"/>
      <c r="I213" s="74"/>
      <c r="J213" s="36"/>
      <c r="K213" s="36"/>
      <c r="L213" s="36"/>
      <c r="M213" s="36"/>
      <c r="N213" s="36"/>
      <c r="O213" s="36"/>
      <c r="P213" s="36"/>
      <c r="Q213" s="36"/>
      <c r="R213" s="36"/>
      <c r="S213" s="36"/>
      <c r="T213" s="36"/>
      <c r="U213" s="36"/>
      <c r="V213" s="36"/>
      <c r="W213" s="36"/>
      <c r="X213" s="36"/>
      <c r="Y213" s="36"/>
      <c r="Z213" s="36"/>
      <c r="AA213" s="36"/>
      <c r="AB213" s="36"/>
    </row>
    <row r="214" spans="1:28" ht="48.75" customHeight="1">
      <c r="A214" s="48" t="str">
        <f>HYPERLINK("https://www.alcaldiabogota.gov.co/sisjur/normas/Norma1.jsp?i=88580","DECRETO 807")</f>
        <v>DECRETO 807</v>
      </c>
      <c r="B214" s="31">
        <v>43823</v>
      </c>
      <c r="C214" s="40" t="s">
        <v>61</v>
      </c>
      <c r="D214" s="156" t="s">
        <v>656</v>
      </c>
      <c r="E214" s="40" t="s">
        <v>41</v>
      </c>
      <c r="F214" s="40" t="s">
        <v>42</v>
      </c>
      <c r="G214" s="116"/>
      <c r="H214" s="117"/>
      <c r="I214" s="74"/>
      <c r="J214" s="36"/>
      <c r="K214" s="36"/>
      <c r="L214" s="36"/>
      <c r="M214" s="36"/>
      <c r="N214" s="36"/>
      <c r="O214" s="36"/>
      <c r="P214" s="36"/>
      <c r="Q214" s="36"/>
      <c r="R214" s="36"/>
      <c r="S214" s="36"/>
      <c r="T214" s="36"/>
      <c r="U214" s="36"/>
      <c r="V214" s="36"/>
      <c r="W214" s="36"/>
      <c r="X214" s="36"/>
      <c r="Y214" s="36"/>
      <c r="Z214" s="36"/>
      <c r="AA214" s="36"/>
      <c r="AB214" s="36"/>
    </row>
    <row r="215" spans="1:28" ht="48.75" customHeight="1">
      <c r="A215" s="48" t="str">
        <f>HYPERLINK("https://www.alcaldiabogota.gov.co/sisjur/normas/Norma1.jsp?i=88588","DECRETO 847")</f>
        <v>DECRETO 847</v>
      </c>
      <c r="B215" s="157">
        <v>43829</v>
      </c>
      <c r="C215" s="158" t="s">
        <v>61</v>
      </c>
      <c r="D215" s="159" t="s">
        <v>117</v>
      </c>
      <c r="E215" s="40" t="s">
        <v>41</v>
      </c>
      <c r="F215" s="40" t="s">
        <v>42</v>
      </c>
      <c r="G215" s="116"/>
      <c r="H215" s="117"/>
      <c r="I215" s="74"/>
      <c r="J215" s="36"/>
      <c r="K215" s="36"/>
      <c r="L215" s="36"/>
      <c r="M215" s="36"/>
      <c r="N215" s="36"/>
      <c r="O215" s="36"/>
      <c r="P215" s="36"/>
      <c r="Q215" s="36"/>
      <c r="R215" s="36"/>
      <c r="S215" s="36"/>
      <c r="T215" s="36"/>
      <c r="U215" s="36"/>
      <c r="V215" s="36"/>
      <c r="W215" s="36"/>
      <c r="X215" s="36"/>
      <c r="Y215" s="36"/>
      <c r="Z215" s="36"/>
      <c r="AA215" s="36"/>
      <c r="AB215" s="36"/>
    </row>
    <row r="216" spans="1:28" ht="48.75" customHeight="1">
      <c r="A216" s="48" t="str">
        <f>HYPERLINK("https://www.alcaldiabogota.gov.co/sisjur/normas/Norma1.jsp?i=87968","DECRETO 2106")</f>
        <v>DECRETO 2106</v>
      </c>
      <c r="B216" s="160">
        <v>43791</v>
      </c>
      <c r="C216" s="161" t="s">
        <v>57</v>
      </c>
      <c r="D216" s="162" t="s">
        <v>323</v>
      </c>
      <c r="E216" s="40" t="s">
        <v>657</v>
      </c>
      <c r="F216" s="40" t="s">
        <v>42</v>
      </c>
      <c r="G216" s="116"/>
      <c r="H216" s="117"/>
      <c r="I216" s="74"/>
      <c r="J216" s="36"/>
      <c r="K216" s="36"/>
      <c r="L216" s="36"/>
      <c r="M216" s="36"/>
      <c r="N216" s="36"/>
      <c r="O216" s="36"/>
      <c r="P216" s="36"/>
      <c r="Q216" s="36"/>
      <c r="R216" s="36"/>
      <c r="S216" s="36"/>
      <c r="T216" s="36"/>
      <c r="U216" s="36"/>
      <c r="V216" s="36"/>
      <c r="W216" s="36"/>
      <c r="X216" s="36"/>
      <c r="Y216" s="36"/>
      <c r="Z216" s="36"/>
      <c r="AA216" s="36"/>
      <c r="AB216" s="36"/>
    </row>
    <row r="217" spans="1:28" ht="48.75" customHeight="1">
      <c r="A217" s="37" t="s">
        <v>658</v>
      </c>
      <c r="B217" s="163">
        <v>44098</v>
      </c>
      <c r="C217" s="158" t="s">
        <v>57</v>
      </c>
      <c r="D217" s="164" t="s">
        <v>659</v>
      </c>
      <c r="E217" s="40" t="s">
        <v>41</v>
      </c>
      <c r="F217" s="40" t="s">
        <v>42</v>
      </c>
      <c r="G217" s="116"/>
      <c r="H217" s="117"/>
      <c r="I217" s="74"/>
      <c r="J217" s="36"/>
      <c r="K217" s="36"/>
      <c r="L217" s="36"/>
      <c r="M217" s="36"/>
      <c r="N217" s="36"/>
      <c r="O217" s="36"/>
      <c r="P217" s="36"/>
      <c r="Q217" s="36"/>
      <c r="R217" s="36"/>
      <c r="S217" s="36"/>
      <c r="T217" s="36"/>
      <c r="U217" s="36"/>
      <c r="V217" s="36"/>
      <c r="W217" s="36"/>
      <c r="X217" s="36"/>
      <c r="Y217" s="36"/>
      <c r="Z217" s="36"/>
      <c r="AA217" s="36"/>
      <c r="AB217" s="36"/>
    </row>
    <row r="218" spans="1:28" ht="48.75" customHeight="1">
      <c r="A218" s="37" t="s">
        <v>660</v>
      </c>
      <c r="B218" s="163">
        <v>43906</v>
      </c>
      <c r="C218" s="158" t="s">
        <v>57</v>
      </c>
      <c r="D218" s="164" t="s">
        <v>661</v>
      </c>
      <c r="E218" s="40" t="s">
        <v>41</v>
      </c>
      <c r="F218" s="40" t="s">
        <v>42</v>
      </c>
      <c r="G218" s="116"/>
      <c r="H218" s="117"/>
      <c r="I218" s="74"/>
      <c r="J218" s="36"/>
      <c r="K218" s="36"/>
      <c r="L218" s="36"/>
      <c r="M218" s="36"/>
      <c r="N218" s="36"/>
      <c r="O218" s="36"/>
      <c r="P218" s="36"/>
      <c r="Q218" s="36"/>
      <c r="R218" s="36"/>
      <c r="S218" s="36"/>
      <c r="T218" s="36"/>
      <c r="U218" s="36"/>
      <c r="V218" s="36"/>
      <c r="W218" s="36"/>
      <c r="X218" s="36"/>
      <c r="Y218" s="36"/>
      <c r="Z218" s="36"/>
      <c r="AA218" s="36"/>
      <c r="AB218" s="36"/>
    </row>
    <row r="219" spans="1:28" ht="48.75" customHeight="1">
      <c r="A219" s="37" t="s">
        <v>662</v>
      </c>
      <c r="B219" s="163">
        <v>44064</v>
      </c>
      <c r="C219" s="158" t="s">
        <v>61</v>
      </c>
      <c r="D219" s="165" t="s">
        <v>663</v>
      </c>
      <c r="E219" s="40" t="s">
        <v>41</v>
      </c>
      <c r="F219" s="40" t="s">
        <v>42</v>
      </c>
      <c r="G219" s="116"/>
      <c r="H219" s="117"/>
      <c r="I219" s="74"/>
      <c r="J219" s="36"/>
      <c r="K219" s="36"/>
      <c r="L219" s="36"/>
      <c r="M219" s="36"/>
      <c r="N219" s="36"/>
      <c r="O219" s="36"/>
      <c r="P219" s="36"/>
      <c r="Q219" s="36"/>
      <c r="R219" s="36"/>
      <c r="S219" s="36"/>
      <c r="T219" s="36"/>
      <c r="U219" s="36"/>
      <c r="V219" s="36"/>
      <c r="W219" s="36"/>
      <c r="X219" s="36"/>
      <c r="Y219" s="36"/>
      <c r="Z219" s="36"/>
      <c r="AA219" s="36"/>
      <c r="AB219" s="36"/>
    </row>
    <row r="220" spans="1:28" ht="48.75" customHeight="1">
      <c r="A220" s="37" t="s">
        <v>664</v>
      </c>
      <c r="B220" s="163">
        <v>44628</v>
      </c>
      <c r="C220" s="158" t="s">
        <v>665</v>
      </c>
      <c r="D220" s="166" t="s">
        <v>666</v>
      </c>
      <c r="E220" s="40" t="s">
        <v>41</v>
      </c>
      <c r="F220" s="40" t="s">
        <v>42</v>
      </c>
      <c r="G220" s="116"/>
      <c r="H220" s="117"/>
      <c r="I220" s="74"/>
      <c r="J220" s="36"/>
      <c r="K220" s="36"/>
      <c r="L220" s="36"/>
      <c r="M220" s="36"/>
      <c r="N220" s="36"/>
      <c r="O220" s="36"/>
      <c r="P220" s="36"/>
      <c r="Q220" s="36"/>
      <c r="R220" s="36"/>
      <c r="S220" s="36"/>
      <c r="T220" s="36"/>
      <c r="U220" s="36"/>
      <c r="V220" s="36"/>
      <c r="W220" s="36"/>
      <c r="X220" s="36"/>
      <c r="Y220" s="36"/>
      <c r="Z220" s="36"/>
      <c r="AA220" s="36"/>
      <c r="AB220" s="36"/>
    </row>
    <row r="221" spans="1:28" ht="48.75" customHeight="1">
      <c r="A221" s="37" t="s">
        <v>667</v>
      </c>
      <c r="B221" s="163">
        <v>44585</v>
      </c>
      <c r="C221" s="158" t="s">
        <v>668</v>
      </c>
      <c r="D221" s="167" t="s">
        <v>669</v>
      </c>
      <c r="E221" s="40" t="s">
        <v>41</v>
      </c>
      <c r="F221" s="40" t="s">
        <v>42</v>
      </c>
      <c r="G221" s="116"/>
      <c r="H221" s="117"/>
      <c r="I221" s="74"/>
      <c r="J221" s="36"/>
      <c r="K221" s="36"/>
      <c r="L221" s="36"/>
      <c r="M221" s="36"/>
      <c r="N221" s="36"/>
      <c r="O221" s="36"/>
      <c r="P221" s="36"/>
      <c r="Q221" s="36"/>
      <c r="R221" s="36"/>
      <c r="S221" s="36"/>
      <c r="T221" s="36"/>
      <c r="U221" s="36"/>
      <c r="V221" s="36"/>
      <c r="W221" s="36"/>
      <c r="X221" s="36"/>
      <c r="Y221" s="36"/>
      <c r="Z221" s="36"/>
      <c r="AA221" s="36"/>
      <c r="AB221" s="36"/>
    </row>
    <row r="222" spans="1:28" ht="48.75" customHeight="1">
      <c r="A222" s="37" t="s">
        <v>670</v>
      </c>
      <c r="B222" s="163">
        <v>44697</v>
      </c>
      <c r="C222" s="158" t="s">
        <v>668</v>
      </c>
      <c r="D222" s="168" t="s">
        <v>671</v>
      </c>
      <c r="E222" s="40" t="s">
        <v>41</v>
      </c>
      <c r="F222" s="40" t="s">
        <v>42</v>
      </c>
      <c r="G222" s="116"/>
      <c r="H222" s="117"/>
      <c r="I222" s="74"/>
      <c r="J222" s="36"/>
      <c r="K222" s="36"/>
      <c r="L222" s="36"/>
      <c r="M222" s="36"/>
      <c r="N222" s="36"/>
      <c r="O222" s="36"/>
      <c r="P222" s="36"/>
      <c r="Q222" s="36"/>
      <c r="R222" s="36"/>
      <c r="S222" s="36"/>
      <c r="T222" s="36"/>
      <c r="U222" s="36"/>
      <c r="V222" s="36"/>
      <c r="W222" s="36"/>
      <c r="X222" s="36"/>
      <c r="Y222" s="36"/>
      <c r="Z222" s="36"/>
      <c r="AA222" s="36"/>
      <c r="AB222" s="36"/>
    </row>
    <row r="223" spans="1:28" ht="15" customHeight="1">
      <c r="A223" s="49" t="str">
        <f>HYPERLINK("https://www.alcaldiabogota.gov.co/sisjur/normas/Norma1.jsp?i=82531","ACUERDO 001")</f>
        <v>ACUERDO 001</v>
      </c>
      <c r="B223" s="31">
        <v>43531</v>
      </c>
      <c r="C223" s="32" t="s">
        <v>672</v>
      </c>
      <c r="D223" s="33" t="s">
        <v>673</v>
      </c>
      <c r="E223" s="32" t="s">
        <v>41</v>
      </c>
      <c r="F223" s="32" t="s">
        <v>42</v>
      </c>
      <c r="G223" s="116" t="s">
        <v>43</v>
      </c>
      <c r="H223" s="117" t="s">
        <v>410</v>
      </c>
      <c r="I223" s="74"/>
      <c r="J223" s="36"/>
      <c r="K223" s="36"/>
      <c r="L223" s="36"/>
      <c r="M223" s="36"/>
      <c r="N223" s="36"/>
      <c r="O223" s="36"/>
      <c r="P223" s="36"/>
      <c r="Q223" s="36"/>
      <c r="R223" s="36"/>
      <c r="S223" s="36"/>
      <c r="T223" s="36"/>
      <c r="U223" s="36"/>
      <c r="V223" s="36"/>
      <c r="W223" s="36"/>
      <c r="X223" s="36"/>
      <c r="Y223" s="36"/>
      <c r="Z223" s="36"/>
      <c r="AA223" s="36"/>
      <c r="AB223" s="36"/>
    </row>
    <row r="224" spans="1:28" ht="15" customHeight="1">
      <c r="A224" s="37" t="s">
        <v>674</v>
      </c>
      <c r="B224" s="31">
        <v>43993</v>
      </c>
      <c r="C224" s="40" t="s">
        <v>195</v>
      </c>
      <c r="D224" s="39" t="s">
        <v>675</v>
      </c>
      <c r="E224" s="40" t="s">
        <v>41</v>
      </c>
      <c r="F224" s="40" t="s">
        <v>42</v>
      </c>
      <c r="G224" s="116"/>
      <c r="H224" s="117"/>
      <c r="I224" s="74"/>
      <c r="J224" s="36"/>
      <c r="K224" s="36"/>
      <c r="L224" s="36"/>
      <c r="M224" s="36"/>
      <c r="N224" s="36"/>
      <c r="O224" s="36"/>
      <c r="P224" s="36"/>
      <c r="Q224" s="36"/>
      <c r="R224" s="36"/>
      <c r="S224" s="36"/>
      <c r="T224" s="36"/>
      <c r="U224" s="36"/>
      <c r="V224" s="36"/>
      <c r="W224" s="36"/>
      <c r="X224" s="36"/>
      <c r="Y224" s="36"/>
      <c r="Z224" s="36"/>
      <c r="AA224" s="36"/>
      <c r="AB224" s="36"/>
    </row>
    <row r="225" spans="1:28" ht="60" customHeight="1">
      <c r="A225" s="49" t="e">
        <f>HYPERLINK("http://www.contraloriabogota.gov.co/sites/default/files/Contenido/Normatividad/Resoluciones/2014/RR_011_2014%20Se%20establece%20la%20forma%20t%C3%A9rminos%20y%20procedimientos%20para%20rendici%C3%B3n%20de%20cuenta%20y%20presentaci%C3%B3n%20de%20informes/R"&amp;"R_011_2014%20rendici%C3%B3n%20de%20la%20cuenta%20y%20la%20presentaci%C3%B3n.pdf","RESOLUCIÓN REGLAMENTARIA  011 ")</f>
        <v>#VALUE!</v>
      </c>
      <c r="B225" s="31">
        <v>41698</v>
      </c>
      <c r="C225" s="32" t="s">
        <v>676</v>
      </c>
      <c r="D225" s="33" t="s">
        <v>677</v>
      </c>
      <c r="E225" s="169" t="s">
        <v>41</v>
      </c>
      <c r="F225" s="32" t="s">
        <v>42</v>
      </c>
      <c r="G225" s="116" t="s">
        <v>43</v>
      </c>
      <c r="H225" s="117" t="s">
        <v>410</v>
      </c>
      <c r="I225" s="74"/>
      <c r="J225" s="36"/>
      <c r="K225" s="36"/>
      <c r="L225" s="36"/>
      <c r="M225" s="36"/>
      <c r="N225" s="36"/>
      <c r="O225" s="36"/>
      <c r="P225" s="36"/>
      <c r="Q225" s="36"/>
      <c r="R225" s="36"/>
      <c r="S225" s="36"/>
      <c r="T225" s="36"/>
      <c r="U225" s="36"/>
      <c r="V225" s="36"/>
      <c r="W225" s="36"/>
      <c r="X225" s="36"/>
      <c r="Y225" s="36"/>
      <c r="Z225" s="36"/>
      <c r="AA225" s="36"/>
      <c r="AB225" s="36"/>
    </row>
    <row r="226" spans="1:28" ht="36" customHeight="1">
      <c r="A226" s="48" t="e">
        <f>HYPERLINK("http://www.contraloriabogota.gov.co/sites/default/files/Contenido/Normatividad/Resoluciones/2018/RR_012_2018%20Reglamenta%20Tr%C3%A1mite%20Plan%20de%20Mejoramiento%20que%20Presentan%20los%20Sujetos%20a%20la%20C.B/RR_012_2018%20Reglamenta%20Tr%C3%A1mite%20"&amp;"Plan%20de%20Mejoramiento%20Presentan%20los%20Sujetos%20a%20la%20C.B.pdf","RESOLUCIÓN 012")</f>
        <v>#VALUE!</v>
      </c>
      <c r="B226" s="31">
        <v>43158</v>
      </c>
      <c r="C226" s="32" t="s">
        <v>676</v>
      </c>
      <c r="D226" s="33" t="s">
        <v>678</v>
      </c>
      <c r="E226" s="32" t="s">
        <v>41</v>
      </c>
      <c r="F226" s="32" t="s">
        <v>42</v>
      </c>
      <c r="G226" s="116" t="s">
        <v>43</v>
      </c>
      <c r="H226" s="117" t="s">
        <v>410</v>
      </c>
      <c r="I226" s="74"/>
      <c r="J226" s="36"/>
      <c r="K226" s="36"/>
      <c r="L226" s="36"/>
      <c r="M226" s="36"/>
      <c r="N226" s="36"/>
      <c r="O226" s="36"/>
      <c r="P226" s="36"/>
      <c r="Q226" s="36"/>
      <c r="R226" s="36"/>
      <c r="S226" s="36"/>
      <c r="T226" s="36"/>
      <c r="U226" s="36"/>
      <c r="V226" s="36"/>
      <c r="W226" s="36"/>
      <c r="X226" s="36"/>
      <c r="Y226" s="36"/>
      <c r="Z226" s="36"/>
      <c r="AA226" s="36"/>
      <c r="AB226" s="36"/>
    </row>
    <row r="227" spans="1:28" ht="96" customHeight="1">
      <c r="A227" s="49" t="str">
        <f>HYPERLINK("https://www.contraloria.gov.co/documents/463406/468738/REG-ORG-0007-2016.pdf/92b64793-d845-42a7-9fa5-db65cd9257dc","RESOLUCIÓN REGLAMENTARIA ORGANICA 007")</f>
        <v>RESOLUCIÓN REGLAMENTARIA ORGANICA 007</v>
      </c>
      <c r="B227" s="31">
        <v>42530</v>
      </c>
      <c r="C227" s="32" t="s">
        <v>679</v>
      </c>
      <c r="D227" s="33" t="s">
        <v>680</v>
      </c>
      <c r="E227" s="32" t="s">
        <v>41</v>
      </c>
      <c r="F227" s="32" t="s">
        <v>42</v>
      </c>
      <c r="G227" s="116" t="s">
        <v>43</v>
      </c>
      <c r="H227" s="117" t="s">
        <v>410</v>
      </c>
      <c r="I227" s="74"/>
      <c r="J227" s="36"/>
      <c r="K227" s="36"/>
      <c r="L227" s="36"/>
      <c r="M227" s="36"/>
      <c r="N227" s="36"/>
      <c r="O227" s="36"/>
      <c r="P227" s="36"/>
      <c r="Q227" s="36"/>
      <c r="R227" s="36"/>
      <c r="S227" s="36"/>
      <c r="T227" s="36"/>
      <c r="U227" s="36"/>
      <c r="V227" s="36"/>
      <c r="W227" s="36"/>
      <c r="X227" s="36"/>
      <c r="Y227" s="36"/>
      <c r="Z227" s="36"/>
      <c r="AA227" s="36"/>
      <c r="AB227" s="36"/>
    </row>
    <row r="228" spans="1:28" ht="36" customHeight="1">
      <c r="A228" s="49" t="str">
        <f>HYPERLINK("http://www.contaduria.gov.co/wps/wcm/connect/fd220165-5efe-40f3-886f-3402258ae506/Resolucion+193+18+10+18+2016+11-05-04.314.pdf?MOD=AJPERES&amp;CONVERT_TO=url&amp;CACHEID=fd220165-5efe-40f3-886f-3402258ae506","RESOLUCION 193")</f>
        <v>RESOLUCION 193</v>
      </c>
      <c r="B228" s="31">
        <v>42495</v>
      </c>
      <c r="C228" s="32" t="s">
        <v>681</v>
      </c>
      <c r="D228" s="33" t="s">
        <v>682</v>
      </c>
      <c r="E228" s="32" t="s">
        <v>41</v>
      </c>
      <c r="F228" s="32" t="s">
        <v>42</v>
      </c>
      <c r="G228" s="116" t="s">
        <v>43</v>
      </c>
      <c r="H228" s="117" t="s">
        <v>410</v>
      </c>
      <c r="I228" s="74"/>
      <c r="J228" s="36"/>
      <c r="K228" s="36"/>
      <c r="L228" s="36"/>
      <c r="M228" s="36"/>
      <c r="N228" s="36"/>
      <c r="O228" s="36"/>
      <c r="P228" s="36"/>
      <c r="Q228" s="36"/>
      <c r="R228" s="36"/>
      <c r="S228" s="36"/>
      <c r="T228" s="36"/>
      <c r="U228" s="36"/>
      <c r="V228" s="36"/>
      <c r="W228" s="36"/>
      <c r="X228" s="36"/>
      <c r="Y228" s="36"/>
      <c r="Z228" s="36"/>
      <c r="AA228" s="36"/>
      <c r="AB228" s="36"/>
    </row>
    <row r="229" spans="1:28" ht="62.25" customHeight="1">
      <c r="A229" s="49" t="str">
        <f>HYPERLINK("https://www.funcionpublica.gov.co/eva/gestornormativo/norma.php?i=85386","RESOLUCIÓN 1099    ")</f>
        <v xml:space="preserve">RESOLUCIÓN 1099    </v>
      </c>
      <c r="B229" s="38">
        <v>43021</v>
      </c>
      <c r="C229" s="142" t="s">
        <v>683</v>
      </c>
      <c r="D229" s="33" t="s">
        <v>684</v>
      </c>
      <c r="E229" s="32" t="s">
        <v>685</v>
      </c>
      <c r="F229" s="32" t="s">
        <v>686</v>
      </c>
      <c r="G229" s="116" t="s">
        <v>43</v>
      </c>
      <c r="H229" s="117" t="s">
        <v>410</v>
      </c>
      <c r="I229" s="74"/>
      <c r="J229" s="36"/>
      <c r="K229" s="36"/>
      <c r="L229" s="36"/>
      <c r="M229" s="36"/>
      <c r="N229" s="36"/>
      <c r="O229" s="36"/>
      <c r="P229" s="36"/>
      <c r="Q229" s="36"/>
      <c r="R229" s="36"/>
      <c r="S229" s="36"/>
      <c r="T229" s="36"/>
      <c r="U229" s="36"/>
      <c r="V229" s="36"/>
      <c r="W229" s="36"/>
      <c r="X229" s="36"/>
      <c r="Y229" s="36"/>
      <c r="Z229" s="36"/>
      <c r="AA229" s="36"/>
      <c r="AB229" s="36"/>
    </row>
    <row r="230" spans="1:28" ht="36" customHeight="1">
      <c r="A230" s="49" t="str">
        <f>HYPERLINK("https://www.alcaldiabogota.gov.co/sisjur/normas/Norma1.jsp?i=81226","RESOLUCION 104")</f>
        <v>RESOLUCION 104</v>
      </c>
      <c r="B230" s="38">
        <v>43396</v>
      </c>
      <c r="C230" s="32" t="s">
        <v>687</v>
      </c>
      <c r="D230" s="33" t="s">
        <v>688</v>
      </c>
      <c r="E230" s="32" t="s">
        <v>41</v>
      </c>
      <c r="F230" s="32" t="s">
        <v>42</v>
      </c>
      <c r="G230" s="116" t="s">
        <v>43</v>
      </c>
      <c r="H230" s="117" t="s">
        <v>410</v>
      </c>
      <c r="I230" s="74"/>
      <c r="J230" s="36"/>
      <c r="K230" s="36"/>
      <c r="L230" s="36"/>
      <c r="M230" s="36"/>
      <c r="N230" s="36"/>
      <c r="O230" s="36"/>
      <c r="P230" s="36"/>
      <c r="Q230" s="36"/>
      <c r="R230" s="36"/>
      <c r="S230" s="36"/>
      <c r="T230" s="36"/>
      <c r="U230" s="36"/>
      <c r="V230" s="36"/>
      <c r="W230" s="36"/>
      <c r="X230" s="36"/>
      <c r="Y230" s="36"/>
      <c r="Z230" s="36"/>
      <c r="AA230" s="36"/>
      <c r="AB230" s="36"/>
    </row>
    <row r="231" spans="1:28" ht="24" customHeight="1">
      <c r="A231" s="170" t="s">
        <v>689</v>
      </c>
      <c r="B231" s="38">
        <v>40907</v>
      </c>
      <c r="C231" s="142" t="s">
        <v>130</v>
      </c>
      <c r="D231" s="33" t="s">
        <v>690</v>
      </c>
      <c r="E231" s="32" t="s">
        <v>41</v>
      </c>
      <c r="F231" s="32" t="s">
        <v>42</v>
      </c>
      <c r="G231" s="116" t="s">
        <v>43</v>
      </c>
      <c r="H231" s="117" t="s">
        <v>410</v>
      </c>
      <c r="I231" s="74"/>
      <c r="J231" s="36"/>
      <c r="K231" s="36"/>
      <c r="L231" s="36"/>
      <c r="M231" s="36"/>
      <c r="N231" s="36"/>
      <c r="O231" s="36"/>
      <c r="P231" s="36"/>
      <c r="Q231" s="36"/>
      <c r="R231" s="36"/>
      <c r="S231" s="36"/>
      <c r="T231" s="36"/>
      <c r="U231" s="36"/>
      <c r="V231" s="36"/>
      <c r="W231" s="36"/>
      <c r="X231" s="36"/>
      <c r="Y231" s="36"/>
      <c r="Z231" s="36"/>
      <c r="AA231" s="36"/>
      <c r="AB231" s="36"/>
    </row>
    <row r="232" spans="1:28" ht="36" customHeight="1">
      <c r="A232" s="49" t="str">
        <f>HYPERLINK("https://www.alcaldiabogota.gov.co/sisjur/normas/Norma1.jsp?i=60352&amp;dt=S","RESOLUCIÓN 658    ")</f>
        <v xml:space="preserve">RESOLUCIÓN 658    </v>
      </c>
      <c r="B232" s="38">
        <v>41963</v>
      </c>
      <c r="C232" s="142" t="s">
        <v>130</v>
      </c>
      <c r="D232" s="33" t="s">
        <v>691</v>
      </c>
      <c r="E232" s="32" t="s">
        <v>41</v>
      </c>
      <c r="F232" s="32" t="s">
        <v>42</v>
      </c>
      <c r="G232" s="116" t="s">
        <v>43</v>
      </c>
      <c r="H232" s="117" t="s">
        <v>410</v>
      </c>
      <c r="I232" s="74"/>
      <c r="J232" s="36"/>
      <c r="K232" s="36"/>
      <c r="L232" s="36"/>
      <c r="M232" s="36"/>
      <c r="N232" s="36"/>
      <c r="O232" s="36"/>
      <c r="P232" s="36"/>
      <c r="Q232" s="36"/>
      <c r="R232" s="36"/>
      <c r="S232" s="36"/>
      <c r="T232" s="36"/>
      <c r="U232" s="36"/>
      <c r="V232" s="36"/>
      <c r="W232" s="36"/>
      <c r="X232" s="36"/>
      <c r="Y232" s="36"/>
      <c r="Z232" s="36"/>
      <c r="AA232" s="36"/>
      <c r="AB232" s="36"/>
    </row>
    <row r="233" spans="1:28" ht="24" customHeight="1">
      <c r="A233" s="170" t="s">
        <v>692</v>
      </c>
      <c r="B233" s="31">
        <v>43264</v>
      </c>
      <c r="C233" s="32" t="s">
        <v>130</v>
      </c>
      <c r="D233" s="33" t="s">
        <v>693</v>
      </c>
      <c r="E233" s="32" t="s">
        <v>41</v>
      </c>
      <c r="F233" s="32" t="s">
        <v>42</v>
      </c>
      <c r="G233" s="116" t="s">
        <v>43</v>
      </c>
      <c r="H233" s="117" t="s">
        <v>410</v>
      </c>
      <c r="I233" s="74"/>
      <c r="J233" s="36"/>
      <c r="K233" s="36"/>
      <c r="L233" s="36"/>
      <c r="M233" s="36"/>
      <c r="N233" s="36"/>
      <c r="O233" s="36"/>
      <c r="P233" s="36"/>
      <c r="Q233" s="36"/>
      <c r="R233" s="36"/>
      <c r="S233" s="36"/>
      <c r="T233" s="36"/>
      <c r="U233" s="36"/>
      <c r="V233" s="36"/>
      <c r="W233" s="36"/>
      <c r="X233" s="36"/>
      <c r="Y233" s="36"/>
      <c r="Z233" s="36"/>
      <c r="AA233" s="36"/>
      <c r="AB233" s="36"/>
    </row>
    <row r="234" spans="1:28" ht="24" customHeight="1">
      <c r="A234" s="151" t="s">
        <v>694</v>
      </c>
      <c r="B234" s="31">
        <v>43622</v>
      </c>
      <c r="C234" s="33" t="s">
        <v>130</v>
      </c>
      <c r="D234" s="33" t="s">
        <v>695</v>
      </c>
      <c r="E234" s="40" t="s">
        <v>41</v>
      </c>
      <c r="F234" s="40" t="s">
        <v>42</v>
      </c>
      <c r="G234" s="116"/>
      <c r="H234" s="117"/>
      <c r="I234" s="74"/>
      <c r="J234" s="36"/>
      <c r="K234" s="36"/>
      <c r="L234" s="36"/>
      <c r="M234" s="36"/>
      <c r="N234" s="36"/>
      <c r="O234" s="36"/>
      <c r="P234" s="36"/>
      <c r="Q234" s="36"/>
      <c r="R234" s="36"/>
      <c r="S234" s="36"/>
      <c r="T234" s="36"/>
      <c r="U234" s="36"/>
      <c r="V234" s="36"/>
      <c r="W234" s="36"/>
      <c r="X234" s="36"/>
      <c r="Y234" s="36"/>
      <c r="Z234" s="36"/>
      <c r="AA234" s="36"/>
      <c r="AB234" s="36"/>
    </row>
    <row r="235" spans="1:28" ht="24" customHeight="1">
      <c r="A235" s="48" t="str">
        <f>HYPERLINK("https://www.idrd.gov.co/transparencia/marco-legal/normatividad/resolucion-140-del-19-marzo-2020","RESOLUCIÓN 140 ")</f>
        <v xml:space="preserve">RESOLUCIÓN 140 </v>
      </c>
      <c r="B235" s="31">
        <v>43909</v>
      </c>
      <c r="C235" s="39" t="s">
        <v>130</v>
      </c>
      <c r="D235" s="171" t="s">
        <v>696</v>
      </c>
      <c r="E235" s="40" t="s">
        <v>41</v>
      </c>
      <c r="F235" s="40" t="s">
        <v>42</v>
      </c>
      <c r="G235" s="116"/>
      <c r="H235" s="117"/>
      <c r="I235" s="74"/>
      <c r="J235" s="36"/>
      <c r="K235" s="36"/>
      <c r="L235" s="36"/>
      <c r="M235" s="36"/>
      <c r="N235" s="36"/>
      <c r="O235" s="36"/>
      <c r="P235" s="36"/>
      <c r="Q235" s="36"/>
      <c r="R235" s="36"/>
      <c r="S235" s="36"/>
      <c r="T235" s="36"/>
      <c r="U235" s="36"/>
      <c r="V235" s="36"/>
      <c r="W235" s="36"/>
      <c r="X235" s="36"/>
      <c r="Y235" s="36"/>
      <c r="Z235" s="36"/>
      <c r="AA235" s="36"/>
      <c r="AB235" s="36"/>
    </row>
    <row r="236" spans="1:28" ht="31.5" customHeight="1">
      <c r="A236" s="48" t="str">
        <f>HYPERLINK("https://www.idrd.gov.co/transparencia/marco-legal/normatividad/resolucion-141-del-24-marzo-2020","RESOLUCIÓN 141")</f>
        <v>RESOLUCIÓN 141</v>
      </c>
      <c r="B236" s="31">
        <v>43914</v>
      </c>
      <c r="C236" s="39" t="s">
        <v>130</v>
      </c>
      <c r="D236" s="171" t="s">
        <v>697</v>
      </c>
      <c r="E236" s="40" t="s">
        <v>41</v>
      </c>
      <c r="F236" s="40" t="s">
        <v>42</v>
      </c>
      <c r="G236" s="116"/>
      <c r="H236" s="117"/>
      <c r="I236" s="74"/>
      <c r="J236" s="36"/>
      <c r="K236" s="36"/>
      <c r="L236" s="36"/>
      <c r="M236" s="36"/>
      <c r="N236" s="36"/>
      <c r="O236" s="36"/>
      <c r="P236" s="36"/>
      <c r="Q236" s="36"/>
      <c r="R236" s="36"/>
      <c r="S236" s="36"/>
      <c r="T236" s="36"/>
      <c r="U236" s="36"/>
      <c r="V236" s="36"/>
      <c r="W236" s="36"/>
      <c r="X236" s="36"/>
      <c r="Y236" s="36"/>
      <c r="Z236" s="36"/>
      <c r="AA236" s="36"/>
      <c r="AB236" s="36"/>
    </row>
    <row r="237" spans="1:28" ht="49.5" customHeight="1">
      <c r="A237" s="48" t="str">
        <f>HYPERLINK("https://www.idrd.gov.co/transparencia/marco-legal/normatividad/resolucion-145-2020","RESOLUCIÓN 145")</f>
        <v>RESOLUCIÓN 145</v>
      </c>
      <c r="B237" s="31">
        <v>43934</v>
      </c>
      <c r="C237" s="39" t="s">
        <v>130</v>
      </c>
      <c r="D237" s="39" t="s">
        <v>698</v>
      </c>
      <c r="E237" s="40" t="s">
        <v>41</v>
      </c>
      <c r="F237" s="40" t="s">
        <v>42</v>
      </c>
      <c r="G237" s="116"/>
      <c r="H237" s="117"/>
      <c r="I237" s="74"/>
      <c r="J237" s="36"/>
      <c r="K237" s="36"/>
      <c r="L237" s="36"/>
      <c r="M237" s="36"/>
      <c r="N237" s="36"/>
      <c r="O237" s="36"/>
      <c r="P237" s="36"/>
      <c r="Q237" s="36"/>
      <c r="R237" s="36"/>
      <c r="S237" s="36"/>
      <c r="T237" s="36"/>
      <c r="U237" s="36"/>
      <c r="V237" s="36"/>
      <c r="W237" s="36"/>
      <c r="X237" s="36"/>
      <c r="Y237" s="36"/>
      <c r="Z237" s="36"/>
      <c r="AA237" s="36"/>
      <c r="AB237" s="36"/>
    </row>
    <row r="238" spans="1:28" ht="72" customHeight="1">
      <c r="A238" s="151" t="s">
        <v>699</v>
      </c>
      <c r="B238" s="31">
        <v>43514</v>
      </c>
      <c r="C238" s="40" t="s">
        <v>676</v>
      </c>
      <c r="D238" s="39" t="s">
        <v>700</v>
      </c>
      <c r="E238" s="32" t="s">
        <v>41</v>
      </c>
      <c r="F238" s="32" t="s">
        <v>42</v>
      </c>
      <c r="G238" s="116"/>
      <c r="H238" s="117"/>
      <c r="I238" s="74"/>
      <c r="J238" s="36"/>
      <c r="K238" s="36"/>
      <c r="L238" s="36"/>
      <c r="M238" s="36"/>
      <c r="N238" s="36"/>
      <c r="O238" s="36"/>
      <c r="P238" s="36"/>
      <c r="Q238" s="36"/>
      <c r="R238" s="36"/>
      <c r="S238" s="36"/>
      <c r="T238" s="36"/>
      <c r="U238" s="36"/>
      <c r="V238" s="36"/>
      <c r="W238" s="36"/>
      <c r="X238" s="36"/>
      <c r="Y238" s="36"/>
      <c r="Z238" s="36"/>
      <c r="AA238" s="36"/>
      <c r="AB238" s="36"/>
    </row>
    <row r="239" spans="1:28" ht="72" customHeight="1">
      <c r="A239" s="48" t="str">
        <f>HYPERLINK("http://www.contraloriabogota.gov.co/sites/default/files/Contenido/Normatividad/Resoluciones/2019/RR_036_2019%20Por%20la%20cual%20se%20Adopta%20el%20Procedimiento%20y%20se%20Reglamenta%20el%20Tramite%20del%20Plan%20de%20Mejoramiento/RR_036_2019.pdf","RESOLUCIÓN 036")</f>
        <v>RESOLUCIÓN 036</v>
      </c>
      <c r="B239" s="31">
        <v>43728</v>
      </c>
      <c r="C239" s="40" t="s">
        <v>676</v>
      </c>
      <c r="D239" s="39" t="s">
        <v>701</v>
      </c>
      <c r="E239" s="40" t="s">
        <v>41</v>
      </c>
      <c r="F239" s="40" t="s">
        <v>42</v>
      </c>
      <c r="G239" s="116"/>
      <c r="H239" s="117"/>
      <c r="I239" s="74"/>
      <c r="J239" s="36"/>
      <c r="K239" s="36"/>
      <c r="L239" s="36"/>
      <c r="M239" s="36"/>
      <c r="N239" s="36"/>
      <c r="O239" s="36"/>
      <c r="P239" s="36"/>
      <c r="Q239" s="36"/>
      <c r="R239" s="36"/>
      <c r="S239" s="36"/>
      <c r="T239" s="36"/>
      <c r="U239" s="36"/>
      <c r="V239" s="36"/>
      <c r="W239" s="36"/>
      <c r="X239" s="36"/>
      <c r="Y239" s="36"/>
      <c r="Z239" s="36"/>
      <c r="AA239" s="36"/>
      <c r="AB239" s="36"/>
    </row>
    <row r="240" spans="1:28" ht="72" customHeight="1">
      <c r="A240" s="37" t="s">
        <v>702</v>
      </c>
      <c r="B240" s="31">
        <v>44074</v>
      </c>
      <c r="C240" s="40" t="s">
        <v>130</v>
      </c>
      <c r="D240" s="39" t="s">
        <v>703</v>
      </c>
      <c r="E240" s="40" t="s">
        <v>41</v>
      </c>
      <c r="F240" s="40" t="s">
        <v>42</v>
      </c>
      <c r="G240" s="116"/>
      <c r="H240" s="117"/>
      <c r="I240" s="74"/>
      <c r="J240" s="36"/>
      <c r="K240" s="36"/>
      <c r="L240" s="36"/>
      <c r="M240" s="36"/>
      <c r="N240" s="36"/>
      <c r="O240" s="36"/>
      <c r="P240" s="36"/>
      <c r="Q240" s="36"/>
      <c r="R240" s="36"/>
      <c r="S240" s="36"/>
      <c r="T240" s="36"/>
      <c r="U240" s="36"/>
      <c r="V240" s="36"/>
      <c r="W240" s="36"/>
      <c r="X240" s="36"/>
      <c r="Y240" s="36"/>
      <c r="Z240" s="36"/>
      <c r="AA240" s="36"/>
      <c r="AB240" s="36"/>
    </row>
    <row r="241" spans="1:28" ht="72" customHeight="1">
      <c r="A241" s="37" t="s">
        <v>704</v>
      </c>
      <c r="B241" s="31">
        <v>44067</v>
      </c>
      <c r="C241" s="40" t="s">
        <v>705</v>
      </c>
      <c r="D241" s="39" t="s">
        <v>706</v>
      </c>
      <c r="E241" s="40" t="s">
        <v>41</v>
      </c>
      <c r="F241" s="40" t="s">
        <v>42</v>
      </c>
      <c r="G241" s="116"/>
      <c r="H241" s="117"/>
      <c r="I241" s="74"/>
      <c r="J241" s="36"/>
      <c r="K241" s="36"/>
      <c r="L241" s="36"/>
      <c r="M241" s="36"/>
      <c r="N241" s="36"/>
      <c r="O241" s="36"/>
      <c r="P241" s="36"/>
      <c r="Q241" s="36"/>
      <c r="R241" s="36"/>
      <c r="S241" s="36"/>
      <c r="T241" s="36"/>
      <c r="U241" s="36"/>
      <c r="V241" s="36"/>
      <c r="W241" s="36"/>
      <c r="X241" s="36"/>
      <c r="Y241" s="36"/>
      <c r="Z241" s="36"/>
      <c r="AA241" s="36"/>
      <c r="AB241" s="36"/>
    </row>
    <row r="242" spans="1:28" ht="54" customHeight="1">
      <c r="A242" s="37" t="s">
        <v>707</v>
      </c>
      <c r="B242" s="31">
        <v>44603</v>
      </c>
      <c r="C242" s="40" t="s">
        <v>708</v>
      </c>
      <c r="D242" s="168" t="s">
        <v>709</v>
      </c>
      <c r="E242" s="40" t="s">
        <v>41</v>
      </c>
      <c r="F242" s="40" t="s">
        <v>42</v>
      </c>
      <c r="G242" s="116"/>
      <c r="H242" s="117"/>
      <c r="I242" s="74"/>
      <c r="J242" s="36"/>
      <c r="K242" s="36"/>
      <c r="L242" s="36"/>
      <c r="M242" s="36"/>
      <c r="N242" s="36"/>
      <c r="O242" s="36"/>
      <c r="P242" s="36"/>
      <c r="Q242" s="36"/>
      <c r="R242" s="36"/>
      <c r="S242" s="36"/>
      <c r="T242" s="36"/>
      <c r="U242" s="36"/>
      <c r="V242" s="36"/>
      <c r="W242" s="36"/>
      <c r="X242" s="36"/>
      <c r="Y242" s="36"/>
      <c r="Z242" s="36"/>
      <c r="AA242" s="36"/>
      <c r="AB242" s="36"/>
    </row>
    <row r="243" spans="1:28" ht="54" customHeight="1">
      <c r="A243" s="37" t="s">
        <v>710</v>
      </c>
      <c r="B243" s="31">
        <v>44617</v>
      </c>
      <c r="C243" s="40" t="s">
        <v>708</v>
      </c>
      <c r="D243" s="168" t="s">
        <v>711</v>
      </c>
      <c r="E243" s="40" t="s">
        <v>41</v>
      </c>
      <c r="F243" s="40" t="s">
        <v>42</v>
      </c>
      <c r="G243" s="116"/>
      <c r="H243" s="117"/>
      <c r="I243" s="74"/>
      <c r="J243" s="36"/>
      <c r="K243" s="36"/>
      <c r="L243" s="36"/>
      <c r="M243" s="36"/>
      <c r="N243" s="36"/>
      <c r="O243" s="36"/>
      <c r="P243" s="36"/>
      <c r="Q243" s="36"/>
      <c r="R243" s="36"/>
      <c r="S243" s="36"/>
      <c r="T243" s="36"/>
      <c r="U243" s="36"/>
      <c r="V243" s="36"/>
      <c r="W243" s="36"/>
      <c r="X243" s="36"/>
      <c r="Y243" s="36"/>
      <c r="Z243" s="36"/>
      <c r="AA243" s="36"/>
      <c r="AB243" s="36"/>
    </row>
    <row r="244" spans="1:28" ht="24" customHeight="1">
      <c r="A244" s="49" t="str">
        <f>HYPERLINK("https://dapre.presidencia.gov.co/normativa/normativa/Circular-004-2005-Consejo_Asesor_del_Gobierno_Nacional.pdf","CIRCULAR 04")</f>
        <v>CIRCULAR 04</v>
      </c>
      <c r="B244" s="31">
        <v>38622</v>
      </c>
      <c r="C244" s="32" t="s">
        <v>712</v>
      </c>
      <c r="D244" s="33" t="s">
        <v>713</v>
      </c>
      <c r="E244" s="32" t="s">
        <v>41</v>
      </c>
      <c r="F244" s="32" t="s">
        <v>42</v>
      </c>
      <c r="G244" s="116" t="s">
        <v>43</v>
      </c>
      <c r="H244" s="117" t="s">
        <v>410</v>
      </c>
      <c r="I244" s="74"/>
      <c r="J244" s="36"/>
      <c r="K244" s="36"/>
      <c r="L244" s="36"/>
      <c r="M244" s="36"/>
      <c r="N244" s="36"/>
      <c r="O244" s="36"/>
      <c r="P244" s="36"/>
      <c r="Q244" s="36"/>
      <c r="R244" s="36"/>
      <c r="S244" s="36"/>
      <c r="T244" s="36"/>
      <c r="U244" s="36"/>
      <c r="V244" s="36"/>
      <c r="W244" s="36"/>
      <c r="X244" s="36"/>
      <c r="Y244" s="36"/>
      <c r="Z244" s="36"/>
      <c r="AA244" s="36"/>
      <c r="AB244" s="36"/>
    </row>
    <row r="245" spans="1:28" ht="24" customHeight="1">
      <c r="A245" s="49" t="str">
        <f>HYPERLINK("http://es.presidencia.gov.co/normativa/normativa/Circular-01-2015.pdf","CIRCULAR 01")</f>
        <v>CIRCULAR 01</v>
      </c>
      <c r="B245" s="31">
        <v>42194</v>
      </c>
      <c r="C245" s="32" t="s">
        <v>712</v>
      </c>
      <c r="D245" s="33" t="s">
        <v>714</v>
      </c>
      <c r="E245" s="32" t="s">
        <v>41</v>
      </c>
      <c r="F245" s="32" t="s">
        <v>42</v>
      </c>
      <c r="G245" s="116" t="s">
        <v>43</v>
      </c>
      <c r="H245" s="117" t="s">
        <v>410</v>
      </c>
      <c r="I245" s="74"/>
      <c r="J245" s="36"/>
      <c r="K245" s="36"/>
      <c r="L245" s="36"/>
      <c r="M245" s="36"/>
      <c r="N245" s="36"/>
      <c r="O245" s="36"/>
      <c r="P245" s="36"/>
      <c r="Q245" s="36"/>
      <c r="R245" s="36"/>
      <c r="S245" s="36"/>
      <c r="T245" s="36"/>
      <c r="U245" s="36"/>
      <c r="V245" s="36"/>
      <c r="W245" s="36"/>
      <c r="X245" s="36"/>
      <c r="Y245" s="36"/>
      <c r="Z245" s="36"/>
      <c r="AA245" s="36"/>
      <c r="AB245" s="36"/>
    </row>
    <row r="246" spans="1:28" ht="60" customHeight="1">
      <c r="A246" s="49" t="str">
        <f>HYPERLINK("https://www.funcionpublica.gov.co/documents/418537/616038/Circular+01+2016+Consejo+Asesor+de+Control+Interno/b2f9fcf1-4d2e-430d-86e9-2380d74d1264","CIRCULAR 01")</f>
        <v>CIRCULAR 01</v>
      </c>
      <c r="B246" s="31">
        <v>42464</v>
      </c>
      <c r="C246" s="32" t="s">
        <v>712</v>
      </c>
      <c r="D246" s="33" t="s">
        <v>715</v>
      </c>
      <c r="E246" s="32" t="s">
        <v>41</v>
      </c>
      <c r="F246" s="32" t="s">
        <v>42</v>
      </c>
      <c r="G246" s="116" t="s">
        <v>43</v>
      </c>
      <c r="H246" s="117" t="s">
        <v>410</v>
      </c>
      <c r="I246" s="74"/>
      <c r="J246" s="36"/>
      <c r="K246" s="36"/>
      <c r="L246" s="36"/>
      <c r="M246" s="36"/>
      <c r="N246" s="36"/>
      <c r="O246" s="36"/>
      <c r="P246" s="36"/>
      <c r="Q246" s="36"/>
      <c r="R246" s="36"/>
      <c r="S246" s="36"/>
      <c r="T246" s="36"/>
      <c r="U246" s="36"/>
      <c r="V246" s="36"/>
      <c r="W246" s="36"/>
      <c r="X246" s="36"/>
      <c r="Y246" s="36"/>
      <c r="Z246" s="36"/>
      <c r="AA246" s="36"/>
      <c r="AB246" s="36"/>
    </row>
    <row r="247" spans="1:28" ht="36" customHeight="1">
      <c r="A247" s="49" t="str">
        <f>HYPERLINK("https://www.alcaldiabogota.gov.co/sisjur/normas/Norma1.jsp?i=20514","CIRCULAR 18")</f>
        <v>CIRCULAR 18</v>
      </c>
      <c r="B247" s="31">
        <v>38884</v>
      </c>
      <c r="C247" s="32" t="s">
        <v>225</v>
      </c>
      <c r="D247" s="33" t="s">
        <v>716</v>
      </c>
      <c r="E247" s="32" t="s">
        <v>41</v>
      </c>
      <c r="F247" s="32" t="s">
        <v>42</v>
      </c>
      <c r="G247" s="116" t="s">
        <v>43</v>
      </c>
      <c r="H247" s="117" t="s">
        <v>410</v>
      </c>
      <c r="I247" s="74"/>
      <c r="J247" s="36"/>
      <c r="K247" s="36"/>
      <c r="L247" s="36"/>
      <c r="M247" s="36"/>
      <c r="N247" s="36"/>
      <c r="O247" s="36"/>
      <c r="P247" s="36"/>
      <c r="Q247" s="36"/>
      <c r="R247" s="36"/>
      <c r="S247" s="36"/>
      <c r="T247" s="36"/>
      <c r="U247" s="36"/>
      <c r="V247" s="36"/>
      <c r="W247" s="36"/>
      <c r="X247" s="36"/>
      <c r="Y247" s="36"/>
      <c r="Z247" s="36"/>
      <c r="AA247" s="36"/>
      <c r="AB247" s="36"/>
    </row>
    <row r="248" spans="1:28" ht="60" customHeight="1">
      <c r="A248" s="49" t="str">
        <f>HYPERLINK("https://www.alcaldiabogota.gov.co/sisjur/normas/Norma1.jsp?i=60522","CIRCULAR 10    ")</f>
        <v xml:space="preserve">CIRCULAR 10    </v>
      </c>
      <c r="B248" s="64">
        <v>2015</v>
      </c>
      <c r="C248" s="32" t="s">
        <v>225</v>
      </c>
      <c r="D248" s="33" t="s">
        <v>717</v>
      </c>
      <c r="E248" s="32" t="s">
        <v>41</v>
      </c>
      <c r="F248" s="32" t="s">
        <v>42</v>
      </c>
      <c r="G248" s="116" t="s">
        <v>43</v>
      </c>
      <c r="H248" s="117" t="s">
        <v>410</v>
      </c>
      <c r="I248" s="74"/>
      <c r="J248" s="36"/>
      <c r="K248" s="36"/>
      <c r="L248" s="36"/>
      <c r="M248" s="36"/>
      <c r="N248" s="36"/>
      <c r="O248" s="36"/>
      <c r="P248" s="36"/>
      <c r="Q248" s="36"/>
      <c r="R248" s="36"/>
      <c r="S248" s="36"/>
      <c r="T248" s="36"/>
      <c r="U248" s="36"/>
      <c r="V248" s="36"/>
      <c r="W248" s="36"/>
      <c r="X248" s="36"/>
      <c r="Y248" s="36"/>
      <c r="Z248" s="36"/>
      <c r="AA248" s="36"/>
      <c r="AB248" s="36"/>
    </row>
    <row r="249" spans="1:28" ht="48" customHeight="1">
      <c r="A249" s="49" t="str">
        <f>HYPERLINK("https://www.alcaldiabogota.gov.co/sisjur/normas/Norma1.jsp?i=60516","CIRCULAR 11")</f>
        <v>CIRCULAR 11</v>
      </c>
      <c r="B249" s="64">
        <v>2015</v>
      </c>
      <c r="C249" s="32" t="s">
        <v>225</v>
      </c>
      <c r="D249" s="33" t="s">
        <v>718</v>
      </c>
      <c r="E249" s="32" t="s">
        <v>41</v>
      </c>
      <c r="F249" s="32" t="s">
        <v>42</v>
      </c>
      <c r="G249" s="116" t="s">
        <v>43</v>
      </c>
      <c r="H249" s="117" t="s">
        <v>410</v>
      </c>
      <c r="I249" s="74"/>
      <c r="J249" s="36"/>
      <c r="K249" s="36"/>
      <c r="L249" s="36"/>
      <c r="M249" s="36"/>
      <c r="N249" s="36"/>
      <c r="O249" s="36"/>
      <c r="P249" s="36"/>
      <c r="Q249" s="36"/>
      <c r="R249" s="36"/>
      <c r="S249" s="36"/>
      <c r="T249" s="36"/>
      <c r="U249" s="36"/>
      <c r="V249" s="36"/>
      <c r="W249" s="36"/>
      <c r="X249" s="36"/>
      <c r="Y249" s="36"/>
      <c r="Z249" s="36"/>
      <c r="AA249" s="36"/>
      <c r="AB249" s="36"/>
    </row>
    <row r="250" spans="1:28" ht="171" customHeight="1">
      <c r="A250" s="49" t="str">
        <f>HYPERLINK("https://www.alcaldiabogota.gov.co/sisjur/normas/Norma1.jsp?i=61204","CIRCULAR 47")</f>
        <v>CIRCULAR 47</v>
      </c>
      <c r="B250" s="64">
        <v>2015</v>
      </c>
      <c r="C250" s="32" t="s">
        <v>225</v>
      </c>
      <c r="D250" s="33" t="s">
        <v>719</v>
      </c>
      <c r="E250" s="32" t="s">
        <v>41</v>
      </c>
      <c r="F250" s="32" t="s">
        <v>42</v>
      </c>
      <c r="G250" s="116" t="s">
        <v>43</v>
      </c>
      <c r="H250" s="117" t="s">
        <v>410</v>
      </c>
      <c r="I250" s="74"/>
      <c r="J250" s="36"/>
      <c r="K250" s="36"/>
      <c r="L250" s="36"/>
      <c r="M250" s="36"/>
      <c r="N250" s="36"/>
      <c r="O250" s="36"/>
      <c r="P250" s="36"/>
      <c r="Q250" s="36"/>
      <c r="R250" s="36"/>
      <c r="S250" s="36"/>
      <c r="T250" s="36"/>
      <c r="U250" s="36"/>
      <c r="V250" s="36"/>
      <c r="W250" s="36"/>
      <c r="X250" s="36"/>
      <c r="Y250" s="36"/>
      <c r="Z250" s="36"/>
      <c r="AA250" s="36"/>
      <c r="AB250" s="36"/>
    </row>
    <row r="251" spans="1:28" ht="36" customHeight="1">
      <c r="A251" s="49" t="str">
        <f>HYPERLINK("https://www.alcaldiabogota.gov.co/sisjur/normas/Norma1.jsp?i=73674","CIRCULAR 04")</f>
        <v>CIRCULAR 04</v>
      </c>
      <c r="B251" s="31">
        <v>43122</v>
      </c>
      <c r="C251" s="32" t="s">
        <v>225</v>
      </c>
      <c r="D251" s="33" t="s">
        <v>720</v>
      </c>
      <c r="E251" s="32" t="s">
        <v>41</v>
      </c>
      <c r="F251" s="32" t="s">
        <v>42</v>
      </c>
      <c r="G251" s="116" t="s">
        <v>43</v>
      </c>
      <c r="H251" s="117" t="s">
        <v>410</v>
      </c>
      <c r="I251" s="74"/>
      <c r="J251" s="36"/>
      <c r="K251" s="36"/>
      <c r="L251" s="36"/>
      <c r="M251" s="36"/>
      <c r="N251" s="36"/>
      <c r="O251" s="36"/>
      <c r="P251" s="36"/>
      <c r="Q251" s="36"/>
      <c r="R251" s="36"/>
      <c r="S251" s="36"/>
      <c r="T251" s="36"/>
      <c r="U251" s="36"/>
      <c r="V251" s="36"/>
      <c r="W251" s="36"/>
      <c r="X251" s="36"/>
      <c r="Y251" s="36"/>
      <c r="Z251" s="36"/>
      <c r="AA251" s="36"/>
      <c r="AB251" s="36"/>
    </row>
    <row r="252" spans="1:28" ht="36" customHeight="1">
      <c r="A252" s="49" t="str">
        <f>HYPERLINK("https://www.alcaldiabogota.gov.co/sisjur/normas/Norma1.jsp?i=76124","CIRCULAR 12")</f>
        <v>CIRCULAR 12</v>
      </c>
      <c r="B252" s="31">
        <v>43182</v>
      </c>
      <c r="C252" s="32" t="s">
        <v>721</v>
      </c>
      <c r="D252" s="33" t="s">
        <v>722</v>
      </c>
      <c r="E252" s="32" t="s">
        <v>41</v>
      </c>
      <c r="F252" s="32" t="s">
        <v>42</v>
      </c>
      <c r="G252" s="116" t="s">
        <v>43</v>
      </c>
      <c r="H252" s="117" t="s">
        <v>410</v>
      </c>
      <c r="I252" s="74"/>
      <c r="J252" s="36"/>
      <c r="K252" s="36"/>
      <c r="L252" s="36"/>
      <c r="M252" s="36"/>
      <c r="N252" s="36"/>
      <c r="O252" s="36"/>
      <c r="P252" s="36"/>
      <c r="Q252" s="36"/>
      <c r="R252" s="36"/>
      <c r="S252" s="36"/>
      <c r="T252" s="36"/>
      <c r="U252" s="36"/>
      <c r="V252" s="36"/>
      <c r="W252" s="36"/>
      <c r="X252" s="36"/>
      <c r="Y252" s="36"/>
      <c r="Z252" s="36"/>
      <c r="AA252" s="36"/>
      <c r="AB252" s="36"/>
    </row>
    <row r="253" spans="1:28" ht="36" customHeight="1">
      <c r="A253" s="49" t="str">
        <f>HYPERLINK("https://www.serviciocivil.gov.co/portal/sites/default/files/marco-legal/2017_01_19_CIRCULAR_002.pdf","CIRCULAR 02")</f>
        <v>CIRCULAR 02</v>
      </c>
      <c r="B253" s="31">
        <v>42754</v>
      </c>
      <c r="C253" s="32" t="s">
        <v>723</v>
      </c>
      <c r="D253" s="33" t="s">
        <v>724</v>
      </c>
      <c r="E253" s="32" t="s">
        <v>41</v>
      </c>
      <c r="F253" s="32" t="s">
        <v>42</v>
      </c>
      <c r="G253" s="116" t="s">
        <v>43</v>
      </c>
      <c r="H253" s="117" t="s">
        <v>410</v>
      </c>
      <c r="I253" s="74"/>
      <c r="J253" s="36"/>
      <c r="K253" s="36"/>
      <c r="L253" s="36"/>
      <c r="M253" s="36"/>
      <c r="N253" s="36"/>
      <c r="O253" s="36"/>
      <c r="P253" s="36"/>
      <c r="Q253" s="36"/>
      <c r="R253" s="36"/>
      <c r="S253" s="36"/>
      <c r="T253" s="36"/>
      <c r="U253" s="36"/>
      <c r="V253" s="36"/>
      <c r="W253" s="36"/>
      <c r="X253" s="36"/>
      <c r="Y253" s="36"/>
      <c r="Z253" s="36"/>
      <c r="AA253" s="36"/>
      <c r="AB253" s="36"/>
    </row>
    <row r="254" spans="1:28" ht="24" customHeight="1">
      <c r="A254" s="48" t="str">
        <f>HYPERLINK("https://www.alcaldiabogota.gov.co/sisjur/normas/Norma1.jsp?i=88585","CIRCULAR 029")</f>
        <v>CIRCULAR 029</v>
      </c>
      <c r="B254" s="157">
        <v>43825</v>
      </c>
      <c r="C254" s="159" t="s">
        <v>725</v>
      </c>
      <c r="D254" s="159" t="s">
        <v>726</v>
      </c>
      <c r="E254" s="40" t="s">
        <v>41</v>
      </c>
      <c r="F254" s="40" t="s">
        <v>42</v>
      </c>
      <c r="G254" s="116"/>
      <c r="H254" s="117"/>
      <c r="I254" s="74"/>
      <c r="J254" s="36"/>
      <c r="K254" s="36"/>
      <c r="L254" s="36"/>
      <c r="M254" s="36"/>
      <c r="N254" s="36"/>
      <c r="O254" s="36"/>
      <c r="P254" s="36"/>
      <c r="Q254" s="36"/>
      <c r="R254" s="36"/>
      <c r="S254" s="36"/>
      <c r="T254" s="36"/>
      <c r="U254" s="36"/>
      <c r="V254" s="36"/>
      <c r="W254" s="36"/>
      <c r="X254" s="36"/>
      <c r="Y254" s="36"/>
      <c r="Z254" s="36"/>
      <c r="AA254" s="36"/>
      <c r="AB254" s="36"/>
    </row>
    <row r="255" spans="1:28" ht="24" customHeight="1">
      <c r="A255" s="37" t="s">
        <v>727</v>
      </c>
      <c r="B255" s="163">
        <v>43985</v>
      </c>
      <c r="C255" s="159" t="s">
        <v>728</v>
      </c>
      <c r="D255" s="172" t="s">
        <v>729</v>
      </c>
      <c r="E255" s="40" t="s">
        <v>41</v>
      </c>
      <c r="F255" s="40" t="s">
        <v>42</v>
      </c>
      <c r="G255" s="116"/>
      <c r="H255" s="117"/>
      <c r="I255" s="74"/>
      <c r="J255" s="36"/>
      <c r="K255" s="36"/>
      <c r="L255" s="36"/>
      <c r="M255" s="36"/>
      <c r="N255" s="36"/>
      <c r="O255" s="36"/>
      <c r="P255" s="36"/>
      <c r="Q255" s="36"/>
      <c r="R255" s="36"/>
      <c r="S255" s="36"/>
      <c r="T255" s="36"/>
      <c r="U255" s="36"/>
      <c r="V255" s="36"/>
      <c r="W255" s="36"/>
      <c r="X255" s="36"/>
      <c r="Y255" s="36"/>
      <c r="Z255" s="36"/>
      <c r="AA255" s="36"/>
      <c r="AB255" s="36"/>
    </row>
    <row r="256" spans="1:28" ht="24" customHeight="1">
      <c r="A256" s="37" t="s">
        <v>730</v>
      </c>
      <c r="B256" s="163">
        <v>44012</v>
      </c>
      <c r="C256" s="159" t="s">
        <v>731</v>
      </c>
      <c r="D256" s="172" t="s">
        <v>732</v>
      </c>
      <c r="E256" s="40" t="s">
        <v>41</v>
      </c>
      <c r="F256" s="40" t="s">
        <v>42</v>
      </c>
      <c r="G256" s="116"/>
      <c r="H256" s="117"/>
      <c r="I256" s="74"/>
      <c r="J256" s="36"/>
      <c r="K256" s="36"/>
      <c r="L256" s="36"/>
      <c r="M256" s="36"/>
      <c r="N256" s="36"/>
      <c r="O256" s="36"/>
      <c r="P256" s="36"/>
      <c r="Q256" s="36"/>
      <c r="R256" s="36"/>
      <c r="S256" s="36"/>
      <c r="T256" s="36"/>
      <c r="U256" s="36"/>
      <c r="V256" s="36"/>
      <c r="W256" s="36"/>
      <c r="X256" s="36"/>
      <c r="Y256" s="36"/>
      <c r="Z256" s="36"/>
      <c r="AA256" s="36"/>
      <c r="AB256" s="36"/>
    </row>
    <row r="257" spans="1:28" ht="24" customHeight="1">
      <c r="A257" s="37" t="s">
        <v>733</v>
      </c>
      <c r="B257" s="163">
        <v>44029</v>
      </c>
      <c r="C257" s="159" t="s">
        <v>728</v>
      </c>
      <c r="D257" s="173" t="s">
        <v>734</v>
      </c>
      <c r="E257" s="40" t="s">
        <v>41</v>
      </c>
      <c r="F257" s="40" t="s">
        <v>42</v>
      </c>
      <c r="G257" s="116"/>
      <c r="H257" s="117"/>
      <c r="I257" s="74"/>
      <c r="J257" s="36"/>
      <c r="K257" s="36"/>
      <c r="L257" s="36"/>
      <c r="M257" s="36"/>
      <c r="N257" s="36"/>
      <c r="O257" s="36"/>
      <c r="P257" s="36"/>
      <c r="Q257" s="36"/>
      <c r="R257" s="36"/>
      <c r="S257" s="36"/>
      <c r="T257" s="36"/>
      <c r="U257" s="36"/>
      <c r="V257" s="36"/>
      <c r="W257" s="36"/>
      <c r="X257" s="36"/>
      <c r="Y257" s="36"/>
      <c r="Z257" s="36"/>
      <c r="AA257" s="36"/>
      <c r="AB257" s="36"/>
    </row>
    <row r="258" spans="1:28" ht="24" customHeight="1">
      <c r="A258" s="37" t="s">
        <v>735</v>
      </c>
      <c r="B258" s="163">
        <v>44195</v>
      </c>
      <c r="C258" s="159" t="s">
        <v>736</v>
      </c>
      <c r="D258" s="174" t="s">
        <v>737</v>
      </c>
      <c r="E258" s="40" t="s">
        <v>41</v>
      </c>
      <c r="F258" s="40" t="s">
        <v>42</v>
      </c>
      <c r="G258" s="116"/>
      <c r="H258" s="117"/>
      <c r="I258" s="74"/>
      <c r="J258" s="36"/>
      <c r="K258" s="36"/>
      <c r="L258" s="36"/>
      <c r="M258" s="36"/>
      <c r="N258" s="36"/>
      <c r="O258" s="36"/>
      <c r="P258" s="36"/>
      <c r="Q258" s="36"/>
      <c r="R258" s="36"/>
      <c r="S258" s="36"/>
      <c r="T258" s="36"/>
      <c r="U258" s="36"/>
      <c r="V258" s="36"/>
      <c r="W258" s="36"/>
      <c r="X258" s="36"/>
      <c r="Y258" s="36"/>
      <c r="Z258" s="36"/>
      <c r="AA258" s="36"/>
      <c r="AB258" s="36"/>
    </row>
    <row r="259" spans="1:28" ht="41.25" customHeight="1">
      <c r="A259" s="37" t="s">
        <v>738</v>
      </c>
      <c r="B259" s="163">
        <v>44540</v>
      </c>
      <c r="C259" s="175" t="s">
        <v>739</v>
      </c>
      <c r="D259" s="176" t="s">
        <v>740</v>
      </c>
      <c r="E259" s="40" t="s">
        <v>41</v>
      </c>
      <c r="F259" s="40" t="s">
        <v>42</v>
      </c>
      <c r="G259" s="116"/>
      <c r="H259" s="117"/>
      <c r="I259" s="74"/>
      <c r="J259" s="36"/>
      <c r="K259" s="36"/>
      <c r="L259" s="36"/>
      <c r="M259" s="36"/>
      <c r="N259" s="36"/>
      <c r="O259" s="36"/>
      <c r="P259" s="36"/>
      <c r="Q259" s="36"/>
      <c r="R259" s="36"/>
      <c r="S259" s="36"/>
      <c r="T259" s="36"/>
      <c r="U259" s="36"/>
      <c r="V259" s="36"/>
      <c r="W259" s="36"/>
      <c r="X259" s="36"/>
      <c r="Y259" s="36"/>
      <c r="Z259" s="36"/>
      <c r="AA259" s="36"/>
      <c r="AB259" s="36"/>
    </row>
    <row r="260" spans="1:28" ht="41.25" customHeight="1">
      <c r="A260" s="37" t="s">
        <v>741</v>
      </c>
      <c r="B260" s="163">
        <v>44553</v>
      </c>
      <c r="C260" s="177" t="s">
        <v>739</v>
      </c>
      <c r="D260" s="178" t="s">
        <v>742</v>
      </c>
      <c r="E260" s="40" t="s">
        <v>41</v>
      </c>
      <c r="F260" s="40" t="s">
        <v>42</v>
      </c>
      <c r="G260" s="116"/>
      <c r="H260" s="117"/>
      <c r="I260" s="74"/>
      <c r="J260" s="36"/>
      <c r="K260" s="36"/>
      <c r="L260" s="36"/>
      <c r="M260" s="36"/>
      <c r="N260" s="36"/>
      <c r="O260" s="36"/>
      <c r="P260" s="36"/>
      <c r="Q260" s="36"/>
      <c r="R260" s="36"/>
      <c r="S260" s="36"/>
      <c r="T260" s="36"/>
      <c r="U260" s="36"/>
      <c r="V260" s="36"/>
      <c r="W260" s="36"/>
      <c r="X260" s="36"/>
      <c r="Y260" s="36"/>
      <c r="Z260" s="36"/>
      <c r="AA260" s="36"/>
      <c r="AB260" s="36"/>
    </row>
    <row r="261" spans="1:28" ht="41.25" customHeight="1">
      <c r="A261" s="37" t="s">
        <v>400</v>
      </c>
      <c r="B261" s="163">
        <v>44684</v>
      </c>
      <c r="C261" s="177" t="s">
        <v>728</v>
      </c>
      <c r="D261" s="179" t="s">
        <v>743</v>
      </c>
      <c r="E261" s="40" t="s">
        <v>41</v>
      </c>
      <c r="F261" s="40" t="s">
        <v>42</v>
      </c>
      <c r="G261" s="116"/>
      <c r="H261" s="117"/>
      <c r="I261" s="74"/>
      <c r="J261" s="36"/>
      <c r="K261" s="36"/>
      <c r="L261" s="36"/>
      <c r="M261" s="36"/>
      <c r="N261" s="36"/>
      <c r="O261" s="36"/>
      <c r="P261" s="36"/>
      <c r="Q261" s="36"/>
      <c r="R261" s="36"/>
      <c r="S261" s="36"/>
      <c r="T261" s="36"/>
      <c r="U261" s="36"/>
      <c r="V261" s="36"/>
      <c r="W261" s="36"/>
      <c r="X261" s="36"/>
      <c r="Y261" s="36"/>
      <c r="Z261" s="36"/>
      <c r="AA261" s="36"/>
      <c r="AB261" s="36"/>
    </row>
    <row r="262" spans="1:28" ht="27" customHeight="1">
      <c r="A262" s="49" t="str">
        <f>HYPERLINK("https://www.alcaldiabogota.gov.co/sisjur/normas/Norma1.jsp?i=4813","DIRECTIVA 2")</f>
        <v>DIRECTIVA 2</v>
      </c>
      <c r="B262" s="31">
        <v>37299</v>
      </c>
      <c r="C262" s="32" t="s">
        <v>57</v>
      </c>
      <c r="D262" s="180"/>
      <c r="E262" s="32" t="s">
        <v>41</v>
      </c>
      <c r="F262" s="32" t="s">
        <v>42</v>
      </c>
      <c r="G262" s="116" t="s">
        <v>43</v>
      </c>
      <c r="H262" s="117" t="s">
        <v>410</v>
      </c>
      <c r="I262" s="74"/>
      <c r="J262" s="36"/>
      <c r="K262" s="36"/>
      <c r="L262" s="36"/>
      <c r="M262" s="36"/>
      <c r="N262" s="36"/>
      <c r="O262" s="36"/>
      <c r="P262" s="36"/>
      <c r="Q262" s="36"/>
      <c r="R262" s="36"/>
      <c r="S262" s="36"/>
      <c r="T262" s="36"/>
      <c r="U262" s="36"/>
      <c r="V262" s="36"/>
      <c r="W262" s="36"/>
      <c r="X262" s="36"/>
      <c r="Y262" s="36"/>
      <c r="Z262" s="36"/>
      <c r="AA262" s="36"/>
      <c r="AB262" s="36"/>
    </row>
    <row r="263" spans="1:28" ht="24" customHeight="1">
      <c r="A263" s="49" t="str">
        <f>HYPERLINK("https://www.alcaldiabogota.gov.co/sisjur/normas/Norma1.jsp?i=70451","DIRECTIVA 06")</f>
        <v>DIRECTIVA 06</v>
      </c>
      <c r="B263" s="38">
        <v>42410</v>
      </c>
      <c r="C263" s="32" t="s">
        <v>57</v>
      </c>
      <c r="D263" s="181" t="s">
        <v>744</v>
      </c>
      <c r="E263" s="32" t="s">
        <v>41</v>
      </c>
      <c r="F263" s="32" t="s">
        <v>42</v>
      </c>
      <c r="G263" s="116" t="s">
        <v>43</v>
      </c>
      <c r="H263" s="117" t="s">
        <v>410</v>
      </c>
      <c r="I263" s="74"/>
      <c r="J263" s="36"/>
      <c r="K263" s="36"/>
      <c r="L263" s="36"/>
      <c r="M263" s="36"/>
      <c r="N263" s="36"/>
      <c r="O263" s="36"/>
      <c r="P263" s="36"/>
      <c r="Q263" s="36"/>
      <c r="R263" s="36"/>
      <c r="S263" s="36"/>
      <c r="T263" s="36"/>
      <c r="U263" s="36"/>
      <c r="V263" s="36"/>
      <c r="W263" s="36"/>
      <c r="X263" s="36"/>
      <c r="Y263" s="36"/>
      <c r="Z263" s="36"/>
      <c r="AA263" s="36"/>
      <c r="AB263" s="36"/>
    </row>
    <row r="264" spans="1:28" ht="36" customHeight="1">
      <c r="A264" s="49" t="str">
        <f>HYPERLINK("https://www.alcaldiabogota.gov.co/sisjur/normas/Norma1.jsp?i=53751","DIRECTIVA 3    ")</f>
        <v xml:space="preserve">DIRECTIVA 3    </v>
      </c>
      <c r="B264" s="31">
        <v>41450</v>
      </c>
      <c r="C264" s="32" t="s">
        <v>225</v>
      </c>
      <c r="D264" s="33" t="s">
        <v>745</v>
      </c>
      <c r="E264" s="32" t="s">
        <v>41</v>
      </c>
      <c r="F264" s="32" t="s">
        <v>42</v>
      </c>
      <c r="G264" s="116" t="s">
        <v>43</v>
      </c>
      <c r="H264" s="117" t="s">
        <v>410</v>
      </c>
      <c r="I264" s="74"/>
      <c r="J264" s="36"/>
      <c r="K264" s="36"/>
      <c r="L264" s="36"/>
      <c r="M264" s="36"/>
      <c r="N264" s="36"/>
      <c r="O264" s="36"/>
      <c r="P264" s="36"/>
      <c r="Q264" s="36"/>
      <c r="R264" s="36"/>
      <c r="S264" s="36"/>
      <c r="T264" s="36"/>
      <c r="U264" s="36"/>
      <c r="V264" s="36"/>
      <c r="W264" s="36"/>
      <c r="X264" s="36"/>
      <c r="Y264" s="36"/>
      <c r="Z264" s="36"/>
      <c r="AA264" s="36"/>
      <c r="AB264" s="36"/>
    </row>
    <row r="265" spans="1:28" ht="36" customHeight="1">
      <c r="A265" s="49" t="str">
        <f>HYPERLINK("https://www.alcaldiabogota.gov.co/sisjur/normas/Norma1.jsp?i=78449","Directiva 015 ")</f>
        <v>Directiva 015 </v>
      </c>
      <c r="B265" s="182">
        <v>43251</v>
      </c>
      <c r="C265" s="32" t="s">
        <v>419</v>
      </c>
      <c r="D265" s="33" t="s">
        <v>420</v>
      </c>
      <c r="E265" s="32" t="s">
        <v>41</v>
      </c>
      <c r="F265" s="32" t="s">
        <v>42</v>
      </c>
      <c r="G265" s="183" t="s">
        <v>43</v>
      </c>
      <c r="H265" s="184" t="s">
        <v>408</v>
      </c>
      <c r="I265" s="74"/>
      <c r="J265" s="36"/>
      <c r="K265" s="36"/>
      <c r="L265" s="36"/>
      <c r="M265" s="36"/>
      <c r="N265" s="36"/>
      <c r="O265" s="36"/>
      <c r="P265" s="36"/>
      <c r="Q265" s="36"/>
      <c r="R265" s="36"/>
      <c r="S265" s="36"/>
      <c r="T265" s="36"/>
      <c r="U265" s="36"/>
      <c r="V265" s="36"/>
      <c r="W265" s="36"/>
      <c r="X265" s="36"/>
      <c r="Y265" s="36"/>
      <c r="Z265" s="36"/>
      <c r="AA265" s="36"/>
      <c r="AB265" s="36"/>
    </row>
    <row r="266" spans="1:28" ht="57" customHeight="1">
      <c r="A266" s="37" t="s">
        <v>746</v>
      </c>
      <c r="B266" s="185">
        <v>44560</v>
      </c>
      <c r="C266" s="40" t="s">
        <v>747</v>
      </c>
      <c r="D266" s="168" t="s">
        <v>748</v>
      </c>
      <c r="E266" s="40" t="s">
        <v>41</v>
      </c>
      <c r="F266" s="40" t="s">
        <v>42</v>
      </c>
      <c r="G266" s="186"/>
      <c r="H266" s="187"/>
      <c r="I266" s="74"/>
      <c r="J266" s="36"/>
      <c r="K266" s="36"/>
      <c r="L266" s="36"/>
      <c r="M266" s="36"/>
      <c r="N266" s="36"/>
      <c r="O266" s="36"/>
      <c r="P266" s="36"/>
      <c r="Q266" s="36"/>
      <c r="R266" s="36"/>
      <c r="S266" s="36"/>
      <c r="T266" s="36"/>
      <c r="U266" s="36"/>
      <c r="V266" s="36"/>
      <c r="W266" s="36"/>
      <c r="X266" s="36"/>
      <c r="Y266" s="36"/>
      <c r="Z266" s="36"/>
      <c r="AA266" s="36"/>
      <c r="AB266" s="36"/>
    </row>
    <row r="267" spans="1:28" ht="27" hidden="1" customHeight="1">
      <c r="A267" s="188" t="str">
        <f>HYPERLINK("https://www.alcaldiabogota.gov.co/sisjur/normas/Norma1.jsp?i=4125","CONSTITUCIÓN POLÍTICA DE COLOMBIA ")</f>
        <v xml:space="preserve">CONSTITUCIÓN POLÍTICA DE COLOMBIA </v>
      </c>
      <c r="B267" s="189">
        <v>1991</v>
      </c>
      <c r="C267" s="190" t="s">
        <v>405</v>
      </c>
      <c r="D267" s="191" t="s">
        <v>406</v>
      </c>
      <c r="E267" s="192" t="s">
        <v>749</v>
      </c>
      <c r="F267" s="190" t="s">
        <v>42</v>
      </c>
      <c r="G267" s="193" t="s">
        <v>43</v>
      </c>
      <c r="H267" s="117" t="s">
        <v>750</v>
      </c>
      <c r="I267" s="35"/>
      <c r="J267" s="36"/>
      <c r="K267" s="36"/>
      <c r="L267" s="36"/>
      <c r="M267" s="36"/>
      <c r="N267" s="36"/>
      <c r="O267" s="36"/>
      <c r="P267" s="36"/>
      <c r="Q267" s="36"/>
      <c r="R267" s="36"/>
      <c r="S267" s="36"/>
      <c r="T267" s="36"/>
      <c r="U267" s="36"/>
      <c r="V267" s="36"/>
      <c r="W267" s="36"/>
      <c r="X267" s="36"/>
      <c r="Y267" s="36"/>
      <c r="Z267" s="36"/>
      <c r="AA267" s="36"/>
      <c r="AB267" s="36"/>
    </row>
    <row r="268" spans="1:28" ht="48" hidden="1" customHeight="1">
      <c r="A268" s="188" t="str">
        <f>HYPERLINK("https://www.funcionpublica.gov.co/eva/gestornormativo/norma.php?i=35442","LEY 30")</f>
        <v>LEY 30</v>
      </c>
      <c r="B268" s="194">
        <v>1971</v>
      </c>
      <c r="C268" s="117" t="s">
        <v>39</v>
      </c>
      <c r="D268" s="195" t="s">
        <v>751</v>
      </c>
      <c r="E268" s="117" t="s">
        <v>41</v>
      </c>
      <c r="F268" s="117" t="s">
        <v>42</v>
      </c>
      <c r="G268" s="193" t="s">
        <v>43</v>
      </c>
      <c r="H268" s="117" t="s">
        <v>750</v>
      </c>
      <c r="I268" s="35"/>
      <c r="J268" s="36"/>
      <c r="K268" s="36"/>
      <c r="L268" s="36"/>
      <c r="M268" s="36"/>
      <c r="N268" s="36"/>
      <c r="O268" s="36"/>
      <c r="P268" s="36"/>
      <c r="Q268" s="36"/>
      <c r="R268" s="36"/>
      <c r="S268" s="36"/>
      <c r="T268" s="36"/>
      <c r="U268" s="36"/>
      <c r="V268" s="36"/>
      <c r="W268" s="36"/>
      <c r="X268" s="36"/>
      <c r="Y268" s="36"/>
      <c r="Z268" s="36"/>
      <c r="AA268" s="36"/>
      <c r="AB268" s="36"/>
    </row>
    <row r="269" spans="1:28" ht="110.25" hidden="1" customHeight="1">
      <c r="A269" s="196" t="str">
        <f>HYPERLINK("https://www.alcaldiabogota.gov.co/sisjur/normas/Norma1.jsp?i=14811","LEY 38")</f>
        <v>LEY 38</v>
      </c>
      <c r="B269" s="194">
        <v>1989</v>
      </c>
      <c r="C269" s="117" t="s">
        <v>39</v>
      </c>
      <c r="D269" s="195" t="s">
        <v>752</v>
      </c>
      <c r="E269" s="117" t="s">
        <v>753</v>
      </c>
      <c r="F269" s="195" t="s">
        <v>754</v>
      </c>
      <c r="G269" s="193" t="s">
        <v>43</v>
      </c>
      <c r="H269" s="117" t="s">
        <v>750</v>
      </c>
      <c r="I269" s="35"/>
      <c r="J269" s="36"/>
      <c r="K269" s="36"/>
      <c r="L269" s="36"/>
      <c r="M269" s="36"/>
      <c r="N269" s="36"/>
      <c r="O269" s="36"/>
      <c r="P269" s="36"/>
      <c r="Q269" s="36"/>
      <c r="R269" s="36"/>
      <c r="S269" s="36"/>
      <c r="T269" s="36"/>
      <c r="U269" s="36"/>
      <c r="V269" s="36"/>
      <c r="W269" s="36"/>
      <c r="X269" s="36"/>
      <c r="Y269" s="36"/>
      <c r="Z269" s="36"/>
      <c r="AA269" s="36"/>
      <c r="AB269" s="36"/>
    </row>
    <row r="270" spans="1:28" ht="42" hidden="1" customHeight="1">
      <c r="A270" s="196" t="str">
        <f>HYPERLINK("https://www.bogotajuridica.gov.co/sisjur/normas/Norma1.jsp?i=327","LEY 152")</f>
        <v>LEY 152</v>
      </c>
      <c r="B270" s="194">
        <v>1994</v>
      </c>
      <c r="C270" s="117" t="s">
        <v>39</v>
      </c>
      <c r="D270" s="195" t="s">
        <v>755</v>
      </c>
      <c r="E270" s="117" t="s">
        <v>41</v>
      </c>
      <c r="F270" s="117" t="s">
        <v>42</v>
      </c>
      <c r="G270" s="193" t="s">
        <v>43</v>
      </c>
      <c r="H270" s="117" t="s">
        <v>750</v>
      </c>
      <c r="I270" s="35"/>
      <c r="J270" s="36"/>
      <c r="K270" s="36"/>
      <c r="L270" s="36"/>
      <c r="M270" s="36"/>
      <c r="N270" s="36"/>
      <c r="O270" s="36"/>
      <c r="P270" s="36"/>
      <c r="Q270" s="36"/>
      <c r="R270" s="36"/>
      <c r="S270" s="36"/>
      <c r="T270" s="36"/>
      <c r="U270" s="36"/>
      <c r="V270" s="36"/>
      <c r="W270" s="36"/>
      <c r="X270" s="36"/>
      <c r="Y270" s="36"/>
      <c r="Z270" s="36"/>
      <c r="AA270" s="36"/>
      <c r="AB270" s="36"/>
    </row>
    <row r="271" spans="1:28" ht="396" hidden="1" customHeight="1">
      <c r="A271" s="196" t="str">
        <f>HYPERLINK("https://www.funcionpublica.gov.co/eva/gestornormativo/norma.php?i=3424","LEY 181")</f>
        <v>LEY 181</v>
      </c>
      <c r="B271" s="194">
        <v>1995</v>
      </c>
      <c r="C271" s="197" t="s">
        <v>39</v>
      </c>
      <c r="D271" s="195" t="s">
        <v>471</v>
      </c>
      <c r="E271" s="117" t="s">
        <v>756</v>
      </c>
      <c r="F271" s="195" t="s">
        <v>757</v>
      </c>
      <c r="G271" s="193" t="s">
        <v>43</v>
      </c>
      <c r="H271" s="117" t="s">
        <v>750</v>
      </c>
      <c r="I271" s="35"/>
      <c r="J271" s="36"/>
      <c r="K271" s="36"/>
      <c r="L271" s="36"/>
      <c r="M271" s="36"/>
      <c r="N271" s="36"/>
      <c r="O271" s="36"/>
      <c r="P271" s="36"/>
      <c r="Q271" s="36"/>
      <c r="R271" s="36"/>
      <c r="S271" s="36"/>
      <c r="T271" s="36"/>
      <c r="U271" s="36"/>
      <c r="V271" s="36"/>
      <c r="W271" s="36"/>
      <c r="X271" s="36"/>
      <c r="Y271" s="36"/>
      <c r="Z271" s="36"/>
      <c r="AA271" s="36"/>
      <c r="AB271" s="36"/>
    </row>
    <row r="272" spans="1:28" ht="36" hidden="1" customHeight="1">
      <c r="A272" s="196" t="str">
        <f>HYPERLINK("https://www.alcaldiabogota.gov.co/sisjur/normas/Norma1.jsp?i=321","LEY 190")</f>
        <v>LEY 190</v>
      </c>
      <c r="B272" s="194">
        <v>1995</v>
      </c>
      <c r="C272" s="117" t="s">
        <v>39</v>
      </c>
      <c r="D272" s="195" t="s">
        <v>758</v>
      </c>
      <c r="E272" s="117" t="s">
        <v>41</v>
      </c>
      <c r="F272" s="117" t="s">
        <v>42</v>
      </c>
      <c r="G272" s="193" t="s">
        <v>43</v>
      </c>
      <c r="H272" s="117" t="s">
        <v>750</v>
      </c>
      <c r="I272" s="35"/>
      <c r="J272" s="36"/>
      <c r="K272" s="36"/>
      <c r="L272" s="36"/>
      <c r="M272" s="36"/>
      <c r="N272" s="36"/>
      <c r="O272" s="36"/>
      <c r="P272" s="36"/>
      <c r="Q272" s="36"/>
      <c r="R272" s="36"/>
      <c r="S272" s="36"/>
      <c r="T272" s="36"/>
      <c r="U272" s="36"/>
      <c r="V272" s="36"/>
      <c r="W272" s="36"/>
      <c r="X272" s="36"/>
      <c r="Y272" s="36"/>
      <c r="Z272" s="36"/>
      <c r="AA272" s="36"/>
      <c r="AB272" s="36"/>
    </row>
    <row r="273" spans="1:28" ht="24" hidden="1" customHeight="1">
      <c r="A273" s="196" t="str">
        <f>HYPERLINK("https://www.funcionpublica.gov.co/eva/gestornormativo/norma.php?i=187","LEY 488")</f>
        <v>LEY 488</v>
      </c>
      <c r="B273" s="194">
        <v>1998</v>
      </c>
      <c r="C273" s="117" t="s">
        <v>39</v>
      </c>
      <c r="D273" s="195" t="s">
        <v>759</v>
      </c>
      <c r="E273" s="117" t="s">
        <v>41</v>
      </c>
      <c r="F273" s="117" t="s">
        <v>42</v>
      </c>
      <c r="G273" s="193" t="s">
        <v>43</v>
      </c>
      <c r="H273" s="117" t="s">
        <v>750</v>
      </c>
      <c r="I273" s="35"/>
      <c r="J273" s="36"/>
      <c r="K273" s="36"/>
      <c r="L273" s="36"/>
      <c r="M273" s="36"/>
      <c r="N273" s="36"/>
      <c r="O273" s="36"/>
      <c r="P273" s="36"/>
      <c r="Q273" s="36"/>
      <c r="R273" s="36"/>
      <c r="S273" s="36"/>
      <c r="T273" s="36"/>
      <c r="U273" s="36"/>
      <c r="V273" s="36"/>
      <c r="W273" s="36"/>
      <c r="X273" s="36"/>
      <c r="Y273" s="36"/>
      <c r="Z273" s="36"/>
      <c r="AA273" s="36"/>
      <c r="AB273" s="36"/>
    </row>
    <row r="274" spans="1:28" ht="60" hidden="1" customHeight="1">
      <c r="A274" s="196" t="str">
        <f>HYPERLINK("https://www.alcaldiabogota.gov.co/sisjur/normas/Norma1.jsp?i=3771","LEY 617")</f>
        <v>LEY 617</v>
      </c>
      <c r="B274" s="194">
        <v>2000</v>
      </c>
      <c r="C274" s="117" t="s">
        <v>39</v>
      </c>
      <c r="D274" s="195" t="s">
        <v>486</v>
      </c>
      <c r="E274" s="117" t="s">
        <v>41</v>
      </c>
      <c r="F274" s="117" t="s">
        <v>42</v>
      </c>
      <c r="G274" s="193" t="s">
        <v>43</v>
      </c>
      <c r="H274" s="117" t="s">
        <v>750</v>
      </c>
      <c r="I274" s="35"/>
      <c r="J274" s="36"/>
      <c r="K274" s="36"/>
      <c r="L274" s="36"/>
      <c r="M274" s="36"/>
      <c r="N274" s="36"/>
      <c r="O274" s="36"/>
      <c r="P274" s="36"/>
      <c r="Q274" s="36"/>
      <c r="R274" s="36"/>
      <c r="S274" s="36"/>
      <c r="T274" s="36"/>
      <c r="U274" s="36"/>
      <c r="V274" s="36"/>
      <c r="W274" s="36"/>
      <c r="X274" s="36"/>
      <c r="Y274" s="36"/>
      <c r="Z274" s="36"/>
      <c r="AA274" s="36"/>
      <c r="AB274" s="36"/>
    </row>
    <row r="275" spans="1:28" ht="48" hidden="1" customHeight="1">
      <c r="A275" s="196" t="str">
        <f>HYPERLINK("https://www.alcaldiabogota.gov.co/sisjur/normas/Norma1.jsp?i=6285","LEY 633")</f>
        <v>LEY 633</v>
      </c>
      <c r="B275" s="194">
        <v>2000</v>
      </c>
      <c r="C275" s="117" t="s">
        <v>39</v>
      </c>
      <c r="D275" s="195" t="s">
        <v>760</v>
      </c>
      <c r="E275" s="117" t="s">
        <v>41</v>
      </c>
      <c r="F275" s="117" t="s">
        <v>42</v>
      </c>
      <c r="G275" s="193" t="s">
        <v>43</v>
      </c>
      <c r="H275" s="117" t="s">
        <v>750</v>
      </c>
      <c r="I275" s="35"/>
      <c r="J275" s="36"/>
      <c r="K275" s="36"/>
      <c r="L275" s="36"/>
      <c r="M275" s="36"/>
      <c r="N275" s="36"/>
      <c r="O275" s="36"/>
      <c r="P275" s="36"/>
      <c r="Q275" s="36"/>
      <c r="R275" s="36"/>
      <c r="S275" s="36"/>
      <c r="T275" s="36"/>
      <c r="U275" s="36"/>
      <c r="V275" s="36"/>
      <c r="W275" s="36"/>
      <c r="X275" s="36"/>
      <c r="Y275" s="36"/>
      <c r="Z275" s="36"/>
      <c r="AA275" s="36"/>
      <c r="AB275" s="36"/>
    </row>
    <row r="276" spans="1:28" ht="48" hidden="1" customHeight="1">
      <c r="A276" s="196" t="str">
        <f>HYPERLINK("https://www.alcaldiabogota.gov.co/sisjur/normas/Norma1.jsp?i=4164","LEY 678")</f>
        <v>LEY 678</v>
      </c>
      <c r="B276" s="194">
        <v>2001</v>
      </c>
      <c r="C276" s="197" t="s">
        <v>39</v>
      </c>
      <c r="D276" s="195" t="s">
        <v>488</v>
      </c>
      <c r="E276" s="117" t="s">
        <v>41</v>
      </c>
      <c r="F276" s="117" t="s">
        <v>42</v>
      </c>
      <c r="G276" s="193" t="s">
        <v>43</v>
      </c>
      <c r="H276" s="117" t="s">
        <v>750</v>
      </c>
      <c r="I276" s="35"/>
      <c r="J276" s="36"/>
      <c r="K276" s="36"/>
      <c r="L276" s="36"/>
      <c r="M276" s="36"/>
      <c r="N276" s="36"/>
      <c r="O276" s="36"/>
      <c r="P276" s="36"/>
      <c r="Q276" s="36"/>
      <c r="R276" s="36"/>
      <c r="S276" s="36"/>
      <c r="T276" s="36"/>
      <c r="U276" s="36"/>
      <c r="V276" s="36"/>
      <c r="W276" s="36"/>
      <c r="X276" s="36"/>
      <c r="Y276" s="36"/>
      <c r="Z276" s="36"/>
      <c r="AA276" s="36"/>
      <c r="AB276" s="36"/>
    </row>
    <row r="277" spans="1:28" ht="60" hidden="1" customHeight="1">
      <c r="A277" s="196" t="str">
        <f>HYPERLINK("https://www.alcaldiabogota.gov.co/sisjur/normas/Norma1.jsp?i=4452","LEY 715")</f>
        <v>LEY 715</v>
      </c>
      <c r="B277" s="194">
        <v>2001</v>
      </c>
      <c r="C277" s="117" t="s">
        <v>39</v>
      </c>
      <c r="D277" s="195" t="s">
        <v>761</v>
      </c>
      <c r="E277" s="117" t="s">
        <v>41</v>
      </c>
      <c r="F277" s="117" t="s">
        <v>42</v>
      </c>
      <c r="G277" s="193" t="s">
        <v>43</v>
      </c>
      <c r="H277" s="117" t="s">
        <v>750</v>
      </c>
      <c r="I277" s="35"/>
      <c r="J277" s="36"/>
      <c r="K277" s="36"/>
      <c r="L277" s="36"/>
      <c r="M277" s="36"/>
      <c r="N277" s="36"/>
      <c r="O277" s="36"/>
      <c r="P277" s="36"/>
      <c r="Q277" s="36"/>
      <c r="R277" s="36"/>
      <c r="S277" s="36"/>
      <c r="T277" s="36"/>
      <c r="U277" s="36"/>
      <c r="V277" s="36"/>
      <c r="W277" s="36"/>
      <c r="X277" s="36"/>
      <c r="Y277" s="36"/>
      <c r="Z277" s="36"/>
      <c r="AA277" s="36"/>
      <c r="AB277" s="36"/>
    </row>
    <row r="278" spans="1:28" ht="88.5" hidden="1" customHeight="1">
      <c r="A278" s="196" t="str">
        <f>HYPERLINK("https://www.alcaldiabogota.gov.co/sisjur/normas/Norma1.jsp?i=4589","LEY 734")</f>
        <v>LEY 734</v>
      </c>
      <c r="B278" s="194">
        <v>2002</v>
      </c>
      <c r="C278" s="197" t="s">
        <v>39</v>
      </c>
      <c r="D278" s="195" t="s">
        <v>489</v>
      </c>
      <c r="E278" s="117" t="s">
        <v>762</v>
      </c>
      <c r="F278" s="117" t="s">
        <v>763</v>
      </c>
      <c r="G278" s="193" t="s">
        <v>43</v>
      </c>
      <c r="H278" s="117" t="s">
        <v>750</v>
      </c>
      <c r="I278" s="35"/>
      <c r="J278" s="36"/>
      <c r="K278" s="36"/>
      <c r="L278" s="36"/>
      <c r="M278" s="36"/>
      <c r="N278" s="36"/>
      <c r="O278" s="36"/>
      <c r="P278" s="36"/>
      <c r="Q278" s="36"/>
      <c r="R278" s="36"/>
      <c r="S278" s="36"/>
      <c r="T278" s="36"/>
      <c r="U278" s="36"/>
      <c r="V278" s="36"/>
      <c r="W278" s="36"/>
      <c r="X278" s="36"/>
      <c r="Y278" s="36"/>
      <c r="Z278" s="36"/>
      <c r="AA278" s="36"/>
      <c r="AB278" s="36"/>
    </row>
    <row r="279" spans="1:28" ht="24" hidden="1" customHeight="1">
      <c r="A279" s="196" t="str">
        <f>HYPERLINK("https://www.funcionpublica.gov.co/eva/gestornormativo/norma.php?i=7260","LEY 788")</f>
        <v>LEY 788</v>
      </c>
      <c r="B279" s="194">
        <v>2002</v>
      </c>
      <c r="C279" s="117" t="s">
        <v>39</v>
      </c>
      <c r="D279" s="195" t="s">
        <v>764</v>
      </c>
      <c r="E279" s="117" t="s">
        <v>41</v>
      </c>
      <c r="F279" s="117" t="s">
        <v>42</v>
      </c>
      <c r="G279" s="193" t="s">
        <v>43</v>
      </c>
      <c r="H279" s="117" t="s">
        <v>750</v>
      </c>
      <c r="I279" s="35"/>
      <c r="J279" s="36"/>
      <c r="K279" s="36"/>
      <c r="L279" s="36"/>
      <c r="M279" s="36"/>
      <c r="N279" s="36"/>
      <c r="O279" s="36"/>
      <c r="P279" s="36"/>
      <c r="Q279" s="36"/>
      <c r="R279" s="36"/>
      <c r="S279" s="36"/>
      <c r="T279" s="36"/>
      <c r="U279" s="36"/>
      <c r="V279" s="36"/>
      <c r="W279" s="36"/>
      <c r="X279" s="36"/>
      <c r="Y279" s="36"/>
      <c r="Z279" s="36"/>
      <c r="AA279" s="36"/>
      <c r="AB279" s="36"/>
    </row>
    <row r="280" spans="1:28" ht="24" hidden="1" customHeight="1">
      <c r="A280" s="196" t="str">
        <f>HYPERLINK("https://www.alcaldiabogota.gov.co/sisjur/normas/Norma1.jsp?i=13712","LEY 819")</f>
        <v>LEY 819</v>
      </c>
      <c r="B280" s="194">
        <v>2003</v>
      </c>
      <c r="C280" s="197" t="s">
        <v>39</v>
      </c>
      <c r="D280" s="195" t="s">
        <v>492</v>
      </c>
      <c r="E280" s="117" t="s">
        <v>41</v>
      </c>
      <c r="F280" s="117" t="s">
        <v>42</v>
      </c>
      <c r="G280" s="193" t="s">
        <v>43</v>
      </c>
      <c r="H280" s="117" t="s">
        <v>750</v>
      </c>
      <c r="I280" s="35"/>
      <c r="J280" s="36"/>
      <c r="K280" s="36"/>
      <c r="L280" s="36"/>
      <c r="M280" s="36"/>
      <c r="N280" s="36"/>
      <c r="O280" s="36"/>
      <c r="P280" s="36"/>
      <c r="Q280" s="36"/>
      <c r="R280" s="36"/>
      <c r="S280" s="36"/>
      <c r="T280" s="36"/>
      <c r="U280" s="36"/>
      <c r="V280" s="36"/>
      <c r="W280" s="36"/>
      <c r="X280" s="36"/>
      <c r="Y280" s="36"/>
      <c r="Z280" s="36"/>
      <c r="AA280" s="36"/>
      <c r="AB280" s="36"/>
    </row>
    <row r="281" spans="1:28" ht="36" hidden="1" customHeight="1">
      <c r="A281" s="196" t="str">
        <f>HYPERLINK("https://www.alcaldiabogota.gov.co/sisjur/normas/Norma1.jsp?i=11172","LEY 863")</f>
        <v>LEY 863</v>
      </c>
      <c r="B281" s="194">
        <v>2003</v>
      </c>
      <c r="C281" s="117" t="s">
        <v>39</v>
      </c>
      <c r="D281" s="195" t="s">
        <v>494</v>
      </c>
      <c r="E281" s="117" t="s">
        <v>41</v>
      </c>
      <c r="F281" s="117" t="s">
        <v>42</v>
      </c>
      <c r="G281" s="193" t="s">
        <v>43</v>
      </c>
      <c r="H281" s="117" t="s">
        <v>750</v>
      </c>
      <c r="I281" s="35"/>
      <c r="J281" s="36"/>
      <c r="K281" s="36"/>
      <c r="L281" s="36"/>
      <c r="M281" s="36"/>
      <c r="N281" s="36"/>
      <c r="O281" s="36"/>
      <c r="P281" s="36"/>
      <c r="Q281" s="36"/>
      <c r="R281" s="36"/>
      <c r="S281" s="36"/>
      <c r="T281" s="36"/>
      <c r="U281" s="36"/>
      <c r="V281" s="36"/>
      <c r="W281" s="36"/>
      <c r="X281" s="36"/>
      <c r="Y281" s="36"/>
      <c r="Z281" s="36"/>
      <c r="AA281" s="36"/>
      <c r="AB281" s="36"/>
    </row>
    <row r="282" spans="1:28" ht="60" hidden="1" customHeight="1">
      <c r="A282" s="196" t="str">
        <f>HYPERLINK("https://www.alcaldiabogota.gov.co/sisjur/normas/Norma1.jsp?i=22412","LEY 964")</f>
        <v>LEY 964</v>
      </c>
      <c r="B282" s="194">
        <v>2005</v>
      </c>
      <c r="C282" s="117" t="s">
        <v>39</v>
      </c>
      <c r="D282" s="195" t="s">
        <v>765</v>
      </c>
      <c r="E282" s="117" t="s">
        <v>41</v>
      </c>
      <c r="F282" s="117" t="s">
        <v>42</v>
      </c>
      <c r="G282" s="193" t="s">
        <v>43</v>
      </c>
      <c r="H282" s="117" t="s">
        <v>750</v>
      </c>
      <c r="I282" s="35"/>
      <c r="J282" s="36"/>
      <c r="K282" s="36"/>
      <c r="L282" s="36"/>
      <c r="M282" s="36"/>
      <c r="N282" s="36"/>
      <c r="O282" s="36"/>
      <c r="P282" s="36"/>
      <c r="Q282" s="36"/>
      <c r="R282" s="36"/>
      <c r="S282" s="36"/>
      <c r="T282" s="36"/>
      <c r="U282" s="36"/>
      <c r="V282" s="36"/>
      <c r="W282" s="36"/>
      <c r="X282" s="36"/>
      <c r="Y282" s="36"/>
      <c r="Z282" s="36"/>
      <c r="AA282" s="36"/>
      <c r="AB282" s="36"/>
    </row>
    <row r="283" spans="1:28" ht="24" hidden="1" customHeight="1">
      <c r="A283" s="196" t="str">
        <f>HYPERLINK("https://www.alcaldiabogota.gov.co/sisjur/normas/Norma1.jsp?i=20866","LEY 1066")</f>
        <v>LEY 1066</v>
      </c>
      <c r="B283" s="194">
        <v>2006</v>
      </c>
      <c r="C283" s="117" t="s">
        <v>39</v>
      </c>
      <c r="D283" s="195" t="s">
        <v>766</v>
      </c>
      <c r="E283" s="117" t="s">
        <v>41</v>
      </c>
      <c r="F283" s="117" t="s">
        <v>42</v>
      </c>
      <c r="G283" s="193" t="s">
        <v>43</v>
      </c>
      <c r="H283" s="117" t="s">
        <v>750</v>
      </c>
      <c r="I283" s="35"/>
      <c r="J283" s="36"/>
      <c r="K283" s="36"/>
      <c r="L283" s="36"/>
      <c r="M283" s="36"/>
      <c r="N283" s="36"/>
      <c r="O283" s="36"/>
      <c r="P283" s="36"/>
      <c r="Q283" s="36"/>
      <c r="R283" s="36"/>
      <c r="S283" s="36"/>
      <c r="T283" s="36"/>
      <c r="U283" s="36"/>
      <c r="V283" s="36"/>
      <c r="W283" s="36"/>
      <c r="X283" s="36"/>
      <c r="Y283" s="36"/>
      <c r="Z283" s="36"/>
      <c r="AA283" s="36"/>
      <c r="AB283" s="36"/>
    </row>
    <row r="284" spans="1:28" ht="27.75" hidden="1" customHeight="1">
      <c r="A284" s="196" t="str">
        <f>HYPERLINK("https://www.funcionpublica.gov.co/eva/gestornormativo/norma.php?i=22106","LEY 1098")</f>
        <v>LEY 1098</v>
      </c>
      <c r="B284" s="194">
        <v>2006</v>
      </c>
      <c r="C284" s="117" t="s">
        <v>39</v>
      </c>
      <c r="D284" s="195" t="s">
        <v>767</v>
      </c>
      <c r="E284" s="117" t="s">
        <v>41</v>
      </c>
      <c r="F284" s="117" t="s">
        <v>42</v>
      </c>
      <c r="G284" s="193" t="s">
        <v>43</v>
      </c>
      <c r="H284" s="117" t="s">
        <v>750</v>
      </c>
      <c r="I284" s="35"/>
      <c r="J284" s="36"/>
      <c r="K284" s="36"/>
      <c r="L284" s="36"/>
      <c r="M284" s="36"/>
      <c r="N284" s="36"/>
      <c r="O284" s="36"/>
      <c r="P284" s="36"/>
      <c r="Q284" s="36"/>
      <c r="R284" s="36"/>
      <c r="S284" s="36"/>
      <c r="T284" s="36"/>
      <c r="U284" s="36"/>
      <c r="V284" s="36"/>
      <c r="W284" s="36"/>
      <c r="X284" s="36"/>
      <c r="Y284" s="36"/>
      <c r="Z284" s="36"/>
      <c r="AA284" s="36"/>
      <c r="AB284" s="36"/>
    </row>
    <row r="285" spans="1:28" ht="24" hidden="1" customHeight="1">
      <c r="A285" s="196" t="str">
        <f>HYPERLINK("https://www.alcaldiabogota.gov.co/sisjur/normas/Norma1.jsp?i=22580","LEY 1111")</f>
        <v>LEY 1111</v>
      </c>
      <c r="B285" s="194">
        <v>2006</v>
      </c>
      <c r="C285" s="197" t="s">
        <v>39</v>
      </c>
      <c r="D285" s="195" t="s">
        <v>497</v>
      </c>
      <c r="E285" s="117" t="s">
        <v>41</v>
      </c>
      <c r="F285" s="117" t="s">
        <v>42</v>
      </c>
      <c r="G285" s="193" t="s">
        <v>43</v>
      </c>
      <c r="H285" s="117" t="s">
        <v>750</v>
      </c>
      <c r="I285" s="35"/>
      <c r="J285" s="36"/>
      <c r="K285" s="36"/>
      <c r="L285" s="36"/>
      <c r="M285" s="36"/>
      <c r="N285" s="36"/>
      <c r="O285" s="36"/>
      <c r="P285" s="36"/>
      <c r="Q285" s="36"/>
      <c r="R285" s="36"/>
      <c r="S285" s="36"/>
      <c r="T285" s="36"/>
      <c r="U285" s="36"/>
      <c r="V285" s="36"/>
      <c r="W285" s="36"/>
      <c r="X285" s="36"/>
      <c r="Y285" s="36"/>
      <c r="Z285" s="36"/>
      <c r="AA285" s="36"/>
      <c r="AB285" s="36"/>
    </row>
    <row r="286" spans="1:28" ht="24" hidden="1" customHeight="1">
      <c r="A286" s="196" t="str">
        <f>HYPERLINK("https://www.funcionpublica.gov.co/eva/gestornormativo/norma.php?i=28306","LEY 1176")</f>
        <v>LEY 1176</v>
      </c>
      <c r="B286" s="194">
        <v>2007</v>
      </c>
      <c r="C286" s="117" t="s">
        <v>39</v>
      </c>
      <c r="D286" s="195" t="s">
        <v>768</v>
      </c>
      <c r="E286" s="117" t="s">
        <v>41</v>
      </c>
      <c r="F286" s="117" t="s">
        <v>42</v>
      </c>
      <c r="G286" s="193" t="s">
        <v>43</v>
      </c>
      <c r="H286" s="117" t="s">
        <v>750</v>
      </c>
      <c r="I286" s="35"/>
      <c r="J286" s="36"/>
      <c r="K286" s="36"/>
      <c r="L286" s="36"/>
      <c r="M286" s="36"/>
      <c r="N286" s="36"/>
      <c r="O286" s="36"/>
      <c r="P286" s="36"/>
      <c r="Q286" s="36"/>
      <c r="R286" s="36"/>
      <c r="S286" s="36"/>
      <c r="T286" s="36"/>
      <c r="U286" s="36"/>
      <c r="V286" s="36"/>
      <c r="W286" s="36"/>
      <c r="X286" s="36"/>
      <c r="Y286" s="36"/>
      <c r="Z286" s="36"/>
      <c r="AA286" s="36"/>
      <c r="AB286" s="36"/>
    </row>
    <row r="287" spans="1:28" ht="24" hidden="1" customHeight="1">
      <c r="A287" s="196" t="str">
        <f>HYPERLINK("https://www.alcaldiabogota.gov.co/sisjur/normas/Norma1.jsp?i=35440","LEY 1289")</f>
        <v>LEY 1289</v>
      </c>
      <c r="B287" s="194">
        <v>2009</v>
      </c>
      <c r="C287" s="117" t="s">
        <v>39</v>
      </c>
      <c r="D287" s="195" t="s">
        <v>769</v>
      </c>
      <c r="E287" s="117" t="s">
        <v>41</v>
      </c>
      <c r="F287" s="117" t="s">
        <v>42</v>
      </c>
      <c r="G287" s="193" t="s">
        <v>43</v>
      </c>
      <c r="H287" s="117" t="s">
        <v>750</v>
      </c>
      <c r="I287" s="35"/>
      <c r="J287" s="36"/>
      <c r="K287" s="36"/>
      <c r="L287" s="36"/>
      <c r="M287" s="36"/>
      <c r="N287" s="36"/>
      <c r="O287" s="36"/>
      <c r="P287" s="36"/>
      <c r="Q287" s="36"/>
      <c r="R287" s="36"/>
      <c r="S287" s="36"/>
      <c r="T287" s="36"/>
      <c r="U287" s="36"/>
      <c r="V287" s="36"/>
      <c r="W287" s="36"/>
      <c r="X287" s="36"/>
      <c r="Y287" s="36"/>
      <c r="Z287" s="36"/>
      <c r="AA287" s="36"/>
      <c r="AB287" s="36"/>
    </row>
    <row r="288" spans="1:28" ht="24" hidden="1" customHeight="1">
      <c r="A288" s="196" t="str">
        <f>HYPERLINK("https://www.alcaldiabogota.gov.co/sisjur/normas/Norma1.jsp?i=41249","LEY 1437")</f>
        <v>LEY 1437</v>
      </c>
      <c r="B288" s="198">
        <v>2011</v>
      </c>
      <c r="C288" s="197" t="s">
        <v>39</v>
      </c>
      <c r="D288" s="195" t="s">
        <v>281</v>
      </c>
      <c r="E288" s="117" t="s">
        <v>41</v>
      </c>
      <c r="F288" s="117" t="s">
        <v>42</v>
      </c>
      <c r="G288" s="193" t="s">
        <v>43</v>
      </c>
      <c r="H288" s="117" t="s">
        <v>750</v>
      </c>
      <c r="I288" s="35"/>
      <c r="J288" s="36"/>
      <c r="K288" s="36"/>
      <c r="L288" s="36"/>
      <c r="M288" s="36"/>
      <c r="N288" s="36"/>
      <c r="O288" s="36"/>
      <c r="P288" s="36"/>
      <c r="Q288" s="36"/>
      <c r="R288" s="36"/>
      <c r="S288" s="36"/>
      <c r="T288" s="36"/>
      <c r="U288" s="36"/>
      <c r="V288" s="36"/>
      <c r="W288" s="36"/>
      <c r="X288" s="36"/>
      <c r="Y288" s="36"/>
      <c r="Z288" s="36"/>
      <c r="AA288" s="36"/>
      <c r="AB288" s="36"/>
    </row>
    <row r="289" spans="1:28" ht="36" hidden="1" customHeight="1">
      <c r="A289" s="196" t="str">
        <f>HYPERLINK("https://www.alcaldiabogota.gov.co/sisjur/normas/Norma1.jsp?i=43292","LEY 1474")</f>
        <v>LEY 1474</v>
      </c>
      <c r="B289" s="198">
        <v>2011</v>
      </c>
      <c r="C289" s="197" t="s">
        <v>39</v>
      </c>
      <c r="D289" s="195" t="s">
        <v>54</v>
      </c>
      <c r="E289" s="117" t="s">
        <v>41</v>
      </c>
      <c r="F289" s="117" t="s">
        <v>42</v>
      </c>
      <c r="G289" s="193" t="s">
        <v>43</v>
      </c>
      <c r="H289" s="117" t="s">
        <v>750</v>
      </c>
      <c r="I289" s="35"/>
      <c r="J289" s="36"/>
      <c r="K289" s="36"/>
      <c r="L289" s="36"/>
      <c r="M289" s="36"/>
      <c r="N289" s="36"/>
      <c r="O289" s="36"/>
      <c r="P289" s="36"/>
      <c r="Q289" s="36"/>
      <c r="R289" s="36"/>
      <c r="S289" s="36"/>
      <c r="T289" s="36"/>
      <c r="U289" s="36"/>
      <c r="V289" s="36"/>
      <c r="W289" s="36"/>
      <c r="X289" s="36"/>
      <c r="Y289" s="36"/>
      <c r="Z289" s="36"/>
      <c r="AA289" s="36"/>
      <c r="AB289" s="36"/>
    </row>
    <row r="290" spans="1:28" ht="48" hidden="1" customHeight="1">
      <c r="A290" s="196" t="str">
        <f>HYPERLINK("https://www.funcionpublica.gov.co/eva/gestornormativo/norma.php?i=45246","LEY 1493")</f>
        <v>LEY 1493</v>
      </c>
      <c r="B290" s="194">
        <v>2011</v>
      </c>
      <c r="C290" s="117" t="s">
        <v>39</v>
      </c>
      <c r="D290" s="195" t="s">
        <v>55</v>
      </c>
      <c r="E290" s="117" t="s">
        <v>41</v>
      </c>
      <c r="F290" s="117" t="s">
        <v>42</v>
      </c>
      <c r="G290" s="193" t="s">
        <v>43</v>
      </c>
      <c r="H290" s="117" t="s">
        <v>750</v>
      </c>
      <c r="I290" s="35"/>
      <c r="J290" s="36"/>
      <c r="K290" s="36"/>
      <c r="L290" s="36"/>
      <c r="M290" s="36"/>
      <c r="N290" s="36"/>
      <c r="O290" s="36"/>
      <c r="P290" s="36"/>
      <c r="Q290" s="36"/>
      <c r="R290" s="36"/>
      <c r="S290" s="36"/>
      <c r="T290" s="36"/>
      <c r="U290" s="36"/>
      <c r="V290" s="36"/>
      <c r="W290" s="36"/>
      <c r="X290" s="36"/>
      <c r="Y290" s="36"/>
      <c r="Z290" s="36"/>
      <c r="AA290" s="36"/>
      <c r="AB290" s="36"/>
    </row>
    <row r="291" spans="1:28" ht="36" hidden="1" customHeight="1">
      <c r="A291" s="196" t="str">
        <f>HYPERLINK("https://www.alcaldiabogota.gov.co/sisjur/normas/Norma1.jsp?i=44949","LEY 1483")</f>
        <v>LEY 1483</v>
      </c>
      <c r="B291" s="194">
        <v>2011</v>
      </c>
      <c r="C291" s="117" t="s">
        <v>39</v>
      </c>
      <c r="D291" s="195" t="s">
        <v>770</v>
      </c>
      <c r="E291" s="117" t="s">
        <v>41</v>
      </c>
      <c r="F291" s="117" t="s">
        <v>42</v>
      </c>
      <c r="G291" s="193" t="s">
        <v>43</v>
      </c>
      <c r="H291" s="117" t="s">
        <v>750</v>
      </c>
      <c r="I291" s="35"/>
      <c r="J291" s="36"/>
      <c r="K291" s="36"/>
      <c r="L291" s="36"/>
      <c r="M291" s="36"/>
      <c r="N291" s="36"/>
      <c r="O291" s="36"/>
      <c r="P291" s="36"/>
      <c r="Q291" s="36"/>
      <c r="R291" s="36"/>
      <c r="S291" s="36"/>
      <c r="T291" s="36"/>
      <c r="U291" s="36"/>
      <c r="V291" s="36"/>
      <c r="W291" s="36"/>
      <c r="X291" s="36"/>
      <c r="Y291" s="36"/>
      <c r="Z291" s="36"/>
      <c r="AA291" s="36"/>
      <c r="AB291" s="36"/>
    </row>
    <row r="292" spans="1:28" ht="24" hidden="1" customHeight="1">
      <c r="A292" s="199" t="s">
        <v>771</v>
      </c>
      <c r="B292" s="198">
        <v>2012</v>
      </c>
      <c r="C292" s="197" t="s">
        <v>39</v>
      </c>
      <c r="D292" s="195" t="s">
        <v>772</v>
      </c>
      <c r="E292" s="117" t="s">
        <v>41</v>
      </c>
      <c r="F292" s="117" t="s">
        <v>42</v>
      </c>
      <c r="G292" s="193" t="s">
        <v>43</v>
      </c>
      <c r="H292" s="117" t="s">
        <v>750</v>
      </c>
      <c r="I292" s="35"/>
      <c r="J292" s="36"/>
      <c r="K292" s="36"/>
      <c r="L292" s="36"/>
      <c r="M292" s="36"/>
      <c r="N292" s="36"/>
      <c r="O292" s="36"/>
      <c r="P292" s="36"/>
      <c r="Q292" s="36"/>
      <c r="R292" s="36"/>
      <c r="S292" s="36"/>
      <c r="T292" s="36"/>
      <c r="U292" s="36"/>
      <c r="V292" s="36"/>
      <c r="W292" s="36"/>
      <c r="X292" s="36"/>
      <c r="Y292" s="36"/>
      <c r="Z292" s="36"/>
      <c r="AA292" s="36"/>
      <c r="AB292" s="36"/>
    </row>
    <row r="293" spans="1:28" ht="24" hidden="1" customHeight="1">
      <c r="A293" s="199" t="s">
        <v>773</v>
      </c>
      <c r="B293" s="194">
        <v>2012</v>
      </c>
      <c r="C293" s="197" t="s">
        <v>39</v>
      </c>
      <c r="D293" s="195" t="s">
        <v>774</v>
      </c>
      <c r="E293" s="117" t="s">
        <v>41</v>
      </c>
      <c r="F293" s="117" t="s">
        <v>42</v>
      </c>
      <c r="G293" s="193" t="s">
        <v>43</v>
      </c>
      <c r="H293" s="117" t="s">
        <v>750</v>
      </c>
      <c r="I293" s="35"/>
      <c r="J293" s="36"/>
      <c r="K293" s="36"/>
      <c r="L293" s="36"/>
      <c r="M293" s="36"/>
      <c r="N293" s="36"/>
      <c r="O293" s="36"/>
      <c r="P293" s="36"/>
      <c r="Q293" s="36"/>
      <c r="R293" s="36"/>
      <c r="S293" s="36"/>
      <c r="T293" s="36"/>
      <c r="U293" s="36"/>
      <c r="V293" s="36"/>
      <c r="W293" s="36"/>
      <c r="X293" s="36"/>
      <c r="Y293" s="36"/>
      <c r="Z293" s="36"/>
      <c r="AA293" s="36"/>
      <c r="AB293" s="36"/>
    </row>
    <row r="294" spans="1:28" ht="36" hidden="1" customHeight="1">
      <c r="A294" s="199" t="s">
        <v>290</v>
      </c>
      <c r="B294" s="194">
        <v>2012</v>
      </c>
      <c r="C294" s="197" t="s">
        <v>39</v>
      </c>
      <c r="D294" s="195" t="s">
        <v>291</v>
      </c>
      <c r="E294" s="117" t="s">
        <v>41</v>
      </c>
      <c r="F294" s="117" t="s">
        <v>42</v>
      </c>
      <c r="G294" s="193" t="s">
        <v>43</v>
      </c>
      <c r="H294" s="117" t="s">
        <v>750</v>
      </c>
      <c r="I294" s="35"/>
      <c r="J294" s="36"/>
      <c r="K294" s="36"/>
      <c r="L294" s="36"/>
      <c r="M294" s="36"/>
      <c r="N294" s="36"/>
      <c r="O294" s="36"/>
      <c r="P294" s="36"/>
      <c r="Q294" s="36"/>
      <c r="R294" s="36"/>
      <c r="S294" s="36"/>
      <c r="T294" s="36"/>
      <c r="U294" s="36"/>
      <c r="V294" s="36"/>
      <c r="W294" s="36"/>
      <c r="X294" s="36"/>
      <c r="Y294" s="36"/>
      <c r="Z294" s="36"/>
      <c r="AA294" s="36"/>
      <c r="AB294" s="36"/>
    </row>
    <row r="295" spans="1:28" ht="24" hidden="1" customHeight="1">
      <c r="A295" s="199" t="s">
        <v>775</v>
      </c>
      <c r="B295" s="194">
        <v>2012</v>
      </c>
      <c r="C295" s="117" t="s">
        <v>39</v>
      </c>
      <c r="D295" s="195" t="s">
        <v>776</v>
      </c>
      <c r="E295" s="117" t="s">
        <v>41</v>
      </c>
      <c r="F295" s="117" t="s">
        <v>42</v>
      </c>
      <c r="G295" s="193" t="s">
        <v>43</v>
      </c>
      <c r="H295" s="117" t="s">
        <v>750</v>
      </c>
      <c r="I295" s="35"/>
      <c r="J295" s="36"/>
      <c r="K295" s="36"/>
      <c r="L295" s="36"/>
      <c r="M295" s="36"/>
      <c r="N295" s="36"/>
      <c r="O295" s="36"/>
      <c r="P295" s="36"/>
      <c r="Q295" s="36"/>
      <c r="R295" s="36"/>
      <c r="S295" s="36"/>
      <c r="T295" s="36"/>
      <c r="U295" s="36"/>
      <c r="V295" s="36"/>
      <c r="W295" s="36"/>
      <c r="X295" s="36"/>
      <c r="Y295" s="36"/>
      <c r="Z295" s="36"/>
      <c r="AA295" s="36"/>
      <c r="AB295" s="36"/>
    </row>
    <row r="296" spans="1:28" ht="36.75" hidden="1" customHeight="1">
      <c r="A296" s="199" t="s">
        <v>777</v>
      </c>
      <c r="B296" s="194">
        <v>2014</v>
      </c>
      <c r="C296" s="117" t="s">
        <v>39</v>
      </c>
      <c r="D296" s="195" t="s">
        <v>778</v>
      </c>
      <c r="E296" s="117" t="s">
        <v>41</v>
      </c>
      <c r="F296" s="117" t="s">
        <v>42</v>
      </c>
      <c r="G296" s="193" t="s">
        <v>43</v>
      </c>
      <c r="H296" s="117" t="s">
        <v>750</v>
      </c>
      <c r="I296" s="35"/>
      <c r="J296" s="36"/>
      <c r="K296" s="36"/>
      <c r="L296" s="36"/>
      <c r="M296" s="36"/>
      <c r="N296" s="36"/>
      <c r="O296" s="36"/>
      <c r="P296" s="36"/>
      <c r="Q296" s="36"/>
      <c r="R296" s="36"/>
      <c r="S296" s="36"/>
      <c r="T296" s="36"/>
      <c r="U296" s="36"/>
      <c r="V296" s="36"/>
      <c r="W296" s="36"/>
      <c r="X296" s="36"/>
      <c r="Y296" s="36"/>
      <c r="Z296" s="36"/>
      <c r="AA296" s="36"/>
      <c r="AB296" s="36"/>
    </row>
    <row r="297" spans="1:28" ht="24" hidden="1" customHeight="1">
      <c r="A297" s="199" t="s">
        <v>779</v>
      </c>
      <c r="B297" s="194">
        <v>2015</v>
      </c>
      <c r="C297" s="197" t="s">
        <v>39</v>
      </c>
      <c r="D297" s="195" t="s">
        <v>509</v>
      </c>
      <c r="E297" s="117" t="s">
        <v>41</v>
      </c>
      <c r="F297" s="117" t="s">
        <v>42</v>
      </c>
      <c r="G297" s="193" t="s">
        <v>43</v>
      </c>
      <c r="H297" s="117" t="s">
        <v>750</v>
      </c>
      <c r="I297" s="35"/>
      <c r="J297" s="36"/>
      <c r="K297" s="36"/>
      <c r="L297" s="36"/>
      <c r="M297" s="36"/>
      <c r="N297" s="36"/>
      <c r="O297" s="36"/>
      <c r="P297" s="36"/>
      <c r="Q297" s="36"/>
      <c r="R297" s="36"/>
      <c r="S297" s="36"/>
      <c r="T297" s="36"/>
      <c r="U297" s="36"/>
      <c r="V297" s="36"/>
      <c r="W297" s="36"/>
      <c r="X297" s="36"/>
      <c r="Y297" s="36"/>
      <c r="Z297" s="36"/>
      <c r="AA297" s="36"/>
      <c r="AB297" s="36"/>
    </row>
    <row r="298" spans="1:28" ht="36" hidden="1" customHeight="1">
      <c r="A298" s="199" t="s">
        <v>780</v>
      </c>
      <c r="B298" s="200">
        <v>2018</v>
      </c>
      <c r="C298" s="201" t="s">
        <v>781</v>
      </c>
      <c r="D298" s="202" t="s">
        <v>782</v>
      </c>
      <c r="E298" s="201" t="s">
        <v>783</v>
      </c>
      <c r="F298" s="203" t="s">
        <v>42</v>
      </c>
      <c r="G298" s="204" t="s">
        <v>43</v>
      </c>
      <c r="H298" s="201" t="s">
        <v>750</v>
      </c>
      <c r="I298" s="35"/>
      <c r="J298" s="36"/>
      <c r="K298" s="36"/>
      <c r="L298" s="36"/>
      <c r="M298" s="36"/>
      <c r="N298" s="36"/>
      <c r="O298" s="36"/>
      <c r="P298" s="36"/>
      <c r="Q298" s="36"/>
      <c r="R298" s="36"/>
      <c r="S298" s="36"/>
      <c r="T298" s="36"/>
      <c r="U298" s="36"/>
      <c r="V298" s="36"/>
      <c r="W298" s="36"/>
      <c r="X298" s="36"/>
      <c r="Y298" s="36"/>
      <c r="Z298" s="36"/>
      <c r="AA298" s="36"/>
      <c r="AB298" s="36"/>
    </row>
    <row r="299" spans="1:28" ht="15" hidden="1" customHeight="1">
      <c r="A299" s="199" t="s">
        <v>784</v>
      </c>
      <c r="B299" s="194">
        <v>2011</v>
      </c>
      <c r="C299" s="117" t="s">
        <v>39</v>
      </c>
      <c r="D299" s="195" t="s">
        <v>785</v>
      </c>
      <c r="E299" s="117" t="s">
        <v>41</v>
      </c>
      <c r="F299" s="117" t="s">
        <v>42</v>
      </c>
      <c r="G299" s="193" t="s">
        <v>43</v>
      </c>
      <c r="H299" s="117" t="s">
        <v>750</v>
      </c>
      <c r="I299" s="35"/>
      <c r="J299" s="36"/>
      <c r="K299" s="36"/>
      <c r="L299" s="36"/>
      <c r="M299" s="36"/>
      <c r="N299" s="36"/>
      <c r="O299" s="36"/>
      <c r="P299" s="36"/>
      <c r="Q299" s="36"/>
      <c r="R299" s="36"/>
      <c r="S299" s="36"/>
      <c r="T299" s="36"/>
      <c r="U299" s="36"/>
      <c r="V299" s="36"/>
      <c r="W299" s="36"/>
      <c r="X299" s="36"/>
      <c r="Y299" s="36"/>
      <c r="Z299" s="36"/>
      <c r="AA299" s="36"/>
      <c r="AB299" s="36"/>
    </row>
    <row r="300" spans="1:28" ht="36" hidden="1" customHeight="1">
      <c r="A300" s="199" t="s">
        <v>786</v>
      </c>
      <c r="B300" s="194">
        <v>2011</v>
      </c>
      <c r="C300" s="117" t="s">
        <v>39</v>
      </c>
      <c r="D300" s="195" t="s">
        <v>787</v>
      </c>
      <c r="E300" s="117" t="s">
        <v>41</v>
      </c>
      <c r="F300" s="117" t="s">
        <v>42</v>
      </c>
      <c r="G300" s="193" t="s">
        <v>43</v>
      </c>
      <c r="H300" s="117" t="s">
        <v>750</v>
      </c>
      <c r="I300" s="35"/>
      <c r="J300" s="36"/>
      <c r="K300" s="36"/>
      <c r="L300" s="36"/>
      <c r="M300" s="36"/>
      <c r="N300" s="36"/>
      <c r="O300" s="36"/>
      <c r="P300" s="36"/>
      <c r="Q300" s="36"/>
      <c r="R300" s="36"/>
      <c r="S300" s="36"/>
      <c r="T300" s="36"/>
      <c r="U300" s="36"/>
      <c r="V300" s="36"/>
      <c r="W300" s="36"/>
      <c r="X300" s="36"/>
      <c r="Y300" s="36"/>
      <c r="Z300" s="36"/>
      <c r="AA300" s="36"/>
      <c r="AB300" s="36"/>
    </row>
    <row r="301" spans="1:28" ht="24" hidden="1" customHeight="1">
      <c r="A301" s="205" t="s">
        <v>788</v>
      </c>
      <c r="B301" s="206">
        <v>1989</v>
      </c>
      <c r="C301" s="117" t="s">
        <v>57</v>
      </c>
      <c r="D301" s="195" t="s">
        <v>497</v>
      </c>
      <c r="E301" s="117" t="s">
        <v>41</v>
      </c>
      <c r="F301" s="117" t="s">
        <v>42</v>
      </c>
      <c r="G301" s="193" t="s">
        <v>43</v>
      </c>
      <c r="H301" s="117" t="s">
        <v>750</v>
      </c>
      <c r="I301" s="35"/>
      <c r="J301" s="36"/>
      <c r="K301" s="36"/>
      <c r="L301" s="36"/>
      <c r="M301" s="36"/>
      <c r="N301" s="36"/>
      <c r="O301" s="36"/>
      <c r="P301" s="36"/>
      <c r="Q301" s="36"/>
      <c r="R301" s="36"/>
      <c r="S301" s="36"/>
      <c r="T301" s="36"/>
      <c r="U301" s="36"/>
      <c r="V301" s="36"/>
      <c r="W301" s="36"/>
      <c r="X301" s="36"/>
      <c r="Y301" s="36"/>
      <c r="Z301" s="36"/>
      <c r="AA301" s="36"/>
      <c r="AB301" s="36"/>
    </row>
    <row r="302" spans="1:28" ht="24" hidden="1" customHeight="1">
      <c r="A302" s="207" t="s">
        <v>789</v>
      </c>
      <c r="B302" s="206">
        <v>1993</v>
      </c>
      <c r="C302" s="197" t="s">
        <v>57</v>
      </c>
      <c r="D302" s="195" t="s">
        <v>513</v>
      </c>
      <c r="E302" s="117" t="s">
        <v>41</v>
      </c>
      <c r="F302" s="117" t="s">
        <v>42</v>
      </c>
      <c r="G302" s="193" t="s">
        <v>43</v>
      </c>
      <c r="H302" s="117" t="s">
        <v>750</v>
      </c>
      <c r="I302" s="35"/>
      <c r="J302" s="36"/>
      <c r="K302" s="36"/>
      <c r="L302" s="36"/>
      <c r="M302" s="36"/>
      <c r="N302" s="36"/>
      <c r="O302" s="36"/>
      <c r="P302" s="36"/>
      <c r="Q302" s="36"/>
      <c r="R302" s="36"/>
      <c r="S302" s="36"/>
      <c r="T302" s="36"/>
      <c r="U302" s="36"/>
      <c r="V302" s="36"/>
      <c r="W302" s="36"/>
      <c r="X302" s="36"/>
      <c r="Y302" s="36"/>
      <c r="Z302" s="36"/>
      <c r="AA302" s="36"/>
      <c r="AB302" s="36"/>
    </row>
    <row r="303" spans="1:28" ht="204" hidden="1" customHeight="1">
      <c r="A303" s="207" t="s">
        <v>790</v>
      </c>
      <c r="B303" s="206">
        <v>1996</v>
      </c>
      <c r="C303" s="117" t="s">
        <v>57</v>
      </c>
      <c r="D303" s="195" t="s">
        <v>791</v>
      </c>
      <c r="E303" s="117" t="s">
        <v>792</v>
      </c>
      <c r="F303" s="195" t="s">
        <v>793</v>
      </c>
      <c r="G303" s="193" t="s">
        <v>43</v>
      </c>
      <c r="H303" s="117" t="s">
        <v>750</v>
      </c>
      <c r="I303" s="35"/>
      <c r="J303" s="36"/>
      <c r="K303" s="36"/>
      <c r="L303" s="36"/>
      <c r="M303" s="36"/>
      <c r="N303" s="36"/>
      <c r="O303" s="36"/>
      <c r="P303" s="36"/>
      <c r="Q303" s="36"/>
      <c r="R303" s="36"/>
      <c r="S303" s="36"/>
      <c r="T303" s="36"/>
      <c r="U303" s="36"/>
      <c r="V303" s="36"/>
      <c r="W303" s="36"/>
      <c r="X303" s="36"/>
      <c r="Y303" s="36"/>
      <c r="Z303" s="36"/>
      <c r="AA303" s="36"/>
      <c r="AB303" s="36"/>
    </row>
    <row r="304" spans="1:28" ht="48" hidden="1" customHeight="1">
      <c r="A304" s="207" t="s">
        <v>794</v>
      </c>
      <c r="B304" s="206">
        <v>1996</v>
      </c>
      <c r="C304" s="117" t="s">
        <v>57</v>
      </c>
      <c r="D304" s="195" t="s">
        <v>795</v>
      </c>
      <c r="E304" s="117" t="s">
        <v>41</v>
      </c>
      <c r="F304" s="117" t="s">
        <v>42</v>
      </c>
      <c r="G304" s="193" t="s">
        <v>43</v>
      </c>
      <c r="H304" s="117" t="s">
        <v>750</v>
      </c>
      <c r="I304" s="35"/>
      <c r="J304" s="36"/>
      <c r="K304" s="36"/>
      <c r="L304" s="36"/>
      <c r="M304" s="36"/>
      <c r="N304" s="36"/>
      <c r="O304" s="36"/>
      <c r="P304" s="36"/>
      <c r="Q304" s="36"/>
      <c r="R304" s="36"/>
      <c r="S304" s="36"/>
      <c r="T304" s="36"/>
      <c r="U304" s="36"/>
      <c r="V304" s="36"/>
      <c r="W304" s="36"/>
      <c r="X304" s="36"/>
      <c r="Y304" s="36"/>
      <c r="Z304" s="36"/>
      <c r="AA304" s="36"/>
      <c r="AB304" s="36"/>
    </row>
    <row r="305" spans="1:28" ht="24" hidden="1" customHeight="1">
      <c r="A305" s="207" t="s">
        <v>796</v>
      </c>
      <c r="B305" s="206">
        <v>1996</v>
      </c>
      <c r="C305" s="117" t="s">
        <v>61</v>
      </c>
      <c r="D305" s="195" t="s">
        <v>797</v>
      </c>
      <c r="E305" s="117" t="s">
        <v>41</v>
      </c>
      <c r="F305" s="117" t="s">
        <v>42</v>
      </c>
      <c r="G305" s="193" t="s">
        <v>43</v>
      </c>
      <c r="H305" s="117" t="s">
        <v>750</v>
      </c>
      <c r="I305" s="35"/>
      <c r="J305" s="36"/>
      <c r="K305" s="36"/>
      <c r="L305" s="36"/>
      <c r="M305" s="36"/>
      <c r="N305" s="36"/>
      <c r="O305" s="36"/>
      <c r="P305" s="36"/>
      <c r="Q305" s="36"/>
      <c r="R305" s="36"/>
      <c r="S305" s="36"/>
      <c r="T305" s="36"/>
      <c r="U305" s="36"/>
      <c r="V305" s="36"/>
      <c r="W305" s="36"/>
      <c r="X305" s="36"/>
      <c r="Y305" s="36"/>
      <c r="Z305" s="36"/>
      <c r="AA305" s="36"/>
      <c r="AB305" s="36"/>
    </row>
    <row r="306" spans="1:28" ht="24" hidden="1" customHeight="1">
      <c r="A306" s="207" t="s">
        <v>798</v>
      </c>
      <c r="B306" s="206">
        <v>1996</v>
      </c>
      <c r="C306" s="117" t="s">
        <v>61</v>
      </c>
      <c r="D306" s="195" t="s">
        <v>523</v>
      </c>
      <c r="E306" s="117" t="s">
        <v>41</v>
      </c>
      <c r="F306" s="117" t="s">
        <v>42</v>
      </c>
      <c r="G306" s="193" t="s">
        <v>43</v>
      </c>
      <c r="H306" s="117" t="s">
        <v>750</v>
      </c>
      <c r="I306" s="35"/>
      <c r="J306" s="36"/>
      <c r="K306" s="36"/>
      <c r="L306" s="36"/>
      <c r="M306" s="36"/>
      <c r="N306" s="36"/>
      <c r="O306" s="36"/>
      <c r="P306" s="36"/>
      <c r="Q306" s="36"/>
      <c r="R306" s="36"/>
      <c r="S306" s="36"/>
      <c r="T306" s="36"/>
      <c r="U306" s="36"/>
      <c r="V306" s="36"/>
      <c r="W306" s="36"/>
      <c r="X306" s="36"/>
      <c r="Y306" s="36"/>
      <c r="Z306" s="36"/>
      <c r="AA306" s="36"/>
      <c r="AB306" s="36"/>
    </row>
    <row r="307" spans="1:28" ht="24" hidden="1" customHeight="1">
      <c r="A307" s="207" t="s">
        <v>799</v>
      </c>
      <c r="B307" s="206">
        <v>2003</v>
      </c>
      <c r="C307" s="117" t="s">
        <v>61</v>
      </c>
      <c r="D307" s="195" t="s">
        <v>534</v>
      </c>
      <c r="E307" s="117" t="s">
        <v>41</v>
      </c>
      <c r="F307" s="117" t="s">
        <v>42</v>
      </c>
      <c r="G307" s="193" t="s">
        <v>43</v>
      </c>
      <c r="H307" s="117" t="s">
        <v>750</v>
      </c>
      <c r="I307" s="35"/>
      <c r="J307" s="36"/>
      <c r="K307" s="36"/>
      <c r="L307" s="36"/>
      <c r="M307" s="36"/>
      <c r="N307" s="36"/>
      <c r="O307" s="36"/>
      <c r="P307" s="36"/>
      <c r="Q307" s="36"/>
      <c r="R307" s="36"/>
      <c r="S307" s="36"/>
      <c r="T307" s="36"/>
      <c r="U307" s="36"/>
      <c r="V307" s="36"/>
      <c r="W307" s="36"/>
      <c r="X307" s="36"/>
      <c r="Y307" s="36"/>
      <c r="Z307" s="36"/>
      <c r="AA307" s="36"/>
      <c r="AB307" s="36"/>
    </row>
    <row r="308" spans="1:28" ht="48" hidden="1" customHeight="1">
      <c r="A308" s="207" t="s">
        <v>800</v>
      </c>
      <c r="B308" s="206">
        <v>2004</v>
      </c>
      <c r="C308" s="117" t="s">
        <v>61</v>
      </c>
      <c r="D308" s="195" t="s">
        <v>535</v>
      </c>
      <c r="E308" s="117" t="s">
        <v>41</v>
      </c>
      <c r="F308" s="117" t="s">
        <v>42</v>
      </c>
      <c r="G308" s="193" t="s">
        <v>43</v>
      </c>
      <c r="H308" s="117" t="s">
        <v>750</v>
      </c>
      <c r="I308" s="35"/>
      <c r="J308" s="36"/>
      <c r="K308" s="36"/>
      <c r="L308" s="36"/>
      <c r="M308" s="36"/>
      <c r="N308" s="36"/>
      <c r="O308" s="36"/>
      <c r="P308" s="36"/>
      <c r="Q308" s="36"/>
      <c r="R308" s="36"/>
      <c r="S308" s="36"/>
      <c r="T308" s="36"/>
      <c r="U308" s="36"/>
      <c r="V308" s="36"/>
      <c r="W308" s="36"/>
      <c r="X308" s="36"/>
      <c r="Y308" s="36"/>
      <c r="Z308" s="36"/>
      <c r="AA308" s="36"/>
      <c r="AB308" s="36"/>
    </row>
    <row r="309" spans="1:28" ht="36" hidden="1" customHeight="1">
      <c r="A309" s="207" t="s">
        <v>801</v>
      </c>
      <c r="B309" s="206">
        <v>2004</v>
      </c>
      <c r="C309" s="117" t="s">
        <v>61</v>
      </c>
      <c r="D309" s="195" t="s">
        <v>802</v>
      </c>
      <c r="E309" s="117" t="s">
        <v>41</v>
      </c>
      <c r="F309" s="117" t="s">
        <v>42</v>
      </c>
      <c r="G309" s="193" t="s">
        <v>43</v>
      </c>
      <c r="H309" s="117" t="s">
        <v>750</v>
      </c>
      <c r="I309" s="35"/>
      <c r="J309" s="36"/>
      <c r="K309" s="36"/>
      <c r="L309" s="36"/>
      <c r="M309" s="36"/>
      <c r="N309" s="36"/>
      <c r="O309" s="36"/>
      <c r="P309" s="36"/>
      <c r="Q309" s="36"/>
      <c r="R309" s="36"/>
      <c r="S309" s="36"/>
      <c r="T309" s="36"/>
      <c r="U309" s="36"/>
      <c r="V309" s="36"/>
      <c r="W309" s="36"/>
      <c r="X309" s="36"/>
      <c r="Y309" s="36"/>
      <c r="Z309" s="36"/>
      <c r="AA309" s="36"/>
      <c r="AB309" s="36"/>
    </row>
    <row r="310" spans="1:28" ht="36" hidden="1" customHeight="1">
      <c r="A310" s="207" t="s">
        <v>803</v>
      </c>
      <c r="B310" s="206">
        <v>2005</v>
      </c>
      <c r="C310" s="117" t="s">
        <v>61</v>
      </c>
      <c r="D310" s="195" t="s">
        <v>67</v>
      </c>
      <c r="E310" s="117" t="s">
        <v>41</v>
      </c>
      <c r="F310" s="117" t="s">
        <v>42</v>
      </c>
      <c r="G310" s="193" t="s">
        <v>43</v>
      </c>
      <c r="H310" s="117" t="s">
        <v>750</v>
      </c>
      <c r="I310" s="35"/>
      <c r="J310" s="36"/>
      <c r="K310" s="36"/>
      <c r="L310" s="36"/>
      <c r="M310" s="36"/>
      <c r="N310" s="36"/>
      <c r="O310" s="36"/>
      <c r="P310" s="36"/>
      <c r="Q310" s="36"/>
      <c r="R310" s="36"/>
      <c r="S310" s="36"/>
      <c r="T310" s="36"/>
      <c r="U310" s="36"/>
      <c r="V310" s="36"/>
      <c r="W310" s="36"/>
      <c r="X310" s="36"/>
      <c r="Y310" s="36"/>
      <c r="Z310" s="36"/>
      <c r="AA310" s="36"/>
      <c r="AB310" s="36"/>
    </row>
    <row r="311" spans="1:28" ht="24" hidden="1" customHeight="1">
      <c r="A311" s="207" t="s">
        <v>804</v>
      </c>
      <c r="B311" s="206">
        <v>2005</v>
      </c>
      <c r="C311" s="117" t="s">
        <v>57</v>
      </c>
      <c r="D311" s="195" t="s">
        <v>805</v>
      </c>
      <c r="E311" s="117" t="s">
        <v>41</v>
      </c>
      <c r="F311" s="117" t="s">
        <v>42</v>
      </c>
      <c r="G311" s="193" t="s">
        <v>43</v>
      </c>
      <c r="H311" s="117" t="s">
        <v>750</v>
      </c>
      <c r="I311" s="35"/>
      <c r="J311" s="36"/>
      <c r="K311" s="36"/>
      <c r="L311" s="36"/>
      <c r="M311" s="36"/>
      <c r="N311" s="36"/>
      <c r="O311" s="36"/>
      <c r="P311" s="36"/>
      <c r="Q311" s="36"/>
      <c r="R311" s="36"/>
      <c r="S311" s="36"/>
      <c r="T311" s="36"/>
      <c r="U311" s="36"/>
      <c r="V311" s="36"/>
      <c r="W311" s="36"/>
      <c r="X311" s="36"/>
      <c r="Y311" s="36"/>
      <c r="Z311" s="36"/>
      <c r="AA311" s="36"/>
      <c r="AB311" s="36"/>
    </row>
    <row r="312" spans="1:28" ht="36" hidden="1" customHeight="1">
      <c r="A312" s="207" t="s">
        <v>806</v>
      </c>
      <c r="B312" s="206">
        <v>2007</v>
      </c>
      <c r="C312" s="117" t="s">
        <v>61</v>
      </c>
      <c r="D312" s="195" t="s">
        <v>807</v>
      </c>
      <c r="E312" s="117" t="s">
        <v>41</v>
      </c>
      <c r="F312" s="117" t="s">
        <v>42</v>
      </c>
      <c r="G312" s="193" t="s">
        <v>43</v>
      </c>
      <c r="H312" s="117" t="s">
        <v>750</v>
      </c>
      <c r="I312" s="35"/>
      <c r="J312" s="36"/>
      <c r="K312" s="36"/>
      <c r="L312" s="36"/>
      <c r="M312" s="36"/>
      <c r="N312" s="36"/>
      <c r="O312" s="36"/>
      <c r="P312" s="36"/>
      <c r="Q312" s="36"/>
      <c r="R312" s="36"/>
      <c r="S312" s="36"/>
      <c r="T312" s="36"/>
      <c r="U312" s="36"/>
      <c r="V312" s="36"/>
      <c r="W312" s="36"/>
      <c r="X312" s="36"/>
      <c r="Y312" s="36"/>
      <c r="Z312" s="36"/>
      <c r="AA312" s="36"/>
      <c r="AB312" s="36"/>
    </row>
    <row r="313" spans="1:28" ht="24" hidden="1" customHeight="1">
      <c r="A313" s="207" t="s">
        <v>808</v>
      </c>
      <c r="B313" s="206">
        <v>2008</v>
      </c>
      <c r="C313" s="117" t="s">
        <v>61</v>
      </c>
      <c r="D313" s="195" t="s">
        <v>809</v>
      </c>
      <c r="E313" s="117" t="s">
        <v>41</v>
      </c>
      <c r="F313" s="117" t="s">
        <v>42</v>
      </c>
      <c r="G313" s="193" t="s">
        <v>43</v>
      </c>
      <c r="H313" s="117" t="s">
        <v>750</v>
      </c>
      <c r="I313" s="35"/>
      <c r="J313" s="36"/>
      <c r="K313" s="36"/>
      <c r="L313" s="36"/>
      <c r="M313" s="36"/>
      <c r="N313" s="36"/>
      <c r="O313" s="36"/>
      <c r="P313" s="36"/>
      <c r="Q313" s="36"/>
      <c r="R313" s="36"/>
      <c r="S313" s="36"/>
      <c r="T313" s="36"/>
      <c r="U313" s="36"/>
      <c r="V313" s="36"/>
      <c r="W313" s="36"/>
      <c r="X313" s="36"/>
      <c r="Y313" s="36"/>
      <c r="Z313" s="36"/>
      <c r="AA313" s="36"/>
      <c r="AB313" s="36"/>
    </row>
    <row r="314" spans="1:28" ht="24" hidden="1" customHeight="1">
      <c r="A314" s="207" t="s">
        <v>810</v>
      </c>
      <c r="B314" s="206">
        <v>2008</v>
      </c>
      <c r="C314" s="117" t="s">
        <v>57</v>
      </c>
      <c r="D314" s="195" t="s">
        <v>811</v>
      </c>
      <c r="E314" s="117" t="s">
        <v>41</v>
      </c>
      <c r="F314" s="117" t="s">
        <v>42</v>
      </c>
      <c r="G314" s="193" t="s">
        <v>43</v>
      </c>
      <c r="H314" s="117" t="s">
        <v>750</v>
      </c>
      <c r="I314" s="35"/>
      <c r="J314" s="36"/>
      <c r="K314" s="36"/>
      <c r="L314" s="36"/>
      <c r="M314" s="36"/>
      <c r="N314" s="36"/>
      <c r="O314" s="36"/>
      <c r="P314" s="36"/>
      <c r="Q314" s="36"/>
      <c r="R314" s="36"/>
      <c r="S314" s="36"/>
      <c r="T314" s="36"/>
      <c r="U314" s="36"/>
      <c r="V314" s="36"/>
      <c r="W314" s="36"/>
      <c r="X314" s="36"/>
      <c r="Y314" s="36"/>
      <c r="Z314" s="36"/>
      <c r="AA314" s="36"/>
      <c r="AB314" s="36"/>
    </row>
    <row r="315" spans="1:28" ht="24" hidden="1" customHeight="1">
      <c r="A315" s="207" t="s">
        <v>812</v>
      </c>
      <c r="B315" s="206">
        <v>2008</v>
      </c>
      <c r="C315" s="117" t="s">
        <v>57</v>
      </c>
      <c r="D315" s="195" t="s">
        <v>813</v>
      </c>
      <c r="E315" s="117" t="s">
        <v>41</v>
      </c>
      <c r="F315" s="117" t="s">
        <v>42</v>
      </c>
      <c r="G315" s="193" t="s">
        <v>43</v>
      </c>
      <c r="H315" s="117" t="s">
        <v>750</v>
      </c>
      <c r="I315" s="35"/>
      <c r="J315" s="36"/>
      <c r="K315" s="36"/>
      <c r="L315" s="36"/>
      <c r="M315" s="36"/>
      <c r="N315" s="36"/>
      <c r="O315" s="36"/>
      <c r="P315" s="36"/>
      <c r="Q315" s="36"/>
      <c r="R315" s="36"/>
      <c r="S315" s="36"/>
      <c r="T315" s="36"/>
      <c r="U315" s="36"/>
      <c r="V315" s="36"/>
      <c r="W315" s="36"/>
      <c r="X315" s="36"/>
      <c r="Y315" s="36"/>
      <c r="Z315" s="36"/>
      <c r="AA315" s="36"/>
      <c r="AB315" s="36"/>
    </row>
    <row r="316" spans="1:28" ht="24" hidden="1" customHeight="1">
      <c r="A316" s="207" t="s">
        <v>814</v>
      </c>
      <c r="B316" s="206">
        <v>2009</v>
      </c>
      <c r="C316" s="117" t="s">
        <v>57</v>
      </c>
      <c r="D316" s="195" t="s">
        <v>815</v>
      </c>
      <c r="E316" s="117" t="s">
        <v>41</v>
      </c>
      <c r="F316" s="117" t="s">
        <v>42</v>
      </c>
      <c r="G316" s="193" t="s">
        <v>43</v>
      </c>
      <c r="H316" s="117" t="s">
        <v>750</v>
      </c>
      <c r="I316" s="35"/>
      <c r="J316" s="36"/>
      <c r="K316" s="36"/>
      <c r="L316" s="36"/>
      <c r="M316" s="36"/>
      <c r="N316" s="36"/>
      <c r="O316" s="36"/>
      <c r="P316" s="36"/>
      <c r="Q316" s="36"/>
      <c r="R316" s="36"/>
      <c r="S316" s="36"/>
      <c r="T316" s="36"/>
      <c r="U316" s="36"/>
      <c r="V316" s="36"/>
      <c r="W316" s="36"/>
      <c r="X316" s="36"/>
      <c r="Y316" s="36"/>
      <c r="Z316" s="36"/>
      <c r="AA316" s="36"/>
      <c r="AB316" s="36"/>
    </row>
    <row r="317" spans="1:28" ht="24" hidden="1" customHeight="1">
      <c r="A317" s="207" t="s">
        <v>816</v>
      </c>
      <c r="B317" s="206">
        <v>2009</v>
      </c>
      <c r="C317" s="117" t="s">
        <v>260</v>
      </c>
      <c r="D317" s="195" t="s">
        <v>817</v>
      </c>
      <c r="E317" s="117" t="s">
        <v>41</v>
      </c>
      <c r="F317" s="117" t="s">
        <v>42</v>
      </c>
      <c r="G317" s="193" t="s">
        <v>43</v>
      </c>
      <c r="H317" s="117" t="s">
        <v>750</v>
      </c>
      <c r="I317" s="35"/>
      <c r="J317" s="36"/>
      <c r="K317" s="36"/>
      <c r="L317" s="36"/>
      <c r="M317" s="36"/>
      <c r="N317" s="36"/>
      <c r="O317" s="36"/>
      <c r="P317" s="36"/>
      <c r="Q317" s="36"/>
      <c r="R317" s="36"/>
      <c r="S317" s="36"/>
      <c r="T317" s="36"/>
      <c r="U317" s="36"/>
      <c r="V317" s="36"/>
      <c r="W317" s="36"/>
      <c r="X317" s="36"/>
      <c r="Y317" s="36"/>
      <c r="Z317" s="36"/>
      <c r="AA317" s="36"/>
      <c r="AB317" s="36"/>
    </row>
    <row r="318" spans="1:28" ht="36" hidden="1" customHeight="1">
      <c r="A318" s="207" t="s">
        <v>818</v>
      </c>
      <c r="B318" s="206">
        <v>2010</v>
      </c>
      <c r="C318" s="117" t="s">
        <v>260</v>
      </c>
      <c r="D318" s="195" t="s">
        <v>819</v>
      </c>
      <c r="E318" s="117" t="s">
        <v>41</v>
      </c>
      <c r="F318" s="117" t="s">
        <v>42</v>
      </c>
      <c r="G318" s="193" t="s">
        <v>43</v>
      </c>
      <c r="H318" s="117" t="s">
        <v>750</v>
      </c>
      <c r="I318" s="35"/>
      <c r="J318" s="36"/>
      <c r="K318" s="36"/>
      <c r="L318" s="36"/>
      <c r="M318" s="36"/>
      <c r="N318" s="36"/>
      <c r="O318" s="36"/>
      <c r="P318" s="36"/>
      <c r="Q318" s="36"/>
      <c r="R318" s="36"/>
      <c r="S318" s="36"/>
      <c r="T318" s="36"/>
      <c r="U318" s="36"/>
      <c r="V318" s="36"/>
      <c r="W318" s="36"/>
      <c r="X318" s="36"/>
      <c r="Y318" s="36"/>
      <c r="Z318" s="36"/>
      <c r="AA318" s="36"/>
      <c r="AB318" s="36"/>
    </row>
    <row r="319" spans="1:28" ht="24" hidden="1" customHeight="1">
      <c r="A319" s="207" t="s">
        <v>820</v>
      </c>
      <c r="B319" s="206">
        <v>2010</v>
      </c>
      <c r="C319" s="117" t="s">
        <v>61</v>
      </c>
      <c r="D319" s="195" t="s">
        <v>821</v>
      </c>
      <c r="E319" s="117" t="s">
        <v>41</v>
      </c>
      <c r="F319" s="117" t="s">
        <v>42</v>
      </c>
      <c r="G319" s="193" t="s">
        <v>43</v>
      </c>
      <c r="H319" s="117" t="s">
        <v>750</v>
      </c>
      <c r="I319" s="35"/>
      <c r="J319" s="36"/>
      <c r="K319" s="36"/>
      <c r="L319" s="36"/>
      <c r="M319" s="36"/>
      <c r="N319" s="36"/>
      <c r="O319" s="36"/>
      <c r="P319" s="36"/>
      <c r="Q319" s="36"/>
      <c r="R319" s="36"/>
      <c r="S319" s="36"/>
      <c r="T319" s="36"/>
      <c r="U319" s="36"/>
      <c r="V319" s="36"/>
      <c r="W319" s="36"/>
      <c r="X319" s="36"/>
      <c r="Y319" s="36"/>
      <c r="Z319" s="36"/>
      <c r="AA319" s="36"/>
      <c r="AB319" s="36"/>
    </row>
    <row r="320" spans="1:28" ht="24" hidden="1" customHeight="1">
      <c r="A320" s="207" t="s">
        <v>822</v>
      </c>
      <c r="B320" s="117">
        <v>2011</v>
      </c>
      <c r="C320" s="117" t="s">
        <v>61</v>
      </c>
      <c r="D320" s="195" t="s">
        <v>823</v>
      </c>
      <c r="E320" s="117" t="s">
        <v>41</v>
      </c>
      <c r="F320" s="117" t="s">
        <v>42</v>
      </c>
      <c r="G320" s="193" t="s">
        <v>43</v>
      </c>
      <c r="H320" s="117" t="s">
        <v>750</v>
      </c>
      <c r="I320" s="35"/>
      <c r="J320" s="36"/>
      <c r="K320" s="36"/>
      <c r="L320" s="36"/>
      <c r="M320" s="36"/>
      <c r="N320" s="36"/>
      <c r="O320" s="36"/>
      <c r="P320" s="36"/>
      <c r="Q320" s="36"/>
      <c r="R320" s="36"/>
      <c r="S320" s="36"/>
      <c r="T320" s="36"/>
      <c r="U320" s="36"/>
      <c r="V320" s="36"/>
      <c r="W320" s="36"/>
      <c r="X320" s="36"/>
      <c r="Y320" s="36"/>
      <c r="Z320" s="36"/>
      <c r="AA320" s="36"/>
      <c r="AB320" s="36"/>
    </row>
    <row r="321" spans="1:28" ht="24" hidden="1" customHeight="1">
      <c r="A321" s="207" t="s">
        <v>824</v>
      </c>
      <c r="B321" s="206">
        <v>2012</v>
      </c>
      <c r="C321" s="117" t="s">
        <v>57</v>
      </c>
      <c r="D321" s="195" t="s">
        <v>825</v>
      </c>
      <c r="E321" s="117" t="s">
        <v>41</v>
      </c>
      <c r="F321" s="117" t="s">
        <v>42</v>
      </c>
      <c r="G321" s="193" t="s">
        <v>43</v>
      </c>
      <c r="H321" s="117" t="s">
        <v>750</v>
      </c>
      <c r="I321" s="35"/>
      <c r="J321" s="36"/>
      <c r="K321" s="36"/>
      <c r="L321" s="36"/>
      <c r="M321" s="36"/>
      <c r="N321" s="36"/>
      <c r="O321" s="36"/>
      <c r="P321" s="36"/>
      <c r="Q321" s="36"/>
      <c r="R321" s="36"/>
      <c r="S321" s="36"/>
      <c r="T321" s="36"/>
      <c r="U321" s="36"/>
      <c r="V321" s="36"/>
      <c r="W321" s="36"/>
      <c r="X321" s="36"/>
      <c r="Y321" s="36"/>
      <c r="Z321" s="36"/>
      <c r="AA321" s="36"/>
      <c r="AB321" s="36"/>
    </row>
    <row r="322" spans="1:28" ht="24" hidden="1" customHeight="1">
      <c r="A322" s="207" t="s">
        <v>826</v>
      </c>
      <c r="B322" s="206">
        <v>2012</v>
      </c>
      <c r="C322" s="117" t="s">
        <v>57</v>
      </c>
      <c r="D322" s="195" t="s">
        <v>827</v>
      </c>
      <c r="E322" s="117" t="s">
        <v>41</v>
      </c>
      <c r="F322" s="117" t="s">
        <v>42</v>
      </c>
      <c r="G322" s="193" t="s">
        <v>43</v>
      </c>
      <c r="H322" s="117" t="s">
        <v>750</v>
      </c>
      <c r="I322" s="35"/>
      <c r="J322" s="36"/>
      <c r="K322" s="36"/>
      <c r="L322" s="36"/>
      <c r="M322" s="36"/>
      <c r="N322" s="36"/>
      <c r="O322" s="36"/>
      <c r="P322" s="36"/>
      <c r="Q322" s="36"/>
      <c r="R322" s="36"/>
      <c r="S322" s="36"/>
      <c r="T322" s="36"/>
      <c r="U322" s="36"/>
      <c r="V322" s="36"/>
      <c r="W322" s="36"/>
      <c r="X322" s="36"/>
      <c r="Y322" s="36"/>
      <c r="Z322" s="36"/>
      <c r="AA322" s="36"/>
      <c r="AB322" s="36"/>
    </row>
    <row r="323" spans="1:28" ht="24" hidden="1" customHeight="1">
      <c r="A323" s="207" t="s">
        <v>828</v>
      </c>
      <c r="B323" s="206">
        <v>2012</v>
      </c>
      <c r="C323" s="117" t="s">
        <v>57</v>
      </c>
      <c r="D323" s="195" t="s">
        <v>829</v>
      </c>
      <c r="E323" s="117" t="s">
        <v>41</v>
      </c>
      <c r="F323" s="117" t="s">
        <v>42</v>
      </c>
      <c r="G323" s="193" t="s">
        <v>43</v>
      </c>
      <c r="H323" s="117" t="s">
        <v>750</v>
      </c>
      <c r="I323" s="35"/>
      <c r="J323" s="36"/>
      <c r="K323" s="36"/>
      <c r="L323" s="36"/>
      <c r="M323" s="36"/>
      <c r="N323" s="36"/>
      <c r="O323" s="36"/>
      <c r="P323" s="36"/>
      <c r="Q323" s="36"/>
      <c r="R323" s="36"/>
      <c r="S323" s="36"/>
      <c r="T323" s="36"/>
      <c r="U323" s="36"/>
      <c r="V323" s="36"/>
      <c r="W323" s="36"/>
      <c r="X323" s="36"/>
      <c r="Y323" s="36"/>
      <c r="Z323" s="36"/>
      <c r="AA323" s="36"/>
      <c r="AB323" s="36"/>
    </row>
    <row r="324" spans="1:28" ht="24" hidden="1" customHeight="1">
      <c r="A324" s="207" t="s">
        <v>830</v>
      </c>
      <c r="B324" s="206">
        <v>2012</v>
      </c>
      <c r="C324" s="117" t="s">
        <v>302</v>
      </c>
      <c r="D324" s="195" t="s">
        <v>829</v>
      </c>
      <c r="E324" s="117" t="s">
        <v>41</v>
      </c>
      <c r="F324" s="117" t="s">
        <v>42</v>
      </c>
      <c r="G324" s="193" t="s">
        <v>43</v>
      </c>
      <c r="H324" s="117" t="s">
        <v>750</v>
      </c>
      <c r="I324" s="35"/>
      <c r="J324" s="36"/>
      <c r="K324" s="36"/>
      <c r="L324" s="36"/>
      <c r="M324" s="36"/>
      <c r="N324" s="36"/>
      <c r="O324" s="36"/>
      <c r="P324" s="36"/>
      <c r="Q324" s="36"/>
      <c r="R324" s="36"/>
      <c r="S324" s="36"/>
      <c r="T324" s="36"/>
      <c r="U324" s="36"/>
      <c r="V324" s="36"/>
      <c r="W324" s="36"/>
      <c r="X324" s="36"/>
      <c r="Y324" s="36"/>
      <c r="Z324" s="36"/>
      <c r="AA324" s="36"/>
      <c r="AB324" s="36"/>
    </row>
    <row r="325" spans="1:28" ht="36" hidden="1" customHeight="1">
      <c r="A325" s="207" t="s">
        <v>831</v>
      </c>
      <c r="B325" s="117">
        <v>2012</v>
      </c>
      <c r="C325" s="117" t="s">
        <v>57</v>
      </c>
      <c r="D325" s="195" t="s">
        <v>546</v>
      </c>
      <c r="E325" s="117" t="s">
        <v>41</v>
      </c>
      <c r="F325" s="117" t="s">
        <v>42</v>
      </c>
      <c r="G325" s="193" t="s">
        <v>43</v>
      </c>
      <c r="H325" s="117" t="s">
        <v>750</v>
      </c>
      <c r="I325" s="35"/>
      <c r="J325" s="36"/>
      <c r="K325" s="36"/>
      <c r="L325" s="36"/>
      <c r="M325" s="36"/>
      <c r="N325" s="36"/>
      <c r="O325" s="36"/>
      <c r="P325" s="36"/>
      <c r="Q325" s="36"/>
      <c r="R325" s="36"/>
      <c r="S325" s="36"/>
      <c r="T325" s="36"/>
      <c r="U325" s="36"/>
      <c r="V325" s="36"/>
      <c r="W325" s="36"/>
      <c r="X325" s="36"/>
      <c r="Y325" s="36"/>
      <c r="Z325" s="36"/>
      <c r="AA325" s="36"/>
      <c r="AB325" s="36"/>
    </row>
    <row r="326" spans="1:28" ht="48" hidden="1" customHeight="1">
      <c r="A326" s="207" t="s">
        <v>832</v>
      </c>
      <c r="B326" s="206">
        <v>2013</v>
      </c>
      <c r="C326" s="117" t="s">
        <v>61</v>
      </c>
      <c r="D326" s="195" t="s">
        <v>833</v>
      </c>
      <c r="E326" s="117" t="s">
        <v>41</v>
      </c>
      <c r="F326" s="117" t="s">
        <v>42</v>
      </c>
      <c r="G326" s="193" t="s">
        <v>43</v>
      </c>
      <c r="H326" s="117" t="s">
        <v>750</v>
      </c>
      <c r="I326" s="35"/>
      <c r="J326" s="36"/>
      <c r="K326" s="36"/>
      <c r="L326" s="36"/>
      <c r="M326" s="36"/>
      <c r="N326" s="36"/>
      <c r="O326" s="36"/>
      <c r="P326" s="36"/>
      <c r="Q326" s="36"/>
      <c r="R326" s="36"/>
      <c r="S326" s="36"/>
      <c r="T326" s="36"/>
      <c r="U326" s="36"/>
      <c r="V326" s="36"/>
      <c r="W326" s="36"/>
      <c r="X326" s="36"/>
      <c r="Y326" s="36"/>
      <c r="Z326" s="36"/>
      <c r="AA326" s="36"/>
      <c r="AB326" s="36"/>
    </row>
    <row r="327" spans="1:28" ht="24" hidden="1" customHeight="1">
      <c r="A327" s="207" t="s">
        <v>834</v>
      </c>
      <c r="B327" s="206">
        <v>2013</v>
      </c>
      <c r="C327" s="117" t="s">
        <v>61</v>
      </c>
      <c r="D327" s="195" t="s">
        <v>547</v>
      </c>
      <c r="E327" s="117" t="s">
        <v>41</v>
      </c>
      <c r="F327" s="117" t="s">
        <v>42</v>
      </c>
      <c r="G327" s="193" t="s">
        <v>43</v>
      </c>
      <c r="H327" s="117" t="s">
        <v>750</v>
      </c>
      <c r="I327" s="35"/>
      <c r="J327" s="36"/>
      <c r="K327" s="36"/>
      <c r="L327" s="36"/>
      <c r="M327" s="36"/>
      <c r="N327" s="36"/>
      <c r="O327" s="36"/>
      <c r="P327" s="36"/>
      <c r="Q327" s="36"/>
      <c r="R327" s="36"/>
      <c r="S327" s="36"/>
      <c r="T327" s="36"/>
      <c r="U327" s="36"/>
      <c r="V327" s="36"/>
      <c r="W327" s="36"/>
      <c r="X327" s="36"/>
      <c r="Y327" s="36"/>
      <c r="Z327" s="36"/>
      <c r="AA327" s="36"/>
      <c r="AB327" s="36"/>
    </row>
    <row r="328" spans="1:28" ht="36" hidden="1" customHeight="1">
      <c r="A328" s="207" t="s">
        <v>835</v>
      </c>
      <c r="B328" s="206">
        <v>2014</v>
      </c>
      <c r="C328" s="117" t="s">
        <v>61</v>
      </c>
      <c r="D328" s="195" t="s">
        <v>836</v>
      </c>
      <c r="E328" s="117" t="s">
        <v>41</v>
      </c>
      <c r="F328" s="117" t="s">
        <v>42</v>
      </c>
      <c r="G328" s="193" t="s">
        <v>43</v>
      </c>
      <c r="H328" s="117" t="s">
        <v>750</v>
      </c>
      <c r="I328" s="35"/>
      <c r="J328" s="36"/>
      <c r="K328" s="36"/>
      <c r="L328" s="36"/>
      <c r="M328" s="36"/>
      <c r="N328" s="36"/>
      <c r="O328" s="36"/>
      <c r="P328" s="36"/>
      <c r="Q328" s="36"/>
      <c r="R328" s="36"/>
      <c r="S328" s="36"/>
      <c r="T328" s="36"/>
      <c r="U328" s="36"/>
      <c r="V328" s="36"/>
      <c r="W328" s="36"/>
      <c r="X328" s="36"/>
      <c r="Y328" s="36"/>
      <c r="Z328" s="36"/>
      <c r="AA328" s="36"/>
      <c r="AB328" s="36"/>
    </row>
    <row r="329" spans="1:28" ht="48" hidden="1" customHeight="1">
      <c r="A329" s="207" t="s">
        <v>837</v>
      </c>
      <c r="B329" s="206">
        <v>2014</v>
      </c>
      <c r="C329" s="117" t="s">
        <v>61</v>
      </c>
      <c r="D329" s="195" t="s">
        <v>838</v>
      </c>
      <c r="E329" s="117" t="s">
        <v>41</v>
      </c>
      <c r="F329" s="117" t="s">
        <v>42</v>
      </c>
      <c r="G329" s="193" t="s">
        <v>43</v>
      </c>
      <c r="H329" s="117" t="s">
        <v>750</v>
      </c>
      <c r="I329" s="35"/>
      <c r="J329" s="36"/>
      <c r="K329" s="36"/>
      <c r="L329" s="36"/>
      <c r="M329" s="36"/>
      <c r="N329" s="36"/>
      <c r="O329" s="36"/>
      <c r="P329" s="36"/>
      <c r="Q329" s="36"/>
      <c r="R329" s="36"/>
      <c r="S329" s="36"/>
      <c r="T329" s="36"/>
      <c r="U329" s="36"/>
      <c r="V329" s="36"/>
      <c r="W329" s="36"/>
      <c r="X329" s="36"/>
      <c r="Y329" s="36"/>
      <c r="Z329" s="36"/>
      <c r="AA329" s="36"/>
      <c r="AB329" s="36"/>
    </row>
    <row r="330" spans="1:28" ht="36" hidden="1" customHeight="1">
      <c r="A330" s="207" t="s">
        <v>839</v>
      </c>
      <c r="B330" s="206">
        <v>2014</v>
      </c>
      <c r="C330" s="117" t="s">
        <v>61</v>
      </c>
      <c r="D330" s="195" t="s">
        <v>840</v>
      </c>
      <c r="E330" s="117" t="s">
        <v>41</v>
      </c>
      <c r="F330" s="117" t="s">
        <v>42</v>
      </c>
      <c r="G330" s="193" t="s">
        <v>43</v>
      </c>
      <c r="H330" s="117" t="s">
        <v>750</v>
      </c>
      <c r="I330" s="35"/>
      <c r="J330" s="36"/>
      <c r="K330" s="36"/>
      <c r="L330" s="36"/>
      <c r="M330" s="36"/>
      <c r="N330" s="36"/>
      <c r="O330" s="36"/>
      <c r="P330" s="36"/>
      <c r="Q330" s="36"/>
      <c r="R330" s="36"/>
      <c r="S330" s="36"/>
      <c r="T330" s="36"/>
      <c r="U330" s="36"/>
      <c r="V330" s="36"/>
      <c r="W330" s="36"/>
      <c r="X330" s="36"/>
      <c r="Y330" s="36"/>
      <c r="Z330" s="36"/>
      <c r="AA330" s="36"/>
      <c r="AB330" s="36"/>
    </row>
    <row r="331" spans="1:28" ht="60" hidden="1" customHeight="1">
      <c r="A331" s="207" t="s">
        <v>841</v>
      </c>
      <c r="B331" s="206">
        <v>2014</v>
      </c>
      <c r="C331" s="117" t="s">
        <v>61</v>
      </c>
      <c r="D331" s="195" t="s">
        <v>842</v>
      </c>
      <c r="E331" s="117" t="s">
        <v>41</v>
      </c>
      <c r="F331" s="117" t="s">
        <v>42</v>
      </c>
      <c r="G331" s="193" t="s">
        <v>43</v>
      </c>
      <c r="H331" s="117" t="s">
        <v>750</v>
      </c>
      <c r="I331" s="35"/>
      <c r="J331" s="36"/>
      <c r="K331" s="36"/>
      <c r="L331" s="36"/>
      <c r="M331" s="36"/>
      <c r="N331" s="36"/>
      <c r="O331" s="36"/>
      <c r="P331" s="36"/>
      <c r="Q331" s="36"/>
      <c r="R331" s="36"/>
      <c r="S331" s="36"/>
      <c r="T331" s="36"/>
      <c r="U331" s="36"/>
      <c r="V331" s="36"/>
      <c r="W331" s="36"/>
      <c r="X331" s="36"/>
      <c r="Y331" s="36"/>
      <c r="Z331" s="36"/>
      <c r="AA331" s="36"/>
      <c r="AB331" s="36"/>
    </row>
    <row r="332" spans="1:28" ht="24" hidden="1" customHeight="1">
      <c r="A332" s="207" t="s">
        <v>843</v>
      </c>
      <c r="B332" s="206">
        <v>2015</v>
      </c>
      <c r="C332" s="117" t="s">
        <v>61</v>
      </c>
      <c r="D332" s="195" t="s">
        <v>844</v>
      </c>
      <c r="E332" s="117" t="s">
        <v>41</v>
      </c>
      <c r="F332" s="117" t="s">
        <v>42</v>
      </c>
      <c r="G332" s="193" t="s">
        <v>43</v>
      </c>
      <c r="H332" s="117" t="s">
        <v>750</v>
      </c>
      <c r="I332" s="35"/>
      <c r="J332" s="36"/>
      <c r="K332" s="36"/>
      <c r="L332" s="36"/>
      <c r="M332" s="36"/>
      <c r="N332" s="36"/>
      <c r="O332" s="36"/>
      <c r="P332" s="36"/>
      <c r="Q332" s="36"/>
      <c r="R332" s="36"/>
      <c r="S332" s="36"/>
      <c r="T332" s="36"/>
      <c r="U332" s="36"/>
      <c r="V332" s="36"/>
      <c r="W332" s="36"/>
      <c r="X332" s="36"/>
      <c r="Y332" s="36"/>
      <c r="Z332" s="36"/>
      <c r="AA332" s="36"/>
      <c r="AB332" s="36"/>
    </row>
    <row r="333" spans="1:28" ht="72" hidden="1" customHeight="1">
      <c r="A333" s="207" t="s">
        <v>845</v>
      </c>
      <c r="B333" s="206">
        <v>2015</v>
      </c>
      <c r="C333" s="117" t="s">
        <v>61</v>
      </c>
      <c r="D333" s="195" t="s">
        <v>846</v>
      </c>
      <c r="E333" s="117" t="s">
        <v>41</v>
      </c>
      <c r="F333" s="117" t="s">
        <v>42</v>
      </c>
      <c r="G333" s="193" t="s">
        <v>43</v>
      </c>
      <c r="H333" s="117" t="s">
        <v>750</v>
      </c>
      <c r="I333" s="35"/>
      <c r="J333" s="36"/>
      <c r="K333" s="36"/>
      <c r="L333" s="36"/>
      <c r="M333" s="36"/>
      <c r="N333" s="36"/>
      <c r="O333" s="36"/>
      <c r="P333" s="36"/>
      <c r="Q333" s="36"/>
      <c r="R333" s="36"/>
      <c r="S333" s="36"/>
      <c r="T333" s="36"/>
      <c r="U333" s="36"/>
      <c r="V333" s="36"/>
      <c r="W333" s="36"/>
      <c r="X333" s="36"/>
      <c r="Y333" s="36"/>
      <c r="Z333" s="36"/>
      <c r="AA333" s="36"/>
      <c r="AB333" s="36"/>
    </row>
    <row r="334" spans="1:28" ht="24" hidden="1" customHeight="1">
      <c r="A334" s="207" t="s">
        <v>847</v>
      </c>
      <c r="B334" s="206">
        <v>2015</v>
      </c>
      <c r="C334" s="117" t="s">
        <v>61</v>
      </c>
      <c r="D334" s="195" t="s">
        <v>848</v>
      </c>
      <c r="E334" s="117" t="s">
        <v>41</v>
      </c>
      <c r="F334" s="117" t="s">
        <v>42</v>
      </c>
      <c r="G334" s="193" t="s">
        <v>43</v>
      </c>
      <c r="H334" s="117" t="s">
        <v>750</v>
      </c>
      <c r="I334" s="35"/>
      <c r="J334" s="36"/>
      <c r="K334" s="36"/>
      <c r="L334" s="36"/>
      <c r="M334" s="36"/>
      <c r="N334" s="36"/>
      <c r="O334" s="36"/>
      <c r="P334" s="36"/>
      <c r="Q334" s="36"/>
      <c r="R334" s="36"/>
      <c r="S334" s="36"/>
      <c r="T334" s="36"/>
      <c r="U334" s="36"/>
      <c r="V334" s="36"/>
      <c r="W334" s="36"/>
      <c r="X334" s="36"/>
      <c r="Y334" s="36"/>
      <c r="Z334" s="36"/>
      <c r="AA334" s="36"/>
      <c r="AB334" s="36"/>
    </row>
    <row r="335" spans="1:28" ht="48" hidden="1" customHeight="1">
      <c r="A335" s="207" t="s">
        <v>849</v>
      </c>
      <c r="B335" s="206">
        <v>2015</v>
      </c>
      <c r="C335" s="117" t="s">
        <v>61</v>
      </c>
      <c r="D335" s="195" t="s">
        <v>850</v>
      </c>
      <c r="E335" s="117" t="s">
        <v>41</v>
      </c>
      <c r="F335" s="117" t="s">
        <v>42</v>
      </c>
      <c r="G335" s="193" t="s">
        <v>43</v>
      </c>
      <c r="H335" s="117" t="s">
        <v>750</v>
      </c>
      <c r="I335" s="35"/>
      <c r="J335" s="36"/>
      <c r="K335" s="36"/>
      <c r="L335" s="36"/>
      <c r="M335" s="36"/>
      <c r="N335" s="36"/>
      <c r="O335" s="36"/>
      <c r="P335" s="36"/>
      <c r="Q335" s="36"/>
      <c r="R335" s="36"/>
      <c r="S335" s="36"/>
      <c r="T335" s="36"/>
      <c r="U335" s="36"/>
      <c r="V335" s="36"/>
      <c r="W335" s="36"/>
      <c r="X335" s="36"/>
      <c r="Y335" s="36"/>
      <c r="Z335" s="36"/>
      <c r="AA335" s="36"/>
      <c r="AB335" s="36"/>
    </row>
    <row r="336" spans="1:28" ht="24" hidden="1" customHeight="1">
      <c r="A336" s="207" t="s">
        <v>851</v>
      </c>
      <c r="B336" s="206">
        <v>2015</v>
      </c>
      <c r="C336" s="117" t="s">
        <v>61</v>
      </c>
      <c r="D336" s="195" t="s">
        <v>852</v>
      </c>
      <c r="E336" s="117" t="s">
        <v>41</v>
      </c>
      <c r="F336" s="117" t="s">
        <v>42</v>
      </c>
      <c r="G336" s="193" t="s">
        <v>43</v>
      </c>
      <c r="H336" s="117" t="s">
        <v>750</v>
      </c>
      <c r="I336" s="35"/>
      <c r="J336" s="36"/>
      <c r="K336" s="36"/>
      <c r="L336" s="36"/>
      <c r="M336" s="36"/>
      <c r="N336" s="36"/>
      <c r="O336" s="36"/>
      <c r="P336" s="36"/>
      <c r="Q336" s="36"/>
      <c r="R336" s="36"/>
      <c r="S336" s="36"/>
      <c r="T336" s="36"/>
      <c r="U336" s="36"/>
      <c r="V336" s="36"/>
      <c r="W336" s="36"/>
      <c r="X336" s="36"/>
      <c r="Y336" s="36"/>
      <c r="Z336" s="36"/>
      <c r="AA336" s="36"/>
      <c r="AB336" s="36"/>
    </row>
    <row r="337" spans="1:28" ht="24" hidden="1" customHeight="1">
      <c r="A337" s="207" t="s">
        <v>853</v>
      </c>
      <c r="B337" s="206">
        <v>2016</v>
      </c>
      <c r="C337" s="117" t="s">
        <v>61</v>
      </c>
      <c r="D337" s="195" t="s">
        <v>854</v>
      </c>
      <c r="E337" s="117" t="s">
        <v>41</v>
      </c>
      <c r="F337" s="117" t="s">
        <v>42</v>
      </c>
      <c r="G337" s="193" t="s">
        <v>43</v>
      </c>
      <c r="H337" s="117" t="s">
        <v>750</v>
      </c>
      <c r="I337" s="35"/>
      <c r="J337" s="36"/>
      <c r="K337" s="36"/>
      <c r="L337" s="36"/>
      <c r="M337" s="36"/>
      <c r="N337" s="36"/>
      <c r="O337" s="36"/>
      <c r="P337" s="36"/>
      <c r="Q337" s="36"/>
      <c r="R337" s="36"/>
      <c r="S337" s="36"/>
      <c r="T337" s="36"/>
      <c r="U337" s="36"/>
      <c r="V337" s="36"/>
      <c r="W337" s="36"/>
      <c r="X337" s="36"/>
      <c r="Y337" s="36"/>
      <c r="Z337" s="36"/>
      <c r="AA337" s="36"/>
      <c r="AB337" s="36"/>
    </row>
    <row r="338" spans="1:28" ht="60" hidden="1" customHeight="1">
      <c r="A338" s="208" t="s">
        <v>855</v>
      </c>
      <c r="B338" s="201">
        <v>2018</v>
      </c>
      <c r="C338" s="201" t="s">
        <v>856</v>
      </c>
      <c r="D338" s="202" t="s">
        <v>857</v>
      </c>
      <c r="E338" s="204" t="s">
        <v>41</v>
      </c>
      <c r="F338" s="201" t="s">
        <v>42</v>
      </c>
      <c r="G338" s="204" t="s">
        <v>43</v>
      </c>
      <c r="H338" s="201" t="s">
        <v>750</v>
      </c>
      <c r="I338" s="35"/>
      <c r="J338" s="36"/>
      <c r="K338" s="36"/>
      <c r="L338" s="36"/>
      <c r="M338" s="36"/>
      <c r="N338" s="36"/>
      <c r="O338" s="36"/>
      <c r="P338" s="36"/>
      <c r="Q338" s="36"/>
      <c r="R338" s="36"/>
      <c r="S338" s="36"/>
      <c r="T338" s="36"/>
      <c r="U338" s="36"/>
      <c r="V338" s="36"/>
      <c r="W338" s="36"/>
      <c r="X338" s="36"/>
      <c r="Y338" s="36"/>
      <c r="Z338" s="36"/>
      <c r="AA338" s="36"/>
      <c r="AB338" s="36"/>
    </row>
    <row r="339" spans="1:28" ht="60" hidden="1" customHeight="1">
      <c r="A339" s="199" t="s">
        <v>858</v>
      </c>
      <c r="B339" s="194">
        <v>1994</v>
      </c>
      <c r="C339" s="117" t="s">
        <v>61</v>
      </c>
      <c r="D339" s="195" t="s">
        <v>859</v>
      </c>
      <c r="E339" s="117" t="s">
        <v>41</v>
      </c>
      <c r="F339" s="117" t="s">
        <v>42</v>
      </c>
      <c r="G339" s="193" t="s">
        <v>43</v>
      </c>
      <c r="H339" s="117" t="s">
        <v>750</v>
      </c>
      <c r="I339" s="35"/>
      <c r="J339" s="36"/>
      <c r="K339" s="36"/>
      <c r="L339" s="36"/>
      <c r="M339" s="36"/>
      <c r="N339" s="36"/>
      <c r="O339" s="36"/>
      <c r="P339" s="36"/>
      <c r="Q339" s="36"/>
      <c r="R339" s="36"/>
      <c r="S339" s="36"/>
      <c r="T339" s="36"/>
      <c r="U339" s="36"/>
      <c r="V339" s="36"/>
      <c r="W339" s="36"/>
      <c r="X339" s="36"/>
      <c r="Y339" s="36"/>
      <c r="Z339" s="36"/>
      <c r="AA339" s="36"/>
      <c r="AB339" s="36"/>
    </row>
    <row r="340" spans="1:28" ht="120" hidden="1" customHeight="1">
      <c r="A340" s="199" t="s">
        <v>860</v>
      </c>
      <c r="B340" s="194">
        <v>1995</v>
      </c>
      <c r="C340" s="117" t="s">
        <v>195</v>
      </c>
      <c r="D340" s="195" t="s">
        <v>861</v>
      </c>
      <c r="E340" s="117" t="s">
        <v>862</v>
      </c>
      <c r="F340" s="195" t="s">
        <v>863</v>
      </c>
      <c r="G340" s="193" t="s">
        <v>43</v>
      </c>
      <c r="H340" s="117" t="s">
        <v>750</v>
      </c>
      <c r="I340" s="35"/>
      <c r="J340" s="36"/>
      <c r="K340" s="36"/>
      <c r="L340" s="36"/>
      <c r="M340" s="36"/>
      <c r="N340" s="36"/>
      <c r="O340" s="36"/>
      <c r="P340" s="36"/>
      <c r="Q340" s="36"/>
      <c r="R340" s="36"/>
      <c r="S340" s="36"/>
      <c r="T340" s="36"/>
      <c r="U340" s="36"/>
      <c r="V340" s="36"/>
      <c r="W340" s="36"/>
      <c r="X340" s="36"/>
      <c r="Y340" s="36"/>
      <c r="Z340" s="36"/>
      <c r="AA340" s="36"/>
      <c r="AB340" s="36"/>
    </row>
    <row r="341" spans="1:28" ht="204" hidden="1" customHeight="1">
      <c r="A341" s="199" t="s">
        <v>864</v>
      </c>
      <c r="B341" s="194">
        <v>1996</v>
      </c>
      <c r="C341" s="117" t="s">
        <v>195</v>
      </c>
      <c r="D341" s="195" t="s">
        <v>865</v>
      </c>
      <c r="E341" s="117" t="s">
        <v>866</v>
      </c>
      <c r="F341" s="195" t="s">
        <v>867</v>
      </c>
      <c r="G341" s="193" t="s">
        <v>43</v>
      </c>
      <c r="H341" s="117" t="s">
        <v>750</v>
      </c>
      <c r="I341" s="35"/>
      <c r="J341" s="36"/>
      <c r="K341" s="36"/>
      <c r="L341" s="36"/>
      <c r="M341" s="36"/>
      <c r="N341" s="36"/>
      <c r="O341" s="36"/>
      <c r="P341" s="36"/>
      <c r="Q341" s="36"/>
      <c r="R341" s="36"/>
      <c r="S341" s="36"/>
      <c r="T341" s="36"/>
      <c r="U341" s="36"/>
      <c r="V341" s="36"/>
      <c r="W341" s="36"/>
      <c r="X341" s="36"/>
      <c r="Y341" s="36"/>
      <c r="Z341" s="36"/>
      <c r="AA341" s="36"/>
      <c r="AB341" s="36"/>
    </row>
    <row r="342" spans="1:28" ht="24" hidden="1" customHeight="1">
      <c r="A342" s="199" t="s">
        <v>868</v>
      </c>
      <c r="B342" s="194">
        <v>2002</v>
      </c>
      <c r="C342" s="117" t="s">
        <v>195</v>
      </c>
      <c r="D342" s="195" t="s">
        <v>869</v>
      </c>
      <c r="E342" s="117" t="s">
        <v>41</v>
      </c>
      <c r="F342" s="117" t="s">
        <v>42</v>
      </c>
      <c r="G342" s="193" t="s">
        <v>43</v>
      </c>
      <c r="H342" s="117" t="s">
        <v>750</v>
      </c>
      <c r="I342" s="35"/>
      <c r="J342" s="36"/>
      <c r="K342" s="36"/>
      <c r="L342" s="36"/>
      <c r="M342" s="36"/>
      <c r="N342" s="36"/>
      <c r="O342" s="36"/>
      <c r="P342" s="36"/>
      <c r="Q342" s="36"/>
      <c r="R342" s="36"/>
      <c r="S342" s="36"/>
      <c r="T342" s="36"/>
      <c r="U342" s="36"/>
      <c r="V342" s="36"/>
      <c r="W342" s="36"/>
      <c r="X342" s="36"/>
      <c r="Y342" s="36"/>
      <c r="Z342" s="36"/>
      <c r="AA342" s="36"/>
      <c r="AB342" s="36"/>
    </row>
    <row r="343" spans="1:28" ht="24" hidden="1" customHeight="1">
      <c r="A343" s="199" t="s">
        <v>870</v>
      </c>
      <c r="B343" s="194">
        <v>2003</v>
      </c>
      <c r="C343" s="117" t="s">
        <v>195</v>
      </c>
      <c r="D343" s="195" t="s">
        <v>871</v>
      </c>
      <c r="E343" s="117" t="s">
        <v>41</v>
      </c>
      <c r="F343" s="117" t="s">
        <v>42</v>
      </c>
      <c r="G343" s="193" t="s">
        <v>43</v>
      </c>
      <c r="H343" s="117" t="s">
        <v>750</v>
      </c>
      <c r="I343" s="35"/>
      <c r="J343" s="36"/>
      <c r="K343" s="36"/>
      <c r="L343" s="36"/>
      <c r="M343" s="36"/>
      <c r="N343" s="36"/>
      <c r="O343" s="36"/>
      <c r="P343" s="36"/>
      <c r="Q343" s="36"/>
      <c r="R343" s="36"/>
      <c r="S343" s="36"/>
      <c r="T343" s="36"/>
      <c r="U343" s="36"/>
      <c r="V343" s="36"/>
      <c r="W343" s="36"/>
      <c r="X343" s="36"/>
      <c r="Y343" s="36"/>
      <c r="Z343" s="36"/>
      <c r="AA343" s="36"/>
      <c r="AB343" s="36"/>
    </row>
    <row r="344" spans="1:28" ht="24" hidden="1" customHeight="1">
      <c r="A344" s="199" t="s">
        <v>872</v>
      </c>
      <c r="B344" s="194">
        <v>2005</v>
      </c>
      <c r="C344" s="117" t="s">
        <v>195</v>
      </c>
      <c r="D344" s="195" t="s">
        <v>873</v>
      </c>
      <c r="E344" s="117" t="s">
        <v>41</v>
      </c>
      <c r="F344" s="117" t="s">
        <v>42</v>
      </c>
      <c r="G344" s="193" t="s">
        <v>43</v>
      </c>
      <c r="H344" s="117" t="s">
        <v>750</v>
      </c>
      <c r="I344" s="35"/>
      <c r="J344" s="36"/>
      <c r="K344" s="36"/>
      <c r="L344" s="36"/>
      <c r="M344" s="36"/>
      <c r="N344" s="36"/>
      <c r="O344" s="36"/>
      <c r="P344" s="36"/>
      <c r="Q344" s="36"/>
      <c r="R344" s="36"/>
      <c r="S344" s="36"/>
      <c r="T344" s="36"/>
      <c r="U344" s="36"/>
      <c r="V344" s="36"/>
      <c r="W344" s="36"/>
      <c r="X344" s="36"/>
      <c r="Y344" s="36"/>
      <c r="Z344" s="36"/>
      <c r="AA344" s="36"/>
      <c r="AB344" s="36"/>
    </row>
    <row r="345" spans="1:28" ht="15" hidden="1" customHeight="1">
      <c r="A345" s="199" t="s">
        <v>784</v>
      </c>
      <c r="B345" s="194">
        <v>2011</v>
      </c>
      <c r="C345" s="117" t="s">
        <v>39</v>
      </c>
      <c r="D345" s="195" t="s">
        <v>785</v>
      </c>
      <c r="E345" s="117" t="s">
        <v>41</v>
      </c>
      <c r="F345" s="117" t="s">
        <v>42</v>
      </c>
      <c r="G345" s="193" t="s">
        <v>43</v>
      </c>
      <c r="H345" s="117" t="s">
        <v>750</v>
      </c>
      <c r="I345" s="35"/>
      <c r="J345" s="36"/>
      <c r="K345" s="36"/>
      <c r="L345" s="36"/>
      <c r="M345" s="36"/>
      <c r="N345" s="36"/>
      <c r="O345" s="36"/>
      <c r="P345" s="36"/>
      <c r="Q345" s="36"/>
      <c r="R345" s="36"/>
      <c r="S345" s="36"/>
      <c r="T345" s="36"/>
      <c r="U345" s="36"/>
      <c r="V345" s="36"/>
      <c r="W345" s="36"/>
      <c r="X345" s="36"/>
      <c r="Y345" s="36"/>
      <c r="Z345" s="36"/>
      <c r="AA345" s="36"/>
      <c r="AB345" s="36"/>
    </row>
    <row r="346" spans="1:28" ht="36" hidden="1" customHeight="1">
      <c r="A346" s="199" t="s">
        <v>786</v>
      </c>
      <c r="B346" s="194">
        <v>2011</v>
      </c>
      <c r="C346" s="117" t="s">
        <v>39</v>
      </c>
      <c r="D346" s="195" t="s">
        <v>787</v>
      </c>
      <c r="E346" s="117" t="s">
        <v>41</v>
      </c>
      <c r="F346" s="117" t="s">
        <v>42</v>
      </c>
      <c r="G346" s="193" t="s">
        <v>43</v>
      </c>
      <c r="H346" s="117" t="s">
        <v>750</v>
      </c>
      <c r="I346" s="35"/>
      <c r="J346" s="36"/>
      <c r="K346" s="36"/>
      <c r="L346" s="36"/>
      <c r="M346" s="36"/>
      <c r="N346" s="36"/>
      <c r="O346" s="36"/>
      <c r="P346" s="36"/>
      <c r="Q346" s="36"/>
      <c r="R346" s="36"/>
      <c r="S346" s="36"/>
      <c r="T346" s="36"/>
      <c r="U346" s="36"/>
      <c r="V346" s="36"/>
      <c r="W346" s="36"/>
      <c r="X346" s="36"/>
      <c r="Y346" s="36"/>
      <c r="Z346" s="36"/>
      <c r="AA346" s="36"/>
      <c r="AB346" s="36"/>
    </row>
    <row r="347" spans="1:28" ht="24" hidden="1" customHeight="1">
      <c r="A347" s="199" t="s">
        <v>874</v>
      </c>
      <c r="B347" s="194">
        <v>2012</v>
      </c>
      <c r="C347" s="117" t="s">
        <v>195</v>
      </c>
      <c r="D347" s="195" t="s">
        <v>875</v>
      </c>
      <c r="E347" s="117" t="s">
        <v>876</v>
      </c>
      <c r="F347" s="117" t="s">
        <v>877</v>
      </c>
      <c r="G347" s="193" t="s">
        <v>43</v>
      </c>
      <c r="H347" s="117" t="s">
        <v>750</v>
      </c>
      <c r="I347" s="35"/>
      <c r="J347" s="36"/>
      <c r="K347" s="36"/>
      <c r="L347" s="36"/>
      <c r="M347" s="36"/>
      <c r="N347" s="36"/>
      <c r="O347" s="36"/>
      <c r="P347" s="36"/>
      <c r="Q347" s="36"/>
      <c r="R347" s="36"/>
      <c r="S347" s="36"/>
      <c r="T347" s="36"/>
      <c r="U347" s="36"/>
      <c r="V347" s="36"/>
      <c r="W347" s="36"/>
      <c r="X347" s="36"/>
      <c r="Y347" s="36"/>
      <c r="Z347" s="36"/>
      <c r="AA347" s="36"/>
      <c r="AB347" s="36"/>
    </row>
    <row r="348" spans="1:28" ht="36" hidden="1" customHeight="1">
      <c r="A348" s="199" t="s">
        <v>878</v>
      </c>
      <c r="B348" s="194">
        <v>2013</v>
      </c>
      <c r="C348" s="117" t="s">
        <v>195</v>
      </c>
      <c r="D348" s="195" t="s">
        <v>879</v>
      </c>
      <c r="E348" s="117" t="s">
        <v>41</v>
      </c>
      <c r="F348" s="117" t="s">
        <v>42</v>
      </c>
      <c r="G348" s="193" t="s">
        <v>43</v>
      </c>
      <c r="H348" s="117" t="s">
        <v>750</v>
      </c>
      <c r="I348" s="35"/>
      <c r="J348" s="36"/>
      <c r="K348" s="36"/>
      <c r="L348" s="36"/>
      <c r="M348" s="36"/>
      <c r="N348" s="36"/>
      <c r="O348" s="36"/>
      <c r="P348" s="36"/>
      <c r="Q348" s="36"/>
      <c r="R348" s="36"/>
      <c r="S348" s="36"/>
      <c r="T348" s="36"/>
      <c r="U348" s="36"/>
      <c r="V348" s="36"/>
      <c r="W348" s="36"/>
      <c r="X348" s="36"/>
      <c r="Y348" s="36"/>
      <c r="Z348" s="36"/>
      <c r="AA348" s="36"/>
      <c r="AB348" s="36"/>
    </row>
    <row r="349" spans="1:28" ht="36" hidden="1" customHeight="1">
      <c r="A349" s="199" t="s">
        <v>880</v>
      </c>
      <c r="B349" s="194">
        <v>2016</v>
      </c>
      <c r="C349" s="117" t="s">
        <v>195</v>
      </c>
      <c r="D349" s="195" t="s">
        <v>563</v>
      </c>
      <c r="E349" s="117" t="s">
        <v>41</v>
      </c>
      <c r="F349" s="117" t="s">
        <v>42</v>
      </c>
      <c r="G349" s="193" t="s">
        <v>43</v>
      </c>
      <c r="H349" s="117" t="s">
        <v>750</v>
      </c>
      <c r="I349" s="35"/>
      <c r="J349" s="36"/>
      <c r="K349" s="36"/>
      <c r="L349" s="36"/>
      <c r="M349" s="36"/>
      <c r="N349" s="36"/>
      <c r="O349" s="36"/>
      <c r="P349" s="36"/>
      <c r="Q349" s="36"/>
      <c r="R349" s="36"/>
      <c r="S349" s="36"/>
      <c r="T349" s="36"/>
      <c r="U349" s="36"/>
      <c r="V349" s="36"/>
      <c r="W349" s="36"/>
      <c r="X349" s="36"/>
      <c r="Y349" s="36"/>
      <c r="Z349" s="36"/>
      <c r="AA349" s="36"/>
      <c r="AB349" s="36"/>
    </row>
    <row r="350" spans="1:28" ht="24" hidden="1" customHeight="1">
      <c r="A350" s="205" t="s">
        <v>881</v>
      </c>
      <c r="B350" s="206">
        <v>1995</v>
      </c>
      <c r="C350" s="117" t="s">
        <v>681</v>
      </c>
      <c r="D350" s="195" t="s">
        <v>882</v>
      </c>
      <c r="E350" s="117" t="s">
        <v>41</v>
      </c>
      <c r="F350" s="117" t="s">
        <v>42</v>
      </c>
      <c r="G350" s="193" t="s">
        <v>43</v>
      </c>
      <c r="H350" s="117" t="s">
        <v>750</v>
      </c>
      <c r="I350" s="35"/>
      <c r="J350" s="36"/>
      <c r="K350" s="36"/>
      <c r="L350" s="36"/>
      <c r="M350" s="36"/>
      <c r="N350" s="36"/>
      <c r="O350" s="36"/>
      <c r="P350" s="36"/>
      <c r="Q350" s="36"/>
      <c r="R350" s="36"/>
      <c r="S350" s="36"/>
      <c r="T350" s="36"/>
      <c r="U350" s="36"/>
      <c r="V350" s="36"/>
      <c r="W350" s="36"/>
      <c r="X350" s="36"/>
      <c r="Y350" s="36"/>
      <c r="Z350" s="36"/>
      <c r="AA350" s="36"/>
      <c r="AB350" s="36"/>
    </row>
    <row r="351" spans="1:28" ht="60" hidden="1" customHeight="1">
      <c r="A351" s="207" t="s">
        <v>883</v>
      </c>
      <c r="B351" s="206">
        <v>2001</v>
      </c>
      <c r="C351" s="117" t="s">
        <v>884</v>
      </c>
      <c r="D351" s="195" t="s">
        <v>885</v>
      </c>
      <c r="E351" s="117" t="s">
        <v>41</v>
      </c>
      <c r="F351" s="117" t="s">
        <v>42</v>
      </c>
      <c r="G351" s="193" t="s">
        <v>43</v>
      </c>
      <c r="H351" s="117" t="s">
        <v>750</v>
      </c>
      <c r="I351" s="35"/>
      <c r="J351" s="36"/>
      <c r="K351" s="36"/>
      <c r="L351" s="36"/>
      <c r="M351" s="36"/>
      <c r="N351" s="36"/>
      <c r="O351" s="36"/>
      <c r="P351" s="36"/>
      <c r="Q351" s="36"/>
      <c r="R351" s="36"/>
      <c r="S351" s="36"/>
      <c r="T351" s="36"/>
      <c r="U351" s="36"/>
      <c r="V351" s="36"/>
      <c r="W351" s="36"/>
      <c r="X351" s="36"/>
      <c r="Y351" s="36"/>
      <c r="Z351" s="36"/>
      <c r="AA351" s="36"/>
      <c r="AB351" s="36"/>
    </row>
    <row r="352" spans="1:28" ht="24" hidden="1" customHeight="1">
      <c r="A352" s="207" t="s">
        <v>886</v>
      </c>
      <c r="B352" s="206">
        <v>2007</v>
      </c>
      <c r="C352" s="197" t="s">
        <v>130</v>
      </c>
      <c r="D352" s="195" t="s">
        <v>887</v>
      </c>
      <c r="E352" s="117" t="s">
        <v>41</v>
      </c>
      <c r="F352" s="117" t="s">
        <v>42</v>
      </c>
      <c r="G352" s="193" t="s">
        <v>43</v>
      </c>
      <c r="H352" s="117" t="s">
        <v>750</v>
      </c>
      <c r="I352" s="35"/>
      <c r="J352" s="36"/>
      <c r="K352" s="36"/>
      <c r="L352" s="36"/>
      <c r="M352" s="36"/>
      <c r="N352" s="36"/>
      <c r="O352" s="36"/>
      <c r="P352" s="36"/>
      <c r="Q352" s="36"/>
      <c r="R352" s="36"/>
      <c r="S352" s="36"/>
      <c r="T352" s="36"/>
      <c r="U352" s="36"/>
      <c r="V352" s="36"/>
      <c r="W352" s="36"/>
      <c r="X352" s="36"/>
      <c r="Y352" s="36"/>
      <c r="Z352" s="36"/>
      <c r="AA352" s="36"/>
      <c r="AB352" s="36"/>
    </row>
    <row r="353" spans="1:28" ht="36" hidden="1" customHeight="1">
      <c r="A353" s="207" t="s">
        <v>888</v>
      </c>
      <c r="B353" s="206">
        <v>2007</v>
      </c>
      <c r="C353" s="197" t="s">
        <v>130</v>
      </c>
      <c r="D353" s="195" t="s">
        <v>889</v>
      </c>
      <c r="E353" s="117" t="s">
        <v>41</v>
      </c>
      <c r="F353" s="117" t="s">
        <v>42</v>
      </c>
      <c r="G353" s="193" t="s">
        <v>43</v>
      </c>
      <c r="H353" s="117" t="s">
        <v>750</v>
      </c>
      <c r="I353" s="35"/>
      <c r="J353" s="36"/>
      <c r="K353" s="36"/>
      <c r="L353" s="36"/>
      <c r="M353" s="36"/>
      <c r="N353" s="36"/>
      <c r="O353" s="36"/>
      <c r="P353" s="36"/>
      <c r="Q353" s="36"/>
      <c r="R353" s="36"/>
      <c r="S353" s="36"/>
      <c r="T353" s="36"/>
      <c r="U353" s="36"/>
      <c r="V353" s="36"/>
      <c r="W353" s="36"/>
      <c r="X353" s="36"/>
      <c r="Y353" s="36"/>
      <c r="Z353" s="36"/>
      <c r="AA353" s="36"/>
      <c r="AB353" s="36"/>
    </row>
    <row r="354" spans="1:28" ht="24" hidden="1" customHeight="1">
      <c r="A354" s="207" t="s">
        <v>890</v>
      </c>
      <c r="B354" s="206">
        <v>2007</v>
      </c>
      <c r="C354" s="117" t="s">
        <v>681</v>
      </c>
      <c r="D354" s="195" t="s">
        <v>891</v>
      </c>
      <c r="E354" s="117" t="s">
        <v>41</v>
      </c>
      <c r="F354" s="117" t="s">
        <v>42</v>
      </c>
      <c r="G354" s="193" t="s">
        <v>43</v>
      </c>
      <c r="H354" s="117" t="s">
        <v>750</v>
      </c>
      <c r="I354" s="35"/>
      <c r="J354" s="36"/>
      <c r="K354" s="36"/>
      <c r="L354" s="36"/>
      <c r="M354" s="36"/>
      <c r="N354" s="36"/>
      <c r="O354" s="36"/>
      <c r="P354" s="36"/>
      <c r="Q354" s="36"/>
      <c r="R354" s="36"/>
      <c r="S354" s="36"/>
      <c r="T354" s="36"/>
      <c r="U354" s="36"/>
      <c r="V354" s="36"/>
      <c r="W354" s="36"/>
      <c r="X354" s="36"/>
      <c r="Y354" s="36"/>
      <c r="Z354" s="36"/>
      <c r="AA354" s="36"/>
      <c r="AB354" s="36"/>
    </row>
    <row r="355" spans="1:28" ht="24" hidden="1" customHeight="1">
      <c r="A355" s="207" t="s">
        <v>892</v>
      </c>
      <c r="B355" s="206">
        <v>2007</v>
      </c>
      <c r="C355" s="117" t="s">
        <v>681</v>
      </c>
      <c r="D355" s="195" t="s">
        <v>893</v>
      </c>
      <c r="E355" s="117" t="s">
        <v>41</v>
      </c>
      <c r="F355" s="117" t="s">
        <v>42</v>
      </c>
      <c r="G355" s="193" t="s">
        <v>43</v>
      </c>
      <c r="H355" s="117" t="s">
        <v>750</v>
      </c>
      <c r="I355" s="35"/>
      <c r="J355" s="36"/>
      <c r="K355" s="36"/>
      <c r="L355" s="36"/>
      <c r="M355" s="36"/>
      <c r="N355" s="36"/>
      <c r="O355" s="36"/>
      <c r="P355" s="36"/>
      <c r="Q355" s="36"/>
      <c r="R355" s="36"/>
      <c r="S355" s="36"/>
      <c r="T355" s="36"/>
      <c r="U355" s="36"/>
      <c r="V355" s="36"/>
      <c r="W355" s="36"/>
      <c r="X355" s="36"/>
      <c r="Y355" s="36"/>
      <c r="Z355" s="36"/>
      <c r="AA355" s="36"/>
      <c r="AB355" s="36"/>
    </row>
    <row r="356" spans="1:28" ht="24" hidden="1" customHeight="1">
      <c r="A356" s="207" t="s">
        <v>894</v>
      </c>
      <c r="B356" s="206">
        <v>2008</v>
      </c>
      <c r="C356" s="117" t="s">
        <v>884</v>
      </c>
      <c r="D356" s="195" t="s">
        <v>895</v>
      </c>
      <c r="E356" s="117" t="s">
        <v>41</v>
      </c>
      <c r="F356" s="117" t="s">
        <v>42</v>
      </c>
      <c r="G356" s="193" t="s">
        <v>43</v>
      </c>
      <c r="H356" s="117" t="s">
        <v>750</v>
      </c>
      <c r="I356" s="35"/>
      <c r="J356" s="36"/>
      <c r="K356" s="36"/>
      <c r="L356" s="36"/>
      <c r="M356" s="36"/>
      <c r="N356" s="36"/>
      <c r="O356" s="36"/>
      <c r="P356" s="36"/>
      <c r="Q356" s="36"/>
      <c r="R356" s="36"/>
      <c r="S356" s="36"/>
      <c r="T356" s="36"/>
      <c r="U356" s="36"/>
      <c r="V356" s="36"/>
      <c r="W356" s="36"/>
      <c r="X356" s="36"/>
      <c r="Y356" s="36"/>
      <c r="Z356" s="36"/>
      <c r="AA356" s="36"/>
      <c r="AB356" s="36"/>
    </row>
    <row r="357" spans="1:28" ht="36" hidden="1" customHeight="1">
      <c r="A357" s="207" t="s">
        <v>896</v>
      </c>
      <c r="B357" s="206">
        <v>2008</v>
      </c>
      <c r="C357" s="197" t="s">
        <v>130</v>
      </c>
      <c r="D357" s="195" t="s">
        <v>897</v>
      </c>
      <c r="E357" s="117" t="s">
        <v>41</v>
      </c>
      <c r="F357" s="117" t="s">
        <v>42</v>
      </c>
      <c r="G357" s="193" t="s">
        <v>43</v>
      </c>
      <c r="H357" s="117" t="s">
        <v>750</v>
      </c>
      <c r="I357" s="35"/>
      <c r="J357" s="36"/>
      <c r="K357" s="36"/>
      <c r="L357" s="36"/>
      <c r="M357" s="36"/>
      <c r="N357" s="36"/>
      <c r="O357" s="36"/>
      <c r="P357" s="36"/>
      <c r="Q357" s="36"/>
      <c r="R357" s="36"/>
      <c r="S357" s="36"/>
      <c r="T357" s="36"/>
      <c r="U357" s="36"/>
      <c r="V357" s="36"/>
      <c r="W357" s="36"/>
      <c r="X357" s="36"/>
      <c r="Y357" s="36"/>
      <c r="Z357" s="36"/>
      <c r="AA357" s="36"/>
      <c r="AB357" s="36"/>
    </row>
    <row r="358" spans="1:28" ht="36" hidden="1" customHeight="1">
      <c r="A358" s="207" t="s">
        <v>898</v>
      </c>
      <c r="B358" s="206">
        <v>2009</v>
      </c>
      <c r="C358" s="117" t="s">
        <v>884</v>
      </c>
      <c r="D358" s="195" t="s">
        <v>899</v>
      </c>
      <c r="E358" s="117" t="s">
        <v>41</v>
      </c>
      <c r="F358" s="117" t="s">
        <v>42</v>
      </c>
      <c r="G358" s="193" t="s">
        <v>43</v>
      </c>
      <c r="H358" s="117" t="s">
        <v>750</v>
      </c>
      <c r="I358" s="35"/>
      <c r="J358" s="36"/>
      <c r="K358" s="36"/>
      <c r="L358" s="36"/>
      <c r="M358" s="36"/>
      <c r="N358" s="36"/>
      <c r="O358" s="36"/>
      <c r="P358" s="36"/>
      <c r="Q358" s="36"/>
      <c r="R358" s="36"/>
      <c r="S358" s="36"/>
      <c r="T358" s="36"/>
      <c r="U358" s="36"/>
      <c r="V358" s="36"/>
      <c r="W358" s="36"/>
      <c r="X358" s="36"/>
      <c r="Y358" s="36"/>
      <c r="Z358" s="36"/>
      <c r="AA358" s="36"/>
      <c r="AB358" s="36"/>
    </row>
    <row r="359" spans="1:28" ht="36" hidden="1" customHeight="1">
      <c r="A359" s="207" t="s">
        <v>900</v>
      </c>
      <c r="B359" s="206">
        <v>2010</v>
      </c>
      <c r="C359" s="197" t="s">
        <v>130</v>
      </c>
      <c r="D359" s="195" t="s">
        <v>135</v>
      </c>
      <c r="E359" s="117" t="s">
        <v>41</v>
      </c>
      <c r="F359" s="117" t="s">
        <v>42</v>
      </c>
      <c r="G359" s="193" t="s">
        <v>43</v>
      </c>
      <c r="H359" s="117" t="s">
        <v>750</v>
      </c>
      <c r="I359" s="35"/>
      <c r="J359" s="36"/>
      <c r="K359" s="36"/>
      <c r="L359" s="36"/>
      <c r="M359" s="36"/>
      <c r="N359" s="36"/>
      <c r="O359" s="36"/>
      <c r="P359" s="36"/>
      <c r="Q359" s="36"/>
      <c r="R359" s="36"/>
      <c r="S359" s="36"/>
      <c r="T359" s="36"/>
      <c r="U359" s="36"/>
      <c r="V359" s="36"/>
      <c r="W359" s="36"/>
      <c r="X359" s="36"/>
      <c r="Y359" s="36"/>
      <c r="Z359" s="36"/>
      <c r="AA359" s="36"/>
      <c r="AB359" s="36"/>
    </row>
    <row r="360" spans="1:28" ht="36" hidden="1" customHeight="1">
      <c r="A360" s="207" t="s">
        <v>901</v>
      </c>
      <c r="B360" s="206">
        <v>2011</v>
      </c>
      <c r="C360" s="117" t="s">
        <v>884</v>
      </c>
      <c r="D360" s="195" t="s">
        <v>902</v>
      </c>
      <c r="E360" s="117" t="s">
        <v>41</v>
      </c>
      <c r="F360" s="117" t="s">
        <v>42</v>
      </c>
      <c r="G360" s="193" t="s">
        <v>43</v>
      </c>
      <c r="H360" s="117" t="s">
        <v>750</v>
      </c>
      <c r="I360" s="35"/>
      <c r="J360" s="36"/>
      <c r="K360" s="36"/>
      <c r="L360" s="36"/>
      <c r="M360" s="36"/>
      <c r="N360" s="36"/>
      <c r="O360" s="36"/>
      <c r="P360" s="36"/>
      <c r="Q360" s="36"/>
      <c r="R360" s="36"/>
      <c r="S360" s="36"/>
      <c r="T360" s="36"/>
      <c r="U360" s="36"/>
      <c r="V360" s="36"/>
      <c r="W360" s="36"/>
      <c r="X360" s="36"/>
      <c r="Y360" s="36"/>
      <c r="Z360" s="36"/>
      <c r="AA360" s="36"/>
      <c r="AB360" s="36"/>
    </row>
    <row r="361" spans="1:28" ht="24" hidden="1" customHeight="1">
      <c r="A361" s="207" t="s">
        <v>903</v>
      </c>
      <c r="B361" s="206">
        <v>2011</v>
      </c>
      <c r="C361" s="197" t="s">
        <v>130</v>
      </c>
      <c r="D361" s="195" t="s">
        <v>904</v>
      </c>
      <c r="E361" s="117" t="s">
        <v>41</v>
      </c>
      <c r="F361" s="117" t="s">
        <v>42</v>
      </c>
      <c r="G361" s="193" t="s">
        <v>43</v>
      </c>
      <c r="H361" s="117" t="s">
        <v>750</v>
      </c>
      <c r="I361" s="35"/>
      <c r="J361" s="36"/>
      <c r="K361" s="36"/>
      <c r="L361" s="36"/>
      <c r="M361" s="36"/>
      <c r="N361" s="36"/>
      <c r="O361" s="36"/>
      <c r="P361" s="36"/>
      <c r="Q361" s="36"/>
      <c r="R361" s="36"/>
      <c r="S361" s="36"/>
      <c r="T361" s="36"/>
      <c r="U361" s="36"/>
      <c r="V361" s="36"/>
      <c r="W361" s="36"/>
      <c r="X361" s="36"/>
      <c r="Y361" s="36"/>
      <c r="Z361" s="36"/>
      <c r="AA361" s="36"/>
      <c r="AB361" s="36"/>
    </row>
    <row r="362" spans="1:28" ht="36" hidden="1" customHeight="1">
      <c r="A362" s="207" t="s">
        <v>905</v>
      </c>
      <c r="B362" s="206">
        <v>2013</v>
      </c>
      <c r="C362" s="117" t="s">
        <v>884</v>
      </c>
      <c r="D362" s="195" t="s">
        <v>906</v>
      </c>
      <c r="E362" s="117" t="s">
        <v>41</v>
      </c>
      <c r="F362" s="117" t="s">
        <v>42</v>
      </c>
      <c r="G362" s="193" t="s">
        <v>43</v>
      </c>
      <c r="H362" s="117" t="s">
        <v>750</v>
      </c>
      <c r="I362" s="35"/>
      <c r="J362" s="36"/>
      <c r="K362" s="36"/>
      <c r="L362" s="36"/>
      <c r="M362" s="36"/>
      <c r="N362" s="36"/>
      <c r="O362" s="36"/>
      <c r="P362" s="36"/>
      <c r="Q362" s="36"/>
      <c r="R362" s="36"/>
      <c r="S362" s="36"/>
      <c r="T362" s="36"/>
      <c r="U362" s="36"/>
      <c r="V362" s="36"/>
      <c r="W362" s="36"/>
      <c r="X362" s="36"/>
      <c r="Y362" s="36"/>
      <c r="Z362" s="36"/>
      <c r="AA362" s="36"/>
      <c r="AB362" s="36"/>
    </row>
    <row r="363" spans="1:28" ht="60" hidden="1" customHeight="1">
      <c r="A363" s="207" t="s">
        <v>907</v>
      </c>
      <c r="B363" s="206">
        <v>2014</v>
      </c>
      <c r="C363" s="117" t="s">
        <v>908</v>
      </c>
      <c r="D363" s="195" t="s">
        <v>909</v>
      </c>
      <c r="E363" s="117" t="s">
        <v>41</v>
      </c>
      <c r="F363" s="117" t="s">
        <v>42</v>
      </c>
      <c r="G363" s="193" t="s">
        <v>43</v>
      </c>
      <c r="H363" s="117" t="s">
        <v>750</v>
      </c>
      <c r="I363" s="35"/>
      <c r="J363" s="36"/>
      <c r="K363" s="36"/>
      <c r="L363" s="36"/>
      <c r="M363" s="36"/>
      <c r="N363" s="36"/>
      <c r="O363" s="36"/>
      <c r="P363" s="36"/>
      <c r="Q363" s="36"/>
      <c r="R363" s="36"/>
      <c r="S363" s="36"/>
      <c r="T363" s="36"/>
      <c r="U363" s="36"/>
      <c r="V363" s="36"/>
      <c r="W363" s="36"/>
      <c r="X363" s="36"/>
      <c r="Y363" s="36"/>
      <c r="Z363" s="36"/>
      <c r="AA363" s="36"/>
      <c r="AB363" s="36"/>
    </row>
    <row r="364" spans="1:28" ht="24" hidden="1" customHeight="1">
      <c r="A364" s="207" t="s">
        <v>910</v>
      </c>
      <c r="B364" s="206">
        <v>2014</v>
      </c>
      <c r="C364" s="117" t="s">
        <v>911</v>
      </c>
      <c r="D364" s="195" t="s">
        <v>912</v>
      </c>
      <c r="E364" s="117" t="s">
        <v>41</v>
      </c>
      <c r="F364" s="117" t="s">
        <v>42</v>
      </c>
      <c r="G364" s="193" t="s">
        <v>43</v>
      </c>
      <c r="H364" s="117" t="s">
        <v>750</v>
      </c>
      <c r="I364" s="35"/>
      <c r="J364" s="36"/>
      <c r="K364" s="36"/>
      <c r="L364" s="36"/>
      <c r="M364" s="36"/>
      <c r="N364" s="36"/>
      <c r="O364" s="36"/>
      <c r="P364" s="36"/>
      <c r="Q364" s="36"/>
      <c r="R364" s="36"/>
      <c r="S364" s="36"/>
      <c r="T364" s="36"/>
      <c r="U364" s="36"/>
      <c r="V364" s="36"/>
      <c r="W364" s="36"/>
      <c r="X364" s="36"/>
      <c r="Y364" s="36"/>
      <c r="Z364" s="36"/>
      <c r="AA364" s="36"/>
      <c r="AB364" s="36"/>
    </row>
    <row r="365" spans="1:28" ht="120" hidden="1" customHeight="1">
      <c r="A365" s="207" t="s">
        <v>913</v>
      </c>
      <c r="B365" s="206">
        <v>2014</v>
      </c>
      <c r="C365" s="117" t="s">
        <v>911</v>
      </c>
      <c r="D365" s="195" t="s">
        <v>914</v>
      </c>
      <c r="E365" s="117" t="s">
        <v>41</v>
      </c>
      <c r="F365" s="117" t="s">
        <v>42</v>
      </c>
      <c r="G365" s="193" t="s">
        <v>43</v>
      </c>
      <c r="H365" s="117" t="s">
        <v>750</v>
      </c>
      <c r="I365" s="35"/>
      <c r="J365" s="36"/>
      <c r="K365" s="36"/>
      <c r="L365" s="36"/>
      <c r="M365" s="36"/>
      <c r="N365" s="36"/>
      <c r="O365" s="36"/>
      <c r="P365" s="36"/>
      <c r="Q365" s="36"/>
      <c r="R365" s="36"/>
      <c r="S365" s="36"/>
      <c r="T365" s="36"/>
      <c r="U365" s="36"/>
      <c r="V365" s="36"/>
      <c r="W365" s="36"/>
      <c r="X365" s="36"/>
      <c r="Y365" s="36"/>
      <c r="Z365" s="36"/>
      <c r="AA365" s="36"/>
      <c r="AB365" s="36"/>
    </row>
    <row r="366" spans="1:28" ht="36" hidden="1" customHeight="1">
      <c r="A366" s="207" t="s">
        <v>915</v>
      </c>
      <c r="B366" s="206">
        <v>2014</v>
      </c>
      <c r="C366" s="197" t="s">
        <v>130</v>
      </c>
      <c r="D366" s="195" t="s">
        <v>916</v>
      </c>
      <c r="E366" s="117" t="s">
        <v>41</v>
      </c>
      <c r="F366" s="117" t="s">
        <v>42</v>
      </c>
      <c r="G366" s="193" t="s">
        <v>43</v>
      </c>
      <c r="H366" s="117" t="s">
        <v>750</v>
      </c>
      <c r="I366" s="35"/>
      <c r="J366" s="36"/>
      <c r="K366" s="36"/>
      <c r="L366" s="36"/>
      <c r="M366" s="36"/>
      <c r="N366" s="36"/>
      <c r="O366" s="36"/>
      <c r="P366" s="36"/>
      <c r="Q366" s="36"/>
      <c r="R366" s="36"/>
      <c r="S366" s="36"/>
      <c r="T366" s="36"/>
      <c r="U366" s="36"/>
      <c r="V366" s="36"/>
      <c r="W366" s="36"/>
      <c r="X366" s="36"/>
      <c r="Y366" s="36"/>
      <c r="Z366" s="36"/>
      <c r="AA366" s="36"/>
      <c r="AB366" s="36"/>
    </row>
    <row r="367" spans="1:28" ht="48" hidden="1" customHeight="1">
      <c r="A367" s="207" t="s">
        <v>917</v>
      </c>
      <c r="B367" s="206">
        <v>2014</v>
      </c>
      <c r="C367" s="197" t="s">
        <v>130</v>
      </c>
      <c r="D367" s="195" t="s">
        <v>918</v>
      </c>
      <c r="E367" s="117" t="s">
        <v>41</v>
      </c>
      <c r="F367" s="117" t="s">
        <v>42</v>
      </c>
      <c r="G367" s="193" t="s">
        <v>43</v>
      </c>
      <c r="H367" s="117" t="s">
        <v>750</v>
      </c>
      <c r="I367" s="35"/>
      <c r="J367" s="36"/>
      <c r="K367" s="36"/>
      <c r="L367" s="36"/>
      <c r="M367" s="36"/>
      <c r="N367" s="36"/>
      <c r="O367" s="36"/>
      <c r="P367" s="36"/>
      <c r="Q367" s="36"/>
      <c r="R367" s="36"/>
      <c r="S367" s="36"/>
      <c r="T367" s="36"/>
      <c r="U367" s="36"/>
      <c r="V367" s="36"/>
      <c r="W367" s="36"/>
      <c r="X367" s="36"/>
      <c r="Y367" s="36"/>
      <c r="Z367" s="36"/>
      <c r="AA367" s="36"/>
      <c r="AB367" s="36"/>
    </row>
    <row r="368" spans="1:28" ht="36" hidden="1" customHeight="1">
      <c r="A368" s="207" t="s">
        <v>919</v>
      </c>
      <c r="B368" s="206">
        <v>2015</v>
      </c>
      <c r="C368" s="117" t="s">
        <v>681</v>
      </c>
      <c r="D368" s="195" t="s">
        <v>920</v>
      </c>
      <c r="E368" s="117" t="s">
        <v>41</v>
      </c>
      <c r="F368" s="117" t="s">
        <v>42</v>
      </c>
      <c r="G368" s="193" t="s">
        <v>43</v>
      </c>
      <c r="H368" s="117" t="s">
        <v>750</v>
      </c>
      <c r="I368" s="35"/>
      <c r="J368" s="36"/>
      <c r="K368" s="36"/>
      <c r="L368" s="36"/>
      <c r="M368" s="36"/>
      <c r="N368" s="36"/>
      <c r="O368" s="36"/>
      <c r="P368" s="36"/>
      <c r="Q368" s="36"/>
      <c r="R368" s="36"/>
      <c r="S368" s="36"/>
      <c r="T368" s="36"/>
      <c r="U368" s="36"/>
      <c r="V368" s="36"/>
      <c r="W368" s="36"/>
      <c r="X368" s="36"/>
      <c r="Y368" s="36"/>
      <c r="Z368" s="36"/>
      <c r="AA368" s="36"/>
      <c r="AB368" s="36"/>
    </row>
    <row r="369" spans="1:28" ht="24" hidden="1" customHeight="1">
      <c r="A369" s="207" t="s">
        <v>921</v>
      </c>
      <c r="B369" s="206">
        <v>2015</v>
      </c>
      <c r="C369" s="117" t="s">
        <v>681</v>
      </c>
      <c r="D369" s="195" t="s">
        <v>922</v>
      </c>
      <c r="E369" s="117" t="s">
        <v>41</v>
      </c>
      <c r="F369" s="117" t="s">
        <v>42</v>
      </c>
      <c r="G369" s="193" t="s">
        <v>43</v>
      </c>
      <c r="H369" s="117" t="s">
        <v>750</v>
      </c>
      <c r="I369" s="35"/>
      <c r="J369" s="36"/>
      <c r="K369" s="36"/>
      <c r="L369" s="36"/>
      <c r="M369" s="36"/>
      <c r="N369" s="36"/>
      <c r="O369" s="36"/>
      <c r="P369" s="36"/>
      <c r="Q369" s="36"/>
      <c r="R369" s="36"/>
      <c r="S369" s="36"/>
      <c r="T369" s="36"/>
      <c r="U369" s="36"/>
      <c r="V369" s="36"/>
      <c r="W369" s="36"/>
      <c r="X369" s="36"/>
      <c r="Y369" s="36"/>
      <c r="Z369" s="36"/>
      <c r="AA369" s="36"/>
      <c r="AB369" s="36"/>
    </row>
    <row r="370" spans="1:28" ht="84" hidden="1" customHeight="1">
      <c r="A370" s="207" t="s">
        <v>923</v>
      </c>
      <c r="B370" s="206">
        <v>2015</v>
      </c>
      <c r="C370" s="117" t="s">
        <v>924</v>
      </c>
      <c r="D370" s="195" t="s">
        <v>925</v>
      </c>
      <c r="E370" s="117" t="s">
        <v>41</v>
      </c>
      <c r="F370" s="117" t="s">
        <v>42</v>
      </c>
      <c r="G370" s="193" t="s">
        <v>43</v>
      </c>
      <c r="H370" s="117" t="s">
        <v>750</v>
      </c>
      <c r="I370" s="35"/>
      <c r="J370" s="36"/>
      <c r="K370" s="36"/>
      <c r="L370" s="36"/>
      <c r="M370" s="36"/>
      <c r="N370" s="36"/>
      <c r="O370" s="36"/>
      <c r="P370" s="36"/>
      <c r="Q370" s="36"/>
      <c r="R370" s="36"/>
      <c r="S370" s="36"/>
      <c r="T370" s="36"/>
      <c r="U370" s="36"/>
      <c r="V370" s="36"/>
      <c r="W370" s="36"/>
      <c r="X370" s="36"/>
      <c r="Y370" s="36"/>
      <c r="Z370" s="36"/>
      <c r="AA370" s="36"/>
      <c r="AB370" s="36"/>
    </row>
    <row r="371" spans="1:28" ht="48" hidden="1" customHeight="1">
      <c r="A371" s="207" t="s">
        <v>926</v>
      </c>
      <c r="B371" s="206">
        <v>2015</v>
      </c>
      <c r="C371" s="117" t="s">
        <v>884</v>
      </c>
      <c r="D371" s="195" t="s">
        <v>927</v>
      </c>
      <c r="E371" s="117" t="s">
        <v>41</v>
      </c>
      <c r="F371" s="117" t="s">
        <v>42</v>
      </c>
      <c r="G371" s="193" t="s">
        <v>43</v>
      </c>
      <c r="H371" s="117" t="s">
        <v>750</v>
      </c>
      <c r="I371" s="35"/>
      <c r="J371" s="36"/>
      <c r="K371" s="36"/>
      <c r="L371" s="36"/>
      <c r="M371" s="36"/>
      <c r="N371" s="36"/>
      <c r="O371" s="36"/>
      <c r="P371" s="36"/>
      <c r="Q371" s="36"/>
      <c r="R371" s="36"/>
      <c r="S371" s="36"/>
      <c r="T371" s="36"/>
      <c r="U371" s="36"/>
      <c r="V371" s="36"/>
      <c r="W371" s="36"/>
      <c r="X371" s="36"/>
      <c r="Y371" s="36"/>
      <c r="Z371" s="36"/>
      <c r="AA371" s="36"/>
      <c r="AB371" s="36"/>
    </row>
    <row r="372" spans="1:28" ht="36" hidden="1" customHeight="1">
      <c r="A372" s="207" t="s">
        <v>928</v>
      </c>
      <c r="B372" s="206">
        <v>2015</v>
      </c>
      <c r="C372" s="117" t="s">
        <v>884</v>
      </c>
      <c r="D372" s="195" t="s">
        <v>929</v>
      </c>
      <c r="E372" s="117" t="s">
        <v>41</v>
      </c>
      <c r="F372" s="117" t="s">
        <v>42</v>
      </c>
      <c r="G372" s="193" t="s">
        <v>43</v>
      </c>
      <c r="H372" s="117" t="s">
        <v>750</v>
      </c>
      <c r="I372" s="35"/>
      <c r="J372" s="36"/>
      <c r="K372" s="36"/>
      <c r="L372" s="36"/>
      <c r="M372" s="36"/>
      <c r="N372" s="36"/>
      <c r="O372" s="36"/>
      <c r="P372" s="36"/>
      <c r="Q372" s="36"/>
      <c r="R372" s="36"/>
      <c r="S372" s="36"/>
      <c r="T372" s="36"/>
      <c r="U372" s="36"/>
      <c r="V372" s="36"/>
      <c r="W372" s="36"/>
      <c r="X372" s="36"/>
      <c r="Y372" s="36"/>
      <c r="Z372" s="36"/>
      <c r="AA372" s="36"/>
      <c r="AB372" s="36"/>
    </row>
    <row r="373" spans="1:28" ht="36" hidden="1" customHeight="1">
      <c r="A373" s="207" t="s">
        <v>930</v>
      </c>
      <c r="B373" s="206">
        <v>2015</v>
      </c>
      <c r="C373" s="117" t="s">
        <v>884</v>
      </c>
      <c r="D373" s="195" t="s">
        <v>931</v>
      </c>
      <c r="E373" s="117" t="s">
        <v>41</v>
      </c>
      <c r="F373" s="117" t="s">
        <v>42</v>
      </c>
      <c r="G373" s="193" t="s">
        <v>43</v>
      </c>
      <c r="H373" s="117" t="s">
        <v>750</v>
      </c>
      <c r="I373" s="35"/>
      <c r="J373" s="36"/>
      <c r="K373" s="36"/>
      <c r="L373" s="36"/>
      <c r="M373" s="36"/>
      <c r="N373" s="36"/>
      <c r="O373" s="36"/>
      <c r="P373" s="36"/>
      <c r="Q373" s="36"/>
      <c r="R373" s="36"/>
      <c r="S373" s="36"/>
      <c r="T373" s="36"/>
      <c r="U373" s="36"/>
      <c r="V373" s="36"/>
      <c r="W373" s="36"/>
      <c r="X373" s="36"/>
      <c r="Y373" s="36"/>
      <c r="Z373" s="36"/>
      <c r="AA373" s="36"/>
      <c r="AB373" s="36"/>
    </row>
    <row r="374" spans="1:28" ht="72" hidden="1" customHeight="1">
      <c r="A374" s="207" t="s">
        <v>932</v>
      </c>
      <c r="B374" s="206">
        <v>2015</v>
      </c>
      <c r="C374" s="117" t="s">
        <v>884</v>
      </c>
      <c r="D374" s="195" t="s">
        <v>933</v>
      </c>
      <c r="E374" s="117" t="s">
        <v>41</v>
      </c>
      <c r="F374" s="117" t="s">
        <v>42</v>
      </c>
      <c r="G374" s="193" t="s">
        <v>43</v>
      </c>
      <c r="H374" s="117" t="s">
        <v>750</v>
      </c>
      <c r="I374" s="35"/>
      <c r="J374" s="36"/>
      <c r="K374" s="36"/>
      <c r="L374" s="36"/>
      <c r="M374" s="36"/>
      <c r="N374" s="36"/>
      <c r="O374" s="36"/>
      <c r="P374" s="36"/>
      <c r="Q374" s="36"/>
      <c r="R374" s="36"/>
      <c r="S374" s="36"/>
      <c r="T374" s="36"/>
      <c r="U374" s="36"/>
      <c r="V374" s="36"/>
      <c r="W374" s="36"/>
      <c r="X374" s="36"/>
      <c r="Y374" s="36"/>
      <c r="Z374" s="36"/>
      <c r="AA374" s="36"/>
      <c r="AB374" s="36"/>
    </row>
    <row r="375" spans="1:28" ht="48" hidden="1" customHeight="1">
      <c r="A375" s="207" t="s">
        <v>934</v>
      </c>
      <c r="B375" s="206">
        <v>2016</v>
      </c>
      <c r="C375" s="197" t="s">
        <v>130</v>
      </c>
      <c r="D375" s="195" t="s">
        <v>935</v>
      </c>
      <c r="E375" s="117" t="s">
        <v>41</v>
      </c>
      <c r="F375" s="117" t="s">
        <v>42</v>
      </c>
      <c r="G375" s="193" t="s">
        <v>43</v>
      </c>
      <c r="H375" s="117" t="s">
        <v>750</v>
      </c>
      <c r="I375" s="35"/>
      <c r="J375" s="36"/>
      <c r="K375" s="36"/>
      <c r="L375" s="36"/>
      <c r="M375" s="36"/>
      <c r="N375" s="36"/>
      <c r="O375" s="36"/>
      <c r="P375" s="36"/>
      <c r="Q375" s="36"/>
      <c r="R375" s="36"/>
      <c r="S375" s="36"/>
      <c r="T375" s="36"/>
      <c r="U375" s="36"/>
      <c r="V375" s="36"/>
      <c r="W375" s="36"/>
      <c r="X375" s="36"/>
      <c r="Y375" s="36"/>
      <c r="Z375" s="36"/>
      <c r="AA375" s="36"/>
      <c r="AB375" s="36"/>
    </row>
    <row r="376" spans="1:28" ht="24" hidden="1" customHeight="1">
      <c r="A376" s="207" t="s">
        <v>936</v>
      </c>
      <c r="B376" s="206">
        <v>2017</v>
      </c>
      <c r="C376" s="117" t="s">
        <v>884</v>
      </c>
      <c r="D376" s="195" t="s">
        <v>937</v>
      </c>
      <c r="E376" s="117" t="s">
        <v>938</v>
      </c>
      <c r="F376" s="117" t="s">
        <v>42</v>
      </c>
      <c r="G376" s="193" t="s">
        <v>43</v>
      </c>
      <c r="H376" s="117" t="s">
        <v>750</v>
      </c>
      <c r="I376" s="35"/>
      <c r="J376" s="36"/>
      <c r="K376" s="36"/>
      <c r="L376" s="36"/>
      <c r="M376" s="36"/>
      <c r="N376" s="36"/>
      <c r="O376" s="36"/>
      <c r="P376" s="36"/>
      <c r="Q376" s="36"/>
      <c r="R376" s="36"/>
      <c r="S376" s="36"/>
      <c r="T376" s="36"/>
      <c r="U376" s="36"/>
      <c r="V376" s="36"/>
      <c r="W376" s="36"/>
      <c r="X376" s="36"/>
      <c r="Y376" s="36"/>
      <c r="Z376" s="36"/>
      <c r="AA376" s="36"/>
      <c r="AB376" s="36"/>
    </row>
    <row r="377" spans="1:28" ht="24" hidden="1" customHeight="1">
      <c r="A377" s="207" t="s">
        <v>939</v>
      </c>
      <c r="B377" s="201">
        <v>2017</v>
      </c>
      <c r="C377" s="201" t="s">
        <v>940</v>
      </c>
      <c r="D377" s="202" t="s">
        <v>941</v>
      </c>
      <c r="E377" s="204" t="s">
        <v>41</v>
      </c>
      <c r="F377" s="201" t="s">
        <v>42</v>
      </c>
      <c r="G377" s="209" t="s">
        <v>43</v>
      </c>
      <c r="H377" s="201" t="s">
        <v>750</v>
      </c>
      <c r="I377" s="35"/>
      <c r="J377" s="36"/>
      <c r="K377" s="36"/>
      <c r="L377" s="36"/>
      <c r="M377" s="36"/>
      <c r="N377" s="36"/>
      <c r="O377" s="36"/>
      <c r="P377" s="36"/>
      <c r="Q377" s="36"/>
      <c r="R377" s="36"/>
      <c r="S377" s="36"/>
      <c r="T377" s="36"/>
      <c r="U377" s="36"/>
      <c r="V377" s="36"/>
      <c r="W377" s="36"/>
      <c r="X377" s="36"/>
      <c r="Y377" s="36"/>
      <c r="Z377" s="36"/>
      <c r="AA377" s="36"/>
      <c r="AB377" s="36"/>
    </row>
    <row r="378" spans="1:28" ht="48" hidden="1" customHeight="1">
      <c r="A378" s="207" t="s">
        <v>942</v>
      </c>
      <c r="B378" s="201">
        <v>2019</v>
      </c>
      <c r="C378" s="201" t="s">
        <v>940</v>
      </c>
      <c r="D378" s="202" t="s">
        <v>943</v>
      </c>
      <c r="E378" s="204" t="s">
        <v>41</v>
      </c>
      <c r="F378" s="201" t="s">
        <v>42</v>
      </c>
      <c r="G378" s="209" t="s">
        <v>43</v>
      </c>
      <c r="H378" s="201" t="s">
        <v>750</v>
      </c>
      <c r="I378" s="35"/>
      <c r="J378" s="36"/>
      <c r="K378" s="36"/>
      <c r="L378" s="36"/>
      <c r="M378" s="36"/>
      <c r="N378" s="36"/>
      <c r="O378" s="36"/>
      <c r="P378" s="36"/>
      <c r="Q378" s="36"/>
      <c r="R378" s="36"/>
      <c r="S378" s="36"/>
      <c r="T378" s="36"/>
      <c r="U378" s="36"/>
      <c r="V378" s="36"/>
      <c r="W378" s="36"/>
      <c r="X378" s="36"/>
      <c r="Y378" s="36"/>
      <c r="Z378" s="36"/>
      <c r="AA378" s="36"/>
      <c r="AB378" s="36"/>
    </row>
    <row r="379" spans="1:28" ht="36" hidden="1" customHeight="1">
      <c r="A379" s="207" t="s">
        <v>944</v>
      </c>
      <c r="B379" s="206">
        <v>2013</v>
      </c>
      <c r="C379" s="117" t="s">
        <v>884</v>
      </c>
      <c r="D379" s="195" t="s">
        <v>945</v>
      </c>
      <c r="E379" s="117" t="s">
        <v>41</v>
      </c>
      <c r="F379" s="117" t="s">
        <v>42</v>
      </c>
      <c r="G379" s="193" t="s">
        <v>43</v>
      </c>
      <c r="H379" s="117" t="s">
        <v>750</v>
      </c>
      <c r="I379" s="35"/>
      <c r="J379" s="36"/>
      <c r="K379" s="36"/>
      <c r="L379" s="36"/>
      <c r="M379" s="36"/>
      <c r="N379" s="36"/>
      <c r="O379" s="36"/>
      <c r="P379" s="36"/>
      <c r="Q379" s="36"/>
      <c r="R379" s="36"/>
      <c r="S379" s="36"/>
      <c r="T379" s="36"/>
      <c r="U379" s="36"/>
      <c r="V379" s="36"/>
      <c r="W379" s="36"/>
      <c r="X379" s="36"/>
      <c r="Y379" s="36"/>
      <c r="Z379" s="36"/>
      <c r="AA379" s="36"/>
      <c r="AB379" s="36"/>
    </row>
    <row r="380" spans="1:28" ht="24" hidden="1" customHeight="1">
      <c r="A380" s="207" t="s">
        <v>946</v>
      </c>
      <c r="B380" s="206">
        <v>2013</v>
      </c>
      <c r="C380" s="117" t="s">
        <v>884</v>
      </c>
      <c r="D380" s="195" t="s">
        <v>947</v>
      </c>
      <c r="E380" s="117" t="s">
        <v>41</v>
      </c>
      <c r="F380" s="117" t="s">
        <v>42</v>
      </c>
      <c r="G380" s="193" t="s">
        <v>43</v>
      </c>
      <c r="H380" s="117" t="s">
        <v>750</v>
      </c>
      <c r="I380" s="35"/>
      <c r="J380" s="36"/>
      <c r="K380" s="36"/>
      <c r="L380" s="36"/>
      <c r="M380" s="36"/>
      <c r="N380" s="36"/>
      <c r="O380" s="36"/>
      <c r="P380" s="36"/>
      <c r="Q380" s="36"/>
      <c r="R380" s="36"/>
      <c r="S380" s="36"/>
      <c r="T380" s="36"/>
      <c r="U380" s="36"/>
      <c r="V380" s="36"/>
      <c r="W380" s="36"/>
      <c r="X380" s="36"/>
      <c r="Y380" s="36"/>
      <c r="Z380" s="36"/>
      <c r="AA380" s="36"/>
      <c r="AB380" s="36"/>
    </row>
    <row r="381" spans="1:28" ht="36" hidden="1" customHeight="1">
      <c r="A381" s="207" t="s">
        <v>948</v>
      </c>
      <c r="B381" s="206">
        <v>2013</v>
      </c>
      <c r="C381" s="117" t="s">
        <v>884</v>
      </c>
      <c r="D381" s="195" t="s">
        <v>949</v>
      </c>
      <c r="E381" s="117" t="s">
        <v>41</v>
      </c>
      <c r="F381" s="117" t="s">
        <v>42</v>
      </c>
      <c r="G381" s="193" t="s">
        <v>43</v>
      </c>
      <c r="H381" s="117" t="s">
        <v>750</v>
      </c>
      <c r="I381" s="35"/>
      <c r="J381" s="36"/>
      <c r="K381" s="36"/>
      <c r="L381" s="36"/>
      <c r="M381" s="36"/>
      <c r="N381" s="36"/>
      <c r="O381" s="36"/>
      <c r="P381" s="36"/>
      <c r="Q381" s="36"/>
      <c r="R381" s="36"/>
      <c r="S381" s="36"/>
      <c r="T381" s="36"/>
      <c r="U381" s="36"/>
      <c r="V381" s="36"/>
      <c r="W381" s="36"/>
      <c r="X381" s="36"/>
      <c r="Y381" s="36"/>
      <c r="Z381" s="36"/>
      <c r="AA381" s="36"/>
      <c r="AB381" s="36"/>
    </row>
    <row r="382" spans="1:28" ht="24" hidden="1" customHeight="1">
      <c r="A382" s="207" t="s">
        <v>946</v>
      </c>
      <c r="B382" s="206">
        <v>2014</v>
      </c>
      <c r="C382" s="117" t="s">
        <v>884</v>
      </c>
      <c r="D382" s="195" t="s">
        <v>950</v>
      </c>
      <c r="E382" s="117" t="s">
        <v>41</v>
      </c>
      <c r="F382" s="117" t="s">
        <v>42</v>
      </c>
      <c r="G382" s="193" t="s">
        <v>43</v>
      </c>
      <c r="H382" s="117" t="s">
        <v>750</v>
      </c>
      <c r="I382" s="35"/>
      <c r="J382" s="36"/>
      <c r="K382" s="36"/>
      <c r="L382" s="36"/>
      <c r="M382" s="36"/>
      <c r="N382" s="36"/>
      <c r="O382" s="36"/>
      <c r="P382" s="36"/>
      <c r="Q382" s="36"/>
      <c r="R382" s="36"/>
      <c r="S382" s="36"/>
      <c r="T382" s="36"/>
      <c r="U382" s="36"/>
      <c r="V382" s="36"/>
      <c r="W382" s="36"/>
      <c r="X382" s="36"/>
      <c r="Y382" s="36"/>
      <c r="Z382" s="36"/>
      <c r="AA382" s="36"/>
      <c r="AB382" s="36"/>
    </row>
    <row r="383" spans="1:28" ht="24" hidden="1" customHeight="1">
      <c r="A383" s="207" t="s">
        <v>951</v>
      </c>
      <c r="B383" s="206">
        <v>2014</v>
      </c>
      <c r="C383" s="117" t="s">
        <v>884</v>
      </c>
      <c r="D383" s="195" t="s">
        <v>952</v>
      </c>
      <c r="E383" s="117" t="s">
        <v>41</v>
      </c>
      <c r="F383" s="117" t="s">
        <v>42</v>
      </c>
      <c r="G383" s="193" t="s">
        <v>43</v>
      </c>
      <c r="H383" s="117" t="s">
        <v>750</v>
      </c>
      <c r="I383" s="35"/>
      <c r="J383" s="36"/>
      <c r="K383" s="36"/>
      <c r="L383" s="36"/>
      <c r="M383" s="36"/>
      <c r="N383" s="36"/>
      <c r="O383" s="36"/>
      <c r="P383" s="36"/>
      <c r="Q383" s="36"/>
      <c r="R383" s="36"/>
      <c r="S383" s="36"/>
      <c r="T383" s="36"/>
      <c r="U383" s="36"/>
      <c r="V383" s="36"/>
      <c r="W383" s="36"/>
      <c r="X383" s="36"/>
      <c r="Y383" s="36"/>
      <c r="Z383" s="36"/>
      <c r="AA383" s="36"/>
      <c r="AB383" s="36"/>
    </row>
    <row r="384" spans="1:28" ht="24" hidden="1" customHeight="1">
      <c r="A384" s="207" t="s">
        <v>953</v>
      </c>
      <c r="B384" s="206">
        <v>2014</v>
      </c>
      <c r="C384" s="117" t="s">
        <v>954</v>
      </c>
      <c r="D384" s="195" t="s">
        <v>955</v>
      </c>
      <c r="E384" s="117" t="s">
        <v>41</v>
      </c>
      <c r="F384" s="117" t="s">
        <v>42</v>
      </c>
      <c r="G384" s="193" t="s">
        <v>43</v>
      </c>
      <c r="H384" s="117" t="s">
        <v>750</v>
      </c>
      <c r="I384" s="35"/>
      <c r="J384" s="36"/>
      <c r="K384" s="36"/>
      <c r="L384" s="36"/>
      <c r="M384" s="36"/>
      <c r="N384" s="36"/>
      <c r="O384" s="36"/>
      <c r="P384" s="36"/>
      <c r="Q384" s="36"/>
      <c r="R384" s="36"/>
      <c r="S384" s="36"/>
      <c r="T384" s="36"/>
      <c r="U384" s="36"/>
      <c r="V384" s="36"/>
      <c r="W384" s="36"/>
      <c r="X384" s="36"/>
      <c r="Y384" s="36"/>
      <c r="Z384" s="36"/>
      <c r="AA384" s="36"/>
      <c r="AB384" s="36"/>
    </row>
    <row r="385" spans="1:28" ht="36" hidden="1" customHeight="1">
      <c r="A385" s="207" t="s">
        <v>944</v>
      </c>
      <c r="B385" s="206">
        <v>2015</v>
      </c>
      <c r="C385" s="117" t="s">
        <v>954</v>
      </c>
      <c r="D385" s="195" t="s">
        <v>956</v>
      </c>
      <c r="E385" s="117" t="s">
        <v>41</v>
      </c>
      <c r="F385" s="117" t="s">
        <v>42</v>
      </c>
      <c r="G385" s="193" t="s">
        <v>43</v>
      </c>
      <c r="H385" s="117" t="s">
        <v>750</v>
      </c>
      <c r="I385" s="35"/>
      <c r="J385" s="36"/>
      <c r="K385" s="36"/>
      <c r="L385" s="36"/>
      <c r="M385" s="36"/>
      <c r="N385" s="36"/>
      <c r="O385" s="36"/>
      <c r="P385" s="36"/>
      <c r="Q385" s="36"/>
      <c r="R385" s="36"/>
      <c r="S385" s="36"/>
      <c r="T385" s="36"/>
      <c r="U385" s="36"/>
      <c r="V385" s="36"/>
      <c r="W385" s="36"/>
      <c r="X385" s="36"/>
      <c r="Y385" s="36"/>
      <c r="Z385" s="36"/>
      <c r="AA385" s="36"/>
      <c r="AB385" s="36"/>
    </row>
    <row r="386" spans="1:28" ht="12" hidden="1" customHeight="1">
      <c r="A386" s="207" t="s">
        <v>957</v>
      </c>
      <c r="B386" s="206">
        <v>2015</v>
      </c>
      <c r="C386" s="117" t="s">
        <v>954</v>
      </c>
      <c r="D386" s="195" t="s">
        <v>958</v>
      </c>
      <c r="E386" s="117" t="s">
        <v>41</v>
      </c>
      <c r="F386" s="117" t="s">
        <v>42</v>
      </c>
      <c r="G386" s="193" t="s">
        <v>43</v>
      </c>
      <c r="H386" s="117" t="s">
        <v>750</v>
      </c>
      <c r="I386" s="35"/>
      <c r="J386" s="36"/>
      <c r="K386" s="36"/>
      <c r="L386" s="36"/>
      <c r="M386" s="36"/>
      <c r="N386" s="36"/>
      <c r="O386" s="36"/>
      <c r="P386" s="36"/>
      <c r="Q386" s="36"/>
      <c r="R386" s="36"/>
      <c r="S386" s="36"/>
      <c r="T386" s="36"/>
      <c r="U386" s="36"/>
      <c r="V386" s="36"/>
      <c r="W386" s="36"/>
      <c r="X386" s="36"/>
      <c r="Y386" s="36"/>
      <c r="Z386" s="36"/>
      <c r="AA386" s="36"/>
      <c r="AB386" s="36"/>
    </row>
    <row r="387" spans="1:28" ht="24" hidden="1" customHeight="1">
      <c r="A387" s="207" t="s">
        <v>959</v>
      </c>
      <c r="B387" s="206">
        <v>2015</v>
      </c>
      <c r="C387" s="117" t="s">
        <v>960</v>
      </c>
      <c r="D387" s="195" t="s">
        <v>961</v>
      </c>
      <c r="E387" s="117" t="s">
        <v>41</v>
      </c>
      <c r="F387" s="117" t="s">
        <v>42</v>
      </c>
      <c r="G387" s="193" t="s">
        <v>43</v>
      </c>
      <c r="H387" s="117" t="s">
        <v>750</v>
      </c>
      <c r="I387" s="35"/>
      <c r="J387" s="36"/>
      <c r="K387" s="36"/>
      <c r="L387" s="36"/>
      <c r="M387" s="36"/>
      <c r="N387" s="36"/>
      <c r="O387" s="36"/>
      <c r="P387" s="36"/>
      <c r="Q387" s="36"/>
      <c r="R387" s="36"/>
      <c r="S387" s="36"/>
      <c r="T387" s="36"/>
      <c r="U387" s="36"/>
      <c r="V387" s="36"/>
      <c r="W387" s="36"/>
      <c r="X387" s="36"/>
      <c r="Y387" s="36"/>
      <c r="Z387" s="36"/>
      <c r="AA387" s="36"/>
      <c r="AB387" s="36"/>
    </row>
    <row r="388" spans="1:28" ht="24" hidden="1" customHeight="1">
      <c r="A388" s="207" t="s">
        <v>962</v>
      </c>
      <c r="B388" s="206">
        <v>2016</v>
      </c>
      <c r="C388" s="117" t="s">
        <v>884</v>
      </c>
      <c r="D388" s="195" t="s">
        <v>963</v>
      </c>
      <c r="E388" s="117" t="s">
        <v>41</v>
      </c>
      <c r="F388" s="117" t="s">
        <v>42</v>
      </c>
      <c r="G388" s="193" t="s">
        <v>43</v>
      </c>
      <c r="H388" s="117" t="s">
        <v>750</v>
      </c>
      <c r="I388" s="35"/>
      <c r="J388" s="36"/>
      <c r="K388" s="36"/>
      <c r="L388" s="36"/>
      <c r="M388" s="36"/>
      <c r="N388" s="36"/>
      <c r="O388" s="36"/>
      <c r="P388" s="36"/>
      <c r="Q388" s="36"/>
      <c r="R388" s="36"/>
      <c r="S388" s="36"/>
      <c r="T388" s="36"/>
      <c r="U388" s="36"/>
      <c r="V388" s="36"/>
      <c r="W388" s="36"/>
      <c r="X388" s="36"/>
      <c r="Y388" s="36"/>
      <c r="Z388" s="36"/>
      <c r="AA388" s="36"/>
      <c r="AB388" s="36"/>
    </row>
    <row r="389" spans="1:28" ht="12" hidden="1" customHeight="1">
      <c r="A389" s="207" t="s">
        <v>946</v>
      </c>
      <c r="B389" s="206">
        <v>2017</v>
      </c>
      <c r="C389" s="117" t="s">
        <v>223</v>
      </c>
      <c r="D389" s="195" t="s">
        <v>964</v>
      </c>
      <c r="E389" s="117" t="s">
        <v>41</v>
      </c>
      <c r="F389" s="117" t="s">
        <v>42</v>
      </c>
      <c r="G389" s="193" t="s">
        <v>43</v>
      </c>
      <c r="H389" s="117" t="s">
        <v>750</v>
      </c>
      <c r="I389" s="35"/>
      <c r="J389" s="36"/>
      <c r="K389" s="36"/>
      <c r="L389" s="36"/>
      <c r="M389" s="36"/>
      <c r="N389" s="36"/>
      <c r="O389" s="36"/>
      <c r="P389" s="36"/>
      <c r="Q389" s="36"/>
      <c r="R389" s="36"/>
      <c r="S389" s="36"/>
      <c r="T389" s="36"/>
      <c r="U389" s="36"/>
      <c r="V389" s="36"/>
      <c r="W389" s="36"/>
      <c r="X389" s="36"/>
      <c r="Y389" s="36"/>
      <c r="Z389" s="36"/>
      <c r="AA389" s="36"/>
      <c r="AB389" s="36"/>
    </row>
    <row r="390" spans="1:28" ht="36" hidden="1" customHeight="1">
      <c r="A390" s="207" t="s">
        <v>282</v>
      </c>
      <c r="B390" s="206">
        <v>2013</v>
      </c>
      <c r="C390" s="117" t="s">
        <v>954</v>
      </c>
      <c r="D390" s="195" t="s">
        <v>965</v>
      </c>
      <c r="E390" s="117" t="s">
        <v>41</v>
      </c>
      <c r="F390" s="117" t="s">
        <v>42</v>
      </c>
      <c r="G390" s="193" t="s">
        <v>43</v>
      </c>
      <c r="H390" s="117" t="s">
        <v>750</v>
      </c>
      <c r="I390" s="35"/>
      <c r="J390" s="36"/>
      <c r="K390" s="36"/>
      <c r="L390" s="36"/>
      <c r="M390" s="36"/>
      <c r="N390" s="36"/>
      <c r="O390" s="36"/>
      <c r="P390" s="36"/>
      <c r="Q390" s="36"/>
      <c r="R390" s="36"/>
      <c r="S390" s="36"/>
      <c r="T390" s="36"/>
      <c r="U390" s="36"/>
      <c r="V390" s="36"/>
      <c r="W390" s="36"/>
      <c r="X390" s="36"/>
      <c r="Y390" s="36"/>
      <c r="Z390" s="36"/>
      <c r="AA390" s="36"/>
      <c r="AB390" s="36"/>
    </row>
    <row r="391" spans="1:28" ht="24" hidden="1" customHeight="1">
      <c r="A391" s="207" t="s">
        <v>966</v>
      </c>
      <c r="B391" s="206">
        <v>2015</v>
      </c>
      <c r="C391" s="117" t="s">
        <v>681</v>
      </c>
      <c r="D391" s="195" t="s">
        <v>967</v>
      </c>
      <c r="E391" s="117" t="s">
        <v>41</v>
      </c>
      <c r="F391" s="117" t="s">
        <v>42</v>
      </c>
      <c r="G391" s="193" t="s">
        <v>43</v>
      </c>
      <c r="H391" s="117" t="s">
        <v>750</v>
      </c>
      <c r="I391" s="35"/>
      <c r="J391" s="36"/>
      <c r="K391" s="36"/>
      <c r="L391" s="36"/>
      <c r="M391" s="36"/>
      <c r="N391" s="36"/>
      <c r="O391" s="36"/>
      <c r="P391" s="36"/>
      <c r="Q391" s="36"/>
      <c r="R391" s="36"/>
      <c r="S391" s="36"/>
      <c r="T391" s="36"/>
      <c r="U391" s="36"/>
      <c r="V391" s="36"/>
      <c r="W391" s="36"/>
      <c r="X391" s="36"/>
      <c r="Y391" s="36"/>
      <c r="Z391" s="36"/>
      <c r="AA391" s="36"/>
      <c r="AB391" s="36"/>
    </row>
    <row r="392" spans="1:28" ht="12" hidden="1" customHeight="1">
      <c r="A392" s="207" t="s">
        <v>968</v>
      </c>
      <c r="B392" s="206">
        <v>2018</v>
      </c>
      <c r="C392" s="206" t="s">
        <v>969</v>
      </c>
      <c r="D392" s="210" t="s">
        <v>970</v>
      </c>
      <c r="E392" s="117" t="s">
        <v>41</v>
      </c>
      <c r="F392" s="117" t="s">
        <v>42</v>
      </c>
      <c r="G392" s="193" t="s">
        <v>43</v>
      </c>
      <c r="H392" s="117" t="s">
        <v>750</v>
      </c>
      <c r="I392" s="35"/>
      <c r="J392" s="36"/>
      <c r="K392" s="36"/>
      <c r="L392" s="36"/>
      <c r="M392" s="36"/>
      <c r="N392" s="36"/>
      <c r="O392" s="36"/>
      <c r="P392" s="36"/>
      <c r="Q392" s="36"/>
      <c r="R392" s="36"/>
      <c r="S392" s="36"/>
      <c r="T392" s="36"/>
      <c r="U392" s="36"/>
      <c r="V392" s="36"/>
      <c r="W392" s="36"/>
      <c r="X392" s="36"/>
      <c r="Y392" s="36"/>
      <c r="Z392" s="36"/>
      <c r="AA392" s="36"/>
      <c r="AB392" s="36"/>
    </row>
    <row r="393" spans="1:28" ht="48" hidden="1" customHeight="1">
      <c r="A393" s="208" t="s">
        <v>971</v>
      </c>
      <c r="B393" s="206">
        <v>2018</v>
      </c>
      <c r="C393" s="117" t="s">
        <v>940</v>
      </c>
      <c r="D393" s="195" t="s">
        <v>972</v>
      </c>
      <c r="E393" s="206" t="s">
        <v>41</v>
      </c>
      <c r="F393" s="117" t="s">
        <v>42</v>
      </c>
      <c r="G393" s="211" t="s">
        <v>43</v>
      </c>
      <c r="H393" s="117" t="s">
        <v>750</v>
      </c>
      <c r="I393" s="35"/>
      <c r="J393" s="36"/>
      <c r="K393" s="36"/>
      <c r="L393" s="36"/>
      <c r="M393" s="36"/>
      <c r="N393" s="36"/>
      <c r="O393" s="36"/>
      <c r="P393" s="36"/>
      <c r="Q393" s="36"/>
      <c r="R393" s="36"/>
      <c r="S393" s="36"/>
      <c r="T393" s="36"/>
      <c r="U393" s="36"/>
      <c r="V393" s="36"/>
      <c r="W393" s="36"/>
      <c r="X393" s="36"/>
      <c r="Y393" s="36"/>
      <c r="Z393" s="36"/>
      <c r="AA393" s="36"/>
      <c r="AB393" s="36"/>
    </row>
    <row r="394" spans="1:28" ht="101.25" hidden="1" customHeight="1">
      <c r="A394" s="199" t="s">
        <v>973</v>
      </c>
      <c r="B394" s="194">
        <v>1994</v>
      </c>
      <c r="C394" s="117" t="s">
        <v>39</v>
      </c>
      <c r="D394" s="195" t="s">
        <v>755</v>
      </c>
      <c r="E394" s="117" t="s">
        <v>974</v>
      </c>
      <c r="F394" s="117" t="s">
        <v>975</v>
      </c>
      <c r="G394" s="193" t="s">
        <v>43</v>
      </c>
      <c r="H394" s="117" t="s">
        <v>976</v>
      </c>
      <c r="I394" s="35"/>
      <c r="J394" s="36"/>
      <c r="K394" s="36"/>
      <c r="L394" s="36"/>
      <c r="M394" s="36"/>
      <c r="N394" s="36"/>
      <c r="O394" s="36"/>
      <c r="P394" s="36"/>
      <c r="Q394" s="36"/>
      <c r="R394" s="36"/>
      <c r="S394" s="36"/>
      <c r="T394" s="36"/>
      <c r="U394" s="36"/>
      <c r="V394" s="36"/>
      <c r="W394" s="36"/>
      <c r="X394" s="36"/>
      <c r="Y394" s="36"/>
      <c r="Z394" s="36"/>
      <c r="AA394" s="36"/>
      <c r="AB394" s="36"/>
    </row>
    <row r="395" spans="1:28" ht="108" hidden="1" customHeight="1">
      <c r="A395" s="199" t="s">
        <v>977</v>
      </c>
      <c r="B395" s="194">
        <v>2005</v>
      </c>
      <c r="C395" s="117" t="s">
        <v>39</v>
      </c>
      <c r="D395" s="195" t="s">
        <v>495</v>
      </c>
      <c r="E395" s="117" t="s">
        <v>978</v>
      </c>
      <c r="F395" s="117" t="s">
        <v>979</v>
      </c>
      <c r="G395" s="193" t="s">
        <v>43</v>
      </c>
      <c r="H395" s="117" t="s">
        <v>976</v>
      </c>
      <c r="I395" s="35"/>
      <c r="J395" s="36"/>
      <c r="K395" s="36"/>
      <c r="L395" s="36"/>
      <c r="M395" s="36"/>
      <c r="N395" s="36"/>
      <c r="O395" s="36"/>
      <c r="P395" s="36"/>
      <c r="Q395" s="36"/>
      <c r="R395" s="36"/>
      <c r="S395" s="36"/>
      <c r="T395" s="36"/>
      <c r="U395" s="36"/>
      <c r="V395" s="36"/>
      <c r="W395" s="36"/>
      <c r="X395" s="36"/>
      <c r="Y395" s="36"/>
      <c r="Z395" s="36"/>
      <c r="AA395" s="36"/>
      <c r="AB395" s="36"/>
    </row>
    <row r="396" spans="1:28" ht="48" hidden="1" customHeight="1">
      <c r="A396" s="199" t="s">
        <v>980</v>
      </c>
      <c r="B396" s="194">
        <v>2006</v>
      </c>
      <c r="C396" s="117" t="s">
        <v>39</v>
      </c>
      <c r="D396" s="195" t="s">
        <v>767</v>
      </c>
      <c r="E396" s="117" t="s">
        <v>41</v>
      </c>
      <c r="F396" s="117" t="s">
        <v>42</v>
      </c>
      <c r="G396" s="193" t="s">
        <v>43</v>
      </c>
      <c r="H396" s="117" t="s">
        <v>976</v>
      </c>
      <c r="I396" s="35"/>
      <c r="J396" s="36"/>
      <c r="K396" s="36"/>
      <c r="L396" s="36"/>
      <c r="M396" s="36"/>
      <c r="N396" s="36"/>
      <c r="O396" s="36"/>
      <c r="P396" s="36"/>
      <c r="Q396" s="36"/>
      <c r="R396" s="36"/>
      <c r="S396" s="36"/>
      <c r="T396" s="36"/>
      <c r="U396" s="36"/>
      <c r="V396" s="36"/>
      <c r="W396" s="36"/>
      <c r="X396" s="36"/>
      <c r="Y396" s="36"/>
      <c r="Z396" s="36"/>
      <c r="AA396" s="36"/>
      <c r="AB396" s="36"/>
    </row>
    <row r="397" spans="1:28" ht="36" hidden="1" customHeight="1">
      <c r="A397" s="199" t="s">
        <v>981</v>
      </c>
      <c r="B397" s="194">
        <v>2011</v>
      </c>
      <c r="C397" s="117" t="s">
        <v>39</v>
      </c>
      <c r="D397" s="195" t="s">
        <v>982</v>
      </c>
      <c r="E397" s="117" t="s">
        <v>41</v>
      </c>
      <c r="F397" s="117" t="s">
        <v>42</v>
      </c>
      <c r="G397" s="193" t="s">
        <v>43</v>
      </c>
      <c r="H397" s="117" t="s">
        <v>976</v>
      </c>
      <c r="I397" s="35"/>
      <c r="J397" s="36"/>
      <c r="K397" s="36"/>
      <c r="L397" s="36"/>
      <c r="M397" s="36"/>
      <c r="N397" s="36"/>
      <c r="O397" s="36"/>
      <c r="P397" s="36"/>
      <c r="Q397" s="36"/>
      <c r="R397" s="36"/>
      <c r="S397" s="36"/>
      <c r="T397" s="36"/>
      <c r="U397" s="36"/>
      <c r="V397" s="36"/>
      <c r="W397" s="36"/>
      <c r="X397" s="36"/>
      <c r="Y397" s="36"/>
      <c r="Z397" s="36"/>
      <c r="AA397" s="36"/>
      <c r="AB397" s="36"/>
    </row>
    <row r="398" spans="1:28" ht="240" hidden="1" customHeight="1">
      <c r="A398" s="199" t="s">
        <v>286</v>
      </c>
      <c r="B398" s="194">
        <v>2011</v>
      </c>
      <c r="C398" s="117" t="s">
        <v>39</v>
      </c>
      <c r="D398" s="195" t="s">
        <v>54</v>
      </c>
      <c r="E398" s="117" t="s">
        <v>983</v>
      </c>
      <c r="F398" s="117" t="s">
        <v>984</v>
      </c>
      <c r="G398" s="193" t="s">
        <v>43</v>
      </c>
      <c r="H398" s="117" t="s">
        <v>976</v>
      </c>
      <c r="I398" s="35"/>
      <c r="J398" s="36"/>
      <c r="K398" s="36"/>
      <c r="L398" s="36"/>
      <c r="M398" s="36"/>
      <c r="N398" s="36"/>
      <c r="O398" s="36"/>
      <c r="P398" s="36"/>
      <c r="Q398" s="36"/>
      <c r="R398" s="36"/>
      <c r="S398" s="36"/>
      <c r="T398" s="36"/>
      <c r="U398" s="36"/>
      <c r="V398" s="36"/>
      <c r="W398" s="36"/>
      <c r="X398" s="36"/>
      <c r="Y398" s="36"/>
      <c r="Z398" s="36"/>
      <c r="AA398" s="36"/>
      <c r="AB398" s="36"/>
    </row>
    <row r="399" spans="1:28" ht="36" hidden="1" customHeight="1">
      <c r="A399" s="199" t="s">
        <v>985</v>
      </c>
      <c r="B399" s="194">
        <v>2011</v>
      </c>
      <c r="C399" s="117" t="s">
        <v>39</v>
      </c>
      <c r="D399" s="195" t="s">
        <v>986</v>
      </c>
      <c r="E399" s="117" t="s">
        <v>41</v>
      </c>
      <c r="F399" s="117" t="s">
        <v>42</v>
      </c>
      <c r="G399" s="193" t="s">
        <v>43</v>
      </c>
      <c r="H399" s="117" t="s">
        <v>976</v>
      </c>
      <c r="I399" s="35"/>
      <c r="J399" s="36"/>
      <c r="K399" s="36"/>
      <c r="L399" s="36"/>
      <c r="M399" s="36"/>
      <c r="N399" s="36"/>
      <c r="O399" s="36"/>
      <c r="P399" s="36"/>
      <c r="Q399" s="36"/>
      <c r="R399" s="36"/>
      <c r="S399" s="36"/>
      <c r="T399" s="36"/>
      <c r="U399" s="36"/>
      <c r="V399" s="36"/>
      <c r="W399" s="36"/>
      <c r="X399" s="36"/>
      <c r="Y399" s="36"/>
      <c r="Z399" s="36"/>
      <c r="AA399" s="36"/>
      <c r="AB399" s="36"/>
    </row>
    <row r="400" spans="1:28" ht="108" hidden="1" customHeight="1">
      <c r="A400" s="199" t="s">
        <v>294</v>
      </c>
      <c r="B400" s="194">
        <v>2014</v>
      </c>
      <c r="C400" s="117" t="s">
        <v>39</v>
      </c>
      <c r="D400" s="195" t="s">
        <v>987</v>
      </c>
      <c r="E400" s="117" t="s">
        <v>988</v>
      </c>
      <c r="F400" s="117" t="s">
        <v>989</v>
      </c>
      <c r="G400" s="193" t="s">
        <v>43</v>
      </c>
      <c r="H400" s="117" t="s">
        <v>976</v>
      </c>
      <c r="I400" s="35"/>
      <c r="J400" s="36"/>
      <c r="K400" s="36"/>
      <c r="L400" s="36"/>
      <c r="M400" s="36"/>
      <c r="N400" s="36"/>
      <c r="O400" s="36"/>
      <c r="P400" s="36"/>
      <c r="Q400" s="36"/>
      <c r="R400" s="36"/>
      <c r="S400" s="36"/>
      <c r="T400" s="36"/>
      <c r="U400" s="36"/>
      <c r="V400" s="36"/>
      <c r="W400" s="36"/>
      <c r="X400" s="36"/>
      <c r="Y400" s="36"/>
      <c r="Z400" s="36"/>
      <c r="AA400" s="36"/>
      <c r="AB400" s="36"/>
    </row>
    <row r="401" spans="1:28" ht="178.5" hidden="1" customHeight="1">
      <c r="A401" s="199" t="s">
        <v>990</v>
      </c>
      <c r="B401" s="194">
        <v>2015</v>
      </c>
      <c r="C401" s="117" t="s">
        <v>39</v>
      </c>
      <c r="D401" s="195" t="s">
        <v>991</v>
      </c>
      <c r="E401" s="117">
        <v>133</v>
      </c>
      <c r="F401" s="117" t="s">
        <v>992</v>
      </c>
      <c r="G401" s="193" t="s">
        <v>43</v>
      </c>
      <c r="H401" s="117" t="s">
        <v>976</v>
      </c>
      <c r="I401" s="35"/>
      <c r="J401" s="36"/>
      <c r="K401" s="36"/>
      <c r="L401" s="36"/>
      <c r="M401" s="36"/>
      <c r="N401" s="36"/>
      <c r="O401" s="36"/>
      <c r="P401" s="36"/>
      <c r="Q401" s="36"/>
      <c r="R401" s="36"/>
      <c r="S401" s="36"/>
      <c r="T401" s="36"/>
      <c r="U401" s="36"/>
      <c r="V401" s="36"/>
      <c r="W401" s="36"/>
      <c r="X401" s="36"/>
      <c r="Y401" s="36"/>
      <c r="Z401" s="36"/>
      <c r="AA401" s="36"/>
      <c r="AB401" s="36"/>
    </row>
    <row r="402" spans="1:28" ht="78.75" hidden="1" customHeight="1">
      <c r="A402" s="199" t="s">
        <v>993</v>
      </c>
      <c r="B402" s="194">
        <v>2015</v>
      </c>
      <c r="C402" s="197" t="s">
        <v>39</v>
      </c>
      <c r="D402" s="195" t="s">
        <v>994</v>
      </c>
      <c r="E402" s="117" t="s">
        <v>41</v>
      </c>
      <c r="F402" s="117" t="s">
        <v>42</v>
      </c>
      <c r="G402" s="193" t="s">
        <v>43</v>
      </c>
      <c r="H402" s="117" t="s">
        <v>976</v>
      </c>
      <c r="I402" s="35"/>
      <c r="J402" s="36"/>
      <c r="K402" s="36"/>
      <c r="L402" s="36"/>
      <c r="M402" s="36"/>
      <c r="N402" s="36"/>
      <c r="O402" s="36"/>
      <c r="P402" s="36"/>
      <c r="Q402" s="36"/>
      <c r="R402" s="36"/>
      <c r="S402" s="36"/>
      <c r="T402" s="36"/>
      <c r="U402" s="36"/>
      <c r="V402" s="36"/>
      <c r="W402" s="36"/>
      <c r="X402" s="36"/>
      <c r="Y402" s="36"/>
      <c r="Z402" s="36"/>
      <c r="AA402" s="36"/>
      <c r="AB402" s="36"/>
    </row>
    <row r="403" spans="1:28" ht="65.25" hidden="1" customHeight="1">
      <c r="A403" s="205" t="s">
        <v>789</v>
      </c>
      <c r="B403" s="206">
        <v>1993</v>
      </c>
      <c r="C403" s="117" t="s">
        <v>57</v>
      </c>
      <c r="D403" s="195" t="s">
        <v>513</v>
      </c>
      <c r="E403" s="117" t="s">
        <v>995</v>
      </c>
      <c r="F403" s="117" t="s">
        <v>996</v>
      </c>
      <c r="G403" s="193" t="s">
        <v>43</v>
      </c>
      <c r="H403" s="117" t="s">
        <v>976</v>
      </c>
      <c r="I403" s="35"/>
      <c r="J403" s="36"/>
      <c r="K403" s="36"/>
      <c r="L403" s="36"/>
      <c r="M403" s="36"/>
      <c r="N403" s="36"/>
      <c r="O403" s="36"/>
      <c r="P403" s="36"/>
      <c r="Q403" s="36"/>
      <c r="R403" s="36"/>
      <c r="S403" s="36"/>
      <c r="T403" s="36"/>
      <c r="U403" s="36"/>
      <c r="V403" s="36"/>
      <c r="W403" s="36"/>
      <c r="X403" s="36"/>
      <c r="Y403" s="36"/>
      <c r="Z403" s="36"/>
      <c r="AA403" s="36"/>
      <c r="AB403" s="36"/>
    </row>
    <row r="404" spans="1:28" ht="180" hidden="1" customHeight="1">
      <c r="A404" s="207" t="s">
        <v>798</v>
      </c>
      <c r="B404" s="206">
        <v>1996</v>
      </c>
      <c r="C404" s="117" t="s">
        <v>61</v>
      </c>
      <c r="D404" s="195" t="s">
        <v>523</v>
      </c>
      <c r="E404" s="117" t="s">
        <v>997</v>
      </c>
      <c r="F404" s="117" t="s">
        <v>998</v>
      </c>
      <c r="G404" s="193" t="s">
        <v>43</v>
      </c>
      <c r="H404" s="117" t="s">
        <v>976</v>
      </c>
      <c r="I404" s="35"/>
      <c r="J404" s="36"/>
      <c r="K404" s="36"/>
      <c r="L404" s="36"/>
      <c r="M404" s="36"/>
      <c r="N404" s="36"/>
      <c r="O404" s="36"/>
      <c r="P404" s="36"/>
      <c r="Q404" s="36"/>
      <c r="R404" s="36"/>
      <c r="S404" s="36"/>
      <c r="T404" s="36"/>
      <c r="U404" s="36"/>
      <c r="V404" s="36"/>
      <c r="W404" s="36"/>
      <c r="X404" s="36"/>
      <c r="Y404" s="36"/>
      <c r="Z404" s="36"/>
      <c r="AA404" s="36"/>
      <c r="AB404" s="36"/>
    </row>
    <row r="405" spans="1:28" ht="24" hidden="1" customHeight="1">
      <c r="A405" s="207" t="s">
        <v>999</v>
      </c>
      <c r="B405" s="206">
        <v>1999</v>
      </c>
      <c r="C405" s="117" t="s">
        <v>61</v>
      </c>
      <c r="D405" s="195" t="s">
        <v>1000</v>
      </c>
      <c r="E405" s="117" t="s">
        <v>41</v>
      </c>
      <c r="F405" s="117" t="s">
        <v>42</v>
      </c>
      <c r="G405" s="193" t="s">
        <v>43</v>
      </c>
      <c r="H405" s="117" t="s">
        <v>976</v>
      </c>
      <c r="I405" s="35"/>
      <c r="J405" s="36"/>
      <c r="K405" s="36"/>
      <c r="L405" s="36"/>
      <c r="M405" s="36"/>
      <c r="N405" s="36"/>
      <c r="O405" s="36"/>
      <c r="P405" s="36"/>
      <c r="Q405" s="36"/>
      <c r="R405" s="36"/>
      <c r="S405" s="36"/>
      <c r="T405" s="36"/>
      <c r="U405" s="36"/>
      <c r="V405" s="36"/>
      <c r="W405" s="36"/>
      <c r="X405" s="36"/>
      <c r="Y405" s="36"/>
      <c r="Z405" s="36"/>
      <c r="AA405" s="36"/>
      <c r="AB405" s="36"/>
    </row>
    <row r="406" spans="1:28" ht="24" hidden="1" customHeight="1">
      <c r="A406" s="207" t="s">
        <v>1001</v>
      </c>
      <c r="B406" s="206">
        <v>2003</v>
      </c>
      <c r="C406" s="117" t="s">
        <v>61</v>
      </c>
      <c r="D406" s="195" t="s">
        <v>1002</v>
      </c>
      <c r="E406" s="117" t="s">
        <v>41</v>
      </c>
      <c r="F406" s="117" t="s">
        <v>42</v>
      </c>
      <c r="G406" s="193" t="s">
        <v>43</v>
      </c>
      <c r="H406" s="117" t="s">
        <v>976</v>
      </c>
      <c r="I406" s="35"/>
      <c r="J406" s="36"/>
      <c r="K406" s="36"/>
      <c r="L406" s="36"/>
      <c r="M406" s="36"/>
      <c r="N406" s="36"/>
      <c r="O406" s="36"/>
      <c r="P406" s="36"/>
      <c r="Q406" s="36"/>
      <c r="R406" s="36"/>
      <c r="S406" s="36"/>
      <c r="T406" s="36"/>
      <c r="U406" s="36"/>
      <c r="V406" s="36"/>
      <c r="W406" s="36"/>
      <c r="X406" s="36"/>
      <c r="Y406" s="36"/>
      <c r="Z406" s="36"/>
      <c r="AA406" s="36"/>
      <c r="AB406" s="36"/>
    </row>
    <row r="407" spans="1:28" ht="24" hidden="1" customHeight="1">
      <c r="A407" s="207" t="s">
        <v>1003</v>
      </c>
      <c r="B407" s="206">
        <v>2005</v>
      </c>
      <c r="C407" s="117" t="s">
        <v>57</v>
      </c>
      <c r="D407" s="195" t="s">
        <v>1004</v>
      </c>
      <c r="E407" s="117" t="s">
        <v>1005</v>
      </c>
      <c r="F407" s="117" t="s">
        <v>42</v>
      </c>
      <c r="G407" s="193" t="s">
        <v>43</v>
      </c>
      <c r="H407" s="117" t="s">
        <v>976</v>
      </c>
      <c r="I407" s="35"/>
      <c r="J407" s="36"/>
      <c r="K407" s="36"/>
      <c r="L407" s="36"/>
      <c r="M407" s="36"/>
      <c r="N407" s="36"/>
      <c r="O407" s="36"/>
      <c r="P407" s="36"/>
      <c r="Q407" s="36"/>
      <c r="R407" s="36"/>
      <c r="S407" s="36"/>
      <c r="T407" s="36"/>
      <c r="U407" s="36"/>
      <c r="V407" s="36"/>
      <c r="W407" s="36"/>
      <c r="X407" s="36"/>
      <c r="Y407" s="36"/>
      <c r="Z407" s="36"/>
      <c r="AA407" s="36"/>
      <c r="AB407" s="36"/>
    </row>
    <row r="408" spans="1:28" ht="36" hidden="1" customHeight="1">
      <c r="A408" s="207" t="s">
        <v>1006</v>
      </c>
      <c r="B408" s="206">
        <v>2006</v>
      </c>
      <c r="C408" s="117" t="s">
        <v>61</v>
      </c>
      <c r="D408" s="195" t="s">
        <v>1007</v>
      </c>
      <c r="E408" s="117" t="s">
        <v>41</v>
      </c>
      <c r="F408" s="117" t="s">
        <v>42</v>
      </c>
      <c r="G408" s="193" t="s">
        <v>43</v>
      </c>
      <c r="H408" s="117" t="s">
        <v>976</v>
      </c>
      <c r="I408" s="35"/>
      <c r="J408" s="36"/>
      <c r="K408" s="36"/>
      <c r="L408" s="36"/>
      <c r="M408" s="36"/>
      <c r="N408" s="36"/>
      <c r="O408" s="36"/>
      <c r="P408" s="36"/>
      <c r="Q408" s="36"/>
      <c r="R408" s="36"/>
      <c r="S408" s="36"/>
      <c r="T408" s="36"/>
      <c r="U408" s="36"/>
      <c r="V408" s="36"/>
      <c r="W408" s="36"/>
      <c r="X408" s="36"/>
      <c r="Y408" s="36"/>
      <c r="Z408" s="36"/>
      <c r="AA408" s="36"/>
      <c r="AB408" s="36"/>
    </row>
    <row r="409" spans="1:28" ht="24" hidden="1" customHeight="1">
      <c r="A409" s="207" t="s">
        <v>1008</v>
      </c>
      <c r="B409" s="206">
        <v>2007</v>
      </c>
      <c r="C409" s="117" t="s">
        <v>61</v>
      </c>
      <c r="D409" s="195" t="s">
        <v>1009</v>
      </c>
      <c r="E409" s="117" t="s">
        <v>41</v>
      </c>
      <c r="F409" s="117" t="s">
        <v>42</v>
      </c>
      <c r="G409" s="193" t="s">
        <v>43</v>
      </c>
      <c r="H409" s="117" t="s">
        <v>976</v>
      </c>
      <c r="I409" s="35"/>
      <c r="J409" s="36"/>
      <c r="K409" s="36"/>
      <c r="L409" s="36"/>
      <c r="M409" s="36"/>
      <c r="N409" s="36"/>
      <c r="O409" s="36"/>
      <c r="P409" s="36"/>
      <c r="Q409" s="36"/>
      <c r="R409" s="36"/>
      <c r="S409" s="36"/>
      <c r="T409" s="36"/>
      <c r="U409" s="36"/>
      <c r="V409" s="36"/>
      <c r="W409" s="36"/>
      <c r="X409" s="36"/>
      <c r="Y409" s="36"/>
      <c r="Z409" s="36"/>
      <c r="AA409" s="36"/>
      <c r="AB409" s="36"/>
    </row>
    <row r="410" spans="1:28" ht="36" hidden="1" customHeight="1">
      <c r="A410" s="207" t="s">
        <v>1010</v>
      </c>
      <c r="B410" s="206">
        <v>2007</v>
      </c>
      <c r="C410" s="117" t="s">
        <v>61</v>
      </c>
      <c r="D410" s="195" t="s">
        <v>1011</v>
      </c>
      <c r="E410" s="117" t="s">
        <v>41</v>
      </c>
      <c r="F410" s="117" t="s">
        <v>42</v>
      </c>
      <c r="G410" s="193" t="s">
        <v>43</v>
      </c>
      <c r="H410" s="117" t="s">
        <v>976</v>
      </c>
      <c r="I410" s="35"/>
      <c r="J410" s="36"/>
      <c r="K410" s="36"/>
      <c r="L410" s="36"/>
      <c r="M410" s="36"/>
      <c r="N410" s="36"/>
      <c r="O410" s="36"/>
      <c r="P410" s="36"/>
      <c r="Q410" s="36"/>
      <c r="R410" s="36"/>
      <c r="S410" s="36"/>
      <c r="T410" s="36"/>
      <c r="U410" s="36"/>
      <c r="V410" s="36"/>
      <c r="W410" s="36"/>
      <c r="X410" s="36"/>
      <c r="Y410" s="36"/>
      <c r="Z410" s="36"/>
      <c r="AA410" s="36"/>
      <c r="AB410" s="36"/>
    </row>
    <row r="411" spans="1:28" ht="48" hidden="1" customHeight="1">
      <c r="A411" s="207" t="s">
        <v>1012</v>
      </c>
      <c r="B411" s="206">
        <v>2008</v>
      </c>
      <c r="C411" s="117" t="s">
        <v>61</v>
      </c>
      <c r="D411" s="195" t="s">
        <v>1013</v>
      </c>
      <c r="E411" s="117" t="s">
        <v>41</v>
      </c>
      <c r="F411" s="117" t="s">
        <v>42</v>
      </c>
      <c r="G411" s="193" t="s">
        <v>43</v>
      </c>
      <c r="H411" s="117" t="s">
        <v>976</v>
      </c>
      <c r="I411" s="35"/>
      <c r="J411" s="36"/>
      <c r="K411" s="36"/>
      <c r="L411" s="36"/>
      <c r="M411" s="36"/>
      <c r="N411" s="36"/>
      <c r="O411" s="36"/>
      <c r="P411" s="36"/>
      <c r="Q411" s="36"/>
      <c r="R411" s="36"/>
      <c r="S411" s="36"/>
      <c r="T411" s="36"/>
      <c r="U411" s="36"/>
      <c r="V411" s="36"/>
      <c r="W411" s="36"/>
      <c r="X411" s="36"/>
      <c r="Y411" s="36"/>
      <c r="Z411" s="36"/>
      <c r="AA411" s="36"/>
      <c r="AB411" s="36"/>
    </row>
    <row r="412" spans="1:28" ht="36" hidden="1" customHeight="1">
      <c r="A412" s="207" t="s">
        <v>660</v>
      </c>
      <c r="B412" s="206">
        <v>2008</v>
      </c>
      <c r="C412" s="117" t="s">
        <v>61</v>
      </c>
      <c r="D412" s="195" t="s">
        <v>1014</v>
      </c>
      <c r="E412" s="117" t="s">
        <v>41</v>
      </c>
      <c r="F412" s="117" t="s">
        <v>42</v>
      </c>
      <c r="G412" s="193" t="s">
        <v>43</v>
      </c>
      <c r="H412" s="117" t="s">
        <v>976</v>
      </c>
      <c r="I412" s="35"/>
      <c r="J412" s="36"/>
      <c r="K412" s="36"/>
      <c r="L412" s="36"/>
      <c r="M412" s="36"/>
      <c r="N412" s="36"/>
      <c r="O412" s="36"/>
      <c r="P412" s="36"/>
      <c r="Q412" s="36"/>
      <c r="R412" s="36"/>
      <c r="S412" s="36"/>
      <c r="T412" s="36"/>
      <c r="U412" s="36"/>
      <c r="V412" s="36"/>
      <c r="W412" s="36"/>
      <c r="X412" s="36"/>
      <c r="Y412" s="36"/>
      <c r="Z412" s="36"/>
      <c r="AA412" s="36"/>
      <c r="AB412" s="36"/>
    </row>
    <row r="413" spans="1:28" ht="24" hidden="1" customHeight="1">
      <c r="A413" s="207" t="s">
        <v>1015</v>
      </c>
      <c r="B413" s="206">
        <v>2010</v>
      </c>
      <c r="C413" s="117" t="s">
        <v>61</v>
      </c>
      <c r="D413" s="195" t="s">
        <v>1016</v>
      </c>
      <c r="E413" s="117" t="s">
        <v>41</v>
      </c>
      <c r="F413" s="117" t="s">
        <v>42</v>
      </c>
      <c r="G413" s="193" t="s">
        <v>43</v>
      </c>
      <c r="H413" s="117" t="s">
        <v>976</v>
      </c>
      <c r="I413" s="35"/>
      <c r="J413" s="36"/>
      <c r="K413" s="36"/>
      <c r="L413" s="36"/>
      <c r="M413" s="36"/>
      <c r="N413" s="36"/>
      <c r="O413" s="36"/>
      <c r="P413" s="36"/>
      <c r="Q413" s="36"/>
      <c r="R413" s="36"/>
      <c r="S413" s="36"/>
      <c r="T413" s="36"/>
      <c r="U413" s="36"/>
      <c r="V413" s="36"/>
      <c r="W413" s="36"/>
      <c r="X413" s="36"/>
      <c r="Y413" s="36"/>
      <c r="Z413" s="36"/>
      <c r="AA413" s="36"/>
      <c r="AB413" s="36"/>
    </row>
    <row r="414" spans="1:28" ht="24" hidden="1" customHeight="1">
      <c r="A414" s="207" t="s">
        <v>1017</v>
      </c>
      <c r="B414" s="206">
        <v>2010</v>
      </c>
      <c r="C414" s="117" t="s">
        <v>61</v>
      </c>
      <c r="D414" s="195" t="s">
        <v>1018</v>
      </c>
      <c r="E414" s="117" t="s">
        <v>41</v>
      </c>
      <c r="F414" s="117" t="s">
        <v>42</v>
      </c>
      <c r="G414" s="193" t="s">
        <v>43</v>
      </c>
      <c r="H414" s="117" t="s">
        <v>976</v>
      </c>
      <c r="I414" s="35"/>
      <c r="J414" s="36"/>
      <c r="K414" s="36"/>
      <c r="L414" s="36"/>
      <c r="M414" s="36"/>
      <c r="N414" s="36"/>
      <c r="O414" s="36"/>
      <c r="P414" s="36"/>
      <c r="Q414" s="36"/>
      <c r="R414" s="36"/>
      <c r="S414" s="36"/>
      <c r="T414" s="36"/>
      <c r="U414" s="36"/>
      <c r="V414" s="36"/>
      <c r="W414" s="36"/>
      <c r="X414" s="36"/>
      <c r="Y414" s="36"/>
      <c r="Z414" s="36"/>
      <c r="AA414" s="36"/>
      <c r="AB414" s="36"/>
    </row>
    <row r="415" spans="1:28" ht="24" hidden="1" customHeight="1">
      <c r="A415" s="207" t="s">
        <v>1019</v>
      </c>
      <c r="B415" s="206">
        <v>2011</v>
      </c>
      <c r="C415" s="117" t="s">
        <v>61</v>
      </c>
      <c r="D415" s="195" t="s">
        <v>1020</v>
      </c>
      <c r="E415" s="117" t="s">
        <v>41</v>
      </c>
      <c r="F415" s="117" t="s">
        <v>42</v>
      </c>
      <c r="G415" s="193" t="s">
        <v>43</v>
      </c>
      <c r="H415" s="117" t="s">
        <v>976</v>
      </c>
      <c r="I415" s="35"/>
      <c r="J415" s="36"/>
      <c r="K415" s="36"/>
      <c r="L415" s="36"/>
      <c r="M415" s="36"/>
      <c r="N415" s="36"/>
      <c r="O415" s="36"/>
      <c r="P415" s="36"/>
      <c r="Q415" s="36"/>
      <c r="R415" s="36"/>
      <c r="S415" s="36"/>
      <c r="T415" s="36"/>
      <c r="U415" s="36"/>
      <c r="V415" s="36"/>
      <c r="W415" s="36"/>
      <c r="X415" s="36"/>
      <c r="Y415" s="36"/>
      <c r="Z415" s="36"/>
      <c r="AA415" s="36"/>
      <c r="AB415" s="36"/>
    </row>
    <row r="416" spans="1:28" ht="24" hidden="1" customHeight="1">
      <c r="A416" s="207" t="s">
        <v>1021</v>
      </c>
      <c r="B416" s="206">
        <v>2011</v>
      </c>
      <c r="C416" s="117" t="s">
        <v>61</v>
      </c>
      <c r="D416" s="195" t="s">
        <v>1022</v>
      </c>
      <c r="E416" s="117" t="s">
        <v>41</v>
      </c>
      <c r="F416" s="117" t="s">
        <v>42</v>
      </c>
      <c r="G416" s="193" t="s">
        <v>43</v>
      </c>
      <c r="H416" s="117" t="s">
        <v>976</v>
      </c>
      <c r="I416" s="35"/>
      <c r="J416" s="36"/>
      <c r="K416" s="36"/>
      <c r="L416" s="36"/>
      <c r="M416" s="36"/>
      <c r="N416" s="36"/>
      <c r="O416" s="36"/>
      <c r="P416" s="36"/>
      <c r="Q416" s="36"/>
      <c r="R416" s="36"/>
      <c r="S416" s="36"/>
      <c r="T416" s="36"/>
      <c r="U416" s="36"/>
      <c r="V416" s="36"/>
      <c r="W416" s="36"/>
      <c r="X416" s="36"/>
      <c r="Y416" s="36"/>
      <c r="Z416" s="36"/>
      <c r="AA416" s="36"/>
      <c r="AB416" s="36"/>
    </row>
    <row r="417" spans="1:28" ht="24" hidden="1" customHeight="1">
      <c r="A417" s="207" t="s">
        <v>1023</v>
      </c>
      <c r="B417" s="206">
        <v>2011</v>
      </c>
      <c r="C417" s="117" t="s">
        <v>61</v>
      </c>
      <c r="D417" s="195" t="s">
        <v>1024</v>
      </c>
      <c r="E417" s="117" t="s">
        <v>41</v>
      </c>
      <c r="F417" s="117" t="s">
        <v>42</v>
      </c>
      <c r="G417" s="193" t="s">
        <v>43</v>
      </c>
      <c r="H417" s="117" t="s">
        <v>976</v>
      </c>
      <c r="I417" s="35"/>
      <c r="J417" s="36"/>
      <c r="K417" s="36"/>
      <c r="L417" s="36"/>
      <c r="M417" s="36"/>
      <c r="N417" s="36"/>
      <c r="O417" s="36"/>
      <c r="P417" s="36"/>
      <c r="Q417" s="36"/>
      <c r="R417" s="36"/>
      <c r="S417" s="36"/>
      <c r="T417" s="36"/>
      <c r="U417" s="36"/>
      <c r="V417" s="36"/>
      <c r="W417" s="36"/>
      <c r="X417" s="36"/>
      <c r="Y417" s="36"/>
      <c r="Z417" s="36"/>
      <c r="AA417" s="36"/>
      <c r="AB417" s="36"/>
    </row>
    <row r="418" spans="1:28" ht="24" hidden="1" customHeight="1">
      <c r="A418" s="207" t="s">
        <v>1025</v>
      </c>
      <c r="B418" s="206">
        <v>2011</v>
      </c>
      <c r="C418" s="117" t="s">
        <v>61</v>
      </c>
      <c r="D418" s="195" t="s">
        <v>1026</v>
      </c>
      <c r="E418" s="117" t="s">
        <v>41</v>
      </c>
      <c r="F418" s="117" t="s">
        <v>42</v>
      </c>
      <c r="G418" s="193" t="s">
        <v>43</v>
      </c>
      <c r="H418" s="117" t="s">
        <v>976</v>
      </c>
      <c r="I418" s="35"/>
      <c r="J418" s="36"/>
      <c r="K418" s="36"/>
      <c r="L418" s="36"/>
      <c r="M418" s="36"/>
      <c r="N418" s="36"/>
      <c r="O418" s="36"/>
      <c r="P418" s="36"/>
      <c r="Q418" s="36"/>
      <c r="R418" s="36"/>
      <c r="S418" s="36"/>
      <c r="T418" s="36"/>
      <c r="U418" s="36"/>
      <c r="V418" s="36"/>
      <c r="W418" s="36"/>
      <c r="X418" s="36"/>
      <c r="Y418" s="36"/>
      <c r="Z418" s="36"/>
      <c r="AA418" s="36"/>
      <c r="AB418" s="36"/>
    </row>
    <row r="419" spans="1:28" ht="24" hidden="1" customHeight="1">
      <c r="A419" s="207" t="s">
        <v>1027</v>
      </c>
      <c r="B419" s="206">
        <v>2011</v>
      </c>
      <c r="C419" s="117" t="s">
        <v>61</v>
      </c>
      <c r="D419" s="195" t="s">
        <v>1028</v>
      </c>
      <c r="E419" s="117" t="s">
        <v>41</v>
      </c>
      <c r="F419" s="117" t="s">
        <v>42</v>
      </c>
      <c r="G419" s="193" t="s">
        <v>43</v>
      </c>
      <c r="H419" s="117" t="s">
        <v>976</v>
      </c>
      <c r="I419" s="35"/>
      <c r="J419" s="36"/>
      <c r="K419" s="36"/>
      <c r="L419" s="36"/>
      <c r="M419" s="36"/>
      <c r="N419" s="36"/>
      <c r="O419" s="36"/>
      <c r="P419" s="36"/>
      <c r="Q419" s="36"/>
      <c r="R419" s="36"/>
      <c r="S419" s="36"/>
      <c r="T419" s="36"/>
      <c r="U419" s="36"/>
      <c r="V419" s="36"/>
      <c r="W419" s="36"/>
      <c r="X419" s="36"/>
      <c r="Y419" s="36"/>
      <c r="Z419" s="36"/>
      <c r="AA419" s="36"/>
      <c r="AB419" s="36"/>
    </row>
    <row r="420" spans="1:28" ht="48" hidden="1" customHeight="1">
      <c r="A420" s="207" t="s">
        <v>1029</v>
      </c>
      <c r="B420" s="206">
        <v>2011</v>
      </c>
      <c r="C420" s="117" t="s">
        <v>61</v>
      </c>
      <c r="D420" s="195" t="s">
        <v>1030</v>
      </c>
      <c r="E420" s="117" t="s">
        <v>41</v>
      </c>
      <c r="F420" s="117" t="s">
        <v>42</v>
      </c>
      <c r="G420" s="193" t="s">
        <v>43</v>
      </c>
      <c r="H420" s="117" t="s">
        <v>976</v>
      </c>
      <c r="I420" s="35"/>
      <c r="J420" s="36"/>
      <c r="K420" s="36"/>
      <c r="L420" s="36"/>
      <c r="M420" s="36"/>
      <c r="N420" s="36"/>
      <c r="O420" s="36"/>
      <c r="P420" s="36"/>
      <c r="Q420" s="36"/>
      <c r="R420" s="36"/>
      <c r="S420" s="36"/>
      <c r="T420" s="36"/>
      <c r="U420" s="36"/>
      <c r="V420" s="36"/>
      <c r="W420" s="36"/>
      <c r="X420" s="36"/>
      <c r="Y420" s="36"/>
      <c r="Z420" s="36"/>
      <c r="AA420" s="36"/>
      <c r="AB420" s="36"/>
    </row>
    <row r="421" spans="1:28" ht="41.25" hidden="1" customHeight="1">
      <c r="A421" s="207" t="s">
        <v>1031</v>
      </c>
      <c r="B421" s="206">
        <v>2011</v>
      </c>
      <c r="C421" s="117" t="s">
        <v>61</v>
      </c>
      <c r="D421" s="195" t="s">
        <v>1032</v>
      </c>
      <c r="E421" s="117" t="s">
        <v>41</v>
      </c>
      <c r="F421" s="117" t="s">
        <v>42</v>
      </c>
      <c r="G421" s="193" t="s">
        <v>43</v>
      </c>
      <c r="H421" s="117" t="s">
        <v>976</v>
      </c>
      <c r="I421" s="35"/>
      <c r="J421" s="36"/>
      <c r="K421" s="36"/>
      <c r="L421" s="36"/>
      <c r="M421" s="36"/>
      <c r="N421" s="36"/>
      <c r="O421" s="36"/>
      <c r="P421" s="36"/>
      <c r="Q421" s="36"/>
      <c r="R421" s="36"/>
      <c r="S421" s="36"/>
      <c r="T421" s="36"/>
      <c r="U421" s="36"/>
      <c r="V421" s="36"/>
      <c r="W421" s="36"/>
      <c r="X421" s="36"/>
      <c r="Y421" s="36"/>
      <c r="Z421" s="36"/>
      <c r="AA421" s="36"/>
      <c r="AB421" s="36"/>
    </row>
    <row r="422" spans="1:28" ht="36" hidden="1" customHeight="1">
      <c r="A422" s="207" t="s">
        <v>1033</v>
      </c>
      <c r="B422" s="206">
        <v>2011</v>
      </c>
      <c r="C422" s="117" t="s">
        <v>61</v>
      </c>
      <c r="D422" s="195" t="s">
        <v>1034</v>
      </c>
      <c r="E422" s="117" t="s">
        <v>41</v>
      </c>
      <c r="F422" s="117" t="s">
        <v>42</v>
      </c>
      <c r="G422" s="193" t="s">
        <v>43</v>
      </c>
      <c r="H422" s="117" t="s">
        <v>976</v>
      </c>
      <c r="I422" s="35"/>
      <c r="J422" s="36"/>
      <c r="K422" s="36"/>
      <c r="L422" s="36"/>
      <c r="M422" s="36"/>
      <c r="N422" s="36"/>
      <c r="O422" s="36"/>
      <c r="P422" s="36"/>
      <c r="Q422" s="36"/>
      <c r="R422" s="36"/>
      <c r="S422" s="36"/>
      <c r="T422" s="36"/>
      <c r="U422" s="36"/>
      <c r="V422" s="36"/>
      <c r="W422" s="36"/>
      <c r="X422" s="36"/>
      <c r="Y422" s="36"/>
      <c r="Z422" s="36"/>
      <c r="AA422" s="36"/>
      <c r="AB422" s="36"/>
    </row>
    <row r="423" spans="1:28" ht="120" hidden="1" customHeight="1">
      <c r="A423" s="207" t="s">
        <v>1035</v>
      </c>
      <c r="B423" s="206">
        <v>2012</v>
      </c>
      <c r="C423" s="117" t="s">
        <v>57</v>
      </c>
      <c r="D423" s="195" t="s">
        <v>1036</v>
      </c>
      <c r="E423" s="117" t="s">
        <v>1037</v>
      </c>
      <c r="F423" s="117" t="s">
        <v>1038</v>
      </c>
      <c r="G423" s="193" t="s">
        <v>43</v>
      </c>
      <c r="H423" s="117" t="s">
        <v>976</v>
      </c>
      <c r="I423" s="35"/>
      <c r="J423" s="36"/>
      <c r="K423" s="36"/>
      <c r="L423" s="36"/>
      <c r="M423" s="36"/>
      <c r="N423" s="36"/>
      <c r="O423" s="36"/>
      <c r="P423" s="36"/>
      <c r="Q423" s="36"/>
      <c r="R423" s="36"/>
      <c r="S423" s="36"/>
      <c r="T423" s="36"/>
      <c r="U423" s="36"/>
      <c r="V423" s="36"/>
      <c r="W423" s="36"/>
      <c r="X423" s="36"/>
      <c r="Y423" s="36"/>
      <c r="Z423" s="36"/>
      <c r="AA423" s="36"/>
      <c r="AB423" s="36"/>
    </row>
    <row r="424" spans="1:28" ht="125.25" hidden="1" customHeight="1">
      <c r="A424" s="207" t="s">
        <v>1039</v>
      </c>
      <c r="B424" s="206">
        <v>2012</v>
      </c>
      <c r="C424" s="117" t="s">
        <v>57</v>
      </c>
      <c r="D424" s="195" t="s">
        <v>1040</v>
      </c>
      <c r="E424" s="117" t="s">
        <v>41</v>
      </c>
      <c r="F424" s="117" t="s">
        <v>42</v>
      </c>
      <c r="G424" s="193" t="s">
        <v>43</v>
      </c>
      <c r="H424" s="117" t="s">
        <v>976</v>
      </c>
      <c r="I424" s="35"/>
      <c r="J424" s="36"/>
      <c r="K424" s="36"/>
      <c r="L424" s="36"/>
      <c r="M424" s="36"/>
      <c r="N424" s="36"/>
      <c r="O424" s="36"/>
      <c r="P424" s="36"/>
      <c r="Q424" s="36"/>
      <c r="R424" s="36"/>
      <c r="S424" s="36"/>
      <c r="T424" s="36"/>
      <c r="U424" s="36"/>
      <c r="V424" s="36"/>
      <c r="W424" s="36"/>
      <c r="X424" s="36"/>
      <c r="Y424" s="36"/>
      <c r="Z424" s="36"/>
      <c r="AA424" s="36"/>
      <c r="AB424" s="36"/>
    </row>
    <row r="425" spans="1:28" ht="45.75" hidden="1" customHeight="1">
      <c r="A425" s="207" t="s">
        <v>824</v>
      </c>
      <c r="B425" s="206">
        <v>2012</v>
      </c>
      <c r="C425" s="117" t="s">
        <v>57</v>
      </c>
      <c r="D425" s="195" t="s">
        <v>825</v>
      </c>
      <c r="E425" s="117" t="s">
        <v>41</v>
      </c>
      <c r="F425" s="117" t="s">
        <v>42</v>
      </c>
      <c r="G425" s="193" t="s">
        <v>43</v>
      </c>
      <c r="H425" s="117" t="s">
        <v>976</v>
      </c>
      <c r="I425" s="35"/>
      <c r="J425" s="36"/>
      <c r="K425" s="36"/>
      <c r="L425" s="36"/>
      <c r="M425" s="36"/>
      <c r="N425" s="36"/>
      <c r="O425" s="36"/>
      <c r="P425" s="36"/>
      <c r="Q425" s="36"/>
      <c r="R425" s="36"/>
      <c r="S425" s="36"/>
      <c r="T425" s="36"/>
      <c r="U425" s="36"/>
      <c r="V425" s="36"/>
      <c r="W425" s="36"/>
      <c r="X425" s="36"/>
      <c r="Y425" s="36"/>
      <c r="Z425" s="36"/>
      <c r="AA425" s="36"/>
      <c r="AB425" s="36"/>
    </row>
    <row r="426" spans="1:28" ht="55.5" hidden="1" customHeight="1">
      <c r="A426" s="207" t="s">
        <v>1041</v>
      </c>
      <c r="B426" s="206">
        <v>2013</v>
      </c>
      <c r="C426" s="117" t="s">
        <v>61</v>
      </c>
      <c r="D426" s="195" t="s">
        <v>1042</v>
      </c>
      <c r="E426" s="117" t="s">
        <v>41</v>
      </c>
      <c r="F426" s="117" t="s">
        <v>42</v>
      </c>
      <c r="G426" s="193"/>
      <c r="H426" s="117"/>
      <c r="I426" s="35"/>
      <c r="J426" s="36"/>
      <c r="K426" s="36"/>
      <c r="L426" s="36"/>
      <c r="M426" s="36"/>
      <c r="N426" s="36"/>
      <c r="O426" s="36"/>
      <c r="P426" s="36"/>
      <c r="Q426" s="36"/>
      <c r="R426" s="36"/>
      <c r="S426" s="36"/>
      <c r="T426" s="36"/>
      <c r="U426" s="36"/>
      <c r="V426" s="36"/>
      <c r="W426" s="36"/>
      <c r="X426" s="36"/>
      <c r="Y426" s="36"/>
      <c r="Z426" s="36"/>
      <c r="AA426" s="36"/>
      <c r="AB426" s="36"/>
    </row>
    <row r="427" spans="1:28" ht="63.75" hidden="1" customHeight="1">
      <c r="A427" s="207" t="s">
        <v>1043</v>
      </c>
      <c r="B427" s="206">
        <v>2013</v>
      </c>
      <c r="C427" s="117" t="s">
        <v>61</v>
      </c>
      <c r="D427" s="195" t="s">
        <v>1044</v>
      </c>
      <c r="E427" s="117" t="s">
        <v>41</v>
      </c>
      <c r="F427" s="117" t="s">
        <v>42</v>
      </c>
      <c r="G427" s="193" t="s">
        <v>43</v>
      </c>
      <c r="H427" s="117" t="s">
        <v>976</v>
      </c>
      <c r="I427" s="35"/>
      <c r="J427" s="36"/>
      <c r="K427" s="36"/>
      <c r="L427" s="36"/>
      <c r="M427" s="36"/>
      <c r="N427" s="36"/>
      <c r="O427" s="36"/>
      <c r="P427" s="36"/>
      <c r="Q427" s="36"/>
      <c r="R427" s="36"/>
      <c r="S427" s="36"/>
      <c r="T427" s="36"/>
      <c r="U427" s="36"/>
      <c r="V427" s="36"/>
      <c r="W427" s="36"/>
      <c r="X427" s="36"/>
      <c r="Y427" s="36"/>
      <c r="Z427" s="36"/>
      <c r="AA427" s="36"/>
      <c r="AB427" s="36"/>
    </row>
    <row r="428" spans="1:28" ht="77.25" hidden="1" customHeight="1">
      <c r="A428" s="207" t="s">
        <v>1045</v>
      </c>
      <c r="B428" s="206">
        <v>2014</v>
      </c>
      <c r="C428" s="117" t="s">
        <v>61</v>
      </c>
      <c r="D428" s="195" t="s">
        <v>1046</v>
      </c>
      <c r="E428" s="117" t="s">
        <v>41</v>
      </c>
      <c r="F428" s="117" t="s">
        <v>42</v>
      </c>
      <c r="G428" s="193" t="s">
        <v>43</v>
      </c>
      <c r="H428" s="117" t="s">
        <v>976</v>
      </c>
      <c r="I428" s="35"/>
      <c r="J428" s="36"/>
      <c r="K428" s="36"/>
      <c r="L428" s="36"/>
      <c r="M428" s="36"/>
      <c r="N428" s="36"/>
      <c r="O428" s="36"/>
      <c r="P428" s="36"/>
      <c r="Q428" s="36"/>
      <c r="R428" s="36"/>
      <c r="S428" s="36"/>
      <c r="T428" s="36"/>
      <c r="U428" s="36"/>
      <c r="V428" s="36"/>
      <c r="W428" s="36"/>
      <c r="X428" s="36"/>
      <c r="Y428" s="36"/>
      <c r="Z428" s="36"/>
      <c r="AA428" s="36"/>
      <c r="AB428" s="36"/>
    </row>
    <row r="429" spans="1:28" ht="59.25" hidden="1" customHeight="1">
      <c r="A429" s="207" t="s">
        <v>1047</v>
      </c>
      <c r="B429" s="206">
        <v>2015</v>
      </c>
      <c r="C429" s="117" t="s">
        <v>61</v>
      </c>
      <c r="D429" s="195" t="s">
        <v>1048</v>
      </c>
      <c r="E429" s="117" t="s">
        <v>41</v>
      </c>
      <c r="F429" s="117" t="s">
        <v>42</v>
      </c>
      <c r="G429" s="193" t="s">
        <v>43</v>
      </c>
      <c r="H429" s="117" t="s">
        <v>976</v>
      </c>
      <c r="I429" s="35"/>
      <c r="J429" s="36"/>
      <c r="K429" s="36"/>
      <c r="L429" s="36"/>
      <c r="M429" s="36"/>
      <c r="N429" s="36"/>
      <c r="O429" s="36"/>
      <c r="P429" s="36"/>
      <c r="Q429" s="36"/>
      <c r="R429" s="36"/>
      <c r="S429" s="36"/>
      <c r="T429" s="36"/>
      <c r="U429" s="36"/>
      <c r="V429" s="36"/>
      <c r="W429" s="36"/>
      <c r="X429" s="36"/>
      <c r="Y429" s="36"/>
      <c r="Z429" s="36"/>
      <c r="AA429" s="36"/>
      <c r="AB429" s="36"/>
    </row>
    <row r="430" spans="1:28" ht="48.75" hidden="1" customHeight="1">
      <c r="A430" s="207" t="s">
        <v>1049</v>
      </c>
      <c r="B430" s="206">
        <v>2017</v>
      </c>
      <c r="C430" s="117" t="s">
        <v>61</v>
      </c>
      <c r="D430" s="195" t="s">
        <v>1050</v>
      </c>
      <c r="E430" s="117" t="s">
        <v>41</v>
      </c>
      <c r="F430" s="117" t="s">
        <v>42</v>
      </c>
      <c r="G430" s="193" t="s">
        <v>43</v>
      </c>
      <c r="H430" s="117" t="s">
        <v>976</v>
      </c>
      <c r="I430" s="35"/>
      <c r="J430" s="36"/>
      <c r="K430" s="36"/>
      <c r="L430" s="36"/>
      <c r="M430" s="36"/>
      <c r="N430" s="36"/>
      <c r="O430" s="36"/>
      <c r="P430" s="36"/>
      <c r="Q430" s="36"/>
      <c r="R430" s="36"/>
      <c r="S430" s="36"/>
      <c r="T430" s="36"/>
      <c r="U430" s="36"/>
      <c r="V430" s="36"/>
      <c r="W430" s="36"/>
      <c r="X430" s="36"/>
      <c r="Y430" s="36"/>
      <c r="Z430" s="36"/>
      <c r="AA430" s="36"/>
      <c r="AB430" s="36"/>
    </row>
    <row r="431" spans="1:28" ht="96" hidden="1" customHeight="1">
      <c r="A431" s="207" t="s">
        <v>1051</v>
      </c>
      <c r="B431" s="206">
        <v>2015</v>
      </c>
      <c r="C431" s="117" t="s">
        <v>57</v>
      </c>
      <c r="D431" s="195" t="s">
        <v>1052</v>
      </c>
      <c r="E431" s="117" t="s">
        <v>1053</v>
      </c>
      <c r="F431" s="117" t="s">
        <v>1054</v>
      </c>
      <c r="G431" s="193" t="s">
        <v>43</v>
      </c>
      <c r="H431" s="117" t="s">
        <v>976</v>
      </c>
      <c r="I431" s="35"/>
      <c r="J431" s="36"/>
      <c r="K431" s="36"/>
      <c r="L431" s="36"/>
      <c r="M431" s="36"/>
      <c r="N431" s="36"/>
      <c r="O431" s="36"/>
      <c r="P431" s="36"/>
      <c r="Q431" s="36"/>
      <c r="R431" s="36"/>
      <c r="S431" s="36"/>
      <c r="T431" s="36"/>
      <c r="U431" s="36"/>
      <c r="V431" s="36"/>
      <c r="W431" s="36"/>
      <c r="X431" s="36"/>
      <c r="Y431" s="36"/>
      <c r="Z431" s="36"/>
      <c r="AA431" s="36"/>
      <c r="AB431" s="36"/>
    </row>
    <row r="432" spans="1:28" ht="81.75" hidden="1" customHeight="1">
      <c r="A432" s="207" t="s">
        <v>1055</v>
      </c>
      <c r="B432" s="206">
        <v>2017</v>
      </c>
      <c r="C432" s="117" t="s">
        <v>61</v>
      </c>
      <c r="D432" s="195" t="s">
        <v>1056</v>
      </c>
      <c r="E432" s="117" t="s">
        <v>41</v>
      </c>
      <c r="F432" s="117" t="s">
        <v>42</v>
      </c>
      <c r="G432" s="193" t="s">
        <v>43</v>
      </c>
      <c r="H432" s="117" t="s">
        <v>976</v>
      </c>
      <c r="I432" s="35"/>
      <c r="J432" s="36"/>
      <c r="K432" s="36"/>
      <c r="L432" s="36"/>
      <c r="M432" s="36"/>
      <c r="N432" s="36"/>
      <c r="O432" s="36"/>
      <c r="P432" s="36"/>
      <c r="Q432" s="36"/>
      <c r="R432" s="36"/>
      <c r="S432" s="36"/>
      <c r="T432" s="36"/>
      <c r="U432" s="36"/>
      <c r="V432" s="36"/>
      <c r="W432" s="36"/>
      <c r="X432" s="36"/>
      <c r="Y432" s="36"/>
      <c r="Z432" s="36"/>
      <c r="AA432" s="36"/>
      <c r="AB432" s="36"/>
    </row>
    <row r="433" spans="1:28" ht="72" hidden="1" customHeight="1">
      <c r="A433" s="207" t="s">
        <v>1057</v>
      </c>
      <c r="B433" s="206">
        <v>2017</v>
      </c>
      <c r="C433" s="117" t="s">
        <v>647</v>
      </c>
      <c r="D433" s="195" t="s">
        <v>1058</v>
      </c>
      <c r="E433" s="117" t="s">
        <v>1059</v>
      </c>
      <c r="F433" s="117" t="s">
        <v>1060</v>
      </c>
      <c r="G433" s="193" t="s">
        <v>43</v>
      </c>
      <c r="H433" s="117" t="s">
        <v>976</v>
      </c>
      <c r="I433" s="35"/>
      <c r="J433" s="36"/>
      <c r="K433" s="36"/>
      <c r="L433" s="36"/>
      <c r="M433" s="36"/>
      <c r="N433" s="36"/>
      <c r="O433" s="36"/>
      <c r="P433" s="36"/>
      <c r="Q433" s="36"/>
      <c r="R433" s="36"/>
      <c r="S433" s="36"/>
      <c r="T433" s="36"/>
      <c r="U433" s="36"/>
      <c r="V433" s="36"/>
      <c r="W433" s="36"/>
      <c r="X433" s="36"/>
      <c r="Y433" s="36"/>
      <c r="Z433" s="36"/>
      <c r="AA433" s="36"/>
      <c r="AB433" s="36"/>
    </row>
    <row r="434" spans="1:28" ht="84" hidden="1" customHeight="1">
      <c r="A434" s="207" t="s">
        <v>1061</v>
      </c>
      <c r="B434" s="206">
        <v>2018</v>
      </c>
      <c r="C434" s="117" t="s">
        <v>61</v>
      </c>
      <c r="D434" s="195" t="s">
        <v>1062</v>
      </c>
      <c r="E434" s="117" t="s">
        <v>1063</v>
      </c>
      <c r="F434" s="117" t="s">
        <v>1064</v>
      </c>
      <c r="G434" s="193" t="s">
        <v>43</v>
      </c>
      <c r="H434" s="117" t="s">
        <v>976</v>
      </c>
      <c r="I434" s="35"/>
      <c r="J434" s="36"/>
      <c r="K434" s="36"/>
      <c r="L434" s="36"/>
      <c r="M434" s="36"/>
      <c r="N434" s="36"/>
      <c r="O434" s="36"/>
      <c r="P434" s="36"/>
      <c r="Q434" s="36"/>
      <c r="R434" s="36"/>
      <c r="S434" s="36"/>
      <c r="T434" s="36"/>
      <c r="U434" s="36"/>
      <c r="V434" s="36"/>
      <c r="W434" s="36"/>
      <c r="X434" s="36"/>
      <c r="Y434" s="36"/>
      <c r="Z434" s="36"/>
      <c r="AA434" s="36"/>
      <c r="AB434" s="36"/>
    </row>
    <row r="435" spans="1:28" ht="82.5" hidden="1" customHeight="1">
      <c r="A435" s="212" t="s">
        <v>1065</v>
      </c>
      <c r="B435" s="206">
        <v>2018</v>
      </c>
      <c r="C435" s="117" t="s">
        <v>57</v>
      </c>
      <c r="D435" s="195" t="s">
        <v>1066</v>
      </c>
      <c r="E435" s="117" t="s">
        <v>41</v>
      </c>
      <c r="F435" s="117" t="s">
        <v>42</v>
      </c>
      <c r="G435" s="193"/>
      <c r="H435" s="117"/>
      <c r="I435" s="35"/>
      <c r="J435" s="36"/>
      <c r="K435" s="36"/>
      <c r="L435" s="36"/>
      <c r="M435" s="36"/>
      <c r="N435" s="36"/>
      <c r="O435" s="36"/>
      <c r="P435" s="36"/>
      <c r="Q435" s="36"/>
      <c r="R435" s="36"/>
      <c r="S435" s="36"/>
      <c r="T435" s="36"/>
      <c r="U435" s="36"/>
      <c r="V435" s="36"/>
      <c r="W435" s="36"/>
      <c r="X435" s="36"/>
      <c r="Y435" s="36"/>
      <c r="Z435" s="36"/>
      <c r="AA435" s="36"/>
      <c r="AB435" s="36"/>
    </row>
    <row r="436" spans="1:28" ht="60" hidden="1" customHeight="1">
      <c r="A436" s="199" t="s">
        <v>858</v>
      </c>
      <c r="B436" s="194">
        <v>1994</v>
      </c>
      <c r="C436" s="117" t="s">
        <v>195</v>
      </c>
      <c r="D436" s="195" t="s">
        <v>859</v>
      </c>
      <c r="E436" s="117" t="s">
        <v>41</v>
      </c>
      <c r="F436" s="117" t="s">
        <v>42</v>
      </c>
      <c r="G436" s="193" t="s">
        <v>43</v>
      </c>
      <c r="H436" s="117" t="s">
        <v>976</v>
      </c>
      <c r="I436" s="35"/>
      <c r="J436" s="36"/>
      <c r="K436" s="36"/>
      <c r="L436" s="36"/>
      <c r="M436" s="36"/>
      <c r="N436" s="36"/>
      <c r="O436" s="36"/>
      <c r="P436" s="36"/>
      <c r="Q436" s="36"/>
      <c r="R436" s="36"/>
      <c r="S436" s="36"/>
      <c r="T436" s="36"/>
      <c r="U436" s="36"/>
      <c r="V436" s="36"/>
      <c r="W436" s="36"/>
      <c r="X436" s="36"/>
      <c r="Y436" s="36"/>
      <c r="Z436" s="36"/>
      <c r="AA436" s="36"/>
      <c r="AB436" s="36"/>
    </row>
    <row r="437" spans="1:28" ht="65.25" hidden="1" customHeight="1">
      <c r="A437" s="199" t="s">
        <v>868</v>
      </c>
      <c r="B437" s="194">
        <v>2002</v>
      </c>
      <c r="C437" s="117" t="s">
        <v>195</v>
      </c>
      <c r="D437" s="195" t="s">
        <v>869</v>
      </c>
      <c r="E437" s="117" t="s">
        <v>41</v>
      </c>
      <c r="F437" s="117" t="s">
        <v>42</v>
      </c>
      <c r="G437" s="193" t="s">
        <v>43</v>
      </c>
      <c r="H437" s="117" t="s">
        <v>976</v>
      </c>
      <c r="I437" s="35"/>
      <c r="J437" s="36"/>
      <c r="K437" s="36"/>
      <c r="L437" s="36"/>
      <c r="M437" s="36"/>
      <c r="N437" s="36"/>
      <c r="O437" s="36"/>
      <c r="P437" s="36"/>
      <c r="Q437" s="36"/>
      <c r="R437" s="36"/>
      <c r="S437" s="36"/>
      <c r="T437" s="36"/>
      <c r="U437" s="36"/>
      <c r="V437" s="36"/>
      <c r="W437" s="36"/>
      <c r="X437" s="36"/>
      <c r="Y437" s="36"/>
      <c r="Z437" s="36"/>
      <c r="AA437" s="36"/>
      <c r="AB437" s="36"/>
    </row>
    <row r="438" spans="1:28" ht="52.5" hidden="1" customHeight="1">
      <c r="A438" s="199" t="s">
        <v>870</v>
      </c>
      <c r="B438" s="194">
        <v>2003</v>
      </c>
      <c r="C438" s="117" t="s">
        <v>195</v>
      </c>
      <c r="D438" s="195" t="s">
        <v>871</v>
      </c>
      <c r="E438" s="117" t="s">
        <v>1067</v>
      </c>
      <c r="F438" s="117" t="s">
        <v>1067</v>
      </c>
      <c r="G438" s="193" t="s">
        <v>43</v>
      </c>
      <c r="H438" s="117" t="s">
        <v>976</v>
      </c>
      <c r="I438" s="35"/>
      <c r="J438" s="36"/>
      <c r="K438" s="36"/>
      <c r="L438" s="36"/>
      <c r="M438" s="36"/>
      <c r="N438" s="36"/>
      <c r="O438" s="36"/>
      <c r="P438" s="36"/>
      <c r="Q438" s="36"/>
      <c r="R438" s="36"/>
      <c r="S438" s="36"/>
      <c r="T438" s="36"/>
      <c r="U438" s="36"/>
      <c r="V438" s="36"/>
      <c r="W438" s="36"/>
      <c r="X438" s="36"/>
      <c r="Y438" s="36"/>
      <c r="Z438" s="36"/>
      <c r="AA438" s="36"/>
      <c r="AB438" s="36"/>
    </row>
    <row r="439" spans="1:28" ht="46.5" hidden="1" customHeight="1">
      <c r="A439" s="199" t="s">
        <v>1068</v>
      </c>
      <c r="B439" s="194">
        <v>2005</v>
      </c>
      <c r="C439" s="117" t="s">
        <v>195</v>
      </c>
      <c r="D439" s="195" t="s">
        <v>1069</v>
      </c>
      <c r="E439" s="117" t="s">
        <v>41</v>
      </c>
      <c r="F439" s="117" t="s">
        <v>42</v>
      </c>
      <c r="G439" s="193" t="s">
        <v>43</v>
      </c>
      <c r="H439" s="117" t="s">
        <v>976</v>
      </c>
      <c r="I439" s="35"/>
      <c r="J439" s="36"/>
      <c r="K439" s="36"/>
      <c r="L439" s="36"/>
      <c r="M439" s="36"/>
      <c r="N439" s="36"/>
      <c r="O439" s="36"/>
      <c r="P439" s="36"/>
      <c r="Q439" s="36"/>
      <c r="R439" s="36"/>
      <c r="S439" s="36"/>
      <c r="T439" s="36"/>
      <c r="U439" s="36"/>
      <c r="V439" s="36"/>
      <c r="W439" s="36"/>
      <c r="X439" s="36"/>
      <c r="Y439" s="36"/>
      <c r="Z439" s="36"/>
      <c r="AA439" s="36"/>
      <c r="AB439" s="36"/>
    </row>
    <row r="440" spans="1:28" ht="56.25" hidden="1" customHeight="1">
      <c r="A440" s="199" t="s">
        <v>872</v>
      </c>
      <c r="B440" s="194">
        <v>2005</v>
      </c>
      <c r="C440" s="117" t="s">
        <v>195</v>
      </c>
      <c r="D440" s="195" t="s">
        <v>1070</v>
      </c>
      <c r="E440" s="117" t="s">
        <v>41</v>
      </c>
      <c r="F440" s="117" t="s">
        <v>42</v>
      </c>
      <c r="G440" s="193" t="s">
        <v>43</v>
      </c>
      <c r="H440" s="117" t="s">
        <v>976</v>
      </c>
      <c r="I440" s="35"/>
      <c r="J440" s="36"/>
      <c r="K440" s="36"/>
      <c r="L440" s="36"/>
      <c r="M440" s="36"/>
      <c r="N440" s="36"/>
      <c r="O440" s="36"/>
      <c r="P440" s="36"/>
      <c r="Q440" s="36"/>
      <c r="R440" s="36"/>
      <c r="S440" s="36"/>
      <c r="T440" s="36"/>
      <c r="U440" s="36"/>
      <c r="V440" s="36"/>
      <c r="W440" s="36"/>
      <c r="X440" s="36"/>
      <c r="Y440" s="36"/>
      <c r="Z440" s="36"/>
      <c r="AA440" s="36"/>
      <c r="AB440" s="36"/>
    </row>
    <row r="441" spans="1:28" ht="70.5" hidden="1" customHeight="1">
      <c r="A441" s="199" t="s">
        <v>878</v>
      </c>
      <c r="B441" s="194">
        <v>2015</v>
      </c>
      <c r="C441" s="117" t="s">
        <v>195</v>
      </c>
      <c r="D441" s="195" t="s">
        <v>1071</v>
      </c>
      <c r="E441" s="117" t="s">
        <v>41</v>
      </c>
      <c r="F441" s="117" t="s">
        <v>42</v>
      </c>
      <c r="G441" s="193" t="s">
        <v>43</v>
      </c>
      <c r="H441" s="117" t="s">
        <v>976</v>
      </c>
      <c r="I441" s="35"/>
      <c r="J441" s="36"/>
      <c r="K441" s="36"/>
      <c r="L441" s="36"/>
      <c r="M441" s="36"/>
      <c r="N441" s="36"/>
      <c r="O441" s="36"/>
      <c r="P441" s="36"/>
      <c r="Q441" s="36"/>
      <c r="R441" s="36"/>
      <c r="S441" s="36"/>
      <c r="T441" s="36"/>
      <c r="U441" s="36"/>
      <c r="V441" s="36"/>
      <c r="W441" s="36"/>
      <c r="X441" s="36"/>
      <c r="Y441" s="36"/>
      <c r="Z441" s="36"/>
      <c r="AA441" s="36"/>
      <c r="AB441" s="36"/>
    </row>
    <row r="442" spans="1:28" ht="64.5" hidden="1" customHeight="1">
      <c r="A442" s="199" t="s">
        <v>880</v>
      </c>
      <c r="B442" s="194">
        <v>2016</v>
      </c>
      <c r="C442" s="117" t="s">
        <v>195</v>
      </c>
      <c r="D442" s="195" t="s">
        <v>1072</v>
      </c>
      <c r="E442" s="117" t="s">
        <v>41</v>
      </c>
      <c r="F442" s="117" t="s">
        <v>42</v>
      </c>
      <c r="G442" s="193" t="s">
        <v>43</v>
      </c>
      <c r="H442" s="117" t="s">
        <v>976</v>
      </c>
      <c r="I442" s="35"/>
      <c r="J442" s="36"/>
      <c r="K442" s="36"/>
      <c r="L442" s="36"/>
      <c r="M442" s="36"/>
      <c r="N442" s="36"/>
      <c r="O442" s="36"/>
      <c r="P442" s="36"/>
      <c r="Q442" s="36"/>
      <c r="R442" s="36"/>
      <c r="S442" s="36"/>
      <c r="T442" s="36"/>
      <c r="U442" s="36"/>
      <c r="V442" s="36"/>
      <c r="W442" s="36"/>
      <c r="X442" s="36"/>
      <c r="Y442" s="36"/>
      <c r="Z442" s="36"/>
      <c r="AA442" s="36"/>
      <c r="AB442" s="36"/>
    </row>
    <row r="443" spans="1:28" ht="105" hidden="1" customHeight="1">
      <c r="A443" s="205" t="s">
        <v>1073</v>
      </c>
      <c r="B443" s="206">
        <v>2012</v>
      </c>
      <c r="C443" s="117" t="s">
        <v>1074</v>
      </c>
      <c r="D443" s="195" t="s">
        <v>1075</v>
      </c>
      <c r="E443" s="117" t="s">
        <v>41</v>
      </c>
      <c r="F443" s="117" t="s">
        <v>42</v>
      </c>
      <c r="G443" s="193" t="s">
        <v>43</v>
      </c>
      <c r="H443" s="117" t="s">
        <v>976</v>
      </c>
      <c r="I443" s="35"/>
      <c r="J443" s="36"/>
      <c r="K443" s="36"/>
      <c r="L443" s="36"/>
      <c r="M443" s="36"/>
      <c r="N443" s="36"/>
      <c r="O443" s="36"/>
      <c r="P443" s="36"/>
      <c r="Q443" s="36"/>
      <c r="R443" s="36"/>
      <c r="S443" s="36"/>
      <c r="T443" s="36"/>
      <c r="U443" s="36"/>
      <c r="V443" s="36"/>
      <c r="W443" s="36"/>
      <c r="X443" s="36"/>
      <c r="Y443" s="36"/>
      <c r="Z443" s="36"/>
      <c r="AA443" s="36"/>
      <c r="AB443" s="36"/>
    </row>
    <row r="444" spans="1:28" ht="85.5" hidden="1" customHeight="1">
      <c r="A444" s="207" t="s">
        <v>1076</v>
      </c>
      <c r="B444" s="206">
        <v>2013</v>
      </c>
      <c r="C444" s="117" t="s">
        <v>1074</v>
      </c>
      <c r="D444" s="195" t="s">
        <v>1077</v>
      </c>
      <c r="E444" s="117" t="s">
        <v>41</v>
      </c>
      <c r="F444" s="117" t="s">
        <v>42</v>
      </c>
      <c r="G444" s="193" t="s">
        <v>43</v>
      </c>
      <c r="H444" s="117" t="s">
        <v>976</v>
      </c>
      <c r="I444" s="35"/>
      <c r="J444" s="36"/>
      <c r="K444" s="36"/>
      <c r="L444" s="36"/>
      <c r="M444" s="36"/>
      <c r="N444" s="36"/>
      <c r="O444" s="36"/>
      <c r="P444" s="36"/>
      <c r="Q444" s="36"/>
      <c r="R444" s="36"/>
      <c r="S444" s="36"/>
      <c r="T444" s="36"/>
      <c r="U444" s="36"/>
      <c r="V444" s="36"/>
      <c r="W444" s="36"/>
      <c r="X444" s="36"/>
      <c r="Y444" s="36"/>
      <c r="Z444" s="36"/>
      <c r="AA444" s="36"/>
      <c r="AB444" s="36"/>
    </row>
    <row r="445" spans="1:28" ht="68.25" hidden="1" customHeight="1">
      <c r="A445" s="207" t="s">
        <v>1078</v>
      </c>
      <c r="B445" s="206">
        <v>2013</v>
      </c>
      <c r="C445" s="117" t="s">
        <v>61</v>
      </c>
      <c r="D445" s="195" t="s">
        <v>1079</v>
      </c>
      <c r="E445" s="117" t="s">
        <v>41</v>
      </c>
      <c r="F445" s="117" t="s">
        <v>42</v>
      </c>
      <c r="G445" s="193" t="s">
        <v>43</v>
      </c>
      <c r="H445" s="117" t="s">
        <v>976</v>
      </c>
      <c r="I445" s="35"/>
      <c r="J445" s="36"/>
      <c r="K445" s="36"/>
      <c r="L445" s="36"/>
      <c r="M445" s="36"/>
      <c r="N445" s="36"/>
      <c r="O445" s="36"/>
      <c r="P445" s="36"/>
      <c r="Q445" s="36"/>
      <c r="R445" s="36"/>
      <c r="S445" s="36"/>
      <c r="T445" s="36"/>
      <c r="U445" s="36"/>
      <c r="V445" s="36"/>
      <c r="W445" s="36"/>
      <c r="X445" s="36"/>
      <c r="Y445" s="36"/>
      <c r="Z445" s="36"/>
      <c r="AA445" s="36"/>
      <c r="AB445" s="36"/>
    </row>
    <row r="446" spans="1:28" ht="72.75" hidden="1" customHeight="1">
      <c r="A446" s="207" t="s">
        <v>962</v>
      </c>
      <c r="B446" s="206">
        <v>2016</v>
      </c>
      <c r="C446" s="117" t="s">
        <v>1080</v>
      </c>
      <c r="D446" s="195" t="s">
        <v>963</v>
      </c>
      <c r="E446" s="117" t="s">
        <v>41</v>
      </c>
      <c r="F446" s="117" t="s">
        <v>42</v>
      </c>
      <c r="G446" s="193" t="s">
        <v>43</v>
      </c>
      <c r="H446" s="117" t="s">
        <v>976</v>
      </c>
      <c r="I446" s="35"/>
      <c r="J446" s="36"/>
      <c r="K446" s="36"/>
      <c r="L446" s="36"/>
      <c r="M446" s="36"/>
      <c r="N446" s="36"/>
      <c r="O446" s="36"/>
      <c r="P446" s="36"/>
      <c r="Q446" s="36"/>
      <c r="R446" s="36"/>
      <c r="S446" s="36"/>
      <c r="T446" s="36"/>
      <c r="U446" s="36"/>
      <c r="V446" s="36"/>
      <c r="W446" s="36"/>
      <c r="X446" s="36"/>
      <c r="Y446" s="36"/>
      <c r="Z446" s="36"/>
      <c r="AA446" s="36"/>
      <c r="AB446" s="36"/>
    </row>
    <row r="447" spans="1:28" ht="74.25" hidden="1" customHeight="1">
      <c r="A447" s="207" t="s">
        <v>1081</v>
      </c>
      <c r="B447" s="206">
        <v>2017</v>
      </c>
      <c r="C447" s="117" t="s">
        <v>1082</v>
      </c>
      <c r="D447" s="195" t="s">
        <v>1083</v>
      </c>
      <c r="E447" s="117" t="s">
        <v>41</v>
      </c>
      <c r="F447" s="117" t="s">
        <v>42</v>
      </c>
      <c r="G447" s="193" t="s">
        <v>43</v>
      </c>
      <c r="H447" s="117" t="s">
        <v>976</v>
      </c>
      <c r="I447" s="35"/>
      <c r="J447" s="36"/>
      <c r="K447" s="36"/>
      <c r="L447" s="36"/>
      <c r="M447" s="36"/>
      <c r="N447" s="36"/>
      <c r="O447" s="36"/>
      <c r="P447" s="36"/>
      <c r="Q447" s="36"/>
      <c r="R447" s="36"/>
      <c r="S447" s="36"/>
      <c r="T447" s="36"/>
      <c r="U447" s="36"/>
      <c r="V447" s="36"/>
      <c r="W447" s="36"/>
      <c r="X447" s="36"/>
      <c r="Y447" s="36"/>
      <c r="Z447" s="36"/>
      <c r="AA447" s="36"/>
      <c r="AB447" s="36"/>
    </row>
    <row r="448" spans="1:28" ht="58.5" hidden="1" customHeight="1">
      <c r="A448" s="207" t="s">
        <v>1084</v>
      </c>
      <c r="B448" s="206">
        <v>2018</v>
      </c>
      <c r="C448" s="117" t="s">
        <v>1080</v>
      </c>
      <c r="D448" s="195" t="s">
        <v>1085</v>
      </c>
      <c r="E448" s="117" t="s">
        <v>41</v>
      </c>
      <c r="F448" s="117" t="s">
        <v>42</v>
      </c>
      <c r="G448" s="193" t="s">
        <v>43</v>
      </c>
      <c r="H448" s="117" t="s">
        <v>976</v>
      </c>
      <c r="I448" s="35"/>
      <c r="J448" s="36"/>
      <c r="K448" s="36"/>
      <c r="L448" s="36"/>
      <c r="M448" s="36"/>
      <c r="N448" s="36"/>
      <c r="O448" s="36"/>
      <c r="P448" s="36"/>
      <c r="Q448" s="36"/>
      <c r="R448" s="36"/>
      <c r="S448" s="36"/>
      <c r="T448" s="36"/>
      <c r="U448" s="36"/>
      <c r="V448" s="36"/>
      <c r="W448" s="36"/>
      <c r="X448" s="36"/>
      <c r="Y448" s="36"/>
      <c r="Z448" s="36"/>
      <c r="AA448" s="36"/>
      <c r="AB448" s="36"/>
    </row>
    <row r="449" spans="1:28" ht="42.75" hidden="1" customHeight="1">
      <c r="A449" s="207" t="s">
        <v>1086</v>
      </c>
      <c r="B449" s="206">
        <v>2019</v>
      </c>
      <c r="C449" s="117" t="s">
        <v>61</v>
      </c>
      <c r="D449" s="195" t="s">
        <v>1087</v>
      </c>
      <c r="E449" s="117" t="s">
        <v>41</v>
      </c>
      <c r="F449" s="117" t="s">
        <v>42</v>
      </c>
      <c r="G449" s="193"/>
      <c r="H449" s="117"/>
      <c r="I449" s="35"/>
      <c r="J449" s="36"/>
      <c r="K449" s="36"/>
      <c r="L449" s="36"/>
      <c r="M449" s="36"/>
      <c r="N449" s="36"/>
      <c r="O449" s="36"/>
      <c r="P449" s="36"/>
      <c r="Q449" s="36"/>
      <c r="R449" s="36"/>
      <c r="S449" s="36"/>
      <c r="T449" s="36"/>
      <c r="U449" s="36"/>
      <c r="V449" s="36"/>
      <c r="W449" s="36"/>
      <c r="X449" s="36"/>
      <c r="Y449" s="36"/>
      <c r="Z449" s="36"/>
      <c r="AA449" s="36"/>
      <c r="AB449" s="36"/>
    </row>
    <row r="450" spans="1:28" ht="53.25" hidden="1" customHeight="1">
      <c r="A450" s="207" t="s">
        <v>1088</v>
      </c>
      <c r="B450" s="206">
        <v>2017</v>
      </c>
      <c r="C450" s="117" t="s">
        <v>130</v>
      </c>
      <c r="D450" s="195" t="s">
        <v>1089</v>
      </c>
      <c r="E450" s="117" t="s">
        <v>41</v>
      </c>
      <c r="F450" s="117" t="s">
        <v>42</v>
      </c>
      <c r="G450" s="193" t="s">
        <v>43</v>
      </c>
      <c r="H450" s="117" t="s">
        <v>976</v>
      </c>
      <c r="I450" s="35"/>
      <c r="J450" s="36"/>
      <c r="K450" s="36"/>
      <c r="L450" s="36"/>
      <c r="M450" s="36"/>
      <c r="N450" s="36"/>
      <c r="O450" s="36"/>
      <c r="P450" s="36"/>
      <c r="Q450" s="36"/>
      <c r="R450" s="36"/>
      <c r="S450" s="36"/>
      <c r="T450" s="36"/>
      <c r="U450" s="36"/>
      <c r="V450" s="36"/>
      <c r="W450" s="36"/>
      <c r="X450" s="36"/>
      <c r="Y450" s="36"/>
      <c r="Z450" s="36"/>
      <c r="AA450" s="36"/>
      <c r="AB450" s="36"/>
    </row>
    <row r="451" spans="1:28" ht="51" hidden="1" customHeight="1">
      <c r="A451" s="207" t="s">
        <v>1090</v>
      </c>
      <c r="B451" s="206">
        <v>2017</v>
      </c>
      <c r="C451" s="117" t="s">
        <v>1091</v>
      </c>
      <c r="D451" s="195" t="s">
        <v>902</v>
      </c>
      <c r="E451" s="117" t="s">
        <v>1092</v>
      </c>
      <c r="F451" s="117" t="s">
        <v>1092</v>
      </c>
      <c r="G451" s="193" t="s">
        <v>43</v>
      </c>
      <c r="H451" s="117" t="s">
        <v>976</v>
      </c>
      <c r="I451" s="35"/>
      <c r="J451" s="36"/>
      <c r="K451" s="36"/>
      <c r="L451" s="36"/>
      <c r="M451" s="36"/>
      <c r="N451" s="36"/>
      <c r="O451" s="36"/>
      <c r="P451" s="36"/>
      <c r="Q451" s="36"/>
      <c r="R451" s="36"/>
      <c r="S451" s="36"/>
      <c r="T451" s="36"/>
      <c r="U451" s="36"/>
      <c r="V451" s="36"/>
      <c r="W451" s="36"/>
      <c r="X451" s="36"/>
      <c r="Y451" s="36"/>
      <c r="Z451" s="36"/>
      <c r="AA451" s="36"/>
      <c r="AB451" s="36"/>
    </row>
    <row r="452" spans="1:28" ht="36" hidden="1" customHeight="1">
      <c r="A452" s="207" t="s">
        <v>1093</v>
      </c>
      <c r="B452" s="206">
        <v>2017</v>
      </c>
      <c r="C452" s="117" t="s">
        <v>683</v>
      </c>
      <c r="D452" s="195" t="s">
        <v>1094</v>
      </c>
      <c r="E452" s="117" t="s">
        <v>41</v>
      </c>
      <c r="F452" s="117" t="s">
        <v>42</v>
      </c>
      <c r="G452" s="193" t="s">
        <v>43</v>
      </c>
      <c r="H452" s="117" t="s">
        <v>976</v>
      </c>
      <c r="I452" s="35"/>
      <c r="J452" s="36"/>
      <c r="K452" s="36"/>
      <c r="L452" s="36"/>
      <c r="M452" s="36"/>
      <c r="N452" s="36"/>
      <c r="O452" s="36"/>
      <c r="P452" s="36"/>
      <c r="Q452" s="36"/>
      <c r="R452" s="36"/>
      <c r="S452" s="36"/>
      <c r="T452" s="36"/>
      <c r="U452" s="36"/>
      <c r="V452" s="36"/>
      <c r="W452" s="36"/>
      <c r="X452" s="36"/>
      <c r="Y452" s="36"/>
      <c r="Z452" s="36"/>
      <c r="AA452" s="36"/>
      <c r="AB452" s="36"/>
    </row>
    <row r="453" spans="1:28" ht="48" hidden="1" customHeight="1">
      <c r="A453" s="207" t="s">
        <v>1095</v>
      </c>
      <c r="B453" s="206">
        <v>2018</v>
      </c>
      <c r="C453" s="117" t="s">
        <v>167</v>
      </c>
      <c r="D453" s="195" t="s">
        <v>1096</v>
      </c>
      <c r="E453" s="117" t="s">
        <v>41</v>
      </c>
      <c r="F453" s="117" t="s">
        <v>42</v>
      </c>
      <c r="G453" s="193" t="s">
        <v>43</v>
      </c>
      <c r="H453" s="117" t="s">
        <v>976</v>
      </c>
      <c r="I453" s="35"/>
      <c r="J453" s="36"/>
      <c r="K453" s="36"/>
      <c r="L453" s="36"/>
      <c r="M453" s="36"/>
      <c r="N453" s="36"/>
      <c r="O453" s="36"/>
      <c r="P453" s="36"/>
      <c r="Q453" s="36"/>
      <c r="R453" s="36"/>
      <c r="S453" s="36"/>
      <c r="T453" s="36"/>
      <c r="U453" s="36"/>
      <c r="V453" s="36"/>
      <c r="W453" s="36"/>
      <c r="X453" s="36"/>
      <c r="Y453" s="36"/>
      <c r="Z453" s="36"/>
      <c r="AA453" s="36"/>
      <c r="AB453" s="36"/>
    </row>
    <row r="454" spans="1:28" ht="55.5" hidden="1" customHeight="1">
      <c r="A454" s="208" t="s">
        <v>1097</v>
      </c>
      <c r="B454" s="206">
        <v>2018</v>
      </c>
      <c r="C454" s="117" t="s">
        <v>1098</v>
      </c>
      <c r="D454" s="195" t="s">
        <v>1099</v>
      </c>
      <c r="E454" s="117"/>
      <c r="F454" s="117"/>
      <c r="G454" s="193"/>
      <c r="H454" s="117"/>
      <c r="I454" s="35"/>
      <c r="J454" s="36"/>
      <c r="K454" s="36"/>
      <c r="L454" s="36"/>
      <c r="M454" s="36"/>
      <c r="N454" s="36"/>
      <c r="O454" s="36"/>
      <c r="P454" s="36"/>
      <c r="Q454" s="36"/>
      <c r="R454" s="36"/>
      <c r="S454" s="36"/>
      <c r="T454" s="36"/>
      <c r="U454" s="36"/>
      <c r="V454" s="36"/>
      <c r="W454" s="36"/>
      <c r="X454" s="36"/>
      <c r="Y454" s="36"/>
      <c r="Z454" s="36"/>
      <c r="AA454" s="36"/>
      <c r="AB454" s="36"/>
    </row>
    <row r="455" spans="1:28" ht="30.75" hidden="1" customHeight="1">
      <c r="A455" s="207" t="s">
        <v>1100</v>
      </c>
      <c r="B455" s="194">
        <v>2015</v>
      </c>
      <c r="C455" s="117" t="s">
        <v>1101</v>
      </c>
      <c r="D455" s="195" t="s">
        <v>1102</v>
      </c>
      <c r="E455" s="117" t="s">
        <v>41</v>
      </c>
      <c r="F455" s="117" t="s">
        <v>42</v>
      </c>
      <c r="G455" s="193" t="s">
        <v>43</v>
      </c>
      <c r="H455" s="117" t="s">
        <v>976</v>
      </c>
      <c r="I455" s="35"/>
      <c r="J455" s="36"/>
      <c r="K455" s="36"/>
      <c r="L455" s="36"/>
      <c r="M455" s="36"/>
      <c r="N455" s="36"/>
      <c r="O455" s="36"/>
      <c r="P455" s="36"/>
      <c r="Q455" s="36"/>
      <c r="R455" s="36"/>
      <c r="S455" s="36"/>
      <c r="T455" s="36"/>
      <c r="U455" s="36"/>
      <c r="V455" s="36"/>
      <c r="W455" s="36"/>
      <c r="X455" s="36"/>
      <c r="Y455" s="36"/>
      <c r="Z455" s="36"/>
      <c r="AA455" s="36"/>
      <c r="AB455" s="36"/>
    </row>
    <row r="456" spans="1:28" ht="28.5" hidden="1" customHeight="1">
      <c r="A456" s="199" t="s">
        <v>1103</v>
      </c>
      <c r="B456" s="194">
        <v>1991</v>
      </c>
      <c r="C456" s="117" t="s">
        <v>405</v>
      </c>
      <c r="D456" s="195" t="s">
        <v>406</v>
      </c>
      <c r="E456" s="117" t="s">
        <v>41</v>
      </c>
      <c r="F456" s="117" t="s">
        <v>42</v>
      </c>
      <c r="G456" s="193" t="s">
        <v>43</v>
      </c>
      <c r="H456" s="117" t="s">
        <v>1104</v>
      </c>
      <c r="I456" s="35"/>
      <c r="J456" s="36"/>
      <c r="K456" s="36"/>
      <c r="L456" s="36"/>
      <c r="M456" s="36"/>
      <c r="N456" s="36"/>
      <c r="O456" s="36"/>
      <c r="P456" s="36"/>
      <c r="Q456" s="36"/>
      <c r="R456" s="36"/>
      <c r="S456" s="36"/>
      <c r="T456" s="36"/>
      <c r="U456" s="36"/>
      <c r="V456" s="36"/>
      <c r="W456" s="36"/>
      <c r="X456" s="36"/>
      <c r="Y456" s="36"/>
      <c r="Z456" s="36"/>
      <c r="AA456" s="36"/>
      <c r="AB456" s="36"/>
    </row>
    <row r="457" spans="1:28" ht="36" hidden="1" customHeight="1">
      <c r="A457" s="207" t="s">
        <v>1105</v>
      </c>
      <c r="B457" s="194">
        <v>1887</v>
      </c>
      <c r="C457" s="117" t="s">
        <v>39</v>
      </c>
      <c r="D457" s="195" t="s">
        <v>1106</v>
      </c>
      <c r="E457" s="117" t="s">
        <v>41</v>
      </c>
      <c r="F457" s="117" t="s">
        <v>42</v>
      </c>
      <c r="G457" s="193" t="s">
        <v>43</v>
      </c>
      <c r="H457" s="117" t="s">
        <v>1104</v>
      </c>
      <c r="I457" s="35"/>
      <c r="J457" s="36"/>
      <c r="K457" s="36"/>
      <c r="L457" s="36"/>
      <c r="M457" s="36"/>
      <c r="N457" s="36"/>
      <c r="O457" s="36"/>
      <c r="P457" s="36"/>
      <c r="Q457" s="36"/>
      <c r="R457" s="36"/>
      <c r="S457" s="36"/>
      <c r="T457" s="36"/>
      <c r="U457" s="36"/>
      <c r="V457" s="36"/>
      <c r="W457" s="36"/>
      <c r="X457" s="36"/>
      <c r="Y457" s="36"/>
      <c r="Z457" s="36"/>
      <c r="AA457" s="36"/>
      <c r="AB457" s="36"/>
    </row>
    <row r="458" spans="1:28" ht="48" hidden="1" customHeight="1">
      <c r="A458" s="199" t="s">
        <v>1107</v>
      </c>
      <c r="B458" s="194">
        <v>1997</v>
      </c>
      <c r="C458" s="117" t="s">
        <v>39</v>
      </c>
      <c r="D458" s="195" t="s">
        <v>1108</v>
      </c>
      <c r="E458" s="117" t="s">
        <v>1109</v>
      </c>
      <c r="F458" s="117" t="s">
        <v>42</v>
      </c>
      <c r="G458" s="193" t="s">
        <v>43</v>
      </c>
      <c r="H458" s="117" t="s">
        <v>1104</v>
      </c>
      <c r="I458" s="35"/>
      <c r="J458" s="36"/>
      <c r="K458" s="36"/>
      <c r="L458" s="36"/>
      <c r="M458" s="36"/>
      <c r="N458" s="36"/>
      <c r="O458" s="36"/>
      <c r="P458" s="36"/>
      <c r="Q458" s="36"/>
      <c r="R458" s="36"/>
      <c r="S458" s="36"/>
      <c r="T458" s="36"/>
      <c r="U458" s="36"/>
      <c r="V458" s="36"/>
      <c r="W458" s="36"/>
      <c r="X458" s="36"/>
      <c r="Y458" s="36"/>
      <c r="Z458" s="36"/>
      <c r="AA458" s="36"/>
      <c r="AB458" s="36"/>
    </row>
    <row r="459" spans="1:28" ht="36" hidden="1" customHeight="1">
      <c r="A459" s="199" t="s">
        <v>1110</v>
      </c>
      <c r="B459" s="194">
        <v>1988</v>
      </c>
      <c r="C459" s="117" t="s">
        <v>39</v>
      </c>
      <c r="D459" s="195" t="s">
        <v>1111</v>
      </c>
      <c r="E459" s="117" t="s">
        <v>1112</v>
      </c>
      <c r="F459" s="117" t="s">
        <v>42</v>
      </c>
      <c r="G459" s="193" t="s">
        <v>43</v>
      </c>
      <c r="H459" s="117" t="s">
        <v>1104</v>
      </c>
      <c r="I459" s="35"/>
      <c r="J459" s="36"/>
      <c r="K459" s="36"/>
      <c r="L459" s="36"/>
      <c r="M459" s="36"/>
      <c r="N459" s="36"/>
      <c r="O459" s="36"/>
      <c r="P459" s="36"/>
      <c r="Q459" s="36"/>
      <c r="R459" s="36"/>
      <c r="S459" s="36"/>
      <c r="T459" s="36"/>
      <c r="U459" s="36"/>
      <c r="V459" s="36"/>
      <c r="W459" s="36"/>
      <c r="X459" s="36"/>
      <c r="Y459" s="36"/>
      <c r="Z459" s="36"/>
      <c r="AA459" s="36"/>
      <c r="AB459" s="36"/>
    </row>
    <row r="460" spans="1:28" ht="156" hidden="1" customHeight="1">
      <c r="A460" s="199" t="s">
        <v>1113</v>
      </c>
      <c r="B460" s="194">
        <v>1979</v>
      </c>
      <c r="C460" s="117" t="s">
        <v>507</v>
      </c>
      <c r="D460" s="195" t="s">
        <v>1114</v>
      </c>
      <c r="E460" s="117" t="s">
        <v>1115</v>
      </c>
      <c r="F460" s="117" t="s">
        <v>42</v>
      </c>
      <c r="G460" s="193" t="s">
        <v>43</v>
      </c>
      <c r="H460" s="117" t="s">
        <v>1104</v>
      </c>
      <c r="I460" s="35"/>
      <c r="J460" s="36"/>
      <c r="K460" s="36"/>
      <c r="L460" s="36"/>
      <c r="M460" s="36"/>
      <c r="N460" s="36"/>
      <c r="O460" s="36"/>
      <c r="P460" s="36"/>
      <c r="Q460" s="36"/>
      <c r="R460" s="36"/>
      <c r="S460" s="36"/>
      <c r="T460" s="36"/>
      <c r="U460" s="36"/>
      <c r="V460" s="36"/>
      <c r="W460" s="36"/>
      <c r="X460" s="36"/>
      <c r="Y460" s="36"/>
      <c r="Z460" s="36"/>
      <c r="AA460" s="36"/>
      <c r="AB460" s="36"/>
    </row>
    <row r="461" spans="1:28" ht="72" hidden="1" customHeight="1">
      <c r="A461" s="213" t="s">
        <v>1116</v>
      </c>
      <c r="B461" s="206">
        <v>1973</v>
      </c>
      <c r="C461" s="117" t="s">
        <v>39</v>
      </c>
      <c r="D461" s="195" t="s">
        <v>1117</v>
      </c>
      <c r="E461" s="117" t="s">
        <v>41</v>
      </c>
      <c r="F461" s="117" t="s">
        <v>42</v>
      </c>
      <c r="G461" s="193" t="s">
        <v>43</v>
      </c>
      <c r="H461" s="117" t="s">
        <v>1104</v>
      </c>
      <c r="I461" s="35"/>
      <c r="J461" s="36"/>
      <c r="K461" s="36"/>
      <c r="L461" s="36"/>
      <c r="M461" s="36"/>
      <c r="N461" s="36"/>
      <c r="O461" s="36"/>
      <c r="P461" s="36"/>
      <c r="Q461" s="36"/>
      <c r="R461" s="36"/>
      <c r="S461" s="36"/>
      <c r="T461" s="36"/>
      <c r="U461" s="36"/>
      <c r="V461" s="36"/>
      <c r="W461" s="36"/>
      <c r="X461" s="36"/>
      <c r="Y461" s="36"/>
      <c r="Z461" s="36"/>
      <c r="AA461" s="36"/>
      <c r="AB461" s="36"/>
    </row>
    <row r="462" spans="1:28" ht="36" hidden="1" customHeight="1">
      <c r="A462" s="207" t="s">
        <v>1118</v>
      </c>
      <c r="B462" s="206">
        <v>1992</v>
      </c>
      <c r="C462" s="117" t="s">
        <v>39</v>
      </c>
      <c r="D462" s="195" t="s">
        <v>1119</v>
      </c>
      <c r="E462" s="117" t="s">
        <v>1120</v>
      </c>
      <c r="F462" s="117" t="s">
        <v>42</v>
      </c>
      <c r="G462" s="193" t="s">
        <v>43</v>
      </c>
      <c r="H462" s="117" t="s">
        <v>1104</v>
      </c>
      <c r="I462" s="35"/>
      <c r="J462" s="36"/>
      <c r="K462" s="36"/>
      <c r="L462" s="36"/>
      <c r="M462" s="36"/>
      <c r="N462" s="36"/>
      <c r="O462" s="36"/>
      <c r="P462" s="36"/>
      <c r="Q462" s="36"/>
      <c r="R462" s="36"/>
      <c r="S462" s="36"/>
      <c r="T462" s="36"/>
      <c r="U462" s="36"/>
      <c r="V462" s="36"/>
      <c r="W462" s="36"/>
      <c r="X462" s="36"/>
      <c r="Y462" s="36"/>
      <c r="Z462" s="36"/>
      <c r="AA462" s="36"/>
      <c r="AB462" s="36"/>
    </row>
    <row r="463" spans="1:28" ht="36" hidden="1" customHeight="1">
      <c r="A463" s="207" t="s">
        <v>1121</v>
      </c>
      <c r="B463" s="206">
        <v>1992</v>
      </c>
      <c r="C463" s="117" t="s">
        <v>39</v>
      </c>
      <c r="D463" s="195" t="s">
        <v>1122</v>
      </c>
      <c r="E463" s="117" t="s">
        <v>1123</v>
      </c>
      <c r="F463" s="117" t="s">
        <v>42</v>
      </c>
      <c r="G463" s="193" t="s">
        <v>43</v>
      </c>
      <c r="H463" s="117" t="s">
        <v>1104</v>
      </c>
      <c r="I463" s="35"/>
      <c r="J463" s="36"/>
      <c r="K463" s="36"/>
      <c r="L463" s="36"/>
      <c r="M463" s="36"/>
      <c r="N463" s="36"/>
      <c r="O463" s="36"/>
      <c r="P463" s="36"/>
      <c r="Q463" s="36"/>
      <c r="R463" s="36"/>
      <c r="S463" s="36"/>
      <c r="T463" s="36"/>
      <c r="U463" s="36"/>
      <c r="V463" s="36"/>
      <c r="W463" s="36"/>
      <c r="X463" s="36"/>
      <c r="Y463" s="36"/>
      <c r="Z463" s="36"/>
      <c r="AA463" s="36"/>
      <c r="AB463" s="36"/>
    </row>
    <row r="464" spans="1:28" ht="24" hidden="1" customHeight="1">
      <c r="A464" s="207" t="s">
        <v>1124</v>
      </c>
      <c r="B464" s="206">
        <v>1993</v>
      </c>
      <c r="C464" s="117" t="s">
        <v>39</v>
      </c>
      <c r="D464" s="195" t="s">
        <v>47</v>
      </c>
      <c r="E464" s="117" t="s">
        <v>41</v>
      </c>
      <c r="F464" s="117" t="s">
        <v>42</v>
      </c>
      <c r="G464" s="193" t="s">
        <v>43</v>
      </c>
      <c r="H464" s="117" t="s">
        <v>1104</v>
      </c>
      <c r="I464" s="35"/>
      <c r="J464" s="36"/>
      <c r="K464" s="36"/>
      <c r="L464" s="36"/>
      <c r="M464" s="36"/>
      <c r="N464" s="36"/>
      <c r="O464" s="36"/>
      <c r="P464" s="36"/>
      <c r="Q464" s="36"/>
      <c r="R464" s="36"/>
      <c r="S464" s="36"/>
      <c r="T464" s="36"/>
      <c r="U464" s="36"/>
      <c r="V464" s="36"/>
      <c r="W464" s="36"/>
      <c r="X464" s="36"/>
      <c r="Y464" s="36"/>
      <c r="Z464" s="36"/>
      <c r="AA464" s="36"/>
      <c r="AB464" s="36"/>
    </row>
    <row r="465" spans="1:28" ht="48" hidden="1" customHeight="1">
      <c r="A465" s="214" t="s">
        <v>1125</v>
      </c>
      <c r="B465" s="206">
        <v>1993</v>
      </c>
      <c r="C465" s="197" t="s">
        <v>39</v>
      </c>
      <c r="D465" s="195" t="s">
        <v>467</v>
      </c>
      <c r="E465" s="117" t="s">
        <v>41</v>
      </c>
      <c r="F465" s="117" t="s">
        <v>42</v>
      </c>
      <c r="G465" s="193" t="s">
        <v>43</v>
      </c>
      <c r="H465" s="117" t="s">
        <v>1104</v>
      </c>
      <c r="I465" s="35"/>
      <c r="J465" s="36"/>
      <c r="K465" s="36"/>
      <c r="L465" s="36"/>
      <c r="M465" s="36"/>
      <c r="N465" s="36"/>
      <c r="O465" s="36"/>
      <c r="P465" s="36"/>
      <c r="Q465" s="36"/>
      <c r="R465" s="36"/>
      <c r="S465" s="36"/>
      <c r="T465" s="36"/>
      <c r="U465" s="36"/>
      <c r="V465" s="36"/>
      <c r="W465" s="36"/>
      <c r="X465" s="36"/>
      <c r="Y465" s="36"/>
      <c r="Z465" s="36"/>
      <c r="AA465" s="36"/>
      <c r="AB465" s="36"/>
    </row>
    <row r="466" spans="1:28" ht="24" hidden="1" customHeight="1">
      <c r="A466" s="207" t="s">
        <v>1126</v>
      </c>
      <c r="B466" s="206">
        <v>1994</v>
      </c>
      <c r="C466" s="197" t="s">
        <v>39</v>
      </c>
      <c r="D466" s="195" t="s">
        <v>1127</v>
      </c>
      <c r="E466" s="117" t="s">
        <v>41</v>
      </c>
      <c r="F466" s="117" t="s">
        <v>42</v>
      </c>
      <c r="G466" s="193" t="s">
        <v>43</v>
      </c>
      <c r="H466" s="117" t="s">
        <v>1104</v>
      </c>
      <c r="I466" s="35"/>
      <c r="J466" s="36"/>
      <c r="K466" s="36"/>
      <c r="L466" s="36"/>
      <c r="M466" s="36"/>
      <c r="N466" s="36"/>
      <c r="O466" s="36"/>
      <c r="P466" s="36"/>
      <c r="Q466" s="36"/>
      <c r="R466" s="36"/>
      <c r="S466" s="36"/>
      <c r="T466" s="36"/>
      <c r="U466" s="36"/>
      <c r="V466" s="36"/>
      <c r="W466" s="36"/>
      <c r="X466" s="36"/>
      <c r="Y466" s="36"/>
      <c r="Z466" s="36"/>
      <c r="AA466" s="36"/>
      <c r="AB466" s="36"/>
    </row>
    <row r="467" spans="1:28" ht="36" hidden="1" customHeight="1">
      <c r="A467" s="207" t="s">
        <v>1128</v>
      </c>
      <c r="B467" s="206">
        <v>1995</v>
      </c>
      <c r="C467" s="197" t="s">
        <v>39</v>
      </c>
      <c r="D467" s="195" t="s">
        <v>1129</v>
      </c>
      <c r="E467" s="117" t="s">
        <v>41</v>
      </c>
      <c r="F467" s="117" t="s">
        <v>42</v>
      </c>
      <c r="G467" s="193" t="s">
        <v>43</v>
      </c>
      <c r="H467" s="117" t="s">
        <v>1104</v>
      </c>
      <c r="I467" s="35"/>
      <c r="J467" s="36"/>
      <c r="K467" s="36"/>
      <c r="L467" s="36"/>
      <c r="M467" s="36"/>
      <c r="N467" s="36"/>
      <c r="O467" s="36"/>
      <c r="P467" s="36"/>
      <c r="Q467" s="36"/>
      <c r="R467" s="36"/>
      <c r="S467" s="36"/>
      <c r="T467" s="36"/>
      <c r="U467" s="36"/>
      <c r="V467" s="36"/>
      <c r="W467" s="36"/>
      <c r="X467" s="36"/>
      <c r="Y467" s="36"/>
      <c r="Z467" s="36"/>
      <c r="AA467" s="36"/>
      <c r="AB467" s="36"/>
    </row>
    <row r="468" spans="1:28" ht="24" hidden="1" customHeight="1">
      <c r="A468" s="207" t="s">
        <v>1130</v>
      </c>
      <c r="B468" s="206">
        <v>1997</v>
      </c>
      <c r="C468" s="117" t="s">
        <v>39</v>
      </c>
      <c r="D468" s="195" t="s">
        <v>476</v>
      </c>
      <c r="E468" s="117" t="s">
        <v>41</v>
      </c>
      <c r="F468" s="117" t="s">
        <v>42</v>
      </c>
      <c r="G468" s="193" t="s">
        <v>43</v>
      </c>
      <c r="H468" s="117" t="s">
        <v>1104</v>
      </c>
      <c r="I468" s="35"/>
      <c r="J468" s="36"/>
      <c r="K468" s="36"/>
      <c r="L468" s="36"/>
      <c r="M468" s="36"/>
      <c r="N468" s="36"/>
      <c r="O468" s="36"/>
      <c r="P468" s="36"/>
      <c r="Q468" s="36"/>
      <c r="R468" s="36"/>
      <c r="S468" s="36"/>
      <c r="T468" s="36"/>
      <c r="U468" s="36"/>
      <c r="V468" s="36"/>
      <c r="W468" s="36"/>
      <c r="X468" s="36"/>
      <c r="Y468" s="36"/>
      <c r="Z468" s="36"/>
      <c r="AA468" s="36"/>
      <c r="AB468" s="36"/>
    </row>
    <row r="469" spans="1:28" ht="24" hidden="1" customHeight="1">
      <c r="A469" s="207" t="s">
        <v>1131</v>
      </c>
      <c r="B469" s="206">
        <v>1997</v>
      </c>
      <c r="C469" s="117" t="s">
        <v>39</v>
      </c>
      <c r="D469" s="195" t="s">
        <v>1132</v>
      </c>
      <c r="E469" s="117" t="s">
        <v>41</v>
      </c>
      <c r="F469" s="117" t="s">
        <v>42</v>
      </c>
      <c r="G469" s="193" t="s">
        <v>43</v>
      </c>
      <c r="H469" s="117" t="s">
        <v>1104</v>
      </c>
      <c r="I469" s="35"/>
      <c r="J469" s="36"/>
      <c r="K469" s="36"/>
      <c r="L469" s="36"/>
      <c r="M469" s="36"/>
      <c r="N469" s="36"/>
      <c r="O469" s="36"/>
      <c r="P469" s="36"/>
      <c r="Q469" s="36"/>
      <c r="R469" s="36"/>
      <c r="S469" s="36"/>
      <c r="T469" s="36"/>
      <c r="U469" s="36"/>
      <c r="V469" s="36"/>
      <c r="W469" s="36"/>
      <c r="X469" s="36"/>
      <c r="Y469" s="36"/>
      <c r="Z469" s="36"/>
      <c r="AA469" s="36"/>
      <c r="AB469" s="36"/>
    </row>
    <row r="470" spans="1:28" ht="24" hidden="1" customHeight="1">
      <c r="A470" s="207" t="s">
        <v>1133</v>
      </c>
      <c r="B470" s="206">
        <v>1997</v>
      </c>
      <c r="C470" s="117" t="s">
        <v>39</v>
      </c>
      <c r="D470" s="195" t="s">
        <v>478</v>
      </c>
      <c r="E470" s="117" t="s">
        <v>41</v>
      </c>
      <c r="F470" s="117" t="s">
        <v>42</v>
      </c>
      <c r="G470" s="193" t="s">
        <v>43</v>
      </c>
      <c r="H470" s="117" t="s">
        <v>1104</v>
      </c>
      <c r="I470" s="35"/>
      <c r="J470" s="36"/>
      <c r="K470" s="36"/>
      <c r="L470" s="36"/>
      <c r="M470" s="36"/>
      <c r="N470" s="36"/>
      <c r="O470" s="36"/>
      <c r="P470" s="36"/>
      <c r="Q470" s="36"/>
      <c r="R470" s="36"/>
      <c r="S470" s="36"/>
      <c r="T470" s="36"/>
      <c r="U470" s="36"/>
      <c r="V470" s="36"/>
      <c r="W470" s="36"/>
      <c r="X470" s="36"/>
      <c r="Y470" s="36"/>
      <c r="Z470" s="36"/>
      <c r="AA470" s="36"/>
      <c r="AB470" s="36"/>
    </row>
    <row r="471" spans="1:28" ht="24" hidden="1" customHeight="1">
      <c r="A471" s="207" t="s">
        <v>1134</v>
      </c>
      <c r="B471" s="206">
        <v>2000</v>
      </c>
      <c r="C471" s="117" t="s">
        <v>39</v>
      </c>
      <c r="D471" s="195" t="s">
        <v>1135</v>
      </c>
      <c r="E471" s="117" t="s">
        <v>41</v>
      </c>
      <c r="F471" s="117" t="s">
        <v>42</v>
      </c>
      <c r="G471" s="193" t="s">
        <v>43</v>
      </c>
      <c r="H471" s="117" t="s">
        <v>1104</v>
      </c>
      <c r="I471" s="35"/>
      <c r="J471" s="36"/>
      <c r="K471" s="36"/>
      <c r="L471" s="36"/>
      <c r="M471" s="36"/>
      <c r="N471" s="36"/>
      <c r="O471" s="36"/>
      <c r="P471" s="36"/>
      <c r="Q471" s="36"/>
      <c r="R471" s="36"/>
      <c r="S471" s="36"/>
      <c r="T471" s="36"/>
      <c r="U471" s="36"/>
      <c r="V471" s="36"/>
      <c r="W471" s="36"/>
      <c r="X471" s="36"/>
      <c r="Y471" s="36"/>
      <c r="Z471" s="36"/>
      <c r="AA471" s="36"/>
      <c r="AB471" s="36"/>
    </row>
    <row r="472" spans="1:28" ht="12" hidden="1" customHeight="1">
      <c r="A472" s="207" t="s">
        <v>1136</v>
      </c>
      <c r="B472" s="206">
        <v>2002</v>
      </c>
      <c r="C472" s="117" t="s">
        <v>39</v>
      </c>
      <c r="D472" s="195" t="s">
        <v>1137</v>
      </c>
      <c r="E472" s="117" t="s">
        <v>41</v>
      </c>
      <c r="F472" s="117" t="s">
        <v>42</v>
      </c>
      <c r="G472" s="193" t="s">
        <v>43</v>
      </c>
      <c r="H472" s="117" t="s">
        <v>1104</v>
      </c>
      <c r="I472" s="35"/>
      <c r="J472" s="36"/>
      <c r="K472" s="36"/>
      <c r="L472" s="36"/>
      <c r="M472" s="36"/>
      <c r="N472" s="36"/>
      <c r="O472" s="36"/>
      <c r="P472" s="36"/>
      <c r="Q472" s="36"/>
      <c r="R472" s="36"/>
      <c r="S472" s="36"/>
      <c r="T472" s="36"/>
      <c r="U472" s="36"/>
      <c r="V472" s="36"/>
      <c r="W472" s="36"/>
      <c r="X472" s="36"/>
      <c r="Y472" s="36"/>
      <c r="Z472" s="36"/>
      <c r="AA472" s="36"/>
      <c r="AB472" s="36"/>
    </row>
    <row r="473" spans="1:28" ht="24" hidden="1" customHeight="1">
      <c r="A473" s="207" t="s">
        <v>1138</v>
      </c>
      <c r="B473" s="206">
        <v>2002</v>
      </c>
      <c r="C473" s="117" t="s">
        <v>39</v>
      </c>
      <c r="D473" s="195" t="s">
        <v>1139</v>
      </c>
      <c r="E473" s="117" t="s">
        <v>1140</v>
      </c>
      <c r="F473" s="117" t="s">
        <v>42</v>
      </c>
      <c r="G473" s="193" t="s">
        <v>43</v>
      </c>
      <c r="H473" s="117" t="s">
        <v>1104</v>
      </c>
      <c r="I473" s="35"/>
      <c r="J473" s="36"/>
      <c r="K473" s="36"/>
      <c r="L473" s="36"/>
      <c r="M473" s="36"/>
      <c r="N473" s="36"/>
      <c r="O473" s="36"/>
      <c r="P473" s="36"/>
      <c r="Q473" s="36"/>
      <c r="R473" s="36"/>
      <c r="S473" s="36"/>
      <c r="T473" s="36"/>
      <c r="U473" s="36"/>
      <c r="V473" s="36"/>
      <c r="W473" s="36"/>
      <c r="X473" s="36"/>
      <c r="Y473" s="36"/>
      <c r="Z473" s="36"/>
      <c r="AA473" s="36"/>
      <c r="AB473" s="36"/>
    </row>
    <row r="474" spans="1:28" ht="36" hidden="1" customHeight="1">
      <c r="A474" s="207" t="s">
        <v>1141</v>
      </c>
      <c r="B474" s="206">
        <v>2002</v>
      </c>
      <c r="C474" s="117" t="s">
        <v>39</v>
      </c>
      <c r="D474" s="195" t="s">
        <v>1142</v>
      </c>
      <c r="E474" s="117" t="s">
        <v>41</v>
      </c>
      <c r="F474" s="117" t="s">
        <v>42</v>
      </c>
      <c r="G474" s="193" t="s">
        <v>43</v>
      </c>
      <c r="H474" s="117" t="s">
        <v>1104</v>
      </c>
      <c r="I474" s="35"/>
      <c r="J474" s="36"/>
      <c r="K474" s="36"/>
      <c r="L474" s="36"/>
      <c r="M474" s="36"/>
      <c r="N474" s="36"/>
      <c r="O474" s="36"/>
      <c r="P474" s="36"/>
      <c r="Q474" s="36"/>
      <c r="R474" s="36"/>
      <c r="S474" s="36"/>
      <c r="T474" s="36"/>
      <c r="U474" s="36"/>
      <c r="V474" s="36"/>
      <c r="W474" s="36"/>
      <c r="X474" s="36"/>
      <c r="Y474" s="36"/>
      <c r="Z474" s="36"/>
      <c r="AA474" s="36"/>
      <c r="AB474" s="36"/>
    </row>
    <row r="475" spans="1:28" ht="36" hidden="1" customHeight="1">
      <c r="A475" s="207" t="s">
        <v>1143</v>
      </c>
      <c r="B475" s="206">
        <v>2003</v>
      </c>
      <c r="C475" s="117" t="s">
        <v>39</v>
      </c>
      <c r="D475" s="195" t="s">
        <v>1144</v>
      </c>
      <c r="E475" s="117" t="s">
        <v>1145</v>
      </c>
      <c r="F475" s="117" t="s">
        <v>42</v>
      </c>
      <c r="G475" s="193" t="s">
        <v>43</v>
      </c>
      <c r="H475" s="117" t="s">
        <v>1104</v>
      </c>
      <c r="I475" s="35"/>
      <c r="J475" s="36"/>
      <c r="K475" s="36"/>
      <c r="L475" s="36"/>
      <c r="M475" s="36"/>
      <c r="N475" s="36"/>
      <c r="O475" s="36"/>
      <c r="P475" s="36"/>
      <c r="Q475" s="36"/>
      <c r="R475" s="36"/>
      <c r="S475" s="36"/>
      <c r="T475" s="36"/>
      <c r="U475" s="36"/>
      <c r="V475" s="36"/>
      <c r="W475" s="36"/>
      <c r="X475" s="36"/>
      <c r="Y475" s="36"/>
      <c r="Z475" s="36"/>
      <c r="AA475" s="36"/>
      <c r="AB475" s="36"/>
    </row>
    <row r="476" spans="1:28" ht="36" hidden="1" customHeight="1">
      <c r="A476" s="207" t="s">
        <v>275</v>
      </c>
      <c r="B476" s="206">
        <v>2007</v>
      </c>
      <c r="C476" s="117" t="s">
        <v>39</v>
      </c>
      <c r="D476" s="195" t="s">
        <v>276</v>
      </c>
      <c r="E476" s="117" t="s">
        <v>41</v>
      </c>
      <c r="F476" s="117" t="s">
        <v>42</v>
      </c>
      <c r="G476" s="193" t="s">
        <v>43</v>
      </c>
      <c r="H476" s="117" t="s">
        <v>1104</v>
      </c>
      <c r="I476" s="35"/>
      <c r="J476" s="36"/>
      <c r="K476" s="36"/>
      <c r="L476" s="36"/>
      <c r="M476" s="36"/>
      <c r="N476" s="36"/>
      <c r="O476" s="36"/>
      <c r="P476" s="36"/>
      <c r="Q476" s="36"/>
      <c r="R476" s="36"/>
      <c r="S476" s="36"/>
      <c r="T476" s="36"/>
      <c r="U476" s="36"/>
      <c r="V476" s="36"/>
      <c r="W476" s="36"/>
      <c r="X476" s="36"/>
      <c r="Y476" s="36"/>
      <c r="Z476" s="36"/>
      <c r="AA476" s="36"/>
      <c r="AB476" s="36"/>
    </row>
    <row r="477" spans="1:28" ht="12" hidden="1" customHeight="1">
      <c r="A477" s="207" t="s">
        <v>1146</v>
      </c>
      <c r="B477" s="206">
        <v>2008</v>
      </c>
      <c r="C477" s="117" t="s">
        <v>39</v>
      </c>
      <c r="D477" s="195" t="s">
        <v>1147</v>
      </c>
      <c r="E477" s="117" t="s">
        <v>41</v>
      </c>
      <c r="F477" s="117" t="s">
        <v>42</v>
      </c>
      <c r="G477" s="193" t="s">
        <v>43</v>
      </c>
      <c r="H477" s="117" t="s">
        <v>1104</v>
      </c>
      <c r="I477" s="35"/>
      <c r="J477" s="36"/>
      <c r="K477" s="36"/>
      <c r="L477" s="36"/>
      <c r="M477" s="36"/>
      <c r="N477" s="36"/>
      <c r="O477" s="36"/>
      <c r="P477" s="36"/>
      <c r="Q477" s="36"/>
      <c r="R477" s="36"/>
      <c r="S477" s="36"/>
      <c r="T477" s="36"/>
      <c r="U477" s="36"/>
      <c r="V477" s="36"/>
      <c r="W477" s="36"/>
      <c r="X477" s="36"/>
      <c r="Y477" s="36"/>
      <c r="Z477" s="36"/>
      <c r="AA477" s="36"/>
      <c r="AB477" s="36"/>
    </row>
    <row r="478" spans="1:28" ht="24" hidden="1" customHeight="1">
      <c r="A478" s="207" t="s">
        <v>1148</v>
      </c>
      <c r="B478" s="206">
        <v>2011</v>
      </c>
      <c r="C478" s="117" t="s">
        <v>39</v>
      </c>
      <c r="D478" s="195" t="s">
        <v>1149</v>
      </c>
      <c r="E478" s="117" t="s">
        <v>41</v>
      </c>
      <c r="F478" s="117" t="s">
        <v>42</v>
      </c>
      <c r="G478" s="193" t="s">
        <v>43</v>
      </c>
      <c r="H478" s="117" t="s">
        <v>1104</v>
      </c>
      <c r="I478" s="35"/>
      <c r="J478" s="36"/>
      <c r="K478" s="36"/>
      <c r="L478" s="36"/>
      <c r="M478" s="36"/>
      <c r="N478" s="36"/>
      <c r="O478" s="36"/>
      <c r="P478" s="36"/>
      <c r="Q478" s="36"/>
      <c r="R478" s="36"/>
      <c r="S478" s="36"/>
      <c r="T478" s="36"/>
      <c r="U478" s="36"/>
      <c r="V478" s="36"/>
      <c r="W478" s="36"/>
      <c r="X478" s="36"/>
      <c r="Y478" s="36"/>
      <c r="Z478" s="36"/>
      <c r="AA478" s="36"/>
      <c r="AB478" s="36"/>
    </row>
    <row r="479" spans="1:28" ht="36" hidden="1" customHeight="1">
      <c r="A479" s="207" t="s">
        <v>286</v>
      </c>
      <c r="B479" s="206">
        <v>2011</v>
      </c>
      <c r="C479" s="117" t="s">
        <v>39</v>
      </c>
      <c r="D479" s="195" t="s">
        <v>1150</v>
      </c>
      <c r="E479" s="117" t="s">
        <v>41</v>
      </c>
      <c r="F479" s="117" t="s">
        <v>42</v>
      </c>
      <c r="G479" s="193" t="s">
        <v>43</v>
      </c>
      <c r="H479" s="117" t="s">
        <v>1104</v>
      </c>
      <c r="I479" s="35"/>
      <c r="J479" s="36"/>
      <c r="K479" s="36"/>
      <c r="L479" s="36"/>
      <c r="M479" s="36"/>
      <c r="N479" s="36"/>
      <c r="O479" s="36"/>
      <c r="P479" s="36"/>
      <c r="Q479" s="36"/>
      <c r="R479" s="36"/>
      <c r="S479" s="36"/>
      <c r="T479" s="36"/>
      <c r="U479" s="36"/>
      <c r="V479" s="36"/>
      <c r="W479" s="36"/>
      <c r="X479" s="36"/>
      <c r="Y479" s="36"/>
      <c r="Z479" s="36"/>
      <c r="AA479" s="36"/>
      <c r="AB479" s="36"/>
    </row>
    <row r="480" spans="1:28" ht="48" hidden="1" customHeight="1">
      <c r="A480" s="207" t="s">
        <v>1151</v>
      </c>
      <c r="B480" s="206">
        <v>2012</v>
      </c>
      <c r="C480" s="117" t="s">
        <v>39</v>
      </c>
      <c r="D480" s="195" t="s">
        <v>1152</v>
      </c>
      <c r="E480" s="117" t="s">
        <v>1153</v>
      </c>
      <c r="F480" s="117" t="s">
        <v>42</v>
      </c>
      <c r="G480" s="193" t="s">
        <v>43</v>
      </c>
      <c r="H480" s="117" t="s">
        <v>1104</v>
      </c>
      <c r="I480" s="35"/>
      <c r="J480" s="36"/>
      <c r="K480" s="36"/>
      <c r="L480" s="36"/>
      <c r="M480" s="36"/>
      <c r="N480" s="36"/>
      <c r="O480" s="36"/>
      <c r="P480" s="36"/>
      <c r="Q480" s="36"/>
      <c r="R480" s="36"/>
      <c r="S480" s="36"/>
      <c r="T480" s="36"/>
      <c r="U480" s="36"/>
      <c r="V480" s="36"/>
      <c r="W480" s="36"/>
      <c r="X480" s="36"/>
      <c r="Y480" s="36"/>
      <c r="Z480" s="36"/>
      <c r="AA480" s="36"/>
      <c r="AB480" s="36"/>
    </row>
    <row r="481" spans="1:28" ht="12" hidden="1" customHeight="1">
      <c r="A481" s="207" t="s">
        <v>1154</v>
      </c>
      <c r="B481" s="206">
        <v>2016</v>
      </c>
      <c r="C481" s="117" t="s">
        <v>39</v>
      </c>
      <c r="D481" s="195" t="s">
        <v>56</v>
      </c>
      <c r="E481" s="117" t="s">
        <v>41</v>
      </c>
      <c r="F481" s="117" t="s">
        <v>42</v>
      </c>
      <c r="G481" s="193" t="s">
        <v>43</v>
      </c>
      <c r="H481" s="117" t="s">
        <v>1104</v>
      </c>
      <c r="I481" s="35"/>
      <c r="J481" s="36"/>
      <c r="K481" s="36"/>
      <c r="L481" s="36"/>
      <c r="M481" s="36"/>
      <c r="N481" s="36"/>
      <c r="O481" s="36"/>
      <c r="P481" s="36"/>
      <c r="Q481" s="36"/>
      <c r="R481" s="36"/>
      <c r="S481" s="36"/>
      <c r="T481" s="36"/>
      <c r="U481" s="36"/>
      <c r="V481" s="36"/>
      <c r="W481" s="36"/>
      <c r="X481" s="36"/>
      <c r="Y481" s="36"/>
      <c r="Z481" s="36"/>
      <c r="AA481" s="36"/>
      <c r="AB481" s="36"/>
    </row>
    <row r="482" spans="1:28" ht="24" hidden="1" customHeight="1">
      <c r="A482" s="207" t="s">
        <v>241</v>
      </c>
      <c r="B482" s="206">
        <v>1971</v>
      </c>
      <c r="C482" s="117" t="s">
        <v>39</v>
      </c>
      <c r="D482" s="195" t="s">
        <v>1155</v>
      </c>
      <c r="E482" s="117" t="s">
        <v>41</v>
      </c>
      <c r="F482" s="117" t="s">
        <v>42</v>
      </c>
      <c r="G482" s="193" t="s">
        <v>43</v>
      </c>
      <c r="H482" s="117" t="s">
        <v>1104</v>
      </c>
      <c r="I482" s="35"/>
      <c r="J482" s="36"/>
      <c r="K482" s="36"/>
      <c r="L482" s="36"/>
      <c r="M482" s="36"/>
      <c r="N482" s="36"/>
      <c r="O482" s="36"/>
      <c r="P482" s="36"/>
      <c r="Q482" s="36"/>
      <c r="R482" s="36"/>
      <c r="S482" s="36"/>
      <c r="T482" s="36"/>
      <c r="U482" s="36"/>
      <c r="V482" s="36"/>
      <c r="W482" s="36"/>
      <c r="X482" s="36"/>
      <c r="Y482" s="36"/>
      <c r="Z482" s="36"/>
      <c r="AA482" s="36"/>
      <c r="AB482" s="36"/>
    </row>
    <row r="483" spans="1:28" ht="24" hidden="1" customHeight="1">
      <c r="A483" s="207" t="s">
        <v>1156</v>
      </c>
      <c r="B483" s="206">
        <v>1974</v>
      </c>
      <c r="C483" s="117" t="s">
        <v>39</v>
      </c>
      <c r="D483" s="195" t="s">
        <v>1157</v>
      </c>
      <c r="E483" s="117" t="s">
        <v>41</v>
      </c>
      <c r="F483" s="117" t="s">
        <v>42</v>
      </c>
      <c r="G483" s="193" t="s">
        <v>43</v>
      </c>
      <c r="H483" s="117" t="s">
        <v>1104</v>
      </c>
      <c r="I483" s="35"/>
      <c r="J483" s="36"/>
      <c r="K483" s="36"/>
      <c r="L483" s="36"/>
      <c r="M483" s="36"/>
      <c r="N483" s="36"/>
      <c r="O483" s="36"/>
      <c r="P483" s="36"/>
      <c r="Q483" s="36"/>
      <c r="R483" s="36"/>
      <c r="S483" s="36"/>
      <c r="T483" s="36"/>
      <c r="U483" s="36"/>
      <c r="V483" s="36"/>
      <c r="W483" s="36"/>
      <c r="X483" s="36"/>
      <c r="Y483" s="36"/>
      <c r="Z483" s="36"/>
      <c r="AA483" s="36"/>
      <c r="AB483" s="36"/>
    </row>
    <row r="484" spans="1:28" ht="48" hidden="1" customHeight="1">
      <c r="A484" s="207" t="s">
        <v>1158</v>
      </c>
      <c r="B484" s="206">
        <v>1978</v>
      </c>
      <c r="C484" s="117" t="s">
        <v>39</v>
      </c>
      <c r="D484" s="195" t="s">
        <v>1159</v>
      </c>
      <c r="E484" s="117" t="s">
        <v>41</v>
      </c>
      <c r="F484" s="117" t="s">
        <v>42</v>
      </c>
      <c r="G484" s="193" t="s">
        <v>43</v>
      </c>
      <c r="H484" s="117" t="s">
        <v>1104</v>
      </c>
      <c r="I484" s="35"/>
      <c r="J484" s="36"/>
      <c r="K484" s="36"/>
      <c r="L484" s="36"/>
      <c r="M484" s="36"/>
      <c r="N484" s="36"/>
      <c r="O484" s="36"/>
      <c r="P484" s="36"/>
      <c r="Q484" s="36"/>
      <c r="R484" s="36"/>
      <c r="S484" s="36"/>
      <c r="T484" s="36"/>
      <c r="U484" s="36"/>
      <c r="V484" s="36"/>
      <c r="W484" s="36"/>
      <c r="X484" s="36"/>
      <c r="Y484" s="36"/>
      <c r="Z484" s="36"/>
      <c r="AA484" s="36"/>
      <c r="AB484" s="36"/>
    </row>
    <row r="485" spans="1:28" ht="24" hidden="1" customHeight="1">
      <c r="A485" s="207" t="s">
        <v>1160</v>
      </c>
      <c r="B485" s="206">
        <v>1984</v>
      </c>
      <c r="C485" s="117" t="s">
        <v>39</v>
      </c>
      <c r="D485" s="195" t="s">
        <v>1161</v>
      </c>
      <c r="E485" s="117" t="s">
        <v>1162</v>
      </c>
      <c r="F485" s="117" t="s">
        <v>42</v>
      </c>
      <c r="G485" s="193" t="s">
        <v>43</v>
      </c>
      <c r="H485" s="117" t="s">
        <v>1104</v>
      </c>
      <c r="I485" s="35"/>
      <c r="J485" s="36"/>
      <c r="K485" s="36"/>
      <c r="L485" s="36"/>
      <c r="M485" s="36"/>
      <c r="N485" s="36"/>
      <c r="O485" s="36"/>
      <c r="P485" s="36"/>
      <c r="Q485" s="36"/>
      <c r="R485" s="36"/>
      <c r="S485" s="36"/>
      <c r="T485" s="36"/>
      <c r="U485" s="36"/>
      <c r="V485" s="36"/>
      <c r="W485" s="36"/>
      <c r="X485" s="36"/>
      <c r="Y485" s="36"/>
      <c r="Z485" s="36"/>
      <c r="AA485" s="36"/>
      <c r="AB485" s="36"/>
    </row>
    <row r="486" spans="1:28" ht="36" hidden="1" customHeight="1">
      <c r="A486" s="207" t="s">
        <v>1163</v>
      </c>
      <c r="B486" s="206">
        <v>1984</v>
      </c>
      <c r="C486" s="117" t="s">
        <v>39</v>
      </c>
      <c r="D486" s="195" t="s">
        <v>1164</v>
      </c>
      <c r="E486" s="117" t="s">
        <v>1165</v>
      </c>
      <c r="F486" s="117" t="s">
        <v>42</v>
      </c>
      <c r="G486" s="193" t="s">
        <v>43</v>
      </c>
      <c r="H486" s="117" t="s">
        <v>1104</v>
      </c>
      <c r="I486" s="35"/>
      <c r="J486" s="36"/>
      <c r="K486" s="36"/>
      <c r="L486" s="36"/>
      <c r="M486" s="36"/>
      <c r="N486" s="36"/>
      <c r="O486" s="36"/>
      <c r="P486" s="36"/>
      <c r="Q486" s="36"/>
      <c r="R486" s="36"/>
      <c r="S486" s="36"/>
      <c r="T486" s="36"/>
      <c r="U486" s="36"/>
      <c r="V486" s="36"/>
      <c r="W486" s="36"/>
      <c r="X486" s="36"/>
      <c r="Y486" s="36"/>
      <c r="Z486" s="36"/>
      <c r="AA486" s="36"/>
      <c r="AB486" s="36"/>
    </row>
    <row r="487" spans="1:28" ht="24" hidden="1" customHeight="1">
      <c r="A487" s="207" t="s">
        <v>1166</v>
      </c>
      <c r="B487" s="206">
        <v>1989</v>
      </c>
      <c r="C487" s="117" t="s">
        <v>39</v>
      </c>
      <c r="D487" s="195" t="s">
        <v>1167</v>
      </c>
      <c r="E487" s="117" t="s">
        <v>1168</v>
      </c>
      <c r="F487" s="117" t="s">
        <v>42</v>
      </c>
      <c r="G487" s="193" t="s">
        <v>43</v>
      </c>
      <c r="H487" s="117" t="s">
        <v>1104</v>
      </c>
      <c r="I487" s="35"/>
      <c r="J487" s="36"/>
      <c r="K487" s="36"/>
      <c r="L487" s="36"/>
      <c r="M487" s="36"/>
      <c r="N487" s="36"/>
      <c r="O487" s="36"/>
      <c r="P487" s="36"/>
      <c r="Q487" s="36"/>
      <c r="R487" s="36"/>
      <c r="S487" s="36"/>
      <c r="T487" s="36"/>
      <c r="U487" s="36"/>
      <c r="V487" s="36"/>
      <c r="W487" s="36"/>
      <c r="X487" s="36"/>
      <c r="Y487" s="36"/>
      <c r="Z487" s="36"/>
      <c r="AA487" s="36"/>
      <c r="AB487" s="36"/>
    </row>
    <row r="488" spans="1:28" ht="24" hidden="1" customHeight="1">
      <c r="A488" s="207" t="s">
        <v>1169</v>
      </c>
      <c r="B488" s="206">
        <v>1984</v>
      </c>
      <c r="C488" s="117" t="s">
        <v>39</v>
      </c>
      <c r="D488" s="195" t="s">
        <v>1170</v>
      </c>
      <c r="E488" s="117" t="s">
        <v>1171</v>
      </c>
      <c r="F488" s="117" t="s">
        <v>42</v>
      </c>
      <c r="G488" s="193" t="s">
        <v>43</v>
      </c>
      <c r="H488" s="117" t="s">
        <v>1104</v>
      </c>
      <c r="I488" s="35"/>
      <c r="J488" s="36"/>
      <c r="K488" s="36"/>
      <c r="L488" s="36"/>
      <c r="M488" s="36"/>
      <c r="N488" s="36"/>
      <c r="O488" s="36"/>
      <c r="P488" s="36"/>
      <c r="Q488" s="36"/>
      <c r="R488" s="36"/>
      <c r="S488" s="36"/>
      <c r="T488" s="36"/>
      <c r="U488" s="36"/>
      <c r="V488" s="36"/>
      <c r="W488" s="36"/>
      <c r="X488" s="36"/>
      <c r="Y488" s="36"/>
      <c r="Z488" s="36"/>
      <c r="AA488" s="36"/>
      <c r="AB488" s="36"/>
    </row>
    <row r="489" spans="1:28" ht="240" hidden="1" customHeight="1">
      <c r="A489" s="207" t="s">
        <v>1172</v>
      </c>
      <c r="B489" s="206">
        <v>1994</v>
      </c>
      <c r="C489" s="117" t="s">
        <v>39</v>
      </c>
      <c r="D489" s="195" t="s">
        <v>1173</v>
      </c>
      <c r="E489" s="195" t="s">
        <v>1174</v>
      </c>
      <c r="F489" s="195" t="s">
        <v>1175</v>
      </c>
      <c r="G489" s="193" t="s">
        <v>43</v>
      </c>
      <c r="H489" s="117" t="s">
        <v>1176</v>
      </c>
      <c r="I489" s="35"/>
      <c r="J489" s="36"/>
      <c r="K489" s="36"/>
      <c r="L489" s="36"/>
      <c r="M489" s="36"/>
      <c r="N489" s="36"/>
      <c r="O489" s="36"/>
      <c r="P489" s="36"/>
      <c r="Q489" s="36"/>
      <c r="R489" s="36"/>
      <c r="S489" s="36"/>
      <c r="T489" s="36"/>
      <c r="U489" s="36"/>
      <c r="V489" s="36"/>
      <c r="W489" s="36"/>
      <c r="X489" s="36"/>
      <c r="Y489" s="36"/>
      <c r="Z489" s="36"/>
      <c r="AA489" s="36"/>
      <c r="AB489" s="36"/>
    </row>
    <row r="490" spans="1:28" ht="60" hidden="1" customHeight="1">
      <c r="A490" s="207" t="s">
        <v>1177</v>
      </c>
      <c r="B490" s="206">
        <v>1995</v>
      </c>
      <c r="C490" s="117" t="s">
        <v>39</v>
      </c>
      <c r="D490" s="195" t="s">
        <v>1178</v>
      </c>
      <c r="E490" s="117" t="s">
        <v>41</v>
      </c>
      <c r="F490" s="117" t="s">
        <v>42</v>
      </c>
      <c r="G490" s="193" t="s">
        <v>43</v>
      </c>
      <c r="H490" s="117" t="s">
        <v>1104</v>
      </c>
      <c r="I490" s="35"/>
      <c r="J490" s="36"/>
      <c r="K490" s="36"/>
      <c r="L490" s="36"/>
      <c r="M490" s="36"/>
      <c r="N490" s="36"/>
      <c r="O490" s="36"/>
      <c r="P490" s="36"/>
      <c r="Q490" s="36"/>
      <c r="R490" s="36"/>
      <c r="S490" s="36"/>
      <c r="T490" s="36"/>
      <c r="U490" s="36"/>
      <c r="V490" s="36"/>
      <c r="W490" s="36"/>
      <c r="X490" s="36"/>
      <c r="Y490" s="36"/>
      <c r="Z490" s="36"/>
      <c r="AA490" s="36"/>
      <c r="AB490" s="36"/>
    </row>
    <row r="491" spans="1:28" ht="60" hidden="1" customHeight="1">
      <c r="A491" s="207" t="s">
        <v>1179</v>
      </c>
      <c r="B491" s="206">
        <v>1996</v>
      </c>
      <c r="C491" s="117" t="s">
        <v>39</v>
      </c>
      <c r="D491" s="195" t="s">
        <v>1180</v>
      </c>
      <c r="E491" s="117" t="s">
        <v>1181</v>
      </c>
      <c r="F491" s="117" t="s">
        <v>1182</v>
      </c>
      <c r="G491" s="193" t="s">
        <v>43</v>
      </c>
      <c r="H491" s="117" t="s">
        <v>1176</v>
      </c>
      <c r="I491" s="35"/>
      <c r="J491" s="36"/>
      <c r="K491" s="36"/>
      <c r="L491" s="36"/>
      <c r="M491" s="36"/>
      <c r="N491" s="36"/>
      <c r="O491" s="36"/>
      <c r="P491" s="36"/>
      <c r="Q491" s="36"/>
      <c r="R491" s="36"/>
      <c r="S491" s="36"/>
      <c r="T491" s="36"/>
      <c r="U491" s="36"/>
      <c r="V491" s="36"/>
      <c r="W491" s="36"/>
      <c r="X491" s="36"/>
      <c r="Y491" s="36"/>
      <c r="Z491" s="36"/>
      <c r="AA491" s="36"/>
      <c r="AB491" s="36"/>
    </row>
    <row r="492" spans="1:28" ht="24" hidden="1" customHeight="1">
      <c r="A492" s="207" t="s">
        <v>1183</v>
      </c>
      <c r="B492" s="206">
        <v>1997</v>
      </c>
      <c r="C492" s="117" t="s">
        <v>39</v>
      </c>
      <c r="D492" s="195" t="s">
        <v>1184</v>
      </c>
      <c r="E492" s="117" t="s">
        <v>1185</v>
      </c>
      <c r="F492" s="195" t="s">
        <v>1186</v>
      </c>
      <c r="G492" s="193" t="s">
        <v>43</v>
      </c>
      <c r="H492" s="117" t="s">
        <v>1176</v>
      </c>
      <c r="I492" s="35"/>
      <c r="J492" s="36"/>
      <c r="K492" s="36"/>
      <c r="L492" s="36"/>
      <c r="M492" s="36"/>
      <c r="N492" s="36"/>
      <c r="O492" s="36"/>
      <c r="P492" s="36"/>
      <c r="Q492" s="36"/>
      <c r="R492" s="36"/>
      <c r="S492" s="36"/>
      <c r="T492" s="36"/>
      <c r="U492" s="36"/>
      <c r="V492" s="36"/>
      <c r="W492" s="36"/>
      <c r="X492" s="36"/>
      <c r="Y492" s="36"/>
      <c r="Z492" s="36"/>
      <c r="AA492" s="36"/>
      <c r="AB492" s="36"/>
    </row>
    <row r="493" spans="1:28" ht="24" hidden="1" customHeight="1">
      <c r="A493" s="207" t="s">
        <v>1187</v>
      </c>
      <c r="B493" s="206">
        <v>1997</v>
      </c>
      <c r="C493" s="117" t="s">
        <v>61</v>
      </c>
      <c r="D493" s="195" t="s">
        <v>524</v>
      </c>
      <c r="E493" s="117" t="s">
        <v>41</v>
      </c>
      <c r="F493" s="117" t="s">
        <v>42</v>
      </c>
      <c r="G493" s="193" t="s">
        <v>43</v>
      </c>
      <c r="H493" s="117" t="s">
        <v>1104</v>
      </c>
      <c r="I493" s="35"/>
      <c r="J493" s="36"/>
      <c r="K493" s="36"/>
      <c r="L493" s="36"/>
      <c r="M493" s="36"/>
      <c r="N493" s="36"/>
      <c r="O493" s="36"/>
      <c r="P493" s="36"/>
      <c r="Q493" s="36"/>
      <c r="R493" s="36"/>
      <c r="S493" s="36"/>
      <c r="T493" s="36"/>
      <c r="U493" s="36"/>
      <c r="V493" s="36"/>
      <c r="W493" s="36"/>
      <c r="X493" s="36"/>
      <c r="Y493" s="36"/>
      <c r="Z493" s="36"/>
      <c r="AA493" s="36"/>
      <c r="AB493" s="36"/>
    </row>
    <row r="494" spans="1:28" ht="84" hidden="1" customHeight="1">
      <c r="A494" s="207" t="s">
        <v>1188</v>
      </c>
      <c r="B494" s="206">
        <v>2000</v>
      </c>
      <c r="C494" s="117" t="s">
        <v>39</v>
      </c>
      <c r="D494" s="195" t="s">
        <v>1189</v>
      </c>
      <c r="E494" s="117" t="s">
        <v>1190</v>
      </c>
      <c r="F494" s="195" t="s">
        <v>1191</v>
      </c>
      <c r="G494" s="193" t="s">
        <v>43</v>
      </c>
      <c r="H494" s="117" t="s">
        <v>1176</v>
      </c>
      <c r="I494" s="35"/>
      <c r="J494" s="36"/>
      <c r="K494" s="36"/>
      <c r="L494" s="36"/>
      <c r="M494" s="36"/>
      <c r="N494" s="36"/>
      <c r="O494" s="36"/>
      <c r="P494" s="36"/>
      <c r="Q494" s="36"/>
      <c r="R494" s="36"/>
      <c r="S494" s="36"/>
      <c r="T494" s="36"/>
      <c r="U494" s="36"/>
      <c r="V494" s="36"/>
      <c r="W494" s="36"/>
      <c r="X494" s="36"/>
      <c r="Y494" s="36"/>
      <c r="Z494" s="36"/>
      <c r="AA494" s="36"/>
      <c r="AB494" s="36"/>
    </row>
    <row r="495" spans="1:28" ht="36" hidden="1" customHeight="1">
      <c r="A495" s="207" t="s">
        <v>1192</v>
      </c>
      <c r="B495" s="206">
        <v>2003</v>
      </c>
      <c r="C495" s="117" t="s">
        <v>61</v>
      </c>
      <c r="D495" s="195" t="s">
        <v>1193</v>
      </c>
      <c r="E495" s="117" t="s">
        <v>41</v>
      </c>
      <c r="F495" s="117" t="s">
        <v>42</v>
      </c>
      <c r="G495" s="193" t="s">
        <v>43</v>
      </c>
      <c r="H495" s="117" t="s">
        <v>1104</v>
      </c>
      <c r="I495" s="35"/>
      <c r="J495" s="36"/>
      <c r="K495" s="36"/>
      <c r="L495" s="36"/>
      <c r="M495" s="36"/>
      <c r="N495" s="36"/>
      <c r="O495" s="36"/>
      <c r="P495" s="36"/>
      <c r="Q495" s="36"/>
      <c r="R495" s="36"/>
      <c r="S495" s="36"/>
      <c r="T495" s="36"/>
      <c r="U495" s="36"/>
      <c r="V495" s="36"/>
      <c r="W495" s="36"/>
      <c r="X495" s="36"/>
      <c r="Y495" s="36"/>
      <c r="Z495" s="36"/>
      <c r="AA495" s="36"/>
      <c r="AB495" s="36"/>
    </row>
    <row r="496" spans="1:28" ht="24" hidden="1" customHeight="1">
      <c r="A496" s="207" t="s">
        <v>1194</v>
      </c>
      <c r="B496" s="206">
        <v>2004</v>
      </c>
      <c r="C496" s="117" t="s">
        <v>61</v>
      </c>
      <c r="D496" s="195" t="s">
        <v>1195</v>
      </c>
      <c r="E496" s="117" t="s">
        <v>41</v>
      </c>
      <c r="F496" s="117" t="s">
        <v>42</v>
      </c>
      <c r="G496" s="193" t="s">
        <v>43</v>
      </c>
      <c r="H496" s="117" t="s">
        <v>1104</v>
      </c>
      <c r="I496" s="35"/>
      <c r="J496" s="36"/>
      <c r="K496" s="36"/>
      <c r="L496" s="36"/>
      <c r="M496" s="36"/>
      <c r="N496" s="36"/>
      <c r="O496" s="36"/>
      <c r="P496" s="36"/>
      <c r="Q496" s="36"/>
      <c r="R496" s="36"/>
      <c r="S496" s="36"/>
      <c r="T496" s="36"/>
      <c r="U496" s="36"/>
      <c r="V496" s="36"/>
      <c r="W496" s="36"/>
      <c r="X496" s="36"/>
      <c r="Y496" s="36"/>
      <c r="Z496" s="36"/>
      <c r="AA496" s="36"/>
      <c r="AB496" s="36"/>
    </row>
    <row r="497" spans="1:28" ht="36" hidden="1" customHeight="1">
      <c r="A497" s="207" t="s">
        <v>1196</v>
      </c>
      <c r="B497" s="206">
        <v>2004</v>
      </c>
      <c r="C497" s="117" t="s">
        <v>61</v>
      </c>
      <c r="D497" s="195" t="s">
        <v>802</v>
      </c>
      <c r="E497" s="117" t="s">
        <v>41</v>
      </c>
      <c r="F497" s="117" t="s">
        <v>42</v>
      </c>
      <c r="G497" s="193" t="s">
        <v>43</v>
      </c>
      <c r="H497" s="117" t="s">
        <v>1104</v>
      </c>
      <c r="I497" s="35"/>
      <c r="J497" s="36"/>
      <c r="K497" s="36"/>
      <c r="L497" s="36"/>
      <c r="M497" s="36"/>
      <c r="N497" s="36"/>
      <c r="O497" s="36"/>
      <c r="P497" s="36"/>
      <c r="Q497" s="36"/>
      <c r="R497" s="36"/>
      <c r="S497" s="36"/>
      <c r="T497" s="36"/>
      <c r="U497" s="36"/>
      <c r="V497" s="36"/>
      <c r="W497" s="36"/>
      <c r="X497" s="36"/>
      <c r="Y497" s="36"/>
      <c r="Z497" s="36"/>
      <c r="AA497" s="36"/>
      <c r="AB497" s="36"/>
    </row>
    <row r="498" spans="1:28" ht="24" hidden="1" customHeight="1">
      <c r="A498" s="207" t="s">
        <v>1197</v>
      </c>
      <c r="B498" s="206">
        <v>2004</v>
      </c>
      <c r="C498" s="117" t="s">
        <v>61</v>
      </c>
      <c r="D498" s="195" t="s">
        <v>1198</v>
      </c>
      <c r="E498" s="117" t="s">
        <v>41</v>
      </c>
      <c r="F498" s="117" t="s">
        <v>42</v>
      </c>
      <c r="G498" s="193" t="s">
        <v>43</v>
      </c>
      <c r="H498" s="117" t="s">
        <v>1104</v>
      </c>
      <c r="I498" s="35"/>
      <c r="J498" s="36"/>
      <c r="K498" s="36"/>
      <c r="L498" s="36"/>
      <c r="M498" s="36"/>
      <c r="N498" s="36"/>
      <c r="O498" s="36"/>
      <c r="P498" s="36"/>
      <c r="Q498" s="36"/>
      <c r="R498" s="36"/>
      <c r="S498" s="36"/>
      <c r="T498" s="36"/>
      <c r="U498" s="36"/>
      <c r="V498" s="36"/>
      <c r="W498" s="36"/>
      <c r="X498" s="36"/>
      <c r="Y498" s="36"/>
      <c r="Z498" s="36"/>
      <c r="AA498" s="36"/>
      <c r="AB498" s="36"/>
    </row>
    <row r="499" spans="1:28" ht="24" hidden="1" customHeight="1">
      <c r="A499" s="207" t="s">
        <v>1199</v>
      </c>
      <c r="B499" s="206">
        <v>2005</v>
      </c>
      <c r="C499" s="117" t="s">
        <v>61</v>
      </c>
      <c r="D499" s="195" t="s">
        <v>70</v>
      </c>
      <c r="E499" s="117" t="s">
        <v>41</v>
      </c>
      <c r="F499" s="117" t="s">
        <v>42</v>
      </c>
      <c r="G499" s="193" t="s">
        <v>43</v>
      </c>
      <c r="H499" s="117" t="s">
        <v>1104</v>
      </c>
      <c r="I499" s="35"/>
      <c r="J499" s="36"/>
      <c r="K499" s="36"/>
      <c r="L499" s="36"/>
      <c r="M499" s="36"/>
      <c r="N499" s="36"/>
      <c r="O499" s="36"/>
      <c r="P499" s="36"/>
      <c r="Q499" s="36"/>
      <c r="R499" s="36"/>
      <c r="S499" s="36"/>
      <c r="T499" s="36"/>
      <c r="U499" s="36"/>
      <c r="V499" s="36"/>
      <c r="W499" s="36"/>
      <c r="X499" s="36"/>
      <c r="Y499" s="36"/>
      <c r="Z499" s="36"/>
      <c r="AA499" s="36"/>
      <c r="AB499" s="36"/>
    </row>
    <row r="500" spans="1:28" ht="24" hidden="1" customHeight="1">
      <c r="A500" s="207" t="s">
        <v>1200</v>
      </c>
      <c r="B500" s="206">
        <v>2005</v>
      </c>
      <c r="C500" s="117" t="s">
        <v>39</v>
      </c>
      <c r="D500" s="195" t="s">
        <v>72</v>
      </c>
      <c r="E500" s="117" t="s">
        <v>41</v>
      </c>
      <c r="F500" s="117" t="s">
        <v>42</v>
      </c>
      <c r="G500" s="193" t="s">
        <v>43</v>
      </c>
      <c r="H500" s="117" t="s">
        <v>1104</v>
      </c>
      <c r="I500" s="35"/>
      <c r="J500" s="36"/>
      <c r="K500" s="36"/>
      <c r="L500" s="36"/>
      <c r="M500" s="36"/>
      <c r="N500" s="36"/>
      <c r="O500" s="36"/>
      <c r="P500" s="36"/>
      <c r="Q500" s="36"/>
      <c r="R500" s="36"/>
      <c r="S500" s="36"/>
      <c r="T500" s="36"/>
      <c r="U500" s="36"/>
      <c r="V500" s="36"/>
      <c r="W500" s="36"/>
      <c r="X500" s="36"/>
      <c r="Y500" s="36"/>
      <c r="Z500" s="36"/>
      <c r="AA500" s="36"/>
      <c r="AB500" s="36"/>
    </row>
    <row r="501" spans="1:28" ht="12" hidden="1" customHeight="1">
      <c r="A501" s="207" t="s">
        <v>1201</v>
      </c>
      <c r="B501" s="206">
        <v>2005</v>
      </c>
      <c r="C501" s="117" t="s">
        <v>39</v>
      </c>
      <c r="D501" s="195" t="s">
        <v>1202</v>
      </c>
      <c r="E501" s="117" t="s">
        <v>41</v>
      </c>
      <c r="F501" s="117" t="s">
        <v>42</v>
      </c>
      <c r="G501" s="193" t="s">
        <v>43</v>
      </c>
      <c r="H501" s="117" t="s">
        <v>1104</v>
      </c>
      <c r="I501" s="35"/>
      <c r="J501" s="36"/>
      <c r="K501" s="36"/>
      <c r="L501" s="36"/>
      <c r="M501" s="36"/>
      <c r="N501" s="36"/>
      <c r="O501" s="36"/>
      <c r="P501" s="36"/>
      <c r="Q501" s="36"/>
      <c r="R501" s="36"/>
      <c r="S501" s="36"/>
      <c r="T501" s="36"/>
      <c r="U501" s="36"/>
      <c r="V501" s="36"/>
      <c r="W501" s="36"/>
      <c r="X501" s="36"/>
      <c r="Y501" s="36"/>
      <c r="Z501" s="36"/>
      <c r="AA501" s="36"/>
      <c r="AB501" s="36"/>
    </row>
    <row r="502" spans="1:28" ht="24" hidden="1" customHeight="1">
      <c r="A502" s="207" t="s">
        <v>1203</v>
      </c>
      <c r="B502" s="206">
        <v>2006</v>
      </c>
      <c r="C502" s="117" t="s">
        <v>61</v>
      </c>
      <c r="D502" s="195" t="s">
        <v>1204</v>
      </c>
      <c r="E502" s="117" t="s">
        <v>41</v>
      </c>
      <c r="F502" s="117" t="s">
        <v>42</v>
      </c>
      <c r="G502" s="193" t="s">
        <v>43</v>
      </c>
      <c r="H502" s="117" t="s">
        <v>1104</v>
      </c>
      <c r="I502" s="35"/>
      <c r="J502" s="36"/>
      <c r="K502" s="36"/>
      <c r="L502" s="36"/>
      <c r="M502" s="36"/>
      <c r="N502" s="36"/>
      <c r="O502" s="36"/>
      <c r="P502" s="36"/>
      <c r="Q502" s="36"/>
      <c r="R502" s="36"/>
      <c r="S502" s="36"/>
      <c r="T502" s="36"/>
      <c r="U502" s="36"/>
      <c r="V502" s="36"/>
      <c r="W502" s="36"/>
      <c r="X502" s="36"/>
      <c r="Y502" s="36"/>
      <c r="Z502" s="36"/>
      <c r="AA502" s="36"/>
      <c r="AB502" s="36"/>
    </row>
    <row r="503" spans="1:28" ht="24" hidden="1" customHeight="1">
      <c r="A503" s="207" t="s">
        <v>1205</v>
      </c>
      <c r="B503" s="206">
        <v>2006</v>
      </c>
      <c r="C503" s="117" t="s">
        <v>61</v>
      </c>
      <c r="D503" s="195" t="s">
        <v>1206</v>
      </c>
      <c r="E503" s="117" t="s">
        <v>41</v>
      </c>
      <c r="F503" s="117" t="s">
        <v>42</v>
      </c>
      <c r="G503" s="193" t="s">
        <v>43</v>
      </c>
      <c r="H503" s="117" t="s">
        <v>1104</v>
      </c>
      <c r="I503" s="35"/>
      <c r="J503" s="36"/>
      <c r="K503" s="36"/>
      <c r="L503" s="36"/>
      <c r="M503" s="36"/>
      <c r="N503" s="36"/>
      <c r="O503" s="36"/>
      <c r="P503" s="36"/>
      <c r="Q503" s="36"/>
      <c r="R503" s="36"/>
      <c r="S503" s="36"/>
      <c r="T503" s="36"/>
      <c r="U503" s="36"/>
      <c r="V503" s="36"/>
      <c r="W503" s="36"/>
      <c r="X503" s="36"/>
      <c r="Y503" s="36"/>
      <c r="Z503" s="36"/>
      <c r="AA503" s="36"/>
      <c r="AB503" s="36"/>
    </row>
    <row r="504" spans="1:28" ht="24" hidden="1" customHeight="1">
      <c r="A504" s="207" t="s">
        <v>1207</v>
      </c>
      <c r="B504" s="206">
        <v>2006</v>
      </c>
      <c r="C504" s="117" t="s">
        <v>61</v>
      </c>
      <c r="D504" s="195" t="s">
        <v>1208</v>
      </c>
      <c r="E504" s="117" t="s">
        <v>41</v>
      </c>
      <c r="F504" s="117" t="s">
        <v>42</v>
      </c>
      <c r="G504" s="193" t="s">
        <v>43</v>
      </c>
      <c r="H504" s="117" t="s">
        <v>1104</v>
      </c>
      <c r="I504" s="35"/>
      <c r="J504" s="36"/>
      <c r="K504" s="36"/>
      <c r="L504" s="36"/>
      <c r="M504" s="36"/>
      <c r="N504" s="36"/>
      <c r="O504" s="36"/>
      <c r="P504" s="36"/>
      <c r="Q504" s="36"/>
      <c r="R504" s="36"/>
      <c r="S504" s="36"/>
      <c r="T504" s="36"/>
      <c r="U504" s="36"/>
      <c r="V504" s="36"/>
      <c r="W504" s="36"/>
      <c r="X504" s="36"/>
      <c r="Y504" s="36"/>
      <c r="Z504" s="36"/>
      <c r="AA504" s="36"/>
      <c r="AB504" s="36"/>
    </row>
    <row r="505" spans="1:28" ht="24" hidden="1" customHeight="1">
      <c r="A505" s="207" t="s">
        <v>1209</v>
      </c>
      <c r="B505" s="206">
        <v>2007</v>
      </c>
      <c r="C505" s="117" t="s">
        <v>61</v>
      </c>
      <c r="D505" s="195" t="s">
        <v>1210</v>
      </c>
      <c r="E505" s="117" t="s">
        <v>41</v>
      </c>
      <c r="F505" s="117" t="s">
        <v>42</v>
      </c>
      <c r="G505" s="193" t="s">
        <v>43</v>
      </c>
      <c r="H505" s="117" t="s">
        <v>1104</v>
      </c>
      <c r="I505" s="35"/>
      <c r="J505" s="36"/>
      <c r="K505" s="36"/>
      <c r="L505" s="36"/>
      <c r="M505" s="36"/>
      <c r="N505" s="36"/>
      <c r="O505" s="36"/>
      <c r="P505" s="36"/>
      <c r="Q505" s="36"/>
      <c r="R505" s="36"/>
      <c r="S505" s="36"/>
      <c r="T505" s="36"/>
      <c r="U505" s="36"/>
      <c r="V505" s="36"/>
      <c r="W505" s="36"/>
      <c r="X505" s="36"/>
      <c r="Y505" s="36"/>
      <c r="Z505" s="36"/>
      <c r="AA505" s="36"/>
      <c r="AB505" s="36"/>
    </row>
    <row r="506" spans="1:28" ht="24" hidden="1" customHeight="1">
      <c r="A506" s="207" t="s">
        <v>1211</v>
      </c>
      <c r="B506" s="206">
        <v>2007</v>
      </c>
      <c r="C506" s="117" t="s">
        <v>61</v>
      </c>
      <c r="D506" s="195" t="s">
        <v>1212</v>
      </c>
      <c r="E506" s="117" t="s">
        <v>41</v>
      </c>
      <c r="F506" s="117" t="s">
        <v>42</v>
      </c>
      <c r="G506" s="193" t="s">
        <v>43</v>
      </c>
      <c r="H506" s="117" t="s">
        <v>1104</v>
      </c>
      <c r="I506" s="35"/>
      <c r="J506" s="36"/>
      <c r="K506" s="36"/>
      <c r="L506" s="36"/>
      <c r="M506" s="36"/>
      <c r="N506" s="36"/>
      <c r="O506" s="36"/>
      <c r="P506" s="36"/>
      <c r="Q506" s="36"/>
      <c r="R506" s="36"/>
      <c r="S506" s="36"/>
      <c r="T506" s="36"/>
      <c r="U506" s="36"/>
      <c r="V506" s="36"/>
      <c r="W506" s="36"/>
      <c r="X506" s="36"/>
      <c r="Y506" s="36"/>
      <c r="Z506" s="36"/>
      <c r="AA506" s="36"/>
      <c r="AB506" s="36"/>
    </row>
    <row r="507" spans="1:28" ht="60" hidden="1" customHeight="1">
      <c r="A507" s="207" t="s">
        <v>1010</v>
      </c>
      <c r="B507" s="206">
        <v>2007</v>
      </c>
      <c r="C507" s="117" t="s">
        <v>61</v>
      </c>
      <c r="D507" s="195" t="s">
        <v>1213</v>
      </c>
      <c r="E507" s="117" t="s">
        <v>41</v>
      </c>
      <c r="F507" s="117" t="s">
        <v>42</v>
      </c>
      <c r="G507" s="193" t="s">
        <v>43</v>
      </c>
      <c r="H507" s="117" t="s">
        <v>1104</v>
      </c>
      <c r="I507" s="35"/>
      <c r="J507" s="36"/>
      <c r="K507" s="36"/>
      <c r="L507" s="36"/>
      <c r="M507" s="36"/>
      <c r="N507" s="36"/>
      <c r="O507" s="36"/>
      <c r="P507" s="36"/>
      <c r="Q507" s="36"/>
      <c r="R507" s="36"/>
      <c r="S507" s="36"/>
      <c r="T507" s="36"/>
      <c r="U507" s="36"/>
      <c r="V507" s="36"/>
      <c r="W507" s="36"/>
      <c r="X507" s="36"/>
      <c r="Y507" s="36"/>
      <c r="Z507" s="36"/>
      <c r="AA507" s="36"/>
      <c r="AB507" s="36"/>
    </row>
    <row r="508" spans="1:28" ht="24" hidden="1" customHeight="1">
      <c r="A508" s="207" t="s">
        <v>1214</v>
      </c>
      <c r="B508" s="206">
        <v>2010</v>
      </c>
      <c r="C508" s="117" t="s">
        <v>61</v>
      </c>
      <c r="D508" s="195" t="s">
        <v>1215</v>
      </c>
      <c r="E508" s="117" t="s">
        <v>41</v>
      </c>
      <c r="F508" s="117" t="s">
        <v>42</v>
      </c>
      <c r="G508" s="193" t="s">
        <v>43</v>
      </c>
      <c r="H508" s="117" t="s">
        <v>1104</v>
      </c>
      <c r="I508" s="35"/>
      <c r="J508" s="36"/>
      <c r="K508" s="36"/>
      <c r="L508" s="36"/>
      <c r="M508" s="36"/>
      <c r="N508" s="36"/>
      <c r="O508" s="36"/>
      <c r="P508" s="36"/>
      <c r="Q508" s="36"/>
      <c r="R508" s="36"/>
      <c r="S508" s="36"/>
      <c r="T508" s="36"/>
      <c r="U508" s="36"/>
      <c r="V508" s="36"/>
      <c r="W508" s="36"/>
      <c r="X508" s="36"/>
      <c r="Y508" s="36"/>
      <c r="Z508" s="36"/>
      <c r="AA508" s="36"/>
      <c r="AB508" s="36"/>
    </row>
    <row r="509" spans="1:28" ht="96" hidden="1" customHeight="1">
      <c r="A509" s="207" t="s">
        <v>1216</v>
      </c>
      <c r="B509" s="206">
        <v>2009</v>
      </c>
      <c r="C509" s="117" t="s">
        <v>39</v>
      </c>
      <c r="D509" s="195" t="s">
        <v>1217</v>
      </c>
      <c r="E509" s="117" t="s">
        <v>1218</v>
      </c>
      <c r="F509" s="195" t="s">
        <v>1219</v>
      </c>
      <c r="G509" s="193" t="s">
        <v>43</v>
      </c>
      <c r="H509" s="117" t="s">
        <v>1176</v>
      </c>
      <c r="I509" s="35"/>
      <c r="J509" s="36"/>
      <c r="K509" s="36"/>
      <c r="L509" s="36"/>
      <c r="M509" s="36"/>
      <c r="N509" s="36"/>
      <c r="O509" s="36"/>
      <c r="P509" s="36"/>
      <c r="Q509" s="36"/>
      <c r="R509" s="36"/>
      <c r="S509" s="36"/>
      <c r="T509" s="36"/>
      <c r="U509" s="36"/>
      <c r="V509" s="36"/>
      <c r="W509" s="36"/>
      <c r="X509" s="36"/>
      <c r="Y509" s="36"/>
      <c r="Z509" s="36"/>
      <c r="AA509" s="36"/>
      <c r="AB509" s="36"/>
    </row>
    <row r="510" spans="1:28" ht="48" hidden="1" customHeight="1">
      <c r="A510" s="207" t="s">
        <v>1220</v>
      </c>
      <c r="B510" s="206">
        <v>2010</v>
      </c>
      <c r="C510" s="117" t="s">
        <v>61</v>
      </c>
      <c r="D510" s="195" t="s">
        <v>77</v>
      </c>
      <c r="E510" s="117" t="s">
        <v>41</v>
      </c>
      <c r="F510" s="117" t="s">
        <v>42</v>
      </c>
      <c r="G510" s="193" t="s">
        <v>43</v>
      </c>
      <c r="H510" s="117" t="s">
        <v>1104</v>
      </c>
      <c r="I510" s="35"/>
      <c r="J510" s="36"/>
      <c r="K510" s="36"/>
      <c r="L510" s="36"/>
      <c r="M510" s="36"/>
      <c r="N510" s="36"/>
      <c r="O510" s="36"/>
      <c r="P510" s="36"/>
      <c r="Q510" s="36"/>
      <c r="R510" s="36"/>
      <c r="S510" s="36"/>
      <c r="T510" s="36"/>
      <c r="U510" s="36"/>
      <c r="V510" s="36"/>
      <c r="W510" s="36"/>
      <c r="X510" s="36"/>
      <c r="Y510" s="36"/>
      <c r="Z510" s="36"/>
      <c r="AA510" s="36"/>
      <c r="AB510" s="36"/>
    </row>
    <row r="511" spans="1:28" ht="48" hidden="1" customHeight="1">
      <c r="A511" s="207" t="s">
        <v>277</v>
      </c>
      <c r="B511" s="206">
        <v>2010</v>
      </c>
      <c r="C511" s="117" t="s">
        <v>61</v>
      </c>
      <c r="D511" s="195" t="s">
        <v>1221</v>
      </c>
      <c r="E511" s="117" t="s">
        <v>41</v>
      </c>
      <c r="F511" s="117" t="s">
        <v>42</v>
      </c>
      <c r="G511" s="193" t="s">
        <v>43</v>
      </c>
      <c r="H511" s="117" t="s">
        <v>1104</v>
      </c>
      <c r="I511" s="35"/>
      <c r="J511" s="36"/>
      <c r="K511" s="36"/>
      <c r="L511" s="36"/>
      <c r="M511" s="36"/>
      <c r="N511" s="36"/>
      <c r="O511" s="36"/>
      <c r="P511" s="36"/>
      <c r="Q511" s="36"/>
      <c r="R511" s="36"/>
      <c r="S511" s="36"/>
      <c r="T511" s="36"/>
      <c r="U511" s="36"/>
      <c r="V511" s="36"/>
      <c r="W511" s="36"/>
      <c r="X511" s="36"/>
      <c r="Y511" s="36"/>
      <c r="Z511" s="36"/>
      <c r="AA511" s="36"/>
      <c r="AB511" s="36"/>
    </row>
    <row r="512" spans="1:28" ht="24" hidden="1" customHeight="1">
      <c r="A512" s="207" t="s">
        <v>1222</v>
      </c>
      <c r="B512" s="206">
        <v>2010</v>
      </c>
      <c r="C512" s="117" t="s">
        <v>1223</v>
      </c>
      <c r="D512" s="195" t="s">
        <v>1224</v>
      </c>
      <c r="E512" s="117" t="s">
        <v>41</v>
      </c>
      <c r="F512" s="117" t="s">
        <v>42</v>
      </c>
      <c r="G512" s="193" t="s">
        <v>43</v>
      </c>
      <c r="H512" s="117" t="s">
        <v>1104</v>
      </c>
      <c r="I512" s="35"/>
      <c r="J512" s="36"/>
      <c r="K512" s="36"/>
      <c r="L512" s="36"/>
      <c r="M512" s="36"/>
      <c r="N512" s="36"/>
      <c r="O512" s="36"/>
      <c r="P512" s="36"/>
      <c r="Q512" s="36"/>
      <c r="R512" s="36"/>
      <c r="S512" s="36"/>
      <c r="T512" s="36"/>
      <c r="U512" s="36"/>
      <c r="V512" s="36"/>
      <c r="W512" s="36"/>
      <c r="X512" s="36"/>
      <c r="Y512" s="36"/>
      <c r="Z512" s="36"/>
      <c r="AA512" s="36"/>
      <c r="AB512" s="36"/>
    </row>
    <row r="513" spans="1:28" ht="24" hidden="1" customHeight="1">
      <c r="A513" s="207" t="s">
        <v>1225</v>
      </c>
      <c r="B513" s="206">
        <v>2010</v>
      </c>
      <c r="C513" s="117" t="s">
        <v>39</v>
      </c>
      <c r="D513" s="195" t="s">
        <v>1226</v>
      </c>
      <c r="E513" s="117" t="s">
        <v>41</v>
      </c>
      <c r="F513" s="117" t="s">
        <v>42</v>
      </c>
      <c r="G513" s="193" t="s">
        <v>43</v>
      </c>
      <c r="H513" s="117" t="s">
        <v>1104</v>
      </c>
      <c r="I513" s="35"/>
      <c r="J513" s="36"/>
      <c r="K513" s="36"/>
      <c r="L513" s="36"/>
      <c r="M513" s="36"/>
      <c r="N513" s="36"/>
      <c r="O513" s="36"/>
      <c r="P513" s="36"/>
      <c r="Q513" s="36"/>
      <c r="R513" s="36"/>
      <c r="S513" s="36"/>
      <c r="T513" s="36"/>
      <c r="U513" s="36"/>
      <c r="V513" s="36"/>
      <c r="W513" s="36"/>
      <c r="X513" s="36"/>
      <c r="Y513" s="36"/>
      <c r="Z513" s="36"/>
      <c r="AA513" s="36"/>
      <c r="AB513" s="36"/>
    </row>
    <row r="514" spans="1:28" ht="12" hidden="1" customHeight="1">
      <c r="A514" s="207" t="s">
        <v>1227</v>
      </c>
      <c r="B514" s="206">
        <v>2011</v>
      </c>
      <c r="C514" s="117" t="s">
        <v>39</v>
      </c>
      <c r="D514" s="195" t="s">
        <v>1228</v>
      </c>
      <c r="E514" s="117" t="s">
        <v>41</v>
      </c>
      <c r="F514" s="117" t="s">
        <v>42</v>
      </c>
      <c r="G514" s="193" t="s">
        <v>43</v>
      </c>
      <c r="H514" s="117" t="s">
        <v>1104</v>
      </c>
      <c r="I514" s="35"/>
      <c r="J514" s="36"/>
      <c r="K514" s="36"/>
      <c r="L514" s="36"/>
      <c r="M514" s="36"/>
      <c r="N514" s="36"/>
      <c r="O514" s="36"/>
      <c r="P514" s="36"/>
      <c r="Q514" s="36"/>
      <c r="R514" s="36"/>
      <c r="S514" s="36"/>
      <c r="T514" s="36"/>
      <c r="U514" s="36"/>
      <c r="V514" s="36"/>
      <c r="W514" s="36"/>
      <c r="X514" s="36"/>
      <c r="Y514" s="36"/>
      <c r="Z514" s="36"/>
      <c r="AA514" s="36"/>
      <c r="AB514" s="36"/>
    </row>
    <row r="515" spans="1:28" ht="36" hidden="1" customHeight="1">
      <c r="A515" s="207" t="s">
        <v>78</v>
      </c>
      <c r="B515" s="206">
        <v>2011</v>
      </c>
      <c r="C515" s="117" t="s">
        <v>61</v>
      </c>
      <c r="D515" s="195" t="s">
        <v>1229</v>
      </c>
      <c r="E515" s="117" t="s">
        <v>41</v>
      </c>
      <c r="F515" s="117" t="s">
        <v>42</v>
      </c>
      <c r="G515" s="193" t="s">
        <v>43</v>
      </c>
      <c r="H515" s="117" t="s">
        <v>1104</v>
      </c>
      <c r="I515" s="35"/>
      <c r="J515" s="36"/>
      <c r="K515" s="36"/>
      <c r="L515" s="36"/>
      <c r="M515" s="36"/>
      <c r="N515" s="36"/>
      <c r="O515" s="36"/>
      <c r="P515" s="36"/>
      <c r="Q515" s="36"/>
      <c r="R515" s="36"/>
      <c r="S515" s="36"/>
      <c r="T515" s="36"/>
      <c r="U515" s="36"/>
      <c r="V515" s="36"/>
      <c r="W515" s="36"/>
      <c r="X515" s="36"/>
      <c r="Y515" s="36"/>
      <c r="Z515" s="36"/>
      <c r="AA515" s="36"/>
      <c r="AB515" s="36"/>
    </row>
    <row r="516" spans="1:28" ht="36" hidden="1" customHeight="1">
      <c r="A516" s="207" t="s">
        <v>1230</v>
      </c>
      <c r="B516" s="206">
        <v>2012</v>
      </c>
      <c r="C516" s="117" t="s">
        <v>39</v>
      </c>
      <c r="D516" s="195" t="s">
        <v>1036</v>
      </c>
      <c r="E516" s="117" t="s">
        <v>41</v>
      </c>
      <c r="F516" s="117" t="s">
        <v>42</v>
      </c>
      <c r="G516" s="193" t="s">
        <v>43</v>
      </c>
      <c r="H516" s="117" t="s">
        <v>1104</v>
      </c>
      <c r="I516" s="35"/>
      <c r="J516" s="36"/>
      <c r="K516" s="36"/>
      <c r="L516" s="36"/>
      <c r="M516" s="36"/>
      <c r="N516" s="36"/>
      <c r="O516" s="36"/>
      <c r="P516" s="36"/>
      <c r="Q516" s="36"/>
      <c r="R516" s="36"/>
      <c r="S516" s="36"/>
      <c r="T516" s="36"/>
      <c r="U516" s="36"/>
      <c r="V516" s="36"/>
      <c r="W516" s="36"/>
      <c r="X516" s="36"/>
      <c r="Y516" s="36"/>
      <c r="Z516" s="36"/>
      <c r="AA516" s="36"/>
      <c r="AB516" s="36"/>
    </row>
    <row r="517" spans="1:28" ht="24" hidden="1" customHeight="1">
      <c r="A517" s="207" t="s">
        <v>1231</v>
      </c>
      <c r="B517" s="206">
        <v>2012</v>
      </c>
      <c r="C517" s="117" t="s">
        <v>1232</v>
      </c>
      <c r="D517" s="195" t="s">
        <v>1233</v>
      </c>
      <c r="E517" s="117" t="s">
        <v>41</v>
      </c>
      <c r="F517" s="117" t="s">
        <v>42</v>
      </c>
      <c r="G517" s="193" t="s">
        <v>43</v>
      </c>
      <c r="H517" s="117" t="s">
        <v>1104</v>
      </c>
      <c r="I517" s="35"/>
      <c r="J517" s="36"/>
      <c r="K517" s="36"/>
      <c r="L517" s="36"/>
      <c r="M517" s="36"/>
      <c r="N517" s="36"/>
      <c r="O517" s="36"/>
      <c r="P517" s="36"/>
      <c r="Q517" s="36"/>
      <c r="R517" s="36"/>
      <c r="S517" s="36"/>
      <c r="T517" s="36"/>
      <c r="U517" s="36"/>
      <c r="V517" s="36"/>
      <c r="W517" s="36"/>
      <c r="X517" s="36"/>
      <c r="Y517" s="36"/>
      <c r="Z517" s="36"/>
      <c r="AA517" s="36"/>
      <c r="AB517" s="36"/>
    </row>
    <row r="518" spans="1:28" ht="48" hidden="1" customHeight="1">
      <c r="A518" s="207" t="s">
        <v>1234</v>
      </c>
      <c r="B518" s="206">
        <v>2013</v>
      </c>
      <c r="C518" s="117" t="s">
        <v>61</v>
      </c>
      <c r="D518" s="195" t="s">
        <v>1235</v>
      </c>
      <c r="E518" s="117" t="s">
        <v>41</v>
      </c>
      <c r="F518" s="117" t="s">
        <v>42</v>
      </c>
      <c r="G518" s="193" t="s">
        <v>43</v>
      </c>
      <c r="H518" s="117" t="s">
        <v>1104</v>
      </c>
      <c r="I518" s="35"/>
      <c r="J518" s="36"/>
      <c r="K518" s="36"/>
      <c r="L518" s="36"/>
      <c r="M518" s="36"/>
      <c r="N518" s="36"/>
      <c r="O518" s="36"/>
      <c r="P518" s="36"/>
      <c r="Q518" s="36"/>
      <c r="R518" s="36"/>
      <c r="S518" s="36"/>
      <c r="T518" s="36"/>
      <c r="U518" s="36"/>
      <c r="V518" s="36"/>
      <c r="W518" s="36"/>
      <c r="X518" s="36"/>
      <c r="Y518" s="36"/>
      <c r="Z518" s="36"/>
      <c r="AA518" s="36"/>
      <c r="AB518" s="36"/>
    </row>
    <row r="519" spans="1:28" ht="24" hidden="1" customHeight="1">
      <c r="A519" s="207" t="s">
        <v>834</v>
      </c>
      <c r="B519" s="206">
        <v>2013</v>
      </c>
      <c r="C519" s="117" t="s">
        <v>61</v>
      </c>
      <c r="D519" s="195" t="s">
        <v>1236</v>
      </c>
      <c r="E519" s="117" t="s">
        <v>41</v>
      </c>
      <c r="F519" s="117" t="s">
        <v>42</v>
      </c>
      <c r="G519" s="193" t="s">
        <v>43</v>
      </c>
      <c r="H519" s="117" t="s">
        <v>1104</v>
      </c>
      <c r="I519" s="35"/>
      <c r="J519" s="36"/>
      <c r="K519" s="36"/>
      <c r="L519" s="36"/>
      <c r="M519" s="36"/>
      <c r="N519" s="36"/>
      <c r="O519" s="36"/>
      <c r="P519" s="36"/>
      <c r="Q519" s="36"/>
      <c r="R519" s="36"/>
      <c r="S519" s="36"/>
      <c r="T519" s="36"/>
      <c r="U519" s="36"/>
      <c r="V519" s="36"/>
      <c r="W519" s="36"/>
      <c r="X519" s="36"/>
      <c r="Y519" s="36"/>
      <c r="Z519" s="36"/>
      <c r="AA519" s="36"/>
      <c r="AB519" s="36"/>
    </row>
    <row r="520" spans="1:28" ht="24" hidden="1" customHeight="1">
      <c r="A520" s="207" t="s">
        <v>1237</v>
      </c>
      <c r="B520" s="206">
        <v>2014</v>
      </c>
      <c r="C520" s="117" t="s">
        <v>550</v>
      </c>
      <c r="D520" s="195" t="s">
        <v>1238</v>
      </c>
      <c r="E520" s="117" t="s">
        <v>41</v>
      </c>
      <c r="F520" s="117" t="s">
        <v>42</v>
      </c>
      <c r="G520" s="193" t="s">
        <v>43</v>
      </c>
      <c r="H520" s="117" t="s">
        <v>1104</v>
      </c>
      <c r="I520" s="35"/>
      <c r="J520" s="36"/>
      <c r="K520" s="36"/>
      <c r="L520" s="36"/>
      <c r="M520" s="36"/>
      <c r="N520" s="36"/>
      <c r="O520" s="36"/>
      <c r="P520" s="36"/>
      <c r="Q520" s="36"/>
      <c r="R520" s="36"/>
      <c r="S520" s="36"/>
      <c r="T520" s="36"/>
      <c r="U520" s="36"/>
      <c r="V520" s="36"/>
      <c r="W520" s="36"/>
      <c r="X520" s="36"/>
      <c r="Y520" s="36"/>
      <c r="Z520" s="36"/>
      <c r="AA520" s="36"/>
      <c r="AB520" s="36"/>
    </row>
    <row r="521" spans="1:28" ht="36" hidden="1" customHeight="1">
      <c r="A521" s="207" t="s">
        <v>1239</v>
      </c>
      <c r="B521" s="206">
        <v>2014</v>
      </c>
      <c r="C521" s="117" t="s">
        <v>61</v>
      </c>
      <c r="D521" s="195" t="s">
        <v>836</v>
      </c>
      <c r="E521" s="117" t="s">
        <v>41</v>
      </c>
      <c r="F521" s="117" t="s">
        <v>42</v>
      </c>
      <c r="G521" s="193" t="s">
        <v>43</v>
      </c>
      <c r="H521" s="117" t="s">
        <v>1104</v>
      </c>
      <c r="I521" s="35"/>
      <c r="J521" s="36"/>
      <c r="K521" s="36"/>
      <c r="L521" s="36"/>
      <c r="M521" s="36"/>
      <c r="N521" s="36"/>
      <c r="O521" s="36"/>
      <c r="P521" s="36"/>
      <c r="Q521" s="36"/>
      <c r="R521" s="36"/>
      <c r="S521" s="36"/>
      <c r="T521" s="36"/>
      <c r="U521" s="36"/>
      <c r="V521" s="36"/>
      <c r="W521" s="36"/>
      <c r="X521" s="36"/>
      <c r="Y521" s="36"/>
      <c r="Z521" s="36"/>
      <c r="AA521" s="36"/>
      <c r="AB521" s="36"/>
    </row>
    <row r="522" spans="1:28" ht="48" hidden="1" customHeight="1">
      <c r="A522" s="207" t="s">
        <v>1240</v>
      </c>
      <c r="B522" s="206">
        <v>2014</v>
      </c>
      <c r="C522" s="117" t="s">
        <v>39</v>
      </c>
      <c r="D522" s="195" t="s">
        <v>1241</v>
      </c>
      <c r="E522" s="117" t="s">
        <v>1242</v>
      </c>
      <c r="F522" s="195" t="s">
        <v>1243</v>
      </c>
      <c r="G522" s="193" t="s">
        <v>43</v>
      </c>
      <c r="H522" s="117" t="s">
        <v>1176</v>
      </c>
      <c r="I522" s="35"/>
      <c r="J522" s="36"/>
      <c r="K522" s="36"/>
      <c r="L522" s="36"/>
      <c r="M522" s="36"/>
      <c r="N522" s="36"/>
      <c r="O522" s="36"/>
      <c r="P522" s="36"/>
      <c r="Q522" s="36"/>
      <c r="R522" s="36"/>
      <c r="S522" s="36"/>
      <c r="T522" s="36"/>
      <c r="U522" s="36"/>
      <c r="V522" s="36"/>
      <c r="W522" s="36"/>
      <c r="X522" s="36"/>
      <c r="Y522" s="36"/>
      <c r="Z522" s="36"/>
      <c r="AA522" s="36"/>
      <c r="AB522" s="36"/>
    </row>
    <row r="523" spans="1:28" ht="48" hidden="1" customHeight="1">
      <c r="A523" s="207" t="s">
        <v>1244</v>
      </c>
      <c r="B523" s="206">
        <v>2014</v>
      </c>
      <c r="C523" s="117" t="s">
        <v>61</v>
      </c>
      <c r="D523" s="195" t="s">
        <v>1245</v>
      </c>
      <c r="E523" s="117" t="s">
        <v>41</v>
      </c>
      <c r="F523" s="117" t="s">
        <v>42</v>
      </c>
      <c r="G523" s="193" t="s">
        <v>43</v>
      </c>
      <c r="H523" s="117" t="s">
        <v>1104</v>
      </c>
      <c r="I523" s="35"/>
      <c r="J523" s="36"/>
      <c r="K523" s="36"/>
      <c r="L523" s="36"/>
      <c r="M523" s="36"/>
      <c r="N523" s="36"/>
      <c r="O523" s="36"/>
      <c r="P523" s="36"/>
      <c r="Q523" s="36"/>
      <c r="R523" s="36"/>
      <c r="S523" s="36"/>
      <c r="T523" s="36"/>
      <c r="U523" s="36"/>
      <c r="V523" s="36"/>
      <c r="W523" s="36"/>
      <c r="X523" s="36"/>
      <c r="Y523" s="36"/>
      <c r="Z523" s="36"/>
      <c r="AA523" s="36"/>
      <c r="AB523" s="36"/>
    </row>
    <row r="524" spans="1:28" ht="36" hidden="1" customHeight="1">
      <c r="A524" s="207" t="s">
        <v>1246</v>
      </c>
      <c r="B524" s="206">
        <v>2015</v>
      </c>
      <c r="C524" s="117" t="s">
        <v>61</v>
      </c>
      <c r="D524" s="195" t="s">
        <v>1247</v>
      </c>
      <c r="E524" s="117" t="s">
        <v>41</v>
      </c>
      <c r="F524" s="117" t="s">
        <v>42</v>
      </c>
      <c r="G524" s="193" t="s">
        <v>43</v>
      </c>
      <c r="H524" s="117" t="s">
        <v>1104</v>
      </c>
      <c r="I524" s="35"/>
      <c r="J524" s="36"/>
      <c r="K524" s="36"/>
      <c r="L524" s="36"/>
      <c r="M524" s="36"/>
      <c r="N524" s="36"/>
      <c r="O524" s="36"/>
      <c r="P524" s="36"/>
      <c r="Q524" s="36"/>
      <c r="R524" s="36"/>
      <c r="S524" s="36"/>
      <c r="T524" s="36"/>
      <c r="U524" s="36"/>
      <c r="V524" s="36"/>
      <c r="W524" s="36"/>
      <c r="X524" s="36"/>
      <c r="Y524" s="36"/>
      <c r="Z524" s="36"/>
      <c r="AA524" s="36"/>
      <c r="AB524" s="36"/>
    </row>
    <row r="525" spans="1:28" ht="24" hidden="1" customHeight="1">
      <c r="A525" s="207" t="s">
        <v>1248</v>
      </c>
      <c r="B525" s="206">
        <v>2015</v>
      </c>
      <c r="C525" s="117" t="s">
        <v>61</v>
      </c>
      <c r="D525" s="195" t="s">
        <v>1249</v>
      </c>
      <c r="E525" s="117" t="s">
        <v>41</v>
      </c>
      <c r="F525" s="117" t="s">
        <v>42</v>
      </c>
      <c r="G525" s="193" t="s">
        <v>43</v>
      </c>
      <c r="H525" s="117" t="s">
        <v>1104</v>
      </c>
      <c r="I525" s="35"/>
      <c r="J525" s="36"/>
      <c r="K525" s="36"/>
      <c r="L525" s="36"/>
      <c r="M525" s="36"/>
      <c r="N525" s="36"/>
      <c r="O525" s="36"/>
      <c r="P525" s="36"/>
      <c r="Q525" s="36"/>
      <c r="R525" s="36"/>
      <c r="S525" s="36"/>
      <c r="T525" s="36"/>
      <c r="U525" s="36"/>
      <c r="V525" s="36"/>
      <c r="W525" s="36"/>
      <c r="X525" s="36"/>
      <c r="Y525" s="36"/>
      <c r="Z525" s="36"/>
      <c r="AA525" s="36"/>
      <c r="AB525" s="36"/>
    </row>
    <row r="526" spans="1:28" ht="24" hidden="1" customHeight="1">
      <c r="A526" s="207" t="s">
        <v>301</v>
      </c>
      <c r="B526" s="206">
        <v>2015</v>
      </c>
      <c r="C526" s="117" t="s">
        <v>39</v>
      </c>
      <c r="D526" s="195" t="s">
        <v>1250</v>
      </c>
      <c r="E526" s="117" t="s">
        <v>41</v>
      </c>
      <c r="F526" s="117" t="s">
        <v>42</v>
      </c>
      <c r="G526" s="193" t="s">
        <v>43</v>
      </c>
      <c r="H526" s="117" t="s">
        <v>1104</v>
      </c>
      <c r="I526" s="35"/>
      <c r="J526" s="36"/>
      <c r="K526" s="36"/>
      <c r="L526" s="36"/>
      <c r="M526" s="36"/>
      <c r="N526" s="36"/>
      <c r="O526" s="36"/>
      <c r="P526" s="36"/>
      <c r="Q526" s="36"/>
      <c r="R526" s="36"/>
      <c r="S526" s="36"/>
      <c r="T526" s="36"/>
      <c r="U526" s="36"/>
      <c r="V526" s="36"/>
      <c r="W526" s="36"/>
      <c r="X526" s="36"/>
      <c r="Y526" s="36"/>
      <c r="Z526" s="36"/>
      <c r="AA526" s="36"/>
      <c r="AB526" s="36"/>
    </row>
    <row r="527" spans="1:28" ht="24" hidden="1" customHeight="1">
      <c r="A527" s="207" t="s">
        <v>1251</v>
      </c>
      <c r="B527" s="206">
        <v>2015</v>
      </c>
      <c r="C527" s="117" t="s">
        <v>39</v>
      </c>
      <c r="D527" s="195" t="s">
        <v>1252</v>
      </c>
      <c r="E527" s="117" t="s">
        <v>41</v>
      </c>
      <c r="F527" s="117" t="s">
        <v>42</v>
      </c>
      <c r="G527" s="193" t="s">
        <v>43</v>
      </c>
      <c r="H527" s="117" t="s">
        <v>1104</v>
      </c>
      <c r="I527" s="35"/>
      <c r="J527" s="36"/>
      <c r="K527" s="36"/>
      <c r="L527" s="36"/>
      <c r="M527" s="36"/>
      <c r="N527" s="36"/>
      <c r="O527" s="36"/>
      <c r="P527" s="36"/>
      <c r="Q527" s="36"/>
      <c r="R527" s="36"/>
      <c r="S527" s="36"/>
      <c r="T527" s="36"/>
      <c r="U527" s="36"/>
      <c r="V527" s="36"/>
      <c r="W527" s="36"/>
      <c r="X527" s="36"/>
      <c r="Y527" s="36"/>
      <c r="Z527" s="36"/>
      <c r="AA527" s="36"/>
      <c r="AB527" s="36"/>
    </row>
    <row r="528" spans="1:28" ht="24" hidden="1" customHeight="1">
      <c r="A528" s="215" t="s">
        <v>1253</v>
      </c>
      <c r="B528" s="204">
        <v>2015</v>
      </c>
      <c r="C528" s="201" t="s">
        <v>39</v>
      </c>
      <c r="D528" s="202" t="s">
        <v>1254</v>
      </c>
      <c r="E528" s="201" t="s">
        <v>41</v>
      </c>
      <c r="F528" s="201" t="s">
        <v>42</v>
      </c>
      <c r="G528" s="216" t="s">
        <v>43</v>
      </c>
      <c r="H528" s="201" t="s">
        <v>1104</v>
      </c>
      <c r="I528" s="35"/>
      <c r="J528" s="36"/>
      <c r="K528" s="36"/>
      <c r="L528" s="36"/>
      <c r="M528" s="36"/>
      <c r="N528" s="36"/>
      <c r="O528" s="36"/>
      <c r="P528" s="36"/>
      <c r="Q528" s="36"/>
      <c r="R528" s="36"/>
      <c r="S528" s="36"/>
      <c r="T528" s="36"/>
      <c r="U528" s="36"/>
      <c r="V528" s="36"/>
      <c r="W528" s="36"/>
      <c r="X528" s="36"/>
      <c r="Y528" s="36"/>
      <c r="Z528" s="36"/>
      <c r="AA528" s="36"/>
      <c r="AB528" s="36"/>
    </row>
    <row r="529" spans="1:28" ht="96" hidden="1" customHeight="1">
      <c r="A529" s="215" t="s">
        <v>1255</v>
      </c>
      <c r="B529" s="204">
        <v>2015</v>
      </c>
      <c r="C529" s="201" t="s">
        <v>39</v>
      </c>
      <c r="D529" s="202" t="s">
        <v>1256</v>
      </c>
      <c r="E529" s="201" t="s">
        <v>41</v>
      </c>
      <c r="F529" s="201" t="s">
        <v>42</v>
      </c>
      <c r="G529" s="216" t="s">
        <v>43</v>
      </c>
      <c r="H529" s="201" t="s">
        <v>1104</v>
      </c>
      <c r="I529" s="35"/>
      <c r="J529" s="36"/>
      <c r="K529" s="36"/>
      <c r="L529" s="36"/>
      <c r="M529" s="36"/>
      <c r="N529" s="36"/>
      <c r="O529" s="36"/>
      <c r="P529" s="36"/>
      <c r="Q529" s="36"/>
      <c r="R529" s="36"/>
      <c r="S529" s="36"/>
      <c r="T529" s="36"/>
      <c r="U529" s="36"/>
      <c r="V529" s="36"/>
      <c r="W529" s="36"/>
      <c r="X529" s="36"/>
      <c r="Y529" s="36"/>
      <c r="Z529" s="36"/>
      <c r="AA529" s="36"/>
      <c r="AB529" s="36"/>
    </row>
    <row r="530" spans="1:28" ht="36" hidden="1" customHeight="1">
      <c r="A530" s="215" t="s">
        <v>1257</v>
      </c>
      <c r="B530" s="204">
        <v>2016</v>
      </c>
      <c r="C530" s="201" t="s">
        <v>39</v>
      </c>
      <c r="D530" s="202" t="s">
        <v>1258</v>
      </c>
      <c r="E530" s="201" t="s">
        <v>41</v>
      </c>
      <c r="F530" s="201" t="s">
        <v>42</v>
      </c>
      <c r="G530" s="216" t="s">
        <v>43</v>
      </c>
      <c r="H530" s="201" t="s">
        <v>1104</v>
      </c>
      <c r="I530" s="35"/>
      <c r="J530" s="36"/>
      <c r="K530" s="36"/>
      <c r="L530" s="36"/>
      <c r="M530" s="36"/>
      <c r="N530" s="36"/>
      <c r="O530" s="36"/>
      <c r="P530" s="36"/>
      <c r="Q530" s="36"/>
      <c r="R530" s="36"/>
      <c r="S530" s="36"/>
      <c r="T530" s="36"/>
      <c r="U530" s="36"/>
      <c r="V530" s="36"/>
      <c r="W530" s="36"/>
      <c r="X530" s="36"/>
      <c r="Y530" s="36"/>
      <c r="Z530" s="36"/>
      <c r="AA530" s="36"/>
      <c r="AB530" s="36"/>
    </row>
    <row r="531" spans="1:28" ht="48" hidden="1" customHeight="1">
      <c r="A531" s="215" t="s">
        <v>1259</v>
      </c>
      <c r="B531" s="204">
        <v>2016</v>
      </c>
      <c r="C531" s="201" t="s">
        <v>61</v>
      </c>
      <c r="D531" s="202" t="s">
        <v>1260</v>
      </c>
      <c r="E531" s="201" t="s">
        <v>41</v>
      </c>
      <c r="F531" s="201" t="s">
        <v>42</v>
      </c>
      <c r="G531" s="216" t="s">
        <v>43</v>
      </c>
      <c r="H531" s="201" t="s">
        <v>1104</v>
      </c>
      <c r="I531" s="35"/>
      <c r="J531" s="36"/>
      <c r="K531" s="36"/>
      <c r="L531" s="36"/>
      <c r="M531" s="36"/>
      <c r="N531" s="36"/>
      <c r="O531" s="36"/>
      <c r="P531" s="36"/>
      <c r="Q531" s="36"/>
      <c r="R531" s="36"/>
      <c r="S531" s="36"/>
      <c r="T531" s="36"/>
      <c r="U531" s="36"/>
      <c r="V531" s="36"/>
      <c r="W531" s="36"/>
      <c r="X531" s="36"/>
      <c r="Y531" s="36"/>
      <c r="Z531" s="36"/>
      <c r="AA531" s="36"/>
      <c r="AB531" s="36"/>
    </row>
    <row r="532" spans="1:28" ht="36" hidden="1" customHeight="1">
      <c r="A532" s="215" t="s">
        <v>1261</v>
      </c>
      <c r="B532" s="204">
        <v>2016</v>
      </c>
      <c r="C532" s="201" t="s">
        <v>61</v>
      </c>
      <c r="D532" s="202" t="s">
        <v>1262</v>
      </c>
      <c r="E532" s="201" t="s">
        <v>41</v>
      </c>
      <c r="F532" s="201" t="s">
        <v>42</v>
      </c>
      <c r="G532" s="216" t="s">
        <v>43</v>
      </c>
      <c r="H532" s="201" t="s">
        <v>1104</v>
      </c>
      <c r="I532" s="35"/>
      <c r="J532" s="36"/>
      <c r="K532" s="36"/>
      <c r="L532" s="36"/>
      <c r="M532" s="36"/>
      <c r="N532" s="36"/>
      <c r="O532" s="36"/>
      <c r="P532" s="36"/>
      <c r="Q532" s="36"/>
      <c r="R532" s="36"/>
      <c r="S532" s="36"/>
      <c r="T532" s="36"/>
      <c r="U532" s="36"/>
      <c r="V532" s="36"/>
      <c r="W532" s="36"/>
      <c r="X532" s="36"/>
      <c r="Y532" s="36"/>
      <c r="Z532" s="36"/>
      <c r="AA532" s="36"/>
      <c r="AB532" s="36"/>
    </row>
    <row r="533" spans="1:28" ht="48" hidden="1" customHeight="1">
      <c r="A533" s="215" t="s">
        <v>1263</v>
      </c>
      <c r="B533" s="204">
        <v>2016</v>
      </c>
      <c r="C533" s="201" t="s">
        <v>61</v>
      </c>
      <c r="D533" s="202" t="s">
        <v>1264</v>
      </c>
      <c r="E533" s="201" t="s">
        <v>41</v>
      </c>
      <c r="F533" s="201" t="s">
        <v>42</v>
      </c>
      <c r="G533" s="216" t="s">
        <v>43</v>
      </c>
      <c r="H533" s="201" t="s">
        <v>1104</v>
      </c>
      <c r="I533" s="35"/>
      <c r="J533" s="36"/>
      <c r="K533" s="36"/>
      <c r="L533" s="36"/>
      <c r="M533" s="36"/>
      <c r="N533" s="36"/>
      <c r="O533" s="36"/>
      <c r="P533" s="36"/>
      <c r="Q533" s="36"/>
      <c r="R533" s="36"/>
      <c r="S533" s="36"/>
      <c r="T533" s="36"/>
      <c r="U533" s="36"/>
      <c r="V533" s="36"/>
      <c r="W533" s="36"/>
      <c r="X533" s="36"/>
      <c r="Y533" s="36"/>
      <c r="Z533" s="36"/>
      <c r="AA533" s="36"/>
      <c r="AB533" s="36"/>
    </row>
    <row r="534" spans="1:28" ht="24" hidden="1" customHeight="1">
      <c r="A534" s="215" t="s">
        <v>1265</v>
      </c>
      <c r="B534" s="204">
        <v>2017</v>
      </c>
      <c r="C534" s="201" t="s">
        <v>39</v>
      </c>
      <c r="D534" s="202" t="s">
        <v>1266</v>
      </c>
      <c r="E534" s="201" t="s">
        <v>41</v>
      </c>
      <c r="F534" s="201" t="s">
        <v>42</v>
      </c>
      <c r="G534" s="216" t="s">
        <v>43</v>
      </c>
      <c r="H534" s="201" t="s">
        <v>1104</v>
      </c>
      <c r="I534" s="35"/>
      <c r="J534" s="36"/>
      <c r="K534" s="36"/>
      <c r="L534" s="36"/>
      <c r="M534" s="36"/>
      <c r="N534" s="36"/>
      <c r="O534" s="36"/>
      <c r="P534" s="36"/>
      <c r="Q534" s="36"/>
      <c r="R534" s="36"/>
      <c r="S534" s="36"/>
      <c r="T534" s="36"/>
      <c r="U534" s="36"/>
      <c r="V534" s="36"/>
      <c r="W534" s="36"/>
      <c r="X534" s="36"/>
      <c r="Y534" s="36"/>
      <c r="Z534" s="36"/>
      <c r="AA534" s="36"/>
      <c r="AB534" s="36"/>
    </row>
    <row r="535" spans="1:28" ht="72" hidden="1" customHeight="1">
      <c r="A535" s="215" t="s">
        <v>1267</v>
      </c>
      <c r="B535" s="204">
        <v>2017</v>
      </c>
      <c r="C535" s="201" t="s">
        <v>39</v>
      </c>
      <c r="D535" s="202" t="s">
        <v>1268</v>
      </c>
      <c r="E535" s="201" t="s">
        <v>41</v>
      </c>
      <c r="F535" s="201" t="s">
        <v>42</v>
      </c>
      <c r="G535" s="216" t="s">
        <v>43</v>
      </c>
      <c r="H535" s="201" t="s">
        <v>1104</v>
      </c>
      <c r="I535" s="35"/>
      <c r="J535" s="36"/>
      <c r="K535" s="36"/>
      <c r="L535" s="36"/>
      <c r="M535" s="36"/>
      <c r="N535" s="36"/>
      <c r="O535" s="36"/>
      <c r="P535" s="36"/>
      <c r="Q535" s="36"/>
      <c r="R535" s="36"/>
      <c r="S535" s="36"/>
      <c r="T535" s="36"/>
      <c r="U535" s="36"/>
      <c r="V535" s="36"/>
      <c r="W535" s="36"/>
      <c r="X535" s="36"/>
      <c r="Y535" s="36"/>
      <c r="Z535" s="36"/>
      <c r="AA535" s="36"/>
      <c r="AB535" s="36"/>
    </row>
    <row r="536" spans="1:28" ht="36" hidden="1" customHeight="1">
      <c r="A536" s="217" t="s">
        <v>1269</v>
      </c>
      <c r="B536" s="204">
        <v>2017</v>
      </c>
      <c r="C536" s="218" t="s">
        <v>1232</v>
      </c>
      <c r="D536" s="202" t="s">
        <v>1270</v>
      </c>
      <c r="E536" s="201" t="s">
        <v>41</v>
      </c>
      <c r="F536" s="201" t="s">
        <v>42</v>
      </c>
      <c r="G536" s="216" t="s">
        <v>43</v>
      </c>
      <c r="H536" s="201" t="s">
        <v>1104</v>
      </c>
      <c r="I536" s="35"/>
      <c r="J536" s="36"/>
      <c r="K536" s="36"/>
      <c r="L536" s="36"/>
      <c r="M536" s="36"/>
      <c r="N536" s="36"/>
      <c r="O536" s="36"/>
      <c r="P536" s="36"/>
      <c r="Q536" s="36"/>
      <c r="R536" s="36"/>
      <c r="S536" s="36"/>
      <c r="T536" s="36"/>
      <c r="U536" s="36"/>
      <c r="V536" s="36"/>
      <c r="W536" s="36"/>
      <c r="X536" s="36"/>
      <c r="Y536" s="36"/>
      <c r="Z536" s="36"/>
      <c r="AA536" s="36"/>
      <c r="AB536" s="36"/>
    </row>
    <row r="537" spans="1:28" ht="15.75" hidden="1" customHeight="1">
      <c r="A537" s="199" t="s">
        <v>1271</v>
      </c>
      <c r="B537" s="219">
        <v>2003</v>
      </c>
      <c r="C537" s="201" t="s">
        <v>195</v>
      </c>
      <c r="D537" s="202" t="s">
        <v>1272</v>
      </c>
      <c r="E537" s="201" t="s">
        <v>41</v>
      </c>
      <c r="F537" s="201" t="s">
        <v>42</v>
      </c>
      <c r="G537" s="216" t="s">
        <v>43</v>
      </c>
      <c r="H537" s="201" t="s">
        <v>1104</v>
      </c>
      <c r="I537" s="35"/>
      <c r="J537" s="36"/>
      <c r="K537" s="36"/>
      <c r="L537" s="36"/>
      <c r="M537" s="36"/>
      <c r="N537" s="36"/>
      <c r="O537" s="36"/>
      <c r="P537" s="36"/>
      <c r="Q537" s="36"/>
      <c r="R537" s="36"/>
      <c r="S537" s="36"/>
      <c r="T537" s="36"/>
      <c r="U537" s="36"/>
      <c r="V537" s="36"/>
      <c r="W537" s="36"/>
      <c r="X537" s="36"/>
      <c r="Y537" s="36"/>
      <c r="Z537" s="36"/>
      <c r="AA537" s="36"/>
      <c r="AB537" s="36"/>
    </row>
    <row r="538" spans="1:28" ht="36" hidden="1" customHeight="1">
      <c r="A538" s="199" t="s">
        <v>1273</v>
      </c>
      <c r="B538" s="219">
        <v>2008</v>
      </c>
      <c r="C538" s="201" t="s">
        <v>195</v>
      </c>
      <c r="D538" s="202" t="s">
        <v>562</v>
      </c>
      <c r="E538" s="201" t="s">
        <v>41</v>
      </c>
      <c r="F538" s="201" t="s">
        <v>42</v>
      </c>
      <c r="G538" s="216" t="s">
        <v>43</v>
      </c>
      <c r="H538" s="201" t="s">
        <v>1104</v>
      </c>
      <c r="I538" s="35"/>
      <c r="J538" s="36"/>
      <c r="K538" s="36"/>
      <c r="L538" s="36"/>
      <c r="M538" s="36"/>
      <c r="N538" s="36"/>
      <c r="O538" s="36"/>
      <c r="P538" s="36"/>
      <c r="Q538" s="36"/>
      <c r="R538" s="36"/>
      <c r="S538" s="36"/>
      <c r="T538" s="36"/>
      <c r="U538" s="36"/>
      <c r="V538" s="36"/>
      <c r="W538" s="36"/>
      <c r="X538" s="36"/>
      <c r="Y538" s="36"/>
      <c r="Z538" s="36"/>
      <c r="AA538" s="36"/>
      <c r="AB538" s="36"/>
    </row>
    <row r="539" spans="1:28" ht="36" hidden="1" customHeight="1">
      <c r="A539" s="199" t="s">
        <v>1274</v>
      </c>
      <c r="B539" s="219">
        <v>2008</v>
      </c>
      <c r="C539" s="201" t="s">
        <v>195</v>
      </c>
      <c r="D539" s="202" t="s">
        <v>1275</v>
      </c>
      <c r="E539" s="201" t="s">
        <v>41</v>
      </c>
      <c r="F539" s="201" t="s">
        <v>42</v>
      </c>
      <c r="G539" s="216" t="s">
        <v>43</v>
      </c>
      <c r="H539" s="201" t="s">
        <v>1104</v>
      </c>
      <c r="I539" s="35"/>
      <c r="J539" s="36"/>
      <c r="K539" s="36"/>
      <c r="L539" s="36"/>
      <c r="M539" s="36"/>
      <c r="N539" s="36"/>
      <c r="O539" s="36"/>
      <c r="P539" s="36"/>
      <c r="Q539" s="36"/>
      <c r="R539" s="36"/>
      <c r="S539" s="36"/>
      <c r="T539" s="36"/>
      <c r="U539" s="36"/>
      <c r="V539" s="36"/>
      <c r="W539" s="36"/>
      <c r="X539" s="36"/>
      <c r="Y539" s="36"/>
      <c r="Z539" s="36"/>
      <c r="AA539" s="36"/>
      <c r="AB539" s="36"/>
    </row>
    <row r="540" spans="1:28" ht="36" hidden="1" customHeight="1">
      <c r="A540" s="199" t="s">
        <v>1276</v>
      </c>
      <c r="B540" s="219">
        <v>2010</v>
      </c>
      <c r="C540" s="201" t="s">
        <v>195</v>
      </c>
      <c r="D540" s="202" t="s">
        <v>200</v>
      </c>
      <c r="E540" s="201" t="s">
        <v>41</v>
      </c>
      <c r="F540" s="201" t="s">
        <v>42</v>
      </c>
      <c r="G540" s="216" t="s">
        <v>43</v>
      </c>
      <c r="H540" s="201" t="s">
        <v>1104</v>
      </c>
      <c r="I540" s="35"/>
      <c r="J540" s="36"/>
      <c r="K540" s="36"/>
      <c r="L540" s="36"/>
      <c r="M540" s="36"/>
      <c r="N540" s="36"/>
      <c r="O540" s="36"/>
      <c r="P540" s="36"/>
      <c r="Q540" s="36"/>
      <c r="R540" s="36"/>
      <c r="S540" s="36"/>
      <c r="T540" s="36"/>
      <c r="U540" s="36"/>
      <c r="V540" s="36"/>
      <c r="W540" s="36"/>
      <c r="X540" s="36"/>
      <c r="Y540" s="36"/>
      <c r="Z540" s="36"/>
      <c r="AA540" s="36"/>
      <c r="AB540" s="36"/>
    </row>
    <row r="541" spans="1:28" ht="36" hidden="1" customHeight="1">
      <c r="A541" s="199" t="s">
        <v>1277</v>
      </c>
      <c r="B541" s="219">
        <v>2010</v>
      </c>
      <c r="C541" s="201" t="s">
        <v>195</v>
      </c>
      <c r="D541" s="202" t="s">
        <v>201</v>
      </c>
      <c r="E541" s="201" t="s">
        <v>41</v>
      </c>
      <c r="F541" s="201" t="s">
        <v>42</v>
      </c>
      <c r="G541" s="216" t="s">
        <v>43</v>
      </c>
      <c r="H541" s="201" t="s">
        <v>1104</v>
      </c>
      <c r="I541" s="35"/>
      <c r="J541" s="36"/>
      <c r="K541" s="36"/>
      <c r="L541" s="36"/>
      <c r="M541" s="36"/>
      <c r="N541" s="36"/>
      <c r="O541" s="36"/>
      <c r="P541" s="36"/>
      <c r="Q541" s="36"/>
      <c r="R541" s="36"/>
      <c r="S541" s="36"/>
      <c r="T541" s="36"/>
      <c r="U541" s="36"/>
      <c r="V541" s="36"/>
      <c r="W541" s="36"/>
      <c r="X541" s="36"/>
      <c r="Y541" s="36"/>
      <c r="Z541" s="36"/>
      <c r="AA541" s="36"/>
      <c r="AB541" s="36"/>
    </row>
    <row r="542" spans="1:28" ht="24" hidden="1" customHeight="1">
      <c r="A542" s="199" t="s">
        <v>1278</v>
      </c>
      <c r="B542" s="219">
        <v>2013</v>
      </c>
      <c r="C542" s="201" t="s">
        <v>195</v>
      </c>
      <c r="D542" s="202" t="s">
        <v>1279</v>
      </c>
      <c r="E542" s="201" t="s">
        <v>41</v>
      </c>
      <c r="F542" s="201" t="s">
        <v>42</v>
      </c>
      <c r="G542" s="216" t="s">
        <v>43</v>
      </c>
      <c r="H542" s="201" t="s">
        <v>1104</v>
      </c>
      <c r="I542" s="35"/>
      <c r="J542" s="36"/>
      <c r="K542" s="36"/>
      <c r="L542" s="36"/>
      <c r="M542" s="36"/>
      <c r="N542" s="36"/>
      <c r="O542" s="36"/>
      <c r="P542" s="36"/>
      <c r="Q542" s="36"/>
      <c r="R542" s="36"/>
      <c r="S542" s="36"/>
      <c r="T542" s="36"/>
      <c r="U542" s="36"/>
      <c r="V542" s="36"/>
      <c r="W542" s="36"/>
      <c r="X542" s="36"/>
      <c r="Y542" s="36"/>
      <c r="Z542" s="36"/>
      <c r="AA542" s="36"/>
      <c r="AB542" s="36"/>
    </row>
    <row r="543" spans="1:28" ht="60" hidden="1" customHeight="1">
      <c r="A543" s="199" t="s">
        <v>1280</v>
      </c>
      <c r="B543" s="219">
        <v>2016</v>
      </c>
      <c r="C543" s="201" t="s">
        <v>195</v>
      </c>
      <c r="D543" s="202" t="s">
        <v>1281</v>
      </c>
      <c r="E543" s="201" t="s">
        <v>41</v>
      </c>
      <c r="F543" s="201" t="s">
        <v>42</v>
      </c>
      <c r="G543" s="216" t="s">
        <v>43</v>
      </c>
      <c r="H543" s="201" t="s">
        <v>1104</v>
      </c>
      <c r="I543" s="35"/>
      <c r="J543" s="36"/>
      <c r="K543" s="36"/>
      <c r="L543" s="36"/>
      <c r="M543" s="36"/>
      <c r="N543" s="36"/>
      <c r="O543" s="36"/>
      <c r="P543" s="36"/>
      <c r="Q543" s="36"/>
      <c r="R543" s="36"/>
      <c r="S543" s="36"/>
      <c r="T543" s="36"/>
      <c r="U543" s="36"/>
      <c r="V543" s="36"/>
      <c r="W543" s="36"/>
      <c r="X543" s="36"/>
      <c r="Y543" s="36"/>
      <c r="Z543" s="36"/>
      <c r="AA543" s="36"/>
      <c r="AB543" s="36"/>
    </row>
    <row r="544" spans="1:28" ht="24" hidden="1" customHeight="1">
      <c r="A544" s="220" t="s">
        <v>1282</v>
      </c>
      <c r="B544" s="204">
        <v>1979</v>
      </c>
      <c r="C544" s="201" t="s">
        <v>1283</v>
      </c>
      <c r="D544" s="202" t="s">
        <v>1284</v>
      </c>
      <c r="E544" s="201" t="s">
        <v>41</v>
      </c>
      <c r="F544" s="201" t="s">
        <v>42</v>
      </c>
      <c r="G544" s="216" t="s">
        <v>43</v>
      </c>
      <c r="H544" s="201" t="s">
        <v>1104</v>
      </c>
      <c r="I544" s="35"/>
      <c r="J544" s="36"/>
      <c r="K544" s="36"/>
      <c r="L544" s="36"/>
      <c r="M544" s="36"/>
      <c r="N544" s="36"/>
      <c r="O544" s="36"/>
      <c r="P544" s="36"/>
      <c r="Q544" s="36"/>
      <c r="R544" s="36"/>
      <c r="S544" s="36"/>
      <c r="T544" s="36"/>
      <c r="U544" s="36"/>
      <c r="V544" s="36"/>
      <c r="W544" s="36"/>
      <c r="X544" s="36"/>
      <c r="Y544" s="36"/>
      <c r="Z544" s="36"/>
      <c r="AA544" s="36"/>
      <c r="AB544" s="36"/>
    </row>
    <row r="545" spans="1:28" ht="36" hidden="1" customHeight="1">
      <c r="A545" s="215" t="s">
        <v>1285</v>
      </c>
      <c r="B545" s="204">
        <v>1983</v>
      </c>
      <c r="C545" s="201" t="s">
        <v>124</v>
      </c>
      <c r="D545" s="202" t="s">
        <v>568</v>
      </c>
      <c r="E545" s="201" t="s">
        <v>41</v>
      </c>
      <c r="F545" s="201" t="s">
        <v>42</v>
      </c>
      <c r="G545" s="216" t="s">
        <v>43</v>
      </c>
      <c r="H545" s="201" t="s">
        <v>1104</v>
      </c>
      <c r="I545" s="35"/>
      <c r="J545" s="36"/>
      <c r="K545" s="36"/>
      <c r="L545" s="36"/>
      <c r="M545" s="36"/>
      <c r="N545" s="36"/>
      <c r="O545" s="36"/>
      <c r="P545" s="36"/>
      <c r="Q545" s="36"/>
      <c r="R545" s="36"/>
      <c r="S545" s="36"/>
      <c r="T545" s="36"/>
      <c r="U545" s="36"/>
      <c r="V545" s="36"/>
      <c r="W545" s="36"/>
      <c r="X545" s="36"/>
      <c r="Y545" s="36"/>
      <c r="Z545" s="36"/>
      <c r="AA545" s="36"/>
      <c r="AB545" s="36"/>
    </row>
    <row r="546" spans="1:28" ht="48" hidden="1" customHeight="1">
      <c r="A546" s="215" t="s">
        <v>1286</v>
      </c>
      <c r="B546" s="204">
        <v>1994</v>
      </c>
      <c r="C546" s="201" t="s">
        <v>516</v>
      </c>
      <c r="D546" s="202" t="s">
        <v>569</v>
      </c>
      <c r="E546" s="201" t="s">
        <v>41</v>
      </c>
      <c r="F546" s="201" t="s">
        <v>42</v>
      </c>
      <c r="G546" s="216" t="s">
        <v>43</v>
      </c>
      <c r="H546" s="201" t="s">
        <v>1104</v>
      </c>
      <c r="I546" s="35"/>
      <c r="J546" s="36"/>
      <c r="K546" s="36"/>
      <c r="L546" s="36"/>
      <c r="M546" s="36"/>
      <c r="N546" s="36"/>
      <c r="O546" s="36"/>
      <c r="P546" s="36"/>
      <c r="Q546" s="36"/>
      <c r="R546" s="36"/>
      <c r="S546" s="36"/>
      <c r="T546" s="36"/>
      <c r="U546" s="36"/>
      <c r="V546" s="36"/>
      <c r="W546" s="36"/>
      <c r="X546" s="36"/>
      <c r="Y546" s="36"/>
      <c r="Z546" s="36"/>
      <c r="AA546" s="36"/>
      <c r="AB546" s="36"/>
    </row>
    <row r="547" spans="1:28" ht="24" hidden="1" customHeight="1">
      <c r="A547" s="215" t="s">
        <v>1287</v>
      </c>
      <c r="B547" s="204">
        <v>1998</v>
      </c>
      <c r="C547" s="201" t="s">
        <v>1288</v>
      </c>
      <c r="D547" s="202" t="s">
        <v>1289</v>
      </c>
      <c r="E547" s="201" t="s">
        <v>41</v>
      </c>
      <c r="F547" s="201" t="s">
        <v>42</v>
      </c>
      <c r="G547" s="216" t="s">
        <v>43</v>
      </c>
      <c r="H547" s="201" t="s">
        <v>1104</v>
      </c>
      <c r="I547" s="35"/>
      <c r="J547" s="36"/>
      <c r="K547" s="36"/>
      <c r="L547" s="36"/>
      <c r="M547" s="36"/>
      <c r="N547" s="36"/>
      <c r="O547" s="36"/>
      <c r="P547" s="36"/>
      <c r="Q547" s="36"/>
      <c r="R547" s="36"/>
      <c r="S547" s="36"/>
      <c r="T547" s="36"/>
      <c r="U547" s="36"/>
      <c r="V547" s="36"/>
      <c r="W547" s="36"/>
      <c r="X547" s="36"/>
      <c r="Y547" s="36"/>
      <c r="Z547" s="36"/>
      <c r="AA547" s="36"/>
      <c r="AB547" s="36"/>
    </row>
    <row r="548" spans="1:28" ht="36" hidden="1" customHeight="1">
      <c r="A548" s="215" t="s">
        <v>1290</v>
      </c>
      <c r="B548" s="204">
        <v>2009</v>
      </c>
      <c r="C548" s="201" t="s">
        <v>1291</v>
      </c>
      <c r="D548" s="202" t="s">
        <v>1292</v>
      </c>
      <c r="E548" s="201" t="s">
        <v>41</v>
      </c>
      <c r="F548" s="201" t="s">
        <v>42</v>
      </c>
      <c r="G548" s="216" t="s">
        <v>43</v>
      </c>
      <c r="H548" s="201" t="s">
        <v>1104</v>
      </c>
      <c r="I548" s="35"/>
      <c r="J548" s="36"/>
      <c r="K548" s="36"/>
      <c r="L548" s="36"/>
      <c r="M548" s="36"/>
      <c r="N548" s="36"/>
      <c r="O548" s="36"/>
      <c r="P548" s="36"/>
      <c r="Q548" s="36"/>
      <c r="R548" s="36"/>
      <c r="S548" s="36"/>
      <c r="T548" s="36"/>
      <c r="U548" s="36"/>
      <c r="V548" s="36"/>
      <c r="W548" s="36"/>
      <c r="X548" s="36"/>
      <c r="Y548" s="36"/>
      <c r="Z548" s="36"/>
      <c r="AA548" s="36"/>
      <c r="AB548" s="36"/>
    </row>
    <row r="549" spans="1:28" ht="60" hidden="1" customHeight="1">
      <c r="A549" s="215" t="s">
        <v>1293</v>
      </c>
      <c r="B549" s="204">
        <v>2004</v>
      </c>
      <c r="C549" s="201" t="s">
        <v>1294</v>
      </c>
      <c r="D549" s="202" t="s">
        <v>1295</v>
      </c>
      <c r="E549" s="201" t="s">
        <v>41</v>
      </c>
      <c r="F549" s="201" t="s">
        <v>42</v>
      </c>
      <c r="G549" s="216" t="s">
        <v>43</v>
      </c>
      <c r="H549" s="201" t="s">
        <v>1104</v>
      </c>
      <c r="I549" s="35"/>
      <c r="J549" s="36"/>
      <c r="K549" s="36"/>
      <c r="L549" s="36"/>
      <c r="M549" s="36"/>
      <c r="N549" s="36"/>
      <c r="O549" s="36"/>
      <c r="P549" s="36"/>
      <c r="Q549" s="36"/>
      <c r="R549" s="36"/>
      <c r="S549" s="36"/>
      <c r="T549" s="36"/>
      <c r="U549" s="36"/>
      <c r="V549" s="36"/>
      <c r="W549" s="36"/>
      <c r="X549" s="36"/>
      <c r="Y549" s="36"/>
      <c r="Z549" s="36"/>
      <c r="AA549" s="36"/>
      <c r="AB549" s="36"/>
    </row>
    <row r="550" spans="1:28" ht="24" hidden="1" customHeight="1">
      <c r="A550" s="215" t="s">
        <v>1296</v>
      </c>
      <c r="B550" s="204">
        <v>2005</v>
      </c>
      <c r="C550" s="201" t="s">
        <v>1294</v>
      </c>
      <c r="D550" s="202" t="s">
        <v>1297</v>
      </c>
      <c r="E550" s="201" t="s">
        <v>41</v>
      </c>
      <c r="F550" s="201" t="s">
        <v>42</v>
      </c>
      <c r="G550" s="216" t="s">
        <v>43</v>
      </c>
      <c r="H550" s="201" t="s">
        <v>1104</v>
      </c>
      <c r="I550" s="35"/>
      <c r="J550" s="36"/>
      <c r="K550" s="36"/>
      <c r="L550" s="36"/>
      <c r="M550" s="36"/>
      <c r="N550" s="36"/>
      <c r="O550" s="36"/>
      <c r="P550" s="36"/>
      <c r="Q550" s="36"/>
      <c r="R550" s="36"/>
      <c r="S550" s="36"/>
      <c r="T550" s="36"/>
      <c r="U550" s="36"/>
      <c r="V550" s="36"/>
      <c r="W550" s="36"/>
      <c r="X550" s="36"/>
      <c r="Y550" s="36"/>
      <c r="Z550" s="36"/>
      <c r="AA550" s="36"/>
      <c r="AB550" s="36"/>
    </row>
    <row r="551" spans="1:28" ht="24" hidden="1" customHeight="1">
      <c r="A551" s="215" t="s">
        <v>1298</v>
      </c>
      <c r="B551" s="204">
        <v>2005</v>
      </c>
      <c r="C551" s="201" t="s">
        <v>1294</v>
      </c>
      <c r="D551" s="202" t="s">
        <v>1299</v>
      </c>
      <c r="E551" s="201" t="s">
        <v>41</v>
      </c>
      <c r="F551" s="201" t="s">
        <v>42</v>
      </c>
      <c r="G551" s="216" t="s">
        <v>43</v>
      </c>
      <c r="H551" s="201" t="s">
        <v>1104</v>
      </c>
      <c r="I551" s="35"/>
      <c r="J551" s="36"/>
      <c r="K551" s="36"/>
      <c r="L551" s="36"/>
      <c r="M551" s="36"/>
      <c r="N551" s="36"/>
      <c r="O551" s="36"/>
      <c r="P551" s="36"/>
      <c r="Q551" s="36"/>
      <c r="R551" s="36"/>
      <c r="S551" s="36"/>
      <c r="T551" s="36"/>
      <c r="U551" s="36"/>
      <c r="V551" s="36"/>
      <c r="W551" s="36"/>
      <c r="X551" s="36"/>
      <c r="Y551" s="36"/>
      <c r="Z551" s="36"/>
      <c r="AA551" s="36"/>
      <c r="AB551" s="36"/>
    </row>
    <row r="552" spans="1:28" ht="24" hidden="1" customHeight="1">
      <c r="A552" s="215" t="s">
        <v>1300</v>
      </c>
      <c r="B552" s="204">
        <v>2010</v>
      </c>
      <c r="C552" s="201" t="s">
        <v>1294</v>
      </c>
      <c r="D552" s="202" t="s">
        <v>1301</v>
      </c>
      <c r="E552" s="201" t="s">
        <v>41</v>
      </c>
      <c r="F552" s="201" t="s">
        <v>42</v>
      </c>
      <c r="G552" s="216" t="s">
        <v>43</v>
      </c>
      <c r="H552" s="201" t="s">
        <v>1104</v>
      </c>
      <c r="I552" s="35"/>
      <c r="J552" s="36"/>
      <c r="K552" s="36"/>
      <c r="L552" s="36"/>
      <c r="M552" s="36"/>
      <c r="N552" s="36"/>
      <c r="O552" s="36"/>
      <c r="P552" s="36"/>
      <c r="Q552" s="36"/>
      <c r="R552" s="36"/>
      <c r="S552" s="36"/>
      <c r="T552" s="36"/>
      <c r="U552" s="36"/>
      <c r="V552" s="36"/>
      <c r="W552" s="36"/>
      <c r="X552" s="36"/>
      <c r="Y552" s="36"/>
      <c r="Z552" s="36"/>
      <c r="AA552" s="36"/>
      <c r="AB552" s="36"/>
    </row>
    <row r="553" spans="1:28" ht="36" hidden="1" customHeight="1">
      <c r="A553" s="215" t="s">
        <v>1302</v>
      </c>
      <c r="B553" s="204">
        <v>2011</v>
      </c>
      <c r="C553" s="218" t="s">
        <v>130</v>
      </c>
      <c r="D553" s="202" t="s">
        <v>1303</v>
      </c>
      <c r="E553" s="201" t="s">
        <v>41</v>
      </c>
      <c r="F553" s="201" t="s">
        <v>42</v>
      </c>
      <c r="G553" s="216" t="s">
        <v>43</v>
      </c>
      <c r="H553" s="201" t="s">
        <v>1104</v>
      </c>
      <c r="I553" s="35"/>
      <c r="J553" s="36"/>
      <c r="K553" s="36"/>
      <c r="L553" s="36"/>
      <c r="M553" s="36"/>
      <c r="N553" s="36"/>
      <c r="O553" s="36"/>
      <c r="P553" s="36"/>
      <c r="Q553" s="36"/>
      <c r="R553" s="36"/>
      <c r="S553" s="36"/>
      <c r="T553" s="36"/>
      <c r="U553" s="36"/>
      <c r="V553" s="36"/>
      <c r="W553" s="36"/>
      <c r="X553" s="36"/>
      <c r="Y553" s="36"/>
      <c r="Z553" s="36"/>
      <c r="AA553" s="36"/>
      <c r="AB553" s="36"/>
    </row>
    <row r="554" spans="1:28" ht="36" hidden="1" customHeight="1">
      <c r="A554" s="215" t="s">
        <v>1304</v>
      </c>
      <c r="B554" s="204">
        <v>2011</v>
      </c>
      <c r="C554" s="201" t="s">
        <v>1305</v>
      </c>
      <c r="D554" s="202" t="s">
        <v>1306</v>
      </c>
      <c r="E554" s="201" t="s">
        <v>41</v>
      </c>
      <c r="F554" s="201" t="s">
        <v>42</v>
      </c>
      <c r="G554" s="216" t="s">
        <v>43</v>
      </c>
      <c r="H554" s="201" t="s">
        <v>1104</v>
      </c>
      <c r="I554" s="35"/>
      <c r="J554" s="36"/>
      <c r="K554" s="36"/>
      <c r="L554" s="36"/>
      <c r="M554" s="36"/>
      <c r="N554" s="36"/>
      <c r="O554" s="36"/>
      <c r="P554" s="36"/>
      <c r="Q554" s="36"/>
      <c r="R554" s="36"/>
      <c r="S554" s="36"/>
      <c r="T554" s="36"/>
      <c r="U554" s="36"/>
      <c r="V554" s="36"/>
      <c r="W554" s="36"/>
      <c r="X554" s="36"/>
      <c r="Y554" s="36"/>
      <c r="Z554" s="36"/>
      <c r="AA554" s="36"/>
      <c r="AB554" s="36"/>
    </row>
    <row r="555" spans="1:28" ht="24" hidden="1" customHeight="1">
      <c r="A555" s="215" t="s">
        <v>1307</v>
      </c>
      <c r="B555" s="204">
        <v>2012</v>
      </c>
      <c r="C555" s="201" t="s">
        <v>566</v>
      </c>
      <c r="D555" s="202" t="s">
        <v>1308</v>
      </c>
      <c r="E555" s="201" t="s">
        <v>41</v>
      </c>
      <c r="F555" s="201" t="s">
        <v>42</v>
      </c>
      <c r="G555" s="216" t="s">
        <v>43</v>
      </c>
      <c r="H555" s="201" t="s">
        <v>1104</v>
      </c>
      <c r="I555" s="35"/>
      <c r="J555" s="36"/>
      <c r="K555" s="36"/>
      <c r="L555" s="36"/>
      <c r="M555" s="36"/>
      <c r="N555" s="36"/>
      <c r="O555" s="36"/>
      <c r="P555" s="36"/>
      <c r="Q555" s="36"/>
      <c r="R555" s="36"/>
      <c r="S555" s="36"/>
      <c r="T555" s="36"/>
      <c r="U555" s="36"/>
      <c r="V555" s="36"/>
      <c r="W555" s="36"/>
      <c r="X555" s="36"/>
      <c r="Y555" s="36"/>
      <c r="Z555" s="36"/>
      <c r="AA555" s="36"/>
      <c r="AB555" s="36"/>
    </row>
    <row r="556" spans="1:28" ht="36" hidden="1" customHeight="1">
      <c r="A556" s="215" t="s">
        <v>1309</v>
      </c>
      <c r="B556" s="204">
        <v>2012</v>
      </c>
      <c r="C556" s="201" t="s">
        <v>540</v>
      </c>
      <c r="D556" s="202" t="s">
        <v>582</v>
      </c>
      <c r="E556" s="201" t="s">
        <v>41</v>
      </c>
      <c r="F556" s="201" t="s">
        <v>42</v>
      </c>
      <c r="G556" s="216" t="s">
        <v>43</v>
      </c>
      <c r="H556" s="201" t="s">
        <v>1104</v>
      </c>
      <c r="I556" s="35"/>
      <c r="J556" s="36"/>
      <c r="K556" s="36"/>
      <c r="L556" s="36"/>
      <c r="M556" s="36"/>
      <c r="N556" s="36"/>
      <c r="O556" s="36"/>
      <c r="P556" s="36"/>
      <c r="Q556" s="36"/>
      <c r="R556" s="36"/>
      <c r="S556" s="36"/>
      <c r="T556" s="36"/>
      <c r="U556" s="36"/>
      <c r="V556" s="36"/>
      <c r="W556" s="36"/>
      <c r="X556" s="36"/>
      <c r="Y556" s="36"/>
      <c r="Z556" s="36"/>
      <c r="AA556" s="36"/>
      <c r="AB556" s="36"/>
    </row>
    <row r="557" spans="1:28" ht="24" hidden="1" customHeight="1">
      <c r="A557" s="215" t="s">
        <v>1310</v>
      </c>
      <c r="B557" s="204">
        <v>2013</v>
      </c>
      <c r="C557" s="201" t="s">
        <v>1311</v>
      </c>
      <c r="D557" s="202" t="s">
        <v>1312</v>
      </c>
      <c r="E557" s="201" t="s">
        <v>41</v>
      </c>
      <c r="F557" s="201" t="s">
        <v>42</v>
      </c>
      <c r="G557" s="216" t="s">
        <v>43</v>
      </c>
      <c r="H557" s="201" t="s">
        <v>1104</v>
      </c>
      <c r="I557" s="35"/>
      <c r="J557" s="36"/>
      <c r="K557" s="36"/>
      <c r="L557" s="36"/>
      <c r="M557" s="36"/>
      <c r="N557" s="36"/>
      <c r="O557" s="36"/>
      <c r="P557" s="36"/>
      <c r="Q557" s="36"/>
      <c r="R557" s="36"/>
      <c r="S557" s="36"/>
      <c r="T557" s="36"/>
      <c r="U557" s="36"/>
      <c r="V557" s="36"/>
      <c r="W557" s="36"/>
      <c r="X557" s="36"/>
      <c r="Y557" s="36"/>
      <c r="Z557" s="36"/>
      <c r="AA557" s="36"/>
      <c r="AB557" s="36"/>
    </row>
    <row r="558" spans="1:28" ht="48" hidden="1" customHeight="1">
      <c r="A558" s="215" t="s">
        <v>1313</v>
      </c>
      <c r="B558" s="204">
        <v>2014</v>
      </c>
      <c r="C558" s="201" t="s">
        <v>1314</v>
      </c>
      <c r="D558" s="202" t="s">
        <v>1315</v>
      </c>
      <c r="E558" s="201" t="s">
        <v>41</v>
      </c>
      <c r="F558" s="201" t="s">
        <v>42</v>
      </c>
      <c r="G558" s="216" t="s">
        <v>43</v>
      </c>
      <c r="H558" s="201" t="s">
        <v>1104</v>
      </c>
      <c r="I558" s="35"/>
      <c r="J558" s="36"/>
      <c r="K558" s="36"/>
      <c r="L558" s="36"/>
      <c r="M558" s="36"/>
      <c r="N558" s="36"/>
      <c r="O558" s="36"/>
      <c r="P558" s="36"/>
      <c r="Q558" s="36"/>
      <c r="R558" s="36"/>
      <c r="S558" s="36"/>
      <c r="T558" s="36"/>
      <c r="U558" s="36"/>
      <c r="V558" s="36"/>
      <c r="W558" s="36"/>
      <c r="X558" s="36"/>
      <c r="Y558" s="36"/>
      <c r="Z558" s="36"/>
      <c r="AA558" s="36"/>
      <c r="AB558" s="36"/>
    </row>
    <row r="559" spans="1:28" ht="36" hidden="1" customHeight="1">
      <c r="A559" s="215" t="s">
        <v>1316</v>
      </c>
      <c r="B559" s="204">
        <v>2014</v>
      </c>
      <c r="C559" s="201" t="s">
        <v>1317</v>
      </c>
      <c r="D559" s="202" t="s">
        <v>1318</v>
      </c>
      <c r="E559" s="201" t="s">
        <v>41</v>
      </c>
      <c r="F559" s="201" t="s">
        <v>42</v>
      </c>
      <c r="G559" s="216" t="s">
        <v>43</v>
      </c>
      <c r="H559" s="201" t="s">
        <v>1104</v>
      </c>
      <c r="I559" s="35"/>
      <c r="J559" s="36"/>
      <c r="K559" s="36"/>
      <c r="L559" s="36"/>
      <c r="M559" s="36"/>
      <c r="N559" s="36"/>
      <c r="O559" s="36"/>
      <c r="P559" s="36"/>
      <c r="Q559" s="36"/>
      <c r="R559" s="36"/>
      <c r="S559" s="36"/>
      <c r="T559" s="36"/>
      <c r="U559" s="36"/>
      <c r="V559" s="36"/>
      <c r="W559" s="36"/>
      <c r="X559" s="36"/>
      <c r="Y559" s="36"/>
      <c r="Z559" s="36"/>
      <c r="AA559" s="36"/>
      <c r="AB559" s="36"/>
    </row>
    <row r="560" spans="1:28" ht="24" hidden="1" customHeight="1">
      <c r="A560" s="215" t="s">
        <v>1319</v>
      </c>
      <c r="B560" s="204">
        <v>2015</v>
      </c>
      <c r="C560" s="218" t="s">
        <v>130</v>
      </c>
      <c r="D560" s="202" t="s">
        <v>1320</v>
      </c>
      <c r="E560" s="201" t="s">
        <v>41</v>
      </c>
      <c r="F560" s="201" t="s">
        <v>42</v>
      </c>
      <c r="G560" s="216" t="s">
        <v>43</v>
      </c>
      <c r="H560" s="201" t="s">
        <v>1104</v>
      </c>
      <c r="I560" s="35"/>
      <c r="J560" s="36"/>
      <c r="K560" s="36"/>
      <c r="L560" s="36"/>
      <c r="M560" s="36"/>
      <c r="N560" s="36"/>
      <c r="O560" s="36"/>
      <c r="P560" s="36"/>
      <c r="Q560" s="36"/>
      <c r="R560" s="36"/>
      <c r="S560" s="36"/>
      <c r="T560" s="36"/>
      <c r="U560" s="36"/>
      <c r="V560" s="36"/>
      <c r="W560" s="36"/>
      <c r="X560" s="36"/>
      <c r="Y560" s="36"/>
      <c r="Z560" s="36"/>
      <c r="AA560" s="36"/>
      <c r="AB560" s="36"/>
    </row>
    <row r="561" spans="1:28" ht="36" hidden="1" customHeight="1">
      <c r="A561" s="215" t="s">
        <v>171</v>
      </c>
      <c r="B561" s="204">
        <v>2016</v>
      </c>
      <c r="C561" s="201" t="s">
        <v>1321</v>
      </c>
      <c r="D561" s="202" t="s">
        <v>305</v>
      </c>
      <c r="E561" s="201" t="s">
        <v>41</v>
      </c>
      <c r="F561" s="201" t="s">
        <v>42</v>
      </c>
      <c r="G561" s="216" t="s">
        <v>43</v>
      </c>
      <c r="H561" s="201" t="s">
        <v>1104</v>
      </c>
      <c r="I561" s="35"/>
      <c r="J561" s="36"/>
      <c r="K561" s="36"/>
      <c r="L561" s="36"/>
      <c r="M561" s="36"/>
      <c r="N561" s="36"/>
      <c r="O561" s="36"/>
      <c r="P561" s="36"/>
      <c r="Q561" s="36"/>
      <c r="R561" s="36"/>
      <c r="S561" s="36"/>
      <c r="T561" s="36"/>
      <c r="U561" s="36"/>
      <c r="V561" s="36"/>
      <c r="W561" s="36"/>
      <c r="X561" s="36"/>
      <c r="Y561" s="36"/>
      <c r="Z561" s="36"/>
      <c r="AA561" s="36"/>
      <c r="AB561" s="36"/>
    </row>
    <row r="562" spans="1:28" ht="24" hidden="1" customHeight="1">
      <c r="A562" s="215" t="s">
        <v>1322</v>
      </c>
      <c r="B562" s="204">
        <v>2016</v>
      </c>
      <c r="C562" s="218" t="s">
        <v>130</v>
      </c>
      <c r="D562" s="202" t="s">
        <v>597</v>
      </c>
      <c r="E562" s="201" t="s">
        <v>41</v>
      </c>
      <c r="F562" s="201" t="s">
        <v>42</v>
      </c>
      <c r="G562" s="216" t="s">
        <v>43</v>
      </c>
      <c r="H562" s="201" t="s">
        <v>1104</v>
      </c>
      <c r="I562" s="35"/>
      <c r="J562" s="36"/>
      <c r="K562" s="36"/>
      <c r="L562" s="36"/>
      <c r="M562" s="36"/>
      <c r="N562" s="36"/>
      <c r="O562" s="36"/>
      <c r="P562" s="36"/>
      <c r="Q562" s="36"/>
      <c r="R562" s="36"/>
      <c r="S562" s="36"/>
      <c r="T562" s="36"/>
      <c r="U562" s="36"/>
      <c r="V562" s="36"/>
      <c r="W562" s="36"/>
      <c r="X562" s="36"/>
      <c r="Y562" s="36"/>
      <c r="Z562" s="36"/>
      <c r="AA562" s="36"/>
      <c r="AB562" s="36"/>
    </row>
    <row r="563" spans="1:28" ht="36" hidden="1" customHeight="1">
      <c r="A563" s="215" t="s">
        <v>1323</v>
      </c>
      <c r="B563" s="204">
        <v>2016</v>
      </c>
      <c r="C563" s="218" t="s">
        <v>130</v>
      </c>
      <c r="D563" s="202" t="s">
        <v>1324</v>
      </c>
      <c r="E563" s="201" t="s">
        <v>41</v>
      </c>
      <c r="F563" s="201" t="s">
        <v>42</v>
      </c>
      <c r="G563" s="216" t="s">
        <v>43</v>
      </c>
      <c r="H563" s="201" t="s">
        <v>1104</v>
      </c>
      <c r="I563" s="35"/>
      <c r="J563" s="36"/>
      <c r="K563" s="36"/>
      <c r="L563" s="36"/>
      <c r="M563" s="36"/>
      <c r="N563" s="36"/>
      <c r="O563" s="36"/>
      <c r="P563" s="36"/>
      <c r="Q563" s="36"/>
      <c r="R563" s="36"/>
      <c r="S563" s="36"/>
      <c r="T563" s="36"/>
      <c r="U563" s="36"/>
      <c r="V563" s="36"/>
      <c r="W563" s="36"/>
      <c r="X563" s="36"/>
      <c r="Y563" s="36"/>
      <c r="Z563" s="36"/>
      <c r="AA563" s="36"/>
      <c r="AB563" s="36"/>
    </row>
    <row r="564" spans="1:28" ht="48" hidden="1" customHeight="1">
      <c r="A564" s="215" t="s">
        <v>1325</v>
      </c>
      <c r="B564" s="204">
        <v>2017</v>
      </c>
      <c r="C564" s="218" t="s">
        <v>1232</v>
      </c>
      <c r="D564" s="202" t="s">
        <v>1326</v>
      </c>
      <c r="E564" s="201" t="s">
        <v>41</v>
      </c>
      <c r="F564" s="201" t="s">
        <v>42</v>
      </c>
      <c r="G564" s="216" t="s">
        <v>43</v>
      </c>
      <c r="H564" s="201" t="s">
        <v>1104</v>
      </c>
      <c r="I564" s="35"/>
      <c r="J564" s="36"/>
      <c r="K564" s="36"/>
      <c r="L564" s="36"/>
      <c r="M564" s="36"/>
      <c r="N564" s="36"/>
      <c r="O564" s="36"/>
      <c r="P564" s="36"/>
      <c r="Q564" s="36"/>
      <c r="R564" s="36"/>
      <c r="S564" s="36"/>
      <c r="T564" s="36"/>
      <c r="U564" s="36"/>
      <c r="V564" s="36"/>
      <c r="W564" s="36"/>
      <c r="X564" s="36"/>
      <c r="Y564" s="36"/>
      <c r="Z564" s="36"/>
      <c r="AA564" s="36"/>
      <c r="AB564" s="36"/>
    </row>
    <row r="565" spans="1:28" ht="24" hidden="1" customHeight="1">
      <c r="A565" s="215" t="s">
        <v>1327</v>
      </c>
      <c r="B565" s="204">
        <v>2017</v>
      </c>
      <c r="C565" s="218" t="s">
        <v>1232</v>
      </c>
      <c r="D565" s="202" t="s">
        <v>1328</v>
      </c>
      <c r="E565" s="201" t="s">
        <v>41</v>
      </c>
      <c r="F565" s="201" t="s">
        <v>42</v>
      </c>
      <c r="G565" s="216" t="s">
        <v>43</v>
      </c>
      <c r="H565" s="201" t="s">
        <v>1104</v>
      </c>
      <c r="I565" s="35"/>
      <c r="J565" s="36"/>
      <c r="K565" s="36"/>
      <c r="L565" s="36"/>
      <c r="M565" s="36"/>
      <c r="N565" s="36"/>
      <c r="O565" s="36"/>
      <c r="P565" s="36"/>
      <c r="Q565" s="36"/>
      <c r="R565" s="36"/>
      <c r="S565" s="36"/>
      <c r="T565" s="36"/>
      <c r="U565" s="36"/>
      <c r="V565" s="36"/>
      <c r="W565" s="36"/>
      <c r="X565" s="36"/>
      <c r="Y565" s="36"/>
      <c r="Z565" s="36"/>
      <c r="AA565" s="36"/>
      <c r="AB565" s="36"/>
    </row>
    <row r="566" spans="1:28" ht="24" hidden="1" customHeight="1">
      <c r="A566" s="215" t="s">
        <v>1329</v>
      </c>
      <c r="B566" s="204">
        <v>2019</v>
      </c>
      <c r="C566" s="218" t="s">
        <v>1330</v>
      </c>
      <c r="D566" s="202" t="s">
        <v>1331</v>
      </c>
      <c r="E566" s="201" t="s">
        <v>41</v>
      </c>
      <c r="F566" s="201" t="s">
        <v>42</v>
      </c>
      <c r="G566" s="216" t="s">
        <v>43</v>
      </c>
      <c r="H566" s="201" t="s">
        <v>1104</v>
      </c>
      <c r="I566" s="35"/>
      <c r="J566" s="36"/>
      <c r="K566" s="36"/>
      <c r="L566" s="36"/>
      <c r="M566" s="36"/>
      <c r="N566" s="36"/>
      <c r="O566" s="36"/>
      <c r="P566" s="36"/>
      <c r="Q566" s="36"/>
      <c r="R566" s="36"/>
      <c r="S566" s="36"/>
      <c r="T566" s="36"/>
      <c r="U566" s="36"/>
      <c r="V566" s="36"/>
      <c r="W566" s="36"/>
      <c r="X566" s="36"/>
      <c r="Y566" s="36"/>
      <c r="Z566" s="36"/>
      <c r="AA566" s="36"/>
      <c r="AB566" s="36"/>
    </row>
    <row r="567" spans="1:28" ht="36" hidden="1" customHeight="1">
      <c r="A567" s="215" t="s">
        <v>1332</v>
      </c>
      <c r="B567" s="204">
        <v>2008</v>
      </c>
      <c r="C567" s="201" t="s">
        <v>61</v>
      </c>
      <c r="D567" s="202" t="s">
        <v>1333</v>
      </c>
      <c r="E567" s="201" t="s">
        <v>41</v>
      </c>
      <c r="F567" s="201" t="s">
        <v>42</v>
      </c>
      <c r="G567" s="216" t="s">
        <v>43</v>
      </c>
      <c r="H567" s="201" t="s">
        <v>1104</v>
      </c>
      <c r="I567" s="35"/>
      <c r="J567" s="36"/>
      <c r="K567" s="36"/>
      <c r="L567" s="36"/>
      <c r="M567" s="36"/>
      <c r="N567" s="36"/>
      <c r="O567" s="36"/>
      <c r="P567" s="36"/>
      <c r="Q567" s="36"/>
      <c r="R567" s="36"/>
      <c r="S567" s="36"/>
      <c r="T567" s="36"/>
      <c r="U567" s="36"/>
      <c r="V567" s="36"/>
      <c r="W567" s="36"/>
      <c r="X567" s="36"/>
      <c r="Y567" s="36"/>
      <c r="Z567" s="36"/>
      <c r="AA567" s="36"/>
      <c r="AB567" s="36"/>
    </row>
    <row r="568" spans="1:28" ht="108" hidden="1" customHeight="1">
      <c r="A568" s="215" t="s">
        <v>1334</v>
      </c>
      <c r="B568" s="204">
        <v>2016</v>
      </c>
      <c r="C568" s="201" t="s">
        <v>61</v>
      </c>
      <c r="D568" s="202" t="s">
        <v>1335</v>
      </c>
      <c r="E568" s="201" t="s">
        <v>41</v>
      </c>
      <c r="F568" s="201" t="s">
        <v>42</v>
      </c>
      <c r="G568" s="216" t="s">
        <v>43</v>
      </c>
      <c r="H568" s="201" t="s">
        <v>1104</v>
      </c>
      <c r="I568" s="35"/>
      <c r="J568" s="36"/>
      <c r="K568" s="36"/>
      <c r="L568" s="36"/>
      <c r="M568" s="36"/>
      <c r="N568" s="36"/>
      <c r="O568" s="36"/>
      <c r="P568" s="36"/>
      <c r="Q568" s="36"/>
      <c r="R568" s="36"/>
      <c r="S568" s="36"/>
      <c r="T568" s="36"/>
      <c r="U568" s="36"/>
      <c r="V568" s="36"/>
      <c r="W568" s="36"/>
      <c r="X568" s="36"/>
      <c r="Y568" s="36"/>
      <c r="Z568" s="36"/>
      <c r="AA568" s="36"/>
      <c r="AB568" s="36"/>
    </row>
    <row r="569" spans="1:28" ht="24" hidden="1" customHeight="1">
      <c r="A569" s="215" t="s">
        <v>1336</v>
      </c>
      <c r="B569" s="204">
        <v>2010</v>
      </c>
      <c r="C569" s="201" t="s">
        <v>1337</v>
      </c>
      <c r="D569" s="202" t="s">
        <v>1336</v>
      </c>
      <c r="E569" s="201" t="s">
        <v>41</v>
      </c>
      <c r="F569" s="201" t="s">
        <v>42</v>
      </c>
      <c r="G569" s="216" t="s">
        <v>43</v>
      </c>
      <c r="H569" s="201" t="s">
        <v>1104</v>
      </c>
      <c r="I569" s="35"/>
      <c r="J569" s="36"/>
      <c r="K569" s="36"/>
      <c r="L569" s="36"/>
      <c r="M569" s="36"/>
      <c r="N569" s="36"/>
      <c r="O569" s="36"/>
      <c r="P569" s="36"/>
      <c r="Q569" s="36"/>
      <c r="R569" s="36"/>
      <c r="S569" s="36"/>
      <c r="T569" s="36"/>
      <c r="U569" s="36"/>
      <c r="V569" s="36"/>
      <c r="W569" s="36"/>
      <c r="X569" s="36"/>
      <c r="Y569" s="36"/>
      <c r="Z569" s="36"/>
      <c r="AA569" s="36"/>
      <c r="AB569" s="36"/>
    </row>
    <row r="570" spans="1:28" ht="24" hidden="1" customHeight="1">
      <c r="A570" s="215" t="s">
        <v>1338</v>
      </c>
      <c r="B570" s="204">
        <v>2015</v>
      </c>
      <c r="C570" s="201" t="s">
        <v>1339</v>
      </c>
      <c r="D570" s="202" t="s">
        <v>1338</v>
      </c>
      <c r="E570" s="201" t="s">
        <v>41</v>
      </c>
      <c r="F570" s="201" t="s">
        <v>42</v>
      </c>
      <c r="G570" s="216" t="s">
        <v>43</v>
      </c>
      <c r="H570" s="201" t="s">
        <v>1104</v>
      </c>
      <c r="I570" s="35"/>
      <c r="J570" s="36"/>
      <c r="K570" s="36"/>
      <c r="L570" s="36"/>
      <c r="M570" s="36"/>
      <c r="N570" s="36"/>
      <c r="O570" s="36"/>
      <c r="P570" s="36"/>
      <c r="Q570" s="36"/>
      <c r="R570" s="36"/>
      <c r="S570" s="36"/>
      <c r="T570" s="36"/>
      <c r="U570" s="36"/>
      <c r="V570" s="36"/>
      <c r="W570" s="36"/>
      <c r="X570" s="36"/>
      <c r="Y570" s="36"/>
      <c r="Z570" s="36"/>
      <c r="AA570" s="36"/>
      <c r="AB570" s="36"/>
    </row>
    <row r="571" spans="1:28" ht="12" hidden="1" customHeight="1">
      <c r="A571" s="221" t="s">
        <v>1340</v>
      </c>
      <c r="B571" s="222">
        <v>2017</v>
      </c>
      <c r="C571" s="223" t="s">
        <v>1101</v>
      </c>
      <c r="D571" s="224" t="s">
        <v>1341</v>
      </c>
      <c r="E571" s="223" t="s">
        <v>41</v>
      </c>
      <c r="F571" s="223" t="s">
        <v>42</v>
      </c>
      <c r="G571" s="225" t="s">
        <v>43</v>
      </c>
      <c r="H571" s="223" t="s">
        <v>1104</v>
      </c>
      <c r="I571" s="35"/>
      <c r="J571" s="36"/>
      <c r="K571" s="36"/>
      <c r="L571" s="36"/>
      <c r="M571" s="36"/>
      <c r="N571" s="36"/>
      <c r="O571" s="36"/>
      <c r="P571" s="36"/>
      <c r="Q571" s="36"/>
      <c r="R571" s="36"/>
      <c r="S571" s="36"/>
      <c r="T571" s="36"/>
      <c r="U571" s="36"/>
      <c r="V571" s="36"/>
      <c r="W571" s="36"/>
      <c r="X571" s="36"/>
      <c r="Y571" s="36"/>
      <c r="Z571" s="36"/>
      <c r="AA571" s="36"/>
      <c r="AB571" s="36"/>
    </row>
    <row r="572" spans="1:28" ht="24" hidden="1" customHeight="1">
      <c r="A572" s="221" t="s">
        <v>1342</v>
      </c>
      <c r="B572" s="222">
        <v>2015</v>
      </c>
      <c r="C572" s="223" t="s">
        <v>1101</v>
      </c>
      <c r="D572" s="224" t="s">
        <v>1343</v>
      </c>
      <c r="E572" s="223" t="s">
        <v>41</v>
      </c>
      <c r="F572" s="223" t="s">
        <v>42</v>
      </c>
      <c r="G572" s="225" t="s">
        <v>43</v>
      </c>
      <c r="H572" s="223" t="s">
        <v>1104</v>
      </c>
      <c r="I572" s="35"/>
      <c r="J572" s="36"/>
      <c r="K572" s="36"/>
      <c r="L572" s="36"/>
      <c r="M572" s="36"/>
      <c r="N572" s="36"/>
      <c r="O572" s="36"/>
      <c r="P572" s="36"/>
      <c r="Q572" s="36"/>
      <c r="R572" s="36"/>
      <c r="S572" s="36"/>
      <c r="T572" s="36"/>
      <c r="U572" s="36"/>
      <c r="V572" s="36"/>
      <c r="W572" s="36"/>
      <c r="X572" s="36"/>
      <c r="Y572" s="36"/>
      <c r="Z572" s="36"/>
      <c r="AA572" s="36"/>
      <c r="AB572" s="36"/>
    </row>
    <row r="573" spans="1:28" ht="24" hidden="1" customHeight="1">
      <c r="A573" s="215" t="s">
        <v>1344</v>
      </c>
      <c r="B573" s="204">
        <v>2013</v>
      </c>
      <c r="C573" s="201" t="s">
        <v>1345</v>
      </c>
      <c r="D573" s="202" t="s">
        <v>1344</v>
      </c>
      <c r="E573" s="201" t="s">
        <v>41</v>
      </c>
      <c r="F573" s="201" t="s">
        <v>42</v>
      </c>
      <c r="G573" s="216" t="s">
        <v>43</v>
      </c>
      <c r="H573" s="201" t="s">
        <v>1104</v>
      </c>
      <c r="I573" s="35"/>
      <c r="J573" s="36"/>
      <c r="K573" s="36"/>
      <c r="L573" s="36"/>
      <c r="M573" s="36"/>
      <c r="N573" s="36"/>
      <c r="O573" s="36"/>
      <c r="P573" s="36"/>
      <c r="Q573" s="36"/>
      <c r="R573" s="36"/>
      <c r="S573" s="36"/>
      <c r="T573" s="36"/>
      <c r="U573" s="36"/>
      <c r="V573" s="36"/>
      <c r="W573" s="36"/>
      <c r="X573" s="36"/>
      <c r="Y573" s="36"/>
      <c r="Z573" s="36"/>
      <c r="AA573" s="36"/>
      <c r="AB573" s="36"/>
    </row>
    <row r="574" spans="1:28" ht="24" hidden="1" customHeight="1">
      <c r="A574" s="220" t="s">
        <v>1346</v>
      </c>
      <c r="B574" s="226">
        <v>2011</v>
      </c>
      <c r="C574" s="227" t="s">
        <v>1101</v>
      </c>
      <c r="D574" s="228" t="s">
        <v>1347</v>
      </c>
      <c r="E574" s="201" t="s">
        <v>41</v>
      </c>
      <c r="F574" s="201" t="s">
        <v>42</v>
      </c>
      <c r="G574" s="216" t="s">
        <v>43</v>
      </c>
      <c r="H574" s="201" t="s">
        <v>1104</v>
      </c>
      <c r="I574" s="35"/>
      <c r="J574" s="36"/>
      <c r="K574" s="36"/>
      <c r="L574" s="36"/>
      <c r="M574" s="36"/>
      <c r="N574" s="36"/>
      <c r="O574" s="36"/>
      <c r="P574" s="36"/>
      <c r="Q574" s="36"/>
      <c r="R574" s="36"/>
      <c r="S574" s="36"/>
      <c r="T574" s="36"/>
      <c r="U574" s="36"/>
      <c r="V574" s="36"/>
      <c r="W574" s="36"/>
      <c r="X574" s="36"/>
      <c r="Y574" s="36"/>
      <c r="Z574" s="36"/>
      <c r="AA574" s="36"/>
      <c r="AB574" s="36"/>
    </row>
    <row r="575" spans="1:28" ht="36" hidden="1" customHeight="1">
      <c r="A575" s="220" t="s">
        <v>1348</v>
      </c>
      <c r="B575" s="226">
        <v>2010</v>
      </c>
      <c r="C575" s="227" t="s">
        <v>1101</v>
      </c>
      <c r="D575" s="228" t="s">
        <v>1349</v>
      </c>
      <c r="E575" s="227" t="s">
        <v>41</v>
      </c>
      <c r="F575" s="227" t="s">
        <v>42</v>
      </c>
      <c r="G575" s="229" t="s">
        <v>43</v>
      </c>
      <c r="H575" s="227" t="s">
        <v>1104</v>
      </c>
      <c r="I575" s="35"/>
      <c r="J575" s="36"/>
      <c r="K575" s="36"/>
      <c r="L575" s="36"/>
      <c r="M575" s="36"/>
      <c r="N575" s="36"/>
      <c r="O575" s="36"/>
      <c r="P575" s="36"/>
      <c r="Q575" s="36"/>
      <c r="R575" s="36"/>
      <c r="S575" s="36"/>
      <c r="T575" s="36"/>
      <c r="U575" s="36"/>
      <c r="V575" s="36"/>
      <c r="W575" s="36"/>
      <c r="X575" s="36"/>
      <c r="Y575" s="36"/>
      <c r="Z575" s="36"/>
      <c r="AA575" s="36"/>
      <c r="AB575" s="36"/>
    </row>
    <row r="576" spans="1:28" ht="24" hidden="1" customHeight="1">
      <c r="A576" s="215" t="s">
        <v>1350</v>
      </c>
      <c r="B576" s="204">
        <v>2006</v>
      </c>
      <c r="C576" s="201" t="s">
        <v>1101</v>
      </c>
      <c r="D576" s="202" t="s">
        <v>1351</v>
      </c>
      <c r="E576" s="201" t="s">
        <v>41</v>
      </c>
      <c r="F576" s="201" t="s">
        <v>42</v>
      </c>
      <c r="G576" s="216" t="s">
        <v>43</v>
      </c>
      <c r="H576" s="201" t="s">
        <v>1104</v>
      </c>
      <c r="I576" s="35"/>
      <c r="J576" s="36"/>
      <c r="K576" s="36"/>
      <c r="L576" s="36"/>
      <c r="M576" s="36"/>
      <c r="N576" s="36"/>
      <c r="O576" s="36"/>
      <c r="P576" s="36"/>
      <c r="Q576" s="36"/>
      <c r="R576" s="36"/>
      <c r="S576" s="36"/>
      <c r="T576" s="36"/>
      <c r="U576" s="36"/>
      <c r="V576" s="36"/>
      <c r="W576" s="36"/>
      <c r="X576" s="36"/>
      <c r="Y576" s="36"/>
      <c r="Z576" s="36"/>
      <c r="AA576" s="36"/>
      <c r="AB576" s="36"/>
    </row>
    <row r="577" spans="1:28" ht="24" hidden="1" customHeight="1">
      <c r="A577" s="215" t="s">
        <v>1352</v>
      </c>
      <c r="B577" s="204">
        <v>2006</v>
      </c>
      <c r="C577" s="201" t="s">
        <v>1101</v>
      </c>
      <c r="D577" s="202" t="s">
        <v>1353</v>
      </c>
      <c r="E577" s="201" t="s">
        <v>41</v>
      </c>
      <c r="F577" s="201" t="s">
        <v>42</v>
      </c>
      <c r="G577" s="216" t="s">
        <v>43</v>
      </c>
      <c r="H577" s="201" t="s">
        <v>1104</v>
      </c>
      <c r="I577" s="35"/>
      <c r="J577" s="36"/>
      <c r="K577" s="36"/>
      <c r="L577" s="36"/>
      <c r="M577" s="36"/>
      <c r="N577" s="36"/>
      <c r="O577" s="36"/>
      <c r="P577" s="36"/>
      <c r="Q577" s="36"/>
      <c r="R577" s="36"/>
      <c r="S577" s="36"/>
      <c r="T577" s="36"/>
      <c r="U577" s="36"/>
      <c r="V577" s="36"/>
      <c r="W577" s="36"/>
      <c r="X577" s="36"/>
      <c r="Y577" s="36"/>
      <c r="Z577" s="36"/>
      <c r="AA577" s="36"/>
      <c r="AB577" s="36"/>
    </row>
    <row r="578" spans="1:28" ht="36" hidden="1" customHeight="1">
      <c r="A578" s="221" t="s">
        <v>1354</v>
      </c>
      <c r="B578" s="204">
        <v>2006</v>
      </c>
      <c r="C578" s="201" t="s">
        <v>1101</v>
      </c>
      <c r="D578" s="202" t="s">
        <v>1355</v>
      </c>
      <c r="E578" s="201" t="s">
        <v>41</v>
      </c>
      <c r="F578" s="201" t="s">
        <v>42</v>
      </c>
      <c r="G578" s="216" t="s">
        <v>43</v>
      </c>
      <c r="H578" s="201" t="s">
        <v>1104</v>
      </c>
      <c r="I578" s="35"/>
      <c r="J578" s="36"/>
      <c r="K578" s="36"/>
      <c r="L578" s="36"/>
      <c r="M578" s="36"/>
      <c r="N578" s="36"/>
      <c r="O578" s="36"/>
      <c r="P578" s="36"/>
      <c r="Q578" s="36"/>
      <c r="R578" s="36"/>
      <c r="S578" s="36"/>
      <c r="T578" s="36"/>
      <c r="U578" s="36"/>
      <c r="V578" s="36"/>
      <c r="W578" s="36"/>
      <c r="X578" s="36"/>
      <c r="Y578" s="36"/>
      <c r="Z578" s="36"/>
      <c r="AA578" s="36"/>
      <c r="AB578" s="36"/>
    </row>
    <row r="579" spans="1:28" ht="12" hidden="1" customHeight="1">
      <c r="A579" s="215" t="s">
        <v>1356</v>
      </c>
      <c r="B579" s="204">
        <v>1998</v>
      </c>
      <c r="C579" s="201" t="s">
        <v>1101</v>
      </c>
      <c r="D579" s="202" t="s">
        <v>1356</v>
      </c>
      <c r="E579" s="201" t="s">
        <v>41</v>
      </c>
      <c r="F579" s="201" t="s">
        <v>42</v>
      </c>
      <c r="G579" s="216" t="s">
        <v>43</v>
      </c>
      <c r="H579" s="201" t="s">
        <v>1104</v>
      </c>
      <c r="I579" s="35"/>
      <c r="J579" s="36"/>
      <c r="K579" s="36"/>
      <c r="L579" s="36"/>
      <c r="M579" s="36"/>
      <c r="N579" s="36"/>
      <c r="O579" s="36"/>
      <c r="P579" s="36"/>
      <c r="Q579" s="36"/>
      <c r="R579" s="36"/>
      <c r="S579" s="36"/>
      <c r="T579" s="36"/>
      <c r="U579" s="36"/>
      <c r="V579" s="36"/>
      <c r="W579" s="36"/>
      <c r="X579" s="36"/>
      <c r="Y579" s="36"/>
      <c r="Z579" s="36"/>
      <c r="AA579" s="36"/>
      <c r="AB579" s="36"/>
    </row>
    <row r="580" spans="1:28" ht="12" hidden="1" customHeight="1">
      <c r="A580" s="215" t="s">
        <v>1357</v>
      </c>
      <c r="B580" s="204">
        <v>1997</v>
      </c>
      <c r="C580" s="201" t="s">
        <v>1101</v>
      </c>
      <c r="D580" s="202" t="s">
        <v>1358</v>
      </c>
      <c r="E580" s="223" t="s">
        <v>41</v>
      </c>
      <c r="F580" s="223" t="s">
        <v>42</v>
      </c>
      <c r="G580" s="225" t="s">
        <v>43</v>
      </c>
      <c r="H580" s="223" t="s">
        <v>1104</v>
      </c>
      <c r="I580" s="35"/>
      <c r="J580" s="36"/>
      <c r="K580" s="36"/>
      <c r="L580" s="36"/>
      <c r="M580" s="36"/>
      <c r="N580" s="36"/>
      <c r="O580" s="36"/>
      <c r="P580" s="36"/>
      <c r="Q580" s="36"/>
      <c r="R580" s="36"/>
      <c r="S580" s="36"/>
      <c r="T580" s="36"/>
      <c r="U580" s="36"/>
      <c r="V580" s="36"/>
      <c r="W580" s="36"/>
      <c r="X580" s="36"/>
      <c r="Y580" s="36"/>
      <c r="Z580" s="36"/>
      <c r="AA580" s="36"/>
      <c r="AB580" s="36"/>
    </row>
    <row r="581" spans="1:28" ht="24" hidden="1" customHeight="1">
      <c r="A581" s="215" t="s">
        <v>1359</v>
      </c>
      <c r="B581" s="204">
        <v>2018</v>
      </c>
      <c r="C581" s="201" t="s">
        <v>130</v>
      </c>
      <c r="D581" s="202" t="s">
        <v>1360</v>
      </c>
      <c r="E581" s="201" t="s">
        <v>41</v>
      </c>
      <c r="F581" s="201" t="s">
        <v>42</v>
      </c>
      <c r="G581" s="216" t="s">
        <v>43</v>
      </c>
      <c r="H581" s="201" t="s">
        <v>1104</v>
      </c>
      <c r="I581" s="35"/>
      <c r="J581" s="36"/>
      <c r="K581" s="36"/>
      <c r="L581" s="36"/>
      <c r="M581" s="36"/>
      <c r="N581" s="36"/>
      <c r="O581" s="36"/>
      <c r="P581" s="36"/>
      <c r="Q581" s="36"/>
      <c r="R581" s="36"/>
      <c r="S581" s="36"/>
      <c r="T581" s="36"/>
      <c r="U581" s="36"/>
      <c r="V581" s="36"/>
      <c r="W581" s="36"/>
      <c r="X581" s="36"/>
      <c r="Y581" s="36"/>
      <c r="Z581" s="36"/>
      <c r="AA581" s="36"/>
      <c r="AB581" s="36"/>
    </row>
    <row r="582" spans="1:28" ht="24" hidden="1" customHeight="1">
      <c r="A582" s="215" t="s">
        <v>1361</v>
      </c>
      <c r="B582" s="204"/>
      <c r="C582" s="201" t="s">
        <v>130</v>
      </c>
      <c r="D582" s="202" t="s">
        <v>1361</v>
      </c>
      <c r="E582" s="201" t="s">
        <v>41</v>
      </c>
      <c r="F582" s="201" t="s">
        <v>42</v>
      </c>
      <c r="G582" s="216" t="s">
        <v>43</v>
      </c>
      <c r="H582" s="201" t="s">
        <v>1104</v>
      </c>
      <c r="I582" s="35"/>
      <c r="J582" s="36"/>
      <c r="K582" s="36"/>
      <c r="L582" s="36"/>
      <c r="M582" s="36"/>
      <c r="N582" s="36"/>
      <c r="O582" s="36"/>
      <c r="P582" s="36"/>
      <c r="Q582" s="36"/>
      <c r="R582" s="36"/>
      <c r="S582" s="36"/>
      <c r="T582" s="36"/>
      <c r="U582" s="36"/>
      <c r="V582" s="36"/>
      <c r="W582" s="36"/>
      <c r="X582" s="36"/>
      <c r="Y582" s="36"/>
      <c r="Z582" s="36"/>
      <c r="AA582" s="36"/>
      <c r="AB582" s="36"/>
    </row>
    <row r="583" spans="1:28" ht="24" hidden="1" customHeight="1">
      <c r="A583" s="215" t="s">
        <v>1362</v>
      </c>
      <c r="B583" s="230">
        <v>2003</v>
      </c>
      <c r="C583" s="201" t="s">
        <v>61</v>
      </c>
      <c r="D583" s="231" t="s">
        <v>1363</v>
      </c>
      <c r="E583" s="201" t="s">
        <v>41</v>
      </c>
      <c r="F583" s="201" t="s">
        <v>42</v>
      </c>
      <c r="G583" s="216" t="s">
        <v>43</v>
      </c>
      <c r="H583" s="201" t="s">
        <v>1104</v>
      </c>
      <c r="I583" s="35"/>
      <c r="J583" s="36"/>
      <c r="K583" s="36"/>
      <c r="L583" s="36"/>
      <c r="M583" s="36"/>
      <c r="N583" s="36"/>
      <c r="O583" s="36"/>
      <c r="P583" s="36"/>
      <c r="Q583" s="36"/>
      <c r="R583" s="36"/>
      <c r="S583" s="36"/>
      <c r="T583" s="36"/>
      <c r="U583" s="36"/>
      <c r="V583" s="36"/>
      <c r="W583" s="36"/>
      <c r="X583" s="36"/>
      <c r="Y583" s="36"/>
      <c r="Z583" s="36"/>
      <c r="AA583" s="36"/>
      <c r="AB583" s="36"/>
    </row>
    <row r="584" spans="1:28" ht="24" hidden="1" customHeight="1">
      <c r="A584" s="215" t="s">
        <v>1364</v>
      </c>
      <c r="B584" s="230">
        <v>2018</v>
      </c>
      <c r="C584" s="230" t="s">
        <v>1365</v>
      </c>
      <c r="D584" s="231" t="s">
        <v>1364</v>
      </c>
      <c r="E584" s="201" t="s">
        <v>41</v>
      </c>
      <c r="F584" s="201" t="s">
        <v>42</v>
      </c>
      <c r="G584" s="216" t="s">
        <v>43</v>
      </c>
      <c r="H584" s="201" t="s">
        <v>1104</v>
      </c>
      <c r="I584" s="35"/>
      <c r="J584" s="36"/>
      <c r="K584" s="36"/>
      <c r="L584" s="36"/>
      <c r="M584" s="36"/>
      <c r="N584" s="36"/>
      <c r="O584" s="36"/>
      <c r="P584" s="36"/>
      <c r="Q584" s="36"/>
      <c r="R584" s="36"/>
      <c r="S584" s="36"/>
      <c r="T584" s="36"/>
      <c r="U584" s="36"/>
      <c r="V584" s="36"/>
      <c r="W584" s="36"/>
      <c r="X584" s="36"/>
      <c r="Y584" s="36"/>
      <c r="Z584" s="36"/>
      <c r="AA584" s="36"/>
      <c r="AB584" s="36"/>
    </row>
    <row r="585" spans="1:28" ht="12" hidden="1" customHeight="1">
      <c r="A585" s="207" t="s">
        <v>1366</v>
      </c>
      <c r="B585" s="206">
        <v>1979</v>
      </c>
      <c r="C585" s="117" t="s">
        <v>39</v>
      </c>
      <c r="D585" s="195" t="s">
        <v>40</v>
      </c>
      <c r="E585" s="117" t="s">
        <v>41</v>
      </c>
      <c r="F585" s="117" t="s">
        <v>42</v>
      </c>
      <c r="G585" s="193" t="s">
        <v>43</v>
      </c>
      <c r="H585" s="117" t="s">
        <v>44</v>
      </c>
      <c r="I585" s="35"/>
      <c r="J585" s="36"/>
      <c r="K585" s="36"/>
      <c r="L585" s="36"/>
      <c r="M585" s="36"/>
      <c r="N585" s="36"/>
      <c r="O585" s="36"/>
      <c r="P585" s="36"/>
      <c r="Q585" s="36"/>
      <c r="R585" s="36"/>
      <c r="S585" s="36"/>
      <c r="T585" s="36"/>
      <c r="U585" s="36"/>
      <c r="V585" s="36"/>
      <c r="W585" s="36"/>
      <c r="X585" s="36"/>
      <c r="Y585" s="36"/>
      <c r="Z585" s="36"/>
      <c r="AA585" s="36"/>
      <c r="AB585" s="36"/>
    </row>
    <row r="586" spans="1:28" ht="36" hidden="1" customHeight="1">
      <c r="A586" s="207" t="s">
        <v>1367</v>
      </c>
      <c r="B586" s="206">
        <v>1991</v>
      </c>
      <c r="C586" s="117" t="s">
        <v>39</v>
      </c>
      <c r="D586" s="195" t="s">
        <v>45</v>
      </c>
      <c r="E586" s="117" t="s">
        <v>41</v>
      </c>
      <c r="F586" s="117" t="s">
        <v>42</v>
      </c>
      <c r="G586" s="193" t="s">
        <v>43</v>
      </c>
      <c r="H586" s="117" t="s">
        <v>44</v>
      </c>
      <c r="I586" s="35"/>
      <c r="J586" s="36"/>
      <c r="K586" s="36"/>
      <c r="L586" s="36"/>
      <c r="M586" s="36"/>
      <c r="N586" s="36"/>
      <c r="O586" s="36"/>
      <c r="P586" s="36"/>
      <c r="Q586" s="36"/>
      <c r="R586" s="36"/>
      <c r="S586" s="36"/>
      <c r="T586" s="36"/>
      <c r="U586" s="36"/>
      <c r="V586" s="36"/>
      <c r="W586" s="36"/>
      <c r="X586" s="36"/>
      <c r="Y586" s="36"/>
      <c r="Z586" s="36"/>
      <c r="AA586" s="36"/>
      <c r="AB586" s="36"/>
    </row>
    <row r="587" spans="1:28" ht="60" hidden="1" customHeight="1">
      <c r="A587" s="207" t="s">
        <v>1368</v>
      </c>
      <c r="B587" s="206">
        <v>2001</v>
      </c>
      <c r="C587" s="117" t="s">
        <v>39</v>
      </c>
      <c r="D587" s="195" t="s">
        <v>761</v>
      </c>
      <c r="E587" s="117" t="s">
        <v>41</v>
      </c>
      <c r="F587" s="117" t="s">
        <v>42</v>
      </c>
      <c r="G587" s="193" t="s">
        <v>43</v>
      </c>
      <c r="H587" s="117" t="s">
        <v>44</v>
      </c>
      <c r="I587" s="35"/>
      <c r="J587" s="36"/>
      <c r="K587" s="36"/>
      <c r="L587" s="36"/>
      <c r="M587" s="36"/>
      <c r="N587" s="36"/>
      <c r="O587" s="36"/>
      <c r="P587" s="36"/>
      <c r="Q587" s="36"/>
      <c r="R587" s="36"/>
      <c r="S587" s="36"/>
      <c r="T587" s="36"/>
      <c r="U587" s="36"/>
      <c r="V587" s="36"/>
      <c r="W587" s="36"/>
      <c r="X587" s="36"/>
      <c r="Y587" s="36"/>
      <c r="Z587" s="36"/>
      <c r="AA587" s="36"/>
      <c r="AB587" s="36"/>
    </row>
    <row r="588" spans="1:28" ht="12" hidden="1" customHeight="1">
      <c r="A588" s="207" t="s">
        <v>1369</v>
      </c>
      <c r="B588" s="206">
        <v>2003</v>
      </c>
      <c r="C588" s="117" t="s">
        <v>39</v>
      </c>
      <c r="D588" s="195" t="s">
        <v>49</v>
      </c>
      <c r="E588" s="117" t="s">
        <v>41</v>
      </c>
      <c r="F588" s="117" t="s">
        <v>42</v>
      </c>
      <c r="G588" s="193" t="s">
        <v>43</v>
      </c>
      <c r="H588" s="117" t="s">
        <v>44</v>
      </c>
      <c r="I588" s="35"/>
      <c r="J588" s="36"/>
      <c r="K588" s="36"/>
      <c r="L588" s="36"/>
      <c r="M588" s="36"/>
      <c r="N588" s="36"/>
      <c r="O588" s="36"/>
      <c r="P588" s="36"/>
      <c r="Q588" s="36"/>
      <c r="R588" s="36"/>
      <c r="S588" s="36"/>
      <c r="T588" s="36"/>
      <c r="U588" s="36"/>
      <c r="V588" s="36"/>
      <c r="W588" s="36"/>
      <c r="X588" s="36"/>
      <c r="Y588" s="36"/>
      <c r="Z588" s="36"/>
      <c r="AA588" s="36"/>
      <c r="AB588" s="36"/>
    </row>
    <row r="589" spans="1:28" ht="12" hidden="1" customHeight="1">
      <c r="A589" s="207" t="s">
        <v>1370</v>
      </c>
      <c r="B589" s="206">
        <v>2004</v>
      </c>
      <c r="C589" s="117" t="s">
        <v>39</v>
      </c>
      <c r="D589" s="195" t="s">
        <v>50</v>
      </c>
      <c r="E589" s="117" t="s">
        <v>41</v>
      </c>
      <c r="F589" s="117" t="s">
        <v>42</v>
      </c>
      <c r="G589" s="193" t="s">
        <v>43</v>
      </c>
      <c r="H589" s="117" t="s">
        <v>44</v>
      </c>
      <c r="I589" s="35"/>
      <c r="J589" s="36"/>
      <c r="K589" s="36"/>
      <c r="L589" s="36"/>
      <c r="M589" s="36"/>
      <c r="N589" s="36"/>
      <c r="O589" s="36"/>
      <c r="P589" s="36"/>
      <c r="Q589" s="36"/>
      <c r="R589" s="36"/>
      <c r="S589" s="36"/>
      <c r="T589" s="36"/>
      <c r="U589" s="36"/>
      <c r="V589" s="36"/>
      <c r="W589" s="36"/>
      <c r="X589" s="36"/>
      <c r="Y589" s="36"/>
      <c r="Z589" s="36"/>
      <c r="AA589" s="36"/>
      <c r="AB589" s="36"/>
    </row>
    <row r="590" spans="1:28" ht="12" hidden="1" customHeight="1">
      <c r="A590" s="207" t="s">
        <v>1371</v>
      </c>
      <c r="B590" s="206">
        <v>2008</v>
      </c>
      <c r="C590" s="117" t="s">
        <v>39</v>
      </c>
      <c r="D590" s="195" t="s">
        <v>51</v>
      </c>
      <c r="E590" s="117" t="s">
        <v>41</v>
      </c>
      <c r="F590" s="117" t="s">
        <v>42</v>
      </c>
      <c r="G590" s="193" t="s">
        <v>43</v>
      </c>
      <c r="H590" s="117" t="s">
        <v>44</v>
      </c>
      <c r="I590" s="35"/>
      <c r="J590" s="36"/>
      <c r="K590" s="36"/>
      <c r="L590" s="36"/>
      <c r="M590" s="36"/>
      <c r="N590" s="36"/>
      <c r="O590" s="36"/>
      <c r="P590" s="36"/>
      <c r="Q590" s="36"/>
      <c r="R590" s="36"/>
      <c r="S590" s="36"/>
      <c r="T590" s="36"/>
      <c r="U590" s="36"/>
      <c r="V590" s="36"/>
      <c r="W590" s="36"/>
      <c r="X590" s="36"/>
      <c r="Y590" s="36"/>
      <c r="Z590" s="36"/>
      <c r="AA590" s="36"/>
      <c r="AB590" s="36"/>
    </row>
    <row r="591" spans="1:28" ht="60" hidden="1" customHeight="1">
      <c r="A591" s="207" t="s">
        <v>1372</v>
      </c>
      <c r="B591" s="206">
        <v>2008</v>
      </c>
      <c r="C591" s="117" t="s">
        <v>39</v>
      </c>
      <c r="D591" s="195" t="s">
        <v>52</v>
      </c>
      <c r="E591" s="117" t="s">
        <v>41</v>
      </c>
      <c r="F591" s="117" t="s">
        <v>42</v>
      </c>
      <c r="G591" s="193" t="s">
        <v>43</v>
      </c>
      <c r="H591" s="117" t="s">
        <v>44</v>
      </c>
      <c r="I591" s="35"/>
      <c r="J591" s="36"/>
      <c r="K591" s="36"/>
      <c r="L591" s="36"/>
      <c r="M591" s="36"/>
      <c r="N591" s="36"/>
      <c r="O591" s="36"/>
      <c r="P591" s="36"/>
      <c r="Q591" s="36"/>
      <c r="R591" s="36"/>
      <c r="S591" s="36"/>
      <c r="T591" s="36"/>
      <c r="U591" s="36"/>
      <c r="V591" s="36"/>
      <c r="W591" s="36"/>
      <c r="X591" s="36"/>
      <c r="Y591" s="36"/>
      <c r="Z591" s="36"/>
      <c r="AA591" s="36"/>
      <c r="AB591" s="36"/>
    </row>
    <row r="592" spans="1:28" ht="48" hidden="1" customHeight="1">
      <c r="A592" s="207" t="s">
        <v>1373</v>
      </c>
      <c r="B592" s="206">
        <v>2009</v>
      </c>
      <c r="C592" s="117" t="s">
        <v>39</v>
      </c>
      <c r="D592" s="195" t="s">
        <v>53</v>
      </c>
      <c r="E592" s="117" t="s">
        <v>41</v>
      </c>
      <c r="F592" s="117" t="s">
        <v>42</v>
      </c>
      <c r="G592" s="193" t="s">
        <v>43</v>
      </c>
      <c r="H592" s="117" t="s">
        <v>44</v>
      </c>
      <c r="I592" s="35"/>
      <c r="J592" s="36"/>
      <c r="K592" s="36"/>
      <c r="L592" s="36"/>
      <c r="M592" s="36"/>
      <c r="N592" s="36"/>
      <c r="O592" s="36"/>
      <c r="P592" s="36"/>
      <c r="Q592" s="36"/>
      <c r="R592" s="36"/>
      <c r="S592" s="36"/>
      <c r="T592" s="36"/>
      <c r="U592" s="36"/>
      <c r="V592" s="36"/>
      <c r="W592" s="36"/>
      <c r="X592" s="36"/>
      <c r="Y592" s="36"/>
      <c r="Z592" s="36"/>
      <c r="AA592" s="36"/>
      <c r="AB592" s="36"/>
    </row>
    <row r="593" spans="1:28" ht="36" hidden="1" customHeight="1">
      <c r="A593" s="207" t="s">
        <v>286</v>
      </c>
      <c r="B593" s="117">
        <v>2011</v>
      </c>
      <c r="C593" s="197" t="s">
        <v>39</v>
      </c>
      <c r="D593" s="195" t="s">
        <v>54</v>
      </c>
      <c r="E593" s="117" t="s">
        <v>41</v>
      </c>
      <c r="F593" s="117" t="s">
        <v>42</v>
      </c>
      <c r="G593" s="193" t="s">
        <v>43</v>
      </c>
      <c r="H593" s="117" t="s">
        <v>44</v>
      </c>
      <c r="I593" s="35"/>
      <c r="J593" s="36"/>
      <c r="K593" s="36"/>
      <c r="L593" s="36"/>
      <c r="M593" s="36"/>
      <c r="N593" s="36"/>
      <c r="O593" s="36"/>
      <c r="P593" s="36"/>
      <c r="Q593" s="36"/>
      <c r="R593" s="36"/>
      <c r="S593" s="36"/>
      <c r="T593" s="36"/>
      <c r="U593" s="36"/>
      <c r="V593" s="36"/>
      <c r="W593" s="36"/>
      <c r="X593" s="36"/>
      <c r="Y593" s="36"/>
      <c r="Z593" s="36"/>
      <c r="AA593" s="36"/>
      <c r="AB593" s="36"/>
    </row>
    <row r="594" spans="1:28" ht="48" hidden="1" customHeight="1">
      <c r="A594" s="207" t="s">
        <v>1374</v>
      </c>
      <c r="B594" s="206">
        <v>2011</v>
      </c>
      <c r="C594" s="117" t="s">
        <v>39</v>
      </c>
      <c r="D594" s="195" t="s">
        <v>55</v>
      </c>
      <c r="E594" s="117" t="s">
        <v>41</v>
      </c>
      <c r="F594" s="117" t="s">
        <v>42</v>
      </c>
      <c r="G594" s="193" t="s">
        <v>43</v>
      </c>
      <c r="H594" s="117" t="s">
        <v>44</v>
      </c>
      <c r="I594" s="35"/>
      <c r="J594" s="36"/>
      <c r="K594" s="36"/>
      <c r="L594" s="36"/>
      <c r="M594" s="36"/>
      <c r="N594" s="36"/>
      <c r="O594" s="36"/>
      <c r="P594" s="36"/>
      <c r="Q594" s="36"/>
      <c r="R594" s="36"/>
      <c r="S594" s="36"/>
      <c r="T594" s="36"/>
      <c r="U594" s="36"/>
      <c r="V594" s="36"/>
      <c r="W594" s="36"/>
      <c r="X594" s="36"/>
      <c r="Y594" s="36"/>
      <c r="Z594" s="36"/>
      <c r="AA594" s="36"/>
      <c r="AB594" s="36"/>
    </row>
    <row r="595" spans="1:28" ht="28.5" hidden="1" customHeight="1">
      <c r="A595" s="207" t="s">
        <v>1154</v>
      </c>
      <c r="B595" s="206">
        <v>2016</v>
      </c>
      <c r="C595" s="117" t="s">
        <v>39</v>
      </c>
      <c r="D595" s="195" t="s">
        <v>56</v>
      </c>
      <c r="E595" s="117" t="s">
        <v>41</v>
      </c>
      <c r="F595" s="117" t="s">
        <v>42</v>
      </c>
      <c r="G595" s="193" t="s">
        <v>43</v>
      </c>
      <c r="H595" s="117" t="s">
        <v>44</v>
      </c>
      <c r="I595" s="35"/>
      <c r="J595" s="36"/>
      <c r="K595" s="36"/>
      <c r="L595" s="36"/>
      <c r="M595" s="36"/>
      <c r="N595" s="36"/>
      <c r="O595" s="36"/>
      <c r="P595" s="36"/>
      <c r="Q595" s="36"/>
      <c r="R595" s="36"/>
      <c r="S595" s="36"/>
      <c r="T595" s="36"/>
      <c r="U595" s="36"/>
      <c r="V595" s="36"/>
      <c r="W595" s="36"/>
      <c r="X595" s="36"/>
      <c r="Y595" s="36"/>
      <c r="Z595" s="36"/>
      <c r="AA595" s="36"/>
      <c r="AB595" s="36"/>
    </row>
    <row r="596" spans="1:28" ht="180" hidden="1" customHeight="1">
      <c r="A596" s="207" t="s">
        <v>1375</v>
      </c>
      <c r="B596" s="206">
        <v>1993</v>
      </c>
      <c r="C596" s="117" t="s">
        <v>57</v>
      </c>
      <c r="D596" s="195" t="s">
        <v>58</v>
      </c>
      <c r="E596" s="117" t="s">
        <v>59</v>
      </c>
      <c r="F596" s="195" t="s">
        <v>60</v>
      </c>
      <c r="G596" s="193" t="s">
        <v>43</v>
      </c>
      <c r="H596" s="117" t="s">
        <v>44</v>
      </c>
      <c r="I596" s="35"/>
      <c r="J596" s="36"/>
      <c r="K596" s="36"/>
      <c r="L596" s="36"/>
      <c r="M596" s="36"/>
      <c r="N596" s="36"/>
      <c r="O596" s="36"/>
      <c r="P596" s="36"/>
      <c r="Q596" s="36"/>
      <c r="R596" s="36"/>
      <c r="S596" s="36"/>
      <c r="T596" s="36"/>
      <c r="U596" s="36"/>
      <c r="V596" s="36"/>
      <c r="W596" s="36"/>
      <c r="X596" s="36"/>
      <c r="Y596" s="36"/>
      <c r="Z596" s="36"/>
      <c r="AA596" s="36"/>
      <c r="AB596" s="36"/>
    </row>
    <row r="597" spans="1:28" ht="24" hidden="1" customHeight="1">
      <c r="A597" s="207" t="s">
        <v>1376</v>
      </c>
      <c r="B597" s="206">
        <v>1999</v>
      </c>
      <c r="C597" s="117" t="s">
        <v>61</v>
      </c>
      <c r="D597" s="195" t="s">
        <v>62</v>
      </c>
      <c r="E597" s="117" t="s">
        <v>41</v>
      </c>
      <c r="F597" s="117" t="s">
        <v>42</v>
      </c>
      <c r="G597" s="193" t="s">
        <v>43</v>
      </c>
      <c r="H597" s="117" t="s">
        <v>44</v>
      </c>
      <c r="I597" s="35"/>
      <c r="J597" s="36"/>
      <c r="K597" s="36"/>
      <c r="L597" s="36"/>
      <c r="M597" s="36"/>
      <c r="N597" s="36"/>
      <c r="O597" s="36"/>
      <c r="P597" s="36"/>
      <c r="Q597" s="36"/>
      <c r="R597" s="36"/>
      <c r="S597" s="36"/>
      <c r="T597" s="36"/>
      <c r="U597" s="36"/>
      <c r="V597" s="36"/>
      <c r="W597" s="36"/>
      <c r="X597" s="36"/>
      <c r="Y597" s="36"/>
      <c r="Z597" s="36"/>
      <c r="AA597" s="36"/>
      <c r="AB597" s="36"/>
    </row>
    <row r="598" spans="1:28" ht="24" hidden="1" customHeight="1">
      <c r="A598" s="207" t="s">
        <v>1377</v>
      </c>
      <c r="B598" s="206">
        <v>2000</v>
      </c>
      <c r="C598" s="117" t="s">
        <v>61</v>
      </c>
      <c r="D598" s="195" t="s">
        <v>63</v>
      </c>
      <c r="E598" s="117" t="s">
        <v>41</v>
      </c>
      <c r="F598" s="117" t="s">
        <v>42</v>
      </c>
      <c r="G598" s="193" t="s">
        <v>43</v>
      </c>
      <c r="H598" s="117" t="s">
        <v>44</v>
      </c>
      <c r="I598" s="35"/>
      <c r="J598" s="36"/>
      <c r="K598" s="36"/>
      <c r="L598" s="36"/>
      <c r="M598" s="36"/>
      <c r="N598" s="36"/>
      <c r="O598" s="36"/>
      <c r="P598" s="36"/>
      <c r="Q598" s="36"/>
      <c r="R598" s="36"/>
      <c r="S598" s="36"/>
      <c r="T598" s="36"/>
      <c r="U598" s="36"/>
      <c r="V598" s="36"/>
      <c r="W598" s="36"/>
      <c r="X598" s="36"/>
      <c r="Y598" s="36"/>
      <c r="Z598" s="36"/>
      <c r="AA598" s="36"/>
      <c r="AB598" s="36"/>
    </row>
    <row r="599" spans="1:28" ht="36" hidden="1" customHeight="1">
      <c r="A599" s="207" t="s">
        <v>1378</v>
      </c>
      <c r="B599" s="206">
        <v>2003</v>
      </c>
      <c r="C599" s="117" t="s">
        <v>61</v>
      </c>
      <c r="D599" s="195" t="s">
        <v>64</v>
      </c>
      <c r="E599" s="117" t="s">
        <v>41</v>
      </c>
      <c r="F599" s="117" t="s">
        <v>42</v>
      </c>
      <c r="G599" s="193" t="s">
        <v>43</v>
      </c>
      <c r="H599" s="117" t="s">
        <v>44</v>
      </c>
      <c r="I599" s="35"/>
      <c r="J599" s="36"/>
      <c r="K599" s="36"/>
      <c r="L599" s="36"/>
      <c r="M599" s="36"/>
      <c r="N599" s="36"/>
      <c r="O599" s="36"/>
      <c r="P599" s="36"/>
      <c r="Q599" s="36"/>
      <c r="R599" s="36"/>
      <c r="S599" s="36"/>
      <c r="T599" s="36"/>
      <c r="U599" s="36"/>
      <c r="V599" s="36"/>
      <c r="W599" s="36"/>
      <c r="X599" s="36"/>
      <c r="Y599" s="36"/>
      <c r="Z599" s="36"/>
      <c r="AA599" s="36"/>
      <c r="AB599" s="36"/>
    </row>
    <row r="600" spans="1:28" ht="36" hidden="1" customHeight="1">
      <c r="A600" s="207" t="s">
        <v>1379</v>
      </c>
      <c r="B600" s="206">
        <v>2003</v>
      </c>
      <c r="C600" s="117" t="s">
        <v>61</v>
      </c>
      <c r="D600" s="195" t="s">
        <v>65</v>
      </c>
      <c r="E600" s="117" t="s">
        <v>41</v>
      </c>
      <c r="F600" s="117" t="s">
        <v>42</v>
      </c>
      <c r="G600" s="193" t="s">
        <v>43</v>
      </c>
      <c r="H600" s="117" t="s">
        <v>44</v>
      </c>
      <c r="I600" s="35"/>
      <c r="J600" s="36"/>
      <c r="K600" s="36"/>
      <c r="L600" s="36"/>
      <c r="M600" s="36"/>
      <c r="N600" s="36"/>
      <c r="O600" s="36"/>
      <c r="P600" s="36"/>
      <c r="Q600" s="36"/>
      <c r="R600" s="36"/>
      <c r="S600" s="36"/>
      <c r="T600" s="36"/>
      <c r="U600" s="36"/>
      <c r="V600" s="36"/>
      <c r="W600" s="36"/>
      <c r="X600" s="36"/>
      <c r="Y600" s="36"/>
      <c r="Z600" s="36"/>
      <c r="AA600" s="36"/>
      <c r="AB600" s="36"/>
    </row>
    <row r="601" spans="1:28" ht="24" hidden="1" customHeight="1">
      <c r="A601" s="207" t="s">
        <v>799</v>
      </c>
      <c r="B601" s="206">
        <v>2003</v>
      </c>
      <c r="C601" s="117" t="s">
        <v>61</v>
      </c>
      <c r="D601" s="195" t="s">
        <v>534</v>
      </c>
      <c r="E601" s="117" t="s">
        <v>41</v>
      </c>
      <c r="F601" s="117" t="s">
        <v>42</v>
      </c>
      <c r="G601" s="193" t="s">
        <v>43</v>
      </c>
      <c r="H601" s="117" t="s">
        <v>44</v>
      </c>
      <c r="I601" s="35"/>
      <c r="J601" s="36"/>
      <c r="K601" s="36"/>
      <c r="L601" s="36"/>
      <c r="M601" s="36"/>
      <c r="N601" s="36"/>
      <c r="O601" s="36"/>
      <c r="P601" s="36"/>
      <c r="Q601" s="36"/>
      <c r="R601" s="36"/>
      <c r="S601" s="36"/>
      <c r="T601" s="36"/>
      <c r="U601" s="36"/>
      <c r="V601" s="36"/>
      <c r="W601" s="36"/>
      <c r="X601" s="36"/>
      <c r="Y601" s="36"/>
      <c r="Z601" s="36"/>
      <c r="AA601" s="36"/>
      <c r="AB601" s="36"/>
    </row>
    <row r="602" spans="1:28" ht="24" hidden="1" customHeight="1">
      <c r="A602" s="207" t="s">
        <v>1380</v>
      </c>
      <c r="B602" s="206">
        <v>2003</v>
      </c>
      <c r="C602" s="117" t="s">
        <v>61</v>
      </c>
      <c r="D602" s="195" t="s">
        <v>1381</v>
      </c>
      <c r="E602" s="117" t="s">
        <v>41</v>
      </c>
      <c r="F602" s="117" t="s">
        <v>42</v>
      </c>
      <c r="G602" s="193" t="s">
        <v>43</v>
      </c>
      <c r="H602" s="117" t="s">
        <v>44</v>
      </c>
      <c r="I602" s="35"/>
      <c r="J602" s="36"/>
      <c r="K602" s="36"/>
      <c r="L602" s="36"/>
      <c r="M602" s="36"/>
      <c r="N602" s="36"/>
      <c r="O602" s="36"/>
      <c r="P602" s="36"/>
      <c r="Q602" s="36"/>
      <c r="R602" s="36"/>
      <c r="S602" s="36"/>
      <c r="T602" s="36"/>
      <c r="U602" s="36"/>
      <c r="V602" s="36"/>
      <c r="W602" s="36"/>
      <c r="X602" s="36"/>
      <c r="Y602" s="36"/>
      <c r="Z602" s="36"/>
      <c r="AA602" s="36"/>
      <c r="AB602" s="36"/>
    </row>
    <row r="603" spans="1:28" ht="48" hidden="1" customHeight="1">
      <c r="A603" s="207" t="s">
        <v>1382</v>
      </c>
      <c r="B603" s="206">
        <v>2003</v>
      </c>
      <c r="C603" s="117" t="s">
        <v>61</v>
      </c>
      <c r="D603" s="195" t="s">
        <v>66</v>
      </c>
      <c r="E603" s="117" t="s">
        <v>41</v>
      </c>
      <c r="F603" s="117" t="s">
        <v>42</v>
      </c>
      <c r="G603" s="193" t="s">
        <v>43</v>
      </c>
      <c r="H603" s="117" t="s">
        <v>44</v>
      </c>
      <c r="I603" s="35"/>
      <c r="J603" s="36"/>
      <c r="K603" s="36"/>
      <c r="L603" s="36"/>
      <c r="M603" s="36"/>
      <c r="N603" s="36"/>
      <c r="O603" s="36"/>
      <c r="P603" s="36"/>
      <c r="Q603" s="36"/>
      <c r="R603" s="36"/>
      <c r="S603" s="36"/>
      <c r="T603" s="36"/>
      <c r="U603" s="36"/>
      <c r="V603" s="36"/>
      <c r="W603" s="36"/>
      <c r="X603" s="36"/>
      <c r="Y603" s="36"/>
      <c r="Z603" s="36"/>
      <c r="AA603" s="36"/>
      <c r="AB603" s="36"/>
    </row>
    <row r="604" spans="1:28" ht="36" hidden="1" customHeight="1">
      <c r="A604" s="207" t="s">
        <v>1383</v>
      </c>
      <c r="B604" s="206">
        <v>2003</v>
      </c>
      <c r="C604" s="117" t="s">
        <v>61</v>
      </c>
      <c r="D604" s="195" t="s">
        <v>1384</v>
      </c>
      <c r="E604" s="117" t="s">
        <v>41</v>
      </c>
      <c r="F604" s="117" t="s">
        <v>42</v>
      </c>
      <c r="G604" s="193" t="s">
        <v>43</v>
      </c>
      <c r="H604" s="117" t="s">
        <v>44</v>
      </c>
      <c r="I604" s="35"/>
      <c r="J604" s="36"/>
      <c r="K604" s="36"/>
      <c r="L604" s="36"/>
      <c r="M604" s="36"/>
      <c r="N604" s="36"/>
      <c r="O604" s="36"/>
      <c r="P604" s="36"/>
      <c r="Q604" s="36"/>
      <c r="R604" s="36"/>
      <c r="S604" s="36"/>
      <c r="T604" s="36"/>
      <c r="U604" s="36"/>
      <c r="V604" s="36"/>
      <c r="W604" s="36"/>
      <c r="X604" s="36"/>
      <c r="Y604" s="36"/>
      <c r="Z604" s="36"/>
      <c r="AA604" s="36"/>
      <c r="AB604" s="36"/>
    </row>
    <row r="605" spans="1:28" ht="36" hidden="1" customHeight="1">
      <c r="A605" s="207" t="s">
        <v>803</v>
      </c>
      <c r="B605" s="206">
        <v>2005</v>
      </c>
      <c r="C605" s="117" t="s">
        <v>61</v>
      </c>
      <c r="D605" s="195" t="s">
        <v>67</v>
      </c>
      <c r="E605" s="117" t="s">
        <v>41</v>
      </c>
      <c r="F605" s="117" t="s">
        <v>42</v>
      </c>
      <c r="G605" s="193" t="s">
        <v>43</v>
      </c>
      <c r="H605" s="117" t="s">
        <v>44</v>
      </c>
      <c r="I605" s="35"/>
      <c r="J605" s="36"/>
      <c r="K605" s="36"/>
      <c r="L605" s="36"/>
      <c r="M605" s="36"/>
      <c r="N605" s="36"/>
      <c r="O605" s="36"/>
      <c r="P605" s="36"/>
      <c r="Q605" s="36"/>
      <c r="R605" s="36"/>
      <c r="S605" s="36"/>
      <c r="T605" s="36"/>
      <c r="U605" s="36"/>
      <c r="V605" s="36"/>
      <c r="W605" s="36"/>
      <c r="X605" s="36"/>
      <c r="Y605" s="36"/>
      <c r="Z605" s="36"/>
      <c r="AA605" s="36"/>
      <c r="AB605" s="36"/>
    </row>
    <row r="606" spans="1:28" ht="24" hidden="1" customHeight="1">
      <c r="A606" s="207" t="s">
        <v>1385</v>
      </c>
      <c r="B606" s="206">
        <v>2005</v>
      </c>
      <c r="C606" s="117" t="s">
        <v>61</v>
      </c>
      <c r="D606" s="195" t="s">
        <v>68</v>
      </c>
      <c r="E606" s="117" t="s">
        <v>41</v>
      </c>
      <c r="F606" s="117" t="s">
        <v>42</v>
      </c>
      <c r="G606" s="193" t="s">
        <v>43</v>
      </c>
      <c r="H606" s="117" t="s">
        <v>44</v>
      </c>
      <c r="I606" s="35"/>
      <c r="J606" s="36"/>
      <c r="K606" s="36"/>
      <c r="L606" s="36"/>
      <c r="M606" s="36"/>
      <c r="N606" s="36"/>
      <c r="O606" s="36"/>
      <c r="P606" s="36"/>
      <c r="Q606" s="36"/>
      <c r="R606" s="36"/>
      <c r="S606" s="36"/>
      <c r="T606" s="36"/>
      <c r="U606" s="36"/>
      <c r="V606" s="36"/>
      <c r="W606" s="36"/>
      <c r="X606" s="36"/>
      <c r="Y606" s="36"/>
      <c r="Z606" s="36"/>
      <c r="AA606" s="36"/>
      <c r="AB606" s="36"/>
    </row>
    <row r="607" spans="1:28" ht="36" hidden="1" customHeight="1">
      <c r="A607" s="207" t="s">
        <v>1386</v>
      </c>
      <c r="B607" s="206">
        <v>2005</v>
      </c>
      <c r="C607" s="117" t="s">
        <v>57</v>
      </c>
      <c r="D607" s="195" t="s">
        <v>69</v>
      </c>
      <c r="E607" s="117" t="s">
        <v>41</v>
      </c>
      <c r="F607" s="117" t="s">
        <v>42</v>
      </c>
      <c r="G607" s="193" t="s">
        <v>43</v>
      </c>
      <c r="H607" s="117" t="s">
        <v>44</v>
      </c>
      <c r="I607" s="35"/>
      <c r="J607" s="36"/>
      <c r="K607" s="36"/>
      <c r="L607" s="36"/>
      <c r="M607" s="36"/>
      <c r="N607" s="36"/>
      <c r="O607" s="36"/>
      <c r="P607" s="36"/>
      <c r="Q607" s="36"/>
      <c r="R607" s="36"/>
      <c r="S607" s="36"/>
      <c r="T607" s="36"/>
      <c r="U607" s="36"/>
      <c r="V607" s="36"/>
      <c r="W607" s="36"/>
      <c r="X607" s="36"/>
      <c r="Y607" s="36"/>
      <c r="Z607" s="36"/>
      <c r="AA607" s="36"/>
      <c r="AB607" s="36"/>
    </row>
    <row r="608" spans="1:28" ht="24" hidden="1" customHeight="1">
      <c r="A608" s="207" t="s">
        <v>1199</v>
      </c>
      <c r="B608" s="206">
        <v>2005</v>
      </c>
      <c r="C608" s="117" t="s">
        <v>61</v>
      </c>
      <c r="D608" s="195" t="s">
        <v>70</v>
      </c>
      <c r="E608" s="117" t="s">
        <v>41</v>
      </c>
      <c r="F608" s="117" t="s">
        <v>42</v>
      </c>
      <c r="G608" s="193" t="s">
        <v>43</v>
      </c>
      <c r="H608" s="117" t="s">
        <v>44</v>
      </c>
      <c r="I608" s="35"/>
      <c r="J608" s="36"/>
      <c r="K608" s="36"/>
      <c r="L608" s="36"/>
      <c r="M608" s="36"/>
      <c r="N608" s="36"/>
      <c r="O608" s="36"/>
      <c r="P608" s="36"/>
      <c r="Q608" s="36"/>
      <c r="R608" s="36"/>
      <c r="S608" s="36"/>
      <c r="T608" s="36"/>
      <c r="U608" s="36"/>
      <c r="V608" s="36"/>
      <c r="W608" s="36"/>
      <c r="X608" s="36"/>
      <c r="Y608" s="36"/>
      <c r="Z608" s="36"/>
      <c r="AA608" s="36"/>
      <c r="AB608" s="36"/>
    </row>
    <row r="609" spans="1:28" ht="24" hidden="1" customHeight="1">
      <c r="A609" s="207" t="s">
        <v>1200</v>
      </c>
      <c r="B609" s="206">
        <v>2005</v>
      </c>
      <c r="C609" s="117" t="s">
        <v>57</v>
      </c>
      <c r="D609" s="195" t="s">
        <v>72</v>
      </c>
      <c r="E609" s="117" t="s">
        <v>41</v>
      </c>
      <c r="F609" s="117" t="s">
        <v>42</v>
      </c>
      <c r="G609" s="193" t="s">
        <v>43</v>
      </c>
      <c r="H609" s="117" t="s">
        <v>44</v>
      </c>
      <c r="I609" s="35"/>
      <c r="J609" s="36"/>
      <c r="K609" s="36"/>
      <c r="L609" s="36"/>
      <c r="M609" s="36"/>
      <c r="N609" s="36"/>
      <c r="O609" s="36"/>
      <c r="P609" s="36"/>
      <c r="Q609" s="36"/>
      <c r="R609" s="36"/>
      <c r="S609" s="36"/>
      <c r="T609" s="36"/>
      <c r="U609" s="36"/>
      <c r="V609" s="36"/>
      <c r="W609" s="36"/>
      <c r="X609" s="36"/>
      <c r="Y609" s="36"/>
      <c r="Z609" s="36"/>
      <c r="AA609" s="36"/>
      <c r="AB609" s="36"/>
    </row>
    <row r="610" spans="1:28" ht="24" hidden="1" customHeight="1">
      <c r="A610" s="207" t="s">
        <v>1203</v>
      </c>
      <c r="B610" s="206">
        <v>2006</v>
      </c>
      <c r="C610" s="117" t="s">
        <v>61</v>
      </c>
      <c r="D610" s="195" t="s">
        <v>1204</v>
      </c>
      <c r="E610" s="117" t="s">
        <v>41</v>
      </c>
      <c r="F610" s="117" t="s">
        <v>42</v>
      </c>
      <c r="G610" s="193" t="s">
        <v>43</v>
      </c>
      <c r="H610" s="117" t="s">
        <v>44</v>
      </c>
      <c r="I610" s="35"/>
      <c r="J610" s="36"/>
      <c r="K610" s="36"/>
      <c r="L610" s="36"/>
      <c r="M610" s="36"/>
      <c r="N610" s="36"/>
      <c r="O610" s="36"/>
      <c r="P610" s="36"/>
      <c r="Q610" s="36"/>
      <c r="R610" s="36"/>
      <c r="S610" s="36"/>
      <c r="T610" s="36"/>
      <c r="U610" s="36"/>
      <c r="V610" s="36"/>
      <c r="W610" s="36"/>
      <c r="X610" s="36"/>
      <c r="Y610" s="36"/>
      <c r="Z610" s="36"/>
      <c r="AA610" s="36"/>
      <c r="AB610" s="36"/>
    </row>
    <row r="611" spans="1:28" ht="24" hidden="1" customHeight="1">
      <c r="A611" s="207" t="s">
        <v>1387</v>
      </c>
      <c r="B611" s="206">
        <v>2006</v>
      </c>
      <c r="C611" s="117" t="s">
        <v>61</v>
      </c>
      <c r="D611" s="195" t="s">
        <v>73</v>
      </c>
      <c r="E611" s="117" t="s">
        <v>41</v>
      </c>
      <c r="F611" s="117" t="s">
        <v>42</v>
      </c>
      <c r="G611" s="193" t="s">
        <v>43</v>
      </c>
      <c r="H611" s="117" t="s">
        <v>44</v>
      </c>
      <c r="I611" s="35"/>
      <c r="J611" s="36"/>
      <c r="K611" s="36"/>
      <c r="L611" s="36"/>
      <c r="M611" s="36"/>
      <c r="N611" s="36"/>
      <c r="O611" s="36"/>
      <c r="P611" s="36"/>
      <c r="Q611" s="36"/>
      <c r="R611" s="36"/>
      <c r="S611" s="36"/>
      <c r="T611" s="36"/>
      <c r="U611" s="36"/>
      <c r="V611" s="36"/>
      <c r="W611" s="36"/>
      <c r="X611" s="36"/>
      <c r="Y611" s="36"/>
      <c r="Z611" s="36"/>
      <c r="AA611" s="36"/>
      <c r="AB611" s="36"/>
    </row>
    <row r="612" spans="1:28" ht="24" hidden="1" customHeight="1">
      <c r="A612" s="207" t="s">
        <v>1388</v>
      </c>
      <c r="B612" s="206">
        <v>2006</v>
      </c>
      <c r="C612" s="117" t="s">
        <v>61</v>
      </c>
      <c r="D612" s="195" t="s">
        <v>74</v>
      </c>
      <c r="E612" s="117" t="s">
        <v>41</v>
      </c>
      <c r="F612" s="117" t="s">
        <v>42</v>
      </c>
      <c r="G612" s="193" t="s">
        <v>43</v>
      </c>
      <c r="H612" s="117" t="s">
        <v>44</v>
      </c>
      <c r="I612" s="35"/>
      <c r="J612" s="36"/>
      <c r="K612" s="36"/>
      <c r="L612" s="36"/>
      <c r="M612" s="36"/>
      <c r="N612" s="36"/>
      <c r="O612" s="36"/>
      <c r="P612" s="36"/>
      <c r="Q612" s="36"/>
      <c r="R612" s="36"/>
      <c r="S612" s="36"/>
      <c r="T612" s="36"/>
      <c r="U612" s="36"/>
      <c r="V612" s="36"/>
      <c r="W612" s="36"/>
      <c r="X612" s="36"/>
      <c r="Y612" s="36"/>
      <c r="Z612" s="36"/>
      <c r="AA612" s="36"/>
      <c r="AB612" s="36"/>
    </row>
    <row r="613" spans="1:28" ht="36" hidden="1" customHeight="1">
      <c r="A613" s="207" t="s">
        <v>1389</v>
      </c>
      <c r="B613" s="206">
        <v>2007</v>
      </c>
      <c r="C613" s="117" t="s">
        <v>61</v>
      </c>
      <c r="D613" s="195" t="s">
        <v>75</v>
      </c>
      <c r="E613" s="117" t="s">
        <v>41</v>
      </c>
      <c r="F613" s="117" t="s">
        <v>42</v>
      </c>
      <c r="G613" s="193" t="s">
        <v>43</v>
      </c>
      <c r="H613" s="117" t="s">
        <v>44</v>
      </c>
      <c r="I613" s="35"/>
      <c r="J613" s="36"/>
      <c r="K613" s="36"/>
      <c r="L613" s="36"/>
      <c r="M613" s="36"/>
      <c r="N613" s="36"/>
      <c r="O613" s="36"/>
      <c r="P613" s="36"/>
      <c r="Q613" s="36"/>
      <c r="R613" s="36"/>
      <c r="S613" s="36"/>
      <c r="T613" s="36"/>
      <c r="U613" s="36"/>
      <c r="V613" s="36"/>
      <c r="W613" s="36"/>
      <c r="X613" s="36"/>
      <c r="Y613" s="36"/>
      <c r="Z613" s="36"/>
      <c r="AA613" s="36"/>
      <c r="AB613" s="36"/>
    </row>
    <row r="614" spans="1:28" ht="36" hidden="1" customHeight="1">
      <c r="A614" s="207" t="s">
        <v>1263</v>
      </c>
      <c r="B614" s="206">
        <v>2007</v>
      </c>
      <c r="C614" s="117" t="s">
        <v>61</v>
      </c>
      <c r="D614" s="195" t="s">
        <v>76</v>
      </c>
      <c r="E614" s="117" t="s">
        <v>41</v>
      </c>
      <c r="F614" s="117" t="s">
        <v>42</v>
      </c>
      <c r="G614" s="193" t="s">
        <v>43</v>
      </c>
      <c r="H614" s="117" t="s">
        <v>44</v>
      </c>
      <c r="I614" s="35"/>
      <c r="J614" s="36"/>
      <c r="K614" s="36"/>
      <c r="L614" s="36"/>
      <c r="M614" s="36"/>
      <c r="N614" s="36"/>
      <c r="O614" s="36"/>
      <c r="P614" s="36"/>
      <c r="Q614" s="36"/>
      <c r="R614" s="36"/>
      <c r="S614" s="36"/>
      <c r="T614" s="36"/>
      <c r="U614" s="36"/>
      <c r="V614" s="36"/>
      <c r="W614" s="36"/>
      <c r="X614" s="36"/>
      <c r="Y614" s="36"/>
      <c r="Z614" s="36"/>
      <c r="AA614" s="36"/>
      <c r="AB614" s="36"/>
    </row>
    <row r="615" spans="1:28" ht="24" hidden="1" customHeight="1">
      <c r="A615" s="207" t="s">
        <v>1390</v>
      </c>
      <c r="B615" s="206">
        <v>2010</v>
      </c>
      <c r="C615" s="117" t="s">
        <v>61</v>
      </c>
      <c r="D615" s="195" t="s">
        <v>1391</v>
      </c>
      <c r="E615" s="117" t="s">
        <v>41</v>
      </c>
      <c r="F615" s="117" t="s">
        <v>42</v>
      </c>
      <c r="G615" s="193" t="s">
        <v>43</v>
      </c>
      <c r="H615" s="117" t="s">
        <v>44</v>
      </c>
      <c r="I615" s="35"/>
      <c r="J615" s="36"/>
      <c r="K615" s="36"/>
      <c r="L615" s="36"/>
      <c r="M615" s="36"/>
      <c r="N615" s="36"/>
      <c r="O615" s="36"/>
      <c r="P615" s="36"/>
      <c r="Q615" s="36"/>
      <c r="R615" s="36"/>
      <c r="S615" s="36"/>
      <c r="T615" s="36"/>
      <c r="U615" s="36"/>
      <c r="V615" s="36"/>
      <c r="W615" s="36"/>
      <c r="X615" s="36"/>
      <c r="Y615" s="36"/>
      <c r="Z615" s="36"/>
      <c r="AA615" s="36"/>
      <c r="AB615" s="36"/>
    </row>
    <row r="616" spans="1:28" ht="48" hidden="1" customHeight="1">
      <c r="A616" s="207" t="s">
        <v>1220</v>
      </c>
      <c r="B616" s="206">
        <v>2010</v>
      </c>
      <c r="C616" s="117" t="s">
        <v>61</v>
      </c>
      <c r="D616" s="195" t="s">
        <v>77</v>
      </c>
      <c r="E616" s="117" t="s">
        <v>41</v>
      </c>
      <c r="F616" s="117" t="s">
        <v>42</v>
      </c>
      <c r="G616" s="193" t="s">
        <v>43</v>
      </c>
      <c r="H616" s="117" t="s">
        <v>44</v>
      </c>
      <c r="I616" s="35"/>
      <c r="J616" s="36"/>
      <c r="K616" s="36"/>
      <c r="L616" s="36"/>
      <c r="M616" s="36"/>
      <c r="N616" s="36"/>
      <c r="O616" s="36"/>
      <c r="P616" s="36"/>
      <c r="Q616" s="36"/>
      <c r="R616" s="36"/>
      <c r="S616" s="36"/>
      <c r="T616" s="36"/>
      <c r="U616" s="36"/>
      <c r="V616" s="36"/>
      <c r="W616" s="36"/>
      <c r="X616" s="36"/>
      <c r="Y616" s="36"/>
      <c r="Z616" s="36"/>
      <c r="AA616" s="36"/>
      <c r="AB616" s="36"/>
    </row>
    <row r="617" spans="1:28" ht="60" hidden="1" customHeight="1">
      <c r="A617" s="207" t="s">
        <v>1392</v>
      </c>
      <c r="B617" s="206">
        <v>2011</v>
      </c>
      <c r="C617" s="117" t="s">
        <v>61</v>
      </c>
      <c r="D617" s="195" t="s">
        <v>1393</v>
      </c>
      <c r="E617" s="117" t="s">
        <v>41</v>
      </c>
      <c r="F617" s="117" t="s">
        <v>42</v>
      </c>
      <c r="G617" s="193" t="s">
        <v>43</v>
      </c>
      <c r="H617" s="117" t="s">
        <v>44</v>
      </c>
      <c r="I617" s="35"/>
      <c r="J617" s="36"/>
      <c r="K617" s="36"/>
      <c r="L617" s="36"/>
      <c r="M617" s="36"/>
      <c r="N617" s="36"/>
      <c r="O617" s="36"/>
      <c r="P617" s="36"/>
      <c r="Q617" s="36"/>
      <c r="R617" s="36"/>
      <c r="S617" s="36"/>
      <c r="T617" s="36"/>
      <c r="U617" s="36"/>
      <c r="V617" s="36"/>
      <c r="W617" s="36"/>
      <c r="X617" s="36"/>
      <c r="Y617" s="36"/>
      <c r="Z617" s="36"/>
      <c r="AA617" s="36"/>
      <c r="AB617" s="36"/>
    </row>
    <row r="618" spans="1:28" ht="24" hidden="1" customHeight="1">
      <c r="A618" s="207" t="s">
        <v>1394</v>
      </c>
      <c r="B618" s="206">
        <v>2012</v>
      </c>
      <c r="C618" s="117" t="s">
        <v>57</v>
      </c>
      <c r="D618" s="195" t="s">
        <v>80</v>
      </c>
      <c r="E618" s="117" t="s">
        <v>41</v>
      </c>
      <c r="F618" s="117" t="s">
        <v>42</v>
      </c>
      <c r="G618" s="193" t="s">
        <v>43</v>
      </c>
      <c r="H618" s="117" t="s">
        <v>44</v>
      </c>
      <c r="I618" s="35"/>
      <c r="J618" s="36"/>
      <c r="K618" s="36"/>
      <c r="L618" s="36"/>
      <c r="M618" s="36"/>
      <c r="N618" s="36"/>
      <c r="O618" s="36"/>
      <c r="P618" s="36"/>
      <c r="Q618" s="36"/>
      <c r="R618" s="36"/>
      <c r="S618" s="36"/>
      <c r="T618" s="36"/>
      <c r="U618" s="36"/>
      <c r="V618" s="36"/>
      <c r="W618" s="36"/>
      <c r="X618" s="36"/>
      <c r="Y618" s="36"/>
      <c r="Z618" s="36"/>
      <c r="AA618" s="36"/>
      <c r="AB618" s="36"/>
    </row>
    <row r="619" spans="1:28" ht="24" hidden="1" customHeight="1">
      <c r="A619" s="207" t="s">
        <v>1395</v>
      </c>
      <c r="B619" s="206">
        <v>2012</v>
      </c>
      <c r="C619" s="117" t="s">
        <v>61</v>
      </c>
      <c r="D619" s="195" t="s">
        <v>81</v>
      </c>
      <c r="E619" s="117" t="s">
        <v>41</v>
      </c>
      <c r="F619" s="117" t="s">
        <v>42</v>
      </c>
      <c r="G619" s="193" t="s">
        <v>43</v>
      </c>
      <c r="H619" s="117" t="s">
        <v>44</v>
      </c>
      <c r="I619" s="35"/>
      <c r="J619" s="36"/>
      <c r="K619" s="36"/>
      <c r="L619" s="36"/>
      <c r="M619" s="36"/>
      <c r="N619" s="36"/>
      <c r="O619" s="36"/>
      <c r="P619" s="36"/>
      <c r="Q619" s="36"/>
      <c r="R619" s="36"/>
      <c r="S619" s="36"/>
      <c r="T619" s="36"/>
      <c r="U619" s="36"/>
      <c r="V619" s="36"/>
      <c r="W619" s="36"/>
      <c r="X619" s="36"/>
      <c r="Y619" s="36"/>
      <c r="Z619" s="36"/>
      <c r="AA619" s="36"/>
      <c r="AB619" s="36"/>
    </row>
    <row r="620" spans="1:28" ht="36" hidden="1" customHeight="1">
      <c r="A620" s="207" t="s">
        <v>1396</v>
      </c>
      <c r="B620" s="206">
        <v>2012</v>
      </c>
      <c r="C620" s="117" t="s">
        <v>61</v>
      </c>
      <c r="D620" s="195" t="s">
        <v>1397</v>
      </c>
      <c r="E620" s="117" t="s">
        <v>41</v>
      </c>
      <c r="F620" s="117" t="s">
        <v>42</v>
      </c>
      <c r="G620" s="193" t="s">
        <v>43</v>
      </c>
      <c r="H620" s="117" t="s">
        <v>44</v>
      </c>
      <c r="I620" s="35"/>
      <c r="J620" s="36"/>
      <c r="K620" s="36"/>
      <c r="L620" s="36"/>
      <c r="M620" s="36"/>
      <c r="N620" s="36"/>
      <c r="O620" s="36"/>
      <c r="P620" s="36"/>
      <c r="Q620" s="36"/>
      <c r="R620" s="36"/>
      <c r="S620" s="36"/>
      <c r="T620" s="36"/>
      <c r="U620" s="36"/>
      <c r="V620" s="36"/>
      <c r="W620" s="36"/>
      <c r="X620" s="36"/>
      <c r="Y620" s="36"/>
      <c r="Z620" s="36"/>
      <c r="AA620" s="36"/>
      <c r="AB620" s="36"/>
    </row>
    <row r="621" spans="1:28" ht="24" hidden="1" customHeight="1">
      <c r="A621" s="207" t="s">
        <v>1398</v>
      </c>
      <c r="B621" s="206">
        <v>2012</v>
      </c>
      <c r="C621" s="117" t="s">
        <v>61</v>
      </c>
      <c r="D621" s="195" t="s">
        <v>1399</v>
      </c>
      <c r="E621" s="117" t="s">
        <v>41</v>
      </c>
      <c r="F621" s="117" t="s">
        <v>42</v>
      </c>
      <c r="G621" s="193" t="s">
        <v>43</v>
      </c>
      <c r="H621" s="117" t="s">
        <v>44</v>
      </c>
      <c r="I621" s="35"/>
      <c r="J621" s="36"/>
      <c r="K621" s="36"/>
      <c r="L621" s="36"/>
      <c r="M621" s="36"/>
      <c r="N621" s="36"/>
      <c r="O621" s="36"/>
      <c r="P621" s="36"/>
      <c r="Q621" s="36"/>
      <c r="R621" s="36"/>
      <c r="S621" s="36"/>
      <c r="T621" s="36"/>
      <c r="U621" s="36"/>
      <c r="V621" s="36"/>
      <c r="W621" s="36"/>
      <c r="X621" s="36"/>
      <c r="Y621" s="36"/>
      <c r="Z621" s="36"/>
      <c r="AA621" s="36"/>
      <c r="AB621" s="36"/>
    </row>
    <row r="622" spans="1:28" ht="72" hidden="1" customHeight="1">
      <c r="A622" s="207" t="s">
        <v>1400</v>
      </c>
      <c r="B622" s="206">
        <v>2013</v>
      </c>
      <c r="C622" s="117" t="s">
        <v>61</v>
      </c>
      <c r="D622" s="195" t="s">
        <v>1401</v>
      </c>
      <c r="E622" s="117" t="s">
        <v>41</v>
      </c>
      <c r="F622" s="117" t="s">
        <v>42</v>
      </c>
      <c r="G622" s="193" t="s">
        <v>43</v>
      </c>
      <c r="H622" s="117" t="s">
        <v>44</v>
      </c>
      <c r="I622" s="35"/>
      <c r="J622" s="36"/>
      <c r="K622" s="36"/>
      <c r="L622" s="36"/>
      <c r="M622" s="36"/>
      <c r="N622" s="36"/>
      <c r="O622" s="36"/>
      <c r="P622" s="36"/>
      <c r="Q622" s="36"/>
      <c r="R622" s="36"/>
      <c r="S622" s="36"/>
      <c r="T622" s="36"/>
      <c r="U622" s="36"/>
      <c r="V622" s="36"/>
      <c r="W622" s="36"/>
      <c r="X622" s="36"/>
      <c r="Y622" s="36"/>
      <c r="Z622" s="36"/>
      <c r="AA622" s="36"/>
      <c r="AB622" s="36"/>
    </row>
    <row r="623" spans="1:28" ht="24" hidden="1" customHeight="1">
      <c r="A623" s="207" t="s">
        <v>1402</v>
      </c>
      <c r="B623" s="206">
        <v>2013</v>
      </c>
      <c r="C623" s="117" t="s">
        <v>61</v>
      </c>
      <c r="D623" s="195" t="s">
        <v>82</v>
      </c>
      <c r="E623" s="117" t="s">
        <v>41</v>
      </c>
      <c r="F623" s="117" t="s">
        <v>42</v>
      </c>
      <c r="G623" s="193" t="s">
        <v>43</v>
      </c>
      <c r="H623" s="117" t="s">
        <v>44</v>
      </c>
      <c r="I623" s="35"/>
      <c r="J623" s="36"/>
      <c r="K623" s="36"/>
      <c r="L623" s="36"/>
      <c r="M623" s="36"/>
      <c r="N623" s="36"/>
      <c r="O623" s="36"/>
      <c r="P623" s="36"/>
      <c r="Q623" s="36"/>
      <c r="R623" s="36"/>
      <c r="S623" s="36"/>
      <c r="T623" s="36"/>
      <c r="U623" s="36"/>
      <c r="V623" s="36"/>
      <c r="W623" s="36"/>
      <c r="X623" s="36"/>
      <c r="Y623" s="36"/>
      <c r="Z623" s="36"/>
      <c r="AA623" s="36"/>
      <c r="AB623" s="36"/>
    </row>
    <row r="624" spans="1:28" ht="36" hidden="1" customHeight="1">
      <c r="A624" s="207" t="s">
        <v>1403</v>
      </c>
      <c r="B624" s="206">
        <v>2013</v>
      </c>
      <c r="C624" s="117" t="s">
        <v>61</v>
      </c>
      <c r="D624" s="195" t="s">
        <v>1404</v>
      </c>
      <c r="E624" s="117" t="s">
        <v>41</v>
      </c>
      <c r="F624" s="117" t="s">
        <v>42</v>
      </c>
      <c r="G624" s="193" t="s">
        <v>43</v>
      </c>
      <c r="H624" s="117" t="s">
        <v>44</v>
      </c>
      <c r="I624" s="35"/>
      <c r="J624" s="36"/>
      <c r="K624" s="36"/>
      <c r="L624" s="36"/>
      <c r="M624" s="36"/>
      <c r="N624" s="36"/>
      <c r="O624" s="36"/>
      <c r="P624" s="36"/>
      <c r="Q624" s="36"/>
      <c r="R624" s="36"/>
      <c r="S624" s="36"/>
      <c r="T624" s="36"/>
      <c r="U624" s="36"/>
      <c r="V624" s="36"/>
      <c r="W624" s="36"/>
      <c r="X624" s="36"/>
      <c r="Y624" s="36"/>
      <c r="Z624" s="36"/>
      <c r="AA624" s="36"/>
      <c r="AB624" s="36"/>
    </row>
    <row r="625" spans="1:28" ht="24" hidden="1" customHeight="1">
      <c r="A625" s="207" t="s">
        <v>1405</v>
      </c>
      <c r="B625" s="206">
        <v>2013</v>
      </c>
      <c r="C625" s="117" t="s">
        <v>61</v>
      </c>
      <c r="D625" s="195" t="s">
        <v>82</v>
      </c>
      <c r="E625" s="117" t="s">
        <v>41</v>
      </c>
      <c r="F625" s="117" t="s">
        <v>42</v>
      </c>
      <c r="G625" s="193" t="s">
        <v>43</v>
      </c>
      <c r="H625" s="117" t="s">
        <v>44</v>
      </c>
      <c r="I625" s="35"/>
      <c r="J625" s="36"/>
      <c r="K625" s="36"/>
      <c r="L625" s="36"/>
      <c r="M625" s="36"/>
      <c r="N625" s="36"/>
      <c r="O625" s="36"/>
      <c r="P625" s="36"/>
      <c r="Q625" s="36"/>
      <c r="R625" s="36"/>
      <c r="S625" s="36"/>
      <c r="T625" s="36"/>
      <c r="U625" s="36"/>
      <c r="V625" s="36"/>
      <c r="W625" s="36"/>
      <c r="X625" s="36"/>
      <c r="Y625" s="36"/>
      <c r="Z625" s="36"/>
      <c r="AA625" s="36"/>
      <c r="AB625" s="36"/>
    </row>
    <row r="626" spans="1:28" ht="72" hidden="1" customHeight="1">
      <c r="A626" s="207" t="s">
        <v>1406</v>
      </c>
      <c r="B626" s="206">
        <v>2013</v>
      </c>
      <c r="C626" s="117" t="s">
        <v>61</v>
      </c>
      <c r="D626" s="195" t="s">
        <v>87</v>
      </c>
      <c r="E626" s="117" t="s">
        <v>41</v>
      </c>
      <c r="F626" s="117" t="s">
        <v>42</v>
      </c>
      <c r="G626" s="193" t="s">
        <v>43</v>
      </c>
      <c r="H626" s="117" t="s">
        <v>44</v>
      </c>
      <c r="I626" s="35"/>
      <c r="J626" s="36"/>
      <c r="K626" s="36"/>
      <c r="L626" s="36"/>
      <c r="M626" s="36"/>
      <c r="N626" s="36"/>
      <c r="O626" s="36"/>
      <c r="P626" s="36"/>
      <c r="Q626" s="36"/>
      <c r="R626" s="36"/>
      <c r="S626" s="36"/>
      <c r="T626" s="36"/>
      <c r="U626" s="36"/>
      <c r="V626" s="36"/>
      <c r="W626" s="36"/>
      <c r="X626" s="36"/>
      <c r="Y626" s="36"/>
      <c r="Z626" s="36"/>
      <c r="AA626" s="36"/>
      <c r="AB626" s="36"/>
    </row>
    <row r="627" spans="1:28" ht="24" hidden="1" customHeight="1">
      <c r="A627" s="207" t="s">
        <v>1407</v>
      </c>
      <c r="B627" s="206">
        <v>2013</v>
      </c>
      <c r="C627" s="117" t="s">
        <v>57</v>
      </c>
      <c r="D627" s="195" t="s">
        <v>84</v>
      </c>
      <c r="E627" s="117" t="s">
        <v>41</v>
      </c>
      <c r="F627" s="117" t="s">
        <v>42</v>
      </c>
      <c r="G627" s="193" t="s">
        <v>43</v>
      </c>
      <c r="H627" s="117" t="s">
        <v>44</v>
      </c>
      <c r="I627" s="35"/>
      <c r="J627" s="36"/>
      <c r="K627" s="36"/>
      <c r="L627" s="36"/>
      <c r="M627" s="36"/>
      <c r="N627" s="36"/>
      <c r="O627" s="36"/>
      <c r="P627" s="36"/>
      <c r="Q627" s="36"/>
      <c r="R627" s="36"/>
      <c r="S627" s="36"/>
      <c r="T627" s="36"/>
      <c r="U627" s="36"/>
      <c r="V627" s="36"/>
      <c r="W627" s="36"/>
      <c r="X627" s="36"/>
      <c r="Y627" s="36"/>
      <c r="Z627" s="36"/>
      <c r="AA627" s="36"/>
      <c r="AB627" s="36"/>
    </row>
    <row r="628" spans="1:28" ht="24" hidden="1" customHeight="1">
      <c r="A628" s="207" t="s">
        <v>1408</v>
      </c>
      <c r="B628" s="206">
        <v>2013</v>
      </c>
      <c r="C628" s="117" t="s">
        <v>57</v>
      </c>
      <c r="D628" s="195" t="s">
        <v>85</v>
      </c>
      <c r="E628" s="117" t="s">
        <v>41</v>
      </c>
      <c r="F628" s="117" t="s">
        <v>42</v>
      </c>
      <c r="G628" s="193" t="s">
        <v>43</v>
      </c>
      <c r="H628" s="117" t="s">
        <v>44</v>
      </c>
      <c r="I628" s="35"/>
      <c r="J628" s="36"/>
      <c r="K628" s="36"/>
      <c r="L628" s="36"/>
      <c r="M628" s="36"/>
      <c r="N628" s="36"/>
      <c r="O628" s="36"/>
      <c r="P628" s="36"/>
      <c r="Q628" s="36"/>
      <c r="R628" s="36"/>
      <c r="S628" s="36"/>
      <c r="T628" s="36"/>
      <c r="U628" s="36"/>
      <c r="V628" s="36"/>
      <c r="W628" s="36"/>
      <c r="X628" s="36"/>
      <c r="Y628" s="36"/>
      <c r="Z628" s="36"/>
      <c r="AA628" s="36"/>
      <c r="AB628" s="36"/>
    </row>
    <row r="629" spans="1:28" ht="60" hidden="1" customHeight="1">
      <c r="A629" s="207" t="s">
        <v>1409</v>
      </c>
      <c r="B629" s="206">
        <v>2013</v>
      </c>
      <c r="C629" s="117" t="s">
        <v>61</v>
      </c>
      <c r="D629" s="195" t="s">
        <v>1410</v>
      </c>
      <c r="E629" s="117" t="s">
        <v>41</v>
      </c>
      <c r="F629" s="117" t="s">
        <v>42</v>
      </c>
      <c r="G629" s="193" t="s">
        <v>43</v>
      </c>
      <c r="H629" s="117" t="s">
        <v>44</v>
      </c>
      <c r="I629" s="35"/>
      <c r="J629" s="36"/>
      <c r="K629" s="36"/>
      <c r="L629" s="36"/>
      <c r="M629" s="36"/>
      <c r="N629" s="36"/>
      <c r="O629" s="36"/>
      <c r="P629" s="36"/>
      <c r="Q629" s="36"/>
      <c r="R629" s="36"/>
      <c r="S629" s="36"/>
      <c r="T629" s="36"/>
      <c r="U629" s="36"/>
      <c r="V629" s="36"/>
      <c r="W629" s="36"/>
      <c r="X629" s="36"/>
      <c r="Y629" s="36"/>
      <c r="Z629" s="36"/>
      <c r="AA629" s="36"/>
      <c r="AB629" s="36"/>
    </row>
    <row r="630" spans="1:28" ht="24" hidden="1" customHeight="1">
      <c r="A630" s="207" t="s">
        <v>1411</v>
      </c>
      <c r="B630" s="206">
        <v>2013</v>
      </c>
      <c r="C630" s="117" t="s">
        <v>57</v>
      </c>
      <c r="D630" s="195" t="s">
        <v>86</v>
      </c>
      <c r="E630" s="117" t="s">
        <v>41</v>
      </c>
      <c r="F630" s="117" t="s">
        <v>42</v>
      </c>
      <c r="G630" s="193" t="s">
        <v>43</v>
      </c>
      <c r="H630" s="117" t="s">
        <v>44</v>
      </c>
      <c r="I630" s="35"/>
      <c r="J630" s="36"/>
      <c r="K630" s="36"/>
      <c r="L630" s="36"/>
      <c r="M630" s="36"/>
      <c r="N630" s="36"/>
      <c r="O630" s="36"/>
      <c r="P630" s="36"/>
      <c r="Q630" s="36"/>
      <c r="R630" s="36"/>
      <c r="S630" s="36"/>
      <c r="T630" s="36"/>
      <c r="U630" s="36"/>
      <c r="V630" s="36"/>
      <c r="W630" s="36"/>
      <c r="X630" s="36"/>
      <c r="Y630" s="36"/>
      <c r="Z630" s="36"/>
      <c r="AA630" s="36"/>
      <c r="AB630" s="36"/>
    </row>
    <row r="631" spans="1:28" ht="72" hidden="1" customHeight="1">
      <c r="A631" s="207" t="s">
        <v>1406</v>
      </c>
      <c r="B631" s="206">
        <v>2013</v>
      </c>
      <c r="C631" s="117" t="s">
        <v>61</v>
      </c>
      <c r="D631" s="195" t="s">
        <v>87</v>
      </c>
      <c r="E631" s="117" t="s">
        <v>41</v>
      </c>
      <c r="F631" s="117" t="s">
        <v>42</v>
      </c>
      <c r="G631" s="193" t="s">
        <v>43</v>
      </c>
      <c r="H631" s="117" t="s">
        <v>44</v>
      </c>
      <c r="I631" s="35"/>
      <c r="J631" s="36"/>
      <c r="K631" s="36"/>
      <c r="L631" s="36"/>
      <c r="M631" s="36"/>
      <c r="N631" s="36"/>
      <c r="O631" s="36"/>
      <c r="P631" s="36"/>
      <c r="Q631" s="36"/>
      <c r="R631" s="36"/>
      <c r="S631" s="36"/>
      <c r="T631" s="36"/>
      <c r="U631" s="36"/>
      <c r="V631" s="36"/>
      <c r="W631" s="36"/>
      <c r="X631" s="36"/>
      <c r="Y631" s="36"/>
      <c r="Z631" s="36"/>
      <c r="AA631" s="36"/>
      <c r="AB631" s="36"/>
    </row>
    <row r="632" spans="1:28" ht="48" hidden="1" customHeight="1">
      <c r="A632" s="207" t="s">
        <v>1231</v>
      </c>
      <c r="B632" s="206">
        <v>2014</v>
      </c>
      <c r="C632" s="117" t="s">
        <v>61</v>
      </c>
      <c r="D632" s="195" t="s">
        <v>1412</v>
      </c>
      <c r="E632" s="117" t="s">
        <v>41</v>
      </c>
      <c r="F632" s="117" t="s">
        <v>42</v>
      </c>
      <c r="G632" s="193" t="s">
        <v>43</v>
      </c>
      <c r="H632" s="117" t="s">
        <v>44</v>
      </c>
      <c r="I632" s="35"/>
      <c r="J632" s="36"/>
      <c r="K632" s="36"/>
      <c r="L632" s="36"/>
      <c r="M632" s="36"/>
      <c r="N632" s="36"/>
      <c r="O632" s="36"/>
      <c r="P632" s="36"/>
      <c r="Q632" s="36"/>
      <c r="R632" s="36"/>
      <c r="S632" s="36"/>
      <c r="T632" s="36"/>
      <c r="U632" s="36"/>
      <c r="V632" s="36"/>
      <c r="W632" s="36"/>
      <c r="X632" s="36"/>
      <c r="Y632" s="36"/>
      <c r="Z632" s="36"/>
      <c r="AA632" s="36"/>
      <c r="AB632" s="36"/>
    </row>
    <row r="633" spans="1:28" ht="24" hidden="1" customHeight="1">
      <c r="A633" s="207" t="s">
        <v>1413</v>
      </c>
      <c r="B633" s="206">
        <v>2015</v>
      </c>
      <c r="C633" s="117" t="s">
        <v>61</v>
      </c>
      <c r="D633" s="195" t="s">
        <v>88</v>
      </c>
      <c r="E633" s="117" t="s">
        <v>41</v>
      </c>
      <c r="F633" s="117" t="s">
        <v>42</v>
      </c>
      <c r="G633" s="193" t="s">
        <v>43</v>
      </c>
      <c r="H633" s="117" t="s">
        <v>44</v>
      </c>
      <c r="I633" s="35"/>
      <c r="J633" s="36"/>
      <c r="K633" s="36"/>
      <c r="L633" s="36"/>
      <c r="M633" s="36"/>
      <c r="N633" s="36"/>
      <c r="O633" s="36"/>
      <c r="P633" s="36"/>
      <c r="Q633" s="36"/>
      <c r="R633" s="36"/>
      <c r="S633" s="36"/>
      <c r="T633" s="36"/>
      <c r="U633" s="36"/>
      <c r="V633" s="36"/>
      <c r="W633" s="36"/>
      <c r="X633" s="36"/>
      <c r="Y633" s="36"/>
      <c r="Z633" s="36"/>
      <c r="AA633" s="36"/>
      <c r="AB633" s="36"/>
    </row>
    <row r="634" spans="1:28" ht="24" hidden="1" customHeight="1">
      <c r="A634" s="207" t="s">
        <v>1414</v>
      </c>
      <c r="B634" s="206">
        <v>2015</v>
      </c>
      <c r="C634" s="117" t="s">
        <v>61</v>
      </c>
      <c r="D634" s="195" t="s">
        <v>89</v>
      </c>
      <c r="E634" s="117" t="s">
        <v>41</v>
      </c>
      <c r="F634" s="117" t="s">
        <v>42</v>
      </c>
      <c r="G634" s="193" t="s">
        <v>43</v>
      </c>
      <c r="H634" s="117" t="s">
        <v>44</v>
      </c>
      <c r="I634" s="35"/>
      <c r="J634" s="36"/>
      <c r="K634" s="36"/>
      <c r="L634" s="36"/>
      <c r="M634" s="36"/>
      <c r="N634" s="36"/>
      <c r="O634" s="36"/>
      <c r="P634" s="36"/>
      <c r="Q634" s="36"/>
      <c r="R634" s="36"/>
      <c r="S634" s="36"/>
      <c r="T634" s="36"/>
      <c r="U634" s="36"/>
      <c r="V634" s="36"/>
      <c r="W634" s="36"/>
      <c r="X634" s="36"/>
      <c r="Y634" s="36"/>
      <c r="Z634" s="36"/>
      <c r="AA634" s="36"/>
      <c r="AB634" s="36"/>
    </row>
    <row r="635" spans="1:28" ht="24" hidden="1" customHeight="1">
      <c r="A635" s="207" t="s">
        <v>1415</v>
      </c>
      <c r="B635" s="206">
        <v>2015</v>
      </c>
      <c r="C635" s="117" t="s">
        <v>61</v>
      </c>
      <c r="D635" s="195" t="s">
        <v>1416</v>
      </c>
      <c r="E635" s="117" t="s">
        <v>41</v>
      </c>
      <c r="F635" s="117" t="s">
        <v>42</v>
      </c>
      <c r="G635" s="193" t="s">
        <v>43</v>
      </c>
      <c r="H635" s="117" t="s">
        <v>44</v>
      </c>
      <c r="I635" s="35"/>
      <c r="J635" s="36"/>
      <c r="K635" s="36"/>
      <c r="L635" s="36"/>
      <c r="M635" s="36"/>
      <c r="N635" s="36"/>
      <c r="O635" s="36"/>
      <c r="P635" s="36"/>
      <c r="Q635" s="36"/>
      <c r="R635" s="36"/>
      <c r="S635" s="36"/>
      <c r="T635" s="36"/>
      <c r="U635" s="36"/>
      <c r="V635" s="36"/>
      <c r="W635" s="36"/>
      <c r="X635" s="36"/>
      <c r="Y635" s="36"/>
      <c r="Z635" s="36"/>
      <c r="AA635" s="36"/>
      <c r="AB635" s="36"/>
    </row>
    <row r="636" spans="1:28" ht="60" hidden="1" customHeight="1">
      <c r="A636" s="207" t="s">
        <v>1417</v>
      </c>
      <c r="B636" s="206">
        <v>2015</v>
      </c>
      <c r="C636" s="117" t="s">
        <v>61</v>
      </c>
      <c r="D636" s="195" t="s">
        <v>1418</v>
      </c>
      <c r="E636" s="117" t="s">
        <v>41</v>
      </c>
      <c r="F636" s="117" t="s">
        <v>42</v>
      </c>
      <c r="G636" s="193" t="s">
        <v>43</v>
      </c>
      <c r="H636" s="117" t="s">
        <v>44</v>
      </c>
      <c r="I636" s="35"/>
      <c r="J636" s="36"/>
      <c r="K636" s="36"/>
      <c r="L636" s="36"/>
      <c r="M636" s="36"/>
      <c r="N636" s="36"/>
      <c r="O636" s="36"/>
      <c r="P636" s="36"/>
      <c r="Q636" s="36"/>
      <c r="R636" s="36"/>
      <c r="S636" s="36"/>
      <c r="T636" s="36"/>
      <c r="U636" s="36"/>
      <c r="V636" s="36"/>
      <c r="W636" s="36"/>
      <c r="X636" s="36"/>
      <c r="Y636" s="36"/>
      <c r="Z636" s="36"/>
      <c r="AA636" s="36"/>
      <c r="AB636" s="36"/>
    </row>
    <row r="637" spans="1:28" ht="36" hidden="1" customHeight="1">
      <c r="A637" s="207" t="s">
        <v>1419</v>
      </c>
      <c r="B637" s="206">
        <v>2015</v>
      </c>
      <c r="C637" s="117" t="s">
        <v>61</v>
      </c>
      <c r="D637" s="195" t="s">
        <v>90</v>
      </c>
      <c r="E637" s="117" t="s">
        <v>41</v>
      </c>
      <c r="F637" s="117" t="s">
        <v>42</v>
      </c>
      <c r="G637" s="193" t="s">
        <v>43</v>
      </c>
      <c r="H637" s="117" t="s">
        <v>44</v>
      </c>
      <c r="I637" s="35"/>
      <c r="J637" s="36"/>
      <c r="K637" s="36"/>
      <c r="L637" s="36"/>
      <c r="M637" s="36"/>
      <c r="N637" s="36"/>
      <c r="O637" s="36"/>
      <c r="P637" s="36"/>
      <c r="Q637" s="36"/>
      <c r="R637" s="36"/>
      <c r="S637" s="36"/>
      <c r="T637" s="36"/>
      <c r="U637" s="36"/>
      <c r="V637" s="36"/>
      <c r="W637" s="36"/>
      <c r="X637" s="36"/>
      <c r="Y637" s="36"/>
      <c r="Z637" s="36"/>
      <c r="AA637" s="36"/>
      <c r="AB637" s="36"/>
    </row>
    <row r="638" spans="1:28" ht="24" hidden="1" customHeight="1">
      <c r="A638" s="207" t="s">
        <v>1420</v>
      </c>
      <c r="B638" s="206">
        <v>2015</v>
      </c>
      <c r="C638" s="117" t="s">
        <v>61</v>
      </c>
      <c r="D638" s="195" t="s">
        <v>91</v>
      </c>
      <c r="E638" s="117" t="s">
        <v>41</v>
      </c>
      <c r="F638" s="117" t="s">
        <v>42</v>
      </c>
      <c r="G638" s="193" t="s">
        <v>43</v>
      </c>
      <c r="H638" s="117" t="s">
        <v>44</v>
      </c>
      <c r="I638" s="35"/>
      <c r="J638" s="36"/>
      <c r="K638" s="36"/>
      <c r="L638" s="36"/>
      <c r="M638" s="36"/>
      <c r="N638" s="36"/>
      <c r="O638" s="36"/>
      <c r="P638" s="36"/>
      <c r="Q638" s="36"/>
      <c r="R638" s="36"/>
      <c r="S638" s="36"/>
      <c r="T638" s="36"/>
      <c r="U638" s="36"/>
      <c r="V638" s="36"/>
      <c r="W638" s="36"/>
      <c r="X638" s="36"/>
      <c r="Y638" s="36"/>
      <c r="Z638" s="36"/>
      <c r="AA638" s="36"/>
      <c r="AB638" s="36"/>
    </row>
    <row r="639" spans="1:28" ht="36" hidden="1" customHeight="1">
      <c r="A639" s="207" t="s">
        <v>1421</v>
      </c>
      <c r="B639" s="206">
        <v>2015</v>
      </c>
      <c r="C639" s="117" t="s">
        <v>61</v>
      </c>
      <c r="D639" s="195" t="s">
        <v>1422</v>
      </c>
      <c r="E639" s="117" t="s">
        <v>41</v>
      </c>
      <c r="F639" s="117" t="s">
        <v>42</v>
      </c>
      <c r="G639" s="193" t="s">
        <v>43</v>
      </c>
      <c r="H639" s="117" t="s">
        <v>44</v>
      </c>
      <c r="I639" s="35"/>
      <c r="J639" s="36"/>
      <c r="K639" s="36"/>
      <c r="L639" s="36"/>
      <c r="M639" s="36"/>
      <c r="N639" s="36"/>
      <c r="O639" s="36"/>
      <c r="P639" s="36"/>
      <c r="Q639" s="36"/>
      <c r="R639" s="36"/>
      <c r="S639" s="36"/>
      <c r="T639" s="36"/>
      <c r="U639" s="36"/>
      <c r="V639" s="36"/>
      <c r="W639" s="36"/>
      <c r="X639" s="36"/>
      <c r="Y639" s="36"/>
      <c r="Z639" s="36"/>
      <c r="AA639" s="36"/>
      <c r="AB639" s="36"/>
    </row>
    <row r="640" spans="1:28" ht="48" hidden="1" customHeight="1">
      <c r="A640" s="207" t="s">
        <v>1423</v>
      </c>
      <c r="B640" s="206">
        <v>2015</v>
      </c>
      <c r="C640" s="117" t="s">
        <v>61</v>
      </c>
      <c r="D640" s="195" t="s">
        <v>92</v>
      </c>
      <c r="E640" s="117" t="s">
        <v>41</v>
      </c>
      <c r="F640" s="117" t="s">
        <v>42</v>
      </c>
      <c r="G640" s="193" t="s">
        <v>43</v>
      </c>
      <c r="H640" s="117" t="s">
        <v>44</v>
      </c>
      <c r="I640" s="35"/>
      <c r="J640" s="36"/>
      <c r="K640" s="36"/>
      <c r="L640" s="36"/>
      <c r="M640" s="36"/>
      <c r="N640" s="36"/>
      <c r="O640" s="36"/>
      <c r="P640" s="36"/>
      <c r="Q640" s="36"/>
      <c r="R640" s="36"/>
      <c r="S640" s="36"/>
      <c r="T640" s="36"/>
      <c r="U640" s="36"/>
      <c r="V640" s="36"/>
      <c r="W640" s="36"/>
      <c r="X640" s="36"/>
      <c r="Y640" s="36"/>
      <c r="Z640" s="36"/>
      <c r="AA640" s="36"/>
      <c r="AB640" s="36"/>
    </row>
    <row r="641" spans="1:28" ht="96" hidden="1" customHeight="1">
      <c r="A641" s="207" t="s">
        <v>1424</v>
      </c>
      <c r="B641" s="206">
        <v>2015</v>
      </c>
      <c r="C641" s="117" t="s">
        <v>57</v>
      </c>
      <c r="D641" s="195" t="s">
        <v>93</v>
      </c>
      <c r="E641" s="117" t="s">
        <v>94</v>
      </c>
      <c r="F641" s="195" t="s">
        <v>95</v>
      </c>
      <c r="G641" s="193" t="s">
        <v>43</v>
      </c>
      <c r="H641" s="117" t="s">
        <v>44</v>
      </c>
      <c r="I641" s="35"/>
      <c r="J641" s="36"/>
      <c r="K641" s="36"/>
      <c r="L641" s="36"/>
      <c r="M641" s="36"/>
      <c r="N641" s="36"/>
      <c r="O641" s="36"/>
      <c r="P641" s="36"/>
      <c r="Q641" s="36"/>
      <c r="R641" s="36"/>
      <c r="S641" s="36"/>
      <c r="T641" s="36"/>
      <c r="U641" s="36"/>
      <c r="V641" s="36"/>
      <c r="W641" s="36"/>
      <c r="X641" s="36"/>
      <c r="Y641" s="36"/>
      <c r="Z641" s="36"/>
      <c r="AA641" s="36"/>
      <c r="AB641" s="36"/>
    </row>
    <row r="642" spans="1:28" ht="75.75" hidden="1" customHeight="1">
      <c r="A642" s="207" t="s">
        <v>1425</v>
      </c>
      <c r="B642" s="206">
        <v>2015</v>
      </c>
      <c r="C642" s="117" t="s">
        <v>57</v>
      </c>
      <c r="D642" s="195" t="s">
        <v>96</v>
      </c>
      <c r="E642" s="117" t="s">
        <v>41</v>
      </c>
      <c r="F642" s="117" t="s">
        <v>97</v>
      </c>
      <c r="G642" s="193" t="s">
        <v>43</v>
      </c>
      <c r="H642" s="117" t="s">
        <v>44</v>
      </c>
      <c r="I642" s="35"/>
      <c r="J642" s="36"/>
      <c r="K642" s="36"/>
      <c r="L642" s="36"/>
      <c r="M642" s="36"/>
      <c r="N642" s="36"/>
      <c r="O642" s="36"/>
      <c r="P642" s="36"/>
      <c r="Q642" s="36"/>
      <c r="R642" s="36"/>
      <c r="S642" s="36"/>
      <c r="T642" s="36"/>
      <c r="U642" s="36"/>
      <c r="V642" s="36"/>
      <c r="W642" s="36"/>
      <c r="X642" s="36"/>
      <c r="Y642" s="36"/>
      <c r="Z642" s="36"/>
      <c r="AA642" s="36"/>
      <c r="AB642" s="36"/>
    </row>
    <row r="643" spans="1:28" ht="84" hidden="1" customHeight="1">
      <c r="A643" s="207" t="s">
        <v>1426</v>
      </c>
      <c r="B643" s="206">
        <v>2016</v>
      </c>
      <c r="C643" s="117" t="s">
        <v>61</v>
      </c>
      <c r="D643" s="195" t="s">
        <v>98</v>
      </c>
      <c r="E643" s="117" t="s">
        <v>41</v>
      </c>
      <c r="F643" s="117" t="s">
        <v>42</v>
      </c>
      <c r="G643" s="193" t="s">
        <v>43</v>
      </c>
      <c r="H643" s="117" t="s">
        <v>44</v>
      </c>
      <c r="I643" s="35"/>
      <c r="J643" s="36"/>
      <c r="K643" s="36"/>
      <c r="L643" s="36"/>
      <c r="M643" s="36"/>
      <c r="N643" s="36"/>
      <c r="O643" s="36"/>
      <c r="P643" s="36"/>
      <c r="Q643" s="36"/>
      <c r="R643" s="36"/>
      <c r="S643" s="36"/>
      <c r="T643" s="36"/>
      <c r="U643" s="36"/>
      <c r="V643" s="36"/>
      <c r="W643" s="36"/>
      <c r="X643" s="36"/>
      <c r="Y643" s="36"/>
      <c r="Z643" s="36"/>
      <c r="AA643" s="36"/>
      <c r="AB643" s="36"/>
    </row>
    <row r="644" spans="1:28" ht="48" hidden="1" customHeight="1">
      <c r="A644" s="207" t="s">
        <v>822</v>
      </c>
      <c r="B644" s="206">
        <v>2017</v>
      </c>
      <c r="C644" s="117" t="s">
        <v>61</v>
      </c>
      <c r="D644" s="195" t="s">
        <v>99</v>
      </c>
      <c r="E644" s="117" t="s">
        <v>41</v>
      </c>
      <c r="F644" s="117" t="s">
        <v>42</v>
      </c>
      <c r="G644" s="193" t="s">
        <v>43</v>
      </c>
      <c r="H644" s="117" t="s">
        <v>44</v>
      </c>
      <c r="I644" s="35"/>
      <c r="J644" s="36"/>
      <c r="K644" s="36"/>
      <c r="L644" s="36"/>
      <c r="M644" s="36"/>
      <c r="N644" s="36"/>
      <c r="O644" s="36"/>
      <c r="P644" s="36"/>
      <c r="Q644" s="36"/>
      <c r="R644" s="36"/>
      <c r="S644" s="36"/>
      <c r="T644" s="36"/>
      <c r="U644" s="36"/>
      <c r="V644" s="36"/>
      <c r="W644" s="36"/>
      <c r="X644" s="36"/>
      <c r="Y644" s="36"/>
      <c r="Z644" s="36"/>
      <c r="AA644" s="36"/>
      <c r="AB644" s="36"/>
    </row>
    <row r="645" spans="1:28" ht="72" hidden="1" customHeight="1">
      <c r="A645" s="207" t="s">
        <v>1427</v>
      </c>
      <c r="B645" s="206">
        <v>2017</v>
      </c>
      <c r="C645" s="117" t="s">
        <v>61</v>
      </c>
      <c r="D645" s="195" t="s">
        <v>100</v>
      </c>
      <c r="E645" s="117" t="s">
        <v>41</v>
      </c>
      <c r="F645" s="117" t="s">
        <v>42</v>
      </c>
      <c r="G645" s="193" t="s">
        <v>43</v>
      </c>
      <c r="H645" s="117" t="s">
        <v>44</v>
      </c>
      <c r="I645" s="35"/>
      <c r="J645" s="36"/>
      <c r="K645" s="36"/>
      <c r="L645" s="36"/>
      <c r="M645" s="36"/>
      <c r="N645" s="36"/>
      <c r="O645" s="36"/>
      <c r="P645" s="36"/>
      <c r="Q645" s="36"/>
      <c r="R645" s="36"/>
      <c r="S645" s="36"/>
      <c r="T645" s="36"/>
      <c r="U645" s="36"/>
      <c r="V645" s="36"/>
      <c r="W645" s="36"/>
      <c r="X645" s="36"/>
      <c r="Y645" s="36"/>
      <c r="Z645" s="36"/>
      <c r="AA645" s="36"/>
      <c r="AB645" s="36"/>
    </row>
    <row r="646" spans="1:28" ht="53.25" hidden="1" customHeight="1">
      <c r="A646" s="232" t="s">
        <v>1428</v>
      </c>
      <c r="B646" s="206">
        <v>2018</v>
      </c>
      <c r="C646" s="117" t="s">
        <v>61</v>
      </c>
      <c r="D646" s="195" t="s">
        <v>103</v>
      </c>
      <c r="E646" s="117" t="s">
        <v>41</v>
      </c>
      <c r="F646" s="117" t="s">
        <v>42</v>
      </c>
      <c r="G646" s="193" t="s">
        <v>43</v>
      </c>
      <c r="H646" s="117" t="s">
        <v>44</v>
      </c>
      <c r="I646" s="35"/>
      <c r="J646" s="36"/>
      <c r="K646" s="36"/>
      <c r="L646" s="36"/>
      <c r="M646" s="36"/>
      <c r="N646" s="36"/>
      <c r="O646" s="36"/>
      <c r="P646" s="36"/>
      <c r="Q646" s="36"/>
      <c r="R646" s="36"/>
      <c r="S646" s="36"/>
      <c r="T646" s="36"/>
      <c r="U646" s="36"/>
      <c r="V646" s="36"/>
      <c r="W646" s="36"/>
      <c r="X646" s="36"/>
      <c r="Y646" s="36"/>
      <c r="Z646" s="36"/>
      <c r="AA646" s="36"/>
      <c r="AB646" s="36"/>
    </row>
    <row r="647" spans="1:28" ht="54" hidden="1" customHeight="1">
      <c r="A647" s="232" t="s">
        <v>1429</v>
      </c>
      <c r="B647" s="206">
        <v>2019</v>
      </c>
      <c r="C647" s="117" t="s">
        <v>61</v>
      </c>
      <c r="D647" s="195" t="s">
        <v>106</v>
      </c>
      <c r="E647" s="117" t="s">
        <v>41</v>
      </c>
      <c r="F647" s="117" t="s">
        <v>42</v>
      </c>
      <c r="G647" s="193" t="s">
        <v>43</v>
      </c>
      <c r="H647" s="117" t="s">
        <v>44</v>
      </c>
      <c r="I647" s="35"/>
      <c r="J647" s="36"/>
      <c r="K647" s="36"/>
      <c r="L647" s="36"/>
      <c r="M647" s="36"/>
      <c r="N647" s="36"/>
      <c r="O647" s="36"/>
      <c r="P647" s="36"/>
      <c r="Q647" s="36"/>
      <c r="R647" s="36"/>
      <c r="S647" s="36"/>
      <c r="T647" s="36"/>
      <c r="U647" s="36"/>
      <c r="V647" s="36"/>
      <c r="W647" s="36"/>
      <c r="X647" s="36"/>
      <c r="Y647" s="36"/>
      <c r="Z647" s="36"/>
      <c r="AA647" s="36"/>
      <c r="AB647" s="36"/>
    </row>
    <row r="648" spans="1:28" ht="57" hidden="1" customHeight="1">
      <c r="A648" s="232" t="s">
        <v>1430</v>
      </c>
      <c r="B648" s="233">
        <v>2019</v>
      </c>
      <c r="C648" s="234" t="s">
        <v>61</v>
      </c>
      <c r="D648" s="235" t="s">
        <v>107</v>
      </c>
      <c r="E648" s="234" t="s">
        <v>41</v>
      </c>
      <c r="F648" s="234" t="s">
        <v>42</v>
      </c>
      <c r="G648" s="234" t="s">
        <v>43</v>
      </c>
      <c r="H648" s="234" t="s">
        <v>44</v>
      </c>
      <c r="I648" s="35"/>
      <c r="J648" s="36"/>
      <c r="K648" s="36"/>
      <c r="L648" s="36"/>
      <c r="M648" s="36"/>
      <c r="N648" s="36"/>
      <c r="O648" s="36"/>
      <c r="P648" s="36"/>
      <c r="Q648" s="36"/>
      <c r="R648" s="36"/>
      <c r="S648" s="36"/>
      <c r="T648" s="36"/>
      <c r="U648" s="36"/>
      <c r="V648" s="36"/>
      <c r="W648" s="36"/>
      <c r="X648" s="36"/>
      <c r="Y648" s="36"/>
      <c r="Z648" s="36"/>
      <c r="AA648" s="36"/>
      <c r="AB648" s="36"/>
    </row>
    <row r="649" spans="1:28" ht="47.25" hidden="1" customHeight="1">
      <c r="A649" s="236" t="s">
        <v>1431</v>
      </c>
      <c r="B649" s="237">
        <v>2019</v>
      </c>
      <c r="C649" s="223" t="s">
        <v>61</v>
      </c>
      <c r="D649" s="238" t="s">
        <v>108</v>
      </c>
      <c r="E649" s="223" t="s">
        <v>41</v>
      </c>
      <c r="F649" s="223" t="s">
        <v>42</v>
      </c>
      <c r="G649" s="223" t="s">
        <v>43</v>
      </c>
      <c r="H649" s="223" t="s">
        <v>44</v>
      </c>
      <c r="I649" s="35"/>
      <c r="J649" s="36"/>
      <c r="K649" s="36"/>
      <c r="L649" s="36"/>
      <c r="M649" s="36"/>
      <c r="N649" s="36"/>
      <c r="O649" s="36"/>
      <c r="P649" s="36"/>
      <c r="Q649" s="36"/>
      <c r="R649" s="36"/>
      <c r="S649" s="36"/>
      <c r="T649" s="36"/>
      <c r="U649" s="36"/>
      <c r="V649" s="36"/>
      <c r="W649" s="36"/>
      <c r="X649" s="36"/>
      <c r="Y649" s="36"/>
      <c r="Z649" s="36"/>
      <c r="AA649" s="36"/>
      <c r="AB649" s="36"/>
    </row>
    <row r="650" spans="1:28" ht="36" hidden="1" customHeight="1">
      <c r="A650" s="199" t="s">
        <v>1432</v>
      </c>
      <c r="B650" s="194">
        <v>2002</v>
      </c>
      <c r="C650" s="117" t="s">
        <v>195</v>
      </c>
      <c r="D650" s="195" t="s">
        <v>196</v>
      </c>
      <c r="E650" s="117" t="s">
        <v>41</v>
      </c>
      <c r="F650" s="117" t="s">
        <v>42</v>
      </c>
      <c r="G650" s="193" t="s">
        <v>43</v>
      </c>
      <c r="H650" s="117" t="s">
        <v>44</v>
      </c>
      <c r="I650" s="35"/>
      <c r="J650" s="36"/>
      <c r="K650" s="36"/>
      <c r="L650" s="36"/>
      <c r="M650" s="36"/>
      <c r="N650" s="36"/>
      <c r="O650" s="36"/>
      <c r="P650" s="36"/>
      <c r="Q650" s="36"/>
      <c r="R650" s="36"/>
      <c r="S650" s="36"/>
      <c r="T650" s="36"/>
      <c r="U650" s="36"/>
      <c r="V650" s="36"/>
      <c r="W650" s="36"/>
      <c r="X650" s="36"/>
      <c r="Y650" s="36"/>
      <c r="Z650" s="36"/>
      <c r="AA650" s="36"/>
      <c r="AB650" s="36"/>
    </row>
    <row r="651" spans="1:28" ht="36" hidden="1" customHeight="1">
      <c r="A651" s="199" t="s">
        <v>1433</v>
      </c>
      <c r="B651" s="194">
        <v>2006</v>
      </c>
      <c r="C651" s="117" t="s">
        <v>195</v>
      </c>
      <c r="D651" s="195" t="s">
        <v>197</v>
      </c>
      <c r="E651" s="117" t="s">
        <v>41</v>
      </c>
      <c r="F651" s="117" t="s">
        <v>42</v>
      </c>
      <c r="G651" s="193" t="s">
        <v>43</v>
      </c>
      <c r="H651" s="117" t="s">
        <v>44</v>
      </c>
      <c r="I651" s="35"/>
      <c r="J651" s="36"/>
      <c r="K651" s="36"/>
      <c r="L651" s="36"/>
      <c r="M651" s="36"/>
      <c r="N651" s="36"/>
      <c r="O651" s="36"/>
      <c r="P651" s="36"/>
      <c r="Q651" s="36"/>
      <c r="R651" s="36"/>
      <c r="S651" s="36"/>
      <c r="T651" s="36"/>
      <c r="U651" s="36"/>
      <c r="V651" s="36"/>
      <c r="W651" s="36"/>
      <c r="X651" s="36"/>
      <c r="Y651" s="36"/>
      <c r="Z651" s="36"/>
      <c r="AA651" s="36"/>
      <c r="AB651" s="36"/>
    </row>
    <row r="652" spans="1:28" ht="36" hidden="1" customHeight="1">
      <c r="A652" s="199" t="s">
        <v>1434</v>
      </c>
      <c r="B652" s="194">
        <v>2008</v>
      </c>
      <c r="C652" s="117" t="s">
        <v>195</v>
      </c>
      <c r="D652" s="195" t="s">
        <v>198</v>
      </c>
      <c r="E652" s="117" t="s">
        <v>41</v>
      </c>
      <c r="F652" s="117" t="s">
        <v>42</v>
      </c>
      <c r="G652" s="193" t="s">
        <v>43</v>
      </c>
      <c r="H652" s="117" t="s">
        <v>44</v>
      </c>
      <c r="I652" s="35"/>
      <c r="J652" s="36"/>
      <c r="K652" s="36"/>
      <c r="L652" s="36"/>
      <c r="M652" s="36"/>
      <c r="N652" s="36"/>
      <c r="O652" s="36"/>
      <c r="P652" s="36"/>
      <c r="Q652" s="36"/>
      <c r="R652" s="36"/>
      <c r="S652" s="36"/>
      <c r="T652" s="36"/>
      <c r="U652" s="36"/>
      <c r="V652" s="36"/>
      <c r="W652" s="36"/>
      <c r="X652" s="36"/>
      <c r="Y652" s="36"/>
      <c r="Z652" s="36"/>
      <c r="AA652" s="36"/>
      <c r="AB652" s="36"/>
    </row>
    <row r="653" spans="1:28" ht="48" hidden="1" customHeight="1">
      <c r="A653" s="199" t="s">
        <v>1435</v>
      </c>
      <c r="B653" s="194">
        <v>2008</v>
      </c>
      <c r="C653" s="117" t="s">
        <v>195</v>
      </c>
      <c r="D653" s="195" t="s">
        <v>199</v>
      </c>
      <c r="E653" s="117" t="s">
        <v>41</v>
      </c>
      <c r="F653" s="117" t="s">
        <v>42</v>
      </c>
      <c r="G653" s="193" t="s">
        <v>43</v>
      </c>
      <c r="H653" s="117" t="s">
        <v>44</v>
      </c>
      <c r="I653" s="35"/>
      <c r="J653" s="36"/>
      <c r="K653" s="36"/>
      <c r="L653" s="36"/>
      <c r="M653" s="36"/>
      <c r="N653" s="36"/>
      <c r="O653" s="36"/>
      <c r="P653" s="36"/>
      <c r="Q653" s="36"/>
      <c r="R653" s="36"/>
      <c r="S653" s="36"/>
      <c r="T653" s="36"/>
      <c r="U653" s="36"/>
      <c r="V653" s="36"/>
      <c r="W653" s="36"/>
      <c r="X653" s="36"/>
      <c r="Y653" s="36"/>
      <c r="Z653" s="36"/>
      <c r="AA653" s="36"/>
      <c r="AB653" s="36"/>
    </row>
    <row r="654" spans="1:28" ht="36" hidden="1" customHeight="1">
      <c r="A654" s="199" t="s">
        <v>1276</v>
      </c>
      <c r="B654" s="194">
        <v>2010</v>
      </c>
      <c r="C654" s="117" t="s">
        <v>195</v>
      </c>
      <c r="D654" s="195" t="s">
        <v>200</v>
      </c>
      <c r="E654" s="117" t="s">
        <v>41</v>
      </c>
      <c r="F654" s="117" t="s">
        <v>42</v>
      </c>
      <c r="G654" s="193" t="s">
        <v>43</v>
      </c>
      <c r="H654" s="117" t="s">
        <v>44</v>
      </c>
      <c r="I654" s="35"/>
      <c r="J654" s="36"/>
      <c r="K654" s="36"/>
      <c r="L654" s="36"/>
      <c r="M654" s="36"/>
      <c r="N654" s="36"/>
      <c r="O654" s="36"/>
      <c r="P654" s="36"/>
      <c r="Q654" s="36"/>
      <c r="R654" s="36"/>
      <c r="S654" s="36"/>
      <c r="T654" s="36"/>
      <c r="U654" s="36"/>
      <c r="V654" s="36"/>
      <c r="W654" s="36"/>
      <c r="X654" s="36"/>
      <c r="Y654" s="36"/>
      <c r="Z654" s="36"/>
      <c r="AA654" s="36"/>
      <c r="AB654" s="36"/>
    </row>
    <row r="655" spans="1:28" ht="36" hidden="1" customHeight="1">
      <c r="A655" s="199" t="s">
        <v>1277</v>
      </c>
      <c r="B655" s="194">
        <v>2010</v>
      </c>
      <c r="C655" s="117" t="s">
        <v>195</v>
      </c>
      <c r="D655" s="195" t="s">
        <v>201</v>
      </c>
      <c r="E655" s="117" t="s">
        <v>41</v>
      </c>
      <c r="F655" s="117" t="s">
        <v>42</v>
      </c>
      <c r="G655" s="193" t="s">
        <v>43</v>
      </c>
      <c r="H655" s="117" t="s">
        <v>44</v>
      </c>
      <c r="I655" s="35"/>
      <c r="J655" s="36"/>
      <c r="K655" s="36"/>
      <c r="L655" s="36"/>
      <c r="M655" s="36"/>
      <c r="N655" s="36"/>
      <c r="O655" s="36"/>
      <c r="P655" s="36"/>
      <c r="Q655" s="36"/>
      <c r="R655" s="36"/>
      <c r="S655" s="36"/>
      <c r="T655" s="36"/>
      <c r="U655" s="36"/>
      <c r="V655" s="36"/>
      <c r="W655" s="36"/>
      <c r="X655" s="36"/>
      <c r="Y655" s="36"/>
      <c r="Z655" s="36"/>
      <c r="AA655" s="36"/>
      <c r="AB655" s="36"/>
    </row>
    <row r="656" spans="1:28" ht="36" hidden="1" customHeight="1">
      <c r="A656" s="199" t="s">
        <v>1436</v>
      </c>
      <c r="B656" s="194">
        <v>2010</v>
      </c>
      <c r="C656" s="117" t="s">
        <v>195</v>
      </c>
      <c r="D656" s="195" t="s">
        <v>202</v>
      </c>
      <c r="E656" s="117" t="s">
        <v>41</v>
      </c>
      <c r="F656" s="117" t="s">
        <v>42</v>
      </c>
      <c r="G656" s="193" t="s">
        <v>43</v>
      </c>
      <c r="H656" s="117" t="s">
        <v>44</v>
      </c>
      <c r="I656" s="35"/>
      <c r="J656" s="36"/>
      <c r="K656" s="36"/>
      <c r="L656" s="36"/>
      <c r="M656" s="36"/>
      <c r="N656" s="36"/>
      <c r="O656" s="36"/>
      <c r="P656" s="36"/>
      <c r="Q656" s="36"/>
      <c r="R656" s="36"/>
      <c r="S656" s="36"/>
      <c r="T656" s="36"/>
      <c r="U656" s="36"/>
      <c r="V656" s="36"/>
      <c r="W656" s="36"/>
      <c r="X656" s="36"/>
      <c r="Y656" s="36"/>
      <c r="Z656" s="36"/>
      <c r="AA656" s="36"/>
      <c r="AB656" s="36"/>
    </row>
    <row r="657" spans="1:28" ht="48" hidden="1" customHeight="1">
      <c r="A657" s="199" t="s">
        <v>1437</v>
      </c>
      <c r="B657" s="194">
        <v>2010</v>
      </c>
      <c r="C657" s="117" t="s">
        <v>195</v>
      </c>
      <c r="D657" s="195" t="s">
        <v>203</v>
      </c>
      <c r="E657" s="117" t="s">
        <v>41</v>
      </c>
      <c r="F657" s="117" t="s">
        <v>42</v>
      </c>
      <c r="G657" s="193" t="s">
        <v>43</v>
      </c>
      <c r="H657" s="117" t="s">
        <v>44</v>
      </c>
      <c r="I657" s="35"/>
      <c r="J657" s="36"/>
      <c r="K657" s="36"/>
      <c r="L657" s="36"/>
      <c r="M657" s="36"/>
      <c r="N657" s="36"/>
      <c r="O657" s="36"/>
      <c r="P657" s="36"/>
      <c r="Q657" s="36"/>
      <c r="R657" s="36"/>
      <c r="S657" s="36"/>
      <c r="T657" s="36"/>
      <c r="U657" s="36"/>
      <c r="V657" s="36"/>
      <c r="W657" s="36"/>
      <c r="X657" s="36"/>
      <c r="Y657" s="36"/>
      <c r="Z657" s="36"/>
      <c r="AA657" s="36"/>
      <c r="AB657" s="36"/>
    </row>
    <row r="658" spans="1:28" ht="36" hidden="1" customHeight="1">
      <c r="A658" s="199" t="s">
        <v>1438</v>
      </c>
      <c r="B658" s="194">
        <v>2010</v>
      </c>
      <c r="C658" s="117" t="s">
        <v>195</v>
      </c>
      <c r="D658" s="195" t="s">
        <v>204</v>
      </c>
      <c r="E658" s="117" t="s">
        <v>41</v>
      </c>
      <c r="F658" s="117" t="s">
        <v>42</v>
      </c>
      <c r="G658" s="193" t="s">
        <v>43</v>
      </c>
      <c r="H658" s="117" t="s">
        <v>44</v>
      </c>
      <c r="I658" s="35"/>
      <c r="J658" s="36"/>
      <c r="K658" s="36"/>
      <c r="L658" s="36"/>
      <c r="M658" s="36"/>
      <c r="N658" s="36"/>
      <c r="O658" s="36"/>
      <c r="P658" s="36"/>
      <c r="Q658" s="36"/>
      <c r="R658" s="36"/>
      <c r="S658" s="36"/>
      <c r="T658" s="36"/>
      <c r="U658" s="36"/>
      <c r="V658" s="36"/>
      <c r="W658" s="36"/>
      <c r="X658" s="36"/>
      <c r="Y658" s="36"/>
      <c r="Z658" s="36"/>
      <c r="AA658" s="36"/>
      <c r="AB658" s="36"/>
    </row>
    <row r="659" spans="1:28" ht="24" hidden="1" customHeight="1">
      <c r="A659" s="199" t="s">
        <v>1439</v>
      </c>
      <c r="B659" s="194">
        <v>2010</v>
      </c>
      <c r="C659" s="117" t="s">
        <v>195</v>
      </c>
      <c r="D659" s="195" t="s">
        <v>205</v>
      </c>
      <c r="E659" s="117" t="s">
        <v>41</v>
      </c>
      <c r="F659" s="117" t="s">
        <v>42</v>
      </c>
      <c r="G659" s="193" t="s">
        <v>43</v>
      </c>
      <c r="H659" s="117" t="s">
        <v>44</v>
      </c>
      <c r="I659" s="35"/>
      <c r="J659" s="36"/>
      <c r="K659" s="36"/>
      <c r="L659" s="36"/>
      <c r="M659" s="36"/>
      <c r="N659" s="36"/>
      <c r="O659" s="36"/>
      <c r="P659" s="36"/>
      <c r="Q659" s="36"/>
      <c r="R659" s="36"/>
      <c r="S659" s="36"/>
      <c r="T659" s="36"/>
      <c r="U659" s="36"/>
      <c r="V659" s="36"/>
      <c r="W659" s="36"/>
      <c r="X659" s="36"/>
      <c r="Y659" s="36"/>
      <c r="Z659" s="36"/>
      <c r="AA659" s="36"/>
      <c r="AB659" s="36"/>
    </row>
    <row r="660" spans="1:28" ht="24" hidden="1" customHeight="1">
      <c r="A660" s="199" t="s">
        <v>1440</v>
      </c>
      <c r="B660" s="194">
        <v>2011</v>
      </c>
      <c r="C660" s="117" t="s">
        <v>195</v>
      </c>
      <c r="D660" s="195" t="s">
        <v>206</v>
      </c>
      <c r="E660" s="117" t="s">
        <v>41</v>
      </c>
      <c r="F660" s="117" t="s">
        <v>42</v>
      </c>
      <c r="G660" s="193" t="s">
        <v>43</v>
      </c>
      <c r="H660" s="117" t="s">
        <v>44</v>
      </c>
      <c r="I660" s="35"/>
      <c r="J660" s="36"/>
      <c r="K660" s="36"/>
      <c r="L660" s="36"/>
      <c r="M660" s="36"/>
      <c r="N660" s="36"/>
      <c r="O660" s="36"/>
      <c r="P660" s="36"/>
      <c r="Q660" s="36"/>
      <c r="R660" s="36"/>
      <c r="S660" s="36"/>
      <c r="T660" s="36"/>
      <c r="U660" s="36"/>
      <c r="V660" s="36"/>
      <c r="W660" s="36"/>
      <c r="X660" s="36"/>
      <c r="Y660" s="36"/>
      <c r="Z660" s="36"/>
      <c r="AA660" s="36"/>
      <c r="AB660" s="36"/>
    </row>
    <row r="661" spans="1:28" ht="24" hidden="1" customHeight="1">
      <c r="A661" s="199" t="s">
        <v>1441</v>
      </c>
      <c r="B661" s="194">
        <v>2011</v>
      </c>
      <c r="C661" s="117" t="s">
        <v>195</v>
      </c>
      <c r="D661" s="195" t="s">
        <v>207</v>
      </c>
      <c r="E661" s="117" t="s">
        <v>41</v>
      </c>
      <c r="F661" s="117" t="s">
        <v>42</v>
      </c>
      <c r="G661" s="193" t="s">
        <v>43</v>
      </c>
      <c r="H661" s="117" t="s">
        <v>44</v>
      </c>
      <c r="I661" s="35"/>
      <c r="J661" s="36"/>
      <c r="K661" s="36"/>
      <c r="L661" s="36"/>
      <c r="M661" s="36"/>
      <c r="N661" s="36"/>
      <c r="O661" s="36"/>
      <c r="P661" s="36"/>
      <c r="Q661" s="36"/>
      <c r="R661" s="36"/>
      <c r="S661" s="36"/>
      <c r="T661" s="36"/>
      <c r="U661" s="36"/>
      <c r="V661" s="36"/>
      <c r="W661" s="36"/>
      <c r="X661" s="36"/>
      <c r="Y661" s="36"/>
      <c r="Z661" s="36"/>
      <c r="AA661" s="36"/>
      <c r="AB661" s="36"/>
    </row>
    <row r="662" spans="1:28" ht="24" hidden="1" customHeight="1">
      <c r="A662" s="199" t="s">
        <v>1442</v>
      </c>
      <c r="B662" s="194">
        <v>2011</v>
      </c>
      <c r="C662" s="117" t="s">
        <v>195</v>
      </c>
      <c r="D662" s="195" t="s">
        <v>208</v>
      </c>
      <c r="E662" s="117" t="s">
        <v>41</v>
      </c>
      <c r="F662" s="117" t="s">
        <v>42</v>
      </c>
      <c r="G662" s="193" t="s">
        <v>43</v>
      </c>
      <c r="H662" s="117" t="s">
        <v>44</v>
      </c>
      <c r="I662" s="35"/>
      <c r="J662" s="36"/>
      <c r="K662" s="36"/>
      <c r="L662" s="36"/>
      <c r="M662" s="36"/>
      <c r="N662" s="36"/>
      <c r="O662" s="36"/>
      <c r="P662" s="36"/>
      <c r="Q662" s="36"/>
      <c r="R662" s="36"/>
      <c r="S662" s="36"/>
      <c r="T662" s="36"/>
      <c r="U662" s="36"/>
      <c r="V662" s="36"/>
      <c r="W662" s="36"/>
      <c r="X662" s="36"/>
      <c r="Y662" s="36"/>
      <c r="Z662" s="36"/>
      <c r="AA662" s="36"/>
      <c r="AB662" s="36"/>
    </row>
    <row r="663" spans="1:28" ht="36" hidden="1" customHeight="1">
      <c r="A663" s="199" t="s">
        <v>1443</v>
      </c>
      <c r="B663" s="194">
        <v>2012</v>
      </c>
      <c r="C663" s="117" t="s">
        <v>195</v>
      </c>
      <c r="D663" s="195" t="s">
        <v>210</v>
      </c>
      <c r="E663" s="117" t="s">
        <v>41</v>
      </c>
      <c r="F663" s="117" t="s">
        <v>42</v>
      </c>
      <c r="G663" s="193" t="s">
        <v>43</v>
      </c>
      <c r="H663" s="117" t="s">
        <v>44</v>
      </c>
      <c r="I663" s="35"/>
      <c r="J663" s="36"/>
      <c r="K663" s="36"/>
      <c r="L663" s="36"/>
      <c r="M663" s="36"/>
      <c r="N663" s="36"/>
      <c r="O663" s="36"/>
      <c r="P663" s="36"/>
      <c r="Q663" s="36"/>
      <c r="R663" s="36"/>
      <c r="S663" s="36"/>
      <c r="T663" s="36"/>
      <c r="U663" s="36"/>
      <c r="V663" s="36"/>
      <c r="W663" s="36"/>
      <c r="X663" s="36"/>
      <c r="Y663" s="36"/>
      <c r="Z663" s="36"/>
      <c r="AA663" s="36"/>
      <c r="AB663" s="36"/>
    </row>
    <row r="664" spans="1:28" ht="36" hidden="1" customHeight="1">
      <c r="A664" s="199" t="s">
        <v>1444</v>
      </c>
      <c r="B664" s="194">
        <v>2012</v>
      </c>
      <c r="C664" s="117" t="s">
        <v>195</v>
      </c>
      <c r="D664" s="195" t="s">
        <v>211</v>
      </c>
      <c r="E664" s="117" t="s">
        <v>41</v>
      </c>
      <c r="F664" s="117" t="s">
        <v>42</v>
      </c>
      <c r="G664" s="193" t="s">
        <v>43</v>
      </c>
      <c r="H664" s="117" t="s">
        <v>44</v>
      </c>
      <c r="I664" s="35"/>
      <c r="J664" s="36"/>
      <c r="K664" s="36"/>
      <c r="L664" s="36"/>
      <c r="M664" s="36"/>
      <c r="N664" s="36"/>
      <c r="O664" s="36"/>
      <c r="P664" s="36"/>
      <c r="Q664" s="36"/>
      <c r="R664" s="36"/>
      <c r="S664" s="36"/>
      <c r="T664" s="36"/>
      <c r="U664" s="36"/>
      <c r="V664" s="36"/>
      <c r="W664" s="36"/>
      <c r="X664" s="36"/>
      <c r="Y664" s="36"/>
      <c r="Z664" s="36"/>
      <c r="AA664" s="36"/>
      <c r="AB664" s="36"/>
    </row>
    <row r="665" spans="1:28" ht="36" hidden="1" customHeight="1">
      <c r="A665" s="199" t="s">
        <v>1445</v>
      </c>
      <c r="B665" s="194">
        <v>2014</v>
      </c>
      <c r="C665" s="117" t="s">
        <v>195</v>
      </c>
      <c r="D665" s="195" t="s">
        <v>212</v>
      </c>
      <c r="E665" s="117" t="s">
        <v>41</v>
      </c>
      <c r="F665" s="117" t="s">
        <v>42</v>
      </c>
      <c r="G665" s="193" t="s">
        <v>43</v>
      </c>
      <c r="H665" s="117" t="s">
        <v>44</v>
      </c>
      <c r="I665" s="35"/>
      <c r="J665" s="36"/>
      <c r="K665" s="36"/>
      <c r="L665" s="36"/>
      <c r="M665" s="36"/>
      <c r="N665" s="36"/>
      <c r="O665" s="36"/>
      <c r="P665" s="36"/>
      <c r="Q665" s="36"/>
      <c r="R665" s="36"/>
      <c r="S665" s="36"/>
      <c r="T665" s="36"/>
      <c r="U665" s="36"/>
      <c r="V665" s="36"/>
      <c r="W665" s="36"/>
      <c r="X665" s="36"/>
      <c r="Y665" s="36"/>
      <c r="Z665" s="36"/>
      <c r="AA665" s="36"/>
      <c r="AB665" s="36"/>
    </row>
    <row r="666" spans="1:28" ht="24" hidden="1" customHeight="1">
      <c r="A666" s="199" t="s">
        <v>1446</v>
      </c>
      <c r="B666" s="194">
        <v>2014</v>
      </c>
      <c r="C666" s="117" t="s">
        <v>195</v>
      </c>
      <c r="D666" s="195" t="s">
        <v>213</v>
      </c>
      <c r="E666" s="117" t="s">
        <v>41</v>
      </c>
      <c r="F666" s="117" t="s">
        <v>42</v>
      </c>
      <c r="G666" s="193" t="s">
        <v>43</v>
      </c>
      <c r="H666" s="117" t="s">
        <v>44</v>
      </c>
      <c r="I666" s="35"/>
      <c r="J666" s="36"/>
      <c r="K666" s="36"/>
      <c r="L666" s="36"/>
      <c r="M666" s="36"/>
      <c r="N666" s="36"/>
      <c r="O666" s="36"/>
      <c r="P666" s="36"/>
      <c r="Q666" s="36"/>
      <c r="R666" s="36"/>
      <c r="S666" s="36"/>
      <c r="T666" s="36"/>
      <c r="U666" s="36"/>
      <c r="V666" s="36"/>
      <c r="W666" s="36"/>
      <c r="X666" s="36"/>
      <c r="Y666" s="36"/>
      <c r="Z666" s="36"/>
      <c r="AA666" s="36"/>
      <c r="AB666" s="36"/>
    </row>
    <row r="667" spans="1:28" ht="24" hidden="1" customHeight="1">
      <c r="A667" s="199" t="s">
        <v>1447</v>
      </c>
      <c r="B667" s="194">
        <v>2015</v>
      </c>
      <c r="C667" s="117" t="s">
        <v>195</v>
      </c>
      <c r="D667" s="195" t="s">
        <v>214</v>
      </c>
      <c r="E667" s="117" t="s">
        <v>41</v>
      </c>
      <c r="F667" s="117" t="s">
        <v>42</v>
      </c>
      <c r="G667" s="193" t="s">
        <v>43</v>
      </c>
      <c r="H667" s="117" t="s">
        <v>44</v>
      </c>
      <c r="I667" s="35"/>
      <c r="J667" s="36"/>
      <c r="K667" s="36"/>
      <c r="L667" s="36"/>
      <c r="M667" s="36"/>
      <c r="N667" s="36"/>
      <c r="O667" s="36"/>
      <c r="P667" s="36"/>
      <c r="Q667" s="36"/>
      <c r="R667" s="36"/>
      <c r="S667" s="36"/>
      <c r="T667" s="36"/>
      <c r="U667" s="36"/>
      <c r="V667" s="36"/>
      <c r="W667" s="36"/>
      <c r="X667" s="36"/>
      <c r="Y667" s="36"/>
      <c r="Z667" s="36"/>
      <c r="AA667" s="36"/>
      <c r="AB667" s="36"/>
    </row>
    <row r="668" spans="1:28" ht="24" hidden="1" customHeight="1">
      <c r="A668" s="199" t="s">
        <v>1448</v>
      </c>
      <c r="B668" s="194">
        <v>2015</v>
      </c>
      <c r="C668" s="117" t="s">
        <v>195</v>
      </c>
      <c r="D668" s="195" t="s">
        <v>215</v>
      </c>
      <c r="E668" s="117" t="s">
        <v>41</v>
      </c>
      <c r="F668" s="117" t="s">
        <v>42</v>
      </c>
      <c r="G668" s="193" t="s">
        <v>43</v>
      </c>
      <c r="H668" s="117" t="s">
        <v>44</v>
      </c>
      <c r="I668" s="35"/>
      <c r="J668" s="36"/>
      <c r="K668" s="36"/>
      <c r="L668" s="36"/>
      <c r="M668" s="36"/>
      <c r="N668" s="36"/>
      <c r="O668" s="36"/>
      <c r="P668" s="36"/>
      <c r="Q668" s="36"/>
      <c r="R668" s="36"/>
      <c r="S668" s="36"/>
      <c r="T668" s="36"/>
      <c r="U668" s="36"/>
      <c r="V668" s="36"/>
      <c r="W668" s="36"/>
      <c r="X668" s="36"/>
      <c r="Y668" s="36"/>
      <c r="Z668" s="36"/>
      <c r="AA668" s="36"/>
      <c r="AB668" s="36"/>
    </row>
    <row r="669" spans="1:28" ht="36" hidden="1" customHeight="1">
      <c r="A669" s="199" t="s">
        <v>1449</v>
      </c>
      <c r="B669" s="194">
        <v>2015</v>
      </c>
      <c r="C669" s="117" t="s">
        <v>195</v>
      </c>
      <c r="D669" s="195" t="s">
        <v>216</v>
      </c>
      <c r="E669" s="117" t="s">
        <v>41</v>
      </c>
      <c r="F669" s="117" t="s">
        <v>42</v>
      </c>
      <c r="G669" s="193" t="s">
        <v>43</v>
      </c>
      <c r="H669" s="117" t="s">
        <v>44</v>
      </c>
      <c r="I669" s="35"/>
      <c r="J669" s="36"/>
      <c r="K669" s="36"/>
      <c r="L669" s="36"/>
      <c r="M669" s="36"/>
      <c r="N669" s="36"/>
      <c r="O669" s="36"/>
      <c r="P669" s="36"/>
      <c r="Q669" s="36"/>
      <c r="R669" s="36"/>
      <c r="S669" s="36"/>
      <c r="T669" s="36"/>
      <c r="U669" s="36"/>
      <c r="V669" s="36"/>
      <c r="W669" s="36"/>
      <c r="X669" s="36"/>
      <c r="Y669" s="36"/>
      <c r="Z669" s="36"/>
      <c r="AA669" s="36"/>
      <c r="AB669" s="36"/>
    </row>
    <row r="670" spans="1:28" ht="24" hidden="1" customHeight="1">
      <c r="A670" s="199" t="s">
        <v>1450</v>
      </c>
      <c r="B670" s="194">
        <v>2015</v>
      </c>
      <c r="C670" s="117" t="s">
        <v>195</v>
      </c>
      <c r="D670" s="195" t="s">
        <v>217</v>
      </c>
      <c r="E670" s="117" t="s">
        <v>41</v>
      </c>
      <c r="F670" s="117" t="s">
        <v>42</v>
      </c>
      <c r="G670" s="193" t="s">
        <v>43</v>
      </c>
      <c r="H670" s="117" t="s">
        <v>44</v>
      </c>
      <c r="I670" s="35"/>
      <c r="J670" s="36"/>
      <c r="K670" s="36"/>
      <c r="L670" s="36"/>
      <c r="M670" s="36"/>
      <c r="N670" s="36"/>
      <c r="O670" s="36"/>
      <c r="P670" s="36"/>
      <c r="Q670" s="36"/>
      <c r="R670" s="36"/>
      <c r="S670" s="36"/>
      <c r="T670" s="36"/>
      <c r="U670" s="36"/>
      <c r="V670" s="36"/>
      <c r="W670" s="36"/>
      <c r="X670" s="36"/>
      <c r="Y670" s="36"/>
      <c r="Z670" s="36"/>
      <c r="AA670" s="36"/>
      <c r="AB670" s="36"/>
    </row>
    <row r="671" spans="1:28" ht="48" hidden="1" customHeight="1">
      <c r="A671" s="199" t="s">
        <v>1451</v>
      </c>
      <c r="B671" s="194">
        <v>2018</v>
      </c>
      <c r="C671" s="117" t="s">
        <v>195</v>
      </c>
      <c r="D671" s="195" t="s">
        <v>218</v>
      </c>
      <c r="E671" s="117" t="s">
        <v>41</v>
      </c>
      <c r="F671" s="117" t="s">
        <v>42</v>
      </c>
      <c r="G671" s="193" t="s">
        <v>43</v>
      </c>
      <c r="H671" s="117" t="s">
        <v>44</v>
      </c>
      <c r="I671" s="35"/>
      <c r="J671" s="36"/>
      <c r="K671" s="36"/>
      <c r="L671" s="36"/>
      <c r="M671" s="36"/>
      <c r="N671" s="36"/>
      <c r="O671" s="36"/>
      <c r="P671" s="36"/>
      <c r="Q671" s="36"/>
      <c r="R671" s="36"/>
      <c r="S671" s="36"/>
      <c r="T671" s="36"/>
      <c r="U671" s="36"/>
      <c r="V671" s="36"/>
      <c r="W671" s="36"/>
      <c r="X671" s="36"/>
      <c r="Y671" s="36"/>
      <c r="Z671" s="36"/>
      <c r="AA671" s="36"/>
      <c r="AB671" s="36"/>
    </row>
    <row r="672" spans="1:28" ht="12" hidden="1" customHeight="1">
      <c r="A672" s="205" t="s">
        <v>1452</v>
      </c>
      <c r="B672" s="206">
        <v>1994</v>
      </c>
      <c r="C672" s="117" t="s">
        <v>124</v>
      </c>
      <c r="D672" s="195" t="s">
        <v>125</v>
      </c>
      <c r="E672" s="117" t="s">
        <v>41</v>
      </c>
      <c r="F672" s="117" t="s">
        <v>42</v>
      </c>
      <c r="G672" s="193" t="s">
        <v>43</v>
      </c>
      <c r="H672" s="117" t="s">
        <v>44</v>
      </c>
      <c r="I672" s="35"/>
      <c r="J672" s="36"/>
      <c r="K672" s="36"/>
      <c r="L672" s="36"/>
      <c r="M672" s="36"/>
      <c r="N672" s="36"/>
      <c r="O672" s="36"/>
      <c r="P672" s="36"/>
      <c r="Q672" s="36"/>
      <c r="R672" s="36"/>
      <c r="S672" s="36"/>
      <c r="T672" s="36"/>
      <c r="U672" s="36"/>
      <c r="V672" s="36"/>
      <c r="W672" s="36"/>
      <c r="X672" s="36"/>
      <c r="Y672" s="36"/>
      <c r="Z672" s="36"/>
      <c r="AA672" s="36"/>
      <c r="AB672" s="36"/>
    </row>
    <row r="673" spans="1:28" ht="24" hidden="1" customHeight="1">
      <c r="A673" s="207" t="s">
        <v>1453</v>
      </c>
      <c r="B673" s="206">
        <v>2005</v>
      </c>
      <c r="C673" s="197" t="s">
        <v>130</v>
      </c>
      <c r="D673" s="195" t="s">
        <v>1454</v>
      </c>
      <c r="E673" s="117" t="s">
        <v>41</v>
      </c>
      <c r="F673" s="117" t="s">
        <v>42</v>
      </c>
      <c r="G673" s="193" t="s">
        <v>43</v>
      </c>
      <c r="H673" s="117" t="s">
        <v>44</v>
      </c>
      <c r="I673" s="35"/>
      <c r="J673" s="36"/>
      <c r="K673" s="36"/>
      <c r="L673" s="36"/>
      <c r="M673" s="36"/>
      <c r="N673" s="36"/>
      <c r="O673" s="36"/>
      <c r="P673" s="36"/>
      <c r="Q673" s="36"/>
      <c r="R673" s="36"/>
      <c r="S673" s="36"/>
      <c r="T673" s="36"/>
      <c r="U673" s="36"/>
      <c r="V673" s="36"/>
      <c r="W673" s="36"/>
      <c r="X673" s="36"/>
      <c r="Y673" s="36"/>
      <c r="Z673" s="36"/>
      <c r="AA673" s="36"/>
      <c r="AB673" s="36"/>
    </row>
    <row r="674" spans="1:28" ht="48" hidden="1" customHeight="1">
      <c r="A674" s="207" t="s">
        <v>1455</v>
      </c>
      <c r="B674" s="206">
        <v>2005</v>
      </c>
      <c r="C674" s="117" t="s">
        <v>126</v>
      </c>
      <c r="D674" s="195" t="s">
        <v>127</v>
      </c>
      <c r="E674" s="117" t="s">
        <v>41</v>
      </c>
      <c r="F674" s="117" t="s">
        <v>42</v>
      </c>
      <c r="G674" s="193" t="s">
        <v>43</v>
      </c>
      <c r="H674" s="117" t="s">
        <v>44</v>
      </c>
      <c r="I674" s="35"/>
      <c r="J674" s="36"/>
      <c r="K674" s="36"/>
      <c r="L674" s="36"/>
      <c r="M674" s="36"/>
      <c r="N674" s="36"/>
      <c r="O674" s="36"/>
      <c r="P674" s="36"/>
      <c r="Q674" s="36"/>
      <c r="R674" s="36"/>
      <c r="S674" s="36"/>
      <c r="T674" s="36"/>
      <c r="U674" s="36"/>
      <c r="V674" s="36"/>
      <c r="W674" s="36"/>
      <c r="X674" s="36"/>
      <c r="Y674" s="36"/>
      <c r="Z674" s="36"/>
      <c r="AA674" s="36"/>
      <c r="AB674" s="36"/>
    </row>
    <row r="675" spans="1:28" ht="36" hidden="1" customHeight="1">
      <c r="A675" s="207" t="s">
        <v>1456</v>
      </c>
      <c r="B675" s="206">
        <v>2006</v>
      </c>
      <c r="C675" s="117" t="s">
        <v>128</v>
      </c>
      <c r="D675" s="195" t="s">
        <v>129</v>
      </c>
      <c r="E675" s="117" t="s">
        <v>41</v>
      </c>
      <c r="F675" s="117" t="s">
        <v>42</v>
      </c>
      <c r="G675" s="193" t="s">
        <v>43</v>
      </c>
      <c r="H675" s="117" t="s">
        <v>44</v>
      </c>
      <c r="I675" s="35"/>
      <c r="J675" s="36"/>
      <c r="K675" s="36"/>
      <c r="L675" s="36"/>
      <c r="M675" s="36"/>
      <c r="N675" s="36"/>
      <c r="O675" s="36"/>
      <c r="P675" s="36"/>
      <c r="Q675" s="36"/>
      <c r="R675" s="36"/>
      <c r="S675" s="36"/>
      <c r="T675" s="36"/>
      <c r="U675" s="36"/>
      <c r="V675" s="36"/>
      <c r="W675" s="36"/>
      <c r="X675" s="36"/>
      <c r="Y675" s="36"/>
      <c r="Z675" s="36"/>
      <c r="AA675" s="36"/>
      <c r="AB675" s="36"/>
    </row>
    <row r="676" spans="1:28" ht="36" hidden="1" customHeight="1">
      <c r="A676" s="207" t="s">
        <v>1457</v>
      </c>
      <c r="B676" s="206">
        <v>2007</v>
      </c>
      <c r="C676" s="197" t="s">
        <v>130</v>
      </c>
      <c r="D676" s="195" t="s">
        <v>131</v>
      </c>
      <c r="E676" s="117" t="s">
        <v>41</v>
      </c>
      <c r="F676" s="117" t="s">
        <v>42</v>
      </c>
      <c r="G676" s="193" t="s">
        <v>43</v>
      </c>
      <c r="H676" s="117" t="s">
        <v>44</v>
      </c>
      <c r="I676" s="35"/>
      <c r="J676" s="36"/>
      <c r="K676" s="36"/>
      <c r="L676" s="36"/>
      <c r="M676" s="36"/>
      <c r="N676" s="36"/>
      <c r="O676" s="36"/>
      <c r="P676" s="36"/>
      <c r="Q676" s="36"/>
      <c r="R676" s="36"/>
      <c r="S676" s="36"/>
      <c r="T676" s="36"/>
      <c r="U676" s="36"/>
      <c r="V676" s="36"/>
      <c r="W676" s="36"/>
      <c r="X676" s="36"/>
      <c r="Y676" s="36"/>
      <c r="Z676" s="36"/>
      <c r="AA676" s="36"/>
      <c r="AB676" s="36"/>
    </row>
    <row r="677" spans="1:28" ht="36" hidden="1" customHeight="1">
      <c r="A677" s="207" t="s">
        <v>1458</v>
      </c>
      <c r="B677" s="206">
        <v>2008</v>
      </c>
      <c r="C677" s="197" t="s">
        <v>130</v>
      </c>
      <c r="D677" s="195" t="s">
        <v>132</v>
      </c>
      <c r="E677" s="117" t="s">
        <v>41</v>
      </c>
      <c r="F677" s="117" t="s">
        <v>42</v>
      </c>
      <c r="G677" s="193" t="s">
        <v>43</v>
      </c>
      <c r="H677" s="117" t="s">
        <v>44</v>
      </c>
      <c r="I677" s="35"/>
      <c r="J677" s="36"/>
      <c r="K677" s="36"/>
      <c r="L677" s="36"/>
      <c r="M677" s="36"/>
      <c r="N677" s="36"/>
      <c r="O677" s="36"/>
      <c r="P677" s="36"/>
      <c r="Q677" s="36"/>
      <c r="R677" s="36"/>
      <c r="S677" s="36"/>
      <c r="T677" s="36"/>
      <c r="U677" s="36"/>
      <c r="V677" s="36"/>
      <c r="W677" s="36"/>
      <c r="X677" s="36"/>
      <c r="Y677" s="36"/>
      <c r="Z677" s="36"/>
      <c r="AA677" s="36"/>
      <c r="AB677" s="36"/>
    </row>
    <row r="678" spans="1:28" ht="24" hidden="1" customHeight="1">
      <c r="A678" s="207" t="s">
        <v>1459</v>
      </c>
      <c r="B678" s="206">
        <v>2009</v>
      </c>
      <c r="C678" s="117" t="s">
        <v>133</v>
      </c>
      <c r="D678" s="195" t="s">
        <v>134</v>
      </c>
      <c r="E678" s="117" t="s">
        <v>41</v>
      </c>
      <c r="F678" s="117" t="s">
        <v>42</v>
      </c>
      <c r="G678" s="193" t="s">
        <v>43</v>
      </c>
      <c r="H678" s="117" t="s">
        <v>44</v>
      </c>
      <c r="I678" s="35"/>
      <c r="J678" s="36"/>
      <c r="K678" s="36"/>
      <c r="L678" s="36"/>
      <c r="M678" s="36"/>
      <c r="N678" s="36"/>
      <c r="O678" s="36"/>
      <c r="P678" s="36"/>
      <c r="Q678" s="36"/>
      <c r="R678" s="36"/>
      <c r="S678" s="36"/>
      <c r="T678" s="36"/>
      <c r="U678" s="36"/>
      <c r="V678" s="36"/>
      <c r="W678" s="36"/>
      <c r="X678" s="36"/>
      <c r="Y678" s="36"/>
      <c r="Z678" s="36"/>
      <c r="AA678" s="36"/>
      <c r="AB678" s="36"/>
    </row>
    <row r="679" spans="1:28" ht="36" hidden="1" customHeight="1">
      <c r="A679" s="207" t="s">
        <v>1460</v>
      </c>
      <c r="B679" s="206">
        <v>2010</v>
      </c>
      <c r="C679" s="197" t="s">
        <v>130</v>
      </c>
      <c r="D679" s="195" t="s">
        <v>135</v>
      </c>
      <c r="E679" s="117" t="s">
        <v>41</v>
      </c>
      <c r="F679" s="117" t="s">
        <v>42</v>
      </c>
      <c r="G679" s="193" t="s">
        <v>43</v>
      </c>
      <c r="H679" s="117" t="s">
        <v>44</v>
      </c>
      <c r="I679" s="35"/>
      <c r="J679" s="36"/>
      <c r="K679" s="36"/>
      <c r="L679" s="36"/>
      <c r="M679" s="36"/>
      <c r="N679" s="36"/>
      <c r="O679" s="36"/>
      <c r="P679" s="36"/>
      <c r="Q679" s="36"/>
      <c r="R679" s="36"/>
      <c r="S679" s="36"/>
      <c r="T679" s="36"/>
      <c r="U679" s="36"/>
      <c r="V679" s="36"/>
      <c r="W679" s="36"/>
      <c r="X679" s="36"/>
      <c r="Y679" s="36"/>
      <c r="Z679" s="36"/>
      <c r="AA679" s="36"/>
      <c r="AB679" s="36"/>
    </row>
    <row r="680" spans="1:28" ht="36" hidden="1" customHeight="1">
      <c r="A680" s="207" t="s">
        <v>1461</v>
      </c>
      <c r="B680" s="206">
        <v>2010</v>
      </c>
      <c r="C680" s="117" t="s">
        <v>136</v>
      </c>
      <c r="D680" s="195" t="s">
        <v>137</v>
      </c>
      <c r="E680" s="117" t="s">
        <v>41</v>
      </c>
      <c r="F680" s="117" t="s">
        <v>42</v>
      </c>
      <c r="G680" s="193" t="s">
        <v>43</v>
      </c>
      <c r="H680" s="117" t="s">
        <v>44</v>
      </c>
      <c r="I680" s="35"/>
      <c r="J680" s="36"/>
      <c r="K680" s="36"/>
      <c r="L680" s="36"/>
      <c r="M680" s="36"/>
      <c r="N680" s="36"/>
      <c r="O680" s="36"/>
      <c r="P680" s="36"/>
      <c r="Q680" s="36"/>
      <c r="R680" s="36"/>
      <c r="S680" s="36"/>
      <c r="T680" s="36"/>
      <c r="U680" s="36"/>
      <c r="V680" s="36"/>
      <c r="W680" s="36"/>
      <c r="X680" s="36"/>
      <c r="Y680" s="36"/>
      <c r="Z680" s="36"/>
      <c r="AA680" s="36"/>
      <c r="AB680" s="36"/>
    </row>
    <row r="681" spans="1:28" ht="60" hidden="1" customHeight="1">
      <c r="A681" s="207" t="s">
        <v>138</v>
      </c>
      <c r="B681" s="206">
        <v>2011</v>
      </c>
      <c r="C681" s="117" t="s">
        <v>139</v>
      </c>
      <c r="D681" s="195" t="s">
        <v>140</v>
      </c>
      <c r="E681" s="117" t="s">
        <v>41</v>
      </c>
      <c r="F681" s="117" t="s">
        <v>42</v>
      </c>
      <c r="G681" s="193" t="s">
        <v>43</v>
      </c>
      <c r="H681" s="117" t="s">
        <v>44</v>
      </c>
      <c r="I681" s="35"/>
      <c r="J681" s="36"/>
      <c r="K681" s="36"/>
      <c r="L681" s="36"/>
      <c r="M681" s="36"/>
      <c r="N681" s="36"/>
      <c r="O681" s="36"/>
      <c r="P681" s="36"/>
      <c r="Q681" s="36"/>
      <c r="R681" s="36"/>
      <c r="S681" s="36"/>
      <c r="T681" s="36"/>
      <c r="U681" s="36"/>
      <c r="V681" s="36"/>
      <c r="W681" s="36"/>
      <c r="X681" s="36"/>
      <c r="Y681" s="36"/>
      <c r="Z681" s="36"/>
      <c r="AA681" s="36"/>
      <c r="AB681" s="36"/>
    </row>
    <row r="682" spans="1:28" ht="24" hidden="1" customHeight="1">
      <c r="A682" s="207" t="s">
        <v>1462</v>
      </c>
      <c r="B682" s="206">
        <v>2011</v>
      </c>
      <c r="C682" s="197" t="s">
        <v>130</v>
      </c>
      <c r="D682" s="195" t="s">
        <v>141</v>
      </c>
      <c r="E682" s="117" t="s">
        <v>41</v>
      </c>
      <c r="F682" s="117" t="s">
        <v>42</v>
      </c>
      <c r="G682" s="193" t="s">
        <v>43</v>
      </c>
      <c r="H682" s="117" t="s">
        <v>44</v>
      </c>
      <c r="I682" s="35"/>
      <c r="J682" s="36"/>
      <c r="K682" s="36"/>
      <c r="L682" s="36"/>
      <c r="M682" s="36"/>
      <c r="N682" s="36"/>
      <c r="O682" s="36"/>
      <c r="P682" s="36"/>
      <c r="Q682" s="36"/>
      <c r="R682" s="36"/>
      <c r="S682" s="36"/>
      <c r="T682" s="36"/>
      <c r="U682" s="36"/>
      <c r="V682" s="36"/>
      <c r="W682" s="36"/>
      <c r="X682" s="36"/>
      <c r="Y682" s="36"/>
      <c r="Z682" s="36"/>
      <c r="AA682" s="36"/>
      <c r="AB682" s="36"/>
    </row>
    <row r="683" spans="1:28" ht="24" hidden="1" customHeight="1">
      <c r="A683" s="207" t="s">
        <v>1463</v>
      </c>
      <c r="B683" s="206">
        <v>2012</v>
      </c>
      <c r="C683" s="197" t="s">
        <v>130</v>
      </c>
      <c r="D683" s="195" t="s">
        <v>142</v>
      </c>
      <c r="E683" s="117" t="s">
        <v>41</v>
      </c>
      <c r="F683" s="117" t="s">
        <v>42</v>
      </c>
      <c r="G683" s="193" t="s">
        <v>43</v>
      </c>
      <c r="H683" s="117" t="s">
        <v>44</v>
      </c>
      <c r="I683" s="35"/>
      <c r="J683" s="36"/>
      <c r="K683" s="36"/>
      <c r="L683" s="36"/>
      <c r="M683" s="36"/>
      <c r="N683" s="36"/>
      <c r="O683" s="36"/>
      <c r="P683" s="36"/>
      <c r="Q683" s="36"/>
      <c r="R683" s="36"/>
      <c r="S683" s="36"/>
      <c r="T683" s="36"/>
      <c r="U683" s="36"/>
      <c r="V683" s="36"/>
      <c r="W683" s="36"/>
      <c r="X683" s="36"/>
      <c r="Y683" s="36"/>
      <c r="Z683" s="36"/>
      <c r="AA683" s="36"/>
      <c r="AB683" s="36"/>
    </row>
    <row r="684" spans="1:28" ht="24" hidden="1" customHeight="1">
      <c r="A684" s="207" t="s">
        <v>1464</v>
      </c>
      <c r="B684" s="206">
        <v>2012</v>
      </c>
      <c r="C684" s="197" t="s">
        <v>130</v>
      </c>
      <c r="D684" s="195" t="s">
        <v>143</v>
      </c>
      <c r="E684" s="117" t="s">
        <v>41</v>
      </c>
      <c r="F684" s="117" t="s">
        <v>42</v>
      </c>
      <c r="G684" s="193" t="s">
        <v>43</v>
      </c>
      <c r="H684" s="117" t="s">
        <v>44</v>
      </c>
      <c r="I684" s="35"/>
      <c r="J684" s="36"/>
      <c r="K684" s="36"/>
      <c r="L684" s="36"/>
      <c r="M684" s="36"/>
      <c r="N684" s="36"/>
      <c r="O684" s="36"/>
      <c r="P684" s="36"/>
      <c r="Q684" s="36"/>
      <c r="R684" s="36"/>
      <c r="S684" s="36"/>
      <c r="T684" s="36"/>
      <c r="U684" s="36"/>
      <c r="V684" s="36"/>
      <c r="W684" s="36"/>
      <c r="X684" s="36"/>
      <c r="Y684" s="36"/>
      <c r="Z684" s="36"/>
      <c r="AA684" s="36"/>
      <c r="AB684" s="36"/>
    </row>
    <row r="685" spans="1:28" ht="36" hidden="1" customHeight="1">
      <c r="A685" s="207" t="s">
        <v>1465</v>
      </c>
      <c r="B685" s="206">
        <v>2013</v>
      </c>
      <c r="C685" s="197" t="s">
        <v>130</v>
      </c>
      <c r="D685" s="195" t="s">
        <v>146</v>
      </c>
      <c r="E685" s="117" t="s">
        <v>41</v>
      </c>
      <c r="F685" s="117" t="s">
        <v>42</v>
      </c>
      <c r="G685" s="193" t="s">
        <v>43</v>
      </c>
      <c r="H685" s="117" t="s">
        <v>44</v>
      </c>
      <c r="I685" s="35"/>
      <c r="J685" s="36"/>
      <c r="K685" s="36"/>
      <c r="L685" s="36"/>
      <c r="M685" s="36"/>
      <c r="N685" s="36"/>
      <c r="O685" s="36"/>
      <c r="P685" s="36"/>
      <c r="Q685" s="36"/>
      <c r="R685" s="36"/>
      <c r="S685" s="36"/>
      <c r="T685" s="36"/>
      <c r="U685" s="36"/>
      <c r="V685" s="36"/>
      <c r="W685" s="36"/>
      <c r="X685" s="36"/>
      <c r="Y685" s="36"/>
      <c r="Z685" s="36"/>
      <c r="AA685" s="36"/>
      <c r="AB685" s="36"/>
    </row>
    <row r="686" spans="1:28" ht="36" hidden="1" customHeight="1">
      <c r="A686" s="207" t="s">
        <v>1466</v>
      </c>
      <c r="B686" s="206">
        <v>2013</v>
      </c>
      <c r="C686" s="197" t="s">
        <v>130</v>
      </c>
      <c r="D686" s="195" t="s">
        <v>147</v>
      </c>
      <c r="E686" s="117" t="s">
        <v>41</v>
      </c>
      <c r="F686" s="117" t="s">
        <v>42</v>
      </c>
      <c r="G686" s="193" t="s">
        <v>43</v>
      </c>
      <c r="H686" s="117" t="s">
        <v>44</v>
      </c>
      <c r="I686" s="35"/>
      <c r="J686" s="36"/>
      <c r="K686" s="36"/>
      <c r="L686" s="36"/>
      <c r="M686" s="36"/>
      <c r="N686" s="36"/>
      <c r="O686" s="36"/>
      <c r="P686" s="36"/>
      <c r="Q686" s="36"/>
      <c r="R686" s="36"/>
      <c r="S686" s="36"/>
      <c r="T686" s="36"/>
      <c r="U686" s="36"/>
      <c r="V686" s="36"/>
      <c r="W686" s="36"/>
      <c r="X686" s="36"/>
      <c r="Y686" s="36"/>
      <c r="Z686" s="36"/>
      <c r="AA686" s="36"/>
      <c r="AB686" s="36"/>
    </row>
    <row r="687" spans="1:28" ht="48" hidden="1" customHeight="1">
      <c r="A687" s="207" t="s">
        <v>148</v>
      </c>
      <c r="B687" s="206">
        <v>2014</v>
      </c>
      <c r="C687" s="117" t="s">
        <v>139</v>
      </c>
      <c r="D687" s="195" t="s">
        <v>149</v>
      </c>
      <c r="E687" s="117" t="s">
        <v>41</v>
      </c>
      <c r="F687" s="117" t="s">
        <v>42</v>
      </c>
      <c r="G687" s="193" t="s">
        <v>43</v>
      </c>
      <c r="H687" s="117" t="s">
        <v>44</v>
      </c>
      <c r="I687" s="35"/>
      <c r="J687" s="36"/>
      <c r="K687" s="36"/>
      <c r="L687" s="36"/>
      <c r="M687" s="36"/>
      <c r="N687" s="36"/>
      <c r="O687" s="36"/>
      <c r="P687" s="36"/>
      <c r="Q687" s="36"/>
      <c r="R687" s="36"/>
      <c r="S687" s="36"/>
      <c r="T687" s="36"/>
      <c r="U687" s="36"/>
      <c r="V687" s="36"/>
      <c r="W687" s="36"/>
      <c r="X687" s="36"/>
      <c r="Y687" s="36"/>
      <c r="Z687" s="36"/>
      <c r="AA687" s="36"/>
      <c r="AB687" s="36"/>
    </row>
    <row r="688" spans="1:28" ht="48" hidden="1" customHeight="1">
      <c r="A688" s="207" t="s">
        <v>150</v>
      </c>
      <c r="B688" s="206">
        <v>2014</v>
      </c>
      <c r="C688" s="117" t="s">
        <v>139</v>
      </c>
      <c r="D688" s="195" t="s">
        <v>151</v>
      </c>
      <c r="E688" s="117" t="s">
        <v>41</v>
      </c>
      <c r="F688" s="117" t="s">
        <v>42</v>
      </c>
      <c r="G688" s="193" t="s">
        <v>43</v>
      </c>
      <c r="H688" s="117" t="s">
        <v>44</v>
      </c>
      <c r="I688" s="35"/>
      <c r="J688" s="36"/>
      <c r="K688" s="36"/>
      <c r="L688" s="36"/>
      <c r="M688" s="36"/>
      <c r="N688" s="36"/>
      <c r="O688" s="36"/>
      <c r="P688" s="36"/>
      <c r="Q688" s="36"/>
      <c r="R688" s="36"/>
      <c r="S688" s="36"/>
      <c r="T688" s="36"/>
      <c r="U688" s="36"/>
      <c r="V688" s="36"/>
      <c r="W688" s="36"/>
      <c r="X688" s="36"/>
      <c r="Y688" s="36"/>
      <c r="Z688" s="36"/>
      <c r="AA688" s="36"/>
      <c r="AB688" s="36"/>
    </row>
    <row r="689" spans="1:28" ht="36" hidden="1" customHeight="1">
      <c r="A689" s="207" t="s">
        <v>1467</v>
      </c>
      <c r="B689" s="206">
        <v>2014</v>
      </c>
      <c r="C689" s="117" t="s">
        <v>152</v>
      </c>
      <c r="D689" s="195" t="s">
        <v>153</v>
      </c>
      <c r="E689" s="117" t="s">
        <v>41</v>
      </c>
      <c r="F689" s="117" t="s">
        <v>42</v>
      </c>
      <c r="G689" s="193" t="s">
        <v>43</v>
      </c>
      <c r="H689" s="117" t="s">
        <v>44</v>
      </c>
      <c r="I689" s="35"/>
      <c r="J689" s="36"/>
      <c r="K689" s="36"/>
      <c r="L689" s="36"/>
      <c r="M689" s="36"/>
      <c r="N689" s="36"/>
      <c r="O689" s="36"/>
      <c r="P689" s="36"/>
      <c r="Q689" s="36"/>
      <c r="R689" s="36"/>
      <c r="S689" s="36"/>
      <c r="T689" s="36"/>
      <c r="U689" s="36"/>
      <c r="V689" s="36"/>
      <c r="W689" s="36"/>
      <c r="X689" s="36"/>
      <c r="Y689" s="36"/>
      <c r="Z689" s="36"/>
      <c r="AA689" s="36"/>
      <c r="AB689" s="36"/>
    </row>
    <row r="690" spans="1:28" ht="36" hidden="1" customHeight="1">
      <c r="A690" s="207" t="s">
        <v>1468</v>
      </c>
      <c r="B690" s="206">
        <v>2014</v>
      </c>
      <c r="C690" s="197" t="s">
        <v>130</v>
      </c>
      <c r="D690" s="195" t="s">
        <v>154</v>
      </c>
      <c r="E690" s="117" t="s">
        <v>41</v>
      </c>
      <c r="F690" s="117" t="s">
        <v>42</v>
      </c>
      <c r="G690" s="193" t="s">
        <v>43</v>
      </c>
      <c r="H690" s="117" t="s">
        <v>44</v>
      </c>
      <c r="I690" s="35"/>
      <c r="J690" s="36"/>
      <c r="K690" s="36"/>
      <c r="L690" s="36"/>
      <c r="M690" s="36"/>
      <c r="N690" s="36"/>
      <c r="O690" s="36"/>
      <c r="P690" s="36"/>
      <c r="Q690" s="36"/>
      <c r="R690" s="36"/>
      <c r="S690" s="36"/>
      <c r="T690" s="36"/>
      <c r="U690" s="36"/>
      <c r="V690" s="36"/>
      <c r="W690" s="36"/>
      <c r="X690" s="36"/>
      <c r="Y690" s="36"/>
      <c r="Z690" s="36"/>
      <c r="AA690" s="36"/>
      <c r="AB690" s="36"/>
    </row>
    <row r="691" spans="1:28" ht="48" hidden="1" customHeight="1">
      <c r="A691" s="207" t="s">
        <v>155</v>
      </c>
      <c r="B691" s="206">
        <v>2015</v>
      </c>
      <c r="C691" s="117" t="s">
        <v>126</v>
      </c>
      <c r="D691" s="195" t="s">
        <v>156</v>
      </c>
      <c r="E691" s="117" t="s">
        <v>41</v>
      </c>
      <c r="F691" s="117" t="s">
        <v>42</v>
      </c>
      <c r="G691" s="193" t="s">
        <v>43</v>
      </c>
      <c r="H691" s="117" t="s">
        <v>44</v>
      </c>
      <c r="I691" s="35"/>
      <c r="J691" s="36"/>
      <c r="K691" s="36"/>
      <c r="L691" s="36"/>
      <c r="M691" s="36"/>
      <c r="N691" s="36"/>
      <c r="O691" s="36"/>
      <c r="P691" s="36"/>
      <c r="Q691" s="36"/>
      <c r="R691" s="36"/>
      <c r="S691" s="36"/>
      <c r="T691" s="36"/>
      <c r="U691" s="36"/>
      <c r="V691" s="36"/>
      <c r="W691" s="36"/>
      <c r="X691" s="36"/>
      <c r="Y691" s="36"/>
      <c r="Z691" s="36"/>
      <c r="AA691" s="36"/>
      <c r="AB691" s="36"/>
    </row>
    <row r="692" spans="1:28" ht="48" hidden="1" customHeight="1">
      <c r="A692" s="207" t="s">
        <v>1469</v>
      </c>
      <c r="B692" s="206">
        <v>2015</v>
      </c>
      <c r="C692" s="197" t="s">
        <v>130</v>
      </c>
      <c r="D692" s="195" t="s">
        <v>157</v>
      </c>
      <c r="E692" s="117" t="s">
        <v>41</v>
      </c>
      <c r="F692" s="117" t="s">
        <v>42</v>
      </c>
      <c r="G692" s="193" t="s">
        <v>43</v>
      </c>
      <c r="H692" s="117" t="s">
        <v>44</v>
      </c>
      <c r="I692" s="35"/>
      <c r="J692" s="36"/>
      <c r="K692" s="36"/>
      <c r="L692" s="36"/>
      <c r="M692" s="36"/>
      <c r="N692" s="36"/>
      <c r="O692" s="36"/>
      <c r="P692" s="36"/>
      <c r="Q692" s="36"/>
      <c r="R692" s="36"/>
      <c r="S692" s="36"/>
      <c r="T692" s="36"/>
      <c r="U692" s="36"/>
      <c r="V692" s="36"/>
      <c r="W692" s="36"/>
      <c r="X692" s="36"/>
      <c r="Y692" s="36"/>
      <c r="Z692" s="36"/>
      <c r="AA692" s="36"/>
      <c r="AB692" s="36"/>
    </row>
    <row r="693" spans="1:28" ht="36" hidden="1" customHeight="1">
      <c r="A693" s="207" t="s">
        <v>158</v>
      </c>
      <c r="B693" s="206">
        <v>2015</v>
      </c>
      <c r="C693" s="117" t="s">
        <v>159</v>
      </c>
      <c r="D693" s="195" t="s">
        <v>160</v>
      </c>
      <c r="E693" s="117" t="s">
        <v>41</v>
      </c>
      <c r="F693" s="117" t="s">
        <v>42</v>
      </c>
      <c r="G693" s="193" t="s">
        <v>43</v>
      </c>
      <c r="H693" s="117" t="s">
        <v>44</v>
      </c>
      <c r="I693" s="35"/>
      <c r="J693" s="36"/>
      <c r="K693" s="36"/>
      <c r="L693" s="36"/>
      <c r="M693" s="36"/>
      <c r="N693" s="36"/>
      <c r="O693" s="36"/>
      <c r="P693" s="36"/>
      <c r="Q693" s="36"/>
      <c r="R693" s="36"/>
      <c r="S693" s="36"/>
      <c r="T693" s="36"/>
      <c r="U693" s="36"/>
      <c r="V693" s="36"/>
      <c r="W693" s="36"/>
      <c r="X693" s="36"/>
      <c r="Y693" s="36"/>
      <c r="Z693" s="36"/>
      <c r="AA693" s="36"/>
      <c r="AB693" s="36"/>
    </row>
    <row r="694" spans="1:28" ht="48" hidden="1" customHeight="1">
      <c r="A694" s="207" t="s">
        <v>1470</v>
      </c>
      <c r="B694" s="206">
        <v>2016</v>
      </c>
      <c r="C694" s="117" t="s">
        <v>139</v>
      </c>
      <c r="D694" s="195" t="s">
        <v>161</v>
      </c>
      <c r="E694" s="117" t="s">
        <v>41</v>
      </c>
      <c r="F694" s="117" t="s">
        <v>42</v>
      </c>
      <c r="G694" s="193" t="s">
        <v>43</v>
      </c>
      <c r="H694" s="117" t="s">
        <v>44</v>
      </c>
      <c r="I694" s="35"/>
      <c r="J694" s="36"/>
      <c r="K694" s="36"/>
      <c r="L694" s="36"/>
      <c r="M694" s="36"/>
      <c r="N694" s="36"/>
      <c r="O694" s="36"/>
      <c r="P694" s="36"/>
      <c r="Q694" s="36"/>
      <c r="R694" s="36"/>
      <c r="S694" s="36"/>
      <c r="T694" s="36"/>
      <c r="U694" s="36"/>
      <c r="V694" s="36"/>
      <c r="W694" s="36"/>
      <c r="X694" s="36"/>
      <c r="Y694" s="36"/>
      <c r="Z694" s="36"/>
      <c r="AA694" s="36"/>
      <c r="AB694" s="36"/>
    </row>
    <row r="695" spans="1:28" ht="84" hidden="1" customHeight="1">
      <c r="A695" s="207" t="s">
        <v>1471</v>
      </c>
      <c r="B695" s="206">
        <v>2017</v>
      </c>
      <c r="C695" s="117" t="s">
        <v>162</v>
      </c>
      <c r="D695" s="195" t="s">
        <v>163</v>
      </c>
      <c r="E695" s="117" t="s">
        <v>41</v>
      </c>
      <c r="F695" s="117" t="s">
        <v>42</v>
      </c>
      <c r="G695" s="193" t="s">
        <v>43</v>
      </c>
      <c r="H695" s="117" t="s">
        <v>44</v>
      </c>
      <c r="I695" s="35"/>
      <c r="J695" s="36"/>
      <c r="K695" s="36"/>
      <c r="L695" s="36"/>
      <c r="M695" s="36"/>
      <c r="N695" s="36"/>
      <c r="O695" s="36"/>
      <c r="P695" s="36"/>
      <c r="Q695" s="36"/>
      <c r="R695" s="36"/>
      <c r="S695" s="36"/>
      <c r="T695" s="36"/>
      <c r="U695" s="36"/>
      <c r="V695" s="36"/>
      <c r="W695" s="36"/>
      <c r="X695" s="36"/>
      <c r="Y695" s="36"/>
      <c r="Z695" s="36"/>
      <c r="AA695" s="36"/>
      <c r="AB695" s="36"/>
    </row>
    <row r="696" spans="1:28" ht="36" hidden="1" customHeight="1">
      <c r="A696" s="207" t="s">
        <v>1472</v>
      </c>
      <c r="B696" s="206">
        <v>2017</v>
      </c>
      <c r="C696" s="117" t="s">
        <v>164</v>
      </c>
      <c r="D696" s="195" t="s">
        <v>165</v>
      </c>
      <c r="E696" s="117" t="s">
        <v>41</v>
      </c>
      <c r="F696" s="117" t="s">
        <v>42</v>
      </c>
      <c r="G696" s="193" t="s">
        <v>43</v>
      </c>
      <c r="H696" s="117" t="s">
        <v>44</v>
      </c>
      <c r="I696" s="35"/>
      <c r="J696" s="36"/>
      <c r="K696" s="36"/>
      <c r="L696" s="36"/>
      <c r="M696" s="36"/>
      <c r="N696" s="36"/>
      <c r="O696" s="36"/>
      <c r="P696" s="36"/>
      <c r="Q696" s="36"/>
      <c r="R696" s="36"/>
      <c r="S696" s="36"/>
      <c r="T696" s="36"/>
      <c r="U696" s="36"/>
      <c r="V696" s="36"/>
      <c r="W696" s="36"/>
      <c r="X696" s="36"/>
      <c r="Y696" s="36"/>
      <c r="Z696" s="36"/>
      <c r="AA696" s="36"/>
      <c r="AB696" s="36"/>
    </row>
    <row r="697" spans="1:28" ht="36" hidden="1" customHeight="1">
      <c r="A697" s="207" t="s">
        <v>166</v>
      </c>
      <c r="B697" s="206">
        <v>2017</v>
      </c>
      <c r="C697" s="117" t="s">
        <v>167</v>
      </c>
      <c r="D697" s="195" t="s">
        <v>168</v>
      </c>
      <c r="E697" s="117" t="s">
        <v>41</v>
      </c>
      <c r="F697" s="117" t="s">
        <v>42</v>
      </c>
      <c r="G697" s="193" t="s">
        <v>43</v>
      </c>
      <c r="H697" s="117" t="s">
        <v>44</v>
      </c>
      <c r="I697" s="35"/>
      <c r="J697" s="36"/>
      <c r="K697" s="36"/>
      <c r="L697" s="36"/>
      <c r="M697" s="36"/>
      <c r="N697" s="36"/>
      <c r="O697" s="36"/>
      <c r="P697" s="36"/>
      <c r="Q697" s="36"/>
      <c r="R697" s="36"/>
      <c r="S697" s="36"/>
      <c r="T697" s="36"/>
      <c r="U697" s="36"/>
      <c r="V697" s="36"/>
      <c r="W697" s="36"/>
      <c r="X697" s="36"/>
      <c r="Y697" s="36"/>
      <c r="Z697" s="36"/>
      <c r="AA697" s="36"/>
      <c r="AB697" s="36"/>
    </row>
    <row r="698" spans="1:28" ht="48" hidden="1" customHeight="1">
      <c r="A698" s="207" t="s">
        <v>1473</v>
      </c>
      <c r="B698" s="206">
        <v>2018</v>
      </c>
      <c r="C698" s="117" t="s">
        <v>169</v>
      </c>
      <c r="D698" s="195" t="s">
        <v>170</v>
      </c>
      <c r="E698" s="117" t="s">
        <v>41</v>
      </c>
      <c r="F698" s="117" t="s">
        <v>42</v>
      </c>
      <c r="G698" s="193" t="s">
        <v>43</v>
      </c>
      <c r="H698" s="117" t="s">
        <v>44</v>
      </c>
      <c r="I698" s="35"/>
      <c r="J698" s="36"/>
      <c r="K698" s="36"/>
      <c r="L698" s="36"/>
      <c r="M698" s="36"/>
      <c r="N698" s="36"/>
      <c r="O698" s="36"/>
      <c r="P698" s="36"/>
      <c r="Q698" s="36"/>
      <c r="R698" s="36"/>
      <c r="S698" s="36"/>
      <c r="T698" s="36"/>
      <c r="U698" s="36"/>
      <c r="V698" s="36"/>
      <c r="W698" s="36"/>
      <c r="X698" s="36"/>
      <c r="Y698" s="36"/>
      <c r="Z698" s="36"/>
      <c r="AA698" s="36"/>
      <c r="AB698" s="36"/>
    </row>
    <row r="699" spans="1:28" ht="36" hidden="1" customHeight="1">
      <c r="A699" s="207" t="s">
        <v>1474</v>
      </c>
      <c r="B699" s="206">
        <v>2012</v>
      </c>
      <c r="C699" s="117" t="s">
        <v>225</v>
      </c>
      <c r="D699" s="195" t="s">
        <v>1475</v>
      </c>
      <c r="E699" s="117" t="s">
        <v>41</v>
      </c>
      <c r="F699" s="117" t="s">
        <v>42</v>
      </c>
      <c r="G699" s="193" t="s">
        <v>43</v>
      </c>
      <c r="H699" s="117" t="s">
        <v>44</v>
      </c>
      <c r="I699" s="35"/>
      <c r="J699" s="36"/>
      <c r="K699" s="36"/>
      <c r="L699" s="36"/>
      <c r="M699" s="36"/>
      <c r="N699" s="36"/>
      <c r="O699" s="36"/>
      <c r="P699" s="36"/>
      <c r="Q699" s="36"/>
      <c r="R699" s="36"/>
      <c r="S699" s="36"/>
      <c r="T699" s="36"/>
      <c r="U699" s="36"/>
      <c r="V699" s="36"/>
      <c r="W699" s="36"/>
      <c r="X699" s="36"/>
      <c r="Y699" s="36"/>
      <c r="Z699" s="36"/>
      <c r="AA699" s="36"/>
      <c r="AB699" s="36"/>
    </row>
    <row r="700" spans="1:28" ht="48" hidden="1" customHeight="1">
      <c r="A700" s="207" t="s">
        <v>1476</v>
      </c>
      <c r="B700" s="117">
        <v>2011</v>
      </c>
      <c r="C700" s="117" t="s">
        <v>61</v>
      </c>
      <c r="D700" s="195" t="s">
        <v>1477</v>
      </c>
      <c r="E700" s="117" t="s">
        <v>41</v>
      </c>
      <c r="F700" s="117" t="s">
        <v>42</v>
      </c>
      <c r="G700" s="193" t="s">
        <v>43</v>
      </c>
      <c r="H700" s="117" t="s">
        <v>44</v>
      </c>
      <c r="I700" s="35"/>
      <c r="J700" s="36"/>
      <c r="K700" s="36"/>
      <c r="L700" s="36"/>
      <c r="M700" s="36"/>
      <c r="N700" s="36"/>
      <c r="O700" s="36"/>
      <c r="P700" s="36"/>
      <c r="Q700" s="36"/>
      <c r="R700" s="36"/>
      <c r="S700" s="36"/>
      <c r="T700" s="36"/>
      <c r="U700" s="36"/>
      <c r="V700" s="36"/>
      <c r="W700" s="36"/>
      <c r="X700" s="36"/>
      <c r="Y700" s="36"/>
      <c r="Z700" s="36"/>
      <c r="AA700" s="36"/>
      <c r="AB700" s="36"/>
    </row>
    <row r="701" spans="1:28" ht="24" hidden="1" customHeight="1">
      <c r="A701" s="207" t="s">
        <v>1478</v>
      </c>
      <c r="B701" s="206">
        <v>2011</v>
      </c>
      <c r="C701" s="117" t="s">
        <v>61</v>
      </c>
      <c r="D701" s="195" t="s">
        <v>220</v>
      </c>
      <c r="E701" s="117" t="s">
        <v>41</v>
      </c>
      <c r="F701" s="117" t="s">
        <v>42</v>
      </c>
      <c r="G701" s="193" t="s">
        <v>43</v>
      </c>
      <c r="H701" s="117" t="s">
        <v>44</v>
      </c>
      <c r="I701" s="35"/>
      <c r="J701" s="36"/>
      <c r="K701" s="36"/>
      <c r="L701" s="36"/>
      <c r="M701" s="36"/>
      <c r="N701" s="36"/>
      <c r="O701" s="36"/>
      <c r="P701" s="36"/>
      <c r="Q701" s="36"/>
      <c r="R701" s="36"/>
      <c r="S701" s="36"/>
      <c r="T701" s="36"/>
      <c r="U701" s="36"/>
      <c r="V701" s="36"/>
      <c r="W701" s="36"/>
      <c r="X701" s="36"/>
      <c r="Y701" s="36"/>
      <c r="Z701" s="36"/>
      <c r="AA701" s="36"/>
      <c r="AB701" s="36"/>
    </row>
    <row r="702" spans="1:28" ht="24" hidden="1" customHeight="1">
      <c r="A702" s="207" t="s">
        <v>1479</v>
      </c>
      <c r="B702" s="206">
        <v>2012</v>
      </c>
      <c r="C702" s="117" t="s">
        <v>61</v>
      </c>
      <c r="D702" s="195" t="s">
        <v>221</v>
      </c>
      <c r="E702" s="117" t="s">
        <v>41</v>
      </c>
      <c r="F702" s="117" t="s">
        <v>42</v>
      </c>
      <c r="G702" s="193" t="s">
        <v>43</v>
      </c>
      <c r="H702" s="117" t="s">
        <v>44</v>
      </c>
      <c r="I702" s="35"/>
      <c r="J702" s="36"/>
      <c r="K702" s="36"/>
      <c r="L702" s="36"/>
      <c r="M702" s="36"/>
      <c r="N702" s="36"/>
      <c r="O702" s="36"/>
      <c r="P702" s="36"/>
      <c r="Q702" s="36"/>
      <c r="R702" s="36"/>
      <c r="S702" s="36"/>
      <c r="T702" s="36"/>
      <c r="U702" s="36"/>
      <c r="V702" s="36"/>
      <c r="W702" s="36"/>
      <c r="X702" s="36"/>
      <c r="Y702" s="36"/>
      <c r="Z702" s="36"/>
      <c r="AA702" s="36"/>
      <c r="AB702" s="36"/>
    </row>
    <row r="703" spans="1:28" ht="12" hidden="1" customHeight="1">
      <c r="A703" s="207" t="s">
        <v>1480</v>
      </c>
      <c r="B703" s="206">
        <v>2005</v>
      </c>
      <c r="C703" s="117" t="s">
        <v>1101</v>
      </c>
      <c r="D703" s="195" t="s">
        <v>1481</v>
      </c>
      <c r="E703" s="117" t="s">
        <v>41</v>
      </c>
      <c r="F703" s="117" t="s">
        <v>42</v>
      </c>
      <c r="G703" s="193" t="s">
        <v>43</v>
      </c>
      <c r="H703" s="117" t="s">
        <v>44</v>
      </c>
      <c r="I703" s="35"/>
      <c r="J703" s="36"/>
      <c r="K703" s="36"/>
      <c r="L703" s="36"/>
      <c r="M703" s="36"/>
      <c r="N703" s="36"/>
      <c r="O703" s="36"/>
      <c r="P703" s="36"/>
      <c r="Q703" s="36"/>
      <c r="R703" s="36"/>
      <c r="S703" s="36"/>
      <c r="T703" s="36"/>
      <c r="U703" s="36"/>
      <c r="V703" s="36"/>
      <c r="W703" s="36"/>
      <c r="X703" s="36"/>
      <c r="Y703" s="36"/>
      <c r="Z703" s="36"/>
      <c r="AA703" s="36"/>
      <c r="AB703" s="36"/>
    </row>
    <row r="704" spans="1:28" ht="36" hidden="1" customHeight="1">
      <c r="A704" s="207" t="s">
        <v>1482</v>
      </c>
      <c r="B704" s="206">
        <v>2009</v>
      </c>
      <c r="C704" s="117" t="s">
        <v>647</v>
      </c>
      <c r="D704" s="195" t="s">
        <v>1483</v>
      </c>
      <c r="E704" s="117" t="s">
        <v>41</v>
      </c>
      <c r="F704" s="117" t="s">
        <v>42</v>
      </c>
      <c r="G704" s="193" t="s">
        <v>43</v>
      </c>
      <c r="H704" s="117" t="s">
        <v>44</v>
      </c>
      <c r="I704" s="35"/>
      <c r="J704" s="36"/>
      <c r="K704" s="36"/>
      <c r="L704" s="36"/>
      <c r="M704" s="36"/>
      <c r="N704" s="36"/>
      <c r="O704" s="36"/>
      <c r="P704" s="36"/>
      <c r="Q704" s="36"/>
      <c r="R704" s="36"/>
      <c r="S704" s="36"/>
      <c r="T704" s="36"/>
      <c r="U704" s="36"/>
      <c r="V704" s="36"/>
      <c r="W704" s="36"/>
      <c r="X704" s="36"/>
      <c r="Y704" s="36"/>
      <c r="Z704" s="36"/>
      <c r="AA704" s="36"/>
      <c r="AB704" s="36"/>
    </row>
    <row r="705" spans="1:28" ht="12" hidden="1" customHeight="1">
      <c r="A705" s="207" t="s">
        <v>1484</v>
      </c>
      <c r="B705" s="206">
        <v>2008</v>
      </c>
      <c r="C705" s="117" t="s">
        <v>1101</v>
      </c>
      <c r="D705" s="195" t="s">
        <v>1485</v>
      </c>
      <c r="E705" s="117" t="s">
        <v>41</v>
      </c>
      <c r="F705" s="117" t="s">
        <v>42</v>
      </c>
      <c r="G705" s="193" t="s">
        <v>43</v>
      </c>
      <c r="H705" s="117" t="s">
        <v>44</v>
      </c>
      <c r="I705" s="35"/>
      <c r="J705" s="36"/>
      <c r="K705" s="36"/>
      <c r="L705" s="36"/>
      <c r="M705" s="36"/>
      <c r="N705" s="36"/>
      <c r="O705" s="36"/>
      <c r="P705" s="36"/>
      <c r="Q705" s="36"/>
      <c r="R705" s="36"/>
      <c r="S705" s="36"/>
      <c r="T705" s="36"/>
      <c r="U705" s="36"/>
      <c r="V705" s="36"/>
      <c r="W705" s="36"/>
      <c r="X705" s="36"/>
      <c r="Y705" s="36"/>
      <c r="Z705" s="36"/>
      <c r="AA705" s="36"/>
      <c r="AB705" s="36"/>
    </row>
    <row r="706" spans="1:28" ht="72" hidden="1" customHeight="1">
      <c r="A706" s="207" t="s">
        <v>1486</v>
      </c>
      <c r="B706" s="206">
        <v>2014</v>
      </c>
      <c r="C706" s="117" t="s">
        <v>57</v>
      </c>
      <c r="D706" s="195" t="s">
        <v>1487</v>
      </c>
      <c r="E706" s="117" t="s">
        <v>41</v>
      </c>
      <c r="F706" s="117" t="s">
        <v>42</v>
      </c>
      <c r="G706" s="193" t="s">
        <v>43</v>
      </c>
      <c r="H706" s="117" t="s">
        <v>44</v>
      </c>
      <c r="I706" s="35"/>
      <c r="J706" s="36"/>
      <c r="K706" s="36"/>
      <c r="L706" s="36"/>
      <c r="M706" s="36"/>
      <c r="N706" s="36"/>
      <c r="O706" s="36"/>
      <c r="P706" s="36"/>
      <c r="Q706" s="36"/>
      <c r="R706" s="36"/>
      <c r="S706" s="36"/>
      <c r="T706" s="36"/>
      <c r="U706" s="36"/>
      <c r="V706" s="36"/>
      <c r="W706" s="36"/>
      <c r="X706" s="36"/>
      <c r="Y706" s="36"/>
      <c r="Z706" s="36"/>
      <c r="AA706" s="36"/>
      <c r="AB706" s="36"/>
    </row>
    <row r="707" spans="1:28" ht="108" hidden="1" customHeight="1">
      <c r="A707" s="239" t="s">
        <v>1103</v>
      </c>
      <c r="B707" s="206">
        <v>1991</v>
      </c>
      <c r="C707" s="117" t="s">
        <v>405</v>
      </c>
      <c r="D707" s="195" t="s">
        <v>406</v>
      </c>
      <c r="E707" s="117" t="s">
        <v>1488</v>
      </c>
      <c r="F707" s="195" t="s">
        <v>1489</v>
      </c>
      <c r="G707" s="117" t="s">
        <v>43</v>
      </c>
      <c r="H707" s="117" t="s">
        <v>1490</v>
      </c>
      <c r="I707" s="35"/>
      <c r="J707" s="36"/>
      <c r="K707" s="36"/>
      <c r="L707" s="36"/>
      <c r="M707" s="36"/>
      <c r="N707" s="36"/>
      <c r="O707" s="36"/>
      <c r="P707" s="36"/>
      <c r="Q707" s="36"/>
      <c r="R707" s="36"/>
      <c r="S707" s="36"/>
      <c r="T707" s="36"/>
      <c r="U707" s="36"/>
      <c r="V707" s="36"/>
      <c r="W707" s="36"/>
      <c r="X707" s="36"/>
      <c r="Y707" s="36"/>
      <c r="Z707" s="36"/>
      <c r="AA707" s="36"/>
      <c r="AB707" s="36"/>
    </row>
    <row r="708" spans="1:28" ht="24" hidden="1" customHeight="1">
      <c r="A708" s="207" t="s">
        <v>1491</v>
      </c>
      <c r="B708" s="117">
        <v>1979</v>
      </c>
      <c r="C708" s="117" t="s">
        <v>507</v>
      </c>
      <c r="D708" s="195" t="s">
        <v>1492</v>
      </c>
      <c r="E708" s="117" t="s">
        <v>41</v>
      </c>
      <c r="F708" s="206" t="s">
        <v>97</v>
      </c>
      <c r="G708" s="117" t="s">
        <v>43</v>
      </c>
      <c r="H708" s="117" t="s">
        <v>1490</v>
      </c>
      <c r="I708" s="35"/>
      <c r="J708" s="36"/>
      <c r="K708" s="36"/>
      <c r="L708" s="36"/>
      <c r="M708" s="36"/>
      <c r="N708" s="36"/>
      <c r="O708" s="36"/>
      <c r="P708" s="36"/>
      <c r="Q708" s="36"/>
      <c r="R708" s="36"/>
      <c r="S708" s="36"/>
      <c r="T708" s="36"/>
      <c r="U708" s="36"/>
      <c r="V708" s="36"/>
      <c r="W708" s="36"/>
      <c r="X708" s="36"/>
      <c r="Y708" s="36"/>
      <c r="Z708" s="36"/>
      <c r="AA708" s="36"/>
      <c r="AB708" s="36"/>
    </row>
    <row r="709" spans="1:28" ht="24" hidden="1" customHeight="1">
      <c r="A709" s="207" t="s">
        <v>1116</v>
      </c>
      <c r="B709" s="117">
        <v>1981</v>
      </c>
      <c r="C709" s="117" t="s">
        <v>507</v>
      </c>
      <c r="D709" s="195" t="s">
        <v>1493</v>
      </c>
      <c r="E709" s="117" t="s">
        <v>41</v>
      </c>
      <c r="F709" s="206" t="s">
        <v>97</v>
      </c>
      <c r="G709" s="117" t="s">
        <v>43</v>
      </c>
      <c r="H709" s="117" t="s">
        <v>1490</v>
      </c>
      <c r="I709" s="35"/>
      <c r="J709" s="36"/>
      <c r="K709" s="36"/>
      <c r="L709" s="36"/>
      <c r="M709" s="36"/>
      <c r="N709" s="36"/>
      <c r="O709" s="36"/>
      <c r="P709" s="36"/>
      <c r="Q709" s="36"/>
      <c r="R709" s="36"/>
      <c r="S709" s="36"/>
      <c r="T709" s="36"/>
      <c r="U709" s="36"/>
      <c r="V709" s="36"/>
      <c r="W709" s="36"/>
      <c r="X709" s="36"/>
      <c r="Y709" s="36"/>
      <c r="Z709" s="36"/>
      <c r="AA709" s="36"/>
      <c r="AB709" s="36"/>
    </row>
    <row r="710" spans="1:28" ht="24" hidden="1" customHeight="1">
      <c r="A710" s="207" t="s">
        <v>247</v>
      </c>
      <c r="B710" s="117">
        <v>1993</v>
      </c>
      <c r="C710" s="117" t="s">
        <v>507</v>
      </c>
      <c r="D710" s="195" t="s">
        <v>1494</v>
      </c>
      <c r="E710" s="117" t="s">
        <v>41</v>
      </c>
      <c r="F710" s="206" t="s">
        <v>97</v>
      </c>
      <c r="G710" s="117" t="s">
        <v>43</v>
      </c>
      <c r="H710" s="117" t="s">
        <v>1490</v>
      </c>
      <c r="I710" s="35"/>
      <c r="J710" s="36"/>
      <c r="K710" s="36"/>
      <c r="L710" s="36"/>
      <c r="M710" s="36"/>
      <c r="N710" s="36"/>
      <c r="O710" s="36"/>
      <c r="P710" s="36"/>
      <c r="Q710" s="36"/>
      <c r="R710" s="36"/>
      <c r="S710" s="36"/>
      <c r="T710" s="36"/>
      <c r="U710" s="36"/>
      <c r="V710" s="36"/>
      <c r="W710" s="36"/>
      <c r="X710" s="36"/>
      <c r="Y710" s="36"/>
      <c r="Z710" s="36"/>
      <c r="AA710" s="36"/>
      <c r="AB710" s="36"/>
    </row>
    <row r="711" spans="1:28" ht="24" hidden="1" customHeight="1">
      <c r="A711" s="207" t="s">
        <v>1495</v>
      </c>
      <c r="B711" s="117">
        <v>1994</v>
      </c>
      <c r="C711" s="117" t="s">
        <v>507</v>
      </c>
      <c r="D711" s="195" t="s">
        <v>1496</v>
      </c>
      <c r="E711" s="117" t="s">
        <v>41</v>
      </c>
      <c r="F711" s="206" t="s">
        <v>97</v>
      </c>
      <c r="G711" s="117" t="s">
        <v>43</v>
      </c>
      <c r="H711" s="117" t="s">
        <v>1490</v>
      </c>
      <c r="I711" s="35"/>
      <c r="J711" s="36"/>
      <c r="K711" s="36"/>
      <c r="L711" s="36"/>
      <c r="M711" s="36"/>
      <c r="N711" s="36"/>
      <c r="O711" s="36"/>
      <c r="P711" s="36"/>
      <c r="Q711" s="36"/>
      <c r="R711" s="36"/>
      <c r="S711" s="36"/>
      <c r="T711" s="36"/>
      <c r="U711" s="36"/>
      <c r="V711" s="36"/>
      <c r="W711" s="36"/>
      <c r="X711" s="36"/>
      <c r="Y711" s="36"/>
      <c r="Z711" s="36"/>
      <c r="AA711" s="36"/>
      <c r="AB711" s="36"/>
    </row>
    <row r="712" spans="1:28" ht="36" hidden="1" customHeight="1">
      <c r="A712" s="214" t="s">
        <v>1497</v>
      </c>
      <c r="B712" s="206">
        <v>1995</v>
      </c>
      <c r="C712" s="197" t="s">
        <v>39</v>
      </c>
      <c r="D712" s="195" t="s">
        <v>471</v>
      </c>
      <c r="E712" s="117" t="s">
        <v>41</v>
      </c>
      <c r="F712" s="206" t="s">
        <v>97</v>
      </c>
      <c r="G712" s="117" t="s">
        <v>43</v>
      </c>
      <c r="H712" s="117" t="s">
        <v>1490</v>
      </c>
      <c r="I712" s="35"/>
      <c r="J712" s="36"/>
      <c r="K712" s="36"/>
      <c r="L712" s="36"/>
      <c r="M712" s="36"/>
      <c r="N712" s="36"/>
      <c r="O712" s="36"/>
      <c r="P712" s="36"/>
      <c r="Q712" s="36"/>
      <c r="R712" s="36"/>
      <c r="S712" s="36"/>
      <c r="T712" s="36"/>
      <c r="U712" s="36"/>
      <c r="V712" s="36"/>
      <c r="W712" s="36"/>
      <c r="X712" s="36"/>
      <c r="Y712" s="36"/>
      <c r="Z712" s="36"/>
      <c r="AA712" s="36"/>
      <c r="AB712" s="36"/>
    </row>
    <row r="713" spans="1:28" ht="24" hidden="1" customHeight="1">
      <c r="A713" s="207" t="s">
        <v>1498</v>
      </c>
      <c r="B713" s="117">
        <v>1996</v>
      </c>
      <c r="C713" s="117" t="s">
        <v>507</v>
      </c>
      <c r="D713" s="195" t="s">
        <v>1499</v>
      </c>
      <c r="E713" s="117" t="s">
        <v>41</v>
      </c>
      <c r="F713" s="206" t="s">
        <v>97</v>
      </c>
      <c r="G713" s="117" t="s">
        <v>43</v>
      </c>
      <c r="H713" s="117" t="s">
        <v>1490</v>
      </c>
      <c r="I713" s="35"/>
      <c r="J713" s="36"/>
      <c r="K713" s="36"/>
      <c r="L713" s="36"/>
      <c r="M713" s="36"/>
      <c r="N713" s="36"/>
      <c r="O713" s="36"/>
      <c r="P713" s="36"/>
      <c r="Q713" s="36"/>
      <c r="R713" s="36"/>
      <c r="S713" s="36"/>
      <c r="T713" s="36"/>
      <c r="U713" s="36"/>
      <c r="V713" s="36"/>
      <c r="W713" s="36"/>
      <c r="X713" s="36"/>
      <c r="Y713" s="36"/>
      <c r="Z713" s="36"/>
      <c r="AA713" s="36"/>
      <c r="AB713" s="36"/>
    </row>
    <row r="714" spans="1:28" ht="24" hidden="1" customHeight="1">
      <c r="A714" s="207" t="s">
        <v>1500</v>
      </c>
      <c r="B714" s="117">
        <v>1999</v>
      </c>
      <c r="C714" s="117" t="s">
        <v>507</v>
      </c>
      <c r="D714" s="195" t="s">
        <v>1501</v>
      </c>
      <c r="E714" s="117" t="s">
        <v>41</v>
      </c>
      <c r="F714" s="206" t="s">
        <v>97</v>
      </c>
      <c r="G714" s="117" t="s">
        <v>43</v>
      </c>
      <c r="H714" s="117" t="s">
        <v>1490</v>
      </c>
      <c r="I714" s="35"/>
      <c r="J714" s="36"/>
      <c r="K714" s="36"/>
      <c r="L714" s="36"/>
      <c r="M714" s="36"/>
      <c r="N714" s="36"/>
      <c r="O714" s="36"/>
      <c r="P714" s="36"/>
      <c r="Q714" s="36"/>
      <c r="R714" s="36"/>
      <c r="S714" s="36"/>
      <c r="T714" s="36"/>
      <c r="U714" s="36"/>
      <c r="V714" s="36"/>
      <c r="W714" s="36"/>
      <c r="X714" s="36"/>
      <c r="Y714" s="36"/>
      <c r="Z714" s="36"/>
      <c r="AA714" s="36"/>
      <c r="AB714" s="36"/>
    </row>
    <row r="715" spans="1:28" ht="36" hidden="1" customHeight="1">
      <c r="A715" s="199" t="s">
        <v>1502</v>
      </c>
      <c r="B715" s="117">
        <v>2000</v>
      </c>
      <c r="C715" s="117" t="s">
        <v>507</v>
      </c>
      <c r="D715" s="195" t="s">
        <v>1503</v>
      </c>
      <c r="E715" s="117" t="s">
        <v>1504</v>
      </c>
      <c r="F715" s="206" t="s">
        <v>97</v>
      </c>
      <c r="G715" s="117" t="s">
        <v>43</v>
      </c>
      <c r="H715" s="117" t="s">
        <v>1490</v>
      </c>
      <c r="I715" s="35"/>
      <c r="J715" s="36"/>
      <c r="K715" s="36"/>
      <c r="L715" s="36"/>
      <c r="M715" s="36"/>
      <c r="N715" s="36"/>
      <c r="O715" s="36"/>
      <c r="P715" s="36"/>
      <c r="Q715" s="36"/>
      <c r="R715" s="36"/>
      <c r="S715" s="36"/>
      <c r="T715" s="36"/>
      <c r="U715" s="36"/>
      <c r="V715" s="36"/>
      <c r="W715" s="36"/>
      <c r="X715" s="36"/>
      <c r="Y715" s="36"/>
      <c r="Z715" s="36"/>
      <c r="AA715" s="36"/>
      <c r="AB715" s="36"/>
    </row>
    <row r="716" spans="1:28" ht="24" hidden="1" customHeight="1">
      <c r="A716" s="221" t="s">
        <v>1505</v>
      </c>
      <c r="B716" s="201">
        <v>2019</v>
      </c>
      <c r="C716" s="201" t="s">
        <v>507</v>
      </c>
      <c r="D716" s="202" t="s">
        <v>1506</v>
      </c>
      <c r="E716" s="201" t="s">
        <v>41</v>
      </c>
      <c r="F716" s="204" t="s">
        <v>1507</v>
      </c>
      <c r="G716" s="201" t="s">
        <v>43</v>
      </c>
      <c r="H716" s="201" t="s">
        <v>1490</v>
      </c>
      <c r="I716" s="35"/>
      <c r="J716" s="36"/>
      <c r="K716" s="36"/>
      <c r="L716" s="36"/>
      <c r="M716" s="36"/>
      <c r="N716" s="36"/>
      <c r="O716" s="36"/>
      <c r="P716" s="36"/>
      <c r="Q716" s="36"/>
      <c r="R716" s="36"/>
      <c r="S716" s="36"/>
      <c r="T716" s="36"/>
      <c r="U716" s="36"/>
      <c r="V716" s="36"/>
      <c r="W716" s="36"/>
      <c r="X716" s="36"/>
      <c r="Y716" s="36"/>
      <c r="Z716" s="36"/>
      <c r="AA716" s="36"/>
      <c r="AB716" s="36"/>
    </row>
    <row r="717" spans="1:28" ht="36" hidden="1" customHeight="1">
      <c r="A717" s="207" t="s">
        <v>1508</v>
      </c>
      <c r="B717" s="117">
        <v>2003</v>
      </c>
      <c r="C717" s="117" t="s">
        <v>507</v>
      </c>
      <c r="D717" s="195" t="s">
        <v>1509</v>
      </c>
      <c r="E717" s="117" t="s">
        <v>41</v>
      </c>
      <c r="F717" s="206" t="s">
        <v>97</v>
      </c>
      <c r="G717" s="117" t="s">
        <v>43</v>
      </c>
      <c r="H717" s="117" t="s">
        <v>1490</v>
      </c>
      <c r="I717" s="35"/>
      <c r="J717" s="36"/>
      <c r="K717" s="36"/>
      <c r="L717" s="36"/>
      <c r="M717" s="36"/>
      <c r="N717" s="36"/>
      <c r="O717" s="36"/>
      <c r="P717" s="36"/>
      <c r="Q717" s="36"/>
      <c r="R717" s="36"/>
      <c r="S717" s="36"/>
      <c r="T717" s="36"/>
      <c r="U717" s="36"/>
      <c r="V717" s="36"/>
      <c r="W717" s="36"/>
      <c r="X717" s="36"/>
      <c r="Y717" s="36"/>
      <c r="Z717" s="36"/>
      <c r="AA717" s="36"/>
      <c r="AB717" s="36"/>
    </row>
    <row r="718" spans="1:28" ht="24" hidden="1" customHeight="1">
      <c r="A718" s="207" t="s">
        <v>1510</v>
      </c>
      <c r="B718" s="117">
        <v>2004</v>
      </c>
      <c r="C718" s="117" t="s">
        <v>507</v>
      </c>
      <c r="D718" s="195" t="s">
        <v>1511</v>
      </c>
      <c r="E718" s="117" t="s">
        <v>41</v>
      </c>
      <c r="F718" s="206" t="s">
        <v>97</v>
      </c>
      <c r="G718" s="117" t="s">
        <v>43</v>
      </c>
      <c r="H718" s="117" t="s">
        <v>1490</v>
      </c>
      <c r="I718" s="35"/>
      <c r="J718" s="36"/>
      <c r="K718" s="36"/>
      <c r="L718" s="36"/>
      <c r="M718" s="36"/>
      <c r="N718" s="36"/>
      <c r="O718" s="36"/>
      <c r="P718" s="36"/>
      <c r="Q718" s="36"/>
      <c r="R718" s="36"/>
      <c r="S718" s="36"/>
      <c r="T718" s="36"/>
      <c r="U718" s="36"/>
      <c r="V718" s="36"/>
      <c r="W718" s="36"/>
      <c r="X718" s="36"/>
      <c r="Y718" s="36"/>
      <c r="Z718" s="36"/>
      <c r="AA718" s="36"/>
      <c r="AB718" s="36"/>
    </row>
    <row r="719" spans="1:28" ht="24" hidden="1" customHeight="1">
      <c r="A719" s="207" t="s">
        <v>1512</v>
      </c>
      <c r="B719" s="117">
        <v>2006</v>
      </c>
      <c r="C719" s="117" t="s">
        <v>507</v>
      </c>
      <c r="D719" s="195" t="s">
        <v>1513</v>
      </c>
      <c r="E719" s="117" t="s">
        <v>41</v>
      </c>
      <c r="F719" s="206" t="s">
        <v>97</v>
      </c>
      <c r="G719" s="117" t="s">
        <v>43</v>
      </c>
      <c r="H719" s="117" t="s">
        <v>1490</v>
      </c>
      <c r="I719" s="35"/>
      <c r="J719" s="36"/>
      <c r="K719" s="36"/>
      <c r="L719" s="36"/>
      <c r="M719" s="36"/>
      <c r="N719" s="36"/>
      <c r="O719" s="36"/>
      <c r="P719" s="36"/>
      <c r="Q719" s="36"/>
      <c r="R719" s="36"/>
      <c r="S719" s="36"/>
      <c r="T719" s="36"/>
      <c r="U719" s="36"/>
      <c r="V719" s="36"/>
      <c r="W719" s="36"/>
      <c r="X719" s="36"/>
      <c r="Y719" s="36"/>
      <c r="Z719" s="36"/>
      <c r="AA719" s="36"/>
      <c r="AB719" s="36"/>
    </row>
    <row r="720" spans="1:28" ht="204" hidden="1" customHeight="1">
      <c r="A720" s="207" t="s">
        <v>980</v>
      </c>
      <c r="B720" s="117">
        <v>2006</v>
      </c>
      <c r="C720" s="117" t="s">
        <v>507</v>
      </c>
      <c r="D720" s="195" t="s">
        <v>1514</v>
      </c>
      <c r="E720" s="117" t="s">
        <v>1515</v>
      </c>
      <c r="F720" s="195" t="s">
        <v>1516</v>
      </c>
      <c r="G720" s="117" t="s">
        <v>43</v>
      </c>
      <c r="H720" s="117" t="s">
        <v>1490</v>
      </c>
      <c r="I720" s="35"/>
      <c r="J720" s="36"/>
      <c r="K720" s="36"/>
      <c r="L720" s="36"/>
      <c r="M720" s="36"/>
      <c r="N720" s="36"/>
      <c r="O720" s="36"/>
      <c r="P720" s="36"/>
      <c r="Q720" s="36"/>
      <c r="R720" s="36"/>
      <c r="S720" s="36"/>
      <c r="T720" s="36"/>
      <c r="U720" s="36"/>
      <c r="V720" s="36"/>
      <c r="W720" s="36"/>
      <c r="X720" s="36"/>
      <c r="Y720" s="36"/>
      <c r="Z720" s="36"/>
      <c r="AA720" s="36"/>
      <c r="AB720" s="36"/>
    </row>
    <row r="721" spans="1:28" ht="24" hidden="1" customHeight="1">
      <c r="A721" s="207" t="s">
        <v>1517</v>
      </c>
      <c r="B721" s="117">
        <v>2008</v>
      </c>
      <c r="C721" s="117" t="s">
        <v>507</v>
      </c>
      <c r="D721" s="195" t="s">
        <v>51</v>
      </c>
      <c r="E721" s="117" t="s">
        <v>41</v>
      </c>
      <c r="F721" s="206" t="s">
        <v>97</v>
      </c>
      <c r="G721" s="117" t="s">
        <v>43</v>
      </c>
      <c r="H721" s="117" t="s">
        <v>1490</v>
      </c>
      <c r="I721" s="35"/>
      <c r="J721" s="36"/>
      <c r="K721" s="36"/>
      <c r="L721" s="36"/>
      <c r="M721" s="36"/>
      <c r="N721" s="36"/>
      <c r="O721" s="36"/>
      <c r="P721" s="36"/>
      <c r="Q721" s="36"/>
      <c r="R721" s="36"/>
      <c r="S721" s="36"/>
      <c r="T721" s="36"/>
      <c r="U721" s="36"/>
      <c r="V721" s="36"/>
      <c r="W721" s="36"/>
      <c r="X721" s="36"/>
      <c r="Y721" s="36"/>
      <c r="Z721" s="36"/>
      <c r="AA721" s="36"/>
      <c r="AB721" s="36"/>
    </row>
    <row r="722" spans="1:28" ht="48" hidden="1" customHeight="1">
      <c r="A722" s="207" t="s">
        <v>1518</v>
      </c>
      <c r="B722" s="117">
        <v>2009</v>
      </c>
      <c r="C722" s="117" t="s">
        <v>507</v>
      </c>
      <c r="D722" s="195" t="s">
        <v>1519</v>
      </c>
      <c r="E722" s="117" t="s">
        <v>41</v>
      </c>
      <c r="F722" s="206" t="s">
        <v>97</v>
      </c>
      <c r="G722" s="117" t="s">
        <v>43</v>
      </c>
      <c r="H722" s="117" t="s">
        <v>1490</v>
      </c>
      <c r="I722" s="35"/>
      <c r="J722" s="36"/>
      <c r="K722" s="36"/>
      <c r="L722" s="36"/>
      <c r="M722" s="36"/>
      <c r="N722" s="36"/>
      <c r="O722" s="36"/>
      <c r="P722" s="36"/>
      <c r="Q722" s="36"/>
      <c r="R722" s="36"/>
      <c r="S722" s="36"/>
      <c r="T722" s="36"/>
      <c r="U722" s="36"/>
      <c r="V722" s="36"/>
      <c r="W722" s="36"/>
      <c r="X722" s="36"/>
      <c r="Y722" s="36"/>
      <c r="Z722" s="36"/>
      <c r="AA722" s="36"/>
      <c r="AB722" s="36"/>
    </row>
    <row r="723" spans="1:28" ht="48" hidden="1" customHeight="1">
      <c r="A723" s="207" t="s">
        <v>1520</v>
      </c>
      <c r="B723" s="117">
        <v>2011</v>
      </c>
      <c r="C723" s="117" t="s">
        <v>507</v>
      </c>
      <c r="D723" s="195" t="s">
        <v>55</v>
      </c>
      <c r="E723" s="117" t="s">
        <v>41</v>
      </c>
      <c r="F723" s="206" t="s">
        <v>97</v>
      </c>
      <c r="G723" s="117" t="s">
        <v>43</v>
      </c>
      <c r="H723" s="117" t="s">
        <v>1490</v>
      </c>
      <c r="I723" s="35"/>
      <c r="J723" s="36"/>
      <c r="K723" s="36"/>
      <c r="L723" s="36"/>
      <c r="M723" s="36"/>
      <c r="N723" s="36"/>
      <c r="O723" s="36"/>
      <c r="P723" s="36"/>
      <c r="Q723" s="36"/>
      <c r="R723" s="36"/>
      <c r="S723" s="36"/>
      <c r="T723" s="36"/>
      <c r="U723" s="36"/>
      <c r="V723" s="36"/>
      <c r="W723" s="36"/>
      <c r="X723" s="36"/>
      <c r="Y723" s="36"/>
      <c r="Z723" s="36"/>
      <c r="AA723" s="36"/>
      <c r="AB723" s="36"/>
    </row>
    <row r="724" spans="1:28" ht="48" hidden="1" customHeight="1">
      <c r="A724" s="207" t="s">
        <v>1521</v>
      </c>
      <c r="B724" s="117">
        <v>2013</v>
      </c>
      <c r="C724" s="117" t="s">
        <v>507</v>
      </c>
      <c r="D724" s="195" t="s">
        <v>1522</v>
      </c>
      <c r="E724" s="117" t="s">
        <v>41</v>
      </c>
      <c r="F724" s="206" t="s">
        <v>97</v>
      </c>
      <c r="G724" s="117" t="s">
        <v>43</v>
      </c>
      <c r="H724" s="117" t="s">
        <v>1490</v>
      </c>
      <c r="I724" s="35"/>
      <c r="J724" s="36"/>
      <c r="K724" s="36"/>
      <c r="L724" s="36"/>
      <c r="M724" s="36"/>
      <c r="N724" s="36"/>
      <c r="O724" s="36"/>
      <c r="P724" s="36"/>
      <c r="Q724" s="36"/>
      <c r="R724" s="36"/>
      <c r="S724" s="36"/>
      <c r="T724" s="36"/>
      <c r="U724" s="36"/>
      <c r="V724" s="36"/>
      <c r="W724" s="36"/>
      <c r="X724" s="36"/>
      <c r="Y724" s="36"/>
      <c r="Z724" s="36"/>
      <c r="AA724" s="36"/>
      <c r="AB724" s="36"/>
    </row>
    <row r="725" spans="1:28" ht="36" hidden="1" customHeight="1">
      <c r="A725" s="207" t="s">
        <v>1523</v>
      </c>
      <c r="B725" s="117">
        <v>1978</v>
      </c>
      <c r="C725" s="117" t="s">
        <v>1524</v>
      </c>
      <c r="D725" s="195" t="s">
        <v>1525</v>
      </c>
      <c r="E725" s="117" t="s">
        <v>41</v>
      </c>
      <c r="F725" s="206" t="s">
        <v>97</v>
      </c>
      <c r="G725" s="117" t="s">
        <v>43</v>
      </c>
      <c r="H725" s="117" t="s">
        <v>1490</v>
      </c>
      <c r="I725" s="35"/>
      <c r="J725" s="36"/>
      <c r="K725" s="36"/>
      <c r="L725" s="36"/>
      <c r="M725" s="36"/>
      <c r="N725" s="36"/>
      <c r="O725" s="36"/>
      <c r="P725" s="36"/>
      <c r="Q725" s="36"/>
      <c r="R725" s="36"/>
      <c r="S725" s="36"/>
      <c r="T725" s="36"/>
      <c r="U725" s="36"/>
      <c r="V725" s="36"/>
      <c r="W725" s="36"/>
      <c r="X725" s="36"/>
      <c r="Y725" s="36"/>
      <c r="Z725" s="36"/>
      <c r="AA725" s="36"/>
      <c r="AB725" s="36"/>
    </row>
    <row r="726" spans="1:28" ht="24" hidden="1" customHeight="1">
      <c r="A726" s="207" t="s">
        <v>1526</v>
      </c>
      <c r="B726" s="117">
        <v>1985</v>
      </c>
      <c r="C726" s="117" t="s">
        <v>57</v>
      </c>
      <c r="D726" s="195" t="s">
        <v>1527</v>
      </c>
      <c r="E726" s="117" t="s">
        <v>41</v>
      </c>
      <c r="F726" s="206" t="s">
        <v>97</v>
      </c>
      <c r="G726" s="117" t="s">
        <v>43</v>
      </c>
      <c r="H726" s="117" t="s">
        <v>1490</v>
      </c>
      <c r="I726" s="35"/>
      <c r="J726" s="36"/>
      <c r="K726" s="36"/>
      <c r="L726" s="36"/>
      <c r="M726" s="36"/>
      <c r="N726" s="36"/>
      <c r="O726" s="36"/>
      <c r="P726" s="36"/>
      <c r="Q726" s="36"/>
      <c r="R726" s="36"/>
      <c r="S726" s="36"/>
      <c r="T726" s="36"/>
      <c r="U726" s="36"/>
      <c r="V726" s="36"/>
      <c r="W726" s="36"/>
      <c r="X726" s="36"/>
      <c r="Y726" s="36"/>
      <c r="Z726" s="36"/>
      <c r="AA726" s="36"/>
      <c r="AB726" s="36"/>
    </row>
    <row r="727" spans="1:28" ht="24" hidden="1" customHeight="1">
      <c r="A727" s="207" t="s">
        <v>390</v>
      </c>
      <c r="B727" s="117">
        <v>1994</v>
      </c>
      <c r="C727" s="117" t="s">
        <v>57</v>
      </c>
      <c r="D727" s="195" t="s">
        <v>1528</v>
      </c>
      <c r="E727" s="117" t="s">
        <v>41</v>
      </c>
      <c r="F727" s="206" t="s">
        <v>97</v>
      </c>
      <c r="G727" s="117" t="s">
        <v>43</v>
      </c>
      <c r="H727" s="117" t="s">
        <v>1490</v>
      </c>
      <c r="I727" s="35"/>
      <c r="J727" s="36"/>
      <c r="K727" s="36"/>
      <c r="L727" s="36"/>
      <c r="M727" s="36"/>
      <c r="N727" s="36"/>
      <c r="O727" s="36"/>
      <c r="P727" s="36"/>
      <c r="Q727" s="36"/>
      <c r="R727" s="36"/>
      <c r="S727" s="36"/>
      <c r="T727" s="36"/>
      <c r="U727" s="36"/>
      <c r="V727" s="36"/>
      <c r="W727" s="36"/>
      <c r="X727" s="36"/>
      <c r="Y727" s="36"/>
      <c r="Z727" s="36"/>
      <c r="AA727" s="36"/>
      <c r="AB727" s="36"/>
    </row>
    <row r="728" spans="1:28" ht="36" hidden="1" customHeight="1">
      <c r="A728" s="207" t="s">
        <v>1529</v>
      </c>
      <c r="B728" s="117">
        <v>1995</v>
      </c>
      <c r="C728" s="117" t="s">
        <v>57</v>
      </c>
      <c r="D728" s="195" t="s">
        <v>1530</v>
      </c>
      <c r="E728" s="117" t="s">
        <v>41</v>
      </c>
      <c r="F728" s="206" t="s">
        <v>97</v>
      </c>
      <c r="G728" s="117" t="s">
        <v>43</v>
      </c>
      <c r="H728" s="117" t="s">
        <v>1490</v>
      </c>
      <c r="I728" s="35"/>
      <c r="J728" s="36"/>
      <c r="K728" s="36"/>
      <c r="L728" s="36"/>
      <c r="M728" s="36"/>
      <c r="N728" s="36"/>
      <c r="O728" s="36"/>
      <c r="P728" s="36"/>
      <c r="Q728" s="36"/>
      <c r="R728" s="36"/>
      <c r="S728" s="36"/>
      <c r="T728" s="36"/>
      <c r="U728" s="36"/>
      <c r="V728" s="36"/>
      <c r="W728" s="36"/>
      <c r="X728" s="36"/>
      <c r="Y728" s="36"/>
      <c r="Z728" s="36"/>
      <c r="AA728" s="36"/>
      <c r="AB728" s="36"/>
    </row>
    <row r="729" spans="1:28" ht="36" hidden="1" customHeight="1">
      <c r="A729" s="207" t="s">
        <v>1531</v>
      </c>
      <c r="B729" s="117">
        <v>1995</v>
      </c>
      <c r="C729" s="117" t="s">
        <v>1524</v>
      </c>
      <c r="D729" s="195" t="s">
        <v>1532</v>
      </c>
      <c r="E729" s="117" t="s">
        <v>41</v>
      </c>
      <c r="F729" s="206" t="s">
        <v>97</v>
      </c>
      <c r="G729" s="117" t="s">
        <v>43</v>
      </c>
      <c r="H729" s="117" t="s">
        <v>1490</v>
      </c>
      <c r="I729" s="35"/>
      <c r="J729" s="36"/>
      <c r="K729" s="36"/>
      <c r="L729" s="36"/>
      <c r="M729" s="36"/>
      <c r="N729" s="36"/>
      <c r="O729" s="36"/>
      <c r="P729" s="36"/>
      <c r="Q729" s="36"/>
      <c r="R729" s="36"/>
      <c r="S729" s="36"/>
      <c r="T729" s="36"/>
      <c r="U729" s="36"/>
      <c r="V729" s="36"/>
      <c r="W729" s="36"/>
      <c r="X729" s="36"/>
      <c r="Y729" s="36"/>
      <c r="Z729" s="36"/>
      <c r="AA729" s="36"/>
      <c r="AB729" s="36"/>
    </row>
    <row r="730" spans="1:28" ht="24" hidden="1" customHeight="1">
      <c r="A730" s="207" t="s">
        <v>1533</v>
      </c>
      <c r="B730" s="117">
        <v>2001</v>
      </c>
      <c r="C730" s="117" t="s">
        <v>57</v>
      </c>
      <c r="D730" s="195" t="s">
        <v>1534</v>
      </c>
      <c r="E730" s="117" t="s">
        <v>41</v>
      </c>
      <c r="F730" s="206" t="s">
        <v>97</v>
      </c>
      <c r="G730" s="117" t="s">
        <v>43</v>
      </c>
      <c r="H730" s="117" t="s">
        <v>1490</v>
      </c>
      <c r="I730" s="35"/>
      <c r="J730" s="36"/>
      <c r="K730" s="36"/>
      <c r="L730" s="36"/>
      <c r="M730" s="36"/>
      <c r="N730" s="36"/>
      <c r="O730" s="36"/>
      <c r="P730" s="36"/>
      <c r="Q730" s="36"/>
      <c r="R730" s="36"/>
      <c r="S730" s="36"/>
      <c r="T730" s="36"/>
      <c r="U730" s="36"/>
      <c r="V730" s="36"/>
      <c r="W730" s="36"/>
      <c r="X730" s="36"/>
      <c r="Y730" s="36"/>
      <c r="Z730" s="36"/>
      <c r="AA730" s="36"/>
      <c r="AB730" s="36"/>
    </row>
    <row r="731" spans="1:28" ht="36" hidden="1" customHeight="1">
      <c r="A731" s="207" t="s">
        <v>1535</v>
      </c>
      <c r="B731" s="117">
        <v>2003</v>
      </c>
      <c r="C731" s="117" t="s">
        <v>61</v>
      </c>
      <c r="D731" s="195" t="s">
        <v>1536</v>
      </c>
      <c r="E731" s="117" t="s">
        <v>41</v>
      </c>
      <c r="F731" s="206" t="s">
        <v>97</v>
      </c>
      <c r="G731" s="117" t="s">
        <v>43</v>
      </c>
      <c r="H731" s="117" t="s">
        <v>1490</v>
      </c>
      <c r="I731" s="35"/>
      <c r="J731" s="36"/>
      <c r="K731" s="36"/>
      <c r="L731" s="36"/>
      <c r="M731" s="36"/>
      <c r="N731" s="36"/>
      <c r="O731" s="36"/>
      <c r="P731" s="36"/>
      <c r="Q731" s="36"/>
      <c r="R731" s="36"/>
      <c r="S731" s="36"/>
      <c r="T731" s="36"/>
      <c r="U731" s="36"/>
      <c r="V731" s="36"/>
      <c r="W731" s="36"/>
      <c r="X731" s="36"/>
      <c r="Y731" s="36"/>
      <c r="Z731" s="36"/>
      <c r="AA731" s="36"/>
      <c r="AB731" s="36"/>
    </row>
    <row r="732" spans="1:28" ht="24" hidden="1" customHeight="1">
      <c r="A732" s="207" t="s">
        <v>1537</v>
      </c>
      <c r="B732" s="117">
        <v>2003</v>
      </c>
      <c r="C732" s="117" t="s">
        <v>57</v>
      </c>
      <c r="D732" s="195" t="s">
        <v>1538</v>
      </c>
      <c r="E732" s="117" t="s">
        <v>41</v>
      </c>
      <c r="F732" s="206" t="s">
        <v>97</v>
      </c>
      <c r="G732" s="117" t="s">
        <v>43</v>
      </c>
      <c r="H732" s="117" t="s">
        <v>1490</v>
      </c>
      <c r="I732" s="240"/>
      <c r="J732" s="241"/>
      <c r="K732" s="36"/>
      <c r="L732" s="36"/>
      <c r="M732" s="36"/>
      <c r="N732" s="36"/>
      <c r="O732" s="36"/>
      <c r="P732" s="36"/>
      <c r="Q732" s="36"/>
      <c r="R732" s="36"/>
      <c r="S732" s="36"/>
      <c r="T732" s="36"/>
      <c r="U732" s="36"/>
      <c r="V732" s="36"/>
      <c r="W732" s="36"/>
      <c r="X732" s="36"/>
      <c r="Y732" s="36"/>
      <c r="Z732" s="36"/>
      <c r="AA732" s="36"/>
      <c r="AB732" s="36"/>
    </row>
    <row r="733" spans="1:28" ht="24" hidden="1" customHeight="1">
      <c r="A733" s="207" t="s">
        <v>1539</v>
      </c>
      <c r="B733" s="117">
        <v>2006</v>
      </c>
      <c r="C733" s="117" t="s">
        <v>61</v>
      </c>
      <c r="D733" s="195" t="s">
        <v>1540</v>
      </c>
      <c r="E733" s="117" t="s">
        <v>41</v>
      </c>
      <c r="F733" s="206" t="s">
        <v>97</v>
      </c>
      <c r="G733" s="117" t="s">
        <v>43</v>
      </c>
      <c r="H733" s="117" t="s">
        <v>1490</v>
      </c>
      <c r="I733" s="35"/>
      <c r="J733" s="242"/>
      <c r="K733" s="36"/>
      <c r="L733" s="36"/>
      <c r="M733" s="36"/>
      <c r="N733" s="36"/>
      <c r="O733" s="36"/>
      <c r="P733" s="36"/>
      <c r="Q733" s="36"/>
      <c r="R733" s="36"/>
      <c r="S733" s="36"/>
      <c r="T733" s="36"/>
      <c r="U733" s="36"/>
      <c r="V733" s="36"/>
      <c r="W733" s="36"/>
      <c r="X733" s="36"/>
      <c r="Y733" s="36"/>
      <c r="Z733" s="36"/>
      <c r="AA733" s="36"/>
      <c r="AB733" s="36"/>
    </row>
    <row r="734" spans="1:28" ht="36" hidden="1" customHeight="1">
      <c r="A734" s="207" t="s">
        <v>1541</v>
      </c>
      <c r="B734" s="117">
        <v>2007</v>
      </c>
      <c r="C734" s="117" t="s">
        <v>61</v>
      </c>
      <c r="D734" s="195" t="s">
        <v>1542</v>
      </c>
      <c r="E734" s="117" t="s">
        <v>41</v>
      </c>
      <c r="F734" s="206" t="s">
        <v>97</v>
      </c>
      <c r="G734" s="117" t="s">
        <v>43</v>
      </c>
      <c r="H734" s="117" t="s">
        <v>1490</v>
      </c>
      <c r="I734" s="243"/>
      <c r="J734" s="241"/>
      <c r="K734" s="36"/>
      <c r="L734" s="36"/>
      <c r="M734" s="36"/>
      <c r="N734" s="36"/>
      <c r="O734" s="36"/>
      <c r="P734" s="36"/>
      <c r="Q734" s="36"/>
      <c r="R734" s="36"/>
      <c r="S734" s="36"/>
      <c r="T734" s="36"/>
      <c r="U734" s="36"/>
      <c r="V734" s="36"/>
      <c r="W734" s="36"/>
      <c r="X734" s="36"/>
      <c r="Y734" s="36"/>
      <c r="Z734" s="36"/>
      <c r="AA734" s="36"/>
      <c r="AB734" s="36"/>
    </row>
    <row r="735" spans="1:28" ht="24" hidden="1" customHeight="1">
      <c r="A735" s="207" t="s">
        <v>1543</v>
      </c>
      <c r="B735" s="117">
        <v>2008</v>
      </c>
      <c r="C735" s="117" t="s">
        <v>61</v>
      </c>
      <c r="D735" s="195" t="s">
        <v>1544</v>
      </c>
      <c r="E735" s="117" t="s">
        <v>41</v>
      </c>
      <c r="F735" s="206" t="s">
        <v>97</v>
      </c>
      <c r="G735" s="117" t="s">
        <v>43</v>
      </c>
      <c r="H735" s="117" t="s">
        <v>1490</v>
      </c>
      <c r="I735" s="240"/>
      <c r="J735" s="241"/>
      <c r="K735" s="36"/>
      <c r="L735" s="36"/>
      <c r="M735" s="36"/>
      <c r="N735" s="36"/>
      <c r="O735" s="36"/>
      <c r="P735" s="36"/>
      <c r="Q735" s="36"/>
      <c r="R735" s="36"/>
      <c r="S735" s="36"/>
      <c r="T735" s="36"/>
      <c r="U735" s="36"/>
      <c r="V735" s="36"/>
      <c r="W735" s="36"/>
      <c r="X735" s="36"/>
      <c r="Y735" s="36"/>
      <c r="Z735" s="36"/>
      <c r="AA735" s="36"/>
      <c r="AB735" s="36"/>
    </row>
    <row r="736" spans="1:28" ht="36" hidden="1" customHeight="1">
      <c r="A736" s="207" t="s">
        <v>1545</v>
      </c>
      <c r="B736" s="117">
        <v>2008</v>
      </c>
      <c r="C736" s="117" t="s">
        <v>1546</v>
      </c>
      <c r="D736" s="195" t="s">
        <v>1547</v>
      </c>
      <c r="E736" s="117" t="s">
        <v>41</v>
      </c>
      <c r="F736" s="206" t="s">
        <v>97</v>
      </c>
      <c r="G736" s="117" t="s">
        <v>43</v>
      </c>
      <c r="H736" s="117" t="s">
        <v>1490</v>
      </c>
      <c r="I736" s="35"/>
      <c r="J736" s="36"/>
      <c r="K736" s="36"/>
      <c r="L736" s="36"/>
      <c r="M736" s="36"/>
      <c r="N736" s="36"/>
      <c r="O736" s="36"/>
      <c r="P736" s="36"/>
      <c r="Q736" s="36"/>
      <c r="R736" s="36"/>
      <c r="S736" s="36"/>
      <c r="T736" s="36"/>
      <c r="U736" s="36"/>
      <c r="V736" s="36"/>
      <c r="W736" s="36"/>
      <c r="X736" s="36"/>
      <c r="Y736" s="36"/>
      <c r="Z736" s="36"/>
      <c r="AA736" s="36"/>
      <c r="AB736" s="36"/>
    </row>
    <row r="737" spans="1:28" ht="72" hidden="1" customHeight="1">
      <c r="A737" s="207" t="s">
        <v>1548</v>
      </c>
      <c r="B737" s="117">
        <v>2013</v>
      </c>
      <c r="C737" s="117" t="s">
        <v>61</v>
      </c>
      <c r="D737" s="195" t="s">
        <v>1549</v>
      </c>
      <c r="E737" s="117" t="s">
        <v>41</v>
      </c>
      <c r="F737" s="206" t="s">
        <v>97</v>
      </c>
      <c r="G737" s="117" t="s">
        <v>43</v>
      </c>
      <c r="H737" s="117" t="s">
        <v>1490</v>
      </c>
      <c r="I737" s="35"/>
      <c r="J737" s="36"/>
      <c r="K737" s="36"/>
      <c r="L737" s="36"/>
      <c r="M737" s="36"/>
      <c r="N737" s="36"/>
      <c r="O737" s="36"/>
      <c r="P737" s="241"/>
      <c r="Q737" s="36"/>
      <c r="R737" s="241"/>
      <c r="S737" s="36"/>
      <c r="T737" s="36"/>
      <c r="U737" s="36"/>
      <c r="V737" s="36"/>
      <c r="W737" s="36"/>
      <c r="X737" s="36"/>
      <c r="Y737" s="36"/>
      <c r="Z737" s="36"/>
      <c r="AA737" s="36"/>
      <c r="AB737" s="36"/>
    </row>
    <row r="738" spans="1:28" ht="24" hidden="1" customHeight="1">
      <c r="A738" s="207" t="s">
        <v>1248</v>
      </c>
      <c r="B738" s="117">
        <v>2015</v>
      </c>
      <c r="C738" s="117" t="s">
        <v>61</v>
      </c>
      <c r="D738" s="195" t="s">
        <v>88</v>
      </c>
      <c r="E738" s="117" t="s">
        <v>41</v>
      </c>
      <c r="F738" s="206" t="s">
        <v>97</v>
      </c>
      <c r="G738" s="117" t="s">
        <v>43</v>
      </c>
      <c r="H738" s="117" t="s">
        <v>1490</v>
      </c>
      <c r="I738" s="35"/>
      <c r="J738" s="36"/>
      <c r="K738" s="36"/>
      <c r="L738" s="36"/>
      <c r="M738" s="36"/>
      <c r="N738" s="36"/>
      <c r="O738" s="36"/>
      <c r="P738" s="36"/>
      <c r="Q738" s="36"/>
      <c r="R738" s="36"/>
      <c r="S738" s="36"/>
      <c r="T738" s="36"/>
      <c r="U738" s="36"/>
      <c r="V738" s="36"/>
      <c r="W738" s="36"/>
      <c r="X738" s="36"/>
      <c r="Y738" s="36"/>
      <c r="Z738" s="36"/>
      <c r="AA738" s="36"/>
      <c r="AB738" s="36"/>
    </row>
    <row r="739" spans="1:28" ht="24" hidden="1" customHeight="1">
      <c r="A739" s="207" t="s">
        <v>1550</v>
      </c>
      <c r="B739" s="117">
        <v>2015</v>
      </c>
      <c r="C739" s="117" t="s">
        <v>57</v>
      </c>
      <c r="D739" s="195" t="s">
        <v>1551</v>
      </c>
      <c r="E739" s="117" t="s">
        <v>41</v>
      </c>
      <c r="F739" s="206" t="s">
        <v>97</v>
      </c>
      <c r="G739" s="117" t="s">
        <v>43</v>
      </c>
      <c r="H739" s="117" t="s">
        <v>1490</v>
      </c>
      <c r="I739" s="35"/>
      <c r="J739" s="36"/>
      <c r="K739" s="36"/>
      <c r="L739" s="36"/>
      <c r="M739" s="36"/>
      <c r="N739" s="36"/>
      <c r="O739" s="36"/>
      <c r="P739" s="36"/>
      <c r="Q739" s="36"/>
      <c r="R739" s="36"/>
      <c r="S739" s="36"/>
      <c r="T739" s="36"/>
      <c r="U739" s="36"/>
      <c r="V739" s="36"/>
      <c r="W739" s="36"/>
      <c r="X739" s="36"/>
      <c r="Y739" s="36"/>
      <c r="Z739" s="36"/>
      <c r="AA739" s="36"/>
      <c r="AB739" s="36"/>
    </row>
    <row r="740" spans="1:28" ht="84" hidden="1" customHeight="1">
      <c r="A740" s="207" t="s">
        <v>1426</v>
      </c>
      <c r="B740" s="117">
        <v>2016</v>
      </c>
      <c r="C740" s="117" t="s">
        <v>61</v>
      </c>
      <c r="D740" s="195" t="s">
        <v>1552</v>
      </c>
      <c r="E740" s="117" t="s">
        <v>41</v>
      </c>
      <c r="F740" s="206" t="s">
        <v>97</v>
      </c>
      <c r="G740" s="117" t="s">
        <v>43</v>
      </c>
      <c r="H740" s="117" t="s">
        <v>1490</v>
      </c>
      <c r="I740" s="35"/>
      <c r="J740" s="36"/>
      <c r="K740" s="36"/>
      <c r="L740" s="36"/>
      <c r="M740" s="36"/>
      <c r="N740" s="36"/>
      <c r="O740" s="36"/>
      <c r="P740" s="36"/>
      <c r="Q740" s="36"/>
      <c r="R740" s="36"/>
      <c r="S740" s="36"/>
      <c r="T740" s="36"/>
      <c r="U740" s="36"/>
      <c r="V740" s="36"/>
      <c r="W740" s="36"/>
      <c r="X740" s="36"/>
      <c r="Y740" s="36"/>
      <c r="Z740" s="36"/>
      <c r="AA740" s="36"/>
      <c r="AB740" s="36"/>
    </row>
    <row r="741" spans="1:28" ht="72" hidden="1" customHeight="1">
      <c r="A741" s="207" t="s">
        <v>1553</v>
      </c>
      <c r="B741" s="117">
        <v>2016</v>
      </c>
      <c r="C741" s="117" t="s">
        <v>57</v>
      </c>
      <c r="D741" s="195" t="s">
        <v>1554</v>
      </c>
      <c r="E741" s="117" t="s">
        <v>41</v>
      </c>
      <c r="F741" s="206" t="s">
        <v>97</v>
      </c>
      <c r="G741" s="117" t="s">
        <v>43</v>
      </c>
      <c r="H741" s="117" t="s">
        <v>1490</v>
      </c>
      <c r="I741" s="35"/>
      <c r="J741" s="36"/>
      <c r="K741" s="36"/>
      <c r="L741" s="36"/>
      <c r="M741" s="36"/>
      <c r="N741" s="36"/>
      <c r="O741" s="36"/>
      <c r="P741" s="36"/>
      <c r="Q741" s="36"/>
      <c r="R741" s="36"/>
      <c r="S741" s="36"/>
      <c r="T741" s="36"/>
      <c r="U741" s="36"/>
      <c r="V741" s="36"/>
      <c r="W741" s="36"/>
      <c r="X741" s="36"/>
      <c r="Y741" s="36"/>
      <c r="Z741" s="36"/>
      <c r="AA741" s="36"/>
      <c r="AB741" s="36"/>
    </row>
    <row r="742" spans="1:28" ht="24" hidden="1" customHeight="1">
      <c r="A742" s="207" t="s">
        <v>1555</v>
      </c>
      <c r="B742" s="117">
        <v>2017</v>
      </c>
      <c r="C742" s="117" t="s">
        <v>61</v>
      </c>
      <c r="D742" s="195" t="s">
        <v>1556</v>
      </c>
      <c r="E742" s="117" t="s">
        <v>41</v>
      </c>
      <c r="F742" s="206" t="s">
        <v>97</v>
      </c>
      <c r="G742" s="117" t="s">
        <v>43</v>
      </c>
      <c r="H742" s="117" t="s">
        <v>1490</v>
      </c>
      <c r="I742" s="35"/>
      <c r="J742" s="36"/>
      <c r="K742" s="36"/>
      <c r="L742" s="36"/>
      <c r="M742" s="36"/>
      <c r="N742" s="36"/>
      <c r="O742" s="36"/>
      <c r="P742" s="36"/>
      <c r="Q742" s="36"/>
      <c r="R742" s="36"/>
      <c r="S742" s="36"/>
      <c r="T742" s="36"/>
      <c r="U742" s="36"/>
      <c r="V742" s="36"/>
      <c r="W742" s="36"/>
      <c r="X742" s="36"/>
      <c r="Y742" s="36"/>
      <c r="Z742" s="36"/>
      <c r="AA742" s="36"/>
      <c r="AB742" s="36"/>
    </row>
    <row r="743" spans="1:28" ht="36" hidden="1" customHeight="1">
      <c r="A743" s="207" t="s">
        <v>1557</v>
      </c>
      <c r="B743" s="117">
        <v>2015</v>
      </c>
      <c r="C743" s="117" t="s">
        <v>1558</v>
      </c>
      <c r="D743" s="195" t="s">
        <v>1559</v>
      </c>
      <c r="E743" s="117" t="s">
        <v>41</v>
      </c>
      <c r="F743" s="206" t="s">
        <v>97</v>
      </c>
      <c r="G743" s="117" t="s">
        <v>43</v>
      </c>
      <c r="H743" s="117" t="s">
        <v>1490</v>
      </c>
      <c r="I743" s="35"/>
      <c r="J743" s="36"/>
      <c r="K743" s="36"/>
      <c r="L743" s="36"/>
      <c r="M743" s="36"/>
      <c r="N743" s="36"/>
      <c r="O743" s="36"/>
      <c r="P743" s="36"/>
      <c r="Q743" s="36"/>
      <c r="R743" s="36"/>
      <c r="S743" s="36"/>
      <c r="T743" s="36"/>
      <c r="U743" s="36"/>
      <c r="V743" s="36"/>
      <c r="W743" s="36"/>
      <c r="X743" s="36"/>
      <c r="Y743" s="36"/>
      <c r="Z743" s="36"/>
      <c r="AA743" s="36"/>
      <c r="AB743" s="36"/>
    </row>
    <row r="744" spans="1:28" ht="48" hidden="1" customHeight="1">
      <c r="A744" s="207" t="s">
        <v>1560</v>
      </c>
      <c r="B744" s="117">
        <v>2015</v>
      </c>
      <c r="C744" s="117" t="s">
        <v>1558</v>
      </c>
      <c r="D744" s="195" t="s">
        <v>1561</v>
      </c>
      <c r="E744" s="117" t="s">
        <v>41</v>
      </c>
      <c r="F744" s="206" t="s">
        <v>97</v>
      </c>
      <c r="G744" s="117" t="s">
        <v>43</v>
      </c>
      <c r="H744" s="117" t="s">
        <v>1490</v>
      </c>
      <c r="I744" s="35"/>
      <c r="J744" s="36"/>
      <c r="K744" s="36"/>
      <c r="L744" s="36"/>
      <c r="M744" s="36"/>
      <c r="N744" s="36"/>
      <c r="O744" s="36"/>
      <c r="P744" s="36"/>
      <c r="Q744" s="36"/>
      <c r="R744" s="36"/>
      <c r="S744" s="36"/>
      <c r="T744" s="36"/>
      <c r="U744" s="36"/>
      <c r="V744" s="36"/>
      <c r="W744" s="36"/>
      <c r="X744" s="36"/>
      <c r="Y744" s="36"/>
      <c r="Z744" s="36"/>
      <c r="AA744" s="36"/>
      <c r="AB744" s="36"/>
    </row>
    <row r="745" spans="1:28" ht="36" hidden="1" customHeight="1">
      <c r="A745" s="208" t="s">
        <v>1562</v>
      </c>
      <c r="B745" s="117">
        <v>2018</v>
      </c>
      <c r="C745" s="117" t="s">
        <v>1558</v>
      </c>
      <c r="D745" s="195" t="s">
        <v>1563</v>
      </c>
      <c r="E745" s="117" t="s">
        <v>41</v>
      </c>
      <c r="F745" s="206" t="s">
        <v>97</v>
      </c>
      <c r="G745" s="117" t="s">
        <v>43</v>
      </c>
      <c r="H745" s="117" t="s">
        <v>1490</v>
      </c>
      <c r="I745" s="35"/>
      <c r="J745" s="36"/>
      <c r="K745" s="36"/>
      <c r="L745" s="36"/>
      <c r="M745" s="36"/>
      <c r="N745" s="36"/>
      <c r="O745" s="36"/>
      <c r="P745" s="36"/>
      <c r="Q745" s="36"/>
      <c r="R745" s="36"/>
      <c r="S745" s="36"/>
      <c r="T745" s="36"/>
      <c r="U745" s="36"/>
      <c r="V745" s="36"/>
      <c r="W745" s="36"/>
      <c r="X745" s="36"/>
      <c r="Y745" s="36"/>
      <c r="Z745" s="36"/>
      <c r="AA745" s="36"/>
      <c r="AB745" s="36"/>
    </row>
    <row r="746" spans="1:28" ht="48" hidden="1" customHeight="1">
      <c r="A746" s="207" t="s">
        <v>1564</v>
      </c>
      <c r="B746" s="198">
        <v>2018</v>
      </c>
      <c r="C746" s="117" t="s">
        <v>1558</v>
      </c>
      <c r="D746" s="195" t="s">
        <v>1565</v>
      </c>
      <c r="E746" s="117" t="s">
        <v>41</v>
      </c>
      <c r="F746" s="206" t="s">
        <v>97</v>
      </c>
      <c r="G746" s="117" t="s">
        <v>43</v>
      </c>
      <c r="H746" s="117" t="s">
        <v>1490</v>
      </c>
      <c r="I746" s="35"/>
      <c r="J746" s="36"/>
      <c r="K746" s="36"/>
      <c r="L746" s="36"/>
      <c r="M746" s="36"/>
      <c r="N746" s="36"/>
      <c r="O746" s="36"/>
      <c r="P746" s="36"/>
      <c r="Q746" s="36"/>
      <c r="R746" s="36"/>
      <c r="S746" s="36"/>
      <c r="T746" s="36"/>
      <c r="U746" s="36"/>
      <c r="V746" s="36"/>
      <c r="W746" s="36"/>
      <c r="X746" s="36"/>
      <c r="Y746" s="36"/>
      <c r="Z746" s="36"/>
      <c r="AA746" s="36"/>
      <c r="AB746" s="36"/>
    </row>
    <row r="747" spans="1:28" ht="24" hidden="1" customHeight="1">
      <c r="A747" s="199" t="s">
        <v>243</v>
      </c>
      <c r="B747" s="198">
        <v>1978</v>
      </c>
      <c r="C747" s="117" t="s">
        <v>195</v>
      </c>
      <c r="D747" s="195" t="s">
        <v>1566</v>
      </c>
      <c r="E747" s="117" t="s">
        <v>41</v>
      </c>
      <c r="F747" s="206" t="s">
        <v>97</v>
      </c>
      <c r="G747" s="117" t="s">
        <v>43</v>
      </c>
      <c r="H747" s="117" t="s">
        <v>1490</v>
      </c>
      <c r="I747" s="35"/>
      <c r="J747" s="36"/>
      <c r="K747" s="36"/>
      <c r="L747" s="36"/>
      <c r="M747" s="36"/>
      <c r="N747" s="36"/>
      <c r="O747" s="36"/>
      <c r="P747" s="36"/>
      <c r="Q747" s="36"/>
      <c r="R747" s="36"/>
      <c r="S747" s="36"/>
      <c r="T747" s="36"/>
      <c r="U747" s="36"/>
      <c r="V747" s="36"/>
      <c r="W747" s="36"/>
      <c r="X747" s="36"/>
      <c r="Y747" s="36"/>
      <c r="Z747" s="36"/>
      <c r="AA747" s="36"/>
      <c r="AB747" s="36"/>
    </row>
    <row r="748" spans="1:28" ht="24" hidden="1" customHeight="1">
      <c r="A748" s="199" t="s">
        <v>1567</v>
      </c>
      <c r="B748" s="198">
        <v>2003</v>
      </c>
      <c r="C748" s="117" t="s">
        <v>195</v>
      </c>
      <c r="D748" s="195" t="s">
        <v>1568</v>
      </c>
      <c r="E748" s="117" t="s">
        <v>41</v>
      </c>
      <c r="F748" s="206" t="s">
        <v>97</v>
      </c>
      <c r="G748" s="117" t="s">
        <v>43</v>
      </c>
      <c r="H748" s="117" t="s">
        <v>1490</v>
      </c>
      <c r="I748" s="35"/>
      <c r="J748" s="36"/>
      <c r="K748" s="36"/>
      <c r="L748" s="36"/>
      <c r="M748" s="36"/>
      <c r="N748" s="36"/>
      <c r="O748" s="36"/>
      <c r="P748" s="36"/>
      <c r="Q748" s="36"/>
      <c r="R748" s="36"/>
      <c r="S748" s="36"/>
      <c r="T748" s="36"/>
      <c r="U748" s="36"/>
      <c r="V748" s="36"/>
      <c r="W748" s="36"/>
      <c r="X748" s="36"/>
      <c r="Y748" s="36"/>
      <c r="Z748" s="36"/>
      <c r="AA748" s="36"/>
      <c r="AB748" s="36"/>
    </row>
    <row r="749" spans="1:28" ht="36" hidden="1" customHeight="1">
      <c r="A749" s="199" t="s">
        <v>1569</v>
      </c>
      <c r="B749" s="198">
        <v>2005</v>
      </c>
      <c r="C749" s="117" t="s">
        <v>195</v>
      </c>
      <c r="D749" s="195" t="s">
        <v>1570</v>
      </c>
      <c r="E749" s="117" t="s">
        <v>41</v>
      </c>
      <c r="F749" s="206" t="s">
        <v>97</v>
      </c>
      <c r="G749" s="117" t="s">
        <v>43</v>
      </c>
      <c r="H749" s="117" t="s">
        <v>1490</v>
      </c>
      <c r="I749" s="35"/>
      <c r="J749" s="36"/>
      <c r="K749" s="36"/>
      <c r="L749" s="36"/>
      <c r="M749" s="36"/>
      <c r="N749" s="36"/>
      <c r="O749" s="36"/>
      <c r="P749" s="36"/>
      <c r="Q749" s="36"/>
      <c r="R749" s="36"/>
      <c r="S749" s="36"/>
      <c r="T749" s="36"/>
      <c r="U749" s="36"/>
      <c r="V749" s="36"/>
      <c r="W749" s="36"/>
      <c r="X749" s="36"/>
      <c r="Y749" s="36"/>
      <c r="Z749" s="36"/>
      <c r="AA749" s="36"/>
      <c r="AB749" s="36"/>
    </row>
    <row r="750" spans="1:28" ht="48" hidden="1" customHeight="1">
      <c r="A750" s="199" t="s">
        <v>1571</v>
      </c>
      <c r="B750" s="198">
        <v>2012</v>
      </c>
      <c r="C750" s="117" t="s">
        <v>195</v>
      </c>
      <c r="D750" s="195" t="s">
        <v>1572</v>
      </c>
      <c r="E750" s="117" t="s">
        <v>41</v>
      </c>
      <c r="F750" s="117" t="s">
        <v>41</v>
      </c>
      <c r="G750" s="117" t="s">
        <v>43</v>
      </c>
      <c r="H750" s="117" t="s">
        <v>1490</v>
      </c>
      <c r="I750" s="35"/>
      <c r="J750" s="36"/>
      <c r="K750" s="36"/>
      <c r="L750" s="36"/>
      <c r="M750" s="36"/>
      <c r="N750" s="36"/>
      <c r="O750" s="36"/>
      <c r="P750" s="36"/>
      <c r="Q750" s="36"/>
      <c r="R750" s="36"/>
      <c r="S750" s="36"/>
      <c r="T750" s="36"/>
      <c r="U750" s="36"/>
      <c r="V750" s="36"/>
      <c r="W750" s="36"/>
      <c r="X750" s="36"/>
      <c r="Y750" s="36"/>
      <c r="Z750" s="36"/>
      <c r="AA750" s="36"/>
      <c r="AB750" s="36"/>
    </row>
    <row r="751" spans="1:28" ht="36" hidden="1" customHeight="1">
      <c r="A751" s="205" t="s">
        <v>1573</v>
      </c>
      <c r="B751" s="117">
        <v>1991</v>
      </c>
      <c r="C751" s="117" t="s">
        <v>1574</v>
      </c>
      <c r="D751" s="195" t="s">
        <v>1575</v>
      </c>
      <c r="E751" s="117" t="s">
        <v>41</v>
      </c>
      <c r="F751" s="117" t="s">
        <v>41</v>
      </c>
      <c r="G751" s="117" t="s">
        <v>43</v>
      </c>
      <c r="H751" s="117" t="s">
        <v>1490</v>
      </c>
      <c r="I751" s="35"/>
      <c r="J751" s="36"/>
      <c r="K751" s="36"/>
      <c r="L751" s="36"/>
      <c r="M751" s="36"/>
      <c r="N751" s="36"/>
      <c r="O751" s="36"/>
      <c r="P751" s="36"/>
      <c r="Q751" s="36"/>
      <c r="R751" s="36"/>
      <c r="S751" s="36"/>
      <c r="T751" s="36"/>
      <c r="U751" s="36"/>
      <c r="V751" s="36"/>
      <c r="W751" s="36"/>
      <c r="X751" s="36"/>
      <c r="Y751" s="36"/>
      <c r="Z751" s="36"/>
      <c r="AA751" s="36"/>
      <c r="AB751" s="36"/>
    </row>
    <row r="752" spans="1:28" ht="24" hidden="1" customHeight="1">
      <c r="A752" s="207" t="s">
        <v>1576</v>
      </c>
      <c r="B752" s="117">
        <v>1991</v>
      </c>
      <c r="C752" s="117" t="s">
        <v>1574</v>
      </c>
      <c r="D752" s="195" t="s">
        <v>1577</v>
      </c>
      <c r="E752" s="117" t="s">
        <v>41</v>
      </c>
      <c r="F752" s="117" t="s">
        <v>41</v>
      </c>
      <c r="G752" s="117" t="s">
        <v>43</v>
      </c>
      <c r="H752" s="117" t="s">
        <v>1490</v>
      </c>
      <c r="I752" s="35"/>
      <c r="J752" s="36"/>
      <c r="K752" s="36"/>
      <c r="L752" s="36"/>
      <c r="M752" s="36"/>
      <c r="N752" s="36"/>
      <c r="O752" s="36"/>
      <c r="P752" s="36"/>
      <c r="Q752" s="36"/>
      <c r="R752" s="36"/>
      <c r="S752" s="36"/>
      <c r="T752" s="36"/>
      <c r="U752" s="36"/>
      <c r="V752" s="36"/>
      <c r="W752" s="36"/>
      <c r="X752" s="36"/>
      <c r="Y752" s="36"/>
      <c r="Z752" s="36"/>
      <c r="AA752" s="36"/>
      <c r="AB752" s="36"/>
    </row>
    <row r="753" spans="1:28" ht="36" hidden="1" customHeight="1">
      <c r="A753" s="207" t="s">
        <v>1578</v>
      </c>
      <c r="B753" s="117">
        <v>1993</v>
      </c>
      <c r="C753" s="117" t="s">
        <v>1579</v>
      </c>
      <c r="D753" s="195" t="s">
        <v>1580</v>
      </c>
      <c r="E753" s="117" t="s">
        <v>41</v>
      </c>
      <c r="F753" s="206" t="s">
        <v>97</v>
      </c>
      <c r="G753" s="117" t="s">
        <v>43</v>
      </c>
      <c r="H753" s="117" t="s">
        <v>1490</v>
      </c>
      <c r="I753" s="35"/>
      <c r="J753" s="36"/>
      <c r="K753" s="36"/>
      <c r="L753" s="36"/>
      <c r="M753" s="36"/>
      <c r="N753" s="36"/>
      <c r="O753" s="36"/>
      <c r="P753" s="36"/>
      <c r="Q753" s="36"/>
      <c r="R753" s="36"/>
      <c r="S753" s="36"/>
      <c r="T753" s="36"/>
      <c r="U753" s="36"/>
      <c r="V753" s="36"/>
      <c r="W753" s="36"/>
      <c r="X753" s="36"/>
      <c r="Y753" s="36"/>
      <c r="Z753" s="36"/>
      <c r="AA753" s="36"/>
      <c r="AB753" s="36"/>
    </row>
    <row r="754" spans="1:28" ht="24" hidden="1" customHeight="1">
      <c r="A754" s="207" t="s">
        <v>1581</v>
      </c>
      <c r="B754" s="117">
        <v>1996</v>
      </c>
      <c r="C754" s="117" t="s">
        <v>1524</v>
      </c>
      <c r="D754" s="195" t="s">
        <v>1582</v>
      </c>
      <c r="E754" s="117" t="s">
        <v>41</v>
      </c>
      <c r="F754" s="206" t="s">
        <v>97</v>
      </c>
      <c r="G754" s="117" t="s">
        <v>43</v>
      </c>
      <c r="H754" s="117" t="s">
        <v>1490</v>
      </c>
      <c r="I754" s="35"/>
      <c r="J754" s="36"/>
      <c r="K754" s="36"/>
      <c r="L754" s="36"/>
      <c r="M754" s="36"/>
      <c r="N754" s="36"/>
      <c r="O754" s="36"/>
      <c r="P754" s="36"/>
      <c r="Q754" s="36"/>
      <c r="R754" s="36"/>
      <c r="S754" s="36"/>
      <c r="T754" s="36"/>
      <c r="U754" s="36"/>
      <c r="V754" s="36"/>
      <c r="W754" s="36"/>
      <c r="X754" s="36"/>
      <c r="Y754" s="36"/>
      <c r="Z754" s="36"/>
      <c r="AA754" s="36"/>
      <c r="AB754" s="36"/>
    </row>
    <row r="755" spans="1:28" ht="24" hidden="1" customHeight="1">
      <c r="A755" s="207" t="s">
        <v>1583</v>
      </c>
      <c r="B755" s="117">
        <v>2002</v>
      </c>
      <c r="C755" s="117" t="s">
        <v>1584</v>
      </c>
      <c r="D755" s="195" t="s">
        <v>1585</v>
      </c>
      <c r="E755" s="117" t="s">
        <v>41</v>
      </c>
      <c r="F755" s="206" t="s">
        <v>97</v>
      </c>
      <c r="G755" s="117" t="s">
        <v>43</v>
      </c>
      <c r="H755" s="117" t="s">
        <v>1490</v>
      </c>
      <c r="I755" s="35"/>
      <c r="J755" s="36"/>
      <c r="K755" s="36"/>
      <c r="L755" s="36"/>
      <c r="M755" s="36"/>
      <c r="N755" s="36"/>
      <c r="O755" s="36"/>
      <c r="P755" s="36"/>
      <c r="Q755" s="36"/>
      <c r="R755" s="36"/>
      <c r="S755" s="36"/>
      <c r="T755" s="36"/>
      <c r="U755" s="36"/>
      <c r="V755" s="36"/>
      <c r="W755" s="36"/>
      <c r="X755" s="36"/>
      <c r="Y755" s="36"/>
      <c r="Z755" s="36"/>
      <c r="AA755" s="36"/>
      <c r="AB755" s="36"/>
    </row>
    <row r="756" spans="1:28" ht="36" hidden="1" customHeight="1">
      <c r="A756" s="207" t="s">
        <v>1586</v>
      </c>
      <c r="B756" s="117">
        <v>2009</v>
      </c>
      <c r="C756" s="197" t="s">
        <v>130</v>
      </c>
      <c r="D756" s="195" t="s">
        <v>1587</v>
      </c>
      <c r="E756" s="117" t="s">
        <v>41</v>
      </c>
      <c r="F756" s="206" t="s">
        <v>97</v>
      </c>
      <c r="G756" s="117" t="s">
        <v>43</v>
      </c>
      <c r="H756" s="117" t="s">
        <v>1490</v>
      </c>
      <c r="I756" s="35"/>
      <c r="J756" s="36"/>
      <c r="K756" s="36"/>
      <c r="L756" s="36"/>
      <c r="M756" s="36"/>
      <c r="N756" s="36"/>
      <c r="O756" s="36"/>
      <c r="P756" s="36"/>
      <c r="Q756" s="36"/>
      <c r="R756" s="36"/>
      <c r="S756" s="36"/>
      <c r="T756" s="36"/>
      <c r="U756" s="36"/>
      <c r="V756" s="36"/>
      <c r="W756" s="36"/>
      <c r="X756" s="36"/>
      <c r="Y756" s="36"/>
      <c r="Z756" s="36"/>
      <c r="AA756" s="36"/>
      <c r="AB756" s="36"/>
    </row>
    <row r="757" spans="1:28" ht="36" hidden="1" customHeight="1">
      <c r="A757" s="207" t="s">
        <v>1588</v>
      </c>
      <c r="B757" s="117">
        <v>2009</v>
      </c>
      <c r="C757" s="197" t="s">
        <v>130</v>
      </c>
      <c r="D757" s="195" t="s">
        <v>1589</v>
      </c>
      <c r="E757" s="117" t="s">
        <v>41</v>
      </c>
      <c r="F757" s="206" t="s">
        <v>97</v>
      </c>
      <c r="G757" s="117" t="s">
        <v>43</v>
      </c>
      <c r="H757" s="117" t="s">
        <v>1490</v>
      </c>
      <c r="I757" s="35"/>
      <c r="J757" s="36"/>
      <c r="K757" s="36"/>
      <c r="L757" s="36"/>
      <c r="M757" s="36"/>
      <c r="N757" s="36"/>
      <c r="O757" s="36"/>
      <c r="P757" s="36"/>
      <c r="Q757" s="36"/>
      <c r="R757" s="36"/>
      <c r="S757" s="36"/>
      <c r="T757" s="36"/>
      <c r="U757" s="36"/>
      <c r="V757" s="36"/>
      <c r="W757" s="36"/>
      <c r="X757" s="36"/>
      <c r="Y757" s="36"/>
      <c r="Z757" s="36"/>
      <c r="AA757" s="36"/>
      <c r="AB757" s="36"/>
    </row>
    <row r="758" spans="1:28" ht="48" hidden="1" customHeight="1">
      <c r="A758" s="207" t="s">
        <v>1590</v>
      </c>
      <c r="B758" s="117">
        <v>2013</v>
      </c>
      <c r="C758" s="197" t="s">
        <v>130</v>
      </c>
      <c r="D758" s="195" t="s">
        <v>1591</v>
      </c>
      <c r="E758" s="117" t="s">
        <v>41</v>
      </c>
      <c r="F758" s="206" t="s">
        <v>97</v>
      </c>
      <c r="G758" s="117" t="s">
        <v>43</v>
      </c>
      <c r="H758" s="117" t="s">
        <v>1490</v>
      </c>
      <c r="I758" s="35"/>
      <c r="J758" s="36"/>
      <c r="K758" s="36"/>
      <c r="L758" s="36"/>
      <c r="M758" s="36"/>
      <c r="N758" s="36"/>
      <c r="O758" s="36"/>
      <c r="P758" s="36"/>
      <c r="Q758" s="36"/>
      <c r="R758" s="36"/>
      <c r="S758" s="36"/>
      <c r="T758" s="36"/>
      <c r="U758" s="36"/>
      <c r="V758" s="36"/>
      <c r="W758" s="36"/>
      <c r="X758" s="36"/>
      <c r="Y758" s="36"/>
      <c r="Z758" s="36"/>
      <c r="AA758" s="36"/>
      <c r="AB758" s="36"/>
    </row>
    <row r="759" spans="1:28" ht="36" hidden="1" customHeight="1">
      <c r="A759" s="207" t="s">
        <v>1592</v>
      </c>
      <c r="B759" s="117">
        <v>2013</v>
      </c>
      <c r="C759" s="197" t="s">
        <v>130</v>
      </c>
      <c r="D759" s="195" t="s">
        <v>585</v>
      </c>
      <c r="E759" s="117" t="s">
        <v>41</v>
      </c>
      <c r="F759" s="206" t="s">
        <v>97</v>
      </c>
      <c r="G759" s="117" t="s">
        <v>43</v>
      </c>
      <c r="H759" s="117" t="s">
        <v>1490</v>
      </c>
      <c r="I759" s="35"/>
      <c r="J759" s="36"/>
      <c r="K759" s="36"/>
      <c r="L759" s="36"/>
      <c r="M759" s="36"/>
      <c r="N759" s="36"/>
      <c r="O759" s="36"/>
      <c r="P759" s="36"/>
      <c r="Q759" s="36"/>
      <c r="R759" s="36"/>
      <c r="S759" s="36"/>
      <c r="T759" s="36"/>
      <c r="U759" s="36"/>
      <c r="V759" s="36"/>
      <c r="W759" s="36"/>
      <c r="X759" s="36"/>
      <c r="Y759" s="36"/>
      <c r="Z759" s="36"/>
      <c r="AA759" s="36"/>
      <c r="AB759" s="36"/>
    </row>
    <row r="760" spans="1:28" ht="36" hidden="1" customHeight="1">
      <c r="A760" s="207" t="s">
        <v>1593</v>
      </c>
      <c r="B760" s="117">
        <v>2014</v>
      </c>
      <c r="C760" s="197" t="s">
        <v>130</v>
      </c>
      <c r="D760" s="195" t="s">
        <v>1594</v>
      </c>
      <c r="E760" s="117" t="s">
        <v>41</v>
      </c>
      <c r="F760" s="206" t="s">
        <v>97</v>
      </c>
      <c r="G760" s="117" t="s">
        <v>43</v>
      </c>
      <c r="H760" s="117" t="s">
        <v>1490</v>
      </c>
      <c r="I760" s="35"/>
      <c r="J760" s="36"/>
      <c r="K760" s="36"/>
      <c r="L760" s="36"/>
      <c r="M760" s="36"/>
      <c r="N760" s="36"/>
      <c r="O760" s="36"/>
      <c r="P760" s="36"/>
      <c r="Q760" s="36"/>
      <c r="R760" s="36"/>
      <c r="S760" s="36"/>
      <c r="T760" s="36"/>
      <c r="U760" s="36"/>
      <c r="V760" s="36"/>
      <c r="W760" s="36"/>
      <c r="X760" s="36"/>
      <c r="Y760" s="36"/>
      <c r="Z760" s="36"/>
      <c r="AA760" s="36"/>
      <c r="AB760" s="36"/>
    </row>
    <row r="761" spans="1:28" ht="36" hidden="1" customHeight="1">
      <c r="A761" s="207" t="s">
        <v>1595</v>
      </c>
      <c r="B761" s="117">
        <v>2014</v>
      </c>
      <c r="C761" s="117" t="s">
        <v>1596</v>
      </c>
      <c r="D761" s="195" t="s">
        <v>1597</v>
      </c>
      <c r="E761" s="117" t="s">
        <v>41</v>
      </c>
      <c r="F761" s="206" t="s">
        <v>97</v>
      </c>
      <c r="G761" s="117" t="s">
        <v>43</v>
      </c>
      <c r="H761" s="117" t="s">
        <v>1490</v>
      </c>
      <c r="I761" s="35"/>
      <c r="J761" s="36"/>
      <c r="K761" s="36"/>
      <c r="L761" s="36"/>
      <c r="M761" s="36"/>
      <c r="N761" s="36"/>
      <c r="O761" s="36"/>
      <c r="P761" s="36"/>
      <c r="Q761" s="36"/>
      <c r="R761" s="36"/>
      <c r="S761" s="36"/>
      <c r="T761" s="36"/>
      <c r="U761" s="36"/>
      <c r="V761" s="36"/>
      <c r="W761" s="36"/>
      <c r="X761" s="36"/>
      <c r="Y761" s="36"/>
      <c r="Z761" s="36"/>
      <c r="AA761" s="36"/>
      <c r="AB761" s="36"/>
    </row>
    <row r="762" spans="1:28" ht="48" hidden="1" customHeight="1">
      <c r="A762" s="207" t="s">
        <v>1598</v>
      </c>
      <c r="B762" s="117">
        <v>2015</v>
      </c>
      <c r="C762" s="197" t="s">
        <v>130</v>
      </c>
      <c r="D762" s="195" t="s">
        <v>157</v>
      </c>
      <c r="E762" s="117" t="s">
        <v>41</v>
      </c>
      <c r="F762" s="206" t="s">
        <v>97</v>
      </c>
      <c r="G762" s="117" t="s">
        <v>43</v>
      </c>
      <c r="H762" s="117" t="s">
        <v>1490</v>
      </c>
      <c r="I762" s="35"/>
      <c r="J762" s="36"/>
      <c r="K762" s="36"/>
      <c r="L762" s="36"/>
      <c r="M762" s="36"/>
      <c r="N762" s="36"/>
      <c r="O762" s="36"/>
      <c r="P762" s="36"/>
      <c r="Q762" s="36"/>
      <c r="R762" s="36"/>
      <c r="S762" s="36"/>
      <c r="T762" s="36"/>
      <c r="U762" s="36"/>
      <c r="V762" s="36"/>
      <c r="W762" s="36"/>
      <c r="X762" s="36"/>
      <c r="Y762" s="36"/>
      <c r="Z762" s="36"/>
      <c r="AA762" s="36"/>
      <c r="AB762" s="36"/>
    </row>
    <row r="763" spans="1:28" ht="36" hidden="1" customHeight="1">
      <c r="A763" s="207" t="s">
        <v>1599</v>
      </c>
      <c r="B763" s="117">
        <v>2015</v>
      </c>
      <c r="C763" s="197" t="s">
        <v>130</v>
      </c>
      <c r="D763" s="195" t="s">
        <v>1600</v>
      </c>
      <c r="E763" s="117" t="s">
        <v>41</v>
      </c>
      <c r="F763" s="206" t="s">
        <v>97</v>
      </c>
      <c r="G763" s="117" t="s">
        <v>43</v>
      </c>
      <c r="H763" s="117" t="s">
        <v>1490</v>
      </c>
      <c r="I763" s="35"/>
      <c r="J763" s="36"/>
      <c r="K763" s="36"/>
      <c r="L763" s="36"/>
      <c r="M763" s="36"/>
      <c r="N763" s="36"/>
      <c r="O763" s="36"/>
      <c r="P763" s="36"/>
      <c r="Q763" s="36"/>
      <c r="R763" s="36"/>
      <c r="S763" s="36"/>
      <c r="T763" s="36"/>
      <c r="U763" s="36"/>
      <c r="V763" s="36"/>
      <c r="W763" s="36"/>
      <c r="X763" s="36"/>
      <c r="Y763" s="36"/>
      <c r="Z763" s="36"/>
      <c r="AA763" s="36"/>
      <c r="AB763" s="36"/>
    </row>
    <row r="764" spans="1:28" ht="36" hidden="1" customHeight="1">
      <c r="A764" s="207" t="s">
        <v>1601</v>
      </c>
      <c r="B764" s="117">
        <v>2015</v>
      </c>
      <c r="C764" s="197" t="s">
        <v>130</v>
      </c>
      <c r="D764" s="195" t="s">
        <v>1602</v>
      </c>
      <c r="E764" s="117" t="s">
        <v>41</v>
      </c>
      <c r="F764" s="206" t="s">
        <v>97</v>
      </c>
      <c r="G764" s="117" t="s">
        <v>43</v>
      </c>
      <c r="H764" s="117" t="s">
        <v>1490</v>
      </c>
      <c r="I764" s="35"/>
      <c r="J764" s="36"/>
      <c r="K764" s="36"/>
      <c r="L764" s="36"/>
      <c r="M764" s="36"/>
      <c r="N764" s="36"/>
      <c r="O764" s="36"/>
      <c r="P764" s="36"/>
      <c r="Q764" s="36"/>
      <c r="R764" s="36"/>
      <c r="S764" s="36"/>
      <c r="T764" s="36"/>
      <c r="U764" s="36"/>
      <c r="V764" s="36"/>
      <c r="W764" s="36"/>
      <c r="X764" s="36"/>
      <c r="Y764" s="36"/>
      <c r="Z764" s="36"/>
      <c r="AA764" s="36"/>
      <c r="AB764" s="36"/>
    </row>
    <row r="765" spans="1:28" ht="36" hidden="1" customHeight="1">
      <c r="A765" s="207" t="s">
        <v>1603</v>
      </c>
      <c r="B765" s="117">
        <v>2015</v>
      </c>
      <c r="C765" s="117" t="s">
        <v>1579</v>
      </c>
      <c r="D765" s="195" t="s">
        <v>1604</v>
      </c>
      <c r="E765" s="117" t="s">
        <v>41</v>
      </c>
      <c r="F765" s="206" t="s">
        <v>97</v>
      </c>
      <c r="G765" s="117" t="s">
        <v>43</v>
      </c>
      <c r="H765" s="117" t="s">
        <v>1490</v>
      </c>
      <c r="I765" s="35"/>
      <c r="J765" s="36"/>
      <c r="K765" s="36"/>
      <c r="L765" s="36"/>
      <c r="M765" s="36"/>
      <c r="N765" s="36"/>
      <c r="O765" s="36"/>
      <c r="P765" s="36"/>
      <c r="Q765" s="36"/>
      <c r="R765" s="36"/>
      <c r="S765" s="36"/>
      <c r="T765" s="36"/>
      <c r="U765" s="36"/>
      <c r="V765" s="36"/>
      <c r="W765" s="36"/>
      <c r="X765" s="36"/>
      <c r="Y765" s="36"/>
      <c r="Z765" s="36"/>
      <c r="AA765" s="36"/>
      <c r="AB765" s="36"/>
    </row>
    <row r="766" spans="1:28" ht="36" hidden="1" customHeight="1">
      <c r="A766" s="207" t="s">
        <v>1605</v>
      </c>
      <c r="B766" s="117">
        <v>2016</v>
      </c>
      <c r="C766" s="197" t="s">
        <v>130</v>
      </c>
      <c r="D766" s="195" t="s">
        <v>1606</v>
      </c>
      <c r="E766" s="117" t="s">
        <v>41</v>
      </c>
      <c r="F766" s="206" t="s">
        <v>97</v>
      </c>
      <c r="G766" s="117" t="s">
        <v>43</v>
      </c>
      <c r="H766" s="117" t="s">
        <v>1490</v>
      </c>
      <c r="I766" s="35"/>
      <c r="J766" s="36"/>
      <c r="K766" s="36"/>
      <c r="L766" s="36"/>
      <c r="M766" s="36"/>
      <c r="N766" s="36"/>
      <c r="O766" s="36"/>
      <c r="P766" s="36"/>
      <c r="Q766" s="36"/>
      <c r="R766" s="36"/>
      <c r="S766" s="36"/>
      <c r="T766" s="36"/>
      <c r="U766" s="36"/>
      <c r="V766" s="36"/>
      <c r="W766" s="36"/>
      <c r="X766" s="36"/>
      <c r="Y766" s="36"/>
      <c r="Z766" s="36"/>
      <c r="AA766" s="36"/>
      <c r="AB766" s="36"/>
    </row>
    <row r="767" spans="1:28" ht="24" hidden="1" customHeight="1">
      <c r="A767" s="207" t="s">
        <v>1607</v>
      </c>
      <c r="B767" s="117">
        <v>2016</v>
      </c>
      <c r="C767" s="117" t="s">
        <v>1579</v>
      </c>
      <c r="D767" s="195" t="s">
        <v>1608</v>
      </c>
      <c r="E767" s="117" t="s">
        <v>41</v>
      </c>
      <c r="F767" s="206" t="s">
        <v>97</v>
      </c>
      <c r="G767" s="117" t="s">
        <v>43</v>
      </c>
      <c r="H767" s="117" t="s">
        <v>1490</v>
      </c>
      <c r="I767" s="35"/>
      <c r="J767" s="36"/>
      <c r="K767" s="36"/>
      <c r="L767" s="36"/>
      <c r="M767" s="36"/>
      <c r="N767" s="36"/>
      <c r="O767" s="36"/>
      <c r="P767" s="36"/>
      <c r="Q767" s="36"/>
      <c r="R767" s="36"/>
      <c r="S767" s="36"/>
      <c r="T767" s="36"/>
      <c r="U767" s="36"/>
      <c r="V767" s="36"/>
      <c r="W767" s="36"/>
      <c r="X767" s="36"/>
      <c r="Y767" s="36"/>
      <c r="Z767" s="36"/>
      <c r="AA767" s="36"/>
      <c r="AB767" s="36"/>
    </row>
    <row r="768" spans="1:28" ht="24" hidden="1" customHeight="1">
      <c r="A768" s="207" t="s">
        <v>1609</v>
      </c>
      <c r="B768" s="117">
        <v>2016</v>
      </c>
      <c r="C768" s="117" t="s">
        <v>1579</v>
      </c>
      <c r="D768" s="195" t="s">
        <v>1608</v>
      </c>
      <c r="E768" s="117" t="s">
        <v>41</v>
      </c>
      <c r="F768" s="206" t="s">
        <v>97</v>
      </c>
      <c r="G768" s="117" t="s">
        <v>43</v>
      </c>
      <c r="H768" s="117" t="s">
        <v>1490</v>
      </c>
      <c r="I768" s="35"/>
      <c r="J768" s="36"/>
      <c r="K768" s="36"/>
      <c r="L768" s="36"/>
      <c r="M768" s="36"/>
      <c r="N768" s="36"/>
      <c r="O768" s="36"/>
      <c r="P768" s="36"/>
      <c r="Q768" s="36"/>
      <c r="R768" s="36"/>
      <c r="S768" s="36"/>
      <c r="T768" s="36"/>
      <c r="U768" s="36"/>
      <c r="V768" s="36"/>
      <c r="W768" s="36"/>
      <c r="X768" s="36"/>
      <c r="Y768" s="36"/>
      <c r="Z768" s="36"/>
      <c r="AA768" s="36"/>
      <c r="AB768" s="36"/>
    </row>
    <row r="769" spans="1:28" ht="36" hidden="1" customHeight="1">
      <c r="A769" s="207" t="s">
        <v>1610</v>
      </c>
      <c r="B769" s="117">
        <v>2017</v>
      </c>
      <c r="C769" s="197" t="s">
        <v>1611</v>
      </c>
      <c r="D769" s="195" t="s">
        <v>1612</v>
      </c>
      <c r="E769" s="117" t="s">
        <v>41</v>
      </c>
      <c r="F769" s="206" t="s">
        <v>97</v>
      </c>
      <c r="G769" s="117" t="s">
        <v>43</v>
      </c>
      <c r="H769" s="117" t="s">
        <v>1490</v>
      </c>
      <c r="I769" s="35"/>
      <c r="J769" s="36"/>
      <c r="K769" s="36"/>
      <c r="L769" s="36"/>
      <c r="M769" s="36"/>
      <c r="N769" s="36"/>
      <c r="O769" s="36"/>
      <c r="P769" s="36"/>
      <c r="Q769" s="36"/>
      <c r="R769" s="36"/>
      <c r="S769" s="36"/>
      <c r="T769" s="36"/>
      <c r="U769" s="36"/>
      <c r="V769" s="36"/>
      <c r="W769" s="36"/>
      <c r="X769" s="36"/>
      <c r="Y769" s="36"/>
      <c r="Z769" s="36"/>
      <c r="AA769" s="36"/>
      <c r="AB769" s="36"/>
    </row>
    <row r="770" spans="1:28" ht="48" hidden="1" customHeight="1">
      <c r="A770" s="207" t="s">
        <v>1613</v>
      </c>
      <c r="B770" s="117">
        <v>2017</v>
      </c>
      <c r="C770" s="117" t="s">
        <v>1614</v>
      </c>
      <c r="D770" s="195" t="s">
        <v>1615</v>
      </c>
      <c r="E770" s="117" t="s">
        <v>41</v>
      </c>
      <c r="F770" s="117" t="s">
        <v>41</v>
      </c>
      <c r="G770" s="117" t="s">
        <v>43</v>
      </c>
      <c r="H770" s="117" t="s">
        <v>1490</v>
      </c>
      <c r="I770" s="35"/>
      <c r="J770" s="36"/>
      <c r="K770" s="36"/>
      <c r="L770" s="36"/>
      <c r="M770" s="36"/>
      <c r="N770" s="36"/>
      <c r="O770" s="36"/>
      <c r="P770" s="36"/>
      <c r="Q770" s="36"/>
      <c r="R770" s="36"/>
      <c r="S770" s="36"/>
      <c r="T770" s="36"/>
      <c r="U770" s="36"/>
      <c r="V770" s="36"/>
      <c r="W770" s="36"/>
      <c r="X770" s="36"/>
      <c r="Y770" s="36"/>
      <c r="Z770" s="36"/>
      <c r="AA770" s="36"/>
      <c r="AB770" s="36"/>
    </row>
    <row r="771" spans="1:28" ht="24" hidden="1" customHeight="1">
      <c r="A771" s="207" t="s">
        <v>1616</v>
      </c>
      <c r="B771" s="117">
        <v>2017</v>
      </c>
      <c r="C771" s="117" t="s">
        <v>1617</v>
      </c>
      <c r="D771" s="195" t="s">
        <v>1608</v>
      </c>
      <c r="E771" s="117" t="s">
        <v>41</v>
      </c>
      <c r="F771" s="206" t="s">
        <v>97</v>
      </c>
      <c r="G771" s="117" t="s">
        <v>43</v>
      </c>
      <c r="H771" s="117" t="s">
        <v>1490</v>
      </c>
      <c r="I771" s="35"/>
      <c r="J771" s="36"/>
      <c r="K771" s="36"/>
      <c r="L771" s="36"/>
      <c r="M771" s="36"/>
      <c r="N771" s="36"/>
      <c r="O771" s="36"/>
      <c r="P771" s="36"/>
      <c r="Q771" s="36"/>
      <c r="R771" s="36"/>
      <c r="S771" s="36"/>
      <c r="T771" s="36"/>
      <c r="U771" s="36"/>
      <c r="V771" s="36"/>
      <c r="W771" s="36"/>
      <c r="X771" s="36"/>
      <c r="Y771" s="36"/>
      <c r="Z771" s="36"/>
      <c r="AA771" s="36"/>
      <c r="AB771" s="36"/>
    </row>
    <row r="772" spans="1:28" ht="24" hidden="1" customHeight="1">
      <c r="A772" s="215" t="s">
        <v>1618</v>
      </c>
      <c r="B772" s="201">
        <v>2019</v>
      </c>
      <c r="C772" s="201" t="s">
        <v>1619</v>
      </c>
      <c r="D772" s="202" t="s">
        <v>1620</v>
      </c>
      <c r="E772" s="201" t="s">
        <v>41</v>
      </c>
      <c r="F772" s="204" t="s">
        <v>97</v>
      </c>
      <c r="G772" s="201" t="s">
        <v>1621</v>
      </c>
      <c r="H772" s="201" t="s">
        <v>1490</v>
      </c>
      <c r="I772" s="35"/>
      <c r="J772" s="36"/>
      <c r="K772" s="36"/>
      <c r="L772" s="36"/>
      <c r="M772" s="36"/>
      <c r="N772" s="36"/>
      <c r="O772" s="36"/>
      <c r="P772" s="36"/>
      <c r="Q772" s="36"/>
      <c r="R772" s="36"/>
      <c r="S772" s="36"/>
      <c r="T772" s="36"/>
      <c r="U772" s="36"/>
      <c r="V772" s="36"/>
      <c r="W772" s="36"/>
      <c r="X772" s="36"/>
      <c r="Y772" s="36"/>
      <c r="Z772" s="36"/>
      <c r="AA772" s="36"/>
      <c r="AB772" s="36"/>
    </row>
    <row r="773" spans="1:28" ht="48" hidden="1" customHeight="1">
      <c r="A773" s="215" t="s">
        <v>1622</v>
      </c>
      <c r="B773" s="201">
        <v>2018</v>
      </c>
      <c r="C773" s="201" t="s">
        <v>1617</v>
      </c>
      <c r="D773" s="202" t="s">
        <v>1623</v>
      </c>
      <c r="E773" s="201" t="s">
        <v>41</v>
      </c>
      <c r="F773" s="204" t="s">
        <v>97</v>
      </c>
      <c r="G773" s="201" t="s">
        <v>43</v>
      </c>
      <c r="H773" s="201" t="s">
        <v>1490</v>
      </c>
      <c r="I773" s="35"/>
      <c r="J773" s="36"/>
      <c r="K773" s="36"/>
      <c r="L773" s="36"/>
      <c r="M773" s="36"/>
      <c r="N773" s="36"/>
      <c r="O773" s="36"/>
      <c r="P773" s="36"/>
      <c r="Q773" s="36"/>
      <c r="R773" s="36"/>
      <c r="S773" s="36"/>
      <c r="T773" s="36"/>
      <c r="U773" s="36"/>
      <c r="V773" s="36"/>
      <c r="W773" s="36"/>
      <c r="X773" s="36"/>
      <c r="Y773" s="36"/>
      <c r="Z773" s="36"/>
      <c r="AA773" s="36"/>
      <c r="AB773" s="36"/>
    </row>
    <row r="774" spans="1:28" ht="24" hidden="1" customHeight="1">
      <c r="A774" s="207" t="s">
        <v>1624</v>
      </c>
      <c r="B774" s="117">
        <v>2016</v>
      </c>
      <c r="C774" s="117" t="s">
        <v>1625</v>
      </c>
      <c r="D774" s="195" t="s">
        <v>1626</v>
      </c>
      <c r="E774" s="117" t="s">
        <v>41</v>
      </c>
      <c r="F774" s="206" t="s">
        <v>97</v>
      </c>
      <c r="G774" s="117" t="s">
        <v>43</v>
      </c>
      <c r="H774" s="117" t="s">
        <v>1490</v>
      </c>
      <c r="I774" s="35"/>
      <c r="J774" s="36"/>
      <c r="K774" s="36"/>
      <c r="L774" s="36"/>
      <c r="M774" s="36"/>
      <c r="N774" s="36"/>
      <c r="O774" s="36"/>
      <c r="P774" s="36"/>
      <c r="Q774" s="36"/>
      <c r="R774" s="36"/>
      <c r="S774" s="36"/>
      <c r="T774" s="36"/>
      <c r="U774" s="36"/>
      <c r="V774" s="36"/>
      <c r="W774" s="36"/>
      <c r="X774" s="36"/>
      <c r="Y774" s="36"/>
      <c r="Z774" s="36"/>
      <c r="AA774" s="36"/>
      <c r="AB774" s="36"/>
    </row>
    <row r="775" spans="1:28" ht="24" hidden="1" customHeight="1">
      <c r="A775" s="207" t="s">
        <v>1627</v>
      </c>
      <c r="B775" s="117"/>
      <c r="C775" s="117" t="s">
        <v>1628</v>
      </c>
      <c r="D775" s="195" t="s">
        <v>1629</v>
      </c>
      <c r="E775" s="117" t="s">
        <v>41</v>
      </c>
      <c r="F775" s="206" t="s">
        <v>97</v>
      </c>
      <c r="G775" s="117" t="s">
        <v>43</v>
      </c>
      <c r="H775" s="117" t="s">
        <v>1490</v>
      </c>
      <c r="I775" s="35"/>
      <c r="J775" s="36"/>
      <c r="K775" s="36"/>
      <c r="L775" s="36"/>
      <c r="M775" s="36"/>
      <c r="N775" s="36"/>
      <c r="O775" s="36"/>
      <c r="P775" s="36"/>
      <c r="Q775" s="36"/>
      <c r="R775" s="36"/>
      <c r="S775" s="36"/>
      <c r="T775" s="36"/>
      <c r="U775" s="36"/>
      <c r="V775" s="36"/>
      <c r="W775" s="36"/>
      <c r="X775" s="36"/>
      <c r="Y775" s="36"/>
      <c r="Z775" s="36"/>
      <c r="AA775" s="36"/>
      <c r="AB775" s="36"/>
    </row>
    <row r="776" spans="1:28" ht="36" hidden="1" customHeight="1">
      <c r="A776" s="207" t="s">
        <v>1630</v>
      </c>
      <c r="B776" s="117"/>
      <c r="C776" s="117" t="s">
        <v>1619</v>
      </c>
      <c r="D776" s="195" t="s">
        <v>1631</v>
      </c>
      <c r="E776" s="117" t="s">
        <v>41</v>
      </c>
      <c r="F776" s="206" t="s">
        <v>97</v>
      </c>
      <c r="G776" s="117" t="s">
        <v>43</v>
      </c>
      <c r="H776" s="117" t="s">
        <v>1490</v>
      </c>
      <c r="I776" s="35"/>
      <c r="J776" s="36"/>
      <c r="K776" s="36"/>
      <c r="L776" s="36"/>
      <c r="M776" s="36"/>
      <c r="N776" s="36"/>
      <c r="O776" s="36"/>
      <c r="P776" s="36"/>
      <c r="Q776" s="36"/>
      <c r="R776" s="36"/>
      <c r="S776" s="36"/>
      <c r="T776" s="36"/>
      <c r="U776" s="36"/>
      <c r="V776" s="36"/>
      <c r="W776" s="36"/>
      <c r="X776" s="36"/>
      <c r="Y776" s="36"/>
      <c r="Z776" s="36"/>
      <c r="AA776" s="36"/>
      <c r="AB776" s="36"/>
    </row>
    <row r="777" spans="1:28" ht="36" hidden="1" customHeight="1">
      <c r="A777" s="207" t="s">
        <v>1632</v>
      </c>
      <c r="B777" s="117">
        <v>2018</v>
      </c>
      <c r="C777" s="117" t="s">
        <v>1619</v>
      </c>
      <c r="D777" s="195" t="s">
        <v>1633</v>
      </c>
      <c r="E777" s="117" t="s">
        <v>97</v>
      </c>
      <c r="F777" s="206" t="s">
        <v>97</v>
      </c>
      <c r="G777" s="117" t="s">
        <v>43</v>
      </c>
      <c r="H777" s="117" t="s">
        <v>1490</v>
      </c>
      <c r="I777" s="35"/>
      <c r="J777" s="36"/>
      <c r="K777" s="36"/>
      <c r="L777" s="36"/>
      <c r="M777" s="36"/>
      <c r="N777" s="36"/>
      <c r="O777" s="36"/>
      <c r="P777" s="36"/>
      <c r="Q777" s="36"/>
      <c r="R777" s="36"/>
      <c r="S777" s="36"/>
      <c r="T777" s="36"/>
      <c r="U777" s="36"/>
      <c r="V777" s="36"/>
      <c r="W777" s="36"/>
      <c r="X777" s="36"/>
      <c r="Y777" s="36"/>
      <c r="Z777" s="36"/>
      <c r="AA777" s="36"/>
      <c r="AB777" s="36"/>
    </row>
    <row r="778" spans="1:28" ht="84" hidden="1" customHeight="1">
      <c r="A778" s="207" t="s">
        <v>1634</v>
      </c>
      <c r="B778" s="117"/>
      <c r="C778" s="117" t="s">
        <v>124</v>
      </c>
      <c r="D778" s="195" t="s">
        <v>1635</v>
      </c>
      <c r="E778" s="117" t="s">
        <v>41</v>
      </c>
      <c r="F778" s="206" t="s">
        <v>97</v>
      </c>
      <c r="G778" s="117" t="s">
        <v>43</v>
      </c>
      <c r="H778" s="117" t="s">
        <v>1490</v>
      </c>
      <c r="I778" s="35"/>
      <c r="J778" s="36"/>
      <c r="K778" s="36"/>
      <c r="L778" s="36"/>
      <c r="M778" s="36"/>
      <c r="N778" s="36"/>
      <c r="O778" s="36"/>
      <c r="P778" s="36"/>
      <c r="Q778" s="36"/>
      <c r="R778" s="36"/>
      <c r="S778" s="36"/>
      <c r="T778" s="36"/>
      <c r="U778" s="36"/>
      <c r="V778" s="36"/>
      <c r="W778" s="36"/>
      <c r="X778" s="36"/>
      <c r="Y778" s="36"/>
      <c r="Z778" s="36"/>
      <c r="AA778" s="36"/>
      <c r="AB778" s="36"/>
    </row>
    <row r="779" spans="1:28" ht="180" hidden="1" customHeight="1">
      <c r="A779" s="239" t="s">
        <v>1103</v>
      </c>
      <c r="B779" s="150">
        <v>1991</v>
      </c>
      <c r="C779" s="150" t="s">
        <v>405</v>
      </c>
      <c r="D779" s="195" t="s">
        <v>1636</v>
      </c>
      <c r="E779" s="117" t="s">
        <v>1637</v>
      </c>
      <c r="F779" s="195" t="s">
        <v>1638</v>
      </c>
      <c r="G779" s="211" t="s">
        <v>43</v>
      </c>
      <c r="H779" s="117" t="s">
        <v>1490</v>
      </c>
      <c r="I779" s="35"/>
      <c r="J779" s="36"/>
      <c r="K779" s="36"/>
      <c r="L779" s="36"/>
      <c r="M779" s="36"/>
      <c r="N779" s="36"/>
      <c r="O779" s="36"/>
      <c r="P779" s="36"/>
      <c r="Q779" s="36"/>
      <c r="R779" s="36"/>
      <c r="S779" s="36"/>
      <c r="T779" s="36"/>
      <c r="U779" s="36"/>
      <c r="V779" s="36"/>
      <c r="W779" s="36"/>
      <c r="X779" s="36"/>
      <c r="Y779" s="36"/>
      <c r="Z779" s="36"/>
      <c r="AA779" s="36"/>
      <c r="AB779" s="36"/>
    </row>
    <row r="780" spans="1:28" ht="24" hidden="1" customHeight="1">
      <c r="A780" s="207" t="s">
        <v>1639</v>
      </c>
      <c r="B780" s="206">
        <v>1887</v>
      </c>
      <c r="C780" s="117" t="s">
        <v>57</v>
      </c>
      <c r="D780" s="195" t="s">
        <v>1640</v>
      </c>
      <c r="E780" s="117" t="s">
        <v>41</v>
      </c>
      <c r="F780" s="117" t="s">
        <v>97</v>
      </c>
      <c r="G780" s="211" t="s">
        <v>43</v>
      </c>
      <c r="H780" s="117" t="s">
        <v>1490</v>
      </c>
      <c r="I780" s="35"/>
      <c r="J780" s="36"/>
      <c r="K780" s="36"/>
      <c r="L780" s="36"/>
      <c r="M780" s="36"/>
      <c r="N780" s="36"/>
      <c r="O780" s="36"/>
      <c r="P780" s="36"/>
      <c r="Q780" s="36"/>
      <c r="R780" s="36"/>
      <c r="S780" s="36"/>
      <c r="T780" s="36"/>
      <c r="U780" s="36"/>
      <c r="V780" s="36"/>
      <c r="W780" s="36"/>
      <c r="X780" s="36"/>
      <c r="Y780" s="36"/>
      <c r="Z780" s="36"/>
      <c r="AA780" s="36"/>
      <c r="AB780" s="36"/>
    </row>
    <row r="781" spans="1:28" ht="36" hidden="1" customHeight="1">
      <c r="A781" s="207" t="s">
        <v>1641</v>
      </c>
      <c r="B781" s="117">
        <v>1991</v>
      </c>
      <c r="C781" s="117" t="s">
        <v>507</v>
      </c>
      <c r="D781" s="195" t="s">
        <v>1642</v>
      </c>
      <c r="E781" s="117" t="s">
        <v>41</v>
      </c>
      <c r="F781" s="117" t="s">
        <v>97</v>
      </c>
      <c r="G781" s="211" t="s">
        <v>43</v>
      </c>
      <c r="H781" s="117" t="s">
        <v>1490</v>
      </c>
      <c r="I781" s="35"/>
      <c r="J781" s="36"/>
      <c r="K781" s="36"/>
      <c r="L781" s="36"/>
      <c r="M781" s="36"/>
      <c r="N781" s="36"/>
      <c r="O781" s="36"/>
      <c r="P781" s="36"/>
      <c r="Q781" s="36"/>
      <c r="R781" s="36"/>
      <c r="S781" s="36"/>
      <c r="T781" s="36"/>
      <c r="U781" s="36"/>
      <c r="V781" s="36"/>
      <c r="W781" s="36"/>
      <c r="X781" s="36"/>
      <c r="Y781" s="36"/>
      <c r="Z781" s="36"/>
      <c r="AA781" s="36"/>
      <c r="AB781" s="36"/>
    </row>
    <row r="782" spans="1:28" ht="24" hidden="1" customHeight="1">
      <c r="A782" s="207" t="s">
        <v>1495</v>
      </c>
      <c r="B782" s="117">
        <v>1994</v>
      </c>
      <c r="C782" s="117" t="s">
        <v>507</v>
      </c>
      <c r="D782" s="195" t="s">
        <v>1643</v>
      </c>
      <c r="E782" s="117" t="s">
        <v>41</v>
      </c>
      <c r="F782" s="117" t="s">
        <v>97</v>
      </c>
      <c r="G782" s="211" t="s">
        <v>43</v>
      </c>
      <c r="H782" s="117" t="s">
        <v>1490</v>
      </c>
      <c r="I782" s="35"/>
      <c r="J782" s="36"/>
      <c r="K782" s="36"/>
      <c r="L782" s="36"/>
      <c r="M782" s="36"/>
      <c r="N782" s="36"/>
      <c r="O782" s="36"/>
      <c r="P782" s="36"/>
      <c r="Q782" s="36"/>
      <c r="R782" s="36"/>
      <c r="S782" s="36"/>
      <c r="T782" s="36"/>
      <c r="U782" s="36"/>
      <c r="V782" s="36"/>
      <c r="W782" s="36"/>
      <c r="X782" s="36"/>
      <c r="Y782" s="36"/>
      <c r="Z782" s="36"/>
      <c r="AA782" s="36"/>
      <c r="AB782" s="36"/>
    </row>
    <row r="783" spans="1:28" ht="36" hidden="1" customHeight="1">
      <c r="A783" s="214" t="s">
        <v>1497</v>
      </c>
      <c r="B783" s="206">
        <v>1995</v>
      </c>
      <c r="C783" s="197" t="s">
        <v>39</v>
      </c>
      <c r="D783" s="195" t="s">
        <v>471</v>
      </c>
      <c r="E783" s="117" t="s">
        <v>41</v>
      </c>
      <c r="F783" s="117" t="s">
        <v>97</v>
      </c>
      <c r="G783" s="211" t="s">
        <v>43</v>
      </c>
      <c r="H783" s="117" t="s">
        <v>1490</v>
      </c>
      <c r="I783" s="35"/>
      <c r="J783" s="36"/>
      <c r="K783" s="36"/>
      <c r="L783" s="36"/>
      <c r="M783" s="36"/>
      <c r="N783" s="36"/>
      <c r="O783" s="36"/>
      <c r="P783" s="36"/>
      <c r="Q783" s="36"/>
      <c r="R783" s="36"/>
      <c r="S783" s="36"/>
      <c r="T783" s="36"/>
      <c r="U783" s="36"/>
      <c r="V783" s="36"/>
      <c r="W783" s="36"/>
      <c r="X783" s="36"/>
      <c r="Y783" s="36"/>
      <c r="Z783" s="36"/>
      <c r="AA783" s="36"/>
      <c r="AB783" s="36"/>
    </row>
    <row r="784" spans="1:28" ht="24" hidden="1" customHeight="1">
      <c r="A784" s="214" t="s">
        <v>1644</v>
      </c>
      <c r="B784" s="206">
        <v>1997</v>
      </c>
      <c r="C784" s="197" t="s">
        <v>39</v>
      </c>
      <c r="D784" s="195" t="s">
        <v>475</v>
      </c>
      <c r="E784" s="117" t="s">
        <v>41</v>
      </c>
      <c r="F784" s="117" t="s">
        <v>97</v>
      </c>
      <c r="G784" s="211" t="s">
        <v>43</v>
      </c>
      <c r="H784" s="117" t="s">
        <v>1490</v>
      </c>
      <c r="I784" s="35"/>
      <c r="J784" s="36"/>
      <c r="K784" s="36"/>
      <c r="L784" s="36"/>
      <c r="M784" s="36"/>
      <c r="N784" s="36"/>
      <c r="O784" s="36"/>
      <c r="P784" s="36"/>
      <c r="Q784" s="36"/>
      <c r="R784" s="36"/>
      <c r="S784" s="36"/>
      <c r="T784" s="36"/>
      <c r="U784" s="36"/>
      <c r="V784" s="36"/>
      <c r="W784" s="36"/>
      <c r="X784" s="36"/>
      <c r="Y784" s="36"/>
      <c r="Z784" s="36"/>
      <c r="AA784" s="36"/>
      <c r="AB784" s="36"/>
    </row>
    <row r="785" spans="1:28" ht="36" hidden="1" customHeight="1">
      <c r="A785" s="207" t="s">
        <v>1645</v>
      </c>
      <c r="B785" s="117">
        <v>2000</v>
      </c>
      <c r="C785" s="117" t="s">
        <v>507</v>
      </c>
      <c r="D785" s="195" t="s">
        <v>1646</v>
      </c>
      <c r="E785" s="117" t="s">
        <v>41</v>
      </c>
      <c r="F785" s="117" t="s">
        <v>97</v>
      </c>
      <c r="G785" s="211" t="s">
        <v>43</v>
      </c>
      <c r="H785" s="117" t="s">
        <v>1490</v>
      </c>
      <c r="I785" s="35"/>
      <c r="J785" s="36"/>
      <c r="K785" s="36"/>
      <c r="L785" s="36"/>
      <c r="M785" s="36"/>
      <c r="N785" s="36"/>
      <c r="O785" s="36"/>
      <c r="P785" s="36"/>
      <c r="Q785" s="36"/>
      <c r="R785" s="36"/>
      <c r="S785" s="36"/>
      <c r="T785" s="36"/>
      <c r="U785" s="36"/>
      <c r="V785" s="36"/>
      <c r="W785" s="36"/>
      <c r="X785" s="36"/>
      <c r="Y785" s="36"/>
      <c r="Z785" s="36"/>
      <c r="AA785" s="36"/>
      <c r="AB785" s="36"/>
    </row>
    <row r="786" spans="1:28" ht="24" hidden="1" customHeight="1">
      <c r="A786" s="207" t="s">
        <v>1647</v>
      </c>
      <c r="B786" s="117">
        <v>2001</v>
      </c>
      <c r="C786" s="117" t="s">
        <v>507</v>
      </c>
      <c r="D786" s="195" t="s">
        <v>1648</v>
      </c>
      <c r="E786" s="117" t="s">
        <v>41</v>
      </c>
      <c r="F786" s="117" t="s">
        <v>97</v>
      </c>
      <c r="G786" s="211" t="s">
        <v>43</v>
      </c>
      <c r="H786" s="117" t="s">
        <v>1490</v>
      </c>
      <c r="I786" s="35"/>
      <c r="J786" s="36"/>
      <c r="K786" s="36"/>
      <c r="L786" s="36"/>
      <c r="M786" s="36"/>
      <c r="N786" s="36"/>
      <c r="O786" s="36"/>
      <c r="P786" s="36"/>
      <c r="Q786" s="36"/>
      <c r="R786" s="36"/>
      <c r="S786" s="36"/>
      <c r="T786" s="36"/>
      <c r="U786" s="36"/>
      <c r="V786" s="36"/>
      <c r="W786" s="36"/>
      <c r="X786" s="36"/>
      <c r="Y786" s="36"/>
      <c r="Z786" s="36"/>
      <c r="AA786" s="36"/>
      <c r="AB786" s="36"/>
    </row>
    <row r="787" spans="1:28" ht="24" hidden="1" customHeight="1">
      <c r="A787" s="207" t="s">
        <v>1649</v>
      </c>
      <c r="B787" s="117">
        <v>2001</v>
      </c>
      <c r="C787" s="117" t="s">
        <v>507</v>
      </c>
      <c r="D787" s="195" t="s">
        <v>1650</v>
      </c>
      <c r="E787" s="117" t="s">
        <v>41</v>
      </c>
      <c r="F787" s="117" t="s">
        <v>97</v>
      </c>
      <c r="G787" s="211" t="s">
        <v>43</v>
      </c>
      <c r="H787" s="117" t="s">
        <v>1490</v>
      </c>
      <c r="I787" s="35"/>
      <c r="J787" s="36"/>
      <c r="K787" s="36"/>
      <c r="L787" s="36"/>
      <c r="M787" s="36"/>
      <c r="N787" s="36"/>
      <c r="O787" s="36"/>
      <c r="P787" s="36"/>
      <c r="Q787" s="36"/>
      <c r="R787" s="36"/>
      <c r="S787" s="36"/>
      <c r="T787" s="36"/>
      <c r="U787" s="36"/>
      <c r="V787" s="36"/>
      <c r="W787" s="36"/>
      <c r="X787" s="36"/>
      <c r="Y787" s="36"/>
      <c r="Z787" s="36"/>
      <c r="AA787" s="36"/>
      <c r="AB787" s="36"/>
    </row>
    <row r="788" spans="1:28" ht="48" hidden="1" customHeight="1">
      <c r="A788" s="207" t="s">
        <v>1651</v>
      </c>
      <c r="B788" s="117">
        <v>2002</v>
      </c>
      <c r="C788" s="117" t="s">
        <v>507</v>
      </c>
      <c r="D788" s="195" t="s">
        <v>1652</v>
      </c>
      <c r="E788" s="117" t="s">
        <v>41</v>
      </c>
      <c r="F788" s="117" t="s">
        <v>97</v>
      </c>
      <c r="G788" s="211" t="s">
        <v>43</v>
      </c>
      <c r="H788" s="117" t="s">
        <v>1490</v>
      </c>
      <c r="I788" s="35"/>
      <c r="J788" s="36"/>
      <c r="K788" s="36"/>
      <c r="L788" s="36"/>
      <c r="M788" s="36"/>
      <c r="N788" s="36"/>
      <c r="O788" s="36"/>
      <c r="P788" s="36"/>
      <c r="Q788" s="36"/>
      <c r="R788" s="36"/>
      <c r="S788" s="36"/>
      <c r="T788" s="36"/>
      <c r="U788" s="36"/>
      <c r="V788" s="36"/>
      <c r="W788" s="36"/>
      <c r="X788" s="36"/>
      <c r="Y788" s="36"/>
      <c r="Z788" s="36"/>
      <c r="AA788" s="36"/>
      <c r="AB788" s="36"/>
    </row>
    <row r="789" spans="1:28" ht="48" hidden="1" customHeight="1">
      <c r="A789" s="207" t="s">
        <v>1653</v>
      </c>
      <c r="B789" s="117">
        <v>2002</v>
      </c>
      <c r="C789" s="117" t="s">
        <v>507</v>
      </c>
      <c r="D789" s="195" t="s">
        <v>1654</v>
      </c>
      <c r="E789" s="117" t="s">
        <v>1655</v>
      </c>
      <c r="F789" s="195" t="s">
        <v>1656</v>
      </c>
      <c r="G789" s="211" t="s">
        <v>43</v>
      </c>
      <c r="H789" s="117" t="s">
        <v>1490</v>
      </c>
      <c r="I789" s="35"/>
      <c r="J789" s="36"/>
      <c r="K789" s="36"/>
      <c r="L789" s="36"/>
      <c r="M789" s="36"/>
      <c r="N789" s="36"/>
      <c r="O789" s="36"/>
      <c r="P789" s="36"/>
      <c r="Q789" s="36"/>
      <c r="R789" s="36"/>
      <c r="S789" s="36"/>
      <c r="T789" s="36"/>
      <c r="U789" s="36"/>
      <c r="V789" s="36"/>
      <c r="W789" s="36"/>
      <c r="X789" s="36"/>
      <c r="Y789" s="36"/>
      <c r="Z789" s="36"/>
      <c r="AA789" s="36"/>
      <c r="AB789" s="36"/>
    </row>
    <row r="790" spans="1:28" ht="24" hidden="1" customHeight="1">
      <c r="A790" s="207" t="s">
        <v>1657</v>
      </c>
      <c r="B790" s="117">
        <v>2004</v>
      </c>
      <c r="C790" s="117" t="s">
        <v>507</v>
      </c>
      <c r="D790" s="195" t="s">
        <v>1658</v>
      </c>
      <c r="E790" s="117" t="s">
        <v>41</v>
      </c>
      <c r="F790" s="117" t="s">
        <v>97</v>
      </c>
      <c r="G790" s="211" t="s">
        <v>43</v>
      </c>
      <c r="H790" s="117" t="s">
        <v>1490</v>
      </c>
      <c r="I790" s="35"/>
      <c r="J790" s="36"/>
      <c r="K790" s="36"/>
      <c r="L790" s="36"/>
      <c r="M790" s="36"/>
      <c r="N790" s="36"/>
      <c r="O790" s="36"/>
      <c r="P790" s="36"/>
      <c r="Q790" s="36"/>
      <c r="R790" s="36"/>
      <c r="S790" s="36"/>
      <c r="T790" s="36"/>
      <c r="U790" s="36"/>
      <c r="V790" s="36"/>
      <c r="W790" s="36"/>
      <c r="X790" s="36"/>
      <c r="Y790" s="36"/>
      <c r="Z790" s="36"/>
      <c r="AA790" s="36"/>
      <c r="AB790" s="36"/>
    </row>
    <row r="791" spans="1:28" ht="36" hidden="1" customHeight="1">
      <c r="A791" s="207" t="s">
        <v>1659</v>
      </c>
      <c r="B791" s="117">
        <v>2005</v>
      </c>
      <c r="C791" s="117" t="s">
        <v>507</v>
      </c>
      <c r="D791" s="195" t="s">
        <v>1660</v>
      </c>
      <c r="E791" s="117" t="s">
        <v>41</v>
      </c>
      <c r="F791" s="117" t="s">
        <v>97</v>
      </c>
      <c r="G791" s="211" t="s">
        <v>43</v>
      </c>
      <c r="H791" s="117" t="s">
        <v>1490</v>
      </c>
      <c r="I791" s="35"/>
      <c r="J791" s="36"/>
      <c r="K791" s="36"/>
      <c r="L791" s="36"/>
      <c r="M791" s="36"/>
      <c r="N791" s="36"/>
      <c r="O791" s="36"/>
      <c r="P791" s="36"/>
      <c r="Q791" s="36"/>
      <c r="R791" s="36"/>
      <c r="S791" s="36"/>
      <c r="T791" s="36"/>
      <c r="U791" s="36"/>
      <c r="V791" s="36"/>
      <c r="W791" s="36"/>
      <c r="X791" s="36"/>
      <c r="Y791" s="36"/>
      <c r="Z791" s="36"/>
      <c r="AA791" s="36"/>
      <c r="AB791" s="36"/>
    </row>
    <row r="792" spans="1:28" ht="24" hidden="1" customHeight="1">
      <c r="A792" s="207" t="s">
        <v>980</v>
      </c>
      <c r="B792" s="117">
        <v>2006</v>
      </c>
      <c r="C792" s="117" t="s">
        <v>507</v>
      </c>
      <c r="D792" s="195" t="s">
        <v>1514</v>
      </c>
      <c r="E792" s="117" t="s">
        <v>1661</v>
      </c>
      <c r="F792" s="195" t="s">
        <v>1662</v>
      </c>
      <c r="G792" s="211" t="s">
        <v>43</v>
      </c>
      <c r="H792" s="117" t="s">
        <v>1490</v>
      </c>
      <c r="I792" s="35"/>
      <c r="J792" s="36"/>
      <c r="K792" s="36"/>
      <c r="L792" s="36"/>
      <c r="M792" s="36"/>
      <c r="N792" s="36"/>
      <c r="O792" s="36"/>
      <c r="P792" s="36"/>
      <c r="Q792" s="36"/>
      <c r="R792" s="36"/>
      <c r="S792" s="36"/>
      <c r="T792" s="36"/>
      <c r="U792" s="36"/>
      <c r="V792" s="36"/>
      <c r="W792" s="36"/>
      <c r="X792" s="36"/>
      <c r="Y792" s="36"/>
      <c r="Z792" s="36"/>
      <c r="AA792" s="36"/>
      <c r="AB792" s="36"/>
    </row>
    <row r="793" spans="1:28" ht="24" hidden="1" customHeight="1">
      <c r="A793" s="207" t="s">
        <v>1663</v>
      </c>
      <c r="B793" s="117">
        <v>2007</v>
      </c>
      <c r="C793" s="117" t="s">
        <v>507</v>
      </c>
      <c r="D793" s="195" t="s">
        <v>1664</v>
      </c>
      <c r="E793" s="117" t="s">
        <v>41</v>
      </c>
      <c r="F793" s="117" t="s">
        <v>97</v>
      </c>
      <c r="G793" s="211" t="s">
        <v>43</v>
      </c>
      <c r="H793" s="117" t="s">
        <v>1490</v>
      </c>
      <c r="I793" s="35"/>
      <c r="J793" s="36"/>
      <c r="K793" s="36"/>
      <c r="L793" s="36"/>
      <c r="M793" s="36"/>
      <c r="N793" s="36"/>
      <c r="O793" s="36"/>
      <c r="P793" s="36"/>
      <c r="Q793" s="36"/>
      <c r="R793" s="36"/>
      <c r="S793" s="36"/>
      <c r="T793" s="36"/>
      <c r="U793" s="36"/>
      <c r="V793" s="36"/>
      <c r="W793" s="36"/>
      <c r="X793" s="36"/>
      <c r="Y793" s="36"/>
      <c r="Z793" s="36"/>
      <c r="AA793" s="36"/>
      <c r="AB793" s="36"/>
    </row>
    <row r="794" spans="1:28" ht="24" hidden="1" customHeight="1">
      <c r="A794" s="207" t="s">
        <v>1665</v>
      </c>
      <c r="B794" s="117">
        <v>2009</v>
      </c>
      <c r="C794" s="117" t="s">
        <v>507</v>
      </c>
      <c r="D794" s="195" t="s">
        <v>1666</v>
      </c>
      <c r="E794" s="117" t="s">
        <v>41</v>
      </c>
      <c r="F794" s="117" t="s">
        <v>97</v>
      </c>
      <c r="G794" s="211" t="s">
        <v>43</v>
      </c>
      <c r="H794" s="117" t="s">
        <v>1490</v>
      </c>
      <c r="I794" s="35"/>
      <c r="J794" s="36"/>
      <c r="K794" s="36"/>
      <c r="L794" s="36"/>
      <c r="M794" s="36"/>
      <c r="N794" s="36"/>
      <c r="O794" s="36"/>
      <c r="P794" s="36"/>
      <c r="Q794" s="36"/>
      <c r="R794" s="36"/>
      <c r="S794" s="36"/>
      <c r="T794" s="36"/>
      <c r="U794" s="36"/>
      <c r="V794" s="36"/>
      <c r="W794" s="36"/>
      <c r="X794" s="36"/>
      <c r="Y794" s="36"/>
      <c r="Z794" s="36"/>
      <c r="AA794" s="36"/>
      <c r="AB794" s="36"/>
    </row>
    <row r="795" spans="1:28" ht="36" hidden="1" customHeight="1">
      <c r="A795" s="207" t="s">
        <v>1667</v>
      </c>
      <c r="B795" s="117">
        <v>2009</v>
      </c>
      <c r="C795" s="117" t="s">
        <v>507</v>
      </c>
      <c r="D795" s="195" t="s">
        <v>1668</v>
      </c>
      <c r="E795" s="117" t="s">
        <v>41</v>
      </c>
      <c r="F795" s="117" t="s">
        <v>97</v>
      </c>
      <c r="G795" s="211" t="s">
        <v>43</v>
      </c>
      <c r="H795" s="117" t="s">
        <v>1490</v>
      </c>
      <c r="I795" s="35"/>
      <c r="J795" s="36"/>
      <c r="K795" s="36"/>
      <c r="L795" s="36"/>
      <c r="M795" s="36"/>
      <c r="N795" s="36"/>
      <c r="O795" s="36"/>
      <c r="P795" s="36"/>
      <c r="Q795" s="36"/>
      <c r="R795" s="36"/>
      <c r="S795" s="36"/>
      <c r="T795" s="36"/>
      <c r="U795" s="36"/>
      <c r="V795" s="36"/>
      <c r="W795" s="36"/>
      <c r="X795" s="36"/>
      <c r="Y795" s="36"/>
      <c r="Z795" s="36"/>
      <c r="AA795" s="36"/>
      <c r="AB795" s="36"/>
    </row>
    <row r="796" spans="1:28" ht="48" hidden="1" customHeight="1">
      <c r="A796" s="207" t="s">
        <v>1518</v>
      </c>
      <c r="B796" s="117">
        <v>2009</v>
      </c>
      <c r="C796" s="117" t="s">
        <v>507</v>
      </c>
      <c r="D796" s="195" t="s">
        <v>1519</v>
      </c>
      <c r="E796" s="117" t="s">
        <v>41</v>
      </c>
      <c r="F796" s="117" t="s">
        <v>97</v>
      </c>
      <c r="G796" s="211" t="s">
        <v>43</v>
      </c>
      <c r="H796" s="117" t="s">
        <v>1490</v>
      </c>
      <c r="I796" s="35"/>
      <c r="J796" s="36"/>
      <c r="K796" s="36"/>
      <c r="L796" s="36"/>
      <c r="M796" s="36"/>
      <c r="N796" s="36"/>
      <c r="O796" s="36"/>
      <c r="P796" s="36"/>
      <c r="Q796" s="36"/>
      <c r="R796" s="36"/>
      <c r="S796" s="36"/>
      <c r="T796" s="36"/>
      <c r="U796" s="36"/>
      <c r="V796" s="36"/>
      <c r="W796" s="36"/>
      <c r="X796" s="36"/>
      <c r="Y796" s="36"/>
      <c r="Z796" s="36"/>
      <c r="AA796" s="36"/>
      <c r="AB796" s="36"/>
    </row>
    <row r="797" spans="1:28" ht="24" hidden="1" customHeight="1">
      <c r="A797" s="207" t="s">
        <v>1669</v>
      </c>
      <c r="B797" s="117">
        <v>2010</v>
      </c>
      <c r="C797" s="117" t="s">
        <v>507</v>
      </c>
      <c r="D797" s="195" t="s">
        <v>1670</v>
      </c>
      <c r="E797" s="117" t="s">
        <v>41</v>
      </c>
      <c r="F797" s="117" t="s">
        <v>97</v>
      </c>
      <c r="G797" s="211" t="s">
        <v>43</v>
      </c>
      <c r="H797" s="117" t="s">
        <v>1490</v>
      </c>
      <c r="I797" s="35"/>
      <c r="J797" s="36"/>
      <c r="K797" s="36"/>
      <c r="L797" s="36"/>
      <c r="M797" s="36"/>
      <c r="N797" s="36"/>
      <c r="O797" s="36"/>
      <c r="P797" s="36"/>
      <c r="Q797" s="36"/>
      <c r="R797" s="36"/>
      <c r="S797" s="36"/>
      <c r="T797" s="36"/>
      <c r="U797" s="36"/>
      <c r="V797" s="36"/>
      <c r="W797" s="36"/>
      <c r="X797" s="36"/>
      <c r="Y797" s="36"/>
      <c r="Z797" s="36"/>
      <c r="AA797" s="36"/>
      <c r="AB797" s="36"/>
    </row>
    <row r="798" spans="1:28" ht="36" hidden="1" customHeight="1">
      <c r="A798" s="207" t="s">
        <v>981</v>
      </c>
      <c r="B798" s="117">
        <v>2011</v>
      </c>
      <c r="C798" s="117" t="s">
        <v>507</v>
      </c>
      <c r="D798" s="195" t="s">
        <v>982</v>
      </c>
      <c r="E798" s="117" t="s">
        <v>41</v>
      </c>
      <c r="F798" s="117" t="s">
        <v>97</v>
      </c>
      <c r="G798" s="211" t="s">
        <v>43</v>
      </c>
      <c r="H798" s="117" t="s">
        <v>1490</v>
      </c>
      <c r="I798" s="35"/>
      <c r="J798" s="36"/>
      <c r="K798" s="36"/>
      <c r="L798" s="36"/>
      <c r="M798" s="36"/>
      <c r="N798" s="36"/>
      <c r="O798" s="36"/>
      <c r="P798" s="36"/>
      <c r="Q798" s="36"/>
      <c r="R798" s="36"/>
      <c r="S798" s="36"/>
      <c r="T798" s="36"/>
      <c r="U798" s="36"/>
      <c r="V798" s="36"/>
      <c r="W798" s="36"/>
      <c r="X798" s="36"/>
      <c r="Y798" s="36"/>
      <c r="Z798" s="36"/>
      <c r="AA798" s="36"/>
      <c r="AB798" s="36"/>
    </row>
    <row r="799" spans="1:28" ht="48" hidden="1" customHeight="1">
      <c r="A799" s="207" t="s">
        <v>1520</v>
      </c>
      <c r="B799" s="117">
        <v>2011</v>
      </c>
      <c r="C799" s="117" t="s">
        <v>507</v>
      </c>
      <c r="D799" s="195" t="s">
        <v>1671</v>
      </c>
      <c r="E799" s="117" t="s">
        <v>41</v>
      </c>
      <c r="F799" s="117" t="s">
        <v>97</v>
      </c>
      <c r="G799" s="211" t="s">
        <v>43</v>
      </c>
      <c r="H799" s="117" t="s">
        <v>1490</v>
      </c>
      <c r="I799" s="35"/>
      <c r="J799" s="36"/>
      <c r="K799" s="36"/>
      <c r="L799" s="36"/>
      <c r="M799" s="36"/>
      <c r="N799" s="36"/>
      <c r="O799" s="36"/>
      <c r="P799" s="36"/>
      <c r="Q799" s="36"/>
      <c r="R799" s="36"/>
      <c r="S799" s="36"/>
      <c r="T799" s="36"/>
      <c r="U799" s="36"/>
      <c r="V799" s="36"/>
      <c r="W799" s="36"/>
      <c r="X799" s="36"/>
      <c r="Y799" s="36"/>
      <c r="Z799" s="36"/>
      <c r="AA799" s="36"/>
      <c r="AB799" s="36"/>
    </row>
    <row r="800" spans="1:28" ht="36" hidden="1" customHeight="1">
      <c r="A800" s="207" t="s">
        <v>1151</v>
      </c>
      <c r="B800" s="117">
        <v>2012</v>
      </c>
      <c r="C800" s="117" t="s">
        <v>507</v>
      </c>
      <c r="D800" s="195" t="s">
        <v>1672</v>
      </c>
      <c r="E800" s="117" t="s">
        <v>41</v>
      </c>
      <c r="F800" s="117" t="s">
        <v>97</v>
      </c>
      <c r="G800" s="211" t="s">
        <v>43</v>
      </c>
      <c r="H800" s="117" t="s">
        <v>1490</v>
      </c>
      <c r="I800" s="35"/>
      <c r="J800" s="36"/>
      <c r="K800" s="36"/>
      <c r="L800" s="36"/>
      <c r="M800" s="36"/>
      <c r="N800" s="36"/>
      <c r="O800" s="36"/>
      <c r="P800" s="36"/>
      <c r="Q800" s="36"/>
      <c r="R800" s="36"/>
      <c r="S800" s="36"/>
      <c r="T800" s="36"/>
      <c r="U800" s="36"/>
      <c r="V800" s="36"/>
      <c r="W800" s="36"/>
      <c r="X800" s="36"/>
      <c r="Y800" s="36"/>
      <c r="Z800" s="36"/>
      <c r="AA800" s="36"/>
      <c r="AB800" s="36"/>
    </row>
    <row r="801" spans="1:28" ht="24" hidden="1" customHeight="1">
      <c r="A801" s="207" t="s">
        <v>1673</v>
      </c>
      <c r="B801" s="117">
        <v>2013</v>
      </c>
      <c r="C801" s="117" t="s">
        <v>507</v>
      </c>
      <c r="D801" s="195" t="s">
        <v>508</v>
      </c>
      <c r="E801" s="117" t="s">
        <v>41</v>
      </c>
      <c r="F801" s="117" t="s">
        <v>97</v>
      </c>
      <c r="G801" s="211" t="s">
        <v>43</v>
      </c>
      <c r="H801" s="117" t="s">
        <v>1490</v>
      </c>
      <c r="I801" s="35"/>
      <c r="J801" s="36"/>
      <c r="K801" s="36"/>
      <c r="L801" s="36"/>
      <c r="M801" s="36"/>
      <c r="N801" s="36"/>
      <c r="O801" s="36"/>
      <c r="P801" s="36"/>
      <c r="Q801" s="36"/>
      <c r="R801" s="36"/>
      <c r="S801" s="36"/>
      <c r="T801" s="36"/>
      <c r="U801" s="36"/>
      <c r="V801" s="36"/>
      <c r="W801" s="36"/>
      <c r="X801" s="36"/>
      <c r="Y801" s="36"/>
      <c r="Z801" s="36"/>
      <c r="AA801" s="36"/>
      <c r="AB801" s="36"/>
    </row>
    <row r="802" spans="1:28" ht="24" hidden="1" customHeight="1">
      <c r="A802" s="207" t="s">
        <v>1674</v>
      </c>
      <c r="B802" s="117">
        <v>2016</v>
      </c>
      <c r="C802" s="117" t="s">
        <v>507</v>
      </c>
      <c r="D802" s="195" t="s">
        <v>1675</v>
      </c>
      <c r="E802" s="117" t="s">
        <v>41</v>
      </c>
      <c r="F802" s="117" t="s">
        <v>97</v>
      </c>
      <c r="G802" s="211" t="s">
        <v>43</v>
      </c>
      <c r="H802" s="117" t="s">
        <v>1490</v>
      </c>
      <c r="I802" s="35"/>
      <c r="J802" s="36"/>
      <c r="K802" s="36"/>
      <c r="L802" s="36"/>
      <c r="M802" s="36"/>
      <c r="N802" s="36"/>
      <c r="O802" s="36"/>
      <c r="P802" s="36"/>
      <c r="Q802" s="36"/>
      <c r="R802" s="36"/>
      <c r="S802" s="36"/>
      <c r="T802" s="36"/>
      <c r="U802" s="36"/>
      <c r="V802" s="36"/>
      <c r="W802" s="36"/>
      <c r="X802" s="36"/>
      <c r="Y802" s="36"/>
      <c r="Z802" s="36"/>
      <c r="AA802" s="36"/>
      <c r="AB802" s="36"/>
    </row>
    <row r="803" spans="1:28" ht="36" hidden="1" customHeight="1">
      <c r="A803" s="207" t="s">
        <v>1676</v>
      </c>
      <c r="B803" s="117">
        <v>2018</v>
      </c>
      <c r="C803" s="117" t="s">
        <v>507</v>
      </c>
      <c r="D803" s="195" t="s">
        <v>1677</v>
      </c>
      <c r="E803" s="117" t="s">
        <v>41</v>
      </c>
      <c r="F803" s="117" t="s">
        <v>97</v>
      </c>
      <c r="G803" s="211" t="s">
        <v>43</v>
      </c>
      <c r="H803" s="117" t="s">
        <v>1490</v>
      </c>
      <c r="I803" s="35"/>
      <c r="J803" s="36"/>
      <c r="K803" s="36"/>
      <c r="L803" s="36"/>
      <c r="M803" s="36"/>
      <c r="N803" s="36"/>
      <c r="O803" s="36"/>
      <c r="P803" s="36"/>
      <c r="Q803" s="36"/>
      <c r="R803" s="36"/>
      <c r="S803" s="36"/>
      <c r="T803" s="36"/>
      <c r="U803" s="36"/>
      <c r="V803" s="36"/>
      <c r="W803" s="36"/>
      <c r="X803" s="36"/>
      <c r="Y803" s="36"/>
      <c r="Z803" s="36"/>
      <c r="AA803" s="36"/>
      <c r="AB803" s="36"/>
    </row>
    <row r="804" spans="1:28" ht="24" hidden="1" customHeight="1">
      <c r="A804" s="244" t="s">
        <v>1678</v>
      </c>
      <c r="B804" s="117">
        <v>2013</v>
      </c>
      <c r="C804" s="117" t="s">
        <v>1574</v>
      </c>
      <c r="D804" s="195" t="s">
        <v>1679</v>
      </c>
      <c r="E804" s="117" t="s">
        <v>1680</v>
      </c>
      <c r="F804" s="117" t="s">
        <v>97</v>
      </c>
      <c r="G804" s="211" t="s">
        <v>43</v>
      </c>
      <c r="H804" s="117" t="s">
        <v>1490</v>
      </c>
      <c r="I804" s="35"/>
      <c r="J804" s="36"/>
      <c r="K804" s="36"/>
      <c r="L804" s="36"/>
      <c r="M804" s="36"/>
      <c r="N804" s="36"/>
      <c r="O804" s="36"/>
      <c r="P804" s="36"/>
      <c r="Q804" s="36"/>
      <c r="R804" s="36"/>
      <c r="S804" s="36"/>
      <c r="T804" s="36"/>
      <c r="U804" s="36"/>
      <c r="V804" s="36"/>
      <c r="W804" s="36"/>
      <c r="X804" s="36"/>
      <c r="Y804" s="36"/>
      <c r="Z804" s="36"/>
      <c r="AA804" s="36"/>
      <c r="AB804" s="36"/>
    </row>
    <row r="805" spans="1:28" ht="24" hidden="1" customHeight="1">
      <c r="A805" s="207" t="s">
        <v>1681</v>
      </c>
      <c r="B805" s="117">
        <v>2009</v>
      </c>
      <c r="C805" s="117" t="s">
        <v>1574</v>
      </c>
      <c r="D805" s="195" t="s">
        <v>1682</v>
      </c>
      <c r="E805" s="117" t="s">
        <v>41</v>
      </c>
      <c r="F805" s="117" t="s">
        <v>97</v>
      </c>
      <c r="G805" s="211" t="s">
        <v>43</v>
      </c>
      <c r="H805" s="117" t="s">
        <v>1490</v>
      </c>
      <c r="I805" s="35"/>
      <c r="J805" s="36"/>
      <c r="K805" s="36"/>
      <c r="L805" s="36"/>
      <c r="M805" s="36"/>
      <c r="N805" s="36"/>
      <c r="O805" s="36"/>
      <c r="P805" s="36"/>
      <c r="Q805" s="36"/>
      <c r="R805" s="36"/>
      <c r="S805" s="36"/>
      <c r="T805" s="36"/>
      <c r="U805" s="36"/>
      <c r="V805" s="36"/>
      <c r="W805" s="36"/>
      <c r="X805" s="36"/>
      <c r="Y805" s="36"/>
      <c r="Z805" s="36"/>
      <c r="AA805" s="36"/>
      <c r="AB805" s="36"/>
    </row>
    <row r="806" spans="1:28" ht="24" hidden="1" customHeight="1">
      <c r="A806" s="207" t="s">
        <v>1683</v>
      </c>
      <c r="B806" s="117">
        <v>2009</v>
      </c>
      <c r="C806" s="117" t="s">
        <v>1684</v>
      </c>
      <c r="D806" s="195" t="s">
        <v>1685</v>
      </c>
      <c r="E806" s="117" t="s">
        <v>41</v>
      </c>
      <c r="F806" s="117" t="s">
        <v>97</v>
      </c>
      <c r="G806" s="211" t="s">
        <v>43</v>
      </c>
      <c r="H806" s="117" t="s">
        <v>1490</v>
      </c>
      <c r="I806" s="35"/>
      <c r="J806" s="36"/>
      <c r="K806" s="36"/>
      <c r="L806" s="36"/>
      <c r="M806" s="36"/>
      <c r="N806" s="36"/>
      <c r="O806" s="36"/>
      <c r="P806" s="36"/>
      <c r="Q806" s="36"/>
      <c r="R806" s="36"/>
      <c r="S806" s="36"/>
      <c r="T806" s="36"/>
      <c r="U806" s="36"/>
      <c r="V806" s="36"/>
      <c r="W806" s="36"/>
      <c r="X806" s="36"/>
      <c r="Y806" s="36"/>
      <c r="Z806" s="36"/>
      <c r="AA806" s="36"/>
      <c r="AB806" s="36"/>
    </row>
    <row r="807" spans="1:28" ht="24" hidden="1" customHeight="1">
      <c r="A807" s="207" t="s">
        <v>1686</v>
      </c>
      <c r="B807" s="117">
        <v>2007</v>
      </c>
      <c r="C807" s="117" t="s">
        <v>302</v>
      </c>
      <c r="D807" s="195" t="s">
        <v>1687</v>
      </c>
      <c r="E807" s="117" t="s">
        <v>41</v>
      </c>
      <c r="F807" s="117" t="s">
        <v>97</v>
      </c>
      <c r="G807" s="211" t="s">
        <v>43</v>
      </c>
      <c r="H807" s="117" t="s">
        <v>1490</v>
      </c>
      <c r="I807" s="35"/>
      <c r="J807" s="36"/>
      <c r="K807" s="36"/>
      <c r="L807" s="36"/>
      <c r="M807" s="36"/>
      <c r="N807" s="36"/>
      <c r="O807" s="36"/>
      <c r="P807" s="36"/>
      <c r="Q807" s="36"/>
      <c r="R807" s="36"/>
      <c r="S807" s="36"/>
      <c r="T807" s="36"/>
      <c r="U807" s="36"/>
      <c r="V807" s="36"/>
      <c r="W807" s="36"/>
      <c r="X807" s="36"/>
      <c r="Y807" s="36"/>
      <c r="Z807" s="36"/>
      <c r="AA807" s="36"/>
      <c r="AB807" s="36"/>
    </row>
    <row r="808" spans="1:28" ht="24" hidden="1" customHeight="1">
      <c r="A808" s="207" t="s">
        <v>1688</v>
      </c>
      <c r="B808" s="117">
        <v>1976</v>
      </c>
      <c r="C808" s="117" t="s">
        <v>61</v>
      </c>
      <c r="D808" s="195" t="s">
        <v>1689</v>
      </c>
      <c r="E808" s="117" t="s">
        <v>41</v>
      </c>
      <c r="F808" s="117" t="s">
        <v>97</v>
      </c>
      <c r="G808" s="211" t="s">
        <v>43</v>
      </c>
      <c r="H808" s="117" t="s">
        <v>1490</v>
      </c>
      <c r="I808" s="35"/>
      <c r="J808" s="36"/>
      <c r="K808" s="36"/>
      <c r="L808" s="36"/>
      <c r="M808" s="36"/>
      <c r="N808" s="36"/>
      <c r="O808" s="36"/>
      <c r="P808" s="36"/>
      <c r="Q808" s="36"/>
      <c r="R808" s="36"/>
      <c r="S808" s="36"/>
      <c r="T808" s="36"/>
      <c r="U808" s="36"/>
      <c r="V808" s="36"/>
      <c r="W808" s="36"/>
      <c r="X808" s="36"/>
      <c r="Y808" s="36"/>
      <c r="Z808" s="36"/>
      <c r="AA808" s="36"/>
      <c r="AB808" s="36"/>
    </row>
    <row r="809" spans="1:28" ht="24" hidden="1" customHeight="1">
      <c r="A809" s="207" t="s">
        <v>1555</v>
      </c>
      <c r="B809" s="117">
        <v>1976</v>
      </c>
      <c r="C809" s="117" t="s">
        <v>61</v>
      </c>
      <c r="D809" s="195" t="s">
        <v>1690</v>
      </c>
      <c r="E809" s="117" t="s">
        <v>41</v>
      </c>
      <c r="F809" s="117" t="s">
        <v>97</v>
      </c>
      <c r="G809" s="211" t="s">
        <v>43</v>
      </c>
      <c r="H809" s="117" t="s">
        <v>1490</v>
      </c>
      <c r="I809" s="35"/>
      <c r="J809" s="36"/>
      <c r="K809" s="36"/>
      <c r="L809" s="36"/>
      <c r="M809" s="36"/>
      <c r="N809" s="36"/>
      <c r="O809" s="36"/>
      <c r="P809" s="36"/>
      <c r="Q809" s="36"/>
      <c r="R809" s="36"/>
      <c r="S809" s="36"/>
      <c r="T809" s="36"/>
      <c r="U809" s="36"/>
      <c r="V809" s="36"/>
      <c r="W809" s="36"/>
      <c r="X809" s="36"/>
      <c r="Y809" s="36"/>
      <c r="Z809" s="36"/>
      <c r="AA809" s="36"/>
      <c r="AB809" s="36"/>
    </row>
    <row r="810" spans="1:28" ht="24" hidden="1" customHeight="1">
      <c r="A810" s="207" t="s">
        <v>390</v>
      </c>
      <c r="B810" s="117">
        <v>1994</v>
      </c>
      <c r="C810" s="117" t="s">
        <v>57</v>
      </c>
      <c r="D810" s="195" t="s">
        <v>1528</v>
      </c>
      <c r="E810" s="117" t="s">
        <v>41</v>
      </c>
      <c r="F810" s="117" t="s">
        <v>97</v>
      </c>
      <c r="G810" s="211" t="s">
        <v>43</v>
      </c>
      <c r="H810" s="117" t="s">
        <v>1490</v>
      </c>
      <c r="I810" s="35"/>
      <c r="J810" s="36"/>
      <c r="K810" s="36"/>
      <c r="L810" s="36"/>
      <c r="M810" s="36"/>
      <c r="N810" s="36"/>
      <c r="O810" s="36"/>
      <c r="P810" s="36"/>
      <c r="Q810" s="36"/>
      <c r="R810" s="36"/>
      <c r="S810" s="36"/>
      <c r="T810" s="36"/>
      <c r="U810" s="36"/>
      <c r="V810" s="36"/>
      <c r="W810" s="36"/>
      <c r="X810" s="36"/>
      <c r="Y810" s="36"/>
      <c r="Z810" s="36"/>
      <c r="AA810" s="36"/>
      <c r="AB810" s="36"/>
    </row>
    <row r="811" spans="1:28" ht="36" hidden="1" customHeight="1">
      <c r="A811" s="207" t="s">
        <v>1691</v>
      </c>
      <c r="B811" s="117">
        <v>1996</v>
      </c>
      <c r="C811" s="117" t="s">
        <v>61</v>
      </c>
      <c r="D811" s="195" t="s">
        <v>1692</v>
      </c>
      <c r="E811" s="117" t="s">
        <v>41</v>
      </c>
      <c r="F811" s="117" t="s">
        <v>97</v>
      </c>
      <c r="G811" s="211" t="s">
        <v>43</v>
      </c>
      <c r="H811" s="117" t="s">
        <v>1490</v>
      </c>
      <c r="I811" s="35"/>
      <c r="J811" s="36"/>
      <c r="K811" s="36"/>
      <c r="L811" s="36"/>
      <c r="M811" s="36"/>
      <c r="N811" s="36"/>
      <c r="O811" s="36"/>
      <c r="P811" s="36"/>
      <c r="Q811" s="36"/>
      <c r="R811" s="36"/>
      <c r="S811" s="36"/>
      <c r="T811" s="36"/>
      <c r="U811" s="36"/>
      <c r="V811" s="36"/>
      <c r="W811" s="36"/>
      <c r="X811" s="36"/>
      <c r="Y811" s="36"/>
      <c r="Z811" s="36"/>
      <c r="AA811" s="36"/>
      <c r="AB811" s="36"/>
    </row>
    <row r="812" spans="1:28" ht="24" hidden="1" customHeight="1">
      <c r="A812" s="207" t="s">
        <v>1001</v>
      </c>
      <c r="B812" s="206">
        <v>2003</v>
      </c>
      <c r="C812" s="117" t="s">
        <v>61</v>
      </c>
      <c r="D812" s="195" t="s">
        <v>534</v>
      </c>
      <c r="E812" s="117" t="s">
        <v>1693</v>
      </c>
      <c r="F812" s="195" t="s">
        <v>1694</v>
      </c>
      <c r="G812" s="211" t="s">
        <v>43</v>
      </c>
      <c r="H812" s="117" t="s">
        <v>1490</v>
      </c>
      <c r="I812" s="35"/>
      <c r="J812" s="36"/>
      <c r="K812" s="36"/>
      <c r="L812" s="36"/>
      <c r="M812" s="36"/>
      <c r="N812" s="36"/>
      <c r="O812" s="36"/>
      <c r="P812" s="36"/>
      <c r="Q812" s="36"/>
      <c r="R812" s="36"/>
      <c r="S812" s="36"/>
      <c r="T812" s="36"/>
      <c r="U812" s="36"/>
      <c r="V812" s="36"/>
      <c r="W812" s="36"/>
      <c r="X812" s="36"/>
      <c r="Y812" s="36"/>
      <c r="Z812" s="36"/>
      <c r="AA812" s="36"/>
      <c r="AB812" s="36"/>
    </row>
    <row r="813" spans="1:28" ht="24" hidden="1" customHeight="1">
      <c r="A813" s="207" t="s">
        <v>1695</v>
      </c>
      <c r="B813" s="117">
        <v>2005</v>
      </c>
      <c r="C813" s="117" t="s">
        <v>57</v>
      </c>
      <c r="D813" s="195" t="s">
        <v>1696</v>
      </c>
      <c r="E813" s="117" t="s">
        <v>41</v>
      </c>
      <c r="F813" s="117" t="s">
        <v>97</v>
      </c>
      <c r="G813" s="211" t="s">
        <v>43</v>
      </c>
      <c r="H813" s="117" t="s">
        <v>1490</v>
      </c>
      <c r="I813" s="35"/>
      <c r="J813" s="36"/>
      <c r="K813" s="36"/>
      <c r="L813" s="36"/>
      <c r="M813" s="36"/>
      <c r="N813" s="36"/>
      <c r="O813" s="36"/>
      <c r="P813" s="36"/>
      <c r="Q813" s="36"/>
      <c r="R813" s="36"/>
      <c r="S813" s="36"/>
      <c r="T813" s="36"/>
      <c r="U813" s="36"/>
      <c r="V813" s="36"/>
      <c r="W813" s="36"/>
      <c r="X813" s="36"/>
      <c r="Y813" s="36"/>
      <c r="Z813" s="36"/>
      <c r="AA813" s="36"/>
      <c r="AB813" s="36"/>
    </row>
    <row r="814" spans="1:28" ht="24" hidden="1" customHeight="1">
      <c r="A814" s="207" t="s">
        <v>1539</v>
      </c>
      <c r="B814" s="117">
        <v>2006</v>
      </c>
      <c r="C814" s="117" t="s">
        <v>61</v>
      </c>
      <c r="D814" s="195" t="s">
        <v>1540</v>
      </c>
      <c r="E814" s="117" t="s">
        <v>41</v>
      </c>
      <c r="F814" s="117" t="s">
        <v>97</v>
      </c>
      <c r="G814" s="211" t="s">
        <v>43</v>
      </c>
      <c r="H814" s="117" t="s">
        <v>1490</v>
      </c>
      <c r="I814" s="35"/>
      <c r="J814" s="36"/>
      <c r="K814" s="36"/>
      <c r="L814" s="36"/>
      <c r="M814" s="36"/>
      <c r="N814" s="36"/>
      <c r="O814" s="36"/>
      <c r="P814" s="36"/>
      <c r="Q814" s="36"/>
      <c r="R814" s="36"/>
      <c r="S814" s="36"/>
      <c r="T814" s="36"/>
      <c r="U814" s="36"/>
      <c r="V814" s="36"/>
      <c r="W814" s="36"/>
      <c r="X814" s="36"/>
      <c r="Y814" s="36"/>
      <c r="Z814" s="36"/>
      <c r="AA814" s="36"/>
      <c r="AB814" s="36"/>
    </row>
    <row r="815" spans="1:28" ht="24" hidden="1" customHeight="1">
      <c r="A815" s="207" t="s">
        <v>1697</v>
      </c>
      <c r="B815" s="117">
        <v>2007</v>
      </c>
      <c r="C815" s="117" t="s">
        <v>61</v>
      </c>
      <c r="D815" s="195" t="s">
        <v>1698</v>
      </c>
      <c r="E815" s="117" t="s">
        <v>41</v>
      </c>
      <c r="F815" s="117" t="s">
        <v>97</v>
      </c>
      <c r="G815" s="211" t="s">
        <v>43</v>
      </c>
      <c r="H815" s="117" t="s">
        <v>1490</v>
      </c>
      <c r="I815" s="35"/>
      <c r="J815" s="36"/>
      <c r="K815" s="36"/>
      <c r="L815" s="36"/>
      <c r="M815" s="36"/>
      <c r="N815" s="36"/>
      <c r="O815" s="36"/>
      <c r="P815" s="36"/>
      <c r="Q815" s="36"/>
      <c r="R815" s="36"/>
      <c r="S815" s="36"/>
      <c r="T815" s="36"/>
      <c r="U815" s="36"/>
      <c r="V815" s="36"/>
      <c r="W815" s="36"/>
      <c r="X815" s="36"/>
      <c r="Y815" s="36"/>
      <c r="Z815" s="36"/>
      <c r="AA815" s="36"/>
      <c r="AB815" s="36"/>
    </row>
    <row r="816" spans="1:28" ht="48" hidden="1" customHeight="1">
      <c r="A816" s="207" t="s">
        <v>1699</v>
      </c>
      <c r="B816" s="117">
        <v>2008</v>
      </c>
      <c r="C816" s="117" t="s">
        <v>61</v>
      </c>
      <c r="D816" s="195" t="s">
        <v>1700</v>
      </c>
      <c r="E816" s="117" t="s">
        <v>41</v>
      </c>
      <c r="F816" s="195" t="s">
        <v>1701</v>
      </c>
      <c r="G816" s="211" t="s">
        <v>43</v>
      </c>
      <c r="H816" s="117" t="s">
        <v>1490</v>
      </c>
      <c r="I816" s="35"/>
      <c r="J816" s="36"/>
      <c r="K816" s="36"/>
      <c r="L816" s="36"/>
      <c r="M816" s="36"/>
      <c r="N816" s="36"/>
      <c r="O816" s="36"/>
      <c r="P816" s="36"/>
      <c r="Q816" s="36"/>
      <c r="R816" s="36"/>
      <c r="S816" s="36"/>
      <c r="T816" s="36"/>
      <c r="U816" s="36"/>
      <c r="V816" s="36"/>
      <c r="W816" s="36"/>
      <c r="X816" s="36"/>
      <c r="Y816" s="36"/>
      <c r="Z816" s="36"/>
      <c r="AA816" s="36"/>
      <c r="AB816" s="36"/>
    </row>
    <row r="817" spans="1:28" ht="36" hidden="1" customHeight="1">
      <c r="A817" s="207" t="s">
        <v>660</v>
      </c>
      <c r="B817" s="117">
        <v>2008</v>
      </c>
      <c r="C817" s="117" t="s">
        <v>61</v>
      </c>
      <c r="D817" s="195" t="s">
        <v>1702</v>
      </c>
      <c r="E817" s="117" t="s">
        <v>41</v>
      </c>
      <c r="F817" s="117" t="s">
        <v>97</v>
      </c>
      <c r="G817" s="211" t="s">
        <v>43</v>
      </c>
      <c r="H817" s="117" t="s">
        <v>1490</v>
      </c>
      <c r="I817" s="35"/>
      <c r="J817" s="36"/>
      <c r="K817" s="36"/>
      <c r="L817" s="36"/>
      <c r="M817" s="36"/>
      <c r="N817" s="36"/>
      <c r="O817" s="36"/>
      <c r="P817" s="36"/>
      <c r="Q817" s="36"/>
      <c r="R817" s="36"/>
      <c r="S817" s="36"/>
      <c r="T817" s="36"/>
      <c r="U817" s="36"/>
      <c r="V817" s="36"/>
      <c r="W817" s="36"/>
      <c r="X817" s="36"/>
      <c r="Y817" s="36"/>
      <c r="Z817" s="36"/>
      <c r="AA817" s="36"/>
      <c r="AB817" s="36"/>
    </row>
    <row r="818" spans="1:28" ht="36" hidden="1" customHeight="1">
      <c r="A818" s="207" t="s">
        <v>1703</v>
      </c>
      <c r="B818" s="117">
        <v>2008</v>
      </c>
      <c r="C818" s="117" t="s">
        <v>57</v>
      </c>
      <c r="D818" s="195" t="s">
        <v>1704</v>
      </c>
      <c r="E818" s="117" t="s">
        <v>41</v>
      </c>
      <c r="F818" s="117" t="s">
        <v>97</v>
      </c>
      <c r="G818" s="211" t="s">
        <v>43</v>
      </c>
      <c r="H818" s="117" t="s">
        <v>1490</v>
      </c>
      <c r="I818" s="35"/>
      <c r="J818" s="36"/>
      <c r="K818" s="36"/>
      <c r="L818" s="36"/>
      <c r="M818" s="36"/>
      <c r="N818" s="36"/>
      <c r="O818" s="36"/>
      <c r="P818" s="36"/>
      <c r="Q818" s="36"/>
      <c r="R818" s="36"/>
      <c r="S818" s="36"/>
      <c r="T818" s="36"/>
      <c r="U818" s="36"/>
      <c r="V818" s="36"/>
      <c r="W818" s="36"/>
      <c r="X818" s="36"/>
      <c r="Y818" s="36"/>
      <c r="Z818" s="36"/>
      <c r="AA818" s="36"/>
      <c r="AB818" s="36"/>
    </row>
    <row r="819" spans="1:28" ht="24" hidden="1" customHeight="1">
      <c r="A819" s="207" t="s">
        <v>1705</v>
      </c>
      <c r="B819" s="117">
        <v>2010</v>
      </c>
      <c r="C819" s="117" t="s">
        <v>61</v>
      </c>
      <c r="D819" s="195" t="s">
        <v>1016</v>
      </c>
      <c r="E819" s="117" t="s">
        <v>41</v>
      </c>
      <c r="F819" s="117" t="s">
        <v>97</v>
      </c>
      <c r="G819" s="211" t="s">
        <v>43</v>
      </c>
      <c r="H819" s="117" t="s">
        <v>1490</v>
      </c>
      <c r="I819" s="35"/>
      <c r="J819" s="36"/>
      <c r="K819" s="36"/>
      <c r="L819" s="36"/>
      <c r="M819" s="36"/>
      <c r="N819" s="36"/>
      <c r="O819" s="36"/>
      <c r="P819" s="36"/>
      <c r="Q819" s="36"/>
      <c r="R819" s="36"/>
      <c r="S819" s="36"/>
      <c r="T819" s="36"/>
      <c r="U819" s="36"/>
      <c r="V819" s="36"/>
      <c r="W819" s="36"/>
      <c r="X819" s="36"/>
      <c r="Y819" s="36"/>
      <c r="Z819" s="36"/>
      <c r="AA819" s="36"/>
      <c r="AB819" s="36"/>
    </row>
    <row r="820" spans="1:28" ht="24" hidden="1" customHeight="1">
      <c r="A820" s="207" t="s">
        <v>1706</v>
      </c>
      <c r="B820" s="117">
        <v>2010</v>
      </c>
      <c r="C820" s="117" t="s">
        <v>61</v>
      </c>
      <c r="D820" s="195" t="s">
        <v>1707</v>
      </c>
      <c r="E820" s="117" t="s">
        <v>41</v>
      </c>
      <c r="F820" s="117" t="s">
        <v>97</v>
      </c>
      <c r="G820" s="211" t="s">
        <v>43</v>
      </c>
      <c r="H820" s="117" t="s">
        <v>1490</v>
      </c>
      <c r="I820" s="35"/>
      <c r="J820" s="36"/>
      <c r="K820" s="36"/>
      <c r="L820" s="36"/>
      <c r="M820" s="36"/>
      <c r="N820" s="36"/>
      <c r="O820" s="36"/>
      <c r="P820" s="36"/>
      <c r="Q820" s="36"/>
      <c r="R820" s="36"/>
      <c r="S820" s="36"/>
      <c r="T820" s="36"/>
      <c r="U820" s="36"/>
      <c r="V820" s="36"/>
      <c r="W820" s="36"/>
      <c r="X820" s="36"/>
      <c r="Y820" s="36"/>
      <c r="Z820" s="36"/>
      <c r="AA820" s="36"/>
      <c r="AB820" s="36"/>
    </row>
    <row r="821" spans="1:28" ht="24" hidden="1" customHeight="1">
      <c r="A821" s="207" t="s">
        <v>1708</v>
      </c>
      <c r="B821" s="117">
        <v>2011</v>
      </c>
      <c r="C821" s="117" t="s">
        <v>61</v>
      </c>
      <c r="D821" s="195" t="s">
        <v>1709</v>
      </c>
      <c r="E821" s="117" t="s">
        <v>41</v>
      </c>
      <c r="F821" s="117" t="s">
        <v>97</v>
      </c>
      <c r="G821" s="211" t="s">
        <v>43</v>
      </c>
      <c r="H821" s="117" t="s">
        <v>1490</v>
      </c>
      <c r="I821" s="35"/>
      <c r="J821" s="36"/>
      <c r="K821" s="36"/>
      <c r="L821" s="36"/>
      <c r="M821" s="36"/>
      <c r="N821" s="36"/>
      <c r="O821" s="36"/>
      <c r="P821" s="36"/>
      <c r="Q821" s="36"/>
      <c r="R821" s="36"/>
      <c r="S821" s="36"/>
      <c r="T821" s="36"/>
      <c r="U821" s="36"/>
      <c r="V821" s="36"/>
      <c r="W821" s="36"/>
      <c r="X821" s="36"/>
      <c r="Y821" s="36"/>
      <c r="Z821" s="36"/>
      <c r="AA821" s="36"/>
      <c r="AB821" s="36"/>
    </row>
    <row r="822" spans="1:28" ht="24" hidden="1" customHeight="1">
      <c r="A822" s="207" t="s">
        <v>1710</v>
      </c>
      <c r="B822" s="117">
        <v>2011</v>
      </c>
      <c r="C822" s="117" t="s">
        <v>61</v>
      </c>
      <c r="D822" s="195" t="s">
        <v>1711</v>
      </c>
      <c r="E822" s="117" t="s">
        <v>41</v>
      </c>
      <c r="F822" s="117" t="s">
        <v>97</v>
      </c>
      <c r="G822" s="211" t="s">
        <v>43</v>
      </c>
      <c r="H822" s="117" t="s">
        <v>1490</v>
      </c>
      <c r="I822" s="35"/>
      <c r="J822" s="36"/>
      <c r="K822" s="36"/>
      <c r="L822" s="36"/>
      <c r="M822" s="36"/>
      <c r="N822" s="36"/>
      <c r="O822" s="36"/>
      <c r="P822" s="36"/>
      <c r="Q822" s="36"/>
      <c r="R822" s="36"/>
      <c r="S822" s="36"/>
      <c r="T822" s="36"/>
      <c r="U822" s="36"/>
      <c r="V822" s="36"/>
      <c r="W822" s="36"/>
      <c r="X822" s="36"/>
      <c r="Y822" s="36"/>
      <c r="Z822" s="36"/>
      <c r="AA822" s="36"/>
      <c r="AB822" s="36"/>
    </row>
    <row r="823" spans="1:28" ht="24" hidden="1" customHeight="1">
      <c r="A823" s="207" t="s">
        <v>1025</v>
      </c>
      <c r="B823" s="117">
        <v>2011</v>
      </c>
      <c r="C823" s="117" t="s">
        <v>61</v>
      </c>
      <c r="D823" s="195" t="s">
        <v>1026</v>
      </c>
      <c r="E823" s="117" t="s">
        <v>41</v>
      </c>
      <c r="F823" s="117" t="s">
        <v>97</v>
      </c>
      <c r="G823" s="211" t="s">
        <v>43</v>
      </c>
      <c r="H823" s="117" t="s">
        <v>1490</v>
      </c>
      <c r="I823" s="35"/>
      <c r="J823" s="36"/>
      <c r="K823" s="36"/>
      <c r="L823" s="36"/>
      <c r="M823" s="36"/>
      <c r="N823" s="36"/>
      <c r="O823" s="36"/>
      <c r="P823" s="36"/>
      <c r="Q823" s="36"/>
      <c r="R823" s="36"/>
      <c r="S823" s="36"/>
      <c r="T823" s="36"/>
      <c r="U823" s="36"/>
      <c r="V823" s="36"/>
      <c r="W823" s="36"/>
      <c r="X823" s="36"/>
      <c r="Y823" s="36"/>
      <c r="Z823" s="36"/>
      <c r="AA823" s="36"/>
      <c r="AB823" s="36"/>
    </row>
    <row r="824" spans="1:28" ht="48" hidden="1" customHeight="1">
      <c r="A824" s="207" t="s">
        <v>1029</v>
      </c>
      <c r="B824" s="117">
        <v>2011</v>
      </c>
      <c r="C824" s="117" t="s">
        <v>61</v>
      </c>
      <c r="D824" s="195" t="s">
        <v>1712</v>
      </c>
      <c r="E824" s="117" t="s">
        <v>41</v>
      </c>
      <c r="F824" s="117" t="s">
        <v>97</v>
      </c>
      <c r="G824" s="211" t="s">
        <v>43</v>
      </c>
      <c r="H824" s="117" t="s">
        <v>1490</v>
      </c>
      <c r="I824" s="35"/>
      <c r="J824" s="36"/>
      <c r="K824" s="36"/>
      <c r="L824" s="36"/>
      <c r="M824" s="36"/>
      <c r="N824" s="36"/>
      <c r="O824" s="36"/>
      <c r="P824" s="36"/>
      <c r="Q824" s="36"/>
      <c r="R824" s="36"/>
      <c r="S824" s="36"/>
      <c r="T824" s="36"/>
      <c r="U824" s="36"/>
      <c r="V824" s="36"/>
      <c r="W824" s="36"/>
      <c r="X824" s="36"/>
      <c r="Y824" s="36"/>
      <c r="Z824" s="36"/>
      <c r="AA824" s="36"/>
      <c r="AB824" s="36"/>
    </row>
    <row r="825" spans="1:28" ht="24" hidden="1" customHeight="1">
      <c r="A825" s="207" t="s">
        <v>1261</v>
      </c>
      <c r="B825" s="117">
        <v>2011</v>
      </c>
      <c r="C825" s="117" t="s">
        <v>61</v>
      </c>
      <c r="D825" s="195" t="s">
        <v>1028</v>
      </c>
      <c r="E825" s="117" t="s">
        <v>41</v>
      </c>
      <c r="F825" s="117" t="s">
        <v>97</v>
      </c>
      <c r="G825" s="211" t="s">
        <v>43</v>
      </c>
      <c r="H825" s="117" t="s">
        <v>1490</v>
      </c>
      <c r="I825" s="35"/>
      <c r="J825" s="36"/>
      <c r="K825" s="36"/>
      <c r="L825" s="36"/>
      <c r="M825" s="36"/>
      <c r="N825" s="36"/>
      <c r="O825" s="36"/>
      <c r="P825" s="36"/>
      <c r="Q825" s="36"/>
      <c r="R825" s="36"/>
      <c r="S825" s="36"/>
      <c r="T825" s="36"/>
      <c r="U825" s="36"/>
      <c r="V825" s="36"/>
      <c r="W825" s="36"/>
      <c r="X825" s="36"/>
      <c r="Y825" s="36"/>
      <c r="Z825" s="36"/>
      <c r="AA825" s="36"/>
      <c r="AB825" s="36"/>
    </row>
    <row r="826" spans="1:28" ht="36" hidden="1" customHeight="1">
      <c r="A826" s="207" t="s">
        <v>1713</v>
      </c>
      <c r="B826" s="117">
        <v>2011</v>
      </c>
      <c r="C826" s="117" t="s">
        <v>520</v>
      </c>
      <c r="D826" s="195" t="s">
        <v>1714</v>
      </c>
      <c r="E826" s="117" t="s">
        <v>41</v>
      </c>
      <c r="F826" s="117" t="s">
        <v>97</v>
      </c>
      <c r="G826" s="211" t="s">
        <v>43</v>
      </c>
      <c r="H826" s="117" t="s">
        <v>1490</v>
      </c>
      <c r="I826" s="35"/>
      <c r="J826" s="36"/>
      <c r="K826" s="36"/>
      <c r="L826" s="36"/>
      <c r="M826" s="36"/>
      <c r="N826" s="36"/>
      <c r="O826" s="36"/>
      <c r="P826" s="36"/>
      <c r="Q826" s="36"/>
      <c r="R826" s="36"/>
      <c r="S826" s="36"/>
      <c r="T826" s="36"/>
      <c r="U826" s="36"/>
      <c r="V826" s="36"/>
      <c r="W826" s="36"/>
      <c r="X826" s="36"/>
      <c r="Y826" s="36"/>
      <c r="Z826" s="36"/>
      <c r="AA826" s="36"/>
      <c r="AB826" s="36"/>
    </row>
    <row r="827" spans="1:28" ht="36" hidden="1" customHeight="1">
      <c r="A827" s="207" t="s">
        <v>1715</v>
      </c>
      <c r="B827" s="117">
        <v>2011</v>
      </c>
      <c r="C827" s="117" t="s">
        <v>520</v>
      </c>
      <c r="D827" s="195" t="s">
        <v>1716</v>
      </c>
      <c r="E827" s="117" t="s">
        <v>41</v>
      </c>
      <c r="F827" s="117" t="s">
        <v>97</v>
      </c>
      <c r="G827" s="211" t="s">
        <v>43</v>
      </c>
      <c r="H827" s="117" t="s">
        <v>1490</v>
      </c>
      <c r="I827" s="35"/>
      <c r="J827" s="36"/>
      <c r="K827" s="36"/>
      <c r="L827" s="36"/>
      <c r="M827" s="36"/>
      <c r="N827" s="36"/>
      <c r="O827" s="36"/>
      <c r="P827" s="36"/>
      <c r="Q827" s="36"/>
      <c r="R827" s="36"/>
      <c r="S827" s="36"/>
      <c r="T827" s="36"/>
      <c r="U827" s="36"/>
      <c r="V827" s="36"/>
      <c r="W827" s="36"/>
      <c r="X827" s="36"/>
      <c r="Y827" s="36"/>
      <c r="Z827" s="36"/>
      <c r="AA827" s="36"/>
      <c r="AB827" s="36"/>
    </row>
    <row r="828" spans="1:28" ht="36" hidden="1" customHeight="1">
      <c r="A828" s="207" t="s">
        <v>1717</v>
      </c>
      <c r="B828" s="117">
        <v>2011</v>
      </c>
      <c r="C828" s="117" t="s">
        <v>520</v>
      </c>
      <c r="D828" s="195" t="s">
        <v>1718</v>
      </c>
      <c r="E828" s="117" t="s">
        <v>41</v>
      </c>
      <c r="F828" s="117" t="s">
        <v>97</v>
      </c>
      <c r="G828" s="211" t="s">
        <v>43</v>
      </c>
      <c r="H828" s="117" t="s">
        <v>1490</v>
      </c>
      <c r="I828" s="35"/>
      <c r="J828" s="36"/>
      <c r="K828" s="36"/>
      <c r="L828" s="36"/>
      <c r="M828" s="36"/>
      <c r="N828" s="36"/>
      <c r="O828" s="36"/>
      <c r="P828" s="36"/>
      <c r="Q828" s="36"/>
      <c r="R828" s="36"/>
      <c r="S828" s="36"/>
      <c r="T828" s="36"/>
      <c r="U828" s="36"/>
      <c r="V828" s="36"/>
      <c r="W828" s="36"/>
      <c r="X828" s="36"/>
      <c r="Y828" s="36"/>
      <c r="Z828" s="36"/>
      <c r="AA828" s="36"/>
      <c r="AB828" s="36"/>
    </row>
    <row r="829" spans="1:28" ht="24" hidden="1" customHeight="1">
      <c r="A829" s="207" t="s">
        <v>1719</v>
      </c>
      <c r="B829" s="117">
        <v>2011</v>
      </c>
      <c r="C829" s="117" t="s">
        <v>520</v>
      </c>
      <c r="D829" s="195" t="s">
        <v>1720</v>
      </c>
      <c r="E829" s="117" t="s">
        <v>41</v>
      </c>
      <c r="F829" s="117" t="s">
        <v>97</v>
      </c>
      <c r="G829" s="211" t="s">
        <v>43</v>
      </c>
      <c r="H829" s="117" t="s">
        <v>1490</v>
      </c>
      <c r="I829" s="35"/>
      <c r="J829" s="36"/>
      <c r="K829" s="36"/>
      <c r="L829" s="36"/>
      <c r="M829" s="36"/>
      <c r="N829" s="36"/>
      <c r="O829" s="36"/>
      <c r="P829" s="36"/>
      <c r="Q829" s="36"/>
      <c r="R829" s="36"/>
      <c r="S829" s="36"/>
      <c r="T829" s="36"/>
      <c r="U829" s="36"/>
      <c r="V829" s="36"/>
      <c r="W829" s="36"/>
      <c r="X829" s="36"/>
      <c r="Y829" s="36"/>
      <c r="Z829" s="36"/>
      <c r="AA829" s="36"/>
      <c r="AB829" s="36"/>
    </row>
    <row r="830" spans="1:28" ht="24" hidden="1" customHeight="1">
      <c r="A830" s="207" t="s">
        <v>1721</v>
      </c>
      <c r="B830" s="117">
        <v>2012</v>
      </c>
      <c r="C830" s="117" t="s">
        <v>57</v>
      </c>
      <c r="D830" s="195" t="s">
        <v>1722</v>
      </c>
      <c r="E830" s="117" t="s">
        <v>41</v>
      </c>
      <c r="F830" s="117" t="s">
        <v>97</v>
      </c>
      <c r="G830" s="211" t="s">
        <v>43</v>
      </c>
      <c r="H830" s="117" t="s">
        <v>1490</v>
      </c>
      <c r="I830" s="35"/>
      <c r="J830" s="36"/>
      <c r="K830" s="36"/>
      <c r="L830" s="36"/>
      <c r="M830" s="36"/>
      <c r="N830" s="36"/>
      <c r="O830" s="36"/>
      <c r="P830" s="36"/>
      <c r="Q830" s="36"/>
      <c r="R830" s="36"/>
      <c r="S830" s="36"/>
      <c r="T830" s="36"/>
      <c r="U830" s="36"/>
      <c r="V830" s="36"/>
      <c r="W830" s="36"/>
      <c r="X830" s="36"/>
      <c r="Y830" s="36"/>
      <c r="Z830" s="36"/>
      <c r="AA830" s="36"/>
      <c r="AB830" s="36"/>
    </row>
    <row r="831" spans="1:28" ht="24" hidden="1" customHeight="1">
      <c r="A831" s="207" t="s">
        <v>834</v>
      </c>
      <c r="B831" s="206">
        <v>2013</v>
      </c>
      <c r="C831" s="117" t="s">
        <v>61</v>
      </c>
      <c r="D831" s="195" t="s">
        <v>547</v>
      </c>
      <c r="E831" s="117" t="s">
        <v>41</v>
      </c>
      <c r="F831" s="117" t="s">
        <v>97</v>
      </c>
      <c r="G831" s="211" t="s">
        <v>43</v>
      </c>
      <c r="H831" s="117" t="s">
        <v>1490</v>
      </c>
      <c r="I831" s="35"/>
      <c r="J831" s="36"/>
      <c r="K831" s="36"/>
      <c r="L831" s="36"/>
      <c r="M831" s="36"/>
      <c r="N831" s="36"/>
      <c r="O831" s="36"/>
      <c r="P831" s="36"/>
      <c r="Q831" s="36"/>
      <c r="R831" s="36"/>
      <c r="S831" s="36"/>
      <c r="T831" s="36"/>
      <c r="U831" s="36"/>
      <c r="V831" s="36"/>
      <c r="W831" s="36"/>
      <c r="X831" s="36"/>
      <c r="Y831" s="36"/>
      <c r="Z831" s="36"/>
      <c r="AA831" s="36"/>
      <c r="AB831" s="36"/>
    </row>
    <row r="832" spans="1:28" ht="84" hidden="1" customHeight="1">
      <c r="A832" s="207" t="s">
        <v>1548</v>
      </c>
      <c r="B832" s="117">
        <v>2013</v>
      </c>
      <c r="C832" s="117" t="s">
        <v>61</v>
      </c>
      <c r="D832" s="195" t="s">
        <v>1723</v>
      </c>
      <c r="E832" s="117" t="s">
        <v>41</v>
      </c>
      <c r="F832" s="117" t="s">
        <v>97</v>
      </c>
      <c r="G832" s="211" t="s">
        <v>43</v>
      </c>
      <c r="H832" s="117" t="s">
        <v>1490</v>
      </c>
      <c r="I832" s="35"/>
      <c r="J832" s="36"/>
      <c r="K832" s="36"/>
      <c r="L832" s="36"/>
      <c r="M832" s="36"/>
      <c r="N832" s="36"/>
      <c r="O832" s="36"/>
      <c r="P832" s="36"/>
      <c r="Q832" s="36"/>
      <c r="R832" s="36"/>
      <c r="S832" s="36"/>
      <c r="T832" s="36"/>
      <c r="U832" s="36"/>
      <c r="V832" s="36"/>
      <c r="W832" s="36"/>
      <c r="X832" s="36"/>
      <c r="Y832" s="36"/>
      <c r="Z832" s="36"/>
      <c r="AA832" s="36"/>
      <c r="AB832" s="36"/>
    </row>
    <row r="833" spans="1:28" ht="24" hidden="1" customHeight="1">
      <c r="A833" s="207" t="s">
        <v>1724</v>
      </c>
      <c r="B833" s="117">
        <v>2013</v>
      </c>
      <c r="C833" s="117" t="s">
        <v>520</v>
      </c>
      <c r="D833" s="195" t="s">
        <v>1725</v>
      </c>
      <c r="E833" s="117" t="s">
        <v>41</v>
      </c>
      <c r="F833" s="117" t="s">
        <v>97</v>
      </c>
      <c r="G833" s="211" t="s">
        <v>43</v>
      </c>
      <c r="H833" s="117" t="s">
        <v>1490</v>
      </c>
      <c r="I833" s="35"/>
      <c r="J833" s="36"/>
      <c r="K833" s="36"/>
      <c r="L833" s="36"/>
      <c r="M833" s="36"/>
      <c r="N833" s="36"/>
      <c r="O833" s="36"/>
      <c r="P833" s="36"/>
      <c r="Q833" s="36"/>
      <c r="R833" s="36"/>
      <c r="S833" s="36"/>
      <c r="T833" s="36"/>
      <c r="U833" s="36"/>
      <c r="V833" s="36"/>
      <c r="W833" s="36"/>
      <c r="X833" s="36"/>
      <c r="Y833" s="36"/>
      <c r="Z833" s="36"/>
      <c r="AA833" s="36"/>
      <c r="AB833" s="36"/>
    </row>
    <row r="834" spans="1:28" ht="60" hidden="1" customHeight="1">
      <c r="A834" s="207" t="s">
        <v>1726</v>
      </c>
      <c r="B834" s="117">
        <v>2015</v>
      </c>
      <c r="C834" s="117" t="s">
        <v>57</v>
      </c>
      <c r="D834" s="195" t="s">
        <v>1727</v>
      </c>
      <c r="E834" s="117" t="s">
        <v>1728</v>
      </c>
      <c r="F834" s="117" t="s">
        <v>1729</v>
      </c>
      <c r="G834" s="211" t="s">
        <v>43</v>
      </c>
      <c r="H834" s="117" t="s">
        <v>1490</v>
      </c>
      <c r="I834" s="35"/>
      <c r="J834" s="36"/>
      <c r="K834" s="36"/>
      <c r="L834" s="36"/>
      <c r="M834" s="36"/>
      <c r="N834" s="36"/>
      <c r="O834" s="36"/>
      <c r="P834" s="36"/>
      <c r="Q834" s="36"/>
      <c r="R834" s="36"/>
      <c r="S834" s="36"/>
      <c r="T834" s="36"/>
      <c r="U834" s="36"/>
      <c r="V834" s="36"/>
      <c r="W834" s="36"/>
      <c r="X834" s="36"/>
      <c r="Y834" s="36"/>
      <c r="Z834" s="36"/>
      <c r="AA834" s="36"/>
      <c r="AB834" s="36"/>
    </row>
    <row r="835" spans="1:28" ht="36" hidden="1" customHeight="1">
      <c r="A835" s="207" t="s">
        <v>1730</v>
      </c>
      <c r="B835" s="117">
        <v>2015</v>
      </c>
      <c r="C835" s="117" t="s">
        <v>61</v>
      </c>
      <c r="D835" s="195" t="s">
        <v>1731</v>
      </c>
      <c r="E835" s="117" t="s">
        <v>41</v>
      </c>
      <c r="F835" s="117" t="s">
        <v>97</v>
      </c>
      <c r="G835" s="211" t="s">
        <v>43</v>
      </c>
      <c r="H835" s="117" t="s">
        <v>1490</v>
      </c>
      <c r="I835" s="35"/>
      <c r="J835" s="36"/>
      <c r="K835" s="36"/>
      <c r="L835" s="36"/>
      <c r="M835" s="36"/>
      <c r="N835" s="36"/>
      <c r="O835" s="36"/>
      <c r="P835" s="36"/>
      <c r="Q835" s="36"/>
      <c r="R835" s="36"/>
      <c r="S835" s="36"/>
      <c r="T835" s="36"/>
      <c r="U835" s="36"/>
      <c r="V835" s="36"/>
      <c r="W835" s="36"/>
      <c r="X835" s="36"/>
      <c r="Y835" s="36"/>
      <c r="Z835" s="36"/>
      <c r="AA835" s="36"/>
      <c r="AB835" s="36"/>
    </row>
    <row r="836" spans="1:28" ht="36" hidden="1" customHeight="1">
      <c r="A836" s="207" t="s">
        <v>1732</v>
      </c>
      <c r="B836" s="117">
        <v>2015</v>
      </c>
      <c r="C836" s="117" t="s">
        <v>61</v>
      </c>
      <c r="D836" s="195" t="s">
        <v>1733</v>
      </c>
      <c r="E836" s="117" t="s">
        <v>41</v>
      </c>
      <c r="F836" s="117" t="s">
        <v>97</v>
      </c>
      <c r="G836" s="211" t="s">
        <v>43</v>
      </c>
      <c r="H836" s="117" t="s">
        <v>1490</v>
      </c>
      <c r="I836" s="35"/>
      <c r="J836" s="36"/>
      <c r="K836" s="36"/>
      <c r="L836" s="36"/>
      <c r="M836" s="36"/>
      <c r="N836" s="36"/>
      <c r="O836" s="36"/>
      <c r="P836" s="36"/>
      <c r="Q836" s="36"/>
      <c r="R836" s="36"/>
      <c r="S836" s="36"/>
      <c r="T836" s="36"/>
      <c r="U836" s="36"/>
      <c r="V836" s="36"/>
      <c r="W836" s="36"/>
      <c r="X836" s="36"/>
      <c r="Y836" s="36"/>
      <c r="Z836" s="36"/>
      <c r="AA836" s="36"/>
      <c r="AB836" s="36"/>
    </row>
    <row r="837" spans="1:28" ht="84" hidden="1" customHeight="1">
      <c r="A837" s="207" t="s">
        <v>1426</v>
      </c>
      <c r="B837" s="117">
        <v>2016</v>
      </c>
      <c r="C837" s="117" t="s">
        <v>61</v>
      </c>
      <c r="D837" s="195" t="s">
        <v>1552</v>
      </c>
      <c r="E837" s="117" t="s">
        <v>41</v>
      </c>
      <c r="F837" s="117" t="s">
        <v>97</v>
      </c>
      <c r="G837" s="211" t="s">
        <v>43</v>
      </c>
      <c r="H837" s="117" t="s">
        <v>1490</v>
      </c>
      <c r="I837" s="35"/>
      <c r="J837" s="36"/>
      <c r="K837" s="36"/>
      <c r="L837" s="36"/>
      <c r="M837" s="36"/>
      <c r="N837" s="36"/>
      <c r="O837" s="36"/>
      <c r="P837" s="36"/>
      <c r="Q837" s="36"/>
      <c r="R837" s="36"/>
      <c r="S837" s="36"/>
      <c r="T837" s="36"/>
      <c r="U837" s="36"/>
      <c r="V837" s="36"/>
      <c r="W837" s="36"/>
      <c r="X837" s="36"/>
      <c r="Y837" s="36"/>
      <c r="Z837" s="36"/>
      <c r="AA837" s="36"/>
      <c r="AB837" s="36"/>
    </row>
    <row r="838" spans="1:28" ht="48" hidden="1" customHeight="1">
      <c r="A838" s="207" t="s">
        <v>1553</v>
      </c>
      <c r="B838" s="117">
        <v>2016</v>
      </c>
      <c r="C838" s="117" t="s">
        <v>57</v>
      </c>
      <c r="D838" s="195" t="s">
        <v>1734</v>
      </c>
      <c r="E838" s="117" t="s">
        <v>41</v>
      </c>
      <c r="F838" s="117" t="s">
        <v>97</v>
      </c>
      <c r="G838" s="211" t="s">
        <v>43</v>
      </c>
      <c r="H838" s="117" t="s">
        <v>1490</v>
      </c>
      <c r="I838" s="35"/>
      <c r="J838" s="36"/>
      <c r="K838" s="36"/>
      <c r="L838" s="36"/>
      <c r="M838" s="36"/>
      <c r="N838" s="36"/>
      <c r="O838" s="36"/>
      <c r="P838" s="36"/>
      <c r="Q838" s="36"/>
      <c r="R838" s="36"/>
      <c r="S838" s="36"/>
      <c r="T838" s="36"/>
      <c r="U838" s="36"/>
      <c r="V838" s="36"/>
      <c r="W838" s="36"/>
      <c r="X838" s="36"/>
      <c r="Y838" s="36"/>
      <c r="Z838" s="36"/>
      <c r="AA838" s="36"/>
      <c r="AB838" s="36"/>
    </row>
    <row r="839" spans="1:28" ht="36" hidden="1" customHeight="1">
      <c r="A839" s="207" t="s">
        <v>1735</v>
      </c>
      <c r="B839" s="117">
        <v>2017</v>
      </c>
      <c r="C839" s="117" t="s">
        <v>61</v>
      </c>
      <c r="D839" s="195" t="s">
        <v>1736</v>
      </c>
      <c r="E839" s="117" t="s">
        <v>41</v>
      </c>
      <c r="F839" s="117" t="s">
        <v>97</v>
      </c>
      <c r="G839" s="211" t="s">
        <v>43</v>
      </c>
      <c r="H839" s="117" t="s">
        <v>1490</v>
      </c>
      <c r="I839" s="35"/>
      <c r="J839" s="36"/>
      <c r="K839" s="36"/>
      <c r="L839" s="36"/>
      <c r="M839" s="36"/>
      <c r="N839" s="36"/>
      <c r="O839" s="36"/>
      <c r="P839" s="36"/>
      <c r="Q839" s="36"/>
      <c r="R839" s="36"/>
      <c r="S839" s="36"/>
      <c r="T839" s="36"/>
      <c r="U839" s="36"/>
      <c r="V839" s="36"/>
      <c r="W839" s="36"/>
      <c r="X839" s="36"/>
      <c r="Y839" s="36"/>
      <c r="Z839" s="36"/>
      <c r="AA839" s="36"/>
      <c r="AB839" s="36"/>
    </row>
    <row r="840" spans="1:28" ht="36" hidden="1" customHeight="1">
      <c r="A840" s="207" t="s">
        <v>1737</v>
      </c>
      <c r="B840" s="117">
        <v>2017</v>
      </c>
      <c r="C840" s="117" t="s">
        <v>61</v>
      </c>
      <c r="D840" s="195" t="s">
        <v>1738</v>
      </c>
      <c r="E840" s="117" t="s">
        <v>41</v>
      </c>
      <c r="F840" s="117" t="s">
        <v>97</v>
      </c>
      <c r="G840" s="211" t="s">
        <v>43</v>
      </c>
      <c r="H840" s="117" t="s">
        <v>1490</v>
      </c>
      <c r="I840" s="35"/>
      <c r="J840" s="36"/>
      <c r="K840" s="36"/>
      <c r="L840" s="36"/>
      <c r="M840" s="36"/>
      <c r="N840" s="36"/>
      <c r="O840" s="36"/>
      <c r="P840" s="36"/>
      <c r="Q840" s="36"/>
      <c r="R840" s="36"/>
      <c r="S840" s="36"/>
      <c r="T840" s="36"/>
      <c r="U840" s="36"/>
      <c r="V840" s="36"/>
      <c r="W840" s="36"/>
      <c r="X840" s="36"/>
      <c r="Y840" s="36"/>
      <c r="Z840" s="36"/>
      <c r="AA840" s="36"/>
      <c r="AB840" s="36"/>
    </row>
    <row r="841" spans="1:28" ht="36" hidden="1" customHeight="1">
      <c r="A841" s="207" t="s">
        <v>1739</v>
      </c>
      <c r="B841" s="117">
        <v>2017</v>
      </c>
      <c r="C841" s="117" t="s">
        <v>61</v>
      </c>
      <c r="D841" s="195" t="s">
        <v>1740</v>
      </c>
      <c r="E841" s="117" t="s">
        <v>41</v>
      </c>
      <c r="F841" s="117" t="s">
        <v>97</v>
      </c>
      <c r="G841" s="211" t="s">
        <v>43</v>
      </c>
      <c r="H841" s="117" t="s">
        <v>1490</v>
      </c>
      <c r="I841" s="35"/>
      <c r="J841" s="36"/>
      <c r="K841" s="36"/>
      <c r="L841" s="36"/>
      <c r="M841" s="36"/>
      <c r="N841" s="36"/>
      <c r="O841" s="36"/>
      <c r="P841" s="36"/>
      <c r="Q841" s="36"/>
      <c r="R841" s="36"/>
      <c r="S841" s="36"/>
      <c r="T841" s="36"/>
      <c r="U841" s="36"/>
      <c r="V841" s="36"/>
      <c r="W841" s="36"/>
      <c r="X841" s="36"/>
      <c r="Y841" s="36"/>
      <c r="Z841" s="36"/>
      <c r="AA841" s="36"/>
      <c r="AB841" s="36"/>
    </row>
    <row r="842" spans="1:28" ht="48" hidden="1" customHeight="1">
      <c r="A842" s="207" t="s">
        <v>1741</v>
      </c>
      <c r="B842" s="117">
        <v>2017</v>
      </c>
      <c r="C842" s="117" t="s">
        <v>61</v>
      </c>
      <c r="D842" s="195" t="s">
        <v>1742</v>
      </c>
      <c r="E842" s="117" t="s">
        <v>41</v>
      </c>
      <c r="F842" s="117" t="s">
        <v>97</v>
      </c>
      <c r="G842" s="211" t="s">
        <v>43</v>
      </c>
      <c r="H842" s="117" t="s">
        <v>1490</v>
      </c>
      <c r="I842" s="35"/>
      <c r="J842" s="36"/>
      <c r="K842" s="36"/>
      <c r="L842" s="36"/>
      <c r="M842" s="36"/>
      <c r="N842" s="36"/>
      <c r="O842" s="36"/>
      <c r="P842" s="36"/>
      <c r="Q842" s="36"/>
      <c r="R842" s="36"/>
      <c r="S842" s="36"/>
      <c r="T842" s="36"/>
      <c r="U842" s="36"/>
      <c r="V842" s="36"/>
      <c r="W842" s="36"/>
      <c r="X842" s="36"/>
      <c r="Y842" s="36"/>
      <c r="Z842" s="36"/>
      <c r="AA842" s="36"/>
      <c r="AB842" s="36"/>
    </row>
    <row r="843" spans="1:28" ht="48" hidden="1" customHeight="1">
      <c r="A843" s="208" t="s">
        <v>1743</v>
      </c>
      <c r="B843" s="117">
        <v>2018</v>
      </c>
      <c r="C843" s="117" t="s">
        <v>61</v>
      </c>
      <c r="D843" s="195" t="s">
        <v>1744</v>
      </c>
      <c r="E843" s="117" t="s">
        <v>1745</v>
      </c>
      <c r="F843" s="117" t="s">
        <v>1746</v>
      </c>
      <c r="G843" s="211" t="s">
        <v>43</v>
      </c>
      <c r="H843" s="117" t="s">
        <v>1490</v>
      </c>
      <c r="I843" s="35"/>
      <c r="J843" s="36"/>
      <c r="K843" s="36"/>
      <c r="L843" s="36"/>
      <c r="M843" s="36"/>
      <c r="N843" s="36"/>
      <c r="O843" s="36"/>
      <c r="P843" s="36"/>
      <c r="Q843" s="36"/>
      <c r="R843" s="36"/>
      <c r="S843" s="36"/>
      <c r="T843" s="36"/>
      <c r="U843" s="36"/>
      <c r="V843" s="36"/>
      <c r="W843" s="36"/>
      <c r="X843" s="36"/>
      <c r="Y843" s="36"/>
      <c r="Z843" s="36"/>
      <c r="AA843" s="36"/>
      <c r="AB843" s="36"/>
    </row>
    <row r="844" spans="1:28" ht="48" hidden="1" customHeight="1">
      <c r="A844" s="207" t="s">
        <v>101</v>
      </c>
      <c r="B844" s="198">
        <v>2018</v>
      </c>
      <c r="C844" s="117" t="s">
        <v>61</v>
      </c>
      <c r="D844" s="195" t="s">
        <v>1747</v>
      </c>
      <c r="E844" s="117" t="s">
        <v>41</v>
      </c>
      <c r="F844" s="117" t="s">
        <v>97</v>
      </c>
      <c r="G844" s="211" t="s">
        <v>43</v>
      </c>
      <c r="H844" s="117" t="s">
        <v>1490</v>
      </c>
      <c r="I844" s="35"/>
      <c r="J844" s="36"/>
      <c r="K844" s="36"/>
      <c r="L844" s="36"/>
      <c r="M844" s="36"/>
      <c r="N844" s="36"/>
      <c r="O844" s="36"/>
      <c r="P844" s="36"/>
      <c r="Q844" s="36"/>
      <c r="R844" s="36"/>
      <c r="S844" s="36"/>
      <c r="T844" s="36"/>
      <c r="U844" s="36"/>
      <c r="V844" s="36"/>
      <c r="W844" s="36"/>
      <c r="X844" s="36"/>
      <c r="Y844" s="36"/>
      <c r="Z844" s="36"/>
      <c r="AA844" s="36"/>
      <c r="AB844" s="36"/>
    </row>
    <row r="845" spans="1:28" ht="36" hidden="1" customHeight="1">
      <c r="A845" s="199" t="s">
        <v>1748</v>
      </c>
      <c r="B845" s="198">
        <v>1999</v>
      </c>
      <c r="C845" s="117" t="s">
        <v>1749</v>
      </c>
      <c r="D845" s="195" t="s">
        <v>1750</v>
      </c>
      <c r="E845" s="117" t="s">
        <v>41</v>
      </c>
      <c r="F845" s="117" t="s">
        <v>97</v>
      </c>
      <c r="G845" s="211" t="s">
        <v>43</v>
      </c>
      <c r="H845" s="117" t="s">
        <v>1490</v>
      </c>
      <c r="I845" s="35"/>
      <c r="J845" s="36"/>
      <c r="K845" s="36"/>
      <c r="L845" s="36"/>
      <c r="M845" s="36"/>
      <c r="N845" s="36"/>
      <c r="O845" s="36"/>
      <c r="P845" s="36"/>
      <c r="Q845" s="36"/>
      <c r="R845" s="36"/>
      <c r="S845" s="36"/>
      <c r="T845" s="36"/>
      <c r="U845" s="36"/>
      <c r="V845" s="36"/>
      <c r="W845" s="36"/>
      <c r="X845" s="36"/>
      <c r="Y845" s="36"/>
      <c r="Z845" s="36"/>
      <c r="AA845" s="36"/>
      <c r="AB845" s="36"/>
    </row>
    <row r="846" spans="1:28" ht="24" hidden="1" customHeight="1">
      <c r="A846" s="199" t="s">
        <v>1751</v>
      </c>
      <c r="B846" s="198">
        <v>2002</v>
      </c>
      <c r="C846" s="117" t="s">
        <v>195</v>
      </c>
      <c r="D846" s="195" t="s">
        <v>1752</v>
      </c>
      <c r="E846" s="117" t="s">
        <v>41</v>
      </c>
      <c r="F846" s="117" t="s">
        <v>97</v>
      </c>
      <c r="G846" s="211" t="s">
        <v>43</v>
      </c>
      <c r="H846" s="117" t="s">
        <v>1490</v>
      </c>
      <c r="I846" s="35"/>
      <c r="J846" s="36"/>
      <c r="K846" s="36"/>
      <c r="L846" s="36"/>
      <c r="M846" s="36"/>
      <c r="N846" s="36"/>
      <c r="O846" s="36"/>
      <c r="P846" s="36"/>
      <c r="Q846" s="36"/>
      <c r="R846" s="36"/>
      <c r="S846" s="36"/>
      <c r="T846" s="36"/>
      <c r="U846" s="36"/>
      <c r="V846" s="36"/>
      <c r="W846" s="36"/>
      <c r="X846" s="36"/>
      <c r="Y846" s="36"/>
      <c r="Z846" s="36"/>
      <c r="AA846" s="36"/>
      <c r="AB846" s="36"/>
    </row>
    <row r="847" spans="1:28" ht="36" hidden="1" customHeight="1">
      <c r="A847" s="199" t="s">
        <v>1753</v>
      </c>
      <c r="B847" s="198">
        <v>2003</v>
      </c>
      <c r="C847" s="117" t="s">
        <v>195</v>
      </c>
      <c r="D847" s="195" t="s">
        <v>1272</v>
      </c>
      <c r="E847" s="117" t="s">
        <v>1754</v>
      </c>
      <c r="F847" s="195" t="s">
        <v>1755</v>
      </c>
      <c r="G847" s="211" t="s">
        <v>43</v>
      </c>
      <c r="H847" s="117" t="s">
        <v>1490</v>
      </c>
      <c r="I847" s="35"/>
      <c r="J847" s="36"/>
      <c r="K847" s="36"/>
      <c r="L847" s="36"/>
      <c r="M847" s="36"/>
      <c r="N847" s="36"/>
      <c r="O847" s="36"/>
      <c r="P847" s="36"/>
      <c r="Q847" s="36"/>
      <c r="R847" s="36"/>
      <c r="S847" s="36"/>
      <c r="T847" s="36"/>
      <c r="U847" s="36"/>
      <c r="V847" s="36"/>
      <c r="W847" s="36"/>
      <c r="X847" s="36"/>
      <c r="Y847" s="36"/>
      <c r="Z847" s="36"/>
      <c r="AA847" s="36"/>
      <c r="AB847" s="36"/>
    </row>
    <row r="848" spans="1:28" ht="36" hidden="1" customHeight="1">
      <c r="A848" s="199" t="s">
        <v>1756</v>
      </c>
      <c r="B848" s="198">
        <v>2004</v>
      </c>
      <c r="C848" s="117" t="s">
        <v>195</v>
      </c>
      <c r="D848" s="195" t="s">
        <v>1757</v>
      </c>
      <c r="E848" s="117" t="s">
        <v>41</v>
      </c>
      <c r="F848" s="195" t="s">
        <v>1758</v>
      </c>
      <c r="G848" s="211" t="s">
        <v>43</v>
      </c>
      <c r="H848" s="117" t="s">
        <v>1490</v>
      </c>
      <c r="I848" s="35"/>
      <c r="J848" s="36"/>
      <c r="K848" s="36"/>
      <c r="L848" s="36"/>
      <c r="M848" s="36"/>
      <c r="N848" s="36"/>
      <c r="O848" s="36"/>
      <c r="P848" s="36"/>
      <c r="Q848" s="36"/>
      <c r="R848" s="36"/>
      <c r="S848" s="36"/>
      <c r="T848" s="36"/>
      <c r="U848" s="36"/>
      <c r="V848" s="36"/>
      <c r="W848" s="36"/>
      <c r="X848" s="36"/>
      <c r="Y848" s="36"/>
      <c r="Z848" s="36"/>
      <c r="AA848" s="36"/>
      <c r="AB848" s="36"/>
    </row>
    <row r="849" spans="1:28" ht="36" hidden="1" customHeight="1">
      <c r="A849" s="199" t="s">
        <v>1569</v>
      </c>
      <c r="B849" s="198">
        <v>2005</v>
      </c>
      <c r="C849" s="117" t="s">
        <v>195</v>
      </c>
      <c r="D849" s="195" t="s">
        <v>1759</v>
      </c>
      <c r="E849" s="117" t="s">
        <v>41</v>
      </c>
      <c r="F849" s="117" t="s">
        <v>97</v>
      </c>
      <c r="G849" s="211" t="s">
        <v>43</v>
      </c>
      <c r="H849" s="117" t="s">
        <v>1490</v>
      </c>
      <c r="I849" s="35"/>
      <c r="J849" s="36"/>
      <c r="K849" s="36"/>
      <c r="L849" s="36"/>
      <c r="M849" s="36"/>
      <c r="N849" s="36"/>
      <c r="O849" s="36"/>
      <c r="P849" s="36"/>
      <c r="Q849" s="36"/>
      <c r="R849" s="36"/>
      <c r="S849" s="36"/>
      <c r="T849" s="36"/>
      <c r="U849" s="36"/>
      <c r="V849" s="36"/>
      <c r="W849" s="36"/>
      <c r="X849" s="36"/>
      <c r="Y849" s="36"/>
      <c r="Z849" s="36"/>
      <c r="AA849" s="36"/>
      <c r="AB849" s="36"/>
    </row>
    <row r="850" spans="1:28" ht="36" hidden="1" customHeight="1">
      <c r="A850" s="199" t="s">
        <v>1760</v>
      </c>
      <c r="B850" s="198">
        <v>2006</v>
      </c>
      <c r="C850" s="117" t="s">
        <v>195</v>
      </c>
      <c r="D850" s="195" t="s">
        <v>1761</v>
      </c>
      <c r="E850" s="117" t="s">
        <v>41</v>
      </c>
      <c r="F850" s="117" t="s">
        <v>97</v>
      </c>
      <c r="G850" s="211" t="s">
        <v>43</v>
      </c>
      <c r="H850" s="117" t="s">
        <v>1490</v>
      </c>
      <c r="I850" s="35"/>
      <c r="J850" s="36"/>
      <c r="K850" s="36"/>
      <c r="L850" s="36"/>
      <c r="M850" s="36"/>
      <c r="N850" s="36"/>
      <c r="O850" s="36"/>
      <c r="P850" s="36"/>
      <c r="Q850" s="36"/>
      <c r="R850" s="36"/>
      <c r="S850" s="36"/>
      <c r="T850" s="36"/>
      <c r="U850" s="36"/>
      <c r="V850" s="36"/>
      <c r="W850" s="36"/>
      <c r="X850" s="36"/>
      <c r="Y850" s="36"/>
      <c r="Z850" s="36"/>
      <c r="AA850" s="36"/>
      <c r="AB850" s="36"/>
    </row>
    <row r="851" spans="1:28" ht="288" hidden="1" customHeight="1">
      <c r="A851" s="199" t="s">
        <v>1762</v>
      </c>
      <c r="B851" s="198">
        <v>2017</v>
      </c>
      <c r="C851" s="117" t="s">
        <v>195</v>
      </c>
      <c r="D851" s="195" t="s">
        <v>1763</v>
      </c>
      <c r="E851" s="117" t="s">
        <v>1764</v>
      </c>
      <c r="F851" s="195" t="s">
        <v>1765</v>
      </c>
      <c r="G851" s="211" t="s">
        <v>43</v>
      </c>
      <c r="H851" s="117" t="s">
        <v>1490</v>
      </c>
      <c r="I851" s="35"/>
      <c r="J851" s="36"/>
      <c r="K851" s="36"/>
      <c r="L851" s="36"/>
      <c r="M851" s="36"/>
      <c r="N851" s="36"/>
      <c r="O851" s="36"/>
      <c r="P851" s="36"/>
      <c r="Q851" s="36"/>
      <c r="R851" s="36"/>
      <c r="S851" s="36"/>
      <c r="T851" s="36"/>
      <c r="U851" s="36"/>
      <c r="V851" s="36"/>
      <c r="W851" s="36"/>
      <c r="X851" s="36"/>
      <c r="Y851" s="36"/>
      <c r="Z851" s="36"/>
      <c r="AA851" s="36"/>
      <c r="AB851" s="36"/>
    </row>
    <row r="852" spans="1:28" ht="24" hidden="1" customHeight="1">
      <c r="A852" s="199" t="s">
        <v>1766</v>
      </c>
      <c r="B852" s="198">
        <v>2009</v>
      </c>
      <c r="C852" s="117" t="s">
        <v>195</v>
      </c>
      <c r="D852" s="195" t="s">
        <v>1767</v>
      </c>
      <c r="E852" s="117" t="s">
        <v>41</v>
      </c>
      <c r="F852" s="117" t="s">
        <v>97</v>
      </c>
      <c r="G852" s="211" t="s">
        <v>43</v>
      </c>
      <c r="H852" s="117" t="s">
        <v>1490</v>
      </c>
      <c r="I852" s="35"/>
      <c r="J852" s="36"/>
      <c r="K852" s="36"/>
      <c r="L852" s="36"/>
      <c r="M852" s="36"/>
      <c r="N852" s="36"/>
      <c r="O852" s="36"/>
      <c r="P852" s="36"/>
      <c r="Q852" s="36"/>
      <c r="R852" s="36"/>
      <c r="S852" s="36"/>
      <c r="T852" s="36"/>
      <c r="U852" s="36"/>
      <c r="V852" s="36"/>
      <c r="W852" s="36"/>
      <c r="X852" s="36"/>
      <c r="Y852" s="36"/>
      <c r="Z852" s="36"/>
      <c r="AA852" s="36"/>
      <c r="AB852" s="36"/>
    </row>
    <row r="853" spans="1:28" ht="60" hidden="1" customHeight="1">
      <c r="A853" s="199" t="s">
        <v>1768</v>
      </c>
      <c r="B853" s="198">
        <v>2009</v>
      </c>
      <c r="C853" s="117" t="s">
        <v>195</v>
      </c>
      <c r="D853" s="195" t="s">
        <v>1769</v>
      </c>
      <c r="E853" s="117" t="s">
        <v>41</v>
      </c>
      <c r="F853" s="117" t="s">
        <v>97</v>
      </c>
      <c r="G853" s="211" t="s">
        <v>43</v>
      </c>
      <c r="H853" s="117" t="s">
        <v>1490</v>
      </c>
      <c r="I853" s="35"/>
      <c r="J853" s="36"/>
      <c r="K853" s="36"/>
      <c r="L853" s="36"/>
      <c r="M853" s="36"/>
      <c r="N853" s="36"/>
      <c r="O853" s="36"/>
      <c r="P853" s="36"/>
      <c r="Q853" s="36"/>
      <c r="R853" s="36"/>
      <c r="S853" s="36"/>
      <c r="T853" s="36"/>
      <c r="U853" s="36"/>
      <c r="V853" s="36"/>
      <c r="W853" s="36"/>
      <c r="X853" s="36"/>
      <c r="Y853" s="36"/>
      <c r="Z853" s="36"/>
      <c r="AA853" s="36"/>
      <c r="AB853" s="36"/>
    </row>
    <row r="854" spans="1:28" ht="24" hidden="1" customHeight="1">
      <c r="A854" s="199" t="s">
        <v>1770</v>
      </c>
      <c r="B854" s="198">
        <v>2009</v>
      </c>
      <c r="C854" s="117" t="s">
        <v>195</v>
      </c>
      <c r="D854" s="195" t="s">
        <v>1771</v>
      </c>
      <c r="E854" s="117" t="s">
        <v>41</v>
      </c>
      <c r="F854" s="195" t="s">
        <v>1772</v>
      </c>
      <c r="G854" s="211" t="s">
        <v>43</v>
      </c>
      <c r="H854" s="117" t="s">
        <v>1490</v>
      </c>
      <c r="I854" s="35"/>
      <c r="J854" s="36"/>
      <c r="K854" s="36"/>
      <c r="L854" s="36"/>
      <c r="M854" s="36"/>
      <c r="N854" s="36"/>
      <c r="O854" s="36"/>
      <c r="P854" s="36"/>
      <c r="Q854" s="36"/>
      <c r="R854" s="36"/>
      <c r="S854" s="36"/>
      <c r="T854" s="36"/>
      <c r="U854" s="36"/>
      <c r="V854" s="36"/>
      <c r="W854" s="36"/>
      <c r="X854" s="36"/>
      <c r="Y854" s="36"/>
      <c r="Z854" s="36"/>
      <c r="AA854" s="36"/>
      <c r="AB854" s="36"/>
    </row>
    <row r="855" spans="1:28" ht="36" hidden="1" customHeight="1">
      <c r="A855" s="199" t="s">
        <v>1773</v>
      </c>
      <c r="B855" s="198">
        <v>2009</v>
      </c>
      <c r="C855" s="117" t="s">
        <v>195</v>
      </c>
      <c r="D855" s="195" t="s">
        <v>1774</v>
      </c>
      <c r="E855" s="117" t="s">
        <v>41</v>
      </c>
      <c r="F855" s="117" t="s">
        <v>97</v>
      </c>
      <c r="G855" s="211" t="s">
        <v>43</v>
      </c>
      <c r="H855" s="117" t="s">
        <v>1490</v>
      </c>
      <c r="I855" s="35"/>
      <c r="J855" s="36"/>
      <c r="K855" s="36"/>
      <c r="L855" s="36"/>
      <c r="M855" s="36"/>
      <c r="N855" s="36"/>
      <c r="O855" s="36"/>
      <c r="P855" s="36"/>
      <c r="Q855" s="36"/>
      <c r="R855" s="36"/>
      <c r="S855" s="36"/>
      <c r="T855" s="36"/>
      <c r="U855" s="36"/>
      <c r="V855" s="36"/>
      <c r="W855" s="36"/>
      <c r="X855" s="36"/>
      <c r="Y855" s="36"/>
      <c r="Z855" s="36"/>
      <c r="AA855" s="36"/>
      <c r="AB855" s="36"/>
    </row>
    <row r="856" spans="1:28" ht="24" hidden="1" customHeight="1">
      <c r="A856" s="199" t="s">
        <v>1775</v>
      </c>
      <c r="B856" s="198">
        <v>2008</v>
      </c>
      <c r="C856" s="117" t="s">
        <v>195</v>
      </c>
      <c r="D856" s="195" t="s">
        <v>1776</v>
      </c>
      <c r="E856" s="117" t="s">
        <v>41</v>
      </c>
      <c r="F856" s="117" t="s">
        <v>97</v>
      </c>
      <c r="G856" s="211" t="s">
        <v>43</v>
      </c>
      <c r="H856" s="117" t="s">
        <v>1490</v>
      </c>
      <c r="I856" s="35"/>
      <c r="J856" s="36"/>
      <c r="K856" s="36"/>
      <c r="L856" s="36"/>
      <c r="M856" s="36"/>
      <c r="N856" s="36"/>
      <c r="O856" s="36"/>
      <c r="P856" s="36"/>
      <c r="Q856" s="36"/>
      <c r="R856" s="36"/>
      <c r="S856" s="36"/>
      <c r="T856" s="36"/>
      <c r="U856" s="36"/>
      <c r="V856" s="36"/>
      <c r="W856" s="36"/>
      <c r="X856" s="36"/>
      <c r="Y856" s="36"/>
      <c r="Z856" s="36"/>
      <c r="AA856" s="36"/>
      <c r="AB856" s="36"/>
    </row>
    <row r="857" spans="1:28" ht="48" hidden="1" customHeight="1">
      <c r="A857" s="199" t="s">
        <v>1777</v>
      </c>
      <c r="B857" s="198">
        <v>2012</v>
      </c>
      <c r="C857" s="117" t="s">
        <v>195</v>
      </c>
      <c r="D857" s="195" t="s">
        <v>1778</v>
      </c>
      <c r="E857" s="117" t="s">
        <v>41</v>
      </c>
      <c r="F857" s="117" t="s">
        <v>97</v>
      </c>
      <c r="G857" s="211" t="s">
        <v>43</v>
      </c>
      <c r="H857" s="117" t="s">
        <v>1490</v>
      </c>
      <c r="I857" s="35"/>
      <c r="J857" s="36"/>
      <c r="K857" s="36"/>
      <c r="L857" s="36"/>
      <c r="M857" s="36"/>
      <c r="N857" s="36"/>
      <c r="O857" s="36"/>
      <c r="P857" s="36"/>
      <c r="Q857" s="36"/>
      <c r="R857" s="36"/>
      <c r="S857" s="36"/>
      <c r="T857" s="36"/>
      <c r="U857" s="36"/>
      <c r="V857" s="36"/>
      <c r="W857" s="36"/>
      <c r="X857" s="36"/>
      <c r="Y857" s="36"/>
      <c r="Z857" s="36"/>
      <c r="AA857" s="36"/>
      <c r="AB857" s="36"/>
    </row>
    <row r="858" spans="1:28" ht="36" hidden="1" customHeight="1">
      <c r="A858" s="199" t="s">
        <v>1779</v>
      </c>
      <c r="B858" s="198">
        <v>2015</v>
      </c>
      <c r="C858" s="117" t="s">
        <v>195</v>
      </c>
      <c r="D858" s="195" t="s">
        <v>1780</v>
      </c>
      <c r="E858" s="117" t="s">
        <v>41</v>
      </c>
      <c r="F858" s="117" t="s">
        <v>97</v>
      </c>
      <c r="G858" s="211" t="s">
        <v>43</v>
      </c>
      <c r="H858" s="117" t="s">
        <v>1490</v>
      </c>
      <c r="I858" s="35"/>
      <c r="J858" s="36"/>
      <c r="K858" s="36"/>
      <c r="L858" s="36"/>
      <c r="M858" s="36"/>
      <c r="N858" s="36"/>
      <c r="O858" s="36"/>
      <c r="P858" s="36"/>
      <c r="Q858" s="36"/>
      <c r="R858" s="36"/>
      <c r="S858" s="36"/>
      <c r="T858" s="36"/>
      <c r="U858" s="36"/>
      <c r="V858" s="36"/>
      <c r="W858" s="36"/>
      <c r="X858" s="36"/>
      <c r="Y858" s="36"/>
      <c r="Z858" s="36"/>
      <c r="AA858" s="36"/>
      <c r="AB858" s="36"/>
    </row>
    <row r="859" spans="1:28" ht="24" hidden="1" customHeight="1">
      <c r="A859" s="245" t="s">
        <v>1781</v>
      </c>
      <c r="B859" s="117">
        <v>2015</v>
      </c>
      <c r="C859" s="117" t="s">
        <v>1101</v>
      </c>
      <c r="D859" s="195" t="s">
        <v>1782</v>
      </c>
      <c r="E859" s="117" t="s">
        <v>41</v>
      </c>
      <c r="F859" s="117" t="s">
        <v>97</v>
      </c>
      <c r="G859" s="211" t="s">
        <v>43</v>
      </c>
      <c r="H859" s="117" t="s">
        <v>1490</v>
      </c>
      <c r="I859" s="35"/>
      <c r="J859" s="36"/>
      <c r="K859" s="36"/>
      <c r="L859" s="36"/>
      <c r="M859" s="36"/>
      <c r="N859" s="36"/>
      <c r="O859" s="36"/>
      <c r="P859" s="36"/>
      <c r="Q859" s="36"/>
      <c r="R859" s="36"/>
      <c r="S859" s="36"/>
      <c r="T859" s="36"/>
      <c r="U859" s="36"/>
      <c r="V859" s="36"/>
      <c r="W859" s="36"/>
      <c r="X859" s="36"/>
      <c r="Y859" s="36"/>
      <c r="Z859" s="36"/>
      <c r="AA859" s="36"/>
      <c r="AB859" s="36"/>
    </row>
    <row r="860" spans="1:28" ht="24" hidden="1" customHeight="1">
      <c r="A860" s="207" t="s">
        <v>1783</v>
      </c>
      <c r="B860" s="198">
        <v>2015</v>
      </c>
      <c r="C860" s="117" t="s">
        <v>1101</v>
      </c>
      <c r="D860" s="195" t="s">
        <v>1784</v>
      </c>
      <c r="E860" s="117" t="s">
        <v>41</v>
      </c>
      <c r="F860" s="117" t="s">
        <v>97</v>
      </c>
      <c r="G860" s="211" t="s">
        <v>43</v>
      </c>
      <c r="H860" s="117" t="s">
        <v>1490</v>
      </c>
      <c r="I860" s="35"/>
      <c r="J860" s="36"/>
      <c r="K860" s="36"/>
      <c r="L860" s="36"/>
      <c r="M860" s="36"/>
      <c r="N860" s="36"/>
      <c r="O860" s="36"/>
      <c r="P860" s="36"/>
      <c r="Q860" s="36"/>
      <c r="R860" s="36"/>
      <c r="S860" s="36"/>
      <c r="T860" s="36"/>
      <c r="U860" s="36"/>
      <c r="V860" s="36"/>
      <c r="W860" s="36"/>
      <c r="X860" s="36"/>
      <c r="Y860" s="36"/>
      <c r="Z860" s="36"/>
      <c r="AA860" s="36"/>
      <c r="AB860" s="36"/>
    </row>
    <row r="861" spans="1:28" ht="60" hidden="1" customHeight="1">
      <c r="A861" s="199" t="s">
        <v>1785</v>
      </c>
      <c r="B861" s="198">
        <v>2012</v>
      </c>
      <c r="C861" s="117" t="s">
        <v>195</v>
      </c>
      <c r="D861" s="195" t="s">
        <v>1786</v>
      </c>
      <c r="E861" s="117" t="s">
        <v>41</v>
      </c>
      <c r="F861" s="117" t="s">
        <v>97</v>
      </c>
      <c r="G861" s="211" t="s">
        <v>43</v>
      </c>
      <c r="H861" s="117" t="s">
        <v>1490</v>
      </c>
      <c r="I861" s="35"/>
      <c r="J861" s="36"/>
      <c r="K861" s="36"/>
      <c r="L861" s="36"/>
      <c r="M861" s="36"/>
      <c r="N861" s="36"/>
      <c r="O861" s="36"/>
      <c r="P861" s="36"/>
      <c r="Q861" s="36"/>
      <c r="R861" s="36"/>
      <c r="S861" s="36"/>
      <c r="T861" s="36"/>
      <c r="U861" s="36"/>
      <c r="V861" s="36"/>
      <c r="W861" s="36"/>
      <c r="X861" s="36"/>
      <c r="Y861" s="36"/>
      <c r="Z861" s="36"/>
      <c r="AA861" s="36"/>
      <c r="AB861" s="36"/>
    </row>
    <row r="862" spans="1:28" ht="24" hidden="1" customHeight="1">
      <c r="A862" s="199" t="s">
        <v>1787</v>
      </c>
      <c r="B862" s="198">
        <v>2014</v>
      </c>
      <c r="C862" s="117" t="s">
        <v>195</v>
      </c>
      <c r="D862" s="195" t="s">
        <v>1788</v>
      </c>
      <c r="E862" s="117" t="s">
        <v>41</v>
      </c>
      <c r="F862" s="117" t="s">
        <v>97</v>
      </c>
      <c r="G862" s="211" t="s">
        <v>43</v>
      </c>
      <c r="H862" s="117" t="s">
        <v>1490</v>
      </c>
      <c r="I862" s="35"/>
      <c r="J862" s="36"/>
      <c r="K862" s="36"/>
      <c r="L862" s="36"/>
      <c r="M862" s="36"/>
      <c r="N862" s="36"/>
      <c r="O862" s="36"/>
      <c r="P862" s="36"/>
      <c r="Q862" s="36"/>
      <c r="R862" s="36"/>
      <c r="S862" s="36"/>
      <c r="T862" s="36"/>
      <c r="U862" s="36"/>
      <c r="V862" s="36"/>
      <c r="W862" s="36"/>
      <c r="X862" s="36"/>
      <c r="Y862" s="36"/>
      <c r="Z862" s="36"/>
      <c r="AA862" s="36"/>
      <c r="AB862" s="36"/>
    </row>
    <row r="863" spans="1:28" ht="36" hidden="1" customHeight="1">
      <c r="A863" s="199" t="s">
        <v>1789</v>
      </c>
      <c r="B863" s="198">
        <v>2014</v>
      </c>
      <c r="C863" s="117" t="s">
        <v>195</v>
      </c>
      <c r="D863" s="195" t="s">
        <v>1790</v>
      </c>
      <c r="E863" s="117" t="s">
        <v>41</v>
      </c>
      <c r="F863" s="117" t="s">
        <v>97</v>
      </c>
      <c r="G863" s="211" t="s">
        <v>43</v>
      </c>
      <c r="H863" s="117" t="s">
        <v>1490</v>
      </c>
      <c r="I863" s="35"/>
      <c r="J863" s="36"/>
      <c r="K863" s="36"/>
      <c r="L863" s="36"/>
      <c r="M863" s="36"/>
      <c r="N863" s="36"/>
      <c r="O863" s="36"/>
      <c r="P863" s="36"/>
      <c r="Q863" s="36"/>
      <c r="R863" s="36"/>
      <c r="S863" s="36"/>
      <c r="T863" s="36"/>
      <c r="U863" s="36"/>
      <c r="V863" s="36"/>
      <c r="W863" s="36"/>
      <c r="X863" s="36"/>
      <c r="Y863" s="36"/>
      <c r="Z863" s="36"/>
      <c r="AA863" s="36"/>
      <c r="AB863" s="36"/>
    </row>
    <row r="864" spans="1:28" ht="36" hidden="1" customHeight="1">
      <c r="A864" s="205" t="s">
        <v>1791</v>
      </c>
      <c r="B864" s="117">
        <v>1983</v>
      </c>
      <c r="C864" s="117" t="s">
        <v>124</v>
      </c>
      <c r="D864" s="195" t="s">
        <v>1792</v>
      </c>
      <c r="E864" s="117" t="s">
        <v>41</v>
      </c>
      <c r="F864" s="117" t="s">
        <v>97</v>
      </c>
      <c r="G864" s="211" t="s">
        <v>43</v>
      </c>
      <c r="H864" s="117" t="s">
        <v>1490</v>
      </c>
      <c r="I864" s="35"/>
      <c r="J864" s="36"/>
      <c r="K864" s="36"/>
      <c r="L864" s="36"/>
      <c r="M864" s="36"/>
      <c r="N864" s="36"/>
      <c r="O864" s="36"/>
      <c r="P864" s="36"/>
      <c r="Q864" s="36"/>
      <c r="R864" s="36"/>
      <c r="S864" s="36"/>
      <c r="T864" s="36"/>
      <c r="U864" s="36"/>
      <c r="V864" s="36"/>
      <c r="W864" s="36"/>
      <c r="X864" s="36"/>
      <c r="Y864" s="36"/>
      <c r="Z864" s="36"/>
      <c r="AA864" s="36"/>
      <c r="AB864" s="36"/>
    </row>
    <row r="865" spans="1:28" ht="24" hidden="1" customHeight="1">
      <c r="A865" s="207" t="s">
        <v>1581</v>
      </c>
      <c r="B865" s="117">
        <v>1996</v>
      </c>
      <c r="C865" s="117" t="s">
        <v>1793</v>
      </c>
      <c r="D865" s="195" t="s">
        <v>1582</v>
      </c>
      <c r="E865" s="117" t="s">
        <v>41</v>
      </c>
      <c r="F865" s="117" t="s">
        <v>97</v>
      </c>
      <c r="G865" s="211" t="s">
        <v>43</v>
      </c>
      <c r="H865" s="117" t="s">
        <v>1490</v>
      </c>
      <c r="I865" s="35"/>
      <c r="J865" s="36"/>
      <c r="K865" s="36"/>
      <c r="L865" s="36"/>
      <c r="M865" s="36"/>
      <c r="N865" s="36"/>
      <c r="O865" s="36"/>
      <c r="P865" s="36"/>
      <c r="Q865" s="36"/>
      <c r="R865" s="36"/>
      <c r="S865" s="36"/>
      <c r="T865" s="36"/>
      <c r="U865" s="36"/>
      <c r="V865" s="36"/>
      <c r="W865" s="36"/>
      <c r="X865" s="36"/>
      <c r="Y865" s="36"/>
      <c r="Z865" s="36"/>
      <c r="AA865" s="36"/>
      <c r="AB865" s="36"/>
    </row>
    <row r="866" spans="1:28" ht="24" hidden="1" customHeight="1">
      <c r="A866" s="207" t="s">
        <v>1794</v>
      </c>
      <c r="B866" s="117">
        <v>2002</v>
      </c>
      <c r="C866" s="117" t="s">
        <v>1795</v>
      </c>
      <c r="D866" s="195" t="s">
        <v>1796</v>
      </c>
      <c r="E866" s="117" t="s">
        <v>41</v>
      </c>
      <c r="F866" s="117" t="s">
        <v>97</v>
      </c>
      <c r="G866" s="211" t="s">
        <v>43</v>
      </c>
      <c r="H866" s="117" t="s">
        <v>1490</v>
      </c>
      <c r="I866" s="35"/>
      <c r="J866" s="36"/>
      <c r="K866" s="36"/>
      <c r="L866" s="36"/>
      <c r="M866" s="36"/>
      <c r="N866" s="36"/>
      <c r="O866" s="36"/>
      <c r="P866" s="36"/>
      <c r="Q866" s="36"/>
      <c r="R866" s="36"/>
      <c r="S866" s="36"/>
      <c r="T866" s="36"/>
      <c r="U866" s="36"/>
      <c r="V866" s="36"/>
      <c r="W866" s="36"/>
      <c r="X866" s="36"/>
      <c r="Y866" s="36"/>
      <c r="Z866" s="36"/>
      <c r="AA866" s="36"/>
      <c r="AB866" s="36"/>
    </row>
    <row r="867" spans="1:28" ht="24" hidden="1" customHeight="1">
      <c r="A867" s="207" t="s">
        <v>1797</v>
      </c>
      <c r="B867" s="117">
        <v>2003</v>
      </c>
      <c r="C867" s="197" t="s">
        <v>130</v>
      </c>
      <c r="D867" s="195" t="s">
        <v>1798</v>
      </c>
      <c r="E867" s="117" t="s">
        <v>41</v>
      </c>
      <c r="F867" s="117" t="s">
        <v>97</v>
      </c>
      <c r="G867" s="211" t="s">
        <v>43</v>
      </c>
      <c r="H867" s="117" t="s">
        <v>1490</v>
      </c>
      <c r="I867" s="35"/>
      <c r="J867" s="36"/>
      <c r="K867" s="36"/>
      <c r="L867" s="36"/>
      <c r="M867" s="36"/>
      <c r="N867" s="36"/>
      <c r="O867" s="36"/>
      <c r="P867" s="36"/>
      <c r="Q867" s="36"/>
      <c r="R867" s="36"/>
      <c r="S867" s="36"/>
      <c r="T867" s="36"/>
      <c r="U867" s="36"/>
      <c r="V867" s="36"/>
      <c r="W867" s="36"/>
      <c r="X867" s="36"/>
      <c r="Y867" s="36"/>
      <c r="Z867" s="36"/>
      <c r="AA867" s="36"/>
      <c r="AB867" s="36"/>
    </row>
    <row r="868" spans="1:28" ht="24" hidden="1" customHeight="1">
      <c r="A868" s="207" t="s">
        <v>1799</v>
      </c>
      <c r="B868" s="117">
        <v>2004</v>
      </c>
      <c r="C868" s="117" t="s">
        <v>1800</v>
      </c>
      <c r="D868" s="195" t="s">
        <v>1801</v>
      </c>
      <c r="E868" s="117" t="s">
        <v>41</v>
      </c>
      <c r="F868" s="117" t="s">
        <v>97</v>
      </c>
      <c r="G868" s="211" t="s">
        <v>43</v>
      </c>
      <c r="H868" s="117" t="s">
        <v>1490</v>
      </c>
      <c r="I868" s="35"/>
      <c r="J868" s="36"/>
      <c r="K868" s="36"/>
      <c r="L868" s="36"/>
      <c r="M868" s="36"/>
      <c r="N868" s="36"/>
      <c r="O868" s="36"/>
      <c r="P868" s="36"/>
      <c r="Q868" s="36"/>
      <c r="R868" s="36"/>
      <c r="S868" s="36"/>
      <c r="T868" s="36"/>
      <c r="U868" s="36"/>
      <c r="V868" s="36"/>
      <c r="W868" s="36"/>
      <c r="X868" s="36"/>
      <c r="Y868" s="36"/>
      <c r="Z868" s="36"/>
      <c r="AA868" s="36"/>
      <c r="AB868" s="36"/>
    </row>
    <row r="869" spans="1:28" ht="24" hidden="1" customHeight="1">
      <c r="A869" s="207" t="s">
        <v>1802</v>
      </c>
      <c r="B869" s="117">
        <v>2006</v>
      </c>
      <c r="C869" s="117" t="s">
        <v>1803</v>
      </c>
      <c r="D869" s="195" t="s">
        <v>572</v>
      </c>
      <c r="E869" s="117" t="s">
        <v>41</v>
      </c>
      <c r="F869" s="117" t="s">
        <v>97</v>
      </c>
      <c r="G869" s="211" t="s">
        <v>43</v>
      </c>
      <c r="H869" s="117" t="s">
        <v>1490</v>
      </c>
      <c r="I869" s="35"/>
      <c r="J869" s="36"/>
      <c r="K869" s="36"/>
      <c r="L869" s="36"/>
      <c r="M869" s="36"/>
      <c r="N869" s="36"/>
      <c r="O869" s="36"/>
      <c r="P869" s="36"/>
      <c r="Q869" s="36"/>
      <c r="R869" s="36"/>
      <c r="S869" s="36"/>
      <c r="T869" s="36"/>
      <c r="U869" s="36"/>
      <c r="V869" s="36"/>
      <c r="W869" s="36"/>
      <c r="X869" s="36"/>
      <c r="Y869" s="36"/>
      <c r="Z869" s="36"/>
      <c r="AA869" s="36"/>
      <c r="AB869" s="36"/>
    </row>
    <row r="870" spans="1:28" ht="72" hidden="1" customHeight="1">
      <c r="A870" s="207" t="s">
        <v>1804</v>
      </c>
      <c r="B870" s="117">
        <v>2007</v>
      </c>
      <c r="C870" s="197" t="s">
        <v>130</v>
      </c>
      <c r="D870" s="195" t="s">
        <v>1805</v>
      </c>
      <c r="E870" s="117" t="s">
        <v>41</v>
      </c>
      <c r="F870" s="195" t="s">
        <v>1806</v>
      </c>
      <c r="G870" s="211" t="s">
        <v>43</v>
      </c>
      <c r="H870" s="117" t="s">
        <v>1490</v>
      </c>
      <c r="I870" s="35"/>
      <c r="J870" s="36"/>
      <c r="K870" s="36"/>
      <c r="L870" s="36"/>
      <c r="M870" s="36"/>
      <c r="N870" s="36"/>
      <c r="O870" s="36"/>
      <c r="P870" s="36"/>
      <c r="Q870" s="36"/>
      <c r="R870" s="36"/>
      <c r="S870" s="36"/>
      <c r="T870" s="36"/>
      <c r="U870" s="36"/>
      <c r="V870" s="36"/>
      <c r="W870" s="36"/>
      <c r="X870" s="36"/>
      <c r="Y870" s="36"/>
      <c r="Z870" s="36"/>
      <c r="AA870" s="36"/>
      <c r="AB870" s="36"/>
    </row>
    <row r="871" spans="1:28" ht="24" hidden="1" customHeight="1">
      <c r="A871" s="207" t="s">
        <v>1807</v>
      </c>
      <c r="B871" s="117">
        <v>2008</v>
      </c>
      <c r="C871" s="117" t="s">
        <v>1574</v>
      </c>
      <c r="D871" s="195" t="s">
        <v>1808</v>
      </c>
      <c r="E871" s="117" t="s">
        <v>41</v>
      </c>
      <c r="F871" s="117" t="s">
        <v>97</v>
      </c>
      <c r="G871" s="211" t="s">
        <v>43</v>
      </c>
      <c r="H871" s="117" t="s">
        <v>1490</v>
      </c>
      <c r="I871" s="35"/>
      <c r="J871" s="36"/>
      <c r="K871" s="36"/>
      <c r="L871" s="36"/>
      <c r="M871" s="36"/>
      <c r="N871" s="36"/>
      <c r="O871" s="36"/>
      <c r="P871" s="36"/>
      <c r="Q871" s="36"/>
      <c r="R871" s="36"/>
      <c r="S871" s="36"/>
      <c r="T871" s="36"/>
      <c r="U871" s="36"/>
      <c r="V871" s="36"/>
      <c r="W871" s="36"/>
      <c r="X871" s="36"/>
      <c r="Y871" s="36"/>
      <c r="Z871" s="36"/>
      <c r="AA871" s="36"/>
      <c r="AB871" s="36"/>
    </row>
    <row r="872" spans="1:28" ht="60" hidden="1" customHeight="1">
      <c r="A872" s="207" t="s">
        <v>1809</v>
      </c>
      <c r="B872" s="117">
        <v>2008</v>
      </c>
      <c r="C872" s="197" t="s">
        <v>130</v>
      </c>
      <c r="D872" s="195" t="s">
        <v>1810</v>
      </c>
      <c r="E872" s="117" t="s">
        <v>41</v>
      </c>
      <c r="F872" s="195" t="s">
        <v>1811</v>
      </c>
      <c r="G872" s="211" t="s">
        <v>43</v>
      </c>
      <c r="H872" s="117" t="s">
        <v>1490</v>
      </c>
      <c r="I872" s="35"/>
      <c r="J872" s="36"/>
      <c r="K872" s="36"/>
      <c r="L872" s="36"/>
      <c r="M872" s="36"/>
      <c r="N872" s="36"/>
      <c r="O872" s="36"/>
      <c r="P872" s="36"/>
      <c r="Q872" s="36"/>
      <c r="R872" s="36"/>
      <c r="S872" s="36"/>
      <c r="T872" s="36"/>
      <c r="U872" s="36"/>
      <c r="V872" s="36"/>
      <c r="W872" s="36"/>
      <c r="X872" s="36"/>
      <c r="Y872" s="36"/>
      <c r="Z872" s="36"/>
      <c r="AA872" s="36"/>
      <c r="AB872" s="36"/>
    </row>
    <row r="873" spans="1:28" ht="72" hidden="1" customHeight="1">
      <c r="A873" s="207" t="s">
        <v>1812</v>
      </c>
      <c r="B873" s="117">
        <v>2010</v>
      </c>
      <c r="C873" s="197" t="s">
        <v>130</v>
      </c>
      <c r="D873" s="195" t="s">
        <v>1813</v>
      </c>
      <c r="E873" s="117" t="s">
        <v>41</v>
      </c>
      <c r="F873" s="195" t="s">
        <v>1814</v>
      </c>
      <c r="G873" s="211" t="s">
        <v>43</v>
      </c>
      <c r="H873" s="117" t="s">
        <v>1490</v>
      </c>
      <c r="I873" s="35"/>
      <c r="J873" s="36"/>
      <c r="K873" s="36"/>
      <c r="L873" s="36"/>
      <c r="M873" s="36"/>
      <c r="N873" s="36"/>
      <c r="O873" s="36"/>
      <c r="P873" s="36"/>
      <c r="Q873" s="36"/>
      <c r="R873" s="36"/>
      <c r="S873" s="36"/>
      <c r="T873" s="36"/>
      <c r="U873" s="36"/>
      <c r="V873" s="36"/>
      <c r="W873" s="36"/>
      <c r="X873" s="36"/>
      <c r="Y873" s="36"/>
      <c r="Z873" s="36"/>
      <c r="AA873" s="36"/>
      <c r="AB873" s="36"/>
    </row>
    <row r="874" spans="1:28" ht="36" hidden="1" customHeight="1">
      <c r="A874" s="207" t="s">
        <v>1815</v>
      </c>
      <c r="B874" s="117">
        <v>2011</v>
      </c>
      <c r="C874" s="117" t="s">
        <v>1816</v>
      </c>
      <c r="D874" s="195" t="s">
        <v>1817</v>
      </c>
      <c r="E874" s="117" t="s">
        <v>41</v>
      </c>
      <c r="F874" s="117" t="s">
        <v>97</v>
      </c>
      <c r="G874" s="211" t="s">
        <v>43</v>
      </c>
      <c r="H874" s="117" t="s">
        <v>1490</v>
      </c>
      <c r="I874" s="35"/>
      <c r="J874" s="36"/>
      <c r="K874" s="36"/>
      <c r="L874" s="36"/>
      <c r="M874" s="36"/>
      <c r="N874" s="36"/>
      <c r="O874" s="36"/>
      <c r="P874" s="36"/>
      <c r="Q874" s="36"/>
      <c r="R874" s="36"/>
      <c r="S874" s="36"/>
      <c r="T874" s="36"/>
      <c r="U874" s="36"/>
      <c r="V874" s="36"/>
      <c r="W874" s="36"/>
      <c r="X874" s="36"/>
      <c r="Y874" s="36"/>
      <c r="Z874" s="36"/>
      <c r="AA874" s="36"/>
      <c r="AB874" s="36"/>
    </row>
    <row r="875" spans="1:28" ht="36" hidden="1" customHeight="1">
      <c r="A875" s="207" t="s">
        <v>1818</v>
      </c>
      <c r="B875" s="117">
        <v>2011</v>
      </c>
      <c r="C875" s="117" t="s">
        <v>1819</v>
      </c>
      <c r="D875" s="195" t="s">
        <v>1820</v>
      </c>
      <c r="E875" s="117" t="s">
        <v>41</v>
      </c>
      <c r="F875" s="117" t="s">
        <v>97</v>
      </c>
      <c r="G875" s="211" t="s">
        <v>43</v>
      </c>
      <c r="H875" s="117" t="s">
        <v>1490</v>
      </c>
      <c r="I875" s="35"/>
      <c r="J875" s="36"/>
      <c r="K875" s="36"/>
      <c r="L875" s="36"/>
      <c r="M875" s="36"/>
      <c r="N875" s="36"/>
      <c r="O875" s="36"/>
      <c r="P875" s="36"/>
      <c r="Q875" s="36"/>
      <c r="R875" s="36"/>
      <c r="S875" s="36"/>
      <c r="T875" s="36"/>
      <c r="U875" s="36"/>
      <c r="V875" s="36"/>
      <c r="W875" s="36"/>
      <c r="X875" s="36"/>
      <c r="Y875" s="36"/>
      <c r="Z875" s="36"/>
      <c r="AA875" s="36"/>
      <c r="AB875" s="36"/>
    </row>
    <row r="876" spans="1:28" ht="24" hidden="1" customHeight="1">
      <c r="A876" s="207" t="s">
        <v>1821</v>
      </c>
      <c r="B876" s="117">
        <v>2011</v>
      </c>
      <c r="C876" s="117" t="s">
        <v>1337</v>
      </c>
      <c r="D876" s="195" t="s">
        <v>1822</v>
      </c>
      <c r="E876" s="117" t="s">
        <v>41</v>
      </c>
      <c r="F876" s="117" t="s">
        <v>97</v>
      </c>
      <c r="G876" s="211" t="s">
        <v>43</v>
      </c>
      <c r="H876" s="117" t="s">
        <v>1490</v>
      </c>
      <c r="I876" s="35"/>
      <c r="J876" s="36"/>
      <c r="K876" s="36"/>
      <c r="L876" s="36"/>
      <c r="M876" s="36"/>
      <c r="N876" s="36"/>
      <c r="O876" s="36"/>
      <c r="P876" s="36"/>
      <c r="Q876" s="36"/>
      <c r="R876" s="36"/>
      <c r="S876" s="36"/>
      <c r="T876" s="36"/>
      <c r="U876" s="36"/>
      <c r="V876" s="36"/>
      <c r="W876" s="36"/>
      <c r="X876" s="36"/>
      <c r="Y876" s="36"/>
      <c r="Z876" s="36"/>
      <c r="AA876" s="36"/>
      <c r="AB876" s="36"/>
    </row>
    <row r="877" spans="1:28" ht="24" hidden="1" customHeight="1">
      <c r="A877" s="207" t="s">
        <v>1823</v>
      </c>
      <c r="B877" s="117">
        <v>2012</v>
      </c>
      <c r="C877" s="197" t="s">
        <v>130</v>
      </c>
      <c r="D877" s="195" t="s">
        <v>1824</v>
      </c>
      <c r="E877" s="117" t="s">
        <v>41</v>
      </c>
      <c r="F877" s="117" t="s">
        <v>97</v>
      </c>
      <c r="G877" s="211" t="s">
        <v>43</v>
      </c>
      <c r="H877" s="117" t="s">
        <v>1490</v>
      </c>
      <c r="I877" s="35"/>
      <c r="J877" s="36"/>
      <c r="K877" s="36"/>
      <c r="L877" s="36"/>
      <c r="M877" s="36"/>
      <c r="N877" s="36"/>
      <c r="O877" s="36"/>
      <c r="P877" s="36"/>
      <c r="Q877" s="36"/>
      <c r="R877" s="36"/>
      <c r="S877" s="36"/>
      <c r="T877" s="36"/>
      <c r="U877" s="36"/>
      <c r="V877" s="36"/>
      <c r="W877" s="36"/>
      <c r="X877" s="36"/>
      <c r="Y877" s="36"/>
      <c r="Z877" s="36"/>
      <c r="AA877" s="36"/>
      <c r="AB877" s="36"/>
    </row>
    <row r="878" spans="1:28" ht="36" hidden="1" customHeight="1">
      <c r="A878" s="207" t="s">
        <v>1825</v>
      </c>
      <c r="B878" s="117">
        <v>2012</v>
      </c>
      <c r="C878" s="117" t="s">
        <v>124</v>
      </c>
      <c r="D878" s="195" t="s">
        <v>1826</v>
      </c>
      <c r="E878" s="117" t="s">
        <v>41</v>
      </c>
      <c r="F878" s="117" t="s">
        <v>97</v>
      </c>
      <c r="G878" s="211" t="s">
        <v>43</v>
      </c>
      <c r="H878" s="117" t="s">
        <v>1490</v>
      </c>
      <c r="I878" s="35"/>
      <c r="J878" s="36"/>
      <c r="K878" s="36"/>
      <c r="L878" s="36"/>
      <c r="M878" s="36"/>
      <c r="N878" s="36"/>
      <c r="O878" s="36"/>
      <c r="P878" s="36"/>
      <c r="Q878" s="36"/>
      <c r="R878" s="36"/>
      <c r="S878" s="36"/>
      <c r="T878" s="36"/>
      <c r="U878" s="36"/>
      <c r="V878" s="36"/>
      <c r="W878" s="36"/>
      <c r="X878" s="36"/>
      <c r="Y878" s="36"/>
      <c r="Z878" s="36"/>
      <c r="AA878" s="36"/>
      <c r="AB878" s="36"/>
    </row>
    <row r="879" spans="1:28" ht="36" hidden="1" customHeight="1">
      <c r="A879" s="207" t="s">
        <v>1827</v>
      </c>
      <c r="B879" s="117">
        <v>2013</v>
      </c>
      <c r="C879" s="197" t="s">
        <v>130</v>
      </c>
      <c r="D879" s="195" t="s">
        <v>1828</v>
      </c>
      <c r="E879" s="117" t="s">
        <v>41</v>
      </c>
      <c r="F879" s="117" t="s">
        <v>97</v>
      </c>
      <c r="G879" s="211" t="s">
        <v>43</v>
      </c>
      <c r="H879" s="117" t="s">
        <v>1490</v>
      </c>
      <c r="I879" s="35"/>
      <c r="J879" s="36"/>
      <c r="K879" s="36"/>
      <c r="L879" s="36"/>
      <c r="M879" s="36"/>
      <c r="N879" s="36"/>
      <c r="O879" s="36"/>
      <c r="P879" s="36"/>
      <c r="Q879" s="36"/>
      <c r="R879" s="36"/>
      <c r="S879" s="36"/>
      <c r="T879" s="36"/>
      <c r="U879" s="36"/>
      <c r="V879" s="36"/>
      <c r="W879" s="36"/>
      <c r="X879" s="36"/>
      <c r="Y879" s="36"/>
      <c r="Z879" s="36"/>
      <c r="AA879" s="36"/>
      <c r="AB879" s="36"/>
    </row>
    <row r="880" spans="1:28" ht="36" hidden="1" customHeight="1">
      <c r="A880" s="207" t="s">
        <v>1593</v>
      </c>
      <c r="B880" s="117">
        <v>2014</v>
      </c>
      <c r="C880" s="197" t="s">
        <v>130</v>
      </c>
      <c r="D880" s="195" t="s">
        <v>1594</v>
      </c>
      <c r="E880" s="117" t="s">
        <v>41</v>
      </c>
      <c r="F880" s="117" t="s">
        <v>97</v>
      </c>
      <c r="G880" s="211" t="s">
        <v>43</v>
      </c>
      <c r="H880" s="117" t="s">
        <v>1490</v>
      </c>
      <c r="I880" s="35"/>
      <c r="J880" s="36"/>
      <c r="K880" s="36"/>
      <c r="L880" s="36"/>
      <c r="M880" s="36"/>
      <c r="N880" s="36"/>
      <c r="O880" s="36"/>
      <c r="P880" s="36"/>
      <c r="Q880" s="36"/>
      <c r="R880" s="36"/>
      <c r="S880" s="36"/>
      <c r="T880" s="36"/>
      <c r="U880" s="36"/>
      <c r="V880" s="36"/>
      <c r="W880" s="36"/>
      <c r="X880" s="36"/>
      <c r="Y880" s="36"/>
      <c r="Z880" s="36"/>
      <c r="AA880" s="36"/>
      <c r="AB880" s="36"/>
    </row>
    <row r="881" spans="1:28" ht="36" hidden="1" customHeight="1">
      <c r="A881" s="207" t="s">
        <v>1829</v>
      </c>
      <c r="B881" s="117">
        <v>2014</v>
      </c>
      <c r="C881" s="117" t="s">
        <v>1830</v>
      </c>
      <c r="D881" s="195" t="s">
        <v>153</v>
      </c>
      <c r="E881" s="117" t="s">
        <v>41</v>
      </c>
      <c r="F881" s="117" t="s">
        <v>97</v>
      </c>
      <c r="G881" s="211" t="s">
        <v>43</v>
      </c>
      <c r="H881" s="117" t="s">
        <v>1490</v>
      </c>
      <c r="I881" s="35"/>
      <c r="J881" s="36"/>
      <c r="K881" s="36"/>
      <c r="L881" s="36"/>
      <c r="M881" s="36"/>
      <c r="N881" s="36"/>
      <c r="O881" s="36"/>
      <c r="P881" s="36"/>
      <c r="Q881" s="36"/>
      <c r="R881" s="36"/>
      <c r="S881" s="36"/>
      <c r="T881" s="36"/>
      <c r="U881" s="36"/>
      <c r="V881" s="36"/>
      <c r="W881" s="36"/>
      <c r="X881" s="36"/>
      <c r="Y881" s="36"/>
      <c r="Z881" s="36"/>
      <c r="AA881" s="36"/>
      <c r="AB881" s="36"/>
    </row>
    <row r="882" spans="1:28" ht="24" hidden="1" customHeight="1">
      <c r="A882" s="207" t="s">
        <v>1831</v>
      </c>
      <c r="B882" s="117">
        <v>2015</v>
      </c>
      <c r="C882" s="197" t="s">
        <v>130</v>
      </c>
      <c r="D882" s="195" t="s">
        <v>1832</v>
      </c>
      <c r="E882" s="117" t="s">
        <v>41</v>
      </c>
      <c r="F882" s="117" t="s">
        <v>97</v>
      </c>
      <c r="G882" s="211" t="s">
        <v>43</v>
      </c>
      <c r="H882" s="117" t="s">
        <v>1490</v>
      </c>
      <c r="I882" s="35"/>
      <c r="J882" s="36"/>
      <c r="K882" s="36"/>
      <c r="L882" s="36"/>
      <c r="M882" s="36"/>
      <c r="N882" s="36"/>
      <c r="O882" s="36"/>
      <c r="P882" s="36"/>
      <c r="Q882" s="36"/>
      <c r="R882" s="36"/>
      <c r="S882" s="36"/>
      <c r="T882" s="36"/>
      <c r="U882" s="36"/>
      <c r="V882" s="36"/>
      <c r="W882" s="36"/>
      <c r="X882" s="36"/>
      <c r="Y882" s="36"/>
      <c r="Z882" s="36"/>
      <c r="AA882" s="36"/>
      <c r="AB882" s="36"/>
    </row>
    <row r="883" spans="1:28" ht="48" hidden="1" customHeight="1">
      <c r="A883" s="207" t="s">
        <v>1833</v>
      </c>
      <c r="B883" s="117">
        <v>2015</v>
      </c>
      <c r="C883" s="197" t="s">
        <v>1834</v>
      </c>
      <c r="D883" s="195" t="s">
        <v>1835</v>
      </c>
      <c r="E883" s="117" t="s">
        <v>41</v>
      </c>
      <c r="F883" s="117" t="s">
        <v>97</v>
      </c>
      <c r="G883" s="211" t="s">
        <v>43</v>
      </c>
      <c r="H883" s="117" t="s">
        <v>1490</v>
      </c>
      <c r="I883" s="35"/>
      <c r="J883" s="36"/>
      <c r="K883" s="36"/>
      <c r="L883" s="36"/>
      <c r="M883" s="36"/>
      <c r="N883" s="36"/>
      <c r="O883" s="36"/>
      <c r="P883" s="36"/>
      <c r="Q883" s="36"/>
      <c r="R883" s="36"/>
      <c r="S883" s="36"/>
      <c r="T883" s="36"/>
      <c r="U883" s="36"/>
      <c r="V883" s="36"/>
      <c r="W883" s="36"/>
      <c r="X883" s="36"/>
      <c r="Y883" s="36"/>
      <c r="Z883" s="36"/>
      <c r="AA883" s="36"/>
      <c r="AB883" s="36"/>
    </row>
    <row r="884" spans="1:28" ht="36" hidden="1" customHeight="1">
      <c r="A884" s="207" t="s">
        <v>1836</v>
      </c>
      <c r="B884" s="117">
        <v>2015</v>
      </c>
      <c r="C884" s="117" t="s">
        <v>1800</v>
      </c>
      <c r="D884" s="195" t="s">
        <v>1837</v>
      </c>
      <c r="E884" s="117" t="s">
        <v>1838</v>
      </c>
      <c r="F884" s="117" t="s">
        <v>1839</v>
      </c>
      <c r="G884" s="211" t="s">
        <v>43</v>
      </c>
      <c r="H884" s="117" t="s">
        <v>1490</v>
      </c>
      <c r="I884" s="35"/>
      <c r="J884" s="36"/>
      <c r="K884" s="36"/>
      <c r="L884" s="36"/>
      <c r="M884" s="36"/>
      <c r="N884" s="36"/>
      <c r="O884" s="36"/>
      <c r="P884" s="36"/>
      <c r="Q884" s="36"/>
      <c r="R884" s="36"/>
      <c r="S884" s="36"/>
      <c r="T884" s="36"/>
      <c r="U884" s="36"/>
      <c r="V884" s="36"/>
      <c r="W884" s="36"/>
      <c r="X884" s="36"/>
      <c r="Y884" s="36"/>
      <c r="Z884" s="36"/>
      <c r="AA884" s="36"/>
      <c r="AB884" s="36"/>
    </row>
    <row r="885" spans="1:28" ht="48" hidden="1" customHeight="1">
      <c r="A885" s="207" t="s">
        <v>1598</v>
      </c>
      <c r="B885" s="117">
        <v>2015</v>
      </c>
      <c r="C885" s="197" t="s">
        <v>130</v>
      </c>
      <c r="D885" s="195" t="s">
        <v>1840</v>
      </c>
      <c r="E885" s="117" t="s">
        <v>41</v>
      </c>
      <c r="F885" s="117" t="s">
        <v>97</v>
      </c>
      <c r="G885" s="211" t="s">
        <v>43</v>
      </c>
      <c r="H885" s="117" t="s">
        <v>1490</v>
      </c>
      <c r="I885" s="35"/>
      <c r="J885" s="36"/>
      <c r="K885" s="36"/>
      <c r="L885" s="36"/>
      <c r="M885" s="36"/>
      <c r="N885" s="36"/>
      <c r="O885" s="36"/>
      <c r="P885" s="36"/>
      <c r="Q885" s="36"/>
      <c r="R885" s="36"/>
      <c r="S885" s="36"/>
      <c r="T885" s="36"/>
      <c r="U885" s="36"/>
      <c r="V885" s="36"/>
      <c r="W885" s="36"/>
      <c r="X885" s="36"/>
      <c r="Y885" s="36"/>
      <c r="Z885" s="36"/>
      <c r="AA885" s="36"/>
      <c r="AB885" s="36"/>
    </row>
    <row r="886" spans="1:28" ht="24" hidden="1" customHeight="1">
      <c r="A886" s="207" t="s">
        <v>1841</v>
      </c>
      <c r="B886" s="117">
        <v>2016</v>
      </c>
      <c r="C886" s="197" t="s">
        <v>130</v>
      </c>
      <c r="D886" s="195" t="s">
        <v>1842</v>
      </c>
      <c r="E886" s="117" t="s">
        <v>41</v>
      </c>
      <c r="F886" s="117" t="s">
        <v>97</v>
      </c>
      <c r="G886" s="211" t="s">
        <v>43</v>
      </c>
      <c r="H886" s="117" t="s">
        <v>1490</v>
      </c>
      <c r="I886" s="35"/>
      <c r="J886" s="36"/>
      <c r="K886" s="36"/>
      <c r="L886" s="36"/>
      <c r="M886" s="36"/>
      <c r="N886" s="36"/>
      <c r="O886" s="36"/>
      <c r="P886" s="36"/>
      <c r="Q886" s="36"/>
      <c r="R886" s="36"/>
      <c r="S886" s="36"/>
      <c r="T886" s="36"/>
      <c r="U886" s="36"/>
      <c r="V886" s="36"/>
      <c r="W886" s="36"/>
      <c r="X886" s="36"/>
      <c r="Y886" s="36"/>
      <c r="Z886" s="36"/>
      <c r="AA886" s="36"/>
      <c r="AB886" s="36"/>
    </row>
    <row r="887" spans="1:28" ht="48" hidden="1" customHeight="1">
      <c r="A887" s="207" t="s">
        <v>1843</v>
      </c>
      <c r="B887" s="117">
        <v>2016</v>
      </c>
      <c r="C887" s="197" t="s">
        <v>1834</v>
      </c>
      <c r="D887" s="195" t="s">
        <v>1844</v>
      </c>
      <c r="E887" s="117" t="s">
        <v>41</v>
      </c>
      <c r="F887" s="117" t="s">
        <v>97</v>
      </c>
      <c r="G887" s="211" t="s">
        <v>43</v>
      </c>
      <c r="H887" s="117" t="s">
        <v>1490</v>
      </c>
      <c r="I887" s="35"/>
      <c r="J887" s="36"/>
      <c r="K887" s="36"/>
      <c r="L887" s="36"/>
      <c r="M887" s="36"/>
      <c r="N887" s="36"/>
      <c r="O887" s="36"/>
      <c r="P887" s="36"/>
      <c r="Q887" s="36"/>
      <c r="R887" s="36"/>
      <c r="S887" s="36"/>
      <c r="T887" s="36"/>
      <c r="U887" s="36"/>
      <c r="V887" s="36"/>
      <c r="W887" s="36"/>
      <c r="X887" s="36"/>
      <c r="Y887" s="36"/>
      <c r="Z887" s="36"/>
      <c r="AA887" s="36"/>
      <c r="AB887" s="36"/>
    </row>
    <row r="888" spans="1:28" ht="24" hidden="1" customHeight="1">
      <c r="A888" s="207" t="s">
        <v>1845</v>
      </c>
      <c r="B888" s="117">
        <v>2017</v>
      </c>
      <c r="C888" s="197" t="s">
        <v>1574</v>
      </c>
      <c r="D888" s="195" t="s">
        <v>1846</v>
      </c>
      <c r="E888" s="117" t="s">
        <v>657</v>
      </c>
      <c r="F888" s="117" t="s">
        <v>97</v>
      </c>
      <c r="G888" s="211" t="s">
        <v>43</v>
      </c>
      <c r="H888" s="117" t="s">
        <v>1490</v>
      </c>
      <c r="I888" s="35"/>
      <c r="J888" s="36"/>
      <c r="K888" s="36"/>
      <c r="L888" s="36"/>
      <c r="M888" s="36"/>
      <c r="N888" s="36"/>
      <c r="O888" s="36"/>
      <c r="P888" s="36"/>
      <c r="Q888" s="36"/>
      <c r="R888" s="36"/>
      <c r="S888" s="36"/>
      <c r="T888" s="36"/>
      <c r="U888" s="36"/>
      <c r="V888" s="36"/>
      <c r="W888" s="36"/>
      <c r="X888" s="36"/>
      <c r="Y888" s="36"/>
      <c r="Z888" s="36"/>
      <c r="AA888" s="36"/>
      <c r="AB888" s="36"/>
    </row>
    <row r="889" spans="1:28" ht="36" hidden="1" customHeight="1">
      <c r="A889" s="207" t="s">
        <v>1847</v>
      </c>
      <c r="B889" s="117">
        <v>2017</v>
      </c>
      <c r="C889" s="117" t="s">
        <v>1800</v>
      </c>
      <c r="D889" s="195" t="s">
        <v>1848</v>
      </c>
      <c r="E889" s="117" t="s">
        <v>41</v>
      </c>
      <c r="F889" s="117" t="s">
        <v>97</v>
      </c>
      <c r="G889" s="211" t="s">
        <v>43</v>
      </c>
      <c r="H889" s="117" t="s">
        <v>1490</v>
      </c>
      <c r="I889" s="35"/>
      <c r="J889" s="36"/>
      <c r="K889" s="36"/>
      <c r="L889" s="36"/>
      <c r="M889" s="36"/>
      <c r="N889" s="36"/>
      <c r="O889" s="36"/>
      <c r="P889" s="36"/>
      <c r="Q889" s="36"/>
      <c r="R889" s="36"/>
      <c r="S889" s="36"/>
      <c r="T889" s="36"/>
      <c r="U889" s="36"/>
      <c r="V889" s="36"/>
      <c r="W889" s="36"/>
      <c r="X889" s="36"/>
      <c r="Y889" s="36"/>
      <c r="Z889" s="36"/>
      <c r="AA889" s="36"/>
      <c r="AB889" s="36"/>
    </row>
    <row r="890" spans="1:28" ht="24" hidden="1" customHeight="1">
      <c r="A890" s="207" t="s">
        <v>1624</v>
      </c>
      <c r="B890" s="117">
        <v>2016</v>
      </c>
      <c r="C890" s="117" t="s">
        <v>1849</v>
      </c>
      <c r="D890" s="195" t="s">
        <v>1626</v>
      </c>
      <c r="E890" s="117" t="s">
        <v>41</v>
      </c>
      <c r="F890" s="117" t="s">
        <v>97</v>
      </c>
      <c r="G890" s="211" t="s">
        <v>43</v>
      </c>
      <c r="H890" s="117" t="s">
        <v>1490</v>
      </c>
      <c r="I890" s="35"/>
      <c r="J890" s="36"/>
      <c r="K890" s="36"/>
      <c r="L890" s="36"/>
      <c r="M890" s="36"/>
      <c r="N890" s="36"/>
      <c r="O890" s="36"/>
      <c r="P890" s="36"/>
      <c r="Q890" s="36"/>
      <c r="R890" s="36"/>
      <c r="S890" s="36"/>
      <c r="T890" s="36"/>
      <c r="U890" s="36"/>
      <c r="V890" s="36"/>
      <c r="W890" s="36"/>
      <c r="X890" s="36"/>
      <c r="Y890" s="36"/>
      <c r="Z890" s="36"/>
      <c r="AA890" s="36"/>
      <c r="AB890" s="36"/>
    </row>
    <row r="891" spans="1:28" ht="48" hidden="1" customHeight="1">
      <c r="A891" s="239" t="s">
        <v>1850</v>
      </c>
      <c r="B891" s="117">
        <v>2005</v>
      </c>
      <c r="C891" s="117" t="s">
        <v>1851</v>
      </c>
      <c r="D891" s="195" t="s">
        <v>1852</v>
      </c>
      <c r="E891" s="117" t="s">
        <v>41</v>
      </c>
      <c r="F891" s="117" t="s">
        <v>97</v>
      </c>
      <c r="G891" s="211" t="s">
        <v>43</v>
      </c>
      <c r="H891" s="117" t="s">
        <v>1490</v>
      </c>
      <c r="I891" s="35"/>
      <c r="J891" s="36"/>
      <c r="K891" s="36"/>
      <c r="L891" s="36"/>
      <c r="M891" s="36"/>
      <c r="N891" s="36"/>
      <c r="O891" s="36"/>
      <c r="P891" s="36"/>
      <c r="Q891" s="36"/>
      <c r="R891" s="36"/>
      <c r="S891" s="36"/>
      <c r="T891" s="36"/>
      <c r="U891" s="36"/>
      <c r="V891" s="36"/>
      <c r="W891" s="36"/>
      <c r="X891" s="36"/>
      <c r="Y891" s="36"/>
      <c r="Z891" s="36"/>
      <c r="AA891" s="36"/>
      <c r="AB891" s="36"/>
    </row>
    <row r="892" spans="1:28" ht="24" hidden="1" customHeight="1">
      <c r="A892" s="207" t="s">
        <v>1853</v>
      </c>
      <c r="B892" s="117">
        <v>2010</v>
      </c>
      <c r="C892" s="117" t="s">
        <v>1854</v>
      </c>
      <c r="D892" s="195" t="s">
        <v>1855</v>
      </c>
      <c r="E892" s="117" t="s">
        <v>41</v>
      </c>
      <c r="F892" s="117" t="s">
        <v>97</v>
      </c>
      <c r="G892" s="211" t="s">
        <v>43</v>
      </c>
      <c r="H892" s="117" t="s">
        <v>1490</v>
      </c>
      <c r="I892" s="35"/>
      <c r="J892" s="36"/>
      <c r="K892" s="36"/>
      <c r="L892" s="36"/>
      <c r="M892" s="36"/>
      <c r="N892" s="36"/>
      <c r="O892" s="36"/>
      <c r="P892" s="36"/>
      <c r="Q892" s="36"/>
      <c r="R892" s="36"/>
      <c r="S892" s="36"/>
      <c r="T892" s="36"/>
      <c r="U892" s="36"/>
      <c r="V892" s="36"/>
      <c r="W892" s="36"/>
      <c r="X892" s="36"/>
      <c r="Y892" s="36"/>
      <c r="Z892" s="36"/>
      <c r="AA892" s="36"/>
      <c r="AB892" s="36"/>
    </row>
    <row r="893" spans="1:28" ht="24" hidden="1" customHeight="1">
      <c r="A893" s="207" t="s">
        <v>1856</v>
      </c>
      <c r="B893" s="117">
        <v>1978</v>
      </c>
      <c r="C893" s="117" t="s">
        <v>1857</v>
      </c>
      <c r="D893" s="195" t="s">
        <v>1858</v>
      </c>
      <c r="E893" s="117" t="s">
        <v>41</v>
      </c>
      <c r="F893" s="117" t="s">
        <v>97</v>
      </c>
      <c r="G893" s="211" t="s">
        <v>43</v>
      </c>
      <c r="H893" s="117" t="s">
        <v>1490</v>
      </c>
      <c r="I893" s="35"/>
      <c r="J893" s="36"/>
      <c r="K893" s="36"/>
      <c r="L893" s="36"/>
      <c r="M893" s="36"/>
      <c r="N893" s="36"/>
      <c r="O893" s="36"/>
      <c r="P893" s="36"/>
      <c r="Q893" s="36"/>
      <c r="R893" s="36"/>
      <c r="S893" s="36"/>
      <c r="T893" s="36"/>
      <c r="U893" s="36"/>
      <c r="V893" s="36"/>
      <c r="W893" s="36"/>
      <c r="X893" s="36"/>
      <c r="Y893" s="36"/>
      <c r="Z893" s="36"/>
      <c r="AA893" s="36"/>
      <c r="AB893" s="36"/>
    </row>
    <row r="894" spans="1:28" ht="36" hidden="1" customHeight="1">
      <c r="A894" s="207" t="s">
        <v>1859</v>
      </c>
      <c r="B894" s="117">
        <v>2015</v>
      </c>
      <c r="C894" s="117" t="s">
        <v>1857</v>
      </c>
      <c r="D894" s="195" t="s">
        <v>1860</v>
      </c>
      <c r="E894" s="117" t="s">
        <v>41</v>
      </c>
      <c r="F894" s="117" t="s">
        <v>97</v>
      </c>
      <c r="G894" s="211" t="s">
        <v>43</v>
      </c>
      <c r="H894" s="117" t="s">
        <v>1490</v>
      </c>
      <c r="I894" s="35"/>
      <c r="J894" s="36"/>
      <c r="K894" s="36"/>
      <c r="L894" s="36"/>
      <c r="M894" s="36"/>
      <c r="N894" s="36"/>
      <c r="O894" s="36"/>
      <c r="P894" s="36"/>
      <c r="Q894" s="36"/>
      <c r="R894" s="36"/>
      <c r="S894" s="36"/>
      <c r="T894" s="36"/>
      <c r="U894" s="36"/>
      <c r="V894" s="36"/>
      <c r="W894" s="36"/>
      <c r="X894" s="36"/>
      <c r="Y894" s="36"/>
      <c r="Z894" s="36"/>
      <c r="AA894" s="36"/>
      <c r="AB894" s="36"/>
    </row>
    <row r="895" spans="1:28" ht="24" hidden="1" customHeight="1">
      <c r="A895" s="207" t="s">
        <v>1861</v>
      </c>
      <c r="B895" s="117">
        <v>1924</v>
      </c>
      <c r="C895" s="117" t="s">
        <v>1862</v>
      </c>
      <c r="D895" s="195" t="s">
        <v>1863</v>
      </c>
      <c r="E895" s="117" t="s">
        <v>41</v>
      </c>
      <c r="F895" s="117" t="s">
        <v>97</v>
      </c>
      <c r="G895" s="211" t="s">
        <v>43</v>
      </c>
      <c r="H895" s="117" t="s">
        <v>1490</v>
      </c>
      <c r="I895" s="35"/>
      <c r="J895" s="36"/>
      <c r="K895" s="36"/>
      <c r="L895" s="36"/>
      <c r="M895" s="36"/>
      <c r="N895" s="36"/>
      <c r="O895" s="36"/>
      <c r="P895" s="36"/>
      <c r="Q895" s="36"/>
      <c r="R895" s="36"/>
      <c r="S895" s="36"/>
      <c r="T895" s="36"/>
      <c r="U895" s="36"/>
      <c r="V895" s="36"/>
      <c r="W895" s="36"/>
      <c r="X895" s="36"/>
      <c r="Y895" s="36"/>
      <c r="Z895" s="36"/>
      <c r="AA895" s="36"/>
      <c r="AB895" s="36"/>
    </row>
    <row r="896" spans="1:28" ht="24" hidden="1" customHeight="1">
      <c r="A896" s="207" t="s">
        <v>1864</v>
      </c>
      <c r="B896" s="117">
        <v>1959</v>
      </c>
      <c r="C896" s="117" t="s">
        <v>1865</v>
      </c>
      <c r="D896" s="195" t="s">
        <v>1866</v>
      </c>
      <c r="E896" s="117" t="s">
        <v>41</v>
      </c>
      <c r="F896" s="117" t="s">
        <v>97</v>
      </c>
      <c r="G896" s="211"/>
      <c r="H896" s="117"/>
      <c r="I896" s="35"/>
      <c r="J896" s="36"/>
      <c r="K896" s="36"/>
      <c r="L896" s="36"/>
      <c r="M896" s="36"/>
      <c r="N896" s="36"/>
      <c r="O896" s="36"/>
      <c r="P896" s="36"/>
      <c r="Q896" s="36"/>
      <c r="R896" s="36"/>
      <c r="S896" s="36"/>
      <c r="T896" s="36"/>
      <c r="U896" s="36"/>
      <c r="V896" s="36"/>
      <c r="W896" s="36"/>
      <c r="X896" s="36"/>
      <c r="Y896" s="36"/>
      <c r="Z896" s="36"/>
      <c r="AA896" s="36"/>
      <c r="AB896" s="36"/>
    </row>
    <row r="897" spans="1:28" ht="12" hidden="1" customHeight="1">
      <c r="A897" s="214" t="s">
        <v>1867</v>
      </c>
      <c r="B897" s="206">
        <v>2002</v>
      </c>
      <c r="C897" s="197" t="s">
        <v>39</v>
      </c>
      <c r="D897" s="195" t="s">
        <v>489</v>
      </c>
      <c r="E897" s="117" t="s">
        <v>41</v>
      </c>
      <c r="F897" s="117" t="s">
        <v>97</v>
      </c>
      <c r="G897" s="211" t="s">
        <v>43</v>
      </c>
      <c r="H897" s="117" t="s">
        <v>1868</v>
      </c>
      <c r="I897" s="35"/>
      <c r="J897" s="36"/>
      <c r="K897" s="36"/>
      <c r="L897" s="36"/>
      <c r="M897" s="36"/>
      <c r="N897" s="36"/>
      <c r="O897" s="36"/>
      <c r="P897" s="36"/>
      <c r="Q897" s="36"/>
      <c r="R897" s="36"/>
      <c r="S897" s="36"/>
      <c r="T897" s="36"/>
      <c r="U897" s="36"/>
      <c r="V897" s="36"/>
      <c r="W897" s="36"/>
      <c r="X897" s="36"/>
      <c r="Y897" s="36"/>
      <c r="Z897" s="36"/>
      <c r="AA897" s="36"/>
      <c r="AB897" s="36"/>
    </row>
    <row r="898" spans="1:28" ht="48" hidden="1" customHeight="1">
      <c r="A898" s="207" t="s">
        <v>1869</v>
      </c>
      <c r="B898" s="206">
        <v>2009</v>
      </c>
      <c r="C898" s="117" t="s">
        <v>507</v>
      </c>
      <c r="D898" s="195" t="s">
        <v>1870</v>
      </c>
      <c r="E898" s="117" t="s">
        <v>41</v>
      </c>
      <c r="F898" s="117" t="s">
        <v>97</v>
      </c>
      <c r="G898" s="211" t="s">
        <v>43</v>
      </c>
      <c r="H898" s="117" t="s">
        <v>1868</v>
      </c>
      <c r="I898" s="35"/>
      <c r="J898" s="36"/>
      <c r="K898" s="36"/>
      <c r="L898" s="36"/>
      <c r="M898" s="36"/>
      <c r="N898" s="36"/>
      <c r="O898" s="36"/>
      <c r="P898" s="36"/>
      <c r="Q898" s="36"/>
      <c r="R898" s="36"/>
      <c r="S898" s="36"/>
      <c r="T898" s="36"/>
      <c r="U898" s="36"/>
      <c r="V898" s="36"/>
      <c r="W898" s="36"/>
      <c r="X898" s="36"/>
      <c r="Y898" s="36"/>
      <c r="Z898" s="36"/>
      <c r="AA898" s="36"/>
      <c r="AB898" s="36"/>
    </row>
    <row r="899" spans="1:28" ht="24" hidden="1" customHeight="1">
      <c r="A899" s="207" t="s">
        <v>1871</v>
      </c>
      <c r="B899" s="206">
        <v>2012</v>
      </c>
      <c r="C899" s="117" t="s">
        <v>507</v>
      </c>
      <c r="D899" s="195" t="s">
        <v>1872</v>
      </c>
      <c r="E899" s="117" t="s">
        <v>41</v>
      </c>
      <c r="F899" s="117" t="s">
        <v>97</v>
      </c>
      <c r="G899" s="211" t="s">
        <v>43</v>
      </c>
      <c r="H899" s="117" t="s">
        <v>1868</v>
      </c>
      <c r="I899" s="35"/>
      <c r="J899" s="36"/>
      <c r="K899" s="36"/>
      <c r="L899" s="36"/>
      <c r="M899" s="36"/>
      <c r="N899" s="36"/>
      <c r="O899" s="36"/>
      <c r="P899" s="36"/>
      <c r="Q899" s="36"/>
      <c r="R899" s="36"/>
      <c r="S899" s="36"/>
      <c r="T899" s="36"/>
      <c r="U899" s="36"/>
      <c r="V899" s="36"/>
      <c r="W899" s="36"/>
      <c r="X899" s="36"/>
      <c r="Y899" s="36"/>
      <c r="Z899" s="36"/>
      <c r="AA899" s="36"/>
      <c r="AB899" s="36"/>
    </row>
    <row r="900" spans="1:28" ht="36" hidden="1" customHeight="1">
      <c r="A900" s="207" t="s">
        <v>294</v>
      </c>
      <c r="B900" s="206">
        <v>2014</v>
      </c>
      <c r="C900" s="117" t="s">
        <v>507</v>
      </c>
      <c r="D900" s="195" t="s">
        <v>295</v>
      </c>
      <c r="E900" s="117" t="s">
        <v>41</v>
      </c>
      <c r="F900" s="117" t="s">
        <v>97</v>
      </c>
      <c r="G900" s="211" t="s">
        <v>43</v>
      </c>
      <c r="H900" s="117" t="s">
        <v>1868</v>
      </c>
      <c r="I900" s="35"/>
      <c r="J900" s="36"/>
      <c r="K900" s="36"/>
      <c r="L900" s="36"/>
      <c r="M900" s="36"/>
      <c r="N900" s="36"/>
      <c r="O900" s="36"/>
      <c r="P900" s="36"/>
      <c r="Q900" s="36"/>
      <c r="R900" s="36"/>
      <c r="S900" s="36"/>
      <c r="T900" s="36"/>
      <c r="U900" s="36"/>
      <c r="V900" s="36"/>
      <c r="W900" s="36"/>
      <c r="X900" s="36"/>
      <c r="Y900" s="36"/>
      <c r="Z900" s="36"/>
      <c r="AA900" s="36"/>
      <c r="AB900" s="36"/>
    </row>
    <row r="901" spans="1:28" ht="36" hidden="1" customHeight="1">
      <c r="A901" s="207" t="s">
        <v>1873</v>
      </c>
      <c r="B901" s="206">
        <v>2015</v>
      </c>
      <c r="C901" s="117" t="s">
        <v>507</v>
      </c>
      <c r="D901" s="195" t="s">
        <v>1874</v>
      </c>
      <c r="E901" s="117" t="s">
        <v>41</v>
      </c>
      <c r="F901" s="117" t="s">
        <v>97</v>
      </c>
      <c r="G901" s="211" t="s">
        <v>43</v>
      </c>
      <c r="H901" s="117" t="s">
        <v>1868</v>
      </c>
      <c r="I901" s="35"/>
      <c r="J901" s="36"/>
      <c r="K901" s="36"/>
      <c r="L901" s="36"/>
      <c r="M901" s="36"/>
      <c r="N901" s="36"/>
      <c r="O901" s="36"/>
      <c r="P901" s="36"/>
      <c r="Q901" s="36"/>
      <c r="R901" s="36"/>
      <c r="S901" s="36"/>
      <c r="T901" s="36"/>
      <c r="U901" s="36"/>
      <c r="V901" s="36"/>
      <c r="W901" s="36"/>
      <c r="X901" s="36"/>
      <c r="Y901" s="36"/>
      <c r="Z901" s="36"/>
      <c r="AA901" s="36"/>
      <c r="AB901" s="36"/>
    </row>
    <row r="902" spans="1:28" ht="48" hidden="1" customHeight="1">
      <c r="A902" s="207" t="s">
        <v>1875</v>
      </c>
      <c r="B902" s="206">
        <v>2008</v>
      </c>
      <c r="C902" s="117" t="s">
        <v>61</v>
      </c>
      <c r="D902" s="195" t="s">
        <v>1876</v>
      </c>
      <c r="E902" s="117" t="s">
        <v>41</v>
      </c>
      <c r="F902" s="117" t="s">
        <v>97</v>
      </c>
      <c r="G902" s="211" t="s">
        <v>43</v>
      </c>
      <c r="H902" s="117" t="s">
        <v>1868</v>
      </c>
      <c r="I902" s="35"/>
      <c r="J902" s="36"/>
      <c r="K902" s="36"/>
      <c r="L902" s="36"/>
      <c r="M902" s="36"/>
      <c r="N902" s="36"/>
      <c r="O902" s="36"/>
      <c r="P902" s="36"/>
      <c r="Q902" s="36"/>
      <c r="R902" s="36"/>
      <c r="S902" s="36"/>
      <c r="T902" s="36"/>
      <c r="U902" s="36"/>
      <c r="V902" s="36"/>
      <c r="W902" s="36"/>
      <c r="X902" s="36"/>
      <c r="Y902" s="36"/>
      <c r="Z902" s="36"/>
      <c r="AA902" s="36"/>
      <c r="AB902" s="36"/>
    </row>
    <row r="903" spans="1:28" ht="24" hidden="1" customHeight="1">
      <c r="A903" s="207" t="s">
        <v>1877</v>
      </c>
      <c r="B903" s="206">
        <v>2013</v>
      </c>
      <c r="C903" s="117" t="s">
        <v>57</v>
      </c>
      <c r="D903" s="195" t="s">
        <v>1878</v>
      </c>
      <c r="E903" s="117" t="s">
        <v>41</v>
      </c>
      <c r="F903" s="117" t="s">
        <v>97</v>
      </c>
      <c r="G903" s="211" t="s">
        <v>43</v>
      </c>
      <c r="H903" s="117" t="s">
        <v>1868</v>
      </c>
      <c r="I903" s="35"/>
      <c r="J903" s="36"/>
      <c r="K903" s="36"/>
      <c r="L903" s="36"/>
      <c r="M903" s="36"/>
      <c r="N903" s="36"/>
      <c r="O903" s="36"/>
      <c r="P903" s="36"/>
      <c r="Q903" s="36"/>
      <c r="R903" s="36"/>
      <c r="S903" s="36"/>
      <c r="T903" s="36"/>
      <c r="U903" s="36"/>
      <c r="V903" s="36"/>
      <c r="W903" s="36"/>
      <c r="X903" s="36"/>
      <c r="Y903" s="36"/>
      <c r="Z903" s="36"/>
      <c r="AA903" s="36"/>
      <c r="AB903" s="36"/>
    </row>
    <row r="904" spans="1:28" ht="36" hidden="1" customHeight="1">
      <c r="A904" s="207" t="s">
        <v>1879</v>
      </c>
      <c r="B904" s="206">
        <v>2014</v>
      </c>
      <c r="C904" s="117" t="s">
        <v>57</v>
      </c>
      <c r="D904" s="195" t="s">
        <v>1880</v>
      </c>
      <c r="E904" s="117" t="s">
        <v>41</v>
      </c>
      <c r="F904" s="117" t="s">
        <v>97</v>
      </c>
      <c r="G904" s="211" t="s">
        <v>43</v>
      </c>
      <c r="H904" s="117" t="s">
        <v>1868</v>
      </c>
      <c r="I904" s="35"/>
      <c r="J904" s="36"/>
      <c r="K904" s="36"/>
      <c r="L904" s="36"/>
      <c r="M904" s="36"/>
      <c r="N904" s="36"/>
      <c r="O904" s="36"/>
      <c r="P904" s="36"/>
      <c r="Q904" s="36"/>
      <c r="R904" s="36"/>
      <c r="S904" s="36"/>
      <c r="T904" s="36"/>
      <c r="U904" s="36"/>
      <c r="V904" s="36"/>
      <c r="W904" s="36"/>
      <c r="X904" s="36"/>
      <c r="Y904" s="36"/>
      <c r="Z904" s="36"/>
      <c r="AA904" s="36"/>
      <c r="AB904" s="36"/>
    </row>
    <row r="905" spans="1:28" ht="24" hidden="1" customHeight="1">
      <c r="A905" s="207" t="s">
        <v>298</v>
      </c>
      <c r="B905" s="206">
        <v>2015</v>
      </c>
      <c r="C905" s="117" t="s">
        <v>57</v>
      </c>
      <c r="D905" s="195" t="s">
        <v>1881</v>
      </c>
      <c r="E905" s="117" t="s">
        <v>41</v>
      </c>
      <c r="F905" s="117" t="s">
        <v>97</v>
      </c>
      <c r="G905" s="211" t="s">
        <v>43</v>
      </c>
      <c r="H905" s="117" t="s">
        <v>1868</v>
      </c>
      <c r="I905" s="35"/>
      <c r="J905" s="36"/>
      <c r="K905" s="36"/>
      <c r="L905" s="36"/>
      <c r="M905" s="36"/>
      <c r="N905" s="36"/>
      <c r="O905" s="36"/>
      <c r="P905" s="36"/>
      <c r="Q905" s="36"/>
      <c r="R905" s="36"/>
      <c r="S905" s="36"/>
      <c r="T905" s="36"/>
      <c r="U905" s="36"/>
      <c r="V905" s="36"/>
      <c r="W905" s="36"/>
      <c r="X905" s="36"/>
      <c r="Y905" s="36"/>
      <c r="Z905" s="36"/>
      <c r="AA905" s="36"/>
      <c r="AB905" s="36"/>
    </row>
    <row r="906" spans="1:28" ht="24" hidden="1" customHeight="1">
      <c r="A906" s="207" t="s">
        <v>1882</v>
      </c>
      <c r="B906" s="206">
        <v>2015</v>
      </c>
      <c r="C906" s="117" t="s">
        <v>57</v>
      </c>
      <c r="D906" s="195" t="s">
        <v>1883</v>
      </c>
      <c r="E906" s="117" t="s">
        <v>41</v>
      </c>
      <c r="F906" s="117" t="s">
        <v>97</v>
      </c>
      <c r="G906" s="211" t="s">
        <v>43</v>
      </c>
      <c r="H906" s="117" t="s">
        <v>1868</v>
      </c>
      <c r="I906" s="35"/>
      <c r="J906" s="36"/>
      <c r="K906" s="36"/>
      <c r="L906" s="36"/>
      <c r="M906" s="36"/>
      <c r="N906" s="36"/>
      <c r="O906" s="36"/>
      <c r="P906" s="36"/>
      <c r="Q906" s="36"/>
      <c r="R906" s="36"/>
      <c r="S906" s="36"/>
      <c r="T906" s="36"/>
      <c r="U906" s="36"/>
      <c r="V906" s="36"/>
      <c r="W906" s="36"/>
      <c r="X906" s="36"/>
      <c r="Y906" s="36"/>
      <c r="Z906" s="36"/>
      <c r="AA906" s="36"/>
      <c r="AB906" s="36"/>
    </row>
    <row r="907" spans="1:28" ht="36" hidden="1" customHeight="1">
      <c r="A907" s="207" t="s">
        <v>1884</v>
      </c>
      <c r="B907" s="206">
        <v>2016</v>
      </c>
      <c r="C907" s="117" t="s">
        <v>61</v>
      </c>
      <c r="D907" s="195" t="s">
        <v>1885</v>
      </c>
      <c r="E907" s="117" t="s">
        <v>41</v>
      </c>
      <c r="F907" s="117" t="s">
        <v>97</v>
      </c>
      <c r="G907" s="211" t="s">
        <v>43</v>
      </c>
      <c r="H907" s="117" t="s">
        <v>1868</v>
      </c>
      <c r="I907" s="35"/>
      <c r="J907" s="36"/>
      <c r="K907" s="36"/>
      <c r="L907" s="36"/>
      <c r="M907" s="36"/>
      <c r="N907" s="36"/>
      <c r="O907" s="36"/>
      <c r="P907" s="36"/>
      <c r="Q907" s="36"/>
      <c r="R907" s="36"/>
      <c r="S907" s="36"/>
      <c r="T907" s="36"/>
      <c r="U907" s="36"/>
      <c r="V907" s="36"/>
      <c r="W907" s="36"/>
      <c r="X907" s="36"/>
      <c r="Y907" s="36"/>
      <c r="Z907" s="36"/>
      <c r="AA907" s="36"/>
      <c r="AB907" s="36"/>
    </row>
    <row r="908" spans="1:28" ht="15" hidden="1" customHeight="1">
      <c r="A908" s="239" t="s">
        <v>1886</v>
      </c>
      <c r="B908" s="206">
        <v>2009</v>
      </c>
      <c r="C908" s="117" t="s">
        <v>195</v>
      </c>
      <c r="D908" s="195" t="s">
        <v>1887</v>
      </c>
      <c r="E908" s="117" t="s">
        <v>41</v>
      </c>
      <c r="F908" s="117" t="s">
        <v>97</v>
      </c>
      <c r="G908" s="211" t="s">
        <v>43</v>
      </c>
      <c r="H908" s="117" t="s">
        <v>1868</v>
      </c>
      <c r="I908" s="35"/>
      <c r="J908" s="36"/>
      <c r="K908" s="36"/>
      <c r="L908" s="36"/>
      <c r="M908" s="36"/>
      <c r="N908" s="36"/>
      <c r="O908" s="36"/>
      <c r="P908" s="36"/>
      <c r="Q908" s="36"/>
      <c r="R908" s="36"/>
      <c r="S908" s="36"/>
      <c r="T908" s="36"/>
      <c r="U908" s="36"/>
      <c r="V908" s="36"/>
      <c r="W908" s="36"/>
      <c r="X908" s="36"/>
      <c r="Y908" s="36"/>
      <c r="Z908" s="36"/>
      <c r="AA908" s="36"/>
      <c r="AB908" s="36"/>
    </row>
    <row r="909" spans="1:28" ht="72" hidden="1" customHeight="1">
      <c r="A909" s="207" t="s">
        <v>1888</v>
      </c>
      <c r="B909" s="206">
        <v>2008</v>
      </c>
      <c r="C909" s="117" t="s">
        <v>603</v>
      </c>
      <c r="D909" s="195" t="s">
        <v>604</v>
      </c>
      <c r="E909" s="117" t="s">
        <v>41</v>
      </c>
      <c r="F909" s="117" t="s">
        <v>97</v>
      </c>
      <c r="G909" s="211" t="s">
        <v>43</v>
      </c>
      <c r="H909" s="117" t="s">
        <v>1868</v>
      </c>
      <c r="I909" s="35"/>
      <c r="J909" s="36"/>
      <c r="K909" s="36"/>
      <c r="L909" s="36"/>
      <c r="M909" s="36"/>
      <c r="N909" s="36"/>
      <c r="O909" s="36"/>
      <c r="P909" s="36"/>
      <c r="Q909" s="36"/>
      <c r="R909" s="36"/>
      <c r="S909" s="36"/>
      <c r="T909" s="36"/>
      <c r="U909" s="36"/>
      <c r="V909" s="36"/>
      <c r="W909" s="36"/>
      <c r="X909" s="36"/>
      <c r="Y909" s="36"/>
      <c r="Z909" s="36"/>
      <c r="AA909" s="36"/>
      <c r="AB909" s="36"/>
    </row>
    <row r="910" spans="1:28" ht="24" hidden="1" customHeight="1">
      <c r="A910" s="207" t="s">
        <v>1889</v>
      </c>
      <c r="B910" s="206">
        <v>2008</v>
      </c>
      <c r="C910" s="117" t="s">
        <v>603</v>
      </c>
      <c r="D910" s="195" t="s">
        <v>1890</v>
      </c>
      <c r="E910" s="117" t="s">
        <v>41</v>
      </c>
      <c r="F910" s="117" t="s">
        <v>97</v>
      </c>
      <c r="G910" s="211" t="s">
        <v>43</v>
      </c>
      <c r="H910" s="117" t="s">
        <v>1868</v>
      </c>
      <c r="I910" s="35"/>
      <c r="J910" s="36"/>
      <c r="K910" s="36"/>
      <c r="L910" s="36"/>
      <c r="M910" s="36"/>
      <c r="N910" s="36"/>
      <c r="O910" s="36"/>
      <c r="P910" s="36"/>
      <c r="Q910" s="36"/>
      <c r="R910" s="36"/>
      <c r="S910" s="36"/>
      <c r="T910" s="36"/>
      <c r="U910" s="36"/>
      <c r="V910" s="36"/>
      <c r="W910" s="36"/>
      <c r="X910" s="36"/>
      <c r="Y910" s="36"/>
      <c r="Z910" s="36"/>
      <c r="AA910" s="36"/>
      <c r="AB910" s="36"/>
    </row>
    <row r="911" spans="1:28" ht="24" hidden="1" customHeight="1">
      <c r="A911" s="207" t="s">
        <v>1891</v>
      </c>
      <c r="B911" s="206">
        <v>2015</v>
      </c>
      <c r="C911" s="206" t="s">
        <v>1892</v>
      </c>
      <c r="D911" s="195" t="s">
        <v>1893</v>
      </c>
      <c r="E911" s="117" t="s">
        <v>41</v>
      </c>
      <c r="F911" s="117" t="s">
        <v>97</v>
      </c>
      <c r="G911" s="211" t="s">
        <v>43</v>
      </c>
      <c r="H911" s="117" t="s">
        <v>1868</v>
      </c>
      <c r="I911" s="35"/>
      <c r="J911" s="36"/>
      <c r="K911" s="36"/>
      <c r="L911" s="36"/>
      <c r="M911" s="36"/>
      <c r="N911" s="36"/>
      <c r="O911" s="36"/>
      <c r="P911" s="36"/>
      <c r="Q911" s="36"/>
      <c r="R911" s="36"/>
      <c r="S911" s="36"/>
      <c r="T911" s="36"/>
      <c r="U911" s="36"/>
      <c r="V911" s="36"/>
      <c r="W911" s="36"/>
      <c r="X911" s="36"/>
      <c r="Y911" s="36"/>
      <c r="Z911" s="36"/>
      <c r="AA911" s="36"/>
      <c r="AB911" s="36"/>
    </row>
    <row r="912" spans="1:28" ht="12" hidden="1" customHeight="1">
      <c r="A912" s="207" t="s">
        <v>1894</v>
      </c>
      <c r="B912" s="206">
        <v>2014</v>
      </c>
      <c r="C912" s="117" t="s">
        <v>1895</v>
      </c>
      <c r="D912" s="195" t="s">
        <v>1896</v>
      </c>
      <c r="E912" s="117" t="s">
        <v>41</v>
      </c>
      <c r="F912" s="117" t="s">
        <v>97</v>
      </c>
      <c r="G912" s="211" t="s">
        <v>43</v>
      </c>
      <c r="H912" s="117" t="s">
        <v>1868</v>
      </c>
      <c r="I912" s="35"/>
      <c r="J912" s="36"/>
      <c r="K912" s="36"/>
      <c r="L912" s="36"/>
      <c r="M912" s="36"/>
      <c r="N912" s="36"/>
      <c r="O912" s="36"/>
      <c r="P912" s="36"/>
      <c r="Q912" s="36"/>
      <c r="R912" s="36"/>
      <c r="S912" s="36"/>
      <c r="T912" s="36"/>
      <c r="U912" s="36"/>
      <c r="V912" s="36"/>
      <c r="W912" s="36"/>
      <c r="X912" s="36"/>
      <c r="Y912" s="36"/>
      <c r="Z912" s="36"/>
      <c r="AA912" s="36"/>
      <c r="AB912" s="36"/>
    </row>
    <row r="913" spans="1:28" ht="12" hidden="1" customHeight="1">
      <c r="A913" s="207" t="s">
        <v>1897</v>
      </c>
      <c r="B913" s="206"/>
      <c r="C913" s="117"/>
      <c r="D913" s="195" t="s">
        <v>1898</v>
      </c>
      <c r="E913" s="117" t="s">
        <v>41</v>
      </c>
      <c r="F913" s="117" t="s">
        <v>97</v>
      </c>
      <c r="G913" s="211" t="s">
        <v>43</v>
      </c>
      <c r="H913" s="117" t="s">
        <v>1868</v>
      </c>
      <c r="I913" s="35"/>
      <c r="J913" s="36"/>
      <c r="K913" s="36"/>
      <c r="L913" s="36"/>
      <c r="M913" s="36"/>
      <c r="N913" s="36"/>
      <c r="O913" s="36"/>
      <c r="P913" s="36"/>
      <c r="Q913" s="36"/>
      <c r="R913" s="36"/>
      <c r="S913" s="36"/>
      <c r="T913" s="36"/>
      <c r="U913" s="36"/>
      <c r="V913" s="36"/>
      <c r="W913" s="36"/>
      <c r="X913" s="36"/>
      <c r="Y913" s="36"/>
      <c r="Z913" s="36"/>
      <c r="AA913" s="36"/>
      <c r="AB913" s="36"/>
    </row>
    <row r="914" spans="1:28" ht="24" hidden="1" customHeight="1">
      <c r="A914" s="207" t="s">
        <v>1899</v>
      </c>
      <c r="B914" s="206">
        <v>2005</v>
      </c>
      <c r="C914" s="117" t="s">
        <v>61</v>
      </c>
      <c r="D914" s="195" t="s">
        <v>1900</v>
      </c>
      <c r="E914" s="117" t="s">
        <v>41</v>
      </c>
      <c r="F914" s="117" t="s">
        <v>97</v>
      </c>
      <c r="G914" s="211" t="s">
        <v>43</v>
      </c>
      <c r="H914" s="117" t="s">
        <v>1868</v>
      </c>
      <c r="I914" s="35"/>
      <c r="J914" s="36"/>
      <c r="K914" s="36"/>
      <c r="L914" s="36"/>
      <c r="M914" s="36"/>
      <c r="N914" s="36"/>
      <c r="O914" s="36"/>
      <c r="P914" s="36"/>
      <c r="Q914" s="36"/>
      <c r="R914" s="36"/>
      <c r="S914" s="36"/>
      <c r="T914" s="36"/>
      <c r="U914" s="36"/>
      <c r="V914" s="36"/>
      <c r="W914" s="36"/>
      <c r="X914" s="36"/>
      <c r="Y914" s="36"/>
      <c r="Z914" s="36"/>
      <c r="AA914" s="36"/>
      <c r="AB914" s="36"/>
    </row>
    <row r="915" spans="1:28" ht="132" hidden="1" customHeight="1">
      <c r="A915" s="207" t="s">
        <v>1901</v>
      </c>
      <c r="B915" s="206">
        <v>2018</v>
      </c>
      <c r="C915" s="117" t="s">
        <v>1902</v>
      </c>
      <c r="D915" s="195" t="s">
        <v>1903</v>
      </c>
      <c r="E915" s="117" t="s">
        <v>1904</v>
      </c>
      <c r="F915" s="195" t="s">
        <v>1905</v>
      </c>
      <c r="G915" s="211" t="s">
        <v>43</v>
      </c>
      <c r="H915" s="117" t="s">
        <v>1868</v>
      </c>
      <c r="I915" s="35"/>
      <c r="J915" s="36"/>
      <c r="K915" s="36"/>
      <c r="L915" s="36"/>
      <c r="M915" s="36"/>
      <c r="N915" s="36"/>
      <c r="O915" s="36"/>
      <c r="P915" s="36"/>
      <c r="Q915" s="36"/>
      <c r="R915" s="36"/>
      <c r="S915" s="36"/>
      <c r="T915" s="36"/>
      <c r="U915" s="36"/>
      <c r="V915" s="36"/>
      <c r="W915" s="36"/>
      <c r="X915" s="36"/>
      <c r="Y915" s="36"/>
      <c r="Z915" s="36"/>
      <c r="AA915" s="36"/>
      <c r="AB915" s="36"/>
    </row>
    <row r="916" spans="1:28" ht="24" hidden="1" customHeight="1">
      <c r="A916" s="207" t="s">
        <v>1906</v>
      </c>
      <c r="B916" s="206"/>
      <c r="C916" s="117" t="s">
        <v>61</v>
      </c>
      <c r="D916" s="195" t="s">
        <v>1907</v>
      </c>
      <c r="E916" s="117" t="s">
        <v>41</v>
      </c>
      <c r="F916" s="117" t="s">
        <v>97</v>
      </c>
      <c r="G916" s="211" t="s">
        <v>43</v>
      </c>
      <c r="H916" s="117" t="s">
        <v>1868</v>
      </c>
      <c r="I916" s="35"/>
      <c r="J916" s="36"/>
      <c r="K916" s="36"/>
      <c r="L916" s="36"/>
      <c r="M916" s="36"/>
      <c r="N916" s="36"/>
      <c r="O916" s="36"/>
      <c r="P916" s="36"/>
      <c r="Q916" s="36"/>
      <c r="R916" s="36"/>
      <c r="S916" s="36"/>
      <c r="T916" s="36"/>
      <c r="U916" s="36"/>
      <c r="V916" s="36"/>
      <c r="W916" s="36"/>
      <c r="X916" s="36"/>
      <c r="Y916" s="36"/>
      <c r="Z916" s="36"/>
      <c r="AA916" s="36"/>
      <c r="AB916" s="36"/>
    </row>
    <row r="917" spans="1:28" ht="156" hidden="1" customHeight="1">
      <c r="A917" s="239" t="s">
        <v>1103</v>
      </c>
      <c r="B917" s="206">
        <v>1991</v>
      </c>
      <c r="C917" s="117" t="s">
        <v>405</v>
      </c>
      <c r="D917" s="195" t="s">
        <v>406</v>
      </c>
      <c r="E917" s="117" t="s">
        <v>1908</v>
      </c>
      <c r="F917" s="195" t="s">
        <v>1909</v>
      </c>
      <c r="G917" s="211" t="s">
        <v>43</v>
      </c>
      <c r="H917" s="117" t="s">
        <v>750</v>
      </c>
      <c r="I917" s="35"/>
      <c r="J917" s="36"/>
      <c r="K917" s="36"/>
      <c r="L917" s="36"/>
      <c r="M917" s="36"/>
      <c r="N917" s="36"/>
      <c r="O917" s="36"/>
      <c r="P917" s="36"/>
      <c r="Q917" s="36"/>
      <c r="R917" s="36"/>
      <c r="S917" s="36"/>
      <c r="T917" s="36"/>
      <c r="U917" s="36"/>
      <c r="V917" s="36"/>
      <c r="W917" s="36"/>
      <c r="X917" s="36"/>
      <c r="Y917" s="36"/>
      <c r="Z917" s="36"/>
      <c r="AA917" s="36"/>
      <c r="AB917" s="36"/>
    </row>
    <row r="918" spans="1:28" ht="96" hidden="1" customHeight="1">
      <c r="A918" s="207" t="s">
        <v>1116</v>
      </c>
      <c r="B918" s="117">
        <v>1973</v>
      </c>
      <c r="C918" s="117" t="s">
        <v>507</v>
      </c>
      <c r="D918" s="195" t="s">
        <v>1910</v>
      </c>
      <c r="E918" s="206" t="s">
        <v>1911</v>
      </c>
      <c r="F918" s="195" t="s">
        <v>1912</v>
      </c>
      <c r="G918" s="211" t="s">
        <v>43</v>
      </c>
      <c r="H918" s="117" t="s">
        <v>750</v>
      </c>
      <c r="I918" s="35"/>
      <c r="J918" s="36"/>
      <c r="K918" s="36"/>
      <c r="L918" s="36"/>
      <c r="M918" s="36"/>
      <c r="N918" s="36"/>
      <c r="O918" s="36"/>
      <c r="P918" s="36"/>
      <c r="Q918" s="36"/>
      <c r="R918" s="36"/>
      <c r="S918" s="36"/>
      <c r="T918" s="36"/>
      <c r="U918" s="36"/>
      <c r="V918" s="36"/>
      <c r="W918" s="36"/>
      <c r="X918" s="36"/>
      <c r="Y918" s="36"/>
      <c r="Z918" s="36"/>
      <c r="AA918" s="36"/>
      <c r="AB918" s="36"/>
    </row>
    <row r="919" spans="1:28" ht="156" hidden="1" customHeight="1">
      <c r="A919" s="214" t="s">
        <v>1113</v>
      </c>
      <c r="B919" s="206">
        <v>1979</v>
      </c>
      <c r="C919" s="197" t="s">
        <v>39</v>
      </c>
      <c r="D919" s="195" t="s">
        <v>465</v>
      </c>
      <c r="E919" s="117" t="s">
        <v>1913</v>
      </c>
      <c r="F919" s="195" t="s">
        <v>1914</v>
      </c>
      <c r="G919" s="211" t="s">
        <v>43</v>
      </c>
      <c r="H919" s="117" t="s">
        <v>750</v>
      </c>
      <c r="I919" s="35"/>
      <c r="J919" s="36"/>
      <c r="K919" s="36"/>
      <c r="L919" s="36"/>
      <c r="M919" s="36"/>
      <c r="N919" s="36"/>
      <c r="O919" s="36"/>
      <c r="P919" s="36"/>
      <c r="Q919" s="36"/>
      <c r="R919" s="36"/>
      <c r="S919" s="36"/>
      <c r="T919" s="36"/>
      <c r="U919" s="36"/>
      <c r="V919" s="36"/>
      <c r="W919" s="36"/>
      <c r="X919" s="36"/>
      <c r="Y919" s="36"/>
      <c r="Z919" s="36"/>
      <c r="AA919" s="36"/>
      <c r="AB919" s="36"/>
    </row>
    <row r="920" spans="1:28" ht="216" hidden="1" customHeight="1">
      <c r="A920" s="207" t="s">
        <v>1125</v>
      </c>
      <c r="B920" s="117">
        <v>1993</v>
      </c>
      <c r="C920" s="117" t="s">
        <v>507</v>
      </c>
      <c r="D920" s="195" t="s">
        <v>1915</v>
      </c>
      <c r="E920" s="206" t="s">
        <v>1916</v>
      </c>
      <c r="F920" s="195" t="s">
        <v>1917</v>
      </c>
      <c r="G920" s="211" t="s">
        <v>43</v>
      </c>
      <c r="H920" s="117" t="s">
        <v>750</v>
      </c>
      <c r="I920" s="35"/>
      <c r="J920" s="36"/>
      <c r="K920" s="36"/>
      <c r="L920" s="36"/>
      <c r="M920" s="36"/>
      <c r="N920" s="36"/>
      <c r="O920" s="36"/>
      <c r="P920" s="36"/>
      <c r="Q920" s="36"/>
      <c r="R920" s="36"/>
      <c r="S920" s="36"/>
      <c r="T920" s="36"/>
      <c r="U920" s="36"/>
      <c r="V920" s="36"/>
      <c r="W920" s="36"/>
      <c r="X920" s="36"/>
      <c r="Y920" s="36"/>
      <c r="Z920" s="36"/>
      <c r="AA920" s="36"/>
      <c r="AB920" s="36"/>
    </row>
    <row r="921" spans="1:28" ht="240" hidden="1" customHeight="1">
      <c r="A921" s="207" t="s">
        <v>1918</v>
      </c>
      <c r="B921" s="117">
        <v>1994</v>
      </c>
      <c r="C921" s="117" t="s">
        <v>507</v>
      </c>
      <c r="D921" s="195" t="s">
        <v>1919</v>
      </c>
      <c r="E921" s="206">
        <v>1</v>
      </c>
      <c r="F921" s="195" t="s">
        <v>1920</v>
      </c>
      <c r="G921" s="211" t="s">
        <v>43</v>
      </c>
      <c r="H921" s="117" t="s">
        <v>750</v>
      </c>
      <c r="I921" s="35"/>
      <c r="J921" s="36"/>
      <c r="K921" s="36"/>
      <c r="L921" s="36"/>
      <c r="M921" s="36"/>
      <c r="N921" s="36"/>
      <c r="O921" s="36"/>
      <c r="P921" s="36"/>
      <c r="Q921" s="36"/>
      <c r="R921" s="36"/>
      <c r="S921" s="36"/>
      <c r="T921" s="36"/>
      <c r="U921" s="36"/>
      <c r="V921" s="36"/>
      <c r="W921" s="36"/>
      <c r="X921" s="36"/>
      <c r="Y921" s="36"/>
      <c r="Z921" s="36"/>
      <c r="AA921" s="36"/>
      <c r="AB921" s="36"/>
    </row>
    <row r="922" spans="1:28" ht="192" hidden="1" customHeight="1">
      <c r="A922" s="207" t="s">
        <v>1921</v>
      </c>
      <c r="B922" s="117">
        <v>2000</v>
      </c>
      <c r="C922" s="117" t="s">
        <v>507</v>
      </c>
      <c r="D922" s="195" t="s">
        <v>1922</v>
      </c>
      <c r="E922" s="117" t="s">
        <v>1923</v>
      </c>
      <c r="F922" s="117" t="s">
        <v>1924</v>
      </c>
      <c r="G922" s="211" t="s">
        <v>43</v>
      </c>
      <c r="H922" s="117" t="s">
        <v>750</v>
      </c>
      <c r="I922" s="35"/>
      <c r="J922" s="36"/>
      <c r="K922" s="36"/>
      <c r="L922" s="36"/>
      <c r="M922" s="36"/>
      <c r="N922" s="36"/>
      <c r="O922" s="36"/>
      <c r="P922" s="36"/>
      <c r="Q922" s="36"/>
      <c r="R922" s="36"/>
      <c r="S922" s="36"/>
      <c r="T922" s="36"/>
      <c r="U922" s="36"/>
      <c r="V922" s="36"/>
      <c r="W922" s="36"/>
      <c r="X922" s="36"/>
      <c r="Y922" s="36"/>
      <c r="Z922" s="36"/>
      <c r="AA922" s="36"/>
      <c r="AB922" s="36"/>
    </row>
    <row r="923" spans="1:28" ht="24" hidden="1" customHeight="1">
      <c r="A923" s="232" t="s">
        <v>1925</v>
      </c>
      <c r="B923" s="117">
        <v>2001</v>
      </c>
      <c r="C923" s="117" t="s">
        <v>1926</v>
      </c>
      <c r="D923" s="202" t="s">
        <v>1927</v>
      </c>
      <c r="E923" s="204" t="s">
        <v>41</v>
      </c>
      <c r="F923" s="201" t="s">
        <v>97</v>
      </c>
      <c r="G923" s="209" t="s">
        <v>43</v>
      </c>
      <c r="H923" s="117" t="s">
        <v>750</v>
      </c>
      <c r="I923" s="35"/>
      <c r="J923" s="36"/>
      <c r="K923" s="36"/>
      <c r="L923" s="36"/>
      <c r="M923" s="36"/>
      <c r="N923" s="36"/>
      <c r="O923" s="36"/>
      <c r="P923" s="36"/>
      <c r="Q923" s="36"/>
      <c r="R923" s="36"/>
      <c r="S923" s="36"/>
      <c r="T923" s="36"/>
      <c r="U923" s="36"/>
      <c r="V923" s="36"/>
      <c r="W923" s="36"/>
      <c r="X923" s="36"/>
      <c r="Y923" s="36"/>
      <c r="Z923" s="36"/>
      <c r="AA923" s="36"/>
      <c r="AB923" s="36"/>
    </row>
    <row r="924" spans="1:28" ht="108" hidden="1" customHeight="1">
      <c r="A924" s="207" t="s">
        <v>1653</v>
      </c>
      <c r="B924" s="117">
        <v>2002</v>
      </c>
      <c r="C924" s="117" t="s">
        <v>1800</v>
      </c>
      <c r="D924" s="195" t="s">
        <v>1928</v>
      </c>
      <c r="E924" s="117" t="s">
        <v>1929</v>
      </c>
      <c r="F924" s="195" t="s">
        <v>1930</v>
      </c>
      <c r="G924" s="211" t="s">
        <v>43</v>
      </c>
      <c r="H924" s="117" t="s">
        <v>750</v>
      </c>
      <c r="I924" s="35"/>
      <c r="J924" s="36"/>
      <c r="K924" s="36"/>
      <c r="L924" s="36"/>
      <c r="M924" s="36"/>
      <c r="N924" s="36"/>
      <c r="O924" s="36"/>
      <c r="P924" s="36"/>
      <c r="Q924" s="36"/>
      <c r="R924" s="36"/>
      <c r="S924" s="36"/>
      <c r="T924" s="36"/>
      <c r="U924" s="36"/>
      <c r="V924" s="36"/>
      <c r="W924" s="36"/>
      <c r="X924" s="36"/>
      <c r="Y924" s="36"/>
      <c r="Z924" s="36"/>
      <c r="AA924" s="36"/>
      <c r="AB924" s="36"/>
    </row>
    <row r="925" spans="1:28" ht="409.5" hidden="1" customHeight="1">
      <c r="A925" s="207" t="s">
        <v>1931</v>
      </c>
      <c r="B925" s="117">
        <v>2008</v>
      </c>
      <c r="C925" s="117" t="s">
        <v>507</v>
      </c>
      <c r="D925" s="195" t="s">
        <v>1932</v>
      </c>
      <c r="E925" s="206" t="s">
        <v>1933</v>
      </c>
      <c r="F925" s="195" t="s">
        <v>1934</v>
      </c>
      <c r="G925" s="211" t="s">
        <v>43</v>
      </c>
      <c r="H925" s="117" t="s">
        <v>750</v>
      </c>
      <c r="I925" s="35"/>
      <c r="J925" s="36"/>
      <c r="K925" s="36"/>
      <c r="L925" s="36"/>
      <c r="M925" s="36"/>
      <c r="N925" s="36"/>
      <c r="O925" s="36"/>
      <c r="P925" s="36"/>
      <c r="Q925" s="36"/>
      <c r="R925" s="36"/>
      <c r="S925" s="36"/>
      <c r="T925" s="36"/>
      <c r="U925" s="36"/>
      <c r="V925" s="36"/>
      <c r="W925" s="36"/>
      <c r="X925" s="36"/>
      <c r="Y925" s="36"/>
      <c r="Z925" s="36"/>
      <c r="AA925" s="36"/>
      <c r="AB925" s="36"/>
    </row>
    <row r="926" spans="1:28" ht="168" hidden="1" customHeight="1">
      <c r="A926" s="207" t="s">
        <v>1935</v>
      </c>
      <c r="B926" s="117">
        <v>2008</v>
      </c>
      <c r="C926" s="117" t="s">
        <v>507</v>
      </c>
      <c r="D926" s="195" t="s">
        <v>1936</v>
      </c>
      <c r="E926" s="206" t="s">
        <v>1937</v>
      </c>
      <c r="F926" s="117" t="s">
        <v>1938</v>
      </c>
      <c r="G926" s="211" t="s">
        <v>43</v>
      </c>
      <c r="H926" s="117" t="s">
        <v>750</v>
      </c>
      <c r="I926" s="35"/>
      <c r="J926" s="36"/>
      <c r="K926" s="36"/>
      <c r="L926" s="36"/>
      <c r="M926" s="36"/>
      <c r="N926" s="36"/>
      <c r="O926" s="36"/>
      <c r="P926" s="36"/>
      <c r="Q926" s="36"/>
      <c r="R926" s="36"/>
      <c r="S926" s="36"/>
      <c r="T926" s="36"/>
      <c r="U926" s="36"/>
      <c r="V926" s="36"/>
      <c r="W926" s="36"/>
      <c r="X926" s="36"/>
      <c r="Y926" s="36"/>
      <c r="Z926" s="36"/>
      <c r="AA926" s="36"/>
      <c r="AB926" s="36"/>
    </row>
    <row r="927" spans="1:28" ht="276" hidden="1" customHeight="1">
      <c r="A927" s="207" t="s">
        <v>1939</v>
      </c>
      <c r="B927" s="117">
        <v>2009</v>
      </c>
      <c r="C927" s="117" t="s">
        <v>507</v>
      </c>
      <c r="D927" s="195" t="s">
        <v>504</v>
      </c>
      <c r="E927" s="117" t="s">
        <v>1940</v>
      </c>
      <c r="F927" s="117" t="s">
        <v>1941</v>
      </c>
      <c r="G927" s="211" t="s">
        <v>43</v>
      </c>
      <c r="H927" s="117" t="s">
        <v>750</v>
      </c>
      <c r="I927" s="35"/>
      <c r="J927" s="36"/>
      <c r="K927" s="36"/>
      <c r="L927" s="36"/>
      <c r="M927" s="36"/>
      <c r="N927" s="36"/>
      <c r="O927" s="36"/>
      <c r="P927" s="36"/>
      <c r="Q927" s="36"/>
      <c r="R927" s="36"/>
      <c r="S927" s="36"/>
      <c r="T927" s="36"/>
      <c r="U927" s="36"/>
      <c r="V927" s="36"/>
      <c r="W927" s="36"/>
      <c r="X927" s="36"/>
      <c r="Y927" s="36"/>
      <c r="Z927" s="36"/>
      <c r="AA927" s="36"/>
      <c r="AB927" s="36"/>
    </row>
    <row r="928" spans="1:28" ht="180" hidden="1" customHeight="1">
      <c r="A928" s="207" t="s">
        <v>1669</v>
      </c>
      <c r="B928" s="117">
        <v>2010</v>
      </c>
      <c r="C928" s="117" t="s">
        <v>507</v>
      </c>
      <c r="D928" s="195" t="s">
        <v>1942</v>
      </c>
      <c r="E928" s="206" t="s">
        <v>1943</v>
      </c>
      <c r="F928" s="195" t="s">
        <v>1944</v>
      </c>
      <c r="G928" s="211" t="s">
        <v>43</v>
      </c>
      <c r="H928" s="117" t="s">
        <v>750</v>
      </c>
      <c r="I928" s="35"/>
      <c r="J928" s="36"/>
      <c r="K928" s="36"/>
      <c r="L928" s="36"/>
      <c r="M928" s="36"/>
      <c r="N928" s="36"/>
      <c r="O928" s="36"/>
      <c r="P928" s="36"/>
      <c r="Q928" s="36"/>
      <c r="R928" s="36"/>
      <c r="S928" s="36"/>
      <c r="T928" s="36"/>
      <c r="U928" s="36"/>
      <c r="V928" s="36"/>
      <c r="W928" s="36"/>
      <c r="X928" s="36"/>
      <c r="Y928" s="36"/>
      <c r="Z928" s="36"/>
      <c r="AA928" s="36"/>
      <c r="AB928" s="36"/>
    </row>
    <row r="929" spans="1:28" ht="168" hidden="1" customHeight="1">
      <c r="A929" s="207" t="s">
        <v>1945</v>
      </c>
      <c r="B929" s="117">
        <v>2011</v>
      </c>
      <c r="C929" s="117" t="s">
        <v>507</v>
      </c>
      <c r="D929" s="195" t="s">
        <v>1946</v>
      </c>
      <c r="E929" s="206" t="s">
        <v>1947</v>
      </c>
      <c r="F929" s="195" t="s">
        <v>1948</v>
      </c>
      <c r="G929" s="211" t="s">
        <v>43</v>
      </c>
      <c r="H929" s="117" t="s">
        <v>750</v>
      </c>
      <c r="I929" s="35"/>
      <c r="J929" s="36"/>
      <c r="K929" s="36"/>
      <c r="L929" s="36"/>
      <c r="M929" s="36"/>
      <c r="N929" s="36"/>
      <c r="O929" s="36"/>
      <c r="P929" s="36"/>
      <c r="Q929" s="36"/>
      <c r="R929" s="36"/>
      <c r="S929" s="36"/>
      <c r="T929" s="36"/>
      <c r="U929" s="36"/>
      <c r="V929" s="36"/>
      <c r="W929" s="36"/>
      <c r="X929" s="36"/>
      <c r="Y929" s="36"/>
      <c r="Z929" s="36"/>
      <c r="AA929" s="36"/>
      <c r="AB929" s="36"/>
    </row>
    <row r="930" spans="1:28" ht="132" hidden="1" customHeight="1">
      <c r="A930" s="207" t="s">
        <v>1949</v>
      </c>
      <c r="B930" s="117">
        <v>2013</v>
      </c>
      <c r="C930" s="117" t="s">
        <v>507</v>
      </c>
      <c r="D930" s="195" t="s">
        <v>1950</v>
      </c>
      <c r="E930" s="206" t="s">
        <v>1951</v>
      </c>
      <c r="F930" s="195" t="s">
        <v>1952</v>
      </c>
      <c r="G930" s="211" t="s">
        <v>43</v>
      </c>
      <c r="H930" s="117" t="s">
        <v>750</v>
      </c>
      <c r="I930" s="35"/>
      <c r="J930" s="36"/>
      <c r="K930" s="36"/>
      <c r="L930" s="36"/>
      <c r="M930" s="36"/>
      <c r="N930" s="36"/>
      <c r="O930" s="36"/>
      <c r="P930" s="36"/>
      <c r="Q930" s="36"/>
      <c r="R930" s="36"/>
      <c r="S930" s="36"/>
      <c r="T930" s="36"/>
      <c r="U930" s="36"/>
      <c r="V930" s="36"/>
      <c r="W930" s="36"/>
      <c r="X930" s="36"/>
      <c r="Y930" s="36"/>
      <c r="Z930" s="36"/>
      <c r="AA930" s="36"/>
      <c r="AB930" s="36"/>
    </row>
    <row r="931" spans="1:28" ht="108" hidden="1" customHeight="1">
      <c r="A931" s="207" t="s">
        <v>1674</v>
      </c>
      <c r="B931" s="117">
        <v>2016</v>
      </c>
      <c r="C931" s="117" t="s">
        <v>507</v>
      </c>
      <c r="D931" s="195" t="s">
        <v>1953</v>
      </c>
      <c r="E931" s="117" t="s">
        <v>1954</v>
      </c>
      <c r="F931" s="117" t="s">
        <v>1955</v>
      </c>
      <c r="G931" s="211" t="s">
        <v>43</v>
      </c>
      <c r="H931" s="117" t="s">
        <v>750</v>
      </c>
      <c r="I931" s="35"/>
      <c r="J931" s="36"/>
      <c r="K931" s="36"/>
      <c r="L931" s="36"/>
      <c r="M931" s="36"/>
      <c r="N931" s="36"/>
      <c r="O931" s="36"/>
      <c r="P931" s="36"/>
      <c r="Q931" s="36"/>
      <c r="R931" s="36"/>
      <c r="S931" s="36"/>
      <c r="T931" s="36"/>
      <c r="U931" s="36"/>
      <c r="V931" s="36"/>
      <c r="W931" s="36"/>
      <c r="X931" s="36"/>
      <c r="Y931" s="36"/>
      <c r="Z931" s="36"/>
      <c r="AA931" s="36"/>
      <c r="AB931" s="36"/>
    </row>
    <row r="932" spans="1:28" ht="409.5" hidden="1" customHeight="1">
      <c r="A932" s="207" t="s">
        <v>1956</v>
      </c>
      <c r="B932" s="206">
        <v>1974</v>
      </c>
      <c r="C932" s="197" t="s">
        <v>57</v>
      </c>
      <c r="D932" s="195" t="s">
        <v>1957</v>
      </c>
      <c r="E932" s="206" t="s">
        <v>1958</v>
      </c>
      <c r="F932" s="195" t="s">
        <v>1959</v>
      </c>
      <c r="G932" s="211" t="s">
        <v>43</v>
      </c>
      <c r="H932" s="117" t="s">
        <v>750</v>
      </c>
      <c r="I932" s="35"/>
      <c r="J932" s="36"/>
      <c r="K932" s="36"/>
      <c r="L932" s="36"/>
      <c r="M932" s="36"/>
      <c r="N932" s="36"/>
      <c r="O932" s="36"/>
      <c r="P932" s="36"/>
      <c r="Q932" s="36"/>
      <c r="R932" s="36"/>
      <c r="S932" s="36"/>
      <c r="T932" s="36"/>
      <c r="U932" s="36"/>
      <c r="V932" s="36"/>
      <c r="W932" s="36"/>
      <c r="X932" s="36"/>
      <c r="Y932" s="36"/>
      <c r="Z932" s="36"/>
      <c r="AA932" s="36"/>
      <c r="AB932" s="36"/>
    </row>
    <row r="933" spans="1:28" ht="216" hidden="1" customHeight="1">
      <c r="A933" s="207" t="s">
        <v>1960</v>
      </c>
      <c r="B933" s="206">
        <v>1995</v>
      </c>
      <c r="C933" s="117" t="s">
        <v>516</v>
      </c>
      <c r="D933" s="195" t="s">
        <v>517</v>
      </c>
      <c r="E933" s="117" t="s">
        <v>1961</v>
      </c>
      <c r="F933" s="195" t="s">
        <v>1962</v>
      </c>
      <c r="G933" s="211" t="s">
        <v>43</v>
      </c>
      <c r="H933" s="117" t="s">
        <v>750</v>
      </c>
      <c r="I933" s="35"/>
      <c r="J933" s="36"/>
      <c r="K933" s="36"/>
      <c r="L933" s="36"/>
      <c r="M933" s="36"/>
      <c r="N933" s="36"/>
      <c r="O933" s="36"/>
      <c r="P933" s="36"/>
      <c r="Q933" s="36"/>
      <c r="R933" s="36"/>
      <c r="S933" s="36"/>
      <c r="T933" s="36"/>
      <c r="U933" s="36"/>
      <c r="V933" s="36"/>
      <c r="W933" s="36"/>
      <c r="X933" s="36"/>
      <c r="Y933" s="36"/>
      <c r="Z933" s="36"/>
      <c r="AA933" s="36"/>
      <c r="AB933" s="36"/>
    </row>
    <row r="934" spans="1:28" ht="84" hidden="1" customHeight="1">
      <c r="A934" s="207" t="s">
        <v>1963</v>
      </c>
      <c r="B934" s="206">
        <v>1995</v>
      </c>
      <c r="C934" s="117" t="s">
        <v>516</v>
      </c>
      <c r="D934" s="195" t="s">
        <v>519</v>
      </c>
      <c r="E934" s="206" t="s">
        <v>1964</v>
      </c>
      <c r="F934" s="195" t="s">
        <v>1965</v>
      </c>
      <c r="G934" s="211" t="s">
        <v>43</v>
      </c>
      <c r="H934" s="117" t="s">
        <v>750</v>
      </c>
      <c r="I934" s="35"/>
      <c r="J934" s="36"/>
      <c r="K934" s="36"/>
      <c r="L934" s="36"/>
      <c r="M934" s="36"/>
      <c r="N934" s="36"/>
      <c r="O934" s="36"/>
      <c r="P934" s="36"/>
      <c r="Q934" s="36"/>
      <c r="R934" s="36"/>
      <c r="S934" s="36"/>
      <c r="T934" s="36"/>
      <c r="U934" s="36"/>
      <c r="V934" s="36"/>
      <c r="W934" s="36"/>
      <c r="X934" s="36"/>
      <c r="Y934" s="36"/>
      <c r="Z934" s="36"/>
      <c r="AA934" s="36"/>
      <c r="AB934" s="36"/>
    </row>
    <row r="935" spans="1:28" ht="180" hidden="1" customHeight="1">
      <c r="A935" s="207" t="s">
        <v>1966</v>
      </c>
      <c r="B935" s="117">
        <v>1997</v>
      </c>
      <c r="C935" s="117" t="s">
        <v>57</v>
      </c>
      <c r="D935" s="195" t="s">
        <v>1967</v>
      </c>
      <c r="E935" s="206" t="s">
        <v>1968</v>
      </c>
      <c r="F935" s="195" t="s">
        <v>1969</v>
      </c>
      <c r="G935" s="211" t="s">
        <v>43</v>
      </c>
      <c r="H935" s="117" t="s">
        <v>750</v>
      </c>
      <c r="I935" s="35"/>
      <c r="J935" s="36"/>
      <c r="K935" s="36"/>
      <c r="L935" s="36"/>
      <c r="M935" s="36"/>
      <c r="N935" s="36"/>
      <c r="O935" s="36"/>
      <c r="P935" s="36"/>
      <c r="Q935" s="36"/>
      <c r="R935" s="36"/>
      <c r="S935" s="36"/>
      <c r="T935" s="36"/>
      <c r="U935" s="36"/>
      <c r="V935" s="36"/>
      <c r="W935" s="36"/>
      <c r="X935" s="36"/>
      <c r="Y935" s="36"/>
      <c r="Z935" s="36"/>
      <c r="AA935" s="36"/>
      <c r="AB935" s="36"/>
    </row>
    <row r="936" spans="1:28" ht="60" hidden="1" customHeight="1">
      <c r="A936" s="207" t="s">
        <v>1970</v>
      </c>
      <c r="B936" s="206">
        <v>1997</v>
      </c>
      <c r="C936" s="117" t="s">
        <v>61</v>
      </c>
      <c r="D936" s="195" t="s">
        <v>524</v>
      </c>
      <c r="E936" s="117" t="s">
        <v>1971</v>
      </c>
      <c r="F936" s="195" t="s">
        <v>1972</v>
      </c>
      <c r="G936" s="211" t="s">
        <v>43</v>
      </c>
      <c r="H936" s="117" t="s">
        <v>750</v>
      </c>
      <c r="I936" s="35"/>
      <c r="J936" s="36"/>
      <c r="K936" s="36"/>
      <c r="L936" s="36"/>
      <c r="M936" s="36"/>
      <c r="N936" s="36"/>
      <c r="O936" s="36"/>
      <c r="P936" s="36"/>
      <c r="Q936" s="36"/>
      <c r="R936" s="36"/>
      <c r="S936" s="36"/>
      <c r="T936" s="36"/>
      <c r="U936" s="36"/>
      <c r="V936" s="36"/>
      <c r="W936" s="36"/>
      <c r="X936" s="36"/>
      <c r="Y936" s="36"/>
      <c r="Z936" s="36"/>
      <c r="AA936" s="36"/>
      <c r="AB936" s="36"/>
    </row>
    <row r="937" spans="1:28" ht="252" hidden="1" customHeight="1">
      <c r="A937" s="207" t="s">
        <v>1973</v>
      </c>
      <c r="B937" s="117">
        <v>2000</v>
      </c>
      <c r="C937" s="117" t="s">
        <v>61</v>
      </c>
      <c r="D937" s="195" t="s">
        <v>1974</v>
      </c>
      <c r="E937" s="206">
        <v>2.15</v>
      </c>
      <c r="F937" s="195" t="s">
        <v>1975</v>
      </c>
      <c r="G937" s="211" t="s">
        <v>43</v>
      </c>
      <c r="H937" s="117" t="s">
        <v>750</v>
      </c>
      <c r="I937" s="35"/>
      <c r="J937" s="36"/>
      <c r="K937" s="36"/>
      <c r="L937" s="36"/>
      <c r="M937" s="36"/>
      <c r="N937" s="36"/>
      <c r="O937" s="36"/>
      <c r="P937" s="36"/>
      <c r="Q937" s="36"/>
      <c r="R937" s="36"/>
      <c r="S937" s="36"/>
      <c r="T937" s="36"/>
      <c r="U937" s="36"/>
      <c r="V937" s="36"/>
      <c r="W937" s="36"/>
      <c r="X937" s="36"/>
      <c r="Y937" s="36"/>
      <c r="Z937" s="36"/>
      <c r="AA937" s="36"/>
      <c r="AB937" s="36"/>
    </row>
    <row r="938" spans="1:28" ht="36" hidden="1" customHeight="1">
      <c r="A938" s="207" t="s">
        <v>1976</v>
      </c>
      <c r="B938" s="117">
        <v>2000</v>
      </c>
      <c r="C938" s="117" t="s">
        <v>57</v>
      </c>
      <c r="D938" s="195" t="s">
        <v>1977</v>
      </c>
      <c r="E938" s="206">
        <v>1</v>
      </c>
      <c r="F938" s="195" t="s">
        <v>1978</v>
      </c>
      <c r="G938" s="211" t="s">
        <v>43</v>
      </c>
      <c r="H938" s="117" t="s">
        <v>750</v>
      </c>
      <c r="I938" s="35"/>
      <c r="J938" s="36"/>
      <c r="K938" s="36"/>
      <c r="L938" s="36"/>
      <c r="M938" s="36"/>
      <c r="N938" s="36"/>
      <c r="O938" s="36"/>
      <c r="P938" s="36"/>
      <c r="Q938" s="36"/>
      <c r="R938" s="36"/>
      <c r="S938" s="36"/>
      <c r="T938" s="36"/>
      <c r="U938" s="36"/>
      <c r="V938" s="36"/>
      <c r="W938" s="36"/>
      <c r="X938" s="36"/>
      <c r="Y938" s="36"/>
      <c r="Z938" s="36"/>
      <c r="AA938" s="36"/>
      <c r="AB938" s="36"/>
    </row>
    <row r="939" spans="1:28" ht="168" hidden="1" customHeight="1">
      <c r="A939" s="207" t="s">
        <v>1979</v>
      </c>
      <c r="B939" s="117">
        <v>2002</v>
      </c>
      <c r="C939" s="117" t="s">
        <v>1800</v>
      </c>
      <c r="D939" s="195" t="s">
        <v>1980</v>
      </c>
      <c r="E939" s="206" t="s">
        <v>1981</v>
      </c>
      <c r="F939" s="195" t="s">
        <v>1982</v>
      </c>
      <c r="G939" s="211" t="s">
        <v>43</v>
      </c>
      <c r="H939" s="117" t="s">
        <v>750</v>
      </c>
      <c r="I939" s="35"/>
      <c r="J939" s="36"/>
      <c r="K939" s="36"/>
      <c r="L939" s="36"/>
      <c r="M939" s="36"/>
      <c r="N939" s="36"/>
      <c r="O939" s="36"/>
      <c r="P939" s="36"/>
      <c r="Q939" s="36"/>
      <c r="R939" s="36"/>
      <c r="S939" s="36"/>
      <c r="T939" s="36"/>
      <c r="U939" s="36"/>
      <c r="V939" s="36"/>
      <c r="W939" s="36"/>
      <c r="X939" s="36"/>
      <c r="Y939" s="36"/>
      <c r="Z939" s="36"/>
      <c r="AA939" s="36"/>
      <c r="AB939" s="36"/>
    </row>
    <row r="940" spans="1:28" ht="120" hidden="1" customHeight="1">
      <c r="A940" s="207" t="s">
        <v>1739</v>
      </c>
      <c r="B940" s="117">
        <v>2003</v>
      </c>
      <c r="C940" s="117" t="s">
        <v>61</v>
      </c>
      <c r="D940" s="195" t="s">
        <v>1983</v>
      </c>
      <c r="E940" s="206">
        <v>3</v>
      </c>
      <c r="F940" s="195" t="s">
        <v>1984</v>
      </c>
      <c r="G940" s="211" t="s">
        <v>43</v>
      </c>
      <c r="H940" s="117" t="s">
        <v>750</v>
      </c>
      <c r="I940" s="35"/>
      <c r="J940" s="36"/>
      <c r="K940" s="36"/>
      <c r="L940" s="36"/>
      <c r="M940" s="36"/>
      <c r="N940" s="36"/>
      <c r="O940" s="36"/>
      <c r="P940" s="36"/>
      <c r="Q940" s="36"/>
      <c r="R940" s="36"/>
      <c r="S940" s="36"/>
      <c r="T940" s="36"/>
      <c r="U940" s="36"/>
      <c r="V940" s="36"/>
      <c r="W940" s="36"/>
      <c r="X940" s="36"/>
      <c r="Y940" s="36"/>
      <c r="Z940" s="36"/>
      <c r="AA940" s="36"/>
      <c r="AB940" s="36"/>
    </row>
    <row r="941" spans="1:28" ht="96" hidden="1" customHeight="1">
      <c r="A941" s="207" t="s">
        <v>1985</v>
      </c>
      <c r="B941" s="117">
        <v>2004</v>
      </c>
      <c r="C941" s="117" t="s">
        <v>61</v>
      </c>
      <c r="D941" s="195" t="s">
        <v>1986</v>
      </c>
      <c r="E941" s="206" t="s">
        <v>1987</v>
      </c>
      <c r="F941" s="195" t="s">
        <v>1988</v>
      </c>
      <c r="G941" s="211" t="s">
        <v>43</v>
      </c>
      <c r="H941" s="117" t="s">
        <v>750</v>
      </c>
      <c r="I941" s="35"/>
      <c r="J941" s="36"/>
      <c r="K941" s="36"/>
      <c r="L941" s="36"/>
      <c r="M941" s="36"/>
      <c r="N941" s="36"/>
      <c r="O941" s="36"/>
      <c r="P941" s="36"/>
      <c r="Q941" s="36"/>
      <c r="R941" s="36"/>
      <c r="S941" s="36"/>
      <c r="T941" s="36"/>
      <c r="U941" s="36"/>
      <c r="V941" s="36"/>
      <c r="W941" s="36"/>
      <c r="X941" s="36"/>
      <c r="Y941" s="36"/>
      <c r="Z941" s="36"/>
      <c r="AA941" s="36"/>
      <c r="AB941" s="36"/>
    </row>
    <row r="942" spans="1:28" ht="409.5" hidden="1" customHeight="1">
      <c r="A942" s="207" t="s">
        <v>1989</v>
      </c>
      <c r="B942" s="117">
        <v>2005</v>
      </c>
      <c r="C942" s="117" t="s">
        <v>550</v>
      </c>
      <c r="D942" s="195" t="s">
        <v>1990</v>
      </c>
      <c r="E942" s="117" t="s">
        <v>1991</v>
      </c>
      <c r="F942" s="195" t="s">
        <v>1992</v>
      </c>
      <c r="G942" s="211" t="s">
        <v>43</v>
      </c>
      <c r="H942" s="117" t="s">
        <v>750</v>
      </c>
      <c r="I942" s="35"/>
      <c r="J942" s="36"/>
      <c r="K942" s="36"/>
      <c r="L942" s="36"/>
      <c r="M942" s="36"/>
      <c r="N942" s="36"/>
      <c r="O942" s="36"/>
      <c r="P942" s="36"/>
      <c r="Q942" s="36"/>
      <c r="R942" s="36"/>
      <c r="S942" s="36"/>
      <c r="T942" s="36"/>
      <c r="U942" s="36"/>
      <c r="V942" s="36"/>
      <c r="W942" s="36"/>
      <c r="X942" s="36"/>
      <c r="Y942" s="36"/>
      <c r="Z942" s="36"/>
      <c r="AA942" s="36"/>
      <c r="AB942" s="36"/>
    </row>
    <row r="943" spans="1:28" ht="108" hidden="1" customHeight="1">
      <c r="A943" s="207" t="s">
        <v>1993</v>
      </c>
      <c r="B943" s="117">
        <v>2007</v>
      </c>
      <c r="C943" s="117" t="s">
        <v>1294</v>
      </c>
      <c r="D943" s="195" t="s">
        <v>1994</v>
      </c>
      <c r="E943" s="206" t="s">
        <v>1947</v>
      </c>
      <c r="F943" s="195" t="s">
        <v>1995</v>
      </c>
      <c r="G943" s="211" t="s">
        <v>43</v>
      </c>
      <c r="H943" s="117" t="s">
        <v>750</v>
      </c>
      <c r="I943" s="35"/>
      <c r="J943" s="36"/>
      <c r="K943" s="36"/>
      <c r="L943" s="36"/>
      <c r="M943" s="36"/>
      <c r="N943" s="36"/>
      <c r="O943" s="36"/>
      <c r="P943" s="36"/>
      <c r="Q943" s="36"/>
      <c r="R943" s="36"/>
      <c r="S943" s="36"/>
      <c r="T943" s="36"/>
      <c r="U943" s="36"/>
      <c r="V943" s="36"/>
      <c r="W943" s="36"/>
      <c r="X943" s="36"/>
      <c r="Y943" s="36"/>
      <c r="Z943" s="36"/>
      <c r="AA943" s="36"/>
      <c r="AB943" s="36"/>
    </row>
    <row r="944" spans="1:28" ht="96" hidden="1" customHeight="1">
      <c r="A944" s="207" t="s">
        <v>1996</v>
      </c>
      <c r="B944" s="117">
        <v>2007</v>
      </c>
      <c r="C944" s="117" t="s">
        <v>57</v>
      </c>
      <c r="D944" s="195" t="s">
        <v>1997</v>
      </c>
      <c r="E944" s="206" t="s">
        <v>1998</v>
      </c>
      <c r="F944" s="195" t="s">
        <v>1999</v>
      </c>
      <c r="G944" s="211" t="s">
        <v>43</v>
      </c>
      <c r="H944" s="117" t="s">
        <v>750</v>
      </c>
      <c r="I944" s="35"/>
      <c r="J944" s="36"/>
      <c r="K944" s="36"/>
      <c r="L944" s="36"/>
      <c r="M944" s="36"/>
      <c r="N944" s="36"/>
      <c r="O944" s="36"/>
      <c r="P944" s="36"/>
      <c r="Q944" s="36"/>
      <c r="R944" s="36"/>
      <c r="S944" s="36"/>
      <c r="T944" s="36"/>
      <c r="U944" s="36"/>
      <c r="V944" s="36"/>
      <c r="W944" s="36"/>
      <c r="X944" s="36"/>
      <c r="Y944" s="36"/>
      <c r="Z944" s="36"/>
      <c r="AA944" s="36"/>
      <c r="AB944" s="36"/>
    </row>
    <row r="945" spans="1:28" ht="144" hidden="1" customHeight="1">
      <c r="A945" s="207" t="s">
        <v>2000</v>
      </c>
      <c r="B945" s="117">
        <v>2008</v>
      </c>
      <c r="C945" s="117" t="s">
        <v>57</v>
      </c>
      <c r="D945" s="195" t="s">
        <v>2001</v>
      </c>
      <c r="E945" s="206" t="s">
        <v>2002</v>
      </c>
      <c r="F945" s="195" t="s">
        <v>2003</v>
      </c>
      <c r="G945" s="211" t="s">
        <v>43</v>
      </c>
      <c r="H945" s="117" t="s">
        <v>750</v>
      </c>
      <c r="I945" s="35"/>
      <c r="J945" s="36"/>
      <c r="K945" s="36"/>
      <c r="L945" s="36"/>
      <c r="M945" s="36"/>
      <c r="N945" s="36"/>
      <c r="O945" s="36"/>
      <c r="P945" s="36"/>
      <c r="Q945" s="36"/>
      <c r="R945" s="36"/>
      <c r="S945" s="36"/>
      <c r="T945" s="36"/>
      <c r="U945" s="36"/>
      <c r="V945" s="36"/>
      <c r="W945" s="36"/>
      <c r="X945" s="36"/>
      <c r="Y945" s="36"/>
      <c r="Z945" s="36"/>
      <c r="AA945" s="36"/>
      <c r="AB945" s="36"/>
    </row>
    <row r="946" spans="1:28" ht="108" hidden="1" customHeight="1">
      <c r="A946" s="207" t="s">
        <v>2004</v>
      </c>
      <c r="B946" s="117">
        <v>2008</v>
      </c>
      <c r="C946" s="117" t="s">
        <v>57</v>
      </c>
      <c r="D946" s="195" t="s">
        <v>2005</v>
      </c>
      <c r="E946" s="206" t="s">
        <v>2002</v>
      </c>
      <c r="F946" s="195" t="s">
        <v>2006</v>
      </c>
      <c r="G946" s="211" t="s">
        <v>43</v>
      </c>
      <c r="H946" s="117" t="s">
        <v>750</v>
      </c>
      <c r="I946" s="35"/>
      <c r="J946" s="36"/>
      <c r="K946" s="36"/>
      <c r="L946" s="36"/>
      <c r="M946" s="36"/>
      <c r="N946" s="36"/>
      <c r="O946" s="36"/>
      <c r="P946" s="36"/>
      <c r="Q946" s="36"/>
      <c r="R946" s="36"/>
      <c r="S946" s="36"/>
      <c r="T946" s="36"/>
      <c r="U946" s="36"/>
      <c r="V946" s="36"/>
      <c r="W946" s="36"/>
      <c r="X946" s="36"/>
      <c r="Y946" s="36"/>
      <c r="Z946" s="36"/>
      <c r="AA946" s="36"/>
      <c r="AB946" s="36"/>
    </row>
    <row r="947" spans="1:28" ht="120" hidden="1" customHeight="1">
      <c r="A947" s="207" t="s">
        <v>834</v>
      </c>
      <c r="B947" s="206">
        <v>2008</v>
      </c>
      <c r="C947" s="117" t="s">
        <v>61</v>
      </c>
      <c r="D947" s="195" t="s">
        <v>2007</v>
      </c>
      <c r="E947" s="206" t="s">
        <v>2008</v>
      </c>
      <c r="F947" s="195" t="s">
        <v>2009</v>
      </c>
      <c r="G947" s="211" t="s">
        <v>43</v>
      </c>
      <c r="H947" s="117" t="s">
        <v>750</v>
      </c>
      <c r="I947" s="35"/>
      <c r="J947" s="36"/>
      <c r="K947" s="36"/>
      <c r="L947" s="36"/>
      <c r="M947" s="36"/>
      <c r="N947" s="36"/>
      <c r="O947" s="36"/>
      <c r="P947" s="36"/>
      <c r="Q947" s="36"/>
      <c r="R947" s="36"/>
      <c r="S947" s="36"/>
      <c r="T947" s="36"/>
      <c r="U947" s="36"/>
      <c r="V947" s="36"/>
      <c r="W947" s="36"/>
      <c r="X947" s="36"/>
      <c r="Y947" s="36"/>
      <c r="Z947" s="36"/>
      <c r="AA947" s="36"/>
      <c r="AB947" s="36"/>
    </row>
    <row r="948" spans="1:28" ht="132" hidden="1" customHeight="1">
      <c r="A948" s="207" t="s">
        <v>2010</v>
      </c>
      <c r="B948" s="117">
        <v>2009</v>
      </c>
      <c r="C948" s="117" t="s">
        <v>128</v>
      </c>
      <c r="D948" s="195" t="s">
        <v>2011</v>
      </c>
      <c r="E948" s="206" t="s">
        <v>2012</v>
      </c>
      <c r="F948" s="195" t="s">
        <v>2013</v>
      </c>
      <c r="G948" s="211" t="s">
        <v>43</v>
      </c>
      <c r="H948" s="117" t="s">
        <v>750</v>
      </c>
      <c r="I948" s="35"/>
      <c r="J948" s="36"/>
      <c r="K948" s="36"/>
      <c r="L948" s="36"/>
      <c r="M948" s="36"/>
      <c r="N948" s="36"/>
      <c r="O948" s="36"/>
      <c r="P948" s="36"/>
      <c r="Q948" s="36"/>
      <c r="R948" s="36"/>
      <c r="S948" s="36"/>
      <c r="T948" s="36"/>
      <c r="U948" s="36"/>
      <c r="V948" s="36"/>
      <c r="W948" s="36"/>
      <c r="X948" s="36"/>
      <c r="Y948" s="36"/>
      <c r="Z948" s="36"/>
      <c r="AA948" s="36"/>
      <c r="AB948" s="36"/>
    </row>
    <row r="949" spans="1:28" ht="168" hidden="1" customHeight="1">
      <c r="A949" s="207" t="s">
        <v>2014</v>
      </c>
      <c r="B949" s="117">
        <v>2010</v>
      </c>
      <c r="C949" s="117" t="s">
        <v>128</v>
      </c>
      <c r="D949" s="195" t="s">
        <v>2015</v>
      </c>
      <c r="E949" s="206" t="s">
        <v>2016</v>
      </c>
      <c r="F949" s="195" t="s">
        <v>2017</v>
      </c>
      <c r="G949" s="211" t="s">
        <v>43</v>
      </c>
      <c r="H949" s="117" t="s">
        <v>750</v>
      </c>
      <c r="I949" s="35"/>
      <c r="J949" s="36"/>
      <c r="K949" s="36"/>
      <c r="L949" s="36"/>
      <c r="M949" s="36"/>
      <c r="N949" s="36"/>
      <c r="O949" s="36"/>
      <c r="P949" s="36"/>
      <c r="Q949" s="36"/>
      <c r="R949" s="36"/>
      <c r="S949" s="36"/>
      <c r="T949" s="36"/>
      <c r="U949" s="36"/>
      <c r="V949" s="36"/>
      <c r="W949" s="36"/>
      <c r="X949" s="36"/>
      <c r="Y949" s="36"/>
      <c r="Z949" s="36"/>
      <c r="AA949" s="36"/>
      <c r="AB949" s="36"/>
    </row>
    <row r="950" spans="1:28" ht="72" hidden="1" customHeight="1">
      <c r="A950" s="207" t="s">
        <v>2018</v>
      </c>
      <c r="B950" s="117">
        <v>2010</v>
      </c>
      <c r="C950" s="117" t="s">
        <v>128</v>
      </c>
      <c r="D950" s="195" t="s">
        <v>2019</v>
      </c>
      <c r="E950" s="206" t="s">
        <v>2020</v>
      </c>
      <c r="F950" s="195" t="s">
        <v>2021</v>
      </c>
      <c r="G950" s="211" t="s">
        <v>43</v>
      </c>
      <c r="H950" s="117" t="s">
        <v>750</v>
      </c>
      <c r="I950" s="35"/>
      <c r="J950" s="36"/>
      <c r="K950" s="36"/>
      <c r="L950" s="36"/>
      <c r="M950" s="36"/>
      <c r="N950" s="36"/>
      <c r="O950" s="36"/>
      <c r="P950" s="36"/>
      <c r="Q950" s="36"/>
      <c r="R950" s="36"/>
      <c r="S950" s="36"/>
      <c r="T950" s="36"/>
      <c r="U950" s="36"/>
      <c r="V950" s="36"/>
      <c r="W950" s="36"/>
      <c r="X950" s="36"/>
      <c r="Y950" s="36"/>
      <c r="Z950" s="36"/>
      <c r="AA950" s="36"/>
      <c r="AB950" s="36"/>
    </row>
    <row r="951" spans="1:28" ht="336" hidden="1" customHeight="1">
      <c r="A951" s="207" t="s">
        <v>662</v>
      </c>
      <c r="B951" s="117">
        <v>2011</v>
      </c>
      <c r="C951" s="117" t="s">
        <v>61</v>
      </c>
      <c r="D951" s="195" t="s">
        <v>2022</v>
      </c>
      <c r="E951" s="206" t="s">
        <v>2023</v>
      </c>
      <c r="F951" s="195" t="s">
        <v>2024</v>
      </c>
      <c r="G951" s="211" t="s">
        <v>43</v>
      </c>
      <c r="H951" s="117" t="s">
        <v>750</v>
      </c>
      <c r="I951" s="35"/>
      <c r="J951" s="36"/>
      <c r="K951" s="36"/>
      <c r="L951" s="36"/>
      <c r="M951" s="36"/>
      <c r="N951" s="36"/>
      <c r="O951" s="36"/>
      <c r="P951" s="36"/>
      <c r="Q951" s="36"/>
      <c r="R951" s="36"/>
      <c r="S951" s="36"/>
      <c r="T951" s="36"/>
      <c r="U951" s="36"/>
      <c r="V951" s="36"/>
      <c r="W951" s="36"/>
      <c r="X951" s="36"/>
      <c r="Y951" s="36"/>
      <c r="Z951" s="36"/>
      <c r="AA951" s="36"/>
      <c r="AB951" s="36"/>
    </row>
    <row r="952" spans="1:28" ht="48" hidden="1" customHeight="1">
      <c r="A952" s="207" t="s">
        <v>831</v>
      </c>
      <c r="B952" s="117">
        <v>2012</v>
      </c>
      <c r="C952" s="117" t="s">
        <v>57</v>
      </c>
      <c r="D952" s="195" t="s">
        <v>546</v>
      </c>
      <c r="E952" s="206" t="s">
        <v>2025</v>
      </c>
      <c r="F952" s="195" t="s">
        <v>2026</v>
      </c>
      <c r="G952" s="211" t="s">
        <v>43</v>
      </c>
      <c r="H952" s="117" t="s">
        <v>750</v>
      </c>
      <c r="I952" s="35"/>
      <c r="J952" s="36"/>
      <c r="K952" s="36"/>
      <c r="L952" s="36"/>
      <c r="M952" s="36"/>
      <c r="N952" s="36"/>
      <c r="O952" s="36"/>
      <c r="P952" s="36"/>
      <c r="Q952" s="36"/>
      <c r="R952" s="36"/>
      <c r="S952" s="36"/>
      <c r="T952" s="36"/>
      <c r="U952" s="36"/>
      <c r="V952" s="36"/>
      <c r="W952" s="36"/>
      <c r="X952" s="36"/>
      <c r="Y952" s="36"/>
      <c r="Z952" s="36"/>
      <c r="AA952" s="36"/>
      <c r="AB952" s="36"/>
    </row>
    <row r="953" spans="1:28" ht="24" hidden="1" customHeight="1">
      <c r="A953" s="232" t="s">
        <v>2027</v>
      </c>
      <c r="B953" s="117">
        <v>2012</v>
      </c>
      <c r="C953" s="104" t="s">
        <v>1098</v>
      </c>
      <c r="D953" s="202" t="s">
        <v>2028</v>
      </c>
      <c r="E953" s="204" t="s">
        <v>41</v>
      </c>
      <c r="F953" s="202" t="s">
        <v>97</v>
      </c>
      <c r="G953" s="209" t="s">
        <v>43</v>
      </c>
      <c r="H953" s="117" t="s">
        <v>750</v>
      </c>
      <c r="I953" s="35"/>
      <c r="J953" s="36"/>
      <c r="K953" s="36"/>
      <c r="L953" s="36"/>
      <c r="M953" s="36"/>
      <c r="N953" s="36"/>
      <c r="O953" s="36"/>
      <c r="P953" s="36"/>
      <c r="Q953" s="36"/>
      <c r="R953" s="36"/>
      <c r="S953" s="36"/>
      <c r="T953" s="36"/>
      <c r="U953" s="36"/>
      <c r="V953" s="36"/>
      <c r="W953" s="36"/>
      <c r="X953" s="36"/>
      <c r="Y953" s="36"/>
      <c r="Z953" s="36"/>
      <c r="AA953" s="36"/>
      <c r="AB953" s="36"/>
    </row>
    <row r="954" spans="1:28" ht="192" hidden="1" customHeight="1">
      <c r="A954" s="207" t="s">
        <v>2029</v>
      </c>
      <c r="B954" s="117">
        <v>2013</v>
      </c>
      <c r="C954" s="117" t="s">
        <v>57</v>
      </c>
      <c r="D954" s="195" t="s">
        <v>2030</v>
      </c>
      <c r="E954" s="117" t="s">
        <v>2031</v>
      </c>
      <c r="F954" s="195" t="s">
        <v>2032</v>
      </c>
      <c r="G954" s="211" t="s">
        <v>43</v>
      </c>
      <c r="H954" s="117" t="s">
        <v>750</v>
      </c>
      <c r="I954" s="35"/>
      <c r="J954" s="36"/>
      <c r="K954" s="36"/>
      <c r="L954" s="36"/>
      <c r="M954" s="36"/>
      <c r="N954" s="36"/>
      <c r="O954" s="36"/>
      <c r="P954" s="36"/>
      <c r="Q954" s="36"/>
      <c r="R954" s="36"/>
      <c r="S954" s="36"/>
      <c r="T954" s="36"/>
      <c r="U954" s="36"/>
      <c r="V954" s="36"/>
      <c r="W954" s="36"/>
      <c r="X954" s="36"/>
      <c r="Y954" s="36"/>
      <c r="Z954" s="36"/>
      <c r="AA954" s="36"/>
      <c r="AB954" s="36"/>
    </row>
    <row r="955" spans="1:28" ht="12" hidden="1" customHeight="1">
      <c r="A955" s="232" t="s">
        <v>2033</v>
      </c>
      <c r="B955" s="117">
        <v>2013</v>
      </c>
      <c r="C955" s="201" t="s">
        <v>1098</v>
      </c>
      <c r="D955" s="202" t="s">
        <v>2034</v>
      </c>
      <c r="E955" s="204" t="s">
        <v>41</v>
      </c>
      <c r="F955" s="202" t="s">
        <v>97</v>
      </c>
      <c r="G955" s="209" t="s">
        <v>43</v>
      </c>
      <c r="H955" s="117" t="s">
        <v>750</v>
      </c>
      <c r="I955" s="35"/>
      <c r="J955" s="36"/>
      <c r="K955" s="36"/>
      <c r="L955" s="36"/>
      <c r="M955" s="36"/>
      <c r="N955" s="36"/>
      <c r="O955" s="36"/>
      <c r="P955" s="36"/>
      <c r="Q955" s="36"/>
      <c r="R955" s="36"/>
      <c r="S955" s="36"/>
      <c r="T955" s="36"/>
      <c r="U955" s="36"/>
      <c r="V955" s="36"/>
      <c r="W955" s="36"/>
      <c r="X955" s="36"/>
      <c r="Y955" s="36"/>
      <c r="Z955" s="36"/>
      <c r="AA955" s="36"/>
      <c r="AB955" s="36"/>
    </row>
    <row r="956" spans="1:28" ht="264" hidden="1" customHeight="1">
      <c r="A956" s="207" t="s">
        <v>2035</v>
      </c>
      <c r="B956" s="206">
        <v>2014</v>
      </c>
      <c r="C956" s="117" t="s">
        <v>550</v>
      </c>
      <c r="D956" s="195" t="s">
        <v>551</v>
      </c>
      <c r="E956" s="206" t="s">
        <v>2036</v>
      </c>
      <c r="F956" s="195" t="s">
        <v>2037</v>
      </c>
      <c r="G956" s="211" t="s">
        <v>43</v>
      </c>
      <c r="H956" s="117" t="s">
        <v>750</v>
      </c>
      <c r="I956" s="35"/>
      <c r="J956" s="36"/>
      <c r="K956" s="36"/>
      <c r="L956" s="36"/>
      <c r="M956" s="36"/>
      <c r="N956" s="36"/>
      <c r="O956" s="36"/>
      <c r="P956" s="36"/>
      <c r="Q956" s="36"/>
      <c r="R956" s="36"/>
      <c r="S956" s="36"/>
      <c r="T956" s="36"/>
      <c r="U956" s="36"/>
      <c r="V956" s="36"/>
      <c r="W956" s="36"/>
      <c r="X956" s="36"/>
      <c r="Y956" s="36"/>
      <c r="Z956" s="36"/>
      <c r="AA956" s="36"/>
      <c r="AB956" s="36"/>
    </row>
    <row r="957" spans="1:28" ht="24" hidden="1" customHeight="1">
      <c r="A957" s="207" t="s">
        <v>2038</v>
      </c>
      <c r="B957" s="117">
        <v>2014</v>
      </c>
      <c r="C957" s="117" t="s">
        <v>61</v>
      </c>
      <c r="D957" s="195" t="s">
        <v>2039</v>
      </c>
      <c r="E957" s="206" t="s">
        <v>2040</v>
      </c>
      <c r="F957" s="195" t="s">
        <v>2041</v>
      </c>
      <c r="G957" s="211" t="s">
        <v>43</v>
      </c>
      <c r="H957" s="117" t="s">
        <v>750</v>
      </c>
      <c r="I957" s="35"/>
      <c r="J957" s="36"/>
      <c r="K957" s="36"/>
      <c r="L957" s="36"/>
      <c r="M957" s="36"/>
      <c r="N957" s="36"/>
      <c r="O957" s="36"/>
      <c r="P957" s="36"/>
      <c r="Q957" s="36"/>
      <c r="R957" s="36"/>
      <c r="S957" s="36"/>
      <c r="T957" s="36"/>
      <c r="U957" s="36"/>
      <c r="V957" s="36"/>
      <c r="W957" s="36"/>
      <c r="X957" s="36"/>
      <c r="Y957" s="36"/>
      <c r="Z957" s="36"/>
      <c r="AA957" s="36"/>
      <c r="AB957" s="36"/>
    </row>
    <row r="958" spans="1:28" ht="119.25" hidden="1" customHeight="1">
      <c r="A958" s="207" t="s">
        <v>2042</v>
      </c>
      <c r="B958" s="117">
        <v>2014</v>
      </c>
      <c r="C958" s="201" t="s">
        <v>57</v>
      </c>
      <c r="D958" s="202" t="s">
        <v>2043</v>
      </c>
      <c r="E958" s="201" t="s">
        <v>2044</v>
      </c>
      <c r="F958" s="201" t="s">
        <v>2045</v>
      </c>
      <c r="G958" s="206" t="s">
        <v>43</v>
      </c>
      <c r="H958" s="117" t="s">
        <v>750</v>
      </c>
      <c r="I958" s="35"/>
      <c r="J958" s="36"/>
      <c r="K958" s="36"/>
      <c r="L958" s="36"/>
      <c r="M958" s="36"/>
      <c r="N958" s="36"/>
      <c r="O958" s="36"/>
      <c r="P958" s="36"/>
      <c r="Q958" s="36"/>
      <c r="R958" s="36"/>
      <c r="S958" s="36"/>
      <c r="T958" s="36"/>
      <c r="U958" s="36"/>
      <c r="V958" s="36"/>
      <c r="W958" s="36"/>
      <c r="X958" s="36"/>
      <c r="Y958" s="36"/>
      <c r="Z958" s="36"/>
      <c r="AA958" s="36"/>
      <c r="AB958" s="36"/>
    </row>
    <row r="959" spans="1:28" ht="96" hidden="1" customHeight="1">
      <c r="A959" s="207" t="s">
        <v>2046</v>
      </c>
      <c r="B959" s="117">
        <v>2015</v>
      </c>
      <c r="C959" s="117" t="s">
        <v>61</v>
      </c>
      <c r="D959" s="195" t="s">
        <v>2047</v>
      </c>
      <c r="E959" s="206" t="s">
        <v>2048</v>
      </c>
      <c r="F959" s="195" t="s">
        <v>2049</v>
      </c>
      <c r="G959" s="211" t="s">
        <v>43</v>
      </c>
      <c r="H959" s="117" t="s">
        <v>750</v>
      </c>
      <c r="I959" s="35"/>
      <c r="J959" s="36"/>
      <c r="K959" s="36"/>
      <c r="L959" s="36"/>
      <c r="M959" s="36"/>
      <c r="N959" s="36"/>
      <c r="O959" s="36"/>
      <c r="P959" s="36"/>
      <c r="Q959" s="36"/>
      <c r="R959" s="36"/>
      <c r="S959" s="36"/>
      <c r="T959" s="36"/>
      <c r="U959" s="36"/>
      <c r="V959" s="36"/>
      <c r="W959" s="36"/>
      <c r="X959" s="36"/>
      <c r="Y959" s="36"/>
      <c r="Z959" s="36"/>
      <c r="AA959" s="36"/>
      <c r="AB959" s="36"/>
    </row>
    <row r="960" spans="1:28" ht="132" hidden="1" customHeight="1">
      <c r="A960" s="207" t="s">
        <v>2050</v>
      </c>
      <c r="B960" s="117">
        <v>2015</v>
      </c>
      <c r="C960" s="117" t="s">
        <v>57</v>
      </c>
      <c r="D960" s="195" t="s">
        <v>2051</v>
      </c>
      <c r="E960" s="206">
        <v>29</v>
      </c>
      <c r="F960" s="195" t="s">
        <v>2052</v>
      </c>
      <c r="G960" s="211" t="s">
        <v>43</v>
      </c>
      <c r="H960" s="117" t="s">
        <v>750</v>
      </c>
      <c r="I960" s="35"/>
      <c r="J960" s="36"/>
      <c r="K960" s="36"/>
      <c r="L960" s="36"/>
      <c r="M960" s="36"/>
      <c r="N960" s="36"/>
      <c r="O960" s="36"/>
      <c r="P960" s="36"/>
      <c r="Q960" s="36"/>
      <c r="R960" s="36"/>
      <c r="S960" s="36"/>
      <c r="T960" s="36"/>
      <c r="U960" s="36"/>
      <c r="V960" s="36"/>
      <c r="W960" s="36"/>
      <c r="X960" s="36"/>
      <c r="Y960" s="36"/>
      <c r="Z960" s="36"/>
      <c r="AA960" s="36"/>
      <c r="AB960" s="36"/>
    </row>
    <row r="961" spans="1:28" ht="132" hidden="1" customHeight="1">
      <c r="A961" s="207" t="s">
        <v>2053</v>
      </c>
      <c r="B961" s="117">
        <v>2015</v>
      </c>
      <c r="C961" s="117" t="s">
        <v>61</v>
      </c>
      <c r="D961" s="195" t="s">
        <v>1247</v>
      </c>
      <c r="E961" s="117" t="s">
        <v>2054</v>
      </c>
      <c r="F961" s="195" t="s">
        <v>2055</v>
      </c>
      <c r="G961" s="211" t="s">
        <v>43</v>
      </c>
      <c r="H961" s="117" t="s">
        <v>750</v>
      </c>
      <c r="I961" s="35"/>
      <c r="J961" s="36"/>
      <c r="K961" s="36"/>
      <c r="L961" s="36"/>
      <c r="M961" s="36"/>
      <c r="N961" s="36"/>
      <c r="O961" s="36"/>
      <c r="P961" s="36"/>
      <c r="Q961" s="36"/>
      <c r="R961" s="36"/>
      <c r="S961" s="36"/>
      <c r="T961" s="36"/>
      <c r="U961" s="36"/>
      <c r="V961" s="36"/>
      <c r="W961" s="36"/>
      <c r="X961" s="36"/>
      <c r="Y961" s="36"/>
      <c r="Z961" s="36"/>
      <c r="AA961" s="36"/>
      <c r="AB961" s="36"/>
    </row>
    <row r="962" spans="1:28" ht="409.5" hidden="1" customHeight="1">
      <c r="A962" s="207" t="s">
        <v>1732</v>
      </c>
      <c r="B962" s="117">
        <v>2016</v>
      </c>
      <c r="C962" s="117" t="s">
        <v>1232</v>
      </c>
      <c r="D962" s="195" t="s">
        <v>2056</v>
      </c>
      <c r="E962" s="117" t="s">
        <v>2057</v>
      </c>
      <c r="F962" s="195" t="s">
        <v>2058</v>
      </c>
      <c r="G962" s="211" t="s">
        <v>43</v>
      </c>
      <c r="H962" s="117" t="s">
        <v>750</v>
      </c>
      <c r="I962" s="35"/>
      <c r="J962" s="36"/>
      <c r="K962" s="36"/>
      <c r="L962" s="36"/>
      <c r="M962" s="36"/>
      <c r="N962" s="36"/>
      <c r="O962" s="36"/>
      <c r="P962" s="36"/>
      <c r="Q962" s="36"/>
      <c r="R962" s="36"/>
      <c r="S962" s="36"/>
      <c r="T962" s="36"/>
      <c r="U962" s="36"/>
      <c r="V962" s="36"/>
      <c r="W962" s="36"/>
      <c r="X962" s="36"/>
      <c r="Y962" s="36"/>
      <c r="Z962" s="36"/>
      <c r="AA962" s="36"/>
      <c r="AB962" s="36"/>
    </row>
    <row r="963" spans="1:28" ht="36" hidden="1" customHeight="1">
      <c r="A963" s="207" t="s">
        <v>2059</v>
      </c>
      <c r="B963" s="206">
        <v>2017</v>
      </c>
      <c r="C963" s="201" t="s">
        <v>856</v>
      </c>
      <c r="D963" s="231" t="s">
        <v>2060</v>
      </c>
      <c r="E963" s="201" t="s">
        <v>2061</v>
      </c>
      <c r="F963" s="202" t="s">
        <v>2062</v>
      </c>
      <c r="G963" s="201" t="s">
        <v>43</v>
      </c>
      <c r="H963" s="117" t="s">
        <v>750</v>
      </c>
      <c r="I963" s="35"/>
      <c r="J963" s="36"/>
      <c r="K963" s="36"/>
      <c r="L963" s="36"/>
      <c r="M963" s="36"/>
      <c r="N963" s="36"/>
      <c r="O963" s="36"/>
      <c r="P963" s="36"/>
      <c r="Q963" s="36"/>
      <c r="R963" s="36"/>
      <c r="S963" s="36"/>
      <c r="T963" s="36"/>
      <c r="U963" s="36"/>
      <c r="V963" s="36"/>
      <c r="W963" s="36"/>
      <c r="X963" s="36"/>
      <c r="Y963" s="36"/>
      <c r="Z963" s="36"/>
      <c r="AA963" s="36"/>
      <c r="AB963" s="36"/>
    </row>
    <row r="964" spans="1:28" ht="119.25" hidden="1" customHeight="1">
      <c r="A964" s="207" t="s">
        <v>2063</v>
      </c>
      <c r="B964" s="206">
        <v>2018</v>
      </c>
      <c r="C964" s="201" t="s">
        <v>2064</v>
      </c>
      <c r="D964" s="231" t="s">
        <v>2065</v>
      </c>
      <c r="E964" s="231" t="s">
        <v>2066</v>
      </c>
      <c r="F964" s="201" t="s">
        <v>2067</v>
      </c>
      <c r="G964" s="201" t="s">
        <v>43</v>
      </c>
      <c r="H964" s="117" t="s">
        <v>750</v>
      </c>
      <c r="I964" s="35"/>
      <c r="J964" s="36"/>
      <c r="K964" s="36"/>
      <c r="L964" s="36"/>
      <c r="M964" s="36"/>
      <c r="N964" s="36"/>
      <c r="O964" s="36"/>
      <c r="P964" s="36"/>
      <c r="Q964" s="36"/>
      <c r="R964" s="36"/>
      <c r="S964" s="36"/>
      <c r="T964" s="36"/>
      <c r="U964" s="36"/>
      <c r="V964" s="36"/>
      <c r="W964" s="36"/>
      <c r="X964" s="36"/>
      <c r="Y964" s="36"/>
      <c r="Z964" s="36"/>
      <c r="AA964" s="36"/>
      <c r="AB964" s="36"/>
    </row>
    <row r="965" spans="1:28" ht="84" hidden="1" customHeight="1">
      <c r="A965" s="207" t="s">
        <v>2068</v>
      </c>
      <c r="B965" s="117">
        <v>2006</v>
      </c>
      <c r="C965" s="117" t="s">
        <v>61</v>
      </c>
      <c r="D965" s="195" t="s">
        <v>2069</v>
      </c>
      <c r="E965" s="206" t="s">
        <v>2070</v>
      </c>
      <c r="F965" s="117" t="s">
        <v>2071</v>
      </c>
      <c r="G965" s="211" t="s">
        <v>43</v>
      </c>
      <c r="H965" s="117" t="s">
        <v>750</v>
      </c>
      <c r="I965" s="35"/>
      <c r="J965" s="36"/>
      <c r="K965" s="36"/>
      <c r="L965" s="36"/>
      <c r="M965" s="36"/>
      <c r="N965" s="36"/>
      <c r="O965" s="36"/>
      <c r="P965" s="36"/>
      <c r="Q965" s="36"/>
      <c r="R965" s="36"/>
      <c r="S965" s="36"/>
      <c r="T965" s="36"/>
      <c r="U965" s="36"/>
      <c r="V965" s="36"/>
      <c r="W965" s="36"/>
      <c r="X965" s="36"/>
      <c r="Y965" s="36"/>
      <c r="Z965" s="36"/>
      <c r="AA965" s="36"/>
      <c r="AB965" s="36"/>
    </row>
    <row r="966" spans="1:28" ht="264" hidden="1" customHeight="1">
      <c r="A966" s="207" t="s">
        <v>2072</v>
      </c>
      <c r="B966" s="117">
        <v>2009</v>
      </c>
      <c r="C966" s="117" t="s">
        <v>57</v>
      </c>
      <c r="D966" s="195" t="s">
        <v>2073</v>
      </c>
      <c r="E966" s="206" t="s">
        <v>2074</v>
      </c>
      <c r="F966" s="117" t="s">
        <v>2075</v>
      </c>
      <c r="G966" s="211" t="s">
        <v>43</v>
      </c>
      <c r="H966" s="117" t="s">
        <v>750</v>
      </c>
      <c r="I966" s="35"/>
      <c r="J966" s="36"/>
      <c r="K966" s="36"/>
      <c r="L966" s="36"/>
      <c r="M966" s="36"/>
      <c r="N966" s="36"/>
      <c r="O966" s="36"/>
      <c r="P966" s="36"/>
      <c r="Q966" s="36"/>
      <c r="R966" s="36"/>
      <c r="S966" s="36"/>
      <c r="T966" s="36"/>
      <c r="U966" s="36"/>
      <c r="V966" s="36"/>
      <c r="W966" s="36"/>
      <c r="X966" s="36"/>
      <c r="Y966" s="36"/>
      <c r="Z966" s="36"/>
      <c r="AA966" s="36"/>
      <c r="AB966" s="36"/>
    </row>
    <row r="967" spans="1:28" ht="276" hidden="1" customHeight="1">
      <c r="A967" s="207" t="s">
        <v>2076</v>
      </c>
      <c r="B967" s="117">
        <v>2012</v>
      </c>
      <c r="C967" s="117" t="s">
        <v>57</v>
      </c>
      <c r="D967" s="195" t="s">
        <v>2077</v>
      </c>
      <c r="E967" s="206" t="s">
        <v>2078</v>
      </c>
      <c r="F967" s="195" t="s">
        <v>2079</v>
      </c>
      <c r="G967" s="211" t="s">
        <v>43</v>
      </c>
      <c r="H967" s="117" t="s">
        <v>750</v>
      </c>
      <c r="I967" s="35"/>
      <c r="J967" s="36"/>
      <c r="K967" s="36"/>
      <c r="L967" s="36"/>
      <c r="M967" s="36"/>
      <c r="N967" s="36"/>
      <c r="O967" s="36"/>
      <c r="P967" s="36"/>
      <c r="Q967" s="36"/>
      <c r="R967" s="36"/>
      <c r="S967" s="36"/>
      <c r="T967" s="36"/>
      <c r="U967" s="36"/>
      <c r="V967" s="36"/>
      <c r="W967" s="36"/>
      <c r="X967" s="36"/>
      <c r="Y967" s="36"/>
      <c r="Z967" s="36"/>
      <c r="AA967" s="36"/>
      <c r="AB967" s="36"/>
    </row>
    <row r="968" spans="1:28" ht="24" hidden="1" customHeight="1">
      <c r="A968" s="208" t="s">
        <v>2080</v>
      </c>
      <c r="B968" s="117">
        <v>2015</v>
      </c>
      <c r="C968" s="117" t="s">
        <v>57</v>
      </c>
      <c r="D968" s="195" t="s">
        <v>2081</v>
      </c>
      <c r="E968" s="206" t="s">
        <v>41</v>
      </c>
      <c r="F968" s="117" t="s">
        <v>97</v>
      </c>
      <c r="G968" s="211" t="s">
        <v>43</v>
      </c>
      <c r="H968" s="117" t="s">
        <v>750</v>
      </c>
      <c r="I968" s="35"/>
      <c r="J968" s="36"/>
      <c r="K968" s="36"/>
      <c r="L968" s="36"/>
      <c r="M968" s="36"/>
      <c r="N968" s="36"/>
      <c r="O968" s="36"/>
      <c r="P968" s="36"/>
      <c r="Q968" s="36"/>
      <c r="R968" s="36"/>
      <c r="S968" s="36"/>
      <c r="T968" s="36"/>
      <c r="U968" s="36"/>
      <c r="V968" s="36"/>
      <c r="W968" s="36"/>
      <c r="X968" s="36"/>
      <c r="Y968" s="36"/>
      <c r="Z968" s="36"/>
      <c r="AA968" s="36"/>
      <c r="AB968" s="36"/>
    </row>
    <row r="969" spans="1:28" ht="180" hidden="1" customHeight="1">
      <c r="A969" s="199" t="s">
        <v>2082</v>
      </c>
      <c r="B969" s="198">
        <v>2003</v>
      </c>
      <c r="C969" s="117" t="s">
        <v>195</v>
      </c>
      <c r="D969" s="195" t="s">
        <v>2083</v>
      </c>
      <c r="E969" s="206" t="s">
        <v>2002</v>
      </c>
      <c r="F969" s="195" t="s">
        <v>2084</v>
      </c>
      <c r="G969" s="211" t="s">
        <v>43</v>
      </c>
      <c r="H969" s="117" t="s">
        <v>750</v>
      </c>
      <c r="I969" s="35"/>
      <c r="J969" s="36"/>
      <c r="K969" s="36"/>
      <c r="L969" s="36"/>
      <c r="M969" s="36"/>
      <c r="N969" s="36"/>
      <c r="O969" s="36"/>
      <c r="P969" s="36"/>
      <c r="Q969" s="36"/>
      <c r="R969" s="36"/>
      <c r="S969" s="36"/>
      <c r="T969" s="36"/>
      <c r="U969" s="36"/>
      <c r="V969" s="36"/>
      <c r="W969" s="36"/>
      <c r="X969" s="36"/>
      <c r="Y969" s="36"/>
      <c r="Z969" s="36"/>
      <c r="AA969" s="36"/>
      <c r="AB969" s="36"/>
    </row>
    <row r="970" spans="1:28" ht="96" hidden="1" customHeight="1">
      <c r="A970" s="199" t="s">
        <v>2085</v>
      </c>
      <c r="B970" s="198">
        <v>2005</v>
      </c>
      <c r="C970" s="117" t="s">
        <v>195</v>
      </c>
      <c r="D970" s="195" t="s">
        <v>2086</v>
      </c>
      <c r="E970" s="206" t="s">
        <v>2087</v>
      </c>
      <c r="F970" s="195" t="s">
        <v>2088</v>
      </c>
      <c r="G970" s="211" t="s">
        <v>43</v>
      </c>
      <c r="H970" s="117" t="s">
        <v>750</v>
      </c>
      <c r="I970" s="35"/>
      <c r="J970" s="36"/>
      <c r="K970" s="36"/>
      <c r="L970" s="36"/>
      <c r="M970" s="36"/>
      <c r="N970" s="36"/>
      <c r="O970" s="36"/>
      <c r="P970" s="36"/>
      <c r="Q970" s="36"/>
      <c r="R970" s="36"/>
      <c r="S970" s="36"/>
      <c r="T970" s="36"/>
      <c r="U970" s="36"/>
      <c r="V970" s="36"/>
      <c r="W970" s="36"/>
      <c r="X970" s="36"/>
      <c r="Y970" s="36"/>
      <c r="Z970" s="36"/>
      <c r="AA970" s="36"/>
      <c r="AB970" s="36"/>
    </row>
    <row r="971" spans="1:28" ht="108" hidden="1" customHeight="1">
      <c r="A971" s="199" t="s">
        <v>2089</v>
      </c>
      <c r="B971" s="198">
        <v>2007</v>
      </c>
      <c r="C971" s="117" t="s">
        <v>195</v>
      </c>
      <c r="D971" s="195" t="s">
        <v>2090</v>
      </c>
      <c r="E971" s="206" t="s">
        <v>2048</v>
      </c>
      <c r="F971" s="195" t="s">
        <v>2091</v>
      </c>
      <c r="G971" s="211" t="s">
        <v>43</v>
      </c>
      <c r="H971" s="117" t="s">
        <v>750</v>
      </c>
      <c r="I971" s="35"/>
      <c r="J971" s="36"/>
      <c r="K971" s="36"/>
      <c r="L971" s="36"/>
      <c r="M971" s="36"/>
      <c r="N971" s="36"/>
      <c r="O971" s="36"/>
      <c r="P971" s="36"/>
      <c r="Q971" s="36"/>
      <c r="R971" s="36"/>
      <c r="S971" s="36"/>
      <c r="T971" s="36"/>
      <c r="U971" s="36"/>
      <c r="V971" s="36"/>
      <c r="W971" s="36"/>
      <c r="X971" s="36"/>
      <c r="Y971" s="36"/>
      <c r="Z971" s="36"/>
      <c r="AA971" s="36"/>
      <c r="AB971" s="36"/>
    </row>
    <row r="972" spans="1:28" ht="84" hidden="1" customHeight="1">
      <c r="A972" s="199" t="s">
        <v>2092</v>
      </c>
      <c r="B972" s="198">
        <v>2008</v>
      </c>
      <c r="C972" s="117" t="s">
        <v>195</v>
      </c>
      <c r="D972" s="195" t="s">
        <v>2093</v>
      </c>
      <c r="E972" s="206" t="s">
        <v>2002</v>
      </c>
      <c r="F972" s="195" t="s">
        <v>2094</v>
      </c>
      <c r="G972" s="211" t="s">
        <v>43</v>
      </c>
      <c r="H972" s="117" t="s">
        <v>750</v>
      </c>
      <c r="I972" s="35"/>
      <c r="J972" s="36"/>
      <c r="K972" s="36"/>
      <c r="L972" s="36"/>
      <c r="M972" s="36"/>
      <c r="N972" s="36"/>
      <c r="O972" s="36"/>
      <c r="P972" s="36"/>
      <c r="Q972" s="36"/>
      <c r="R972" s="36"/>
      <c r="S972" s="36"/>
      <c r="T972" s="36"/>
      <c r="U972" s="36"/>
      <c r="V972" s="36"/>
      <c r="W972" s="36"/>
      <c r="X972" s="36"/>
      <c r="Y972" s="36"/>
      <c r="Z972" s="36"/>
      <c r="AA972" s="36"/>
      <c r="AB972" s="36"/>
    </row>
    <row r="973" spans="1:28" ht="72" hidden="1" customHeight="1">
      <c r="A973" s="199" t="s">
        <v>2095</v>
      </c>
      <c r="B973" s="198">
        <v>2009</v>
      </c>
      <c r="C973" s="201" t="s">
        <v>195</v>
      </c>
      <c r="D973" s="202" t="s">
        <v>2096</v>
      </c>
      <c r="E973" s="201" t="s">
        <v>2087</v>
      </c>
      <c r="F973" s="201" t="s">
        <v>2097</v>
      </c>
      <c r="G973" s="201" t="s">
        <v>43</v>
      </c>
      <c r="H973" s="117" t="s">
        <v>750</v>
      </c>
      <c r="I973" s="35"/>
      <c r="J973" s="36"/>
      <c r="K973" s="36"/>
      <c r="L973" s="36"/>
      <c r="M973" s="36"/>
      <c r="N973" s="36"/>
      <c r="O973" s="36"/>
      <c r="P973" s="36"/>
      <c r="Q973" s="36"/>
      <c r="R973" s="36"/>
      <c r="S973" s="36"/>
      <c r="T973" s="36"/>
      <c r="U973" s="36"/>
      <c r="V973" s="36"/>
      <c r="W973" s="36"/>
      <c r="X973" s="36"/>
      <c r="Y973" s="36"/>
      <c r="Z973" s="36"/>
      <c r="AA973" s="36"/>
      <c r="AB973" s="36"/>
    </row>
    <row r="974" spans="1:28" ht="180" hidden="1" customHeight="1">
      <c r="A974" s="199" t="s">
        <v>2098</v>
      </c>
      <c r="B974" s="198">
        <v>2009</v>
      </c>
      <c r="C974" s="117" t="s">
        <v>195</v>
      </c>
      <c r="D974" s="195" t="s">
        <v>2099</v>
      </c>
      <c r="E974" s="206" t="s">
        <v>1987</v>
      </c>
      <c r="F974" s="195" t="s">
        <v>2100</v>
      </c>
      <c r="G974" s="211" t="s">
        <v>43</v>
      </c>
      <c r="H974" s="117" t="s">
        <v>750</v>
      </c>
      <c r="I974" s="35"/>
      <c r="J974" s="36"/>
      <c r="K974" s="36"/>
      <c r="L974" s="36"/>
      <c r="M974" s="36"/>
      <c r="N974" s="36"/>
      <c r="O974" s="36"/>
      <c r="P974" s="36"/>
      <c r="Q974" s="36"/>
      <c r="R974" s="36"/>
      <c r="S974" s="36"/>
      <c r="T974" s="36"/>
      <c r="U974" s="36"/>
      <c r="V974" s="36"/>
      <c r="W974" s="36"/>
      <c r="X974" s="36"/>
      <c r="Y974" s="36"/>
      <c r="Z974" s="36"/>
      <c r="AA974" s="36"/>
      <c r="AB974" s="36"/>
    </row>
    <row r="975" spans="1:28" ht="72" hidden="1" customHeight="1">
      <c r="A975" s="199" t="s">
        <v>2101</v>
      </c>
      <c r="B975" s="198">
        <v>2012</v>
      </c>
      <c r="C975" s="117" t="s">
        <v>195</v>
      </c>
      <c r="D975" s="195" t="s">
        <v>2102</v>
      </c>
      <c r="E975" s="206">
        <v>2</v>
      </c>
      <c r="F975" s="195" t="s">
        <v>2103</v>
      </c>
      <c r="G975" s="211" t="s">
        <v>43</v>
      </c>
      <c r="H975" s="117" t="s">
        <v>750</v>
      </c>
      <c r="I975" s="35"/>
      <c r="J975" s="36"/>
      <c r="K975" s="36"/>
      <c r="L975" s="36"/>
      <c r="M975" s="36"/>
      <c r="N975" s="36"/>
      <c r="O975" s="36"/>
      <c r="P975" s="36"/>
      <c r="Q975" s="36"/>
      <c r="R975" s="36"/>
      <c r="S975" s="36"/>
      <c r="T975" s="36"/>
      <c r="U975" s="36"/>
      <c r="V975" s="36"/>
      <c r="W975" s="36"/>
      <c r="X975" s="36"/>
      <c r="Y975" s="36"/>
      <c r="Z975" s="36"/>
      <c r="AA975" s="36"/>
      <c r="AB975" s="36"/>
    </row>
    <row r="976" spans="1:28" ht="192" hidden="1" customHeight="1">
      <c r="A976" s="199" t="s">
        <v>2104</v>
      </c>
      <c r="B976" s="198">
        <v>2012</v>
      </c>
      <c r="C976" s="117" t="s">
        <v>195</v>
      </c>
      <c r="D976" s="195" t="s">
        <v>2105</v>
      </c>
      <c r="E976" s="206" t="s">
        <v>1951</v>
      </c>
      <c r="F976" s="195" t="s">
        <v>2106</v>
      </c>
      <c r="G976" s="211" t="s">
        <v>43</v>
      </c>
      <c r="H976" s="117" t="s">
        <v>750</v>
      </c>
      <c r="I976" s="35"/>
      <c r="J976" s="36"/>
      <c r="K976" s="36"/>
      <c r="L976" s="36"/>
      <c r="M976" s="36"/>
      <c r="N976" s="36"/>
      <c r="O976" s="36"/>
      <c r="P976" s="36"/>
      <c r="Q976" s="36"/>
      <c r="R976" s="36"/>
      <c r="S976" s="36"/>
      <c r="T976" s="36"/>
      <c r="U976" s="36"/>
      <c r="V976" s="36"/>
      <c r="W976" s="36"/>
      <c r="X976" s="36"/>
      <c r="Y976" s="36"/>
      <c r="Z976" s="36"/>
      <c r="AA976" s="36"/>
      <c r="AB976" s="36"/>
    </row>
    <row r="977" spans="1:28" ht="60" hidden="1" customHeight="1">
      <c r="A977" s="199" t="s">
        <v>2107</v>
      </c>
      <c r="B977" s="198">
        <v>2013</v>
      </c>
      <c r="C977" s="117" t="s">
        <v>195</v>
      </c>
      <c r="D977" s="195" t="s">
        <v>1279</v>
      </c>
      <c r="E977" s="206" t="s">
        <v>2048</v>
      </c>
      <c r="F977" s="195" t="s">
        <v>2108</v>
      </c>
      <c r="G977" s="211" t="s">
        <v>43</v>
      </c>
      <c r="H977" s="117" t="s">
        <v>750</v>
      </c>
      <c r="I977" s="35"/>
      <c r="J977" s="36"/>
      <c r="K977" s="36"/>
      <c r="L977" s="36"/>
      <c r="M977" s="36"/>
      <c r="N977" s="36"/>
      <c r="O977" s="36"/>
      <c r="P977" s="36"/>
      <c r="Q977" s="36"/>
      <c r="R977" s="36"/>
      <c r="S977" s="36"/>
      <c r="T977" s="36"/>
      <c r="U977" s="36"/>
      <c r="V977" s="36"/>
      <c r="W977" s="36"/>
      <c r="X977" s="36"/>
      <c r="Y977" s="36"/>
      <c r="Z977" s="36"/>
      <c r="AA977" s="36"/>
      <c r="AB977" s="36"/>
    </row>
    <row r="978" spans="1:28" ht="84" hidden="1" customHeight="1">
      <c r="A978" s="199" t="s">
        <v>2109</v>
      </c>
      <c r="B978" s="198">
        <v>2015</v>
      </c>
      <c r="C978" s="117" t="s">
        <v>195</v>
      </c>
      <c r="D978" s="195" t="s">
        <v>2110</v>
      </c>
      <c r="E978" s="206">
        <v>6</v>
      </c>
      <c r="F978" s="195" t="s">
        <v>2111</v>
      </c>
      <c r="G978" s="211" t="s">
        <v>43</v>
      </c>
      <c r="H978" s="117" t="s">
        <v>750</v>
      </c>
      <c r="I978" s="35"/>
      <c r="J978" s="36"/>
      <c r="K978" s="36"/>
      <c r="L978" s="36"/>
      <c r="M978" s="36"/>
      <c r="N978" s="36"/>
      <c r="O978" s="36"/>
      <c r="P978" s="36"/>
      <c r="Q978" s="36"/>
      <c r="R978" s="36"/>
      <c r="S978" s="36"/>
      <c r="T978" s="36"/>
      <c r="U978" s="36"/>
      <c r="V978" s="36"/>
      <c r="W978" s="36"/>
      <c r="X978" s="36"/>
      <c r="Y978" s="36"/>
      <c r="Z978" s="36"/>
      <c r="AA978" s="36"/>
      <c r="AB978" s="36"/>
    </row>
    <row r="979" spans="1:28" ht="228" hidden="1" customHeight="1">
      <c r="A979" s="199" t="s">
        <v>2112</v>
      </c>
      <c r="B979" s="198">
        <v>2015</v>
      </c>
      <c r="C979" s="218" t="s">
        <v>195</v>
      </c>
      <c r="D979" s="202" t="s">
        <v>2113</v>
      </c>
      <c r="E979" s="204" t="s">
        <v>2114</v>
      </c>
      <c r="F979" s="202" t="s">
        <v>2115</v>
      </c>
      <c r="G979" s="209" t="s">
        <v>43</v>
      </c>
      <c r="H979" s="201" t="s">
        <v>750</v>
      </c>
      <c r="I979" s="35"/>
      <c r="J979" s="36"/>
      <c r="K979" s="36"/>
      <c r="L979" s="36"/>
      <c r="M979" s="36"/>
      <c r="N979" s="36"/>
      <c r="O979" s="36"/>
      <c r="P979" s="36"/>
      <c r="Q979" s="36"/>
      <c r="R979" s="36"/>
      <c r="S979" s="36"/>
      <c r="T979" s="36"/>
      <c r="U979" s="36"/>
      <c r="V979" s="36"/>
      <c r="W979" s="36"/>
      <c r="X979" s="36"/>
      <c r="Y979" s="36"/>
      <c r="Z979" s="36"/>
      <c r="AA979" s="36"/>
      <c r="AB979" s="36"/>
    </row>
    <row r="980" spans="1:28" ht="84" hidden="1" customHeight="1">
      <c r="A980" s="205" t="s">
        <v>2116</v>
      </c>
      <c r="B980" s="117">
        <v>1991</v>
      </c>
      <c r="C980" s="117" t="s">
        <v>2117</v>
      </c>
      <c r="D980" s="195" t="s">
        <v>2118</v>
      </c>
      <c r="E980" s="206">
        <v>2</v>
      </c>
      <c r="F980" s="117" t="s">
        <v>2119</v>
      </c>
      <c r="G980" s="211" t="s">
        <v>43</v>
      </c>
      <c r="H980" s="117" t="s">
        <v>750</v>
      </c>
      <c r="I980" s="35"/>
      <c r="J980" s="36"/>
      <c r="K980" s="36"/>
      <c r="L980" s="36"/>
      <c r="M980" s="36"/>
      <c r="N980" s="36"/>
      <c r="O980" s="36"/>
      <c r="P980" s="36"/>
      <c r="Q980" s="36"/>
      <c r="R980" s="36"/>
      <c r="S980" s="36"/>
      <c r="T980" s="36"/>
      <c r="U980" s="36"/>
      <c r="V980" s="36"/>
      <c r="W980" s="36"/>
      <c r="X980" s="36"/>
      <c r="Y980" s="36"/>
      <c r="Z980" s="36"/>
      <c r="AA980" s="36"/>
      <c r="AB980" s="36"/>
    </row>
    <row r="981" spans="1:28" ht="144" hidden="1" customHeight="1">
      <c r="A981" s="207" t="s">
        <v>1847</v>
      </c>
      <c r="B981" s="117">
        <v>1996</v>
      </c>
      <c r="C981" s="201" t="s">
        <v>2120</v>
      </c>
      <c r="D981" s="202" t="s">
        <v>2121</v>
      </c>
      <c r="E981" s="201" t="s">
        <v>2122</v>
      </c>
      <c r="F981" s="201" t="s">
        <v>2123</v>
      </c>
      <c r="G981" s="206" t="s">
        <v>43</v>
      </c>
      <c r="H981" s="117" t="s">
        <v>750</v>
      </c>
      <c r="I981" s="35"/>
      <c r="J981" s="36"/>
      <c r="K981" s="36"/>
      <c r="L981" s="36"/>
      <c r="M981" s="36"/>
      <c r="N981" s="36"/>
      <c r="O981" s="36"/>
      <c r="P981" s="36"/>
      <c r="Q981" s="36"/>
      <c r="R981" s="36"/>
      <c r="S981" s="36"/>
      <c r="T981" s="36"/>
      <c r="U981" s="36"/>
      <c r="V981" s="36"/>
      <c r="W981" s="36"/>
      <c r="X981" s="36"/>
      <c r="Y981" s="36"/>
      <c r="Z981" s="36"/>
      <c r="AA981" s="36"/>
      <c r="AB981" s="36"/>
    </row>
    <row r="982" spans="1:28" ht="409.5" hidden="1" customHeight="1">
      <c r="A982" s="207" t="s">
        <v>2124</v>
      </c>
      <c r="B982" s="117">
        <v>2003</v>
      </c>
      <c r="C982" s="117" t="s">
        <v>2120</v>
      </c>
      <c r="D982" s="195" t="s">
        <v>2125</v>
      </c>
      <c r="E982" s="117" t="s">
        <v>2126</v>
      </c>
      <c r="F982" s="195" t="s">
        <v>2127</v>
      </c>
      <c r="G982" s="211" t="s">
        <v>43</v>
      </c>
      <c r="H982" s="117" t="s">
        <v>750</v>
      </c>
      <c r="I982" s="35"/>
      <c r="J982" s="36"/>
      <c r="K982" s="36"/>
      <c r="L982" s="36"/>
      <c r="M982" s="36"/>
      <c r="N982" s="36"/>
      <c r="O982" s="36"/>
      <c r="P982" s="36"/>
      <c r="Q982" s="36"/>
      <c r="R982" s="36"/>
      <c r="S982" s="36"/>
      <c r="T982" s="36"/>
      <c r="U982" s="36"/>
      <c r="V982" s="36"/>
      <c r="W982" s="36"/>
      <c r="X982" s="36"/>
      <c r="Y982" s="36"/>
      <c r="Z982" s="36"/>
      <c r="AA982" s="36"/>
      <c r="AB982" s="36"/>
    </row>
    <row r="983" spans="1:28" ht="96" hidden="1" customHeight="1">
      <c r="A983" s="207" t="s">
        <v>2128</v>
      </c>
      <c r="B983" s="117">
        <v>2008</v>
      </c>
      <c r="C983" s="117" t="s">
        <v>1294</v>
      </c>
      <c r="D983" s="195" t="s">
        <v>2129</v>
      </c>
      <c r="E983" s="206" t="s">
        <v>1951</v>
      </c>
      <c r="F983" s="117" t="s">
        <v>2130</v>
      </c>
      <c r="G983" s="211" t="s">
        <v>43</v>
      </c>
      <c r="H983" s="117" t="s">
        <v>750</v>
      </c>
      <c r="I983" s="35"/>
      <c r="J983" s="36"/>
      <c r="K983" s="36"/>
      <c r="L983" s="36"/>
      <c r="M983" s="36"/>
      <c r="N983" s="36"/>
      <c r="O983" s="36"/>
      <c r="P983" s="36"/>
      <c r="Q983" s="36"/>
      <c r="R983" s="36"/>
      <c r="S983" s="36"/>
      <c r="T983" s="36"/>
      <c r="U983" s="36"/>
      <c r="V983" s="36"/>
      <c r="W983" s="36"/>
      <c r="X983" s="36"/>
      <c r="Y983" s="36"/>
      <c r="Z983" s="36"/>
      <c r="AA983" s="36"/>
      <c r="AB983" s="36"/>
    </row>
    <row r="984" spans="1:28" ht="180" hidden="1" customHeight="1">
      <c r="A984" s="207" t="s">
        <v>2131</v>
      </c>
      <c r="B984" s="117">
        <v>2006</v>
      </c>
      <c r="C984" s="117" t="s">
        <v>2064</v>
      </c>
      <c r="D984" s="195" t="s">
        <v>2132</v>
      </c>
      <c r="E984" s="206">
        <v>4</v>
      </c>
      <c r="F984" s="195" t="s">
        <v>2133</v>
      </c>
      <c r="G984" s="211" t="s">
        <v>43</v>
      </c>
      <c r="H984" s="117" t="s">
        <v>750</v>
      </c>
      <c r="I984" s="35"/>
      <c r="J984" s="36"/>
      <c r="K984" s="36"/>
      <c r="L984" s="36"/>
      <c r="M984" s="36"/>
      <c r="N984" s="36"/>
      <c r="O984" s="36"/>
      <c r="P984" s="36"/>
      <c r="Q984" s="36"/>
      <c r="R984" s="36"/>
      <c r="S984" s="36"/>
      <c r="T984" s="36"/>
      <c r="U984" s="36"/>
      <c r="V984" s="36"/>
      <c r="W984" s="36"/>
      <c r="X984" s="36"/>
      <c r="Y984" s="36"/>
      <c r="Z984" s="36"/>
      <c r="AA984" s="36"/>
      <c r="AB984" s="36"/>
    </row>
    <row r="985" spans="1:28" ht="156" hidden="1" customHeight="1">
      <c r="A985" s="207" t="s">
        <v>2134</v>
      </c>
      <c r="B985" s="117">
        <v>2007</v>
      </c>
      <c r="C985" s="117" t="s">
        <v>2064</v>
      </c>
      <c r="D985" s="195" t="s">
        <v>2135</v>
      </c>
      <c r="E985" s="206" t="s">
        <v>2136</v>
      </c>
      <c r="F985" s="195" t="s">
        <v>2137</v>
      </c>
      <c r="G985" s="211" t="s">
        <v>43</v>
      </c>
      <c r="H985" s="117" t="s">
        <v>750</v>
      </c>
      <c r="I985" s="35"/>
      <c r="J985" s="36"/>
      <c r="K985" s="36"/>
      <c r="L985" s="36"/>
      <c r="M985" s="36"/>
      <c r="N985" s="36"/>
      <c r="O985" s="36"/>
      <c r="P985" s="36"/>
      <c r="Q985" s="36"/>
      <c r="R985" s="36"/>
      <c r="S985" s="36"/>
      <c r="T985" s="36"/>
      <c r="U985" s="36"/>
      <c r="V985" s="36"/>
      <c r="W985" s="36"/>
      <c r="X985" s="36"/>
      <c r="Y985" s="36"/>
      <c r="Z985" s="36"/>
      <c r="AA985" s="36"/>
      <c r="AB985" s="36"/>
    </row>
    <row r="986" spans="1:28" ht="144" hidden="1" customHeight="1">
      <c r="A986" s="207" t="s">
        <v>2138</v>
      </c>
      <c r="B986" s="117">
        <v>2008</v>
      </c>
      <c r="C986" s="117" t="s">
        <v>2064</v>
      </c>
      <c r="D986" s="195" t="s">
        <v>2139</v>
      </c>
      <c r="E986" s="117" t="s">
        <v>2140</v>
      </c>
      <c r="F986" s="195" t="s">
        <v>2141</v>
      </c>
      <c r="G986" s="211" t="s">
        <v>43</v>
      </c>
      <c r="H986" s="117" t="s">
        <v>750</v>
      </c>
      <c r="I986" s="35"/>
      <c r="J986" s="36"/>
      <c r="K986" s="36"/>
      <c r="L986" s="36"/>
      <c r="M986" s="36"/>
      <c r="N986" s="36"/>
      <c r="O986" s="36"/>
      <c r="P986" s="36"/>
      <c r="Q986" s="36"/>
      <c r="R986" s="36"/>
      <c r="S986" s="36"/>
      <c r="T986" s="36"/>
      <c r="U986" s="36"/>
      <c r="V986" s="36"/>
      <c r="W986" s="36"/>
      <c r="X986" s="36"/>
      <c r="Y986" s="36"/>
      <c r="Z986" s="36"/>
      <c r="AA986" s="36"/>
      <c r="AB986" s="36"/>
    </row>
    <row r="987" spans="1:28" ht="228" hidden="1" customHeight="1">
      <c r="A987" s="207" t="s">
        <v>2142</v>
      </c>
      <c r="B987" s="117">
        <v>2008</v>
      </c>
      <c r="C987" s="117" t="s">
        <v>540</v>
      </c>
      <c r="D987" s="195" t="s">
        <v>575</v>
      </c>
      <c r="E987" s="206" t="s">
        <v>2143</v>
      </c>
      <c r="F987" s="195" t="s">
        <v>2144</v>
      </c>
      <c r="G987" s="211" t="s">
        <v>43</v>
      </c>
      <c r="H987" s="117" t="s">
        <v>750</v>
      </c>
      <c r="I987" s="35"/>
      <c r="J987" s="36"/>
      <c r="K987" s="36"/>
      <c r="L987" s="36"/>
      <c r="M987" s="36"/>
      <c r="N987" s="36"/>
      <c r="O987" s="36"/>
      <c r="P987" s="36"/>
      <c r="Q987" s="36"/>
      <c r="R987" s="36"/>
      <c r="S987" s="36"/>
      <c r="T987" s="36"/>
      <c r="U987" s="36"/>
      <c r="V987" s="36"/>
      <c r="W987" s="36"/>
      <c r="X987" s="36"/>
      <c r="Y987" s="36"/>
      <c r="Z987" s="36"/>
      <c r="AA987" s="36"/>
      <c r="AB987" s="36"/>
    </row>
    <row r="988" spans="1:28" ht="204" hidden="1" customHeight="1">
      <c r="A988" s="207" t="s">
        <v>2145</v>
      </c>
      <c r="B988" s="117">
        <v>2009</v>
      </c>
      <c r="C988" s="117" t="s">
        <v>1800</v>
      </c>
      <c r="D988" s="195" t="s">
        <v>2146</v>
      </c>
      <c r="E988" s="206">
        <v>5</v>
      </c>
      <c r="F988" s="117" t="s">
        <v>2147</v>
      </c>
      <c r="G988" s="211" t="s">
        <v>43</v>
      </c>
      <c r="H988" s="117" t="s">
        <v>750</v>
      </c>
      <c r="I988" s="35"/>
      <c r="J988" s="36"/>
      <c r="K988" s="36"/>
      <c r="L988" s="36"/>
      <c r="M988" s="36"/>
      <c r="N988" s="36"/>
      <c r="O988" s="36"/>
      <c r="P988" s="36"/>
      <c r="Q988" s="36"/>
      <c r="R988" s="36"/>
      <c r="S988" s="36"/>
      <c r="T988" s="36"/>
      <c r="U988" s="36"/>
      <c r="V988" s="36"/>
      <c r="W988" s="36"/>
      <c r="X988" s="36"/>
      <c r="Y988" s="36"/>
      <c r="Z988" s="36"/>
      <c r="AA988" s="36"/>
      <c r="AB988" s="36"/>
    </row>
    <row r="989" spans="1:28" ht="168" hidden="1" customHeight="1">
      <c r="A989" s="207" t="s">
        <v>2148</v>
      </c>
      <c r="B989" s="117">
        <v>2009</v>
      </c>
      <c r="C989" s="201" t="s">
        <v>540</v>
      </c>
      <c r="D989" s="202" t="s">
        <v>2149</v>
      </c>
      <c r="E989" s="201" t="s">
        <v>2150</v>
      </c>
      <c r="F989" s="201" t="s">
        <v>2151</v>
      </c>
      <c r="G989" s="201" t="s">
        <v>43</v>
      </c>
      <c r="H989" s="117" t="s">
        <v>750</v>
      </c>
      <c r="I989" s="35"/>
      <c r="J989" s="36"/>
      <c r="K989" s="36"/>
      <c r="L989" s="36"/>
      <c r="M989" s="36"/>
      <c r="N989" s="36"/>
      <c r="O989" s="36"/>
      <c r="P989" s="36"/>
      <c r="Q989" s="36"/>
      <c r="R989" s="36"/>
      <c r="S989" s="36"/>
      <c r="T989" s="36"/>
      <c r="U989" s="36"/>
      <c r="V989" s="36"/>
      <c r="W989" s="36"/>
      <c r="X989" s="36"/>
      <c r="Y989" s="36"/>
      <c r="Z989" s="36"/>
      <c r="AA989" s="36"/>
      <c r="AB989" s="36"/>
    </row>
    <row r="990" spans="1:28" ht="240" hidden="1" customHeight="1">
      <c r="A990" s="207" t="s">
        <v>2152</v>
      </c>
      <c r="B990" s="117">
        <v>2009</v>
      </c>
      <c r="C990" s="117" t="s">
        <v>540</v>
      </c>
      <c r="D990" s="195" t="s">
        <v>2153</v>
      </c>
      <c r="E990" s="206" t="s">
        <v>1968</v>
      </c>
      <c r="F990" s="195" t="s">
        <v>2154</v>
      </c>
      <c r="G990" s="211" t="s">
        <v>43</v>
      </c>
      <c r="H990" s="117" t="s">
        <v>750</v>
      </c>
      <c r="I990" s="35"/>
      <c r="J990" s="36"/>
      <c r="K990" s="36"/>
      <c r="L990" s="36"/>
      <c r="M990" s="36"/>
      <c r="N990" s="36"/>
      <c r="O990" s="36"/>
      <c r="P990" s="36"/>
      <c r="Q990" s="36"/>
      <c r="R990" s="36"/>
      <c r="S990" s="36"/>
      <c r="T990" s="36"/>
      <c r="U990" s="36"/>
      <c r="V990" s="36"/>
      <c r="W990" s="36"/>
      <c r="X990" s="36"/>
      <c r="Y990" s="36"/>
      <c r="Z990" s="36"/>
      <c r="AA990" s="36"/>
      <c r="AB990" s="36"/>
    </row>
    <row r="991" spans="1:28" ht="204" hidden="1" customHeight="1">
      <c r="A991" s="207" t="s">
        <v>2155</v>
      </c>
      <c r="B991" s="117">
        <v>2010</v>
      </c>
      <c r="C991" s="117" t="s">
        <v>128</v>
      </c>
      <c r="D991" s="195" t="s">
        <v>2156</v>
      </c>
      <c r="E991" s="117" t="s">
        <v>2157</v>
      </c>
      <c r="F991" s="195" t="s">
        <v>2158</v>
      </c>
      <c r="G991" s="211" t="s">
        <v>43</v>
      </c>
      <c r="H991" s="117" t="s">
        <v>750</v>
      </c>
      <c r="I991" s="35"/>
      <c r="J991" s="36"/>
      <c r="K991" s="36"/>
      <c r="L991" s="36"/>
      <c r="M991" s="36"/>
      <c r="N991" s="36"/>
      <c r="O991" s="36"/>
      <c r="P991" s="36"/>
      <c r="Q991" s="36"/>
      <c r="R991" s="36"/>
      <c r="S991" s="36"/>
      <c r="T991" s="36"/>
      <c r="U991" s="36"/>
      <c r="V991" s="36"/>
      <c r="W991" s="36"/>
      <c r="X991" s="36"/>
      <c r="Y991" s="36"/>
      <c r="Z991" s="36"/>
      <c r="AA991" s="36"/>
      <c r="AB991" s="36"/>
    </row>
    <row r="992" spans="1:28" ht="264" hidden="1" customHeight="1">
      <c r="A992" s="207" t="s">
        <v>2159</v>
      </c>
      <c r="B992" s="117">
        <v>2010</v>
      </c>
      <c r="C992" s="117" t="s">
        <v>128</v>
      </c>
      <c r="D992" s="195" t="s">
        <v>2160</v>
      </c>
      <c r="E992" s="206" t="s">
        <v>2161</v>
      </c>
      <c r="F992" s="195" t="s">
        <v>2162</v>
      </c>
      <c r="G992" s="211" t="s">
        <v>43</v>
      </c>
      <c r="H992" s="117" t="s">
        <v>750</v>
      </c>
      <c r="I992" s="35"/>
      <c r="J992" s="36"/>
      <c r="K992" s="36"/>
      <c r="L992" s="36"/>
      <c r="M992" s="36"/>
      <c r="N992" s="36"/>
      <c r="O992" s="36"/>
      <c r="P992" s="36"/>
      <c r="Q992" s="36"/>
      <c r="R992" s="36"/>
      <c r="S992" s="36"/>
      <c r="T992" s="36"/>
      <c r="U992" s="36"/>
      <c r="V992" s="36"/>
      <c r="W992" s="36"/>
      <c r="X992" s="36"/>
      <c r="Y992" s="36"/>
      <c r="Z992" s="36"/>
      <c r="AA992" s="36"/>
      <c r="AB992" s="36"/>
    </row>
    <row r="993" spans="1:28" ht="60" hidden="1" customHeight="1">
      <c r="A993" s="207" t="s">
        <v>2163</v>
      </c>
      <c r="B993" s="117">
        <v>2010</v>
      </c>
      <c r="C993" s="117" t="s">
        <v>130</v>
      </c>
      <c r="D993" s="195" t="s">
        <v>2164</v>
      </c>
      <c r="E993" s="206" t="s">
        <v>1951</v>
      </c>
      <c r="F993" s="117" t="s">
        <v>2165</v>
      </c>
      <c r="G993" s="211" t="s">
        <v>43</v>
      </c>
      <c r="H993" s="117" t="s">
        <v>750</v>
      </c>
      <c r="I993" s="35"/>
      <c r="J993" s="36"/>
      <c r="K993" s="36"/>
      <c r="L993" s="36"/>
      <c r="M993" s="36"/>
      <c r="N993" s="36"/>
      <c r="O993" s="36"/>
      <c r="P993" s="36"/>
      <c r="Q993" s="36"/>
      <c r="R993" s="36"/>
      <c r="S993" s="36"/>
      <c r="T993" s="36"/>
      <c r="U993" s="36"/>
      <c r="V993" s="36"/>
      <c r="W993" s="36"/>
      <c r="X993" s="36"/>
      <c r="Y993" s="36"/>
      <c r="Z993" s="36"/>
      <c r="AA993" s="36"/>
      <c r="AB993" s="36"/>
    </row>
    <row r="994" spans="1:28" ht="36" hidden="1" customHeight="1">
      <c r="A994" s="207" t="s">
        <v>2166</v>
      </c>
      <c r="B994" s="117">
        <v>2010</v>
      </c>
      <c r="C994" s="117" t="s">
        <v>130</v>
      </c>
      <c r="D994" s="195" t="s">
        <v>2167</v>
      </c>
      <c r="E994" s="206" t="s">
        <v>1947</v>
      </c>
      <c r="F994" s="195" t="s">
        <v>2168</v>
      </c>
      <c r="G994" s="211" t="s">
        <v>43</v>
      </c>
      <c r="H994" s="117" t="s">
        <v>750</v>
      </c>
      <c r="I994" s="35"/>
      <c r="J994" s="36"/>
      <c r="K994" s="36"/>
      <c r="L994" s="36"/>
      <c r="M994" s="36"/>
      <c r="N994" s="36"/>
      <c r="O994" s="36"/>
      <c r="P994" s="36"/>
      <c r="Q994" s="36"/>
      <c r="R994" s="36"/>
      <c r="S994" s="36"/>
      <c r="T994" s="36"/>
      <c r="U994" s="36"/>
      <c r="V994" s="36"/>
      <c r="W994" s="36"/>
      <c r="X994" s="36"/>
      <c r="Y994" s="36"/>
      <c r="Z994" s="36"/>
      <c r="AA994" s="36"/>
      <c r="AB994" s="36"/>
    </row>
    <row r="995" spans="1:28" ht="216" hidden="1" customHeight="1">
      <c r="A995" s="207" t="s">
        <v>2169</v>
      </c>
      <c r="B995" s="117">
        <v>2010</v>
      </c>
      <c r="C995" s="117" t="s">
        <v>128</v>
      </c>
      <c r="D995" s="195" t="s">
        <v>2170</v>
      </c>
      <c r="E995" s="206" t="s">
        <v>2171</v>
      </c>
      <c r="F995" s="195" t="s">
        <v>2172</v>
      </c>
      <c r="G995" s="211" t="s">
        <v>43</v>
      </c>
      <c r="H995" s="117" t="s">
        <v>750</v>
      </c>
      <c r="I995" s="35"/>
      <c r="J995" s="36"/>
      <c r="K995" s="36"/>
      <c r="L995" s="36"/>
      <c r="M995" s="36"/>
      <c r="N995" s="36"/>
      <c r="O995" s="36"/>
      <c r="P995" s="36"/>
      <c r="Q995" s="36"/>
      <c r="R995" s="36"/>
      <c r="S995" s="36"/>
      <c r="T995" s="36"/>
      <c r="U995" s="36"/>
      <c r="V995" s="36"/>
      <c r="W995" s="36"/>
      <c r="X995" s="36"/>
      <c r="Y995" s="36"/>
      <c r="Z995" s="36"/>
      <c r="AA995" s="36"/>
      <c r="AB995" s="36"/>
    </row>
    <row r="996" spans="1:28" ht="72" hidden="1" customHeight="1">
      <c r="A996" s="207" t="s">
        <v>2173</v>
      </c>
      <c r="B996" s="117">
        <v>2010</v>
      </c>
      <c r="C996" s="201" t="s">
        <v>540</v>
      </c>
      <c r="D996" s="202" t="s">
        <v>2174</v>
      </c>
      <c r="E996" s="204" t="s">
        <v>2175</v>
      </c>
      <c r="F996" s="202" t="s">
        <v>2176</v>
      </c>
      <c r="G996" s="209" t="s">
        <v>43</v>
      </c>
      <c r="H996" s="117" t="s">
        <v>750</v>
      </c>
      <c r="I996" s="35"/>
      <c r="J996" s="36"/>
      <c r="K996" s="36"/>
      <c r="L996" s="36"/>
      <c r="M996" s="36"/>
      <c r="N996" s="36"/>
      <c r="O996" s="36"/>
      <c r="P996" s="36"/>
      <c r="Q996" s="36"/>
      <c r="R996" s="36"/>
      <c r="S996" s="36"/>
      <c r="T996" s="36"/>
      <c r="U996" s="36"/>
      <c r="V996" s="36"/>
      <c r="W996" s="36"/>
      <c r="X996" s="36"/>
      <c r="Y996" s="36"/>
      <c r="Z996" s="36"/>
      <c r="AA996" s="36"/>
      <c r="AB996" s="36"/>
    </row>
    <row r="997" spans="1:28" ht="72" hidden="1" customHeight="1">
      <c r="A997" s="207" t="s">
        <v>2177</v>
      </c>
      <c r="B997" s="117">
        <v>2012</v>
      </c>
      <c r="C997" s="201" t="s">
        <v>2178</v>
      </c>
      <c r="D997" s="202" t="s">
        <v>2179</v>
      </c>
      <c r="E997" s="201" t="s">
        <v>1947</v>
      </c>
      <c r="F997" s="201" t="s">
        <v>2180</v>
      </c>
      <c r="G997" s="206" t="s">
        <v>43</v>
      </c>
      <c r="H997" s="117" t="s">
        <v>750</v>
      </c>
      <c r="I997" s="35"/>
      <c r="J997" s="36"/>
      <c r="K997" s="36"/>
      <c r="L997" s="36"/>
      <c r="M997" s="36"/>
      <c r="N997" s="36"/>
      <c r="O997" s="36"/>
      <c r="P997" s="36"/>
      <c r="Q997" s="36"/>
      <c r="R997" s="36"/>
      <c r="S997" s="36"/>
      <c r="T997" s="36"/>
      <c r="U997" s="36"/>
      <c r="V997" s="36"/>
      <c r="W997" s="36"/>
      <c r="X997" s="36"/>
      <c r="Y997" s="36"/>
      <c r="Z997" s="36"/>
      <c r="AA997" s="36"/>
      <c r="AB997" s="36"/>
    </row>
    <row r="998" spans="1:28" ht="48" hidden="1" customHeight="1">
      <c r="A998" s="207" t="s">
        <v>2181</v>
      </c>
      <c r="B998" s="117">
        <v>2012</v>
      </c>
      <c r="C998" s="117" t="s">
        <v>540</v>
      </c>
      <c r="D998" s="195" t="s">
        <v>582</v>
      </c>
      <c r="E998" s="206" t="s">
        <v>2182</v>
      </c>
      <c r="F998" s="195" t="s">
        <v>2183</v>
      </c>
      <c r="G998" s="211" t="s">
        <v>43</v>
      </c>
      <c r="H998" s="117" t="s">
        <v>750</v>
      </c>
      <c r="I998" s="35"/>
      <c r="J998" s="36"/>
      <c r="K998" s="36"/>
      <c r="L998" s="36"/>
      <c r="M998" s="36"/>
      <c r="N998" s="36"/>
      <c r="O998" s="36"/>
      <c r="P998" s="36"/>
      <c r="Q998" s="36"/>
      <c r="R998" s="36"/>
      <c r="S998" s="36"/>
      <c r="T998" s="36"/>
      <c r="U998" s="36"/>
      <c r="V998" s="36"/>
      <c r="W998" s="36"/>
      <c r="X998" s="36"/>
      <c r="Y998" s="36"/>
      <c r="Z998" s="36"/>
      <c r="AA998" s="36"/>
      <c r="AB998" s="36"/>
    </row>
    <row r="999" spans="1:28" ht="24" hidden="1" customHeight="1">
      <c r="A999" s="207" t="s">
        <v>2184</v>
      </c>
      <c r="B999" s="117">
        <v>2013</v>
      </c>
      <c r="C999" s="117" t="s">
        <v>130</v>
      </c>
      <c r="D999" s="195" t="s">
        <v>2185</v>
      </c>
      <c r="E999" s="206" t="s">
        <v>1947</v>
      </c>
      <c r="F999" s="195" t="s">
        <v>2186</v>
      </c>
      <c r="G999" s="211" t="s">
        <v>43</v>
      </c>
      <c r="H999" s="117" t="s">
        <v>750</v>
      </c>
      <c r="I999" s="35"/>
      <c r="J999" s="36"/>
      <c r="K999" s="36"/>
      <c r="L999" s="36"/>
      <c r="M999" s="36"/>
      <c r="N999" s="36"/>
      <c r="O999" s="36"/>
      <c r="P999" s="36"/>
      <c r="Q999" s="36"/>
      <c r="R999" s="36"/>
      <c r="S999" s="36"/>
      <c r="T999" s="36"/>
      <c r="U999" s="36"/>
      <c r="V999" s="36"/>
      <c r="W999" s="36"/>
      <c r="X999" s="36"/>
      <c r="Y999" s="36"/>
      <c r="Z999" s="36"/>
      <c r="AA999" s="36"/>
      <c r="AB999" s="36"/>
    </row>
    <row r="1000" spans="1:28" ht="216" hidden="1" customHeight="1">
      <c r="A1000" s="207" t="s">
        <v>2187</v>
      </c>
      <c r="B1000" s="117">
        <v>2013</v>
      </c>
      <c r="C1000" s="117" t="s">
        <v>540</v>
      </c>
      <c r="D1000" s="195" t="s">
        <v>2188</v>
      </c>
      <c r="E1000" s="206">
        <v>1</v>
      </c>
      <c r="F1000" s="195" t="s">
        <v>2189</v>
      </c>
      <c r="G1000" s="211" t="s">
        <v>2190</v>
      </c>
      <c r="H1000" s="117" t="s">
        <v>750</v>
      </c>
      <c r="I1000" s="35"/>
      <c r="J1000" s="36"/>
      <c r="K1000" s="36"/>
      <c r="L1000" s="36"/>
      <c r="M1000" s="36"/>
      <c r="N1000" s="36"/>
      <c r="O1000" s="36"/>
      <c r="P1000" s="36"/>
      <c r="Q1000" s="36"/>
      <c r="R1000" s="36"/>
      <c r="S1000" s="36"/>
      <c r="T1000" s="36"/>
      <c r="U1000" s="36"/>
      <c r="V1000" s="36"/>
      <c r="W1000" s="36"/>
      <c r="X1000" s="36"/>
      <c r="Y1000" s="36"/>
      <c r="Z1000" s="36"/>
      <c r="AA1000" s="36"/>
      <c r="AB1000" s="36"/>
    </row>
    <row r="1001" spans="1:28" ht="276" hidden="1" customHeight="1">
      <c r="A1001" s="207" t="s">
        <v>2191</v>
      </c>
      <c r="B1001" s="117">
        <v>2014</v>
      </c>
      <c r="C1001" s="117" t="s">
        <v>540</v>
      </c>
      <c r="D1001" s="195" t="s">
        <v>2192</v>
      </c>
      <c r="E1001" s="206" t="s">
        <v>2193</v>
      </c>
      <c r="F1001" s="195" t="s">
        <v>2194</v>
      </c>
      <c r="G1001" s="211" t="s">
        <v>43</v>
      </c>
      <c r="H1001" s="117" t="s">
        <v>750</v>
      </c>
      <c r="I1001" s="35"/>
      <c r="J1001" s="36"/>
      <c r="K1001" s="36"/>
      <c r="L1001" s="36"/>
      <c r="M1001" s="36"/>
      <c r="N1001" s="36"/>
      <c r="O1001" s="36"/>
      <c r="P1001" s="36"/>
      <c r="Q1001" s="36"/>
      <c r="R1001" s="36"/>
      <c r="S1001" s="36"/>
      <c r="T1001" s="36"/>
      <c r="U1001" s="36"/>
      <c r="V1001" s="36"/>
      <c r="W1001" s="36"/>
      <c r="X1001" s="36"/>
      <c r="Y1001" s="36"/>
      <c r="Z1001" s="36"/>
      <c r="AA1001" s="36"/>
      <c r="AB1001" s="36"/>
    </row>
    <row r="1002" spans="1:28" ht="132" hidden="1" customHeight="1">
      <c r="A1002" s="207" t="s">
        <v>2195</v>
      </c>
      <c r="B1002" s="117">
        <v>2014</v>
      </c>
      <c r="C1002" s="117" t="s">
        <v>2196</v>
      </c>
      <c r="D1002" s="195" t="s">
        <v>2197</v>
      </c>
      <c r="E1002" s="206" t="s">
        <v>1947</v>
      </c>
      <c r="F1002" s="195" t="s">
        <v>2198</v>
      </c>
      <c r="G1002" s="211" t="s">
        <v>43</v>
      </c>
      <c r="H1002" s="117" t="s">
        <v>750</v>
      </c>
      <c r="I1002" s="35"/>
      <c r="J1002" s="36"/>
      <c r="K1002" s="36"/>
      <c r="L1002" s="36"/>
      <c r="M1002" s="36"/>
      <c r="N1002" s="36"/>
      <c r="O1002" s="36"/>
      <c r="P1002" s="36"/>
      <c r="Q1002" s="36"/>
      <c r="R1002" s="36"/>
      <c r="S1002" s="36"/>
      <c r="T1002" s="36"/>
      <c r="U1002" s="36"/>
      <c r="V1002" s="36"/>
      <c r="W1002" s="36"/>
      <c r="X1002" s="36"/>
      <c r="Y1002" s="36"/>
      <c r="Z1002" s="36"/>
      <c r="AA1002" s="36"/>
      <c r="AB1002" s="36"/>
    </row>
    <row r="1003" spans="1:28" ht="60" hidden="1" customHeight="1">
      <c r="A1003" s="207" t="s">
        <v>2199</v>
      </c>
      <c r="B1003" s="117">
        <v>2015</v>
      </c>
      <c r="C1003" s="117" t="s">
        <v>130</v>
      </c>
      <c r="D1003" s="195" t="s">
        <v>2200</v>
      </c>
      <c r="E1003" s="206" t="s">
        <v>2087</v>
      </c>
      <c r="F1003" s="195" t="s">
        <v>2201</v>
      </c>
      <c r="G1003" s="211" t="s">
        <v>43</v>
      </c>
      <c r="H1003" s="117" t="s">
        <v>750</v>
      </c>
      <c r="I1003" s="35"/>
      <c r="J1003" s="36"/>
      <c r="K1003" s="36"/>
      <c r="L1003" s="36"/>
      <c r="M1003" s="36"/>
      <c r="N1003" s="36"/>
      <c r="O1003" s="36"/>
      <c r="P1003" s="36"/>
      <c r="Q1003" s="36"/>
      <c r="R1003" s="36"/>
      <c r="S1003" s="36"/>
      <c r="T1003" s="36"/>
      <c r="U1003" s="36"/>
      <c r="V1003" s="36"/>
      <c r="W1003" s="36"/>
      <c r="X1003" s="36"/>
      <c r="Y1003" s="36"/>
      <c r="Z1003" s="36"/>
      <c r="AA1003" s="36"/>
      <c r="AB1003" s="36"/>
    </row>
    <row r="1004" spans="1:28" ht="96" hidden="1" customHeight="1">
      <c r="A1004" s="207" t="s">
        <v>2202</v>
      </c>
      <c r="B1004" s="117">
        <v>2015</v>
      </c>
      <c r="C1004" s="117" t="s">
        <v>2064</v>
      </c>
      <c r="D1004" s="195" t="s">
        <v>2203</v>
      </c>
      <c r="E1004" s="206" t="s">
        <v>2204</v>
      </c>
      <c r="F1004" s="195" t="s">
        <v>2205</v>
      </c>
      <c r="G1004" s="211" t="s">
        <v>43</v>
      </c>
      <c r="H1004" s="117" t="s">
        <v>750</v>
      </c>
      <c r="I1004" s="35"/>
      <c r="J1004" s="36"/>
      <c r="K1004" s="36"/>
      <c r="L1004" s="36"/>
      <c r="M1004" s="36"/>
      <c r="N1004" s="36"/>
      <c r="O1004" s="36"/>
      <c r="P1004" s="36"/>
      <c r="Q1004" s="36"/>
      <c r="R1004" s="36"/>
      <c r="S1004" s="36"/>
      <c r="T1004" s="36"/>
      <c r="U1004" s="36"/>
      <c r="V1004" s="36"/>
      <c r="W1004" s="36"/>
      <c r="X1004" s="36"/>
      <c r="Y1004" s="36"/>
      <c r="Z1004" s="36"/>
      <c r="AA1004" s="36"/>
      <c r="AB1004" s="36"/>
    </row>
    <row r="1005" spans="1:28" ht="108" hidden="1" customHeight="1">
      <c r="A1005" s="207" t="s">
        <v>2206</v>
      </c>
      <c r="B1005" s="117">
        <v>2015</v>
      </c>
      <c r="C1005" s="201" t="s">
        <v>1337</v>
      </c>
      <c r="D1005" s="202" t="s">
        <v>2207</v>
      </c>
      <c r="E1005" s="201" t="s">
        <v>2208</v>
      </c>
      <c r="F1005" s="201" t="s">
        <v>2209</v>
      </c>
      <c r="G1005" s="206" t="s">
        <v>43</v>
      </c>
      <c r="H1005" s="117" t="s">
        <v>750</v>
      </c>
      <c r="I1005" s="35"/>
      <c r="J1005" s="36"/>
      <c r="K1005" s="36"/>
      <c r="L1005" s="36"/>
      <c r="M1005" s="36"/>
      <c r="N1005" s="36"/>
      <c r="O1005" s="36"/>
      <c r="P1005" s="36"/>
      <c r="Q1005" s="36"/>
      <c r="R1005" s="36"/>
      <c r="S1005" s="36"/>
      <c r="T1005" s="36"/>
      <c r="U1005" s="36"/>
      <c r="V1005" s="36"/>
      <c r="W1005" s="36"/>
      <c r="X1005" s="36"/>
      <c r="Y1005" s="36"/>
      <c r="Z1005" s="36"/>
      <c r="AA1005" s="36"/>
      <c r="AB1005" s="36"/>
    </row>
    <row r="1006" spans="1:28" ht="164.25" hidden="1" customHeight="1">
      <c r="A1006" s="207" t="s">
        <v>727</v>
      </c>
      <c r="B1006" s="117">
        <v>2016</v>
      </c>
      <c r="C1006" s="201" t="s">
        <v>2210</v>
      </c>
      <c r="D1006" s="202" t="s">
        <v>2211</v>
      </c>
      <c r="E1006" s="201" t="s">
        <v>2212</v>
      </c>
      <c r="F1006" s="201" t="s">
        <v>2213</v>
      </c>
      <c r="G1006" s="206" t="s">
        <v>43</v>
      </c>
      <c r="H1006" s="117" t="s">
        <v>750</v>
      </c>
      <c r="I1006" s="35"/>
      <c r="J1006" s="36"/>
      <c r="K1006" s="36"/>
      <c r="L1006" s="36"/>
      <c r="M1006" s="36"/>
      <c r="N1006" s="36"/>
      <c r="O1006" s="36"/>
      <c r="P1006" s="36"/>
      <c r="Q1006" s="36"/>
      <c r="R1006" s="36"/>
      <c r="S1006" s="36"/>
      <c r="T1006" s="36"/>
      <c r="U1006" s="36"/>
      <c r="V1006" s="36"/>
      <c r="W1006" s="36"/>
      <c r="X1006" s="36"/>
      <c r="Y1006" s="36"/>
      <c r="Z1006" s="36"/>
      <c r="AA1006" s="36"/>
      <c r="AB1006" s="36"/>
    </row>
    <row r="1007" spans="1:28" ht="132" hidden="1" customHeight="1">
      <c r="A1007" s="207" t="s">
        <v>2214</v>
      </c>
      <c r="B1007" s="117">
        <v>2017</v>
      </c>
      <c r="C1007" s="201" t="s">
        <v>2064</v>
      </c>
      <c r="D1007" s="202" t="s">
        <v>2215</v>
      </c>
      <c r="E1007" s="201" t="s">
        <v>2216</v>
      </c>
      <c r="F1007" s="201" t="s">
        <v>2217</v>
      </c>
      <c r="G1007" s="201" t="s">
        <v>43</v>
      </c>
      <c r="H1007" s="117" t="s">
        <v>750</v>
      </c>
      <c r="I1007" s="35"/>
      <c r="J1007" s="36"/>
      <c r="K1007" s="36"/>
      <c r="L1007" s="36"/>
      <c r="M1007" s="36"/>
      <c r="N1007" s="36"/>
      <c r="O1007" s="36"/>
      <c r="P1007" s="36"/>
      <c r="Q1007" s="36"/>
      <c r="R1007" s="36"/>
      <c r="S1007" s="36"/>
      <c r="T1007" s="36"/>
      <c r="U1007" s="36"/>
      <c r="V1007" s="36"/>
      <c r="W1007" s="36"/>
      <c r="X1007" s="36"/>
      <c r="Y1007" s="36"/>
      <c r="Z1007" s="36"/>
      <c r="AA1007" s="36"/>
      <c r="AB1007" s="36"/>
    </row>
    <row r="1008" spans="1:28" ht="96" hidden="1" customHeight="1">
      <c r="A1008" s="207" t="s">
        <v>2218</v>
      </c>
      <c r="B1008" s="117">
        <v>2017</v>
      </c>
      <c r="C1008" s="201" t="s">
        <v>2064</v>
      </c>
      <c r="D1008" s="202" t="s">
        <v>2160</v>
      </c>
      <c r="E1008" s="201" t="s">
        <v>2219</v>
      </c>
      <c r="F1008" s="201" t="s">
        <v>2220</v>
      </c>
      <c r="G1008" s="201" t="s">
        <v>43</v>
      </c>
      <c r="H1008" s="117" t="s">
        <v>750</v>
      </c>
      <c r="I1008" s="35"/>
      <c r="J1008" s="36"/>
      <c r="K1008" s="36"/>
      <c r="L1008" s="36"/>
      <c r="M1008" s="36"/>
      <c r="N1008" s="36"/>
      <c r="O1008" s="36"/>
      <c r="P1008" s="36"/>
      <c r="Q1008" s="36"/>
      <c r="R1008" s="36"/>
      <c r="S1008" s="36"/>
      <c r="T1008" s="36"/>
      <c r="U1008" s="36"/>
      <c r="V1008" s="36"/>
      <c r="W1008" s="36"/>
      <c r="X1008" s="36"/>
      <c r="Y1008" s="36"/>
      <c r="Z1008" s="36"/>
      <c r="AA1008" s="36"/>
      <c r="AB1008" s="36"/>
    </row>
    <row r="1009" spans="1:28" ht="108" hidden="1" customHeight="1">
      <c r="A1009" s="207" t="s">
        <v>1827</v>
      </c>
      <c r="B1009" s="206">
        <v>2018</v>
      </c>
      <c r="C1009" s="201" t="s">
        <v>2064</v>
      </c>
      <c r="D1009" s="231" t="s">
        <v>2221</v>
      </c>
      <c r="E1009" s="231" t="s">
        <v>2222</v>
      </c>
      <c r="F1009" s="201" t="s">
        <v>2223</v>
      </c>
      <c r="G1009" s="201" t="s">
        <v>43</v>
      </c>
      <c r="H1009" s="117" t="s">
        <v>750</v>
      </c>
      <c r="I1009" s="35"/>
      <c r="J1009" s="36"/>
      <c r="K1009" s="36"/>
      <c r="L1009" s="36"/>
      <c r="M1009" s="36"/>
      <c r="N1009" s="36"/>
      <c r="O1009" s="36"/>
      <c r="P1009" s="36"/>
      <c r="Q1009" s="36"/>
      <c r="R1009" s="36"/>
      <c r="S1009" s="36"/>
      <c r="T1009" s="36"/>
      <c r="U1009" s="36"/>
      <c r="V1009" s="36"/>
      <c r="W1009" s="36"/>
      <c r="X1009" s="36"/>
      <c r="Y1009" s="36"/>
      <c r="Z1009" s="36"/>
      <c r="AA1009" s="36"/>
      <c r="AB1009" s="36"/>
    </row>
    <row r="1010" spans="1:28" ht="99.75" hidden="1" customHeight="1">
      <c r="A1010" s="207" t="s">
        <v>2224</v>
      </c>
      <c r="B1010" s="117">
        <v>2018</v>
      </c>
      <c r="C1010" s="201" t="s">
        <v>2064</v>
      </c>
      <c r="D1010" s="202" t="s">
        <v>2225</v>
      </c>
      <c r="E1010" s="201" t="s">
        <v>2226</v>
      </c>
      <c r="F1010" s="201" t="s">
        <v>2227</v>
      </c>
      <c r="G1010" s="201" t="s">
        <v>43</v>
      </c>
      <c r="H1010" s="117" t="s">
        <v>750</v>
      </c>
      <c r="I1010" s="35"/>
      <c r="J1010" s="36"/>
      <c r="K1010" s="36"/>
      <c r="L1010" s="36"/>
      <c r="M1010" s="36"/>
      <c r="N1010" s="36"/>
      <c r="O1010" s="36"/>
      <c r="P1010" s="36"/>
      <c r="Q1010" s="36"/>
      <c r="R1010" s="36"/>
      <c r="S1010" s="36"/>
      <c r="T1010" s="36"/>
      <c r="U1010" s="36"/>
      <c r="V1010" s="36"/>
      <c r="W1010" s="36"/>
      <c r="X1010" s="36"/>
      <c r="Y1010" s="36"/>
      <c r="Z1010" s="36"/>
      <c r="AA1010" s="36"/>
      <c r="AB1010" s="36"/>
    </row>
    <row r="1011" spans="1:28" ht="204" hidden="1" customHeight="1">
      <c r="A1011" s="239" t="s">
        <v>1103</v>
      </c>
      <c r="B1011" s="117">
        <v>1991</v>
      </c>
      <c r="C1011" s="117" t="s">
        <v>405</v>
      </c>
      <c r="D1011" s="195" t="s">
        <v>406</v>
      </c>
      <c r="E1011" s="206" t="s">
        <v>2228</v>
      </c>
      <c r="F1011" s="195" t="s">
        <v>2229</v>
      </c>
      <c r="G1011" s="211" t="s">
        <v>43</v>
      </c>
      <c r="H1011" s="117" t="s">
        <v>2230</v>
      </c>
      <c r="I1011" s="35"/>
      <c r="J1011" s="36"/>
      <c r="K1011" s="36"/>
      <c r="L1011" s="36"/>
      <c r="M1011" s="36"/>
      <c r="N1011" s="36"/>
      <c r="O1011" s="36"/>
      <c r="P1011" s="36"/>
      <c r="Q1011" s="36"/>
      <c r="R1011" s="36"/>
      <c r="S1011" s="36"/>
      <c r="T1011" s="36"/>
      <c r="U1011" s="36"/>
      <c r="V1011" s="36"/>
      <c r="W1011" s="36"/>
      <c r="X1011" s="36"/>
      <c r="Y1011" s="36"/>
      <c r="Z1011" s="36"/>
      <c r="AA1011" s="36"/>
      <c r="AB1011" s="36"/>
    </row>
    <row r="1012" spans="1:28" ht="12" hidden="1" customHeight="1">
      <c r="A1012" s="207" t="s">
        <v>236</v>
      </c>
      <c r="B1012" s="117">
        <v>1887</v>
      </c>
      <c r="C1012" s="117" t="s">
        <v>238</v>
      </c>
      <c r="D1012" s="195" t="s">
        <v>1640</v>
      </c>
      <c r="E1012" s="206" t="s">
        <v>41</v>
      </c>
      <c r="F1012" s="117" t="s">
        <v>97</v>
      </c>
      <c r="G1012" s="211" t="s">
        <v>43</v>
      </c>
      <c r="H1012" s="117" t="s">
        <v>2230</v>
      </c>
      <c r="I1012" s="35"/>
      <c r="J1012" s="36"/>
      <c r="K1012" s="36"/>
      <c r="L1012" s="36"/>
      <c r="M1012" s="36"/>
      <c r="N1012" s="36"/>
      <c r="O1012" s="36"/>
      <c r="P1012" s="36"/>
      <c r="Q1012" s="36"/>
      <c r="R1012" s="36"/>
      <c r="S1012" s="36"/>
      <c r="T1012" s="36"/>
      <c r="U1012" s="36"/>
      <c r="V1012" s="36"/>
      <c r="W1012" s="36"/>
      <c r="X1012" s="36"/>
      <c r="Y1012" s="36"/>
      <c r="Z1012" s="36"/>
      <c r="AA1012" s="36"/>
      <c r="AB1012" s="36"/>
    </row>
    <row r="1013" spans="1:28" ht="48" hidden="1" customHeight="1">
      <c r="A1013" s="207" t="s">
        <v>1116</v>
      </c>
      <c r="B1013" s="117">
        <v>1991</v>
      </c>
      <c r="C1013" s="117" t="s">
        <v>507</v>
      </c>
      <c r="D1013" s="195" t="s">
        <v>2231</v>
      </c>
      <c r="E1013" s="206" t="s">
        <v>41</v>
      </c>
      <c r="F1013" s="117" t="s">
        <v>97</v>
      </c>
      <c r="G1013" s="211" t="s">
        <v>43</v>
      </c>
      <c r="H1013" s="117" t="s">
        <v>2230</v>
      </c>
      <c r="I1013" s="246"/>
      <c r="J1013" s="36"/>
      <c r="K1013" s="36"/>
      <c r="L1013" s="36"/>
      <c r="M1013" s="36"/>
      <c r="N1013" s="36"/>
      <c r="O1013" s="36"/>
      <c r="P1013" s="36"/>
      <c r="Q1013" s="36"/>
      <c r="R1013" s="36"/>
      <c r="S1013" s="36"/>
      <c r="T1013" s="36"/>
      <c r="U1013" s="36"/>
      <c r="V1013" s="36"/>
      <c r="W1013" s="36"/>
      <c r="X1013" s="36"/>
      <c r="Y1013" s="36"/>
      <c r="Z1013" s="36"/>
      <c r="AA1013" s="36"/>
      <c r="AB1013" s="36"/>
    </row>
    <row r="1014" spans="1:28" ht="24" hidden="1" customHeight="1">
      <c r="A1014" s="207" t="s">
        <v>245</v>
      </c>
      <c r="B1014" s="117">
        <v>1993</v>
      </c>
      <c r="C1014" s="117" t="s">
        <v>507</v>
      </c>
      <c r="D1014" s="195" t="s">
        <v>246</v>
      </c>
      <c r="E1014" s="206" t="s">
        <v>41</v>
      </c>
      <c r="F1014" s="117" t="s">
        <v>97</v>
      </c>
      <c r="G1014" s="211" t="s">
        <v>43</v>
      </c>
      <c r="H1014" s="117" t="s">
        <v>2230</v>
      </c>
      <c r="I1014" s="35"/>
      <c r="J1014" s="36"/>
      <c r="K1014" s="36"/>
      <c r="L1014" s="36"/>
      <c r="M1014" s="36"/>
      <c r="N1014" s="36"/>
      <c r="O1014" s="36"/>
      <c r="P1014" s="36"/>
      <c r="Q1014" s="36"/>
      <c r="R1014" s="36"/>
      <c r="S1014" s="36"/>
      <c r="T1014" s="36"/>
      <c r="U1014" s="36"/>
      <c r="V1014" s="36"/>
      <c r="W1014" s="36"/>
      <c r="X1014" s="36"/>
      <c r="Y1014" s="36"/>
      <c r="Z1014" s="36"/>
      <c r="AA1014" s="36"/>
      <c r="AB1014" s="36"/>
    </row>
    <row r="1015" spans="1:28" ht="12" hidden="1" customHeight="1">
      <c r="A1015" s="207" t="s">
        <v>247</v>
      </c>
      <c r="B1015" s="117">
        <v>1993</v>
      </c>
      <c r="C1015" s="117" t="s">
        <v>507</v>
      </c>
      <c r="D1015" s="195" t="s">
        <v>2232</v>
      </c>
      <c r="E1015" s="206" t="s">
        <v>41</v>
      </c>
      <c r="F1015" s="117" t="s">
        <v>97</v>
      </c>
      <c r="G1015" s="211" t="s">
        <v>43</v>
      </c>
      <c r="H1015" s="117" t="s">
        <v>2230</v>
      </c>
      <c r="I1015" s="35"/>
      <c r="J1015" s="36"/>
      <c r="K1015" s="36"/>
      <c r="L1015" s="36"/>
      <c r="M1015" s="36"/>
      <c r="N1015" s="36"/>
      <c r="O1015" s="36"/>
      <c r="P1015" s="36"/>
      <c r="Q1015" s="36"/>
      <c r="R1015" s="36"/>
      <c r="S1015" s="36"/>
      <c r="T1015" s="36"/>
      <c r="U1015" s="36"/>
      <c r="V1015" s="36"/>
      <c r="W1015" s="36"/>
      <c r="X1015" s="36"/>
      <c r="Y1015" s="36"/>
      <c r="Z1015" s="36"/>
      <c r="AA1015" s="36"/>
      <c r="AB1015" s="36"/>
    </row>
    <row r="1016" spans="1:28" ht="36" hidden="1" customHeight="1">
      <c r="A1016" s="207" t="s">
        <v>1497</v>
      </c>
      <c r="B1016" s="117">
        <v>1995</v>
      </c>
      <c r="C1016" s="117" t="s">
        <v>1619</v>
      </c>
      <c r="D1016" s="195" t="s">
        <v>2233</v>
      </c>
      <c r="E1016" s="206" t="s">
        <v>2234</v>
      </c>
      <c r="F1016" s="117" t="s">
        <v>97</v>
      </c>
      <c r="G1016" s="211" t="s">
        <v>43</v>
      </c>
      <c r="H1016" s="117" t="s">
        <v>2230</v>
      </c>
      <c r="I1016" s="35"/>
      <c r="J1016" s="36"/>
      <c r="K1016" s="36"/>
      <c r="L1016" s="36"/>
      <c r="M1016" s="36"/>
      <c r="N1016" s="36"/>
      <c r="O1016" s="36"/>
      <c r="P1016" s="36"/>
      <c r="Q1016" s="36"/>
      <c r="R1016" s="36"/>
      <c r="S1016" s="36"/>
      <c r="T1016" s="36"/>
      <c r="U1016" s="36"/>
      <c r="V1016" s="36"/>
      <c r="W1016" s="36"/>
      <c r="X1016" s="36"/>
      <c r="Y1016" s="36"/>
      <c r="Z1016" s="36"/>
      <c r="AA1016" s="36"/>
      <c r="AB1016" s="36"/>
    </row>
    <row r="1017" spans="1:28" ht="12" hidden="1" customHeight="1">
      <c r="A1017" s="207" t="s">
        <v>2235</v>
      </c>
      <c r="B1017" s="117">
        <v>1996</v>
      </c>
      <c r="C1017" s="117" t="s">
        <v>507</v>
      </c>
      <c r="D1017" s="195" t="s">
        <v>2236</v>
      </c>
      <c r="E1017" s="206" t="s">
        <v>41</v>
      </c>
      <c r="F1017" s="117" t="s">
        <v>97</v>
      </c>
      <c r="G1017" s="211" t="s">
        <v>43</v>
      </c>
      <c r="H1017" s="117" t="s">
        <v>2230</v>
      </c>
      <c r="I1017" s="35"/>
      <c r="J1017" s="36"/>
      <c r="K1017" s="36"/>
      <c r="L1017" s="36"/>
      <c r="M1017" s="36"/>
      <c r="N1017" s="36"/>
      <c r="O1017" s="36"/>
      <c r="P1017" s="36"/>
      <c r="Q1017" s="36"/>
      <c r="R1017" s="36"/>
      <c r="S1017" s="36"/>
      <c r="T1017" s="36"/>
      <c r="U1017" s="36"/>
      <c r="V1017" s="36"/>
      <c r="W1017" s="36"/>
      <c r="X1017" s="36"/>
      <c r="Y1017" s="36"/>
      <c r="Z1017" s="36"/>
      <c r="AA1017" s="36"/>
      <c r="AB1017" s="36"/>
    </row>
    <row r="1018" spans="1:28" ht="24" hidden="1" customHeight="1">
      <c r="A1018" s="207" t="s">
        <v>2237</v>
      </c>
      <c r="B1018" s="117">
        <v>1997</v>
      </c>
      <c r="C1018" s="117" t="s">
        <v>507</v>
      </c>
      <c r="D1018" s="195" t="s">
        <v>477</v>
      </c>
      <c r="E1018" s="206" t="s">
        <v>41</v>
      </c>
      <c r="F1018" s="117" t="s">
        <v>97</v>
      </c>
      <c r="G1018" s="211" t="s">
        <v>43</v>
      </c>
      <c r="H1018" s="117" t="s">
        <v>2230</v>
      </c>
      <c r="I1018" s="35"/>
      <c r="J1018" s="36"/>
      <c r="K1018" s="36"/>
      <c r="L1018" s="36"/>
      <c r="M1018" s="36"/>
      <c r="N1018" s="36"/>
      <c r="O1018" s="36"/>
      <c r="P1018" s="36"/>
      <c r="Q1018" s="36"/>
      <c r="R1018" s="36"/>
      <c r="S1018" s="36"/>
      <c r="T1018" s="36"/>
      <c r="U1018" s="36"/>
      <c r="V1018" s="36"/>
      <c r="W1018" s="36"/>
      <c r="X1018" s="36"/>
      <c r="Y1018" s="36"/>
      <c r="Z1018" s="36"/>
      <c r="AA1018" s="36"/>
      <c r="AB1018" s="36"/>
    </row>
    <row r="1019" spans="1:28" ht="72" hidden="1" customHeight="1">
      <c r="A1019" s="207" t="s">
        <v>2238</v>
      </c>
      <c r="B1019" s="117">
        <v>1998</v>
      </c>
      <c r="C1019" s="117" t="s">
        <v>507</v>
      </c>
      <c r="D1019" s="195" t="s">
        <v>2239</v>
      </c>
      <c r="E1019" s="206" t="s">
        <v>41</v>
      </c>
      <c r="F1019" s="117" t="s">
        <v>97</v>
      </c>
      <c r="G1019" s="211" t="s">
        <v>43</v>
      </c>
      <c r="H1019" s="117" t="s">
        <v>2230</v>
      </c>
      <c r="I1019" s="35"/>
      <c r="J1019" s="36"/>
      <c r="K1019" s="36"/>
      <c r="L1019" s="36"/>
      <c r="M1019" s="36"/>
      <c r="N1019" s="36"/>
      <c r="O1019" s="36"/>
      <c r="P1019" s="36"/>
      <c r="Q1019" s="36"/>
      <c r="R1019" s="36"/>
      <c r="S1019" s="36"/>
      <c r="T1019" s="36"/>
      <c r="U1019" s="36"/>
      <c r="V1019" s="36"/>
      <c r="W1019" s="36"/>
      <c r="X1019" s="36"/>
      <c r="Y1019" s="36"/>
      <c r="Z1019" s="36"/>
      <c r="AA1019" s="36"/>
      <c r="AB1019" s="36"/>
    </row>
    <row r="1020" spans="1:28" ht="24" hidden="1" customHeight="1">
      <c r="A1020" s="207" t="s">
        <v>2240</v>
      </c>
      <c r="B1020" s="117">
        <v>1998</v>
      </c>
      <c r="C1020" s="117" t="s">
        <v>507</v>
      </c>
      <c r="D1020" s="195" t="s">
        <v>759</v>
      </c>
      <c r="E1020" s="206" t="s">
        <v>41</v>
      </c>
      <c r="F1020" s="117" t="s">
        <v>97</v>
      </c>
      <c r="G1020" s="211" t="s">
        <v>43</v>
      </c>
      <c r="H1020" s="117" t="s">
        <v>2230</v>
      </c>
      <c r="I1020" s="35"/>
      <c r="J1020" s="36"/>
      <c r="K1020" s="36"/>
      <c r="L1020" s="36"/>
      <c r="M1020" s="36"/>
      <c r="N1020" s="36"/>
      <c r="O1020" s="36"/>
      <c r="P1020" s="36"/>
      <c r="Q1020" s="36"/>
      <c r="R1020" s="36"/>
      <c r="S1020" s="36"/>
      <c r="T1020" s="36"/>
      <c r="U1020" s="36"/>
      <c r="V1020" s="36"/>
      <c r="W1020" s="36"/>
      <c r="X1020" s="36"/>
      <c r="Y1020" s="36"/>
      <c r="Z1020" s="36"/>
      <c r="AA1020" s="36"/>
      <c r="AB1020" s="36"/>
    </row>
    <row r="1021" spans="1:28" ht="84" hidden="1" customHeight="1">
      <c r="A1021" s="207" t="s">
        <v>264</v>
      </c>
      <c r="B1021" s="117">
        <v>1998</v>
      </c>
      <c r="C1021" s="117" t="s">
        <v>507</v>
      </c>
      <c r="D1021" s="195" t="s">
        <v>2241</v>
      </c>
      <c r="E1021" s="206" t="s">
        <v>41</v>
      </c>
      <c r="F1021" s="117" t="s">
        <v>97</v>
      </c>
      <c r="G1021" s="211" t="s">
        <v>43</v>
      </c>
      <c r="H1021" s="117" t="s">
        <v>2230</v>
      </c>
      <c r="I1021" s="246"/>
      <c r="J1021" s="36"/>
      <c r="K1021" s="36"/>
      <c r="L1021" s="36"/>
      <c r="M1021" s="36"/>
      <c r="N1021" s="36"/>
      <c r="O1021" s="36"/>
      <c r="P1021" s="36"/>
      <c r="Q1021" s="36"/>
      <c r="R1021" s="36"/>
      <c r="S1021" s="36"/>
      <c r="T1021" s="36"/>
      <c r="U1021" s="36"/>
      <c r="V1021" s="36"/>
      <c r="W1021" s="36"/>
      <c r="X1021" s="36"/>
      <c r="Y1021" s="36"/>
      <c r="Z1021" s="36"/>
      <c r="AA1021" s="36"/>
      <c r="AB1021" s="36"/>
    </row>
    <row r="1022" spans="1:28" ht="60" hidden="1" customHeight="1">
      <c r="A1022" s="207" t="s">
        <v>1645</v>
      </c>
      <c r="B1022" s="117">
        <v>2000</v>
      </c>
      <c r="C1022" s="117" t="s">
        <v>1619</v>
      </c>
      <c r="D1022" s="195" t="s">
        <v>2242</v>
      </c>
      <c r="E1022" s="247" t="s">
        <v>2243</v>
      </c>
      <c r="F1022" s="117" t="s">
        <v>97</v>
      </c>
      <c r="G1022" s="211" t="s">
        <v>43</v>
      </c>
      <c r="H1022" s="117" t="s">
        <v>2230</v>
      </c>
      <c r="I1022" s="248"/>
      <c r="J1022" s="36"/>
      <c r="K1022" s="36"/>
      <c r="L1022" s="36"/>
      <c r="M1022" s="36"/>
      <c r="N1022" s="36"/>
      <c r="O1022" s="36"/>
      <c r="P1022" s="36"/>
      <c r="Q1022" s="36"/>
      <c r="R1022" s="36"/>
      <c r="S1022" s="36"/>
      <c r="T1022" s="36"/>
      <c r="U1022" s="36"/>
      <c r="V1022" s="36"/>
      <c r="W1022" s="36"/>
      <c r="X1022" s="36"/>
      <c r="Y1022" s="36"/>
      <c r="Z1022" s="36"/>
      <c r="AA1022" s="36"/>
      <c r="AB1022" s="36"/>
    </row>
    <row r="1023" spans="1:28" ht="12" hidden="1" customHeight="1">
      <c r="A1023" s="207" t="s">
        <v>1921</v>
      </c>
      <c r="B1023" s="117">
        <v>2000</v>
      </c>
      <c r="C1023" s="117" t="s">
        <v>507</v>
      </c>
      <c r="D1023" s="195" t="s">
        <v>2244</v>
      </c>
      <c r="E1023" s="206" t="s">
        <v>41</v>
      </c>
      <c r="F1023" s="117" t="s">
        <v>97</v>
      </c>
      <c r="G1023" s="211" t="s">
        <v>43</v>
      </c>
      <c r="H1023" s="117" t="s">
        <v>2230</v>
      </c>
      <c r="I1023" s="35"/>
      <c r="J1023" s="36"/>
      <c r="K1023" s="36"/>
      <c r="L1023" s="36"/>
      <c r="M1023" s="36"/>
      <c r="N1023" s="36"/>
      <c r="O1023" s="36"/>
      <c r="P1023" s="36"/>
      <c r="Q1023" s="36"/>
      <c r="R1023" s="36"/>
      <c r="S1023" s="36"/>
      <c r="T1023" s="36"/>
      <c r="U1023" s="36"/>
      <c r="V1023" s="36"/>
      <c r="W1023" s="36"/>
      <c r="X1023" s="36"/>
      <c r="Y1023" s="36"/>
      <c r="Z1023" s="36"/>
      <c r="AA1023" s="36"/>
      <c r="AB1023" s="36"/>
    </row>
    <row r="1024" spans="1:28" ht="48" hidden="1" customHeight="1">
      <c r="A1024" s="207" t="s">
        <v>2245</v>
      </c>
      <c r="B1024" s="117">
        <v>2001</v>
      </c>
      <c r="C1024" s="117" t="s">
        <v>507</v>
      </c>
      <c r="D1024" s="195" t="s">
        <v>2246</v>
      </c>
      <c r="E1024" s="206" t="s">
        <v>41</v>
      </c>
      <c r="F1024" s="117" t="s">
        <v>97</v>
      </c>
      <c r="G1024" s="211" t="s">
        <v>43</v>
      </c>
      <c r="H1024" s="117" t="s">
        <v>2230</v>
      </c>
      <c r="I1024" s="35"/>
      <c r="J1024" s="36"/>
      <c r="K1024" s="36"/>
      <c r="L1024" s="36"/>
      <c r="M1024" s="36"/>
      <c r="N1024" s="36"/>
      <c r="O1024" s="36"/>
      <c r="P1024" s="36"/>
      <c r="Q1024" s="36"/>
      <c r="R1024" s="36"/>
      <c r="S1024" s="36"/>
      <c r="T1024" s="36"/>
      <c r="U1024" s="36"/>
      <c r="V1024" s="36"/>
      <c r="W1024" s="36"/>
      <c r="X1024" s="36"/>
      <c r="Y1024" s="36"/>
      <c r="Z1024" s="36"/>
      <c r="AA1024" s="36"/>
      <c r="AB1024" s="36"/>
    </row>
    <row r="1025" spans="1:28" ht="12" hidden="1" customHeight="1">
      <c r="A1025" s="207" t="s">
        <v>2247</v>
      </c>
      <c r="B1025" s="117">
        <v>2001</v>
      </c>
      <c r="C1025" s="117" t="s">
        <v>507</v>
      </c>
      <c r="D1025" s="195" t="s">
        <v>2248</v>
      </c>
      <c r="E1025" s="206" t="s">
        <v>41</v>
      </c>
      <c r="F1025" s="117" t="s">
        <v>97</v>
      </c>
      <c r="G1025" s="211" t="s">
        <v>43</v>
      </c>
      <c r="H1025" s="117" t="s">
        <v>2230</v>
      </c>
      <c r="I1025" s="35"/>
      <c r="J1025" s="36"/>
      <c r="K1025" s="36"/>
      <c r="L1025" s="36"/>
      <c r="M1025" s="36"/>
      <c r="N1025" s="36"/>
      <c r="O1025" s="36"/>
      <c r="P1025" s="36"/>
      <c r="Q1025" s="36"/>
      <c r="R1025" s="36"/>
      <c r="S1025" s="36"/>
      <c r="T1025" s="36"/>
      <c r="U1025" s="36"/>
      <c r="V1025" s="36"/>
      <c r="W1025" s="36"/>
      <c r="X1025" s="36"/>
      <c r="Y1025" s="36"/>
      <c r="Z1025" s="36"/>
      <c r="AA1025" s="36"/>
      <c r="AB1025" s="36"/>
    </row>
    <row r="1026" spans="1:28" ht="12" hidden="1" customHeight="1">
      <c r="A1026" s="214" t="s">
        <v>1867</v>
      </c>
      <c r="B1026" s="117">
        <v>2002</v>
      </c>
      <c r="C1026" s="197" t="s">
        <v>39</v>
      </c>
      <c r="D1026" s="195" t="s">
        <v>489</v>
      </c>
      <c r="E1026" s="206" t="s">
        <v>41</v>
      </c>
      <c r="F1026" s="117" t="s">
        <v>97</v>
      </c>
      <c r="G1026" s="211" t="s">
        <v>43</v>
      </c>
      <c r="H1026" s="117" t="s">
        <v>2230</v>
      </c>
      <c r="I1026" s="35"/>
      <c r="J1026" s="36"/>
      <c r="K1026" s="36"/>
      <c r="L1026" s="36"/>
      <c r="M1026" s="36"/>
      <c r="N1026" s="36"/>
      <c r="O1026" s="36"/>
      <c r="P1026" s="36"/>
      <c r="Q1026" s="36"/>
      <c r="R1026" s="36"/>
      <c r="S1026" s="36"/>
      <c r="T1026" s="36"/>
      <c r="U1026" s="36"/>
      <c r="V1026" s="36"/>
      <c r="W1026" s="36"/>
      <c r="X1026" s="36"/>
      <c r="Y1026" s="36"/>
      <c r="Z1026" s="36"/>
      <c r="AA1026" s="36"/>
      <c r="AB1026" s="36"/>
    </row>
    <row r="1027" spans="1:28" ht="36" hidden="1" customHeight="1">
      <c r="A1027" s="207" t="s">
        <v>2249</v>
      </c>
      <c r="B1027" s="117">
        <v>2003</v>
      </c>
      <c r="C1027" s="117" t="s">
        <v>507</v>
      </c>
      <c r="D1027" s="195" t="s">
        <v>494</v>
      </c>
      <c r="E1027" s="206" t="s">
        <v>41</v>
      </c>
      <c r="F1027" s="117" t="s">
        <v>97</v>
      </c>
      <c r="G1027" s="211" t="s">
        <v>43</v>
      </c>
      <c r="H1027" s="117" t="s">
        <v>2230</v>
      </c>
      <c r="I1027" s="35"/>
      <c r="J1027" s="36"/>
      <c r="K1027" s="36"/>
      <c r="L1027" s="36"/>
      <c r="M1027" s="36"/>
      <c r="N1027" s="36"/>
      <c r="O1027" s="36"/>
      <c r="P1027" s="36"/>
      <c r="Q1027" s="36"/>
      <c r="R1027" s="36"/>
      <c r="S1027" s="36"/>
      <c r="T1027" s="36"/>
      <c r="U1027" s="36"/>
      <c r="V1027" s="36"/>
      <c r="W1027" s="36"/>
      <c r="X1027" s="36"/>
      <c r="Y1027" s="36"/>
      <c r="Z1027" s="36"/>
      <c r="AA1027" s="36"/>
      <c r="AB1027" s="36"/>
    </row>
    <row r="1028" spans="1:28" ht="60" hidden="1" customHeight="1">
      <c r="A1028" s="207" t="s">
        <v>2250</v>
      </c>
      <c r="B1028" s="117">
        <v>2004</v>
      </c>
      <c r="C1028" s="117" t="s">
        <v>507</v>
      </c>
      <c r="D1028" s="195" t="s">
        <v>2251</v>
      </c>
      <c r="E1028" s="206" t="s">
        <v>41</v>
      </c>
      <c r="F1028" s="117" t="s">
        <v>97</v>
      </c>
      <c r="G1028" s="211" t="s">
        <v>43</v>
      </c>
      <c r="H1028" s="117" t="s">
        <v>2230</v>
      </c>
      <c r="I1028" s="35"/>
      <c r="J1028" s="36"/>
      <c r="K1028" s="36"/>
      <c r="L1028" s="36"/>
      <c r="M1028" s="36"/>
      <c r="N1028" s="36"/>
      <c r="O1028" s="36"/>
      <c r="P1028" s="36"/>
      <c r="Q1028" s="36"/>
      <c r="R1028" s="36"/>
      <c r="S1028" s="36"/>
      <c r="T1028" s="36"/>
      <c r="U1028" s="36"/>
      <c r="V1028" s="36"/>
      <c r="W1028" s="36"/>
      <c r="X1028" s="36"/>
      <c r="Y1028" s="36"/>
      <c r="Z1028" s="36"/>
      <c r="AA1028" s="36"/>
      <c r="AB1028" s="36"/>
    </row>
    <row r="1029" spans="1:28" ht="84" hidden="1" customHeight="1">
      <c r="A1029" s="207" t="s">
        <v>2252</v>
      </c>
      <c r="B1029" s="117">
        <v>2005</v>
      </c>
      <c r="C1029" s="117" t="s">
        <v>507</v>
      </c>
      <c r="D1029" s="195" t="s">
        <v>2253</v>
      </c>
      <c r="E1029" s="206" t="s">
        <v>41</v>
      </c>
      <c r="F1029" s="117" t="s">
        <v>97</v>
      </c>
      <c r="G1029" s="211" t="s">
        <v>43</v>
      </c>
      <c r="H1029" s="117" t="s">
        <v>2230</v>
      </c>
      <c r="I1029" s="35"/>
      <c r="J1029" s="36"/>
      <c r="K1029" s="36"/>
      <c r="L1029" s="36"/>
      <c r="M1029" s="36"/>
      <c r="N1029" s="36"/>
      <c r="O1029" s="36"/>
      <c r="P1029" s="36"/>
      <c r="Q1029" s="36"/>
      <c r="R1029" s="36"/>
      <c r="S1029" s="36"/>
      <c r="T1029" s="36"/>
      <c r="U1029" s="36"/>
      <c r="V1029" s="36"/>
      <c r="W1029" s="36"/>
      <c r="X1029" s="36"/>
      <c r="Y1029" s="36"/>
      <c r="Z1029" s="36"/>
      <c r="AA1029" s="36"/>
      <c r="AB1029" s="36"/>
    </row>
    <row r="1030" spans="1:28" ht="84" hidden="1" customHeight="1">
      <c r="A1030" s="207" t="s">
        <v>977</v>
      </c>
      <c r="B1030" s="117">
        <v>2005</v>
      </c>
      <c r="C1030" s="117" t="s">
        <v>507</v>
      </c>
      <c r="D1030" s="195" t="s">
        <v>2254</v>
      </c>
      <c r="E1030" s="206" t="s">
        <v>41</v>
      </c>
      <c r="F1030" s="117" t="s">
        <v>97</v>
      </c>
      <c r="G1030" s="211" t="s">
        <v>43</v>
      </c>
      <c r="H1030" s="117" t="s">
        <v>2230</v>
      </c>
      <c r="I1030" s="35"/>
      <c r="J1030" s="36"/>
      <c r="K1030" s="36"/>
      <c r="L1030" s="36"/>
      <c r="M1030" s="36"/>
      <c r="N1030" s="36"/>
      <c r="O1030" s="36"/>
      <c r="P1030" s="36"/>
      <c r="Q1030" s="36"/>
      <c r="R1030" s="36"/>
      <c r="S1030" s="36"/>
      <c r="T1030" s="36"/>
      <c r="U1030" s="36"/>
      <c r="V1030" s="36"/>
      <c r="W1030" s="36"/>
      <c r="X1030" s="36"/>
      <c r="Y1030" s="36"/>
      <c r="Z1030" s="36"/>
      <c r="AA1030" s="36"/>
      <c r="AB1030" s="36"/>
    </row>
    <row r="1031" spans="1:28" ht="24" hidden="1" customHeight="1">
      <c r="A1031" s="207" t="s">
        <v>2255</v>
      </c>
      <c r="B1031" s="117">
        <v>2006</v>
      </c>
      <c r="C1031" s="117" t="s">
        <v>507</v>
      </c>
      <c r="D1031" s="195" t="s">
        <v>766</v>
      </c>
      <c r="E1031" s="206" t="s">
        <v>41</v>
      </c>
      <c r="F1031" s="117" t="s">
        <v>97</v>
      </c>
      <c r="G1031" s="211" t="s">
        <v>43</v>
      </c>
      <c r="H1031" s="117" t="s">
        <v>2230</v>
      </c>
      <c r="I1031" s="35"/>
      <c r="J1031" s="36"/>
      <c r="K1031" s="36"/>
      <c r="L1031" s="36"/>
      <c r="M1031" s="36"/>
      <c r="N1031" s="36"/>
      <c r="O1031" s="36"/>
      <c r="P1031" s="36"/>
      <c r="Q1031" s="36"/>
      <c r="R1031" s="36"/>
      <c r="S1031" s="36"/>
      <c r="T1031" s="36"/>
      <c r="U1031" s="36"/>
      <c r="V1031" s="36"/>
      <c r="W1031" s="36"/>
      <c r="X1031" s="36"/>
      <c r="Y1031" s="36"/>
      <c r="Z1031" s="36"/>
      <c r="AA1031" s="36"/>
      <c r="AB1031" s="36"/>
    </row>
    <row r="1032" spans="1:28" ht="48" hidden="1" customHeight="1">
      <c r="A1032" s="207" t="s">
        <v>275</v>
      </c>
      <c r="B1032" s="117">
        <v>2007</v>
      </c>
      <c r="C1032" s="117" t="s">
        <v>507</v>
      </c>
      <c r="D1032" s="195" t="s">
        <v>2256</v>
      </c>
      <c r="E1032" s="206" t="s">
        <v>41</v>
      </c>
      <c r="F1032" s="117" t="s">
        <v>97</v>
      </c>
      <c r="G1032" s="211" t="s">
        <v>43</v>
      </c>
      <c r="H1032" s="117" t="s">
        <v>2230</v>
      </c>
      <c r="I1032" s="35"/>
      <c r="J1032" s="36"/>
      <c r="K1032" s="36"/>
      <c r="L1032" s="36"/>
      <c r="M1032" s="36"/>
      <c r="N1032" s="36"/>
      <c r="O1032" s="36"/>
      <c r="P1032" s="36"/>
      <c r="Q1032" s="36"/>
      <c r="R1032" s="36"/>
      <c r="S1032" s="36"/>
      <c r="T1032" s="36"/>
      <c r="U1032" s="36"/>
      <c r="V1032" s="36"/>
      <c r="W1032" s="36"/>
      <c r="X1032" s="36"/>
      <c r="Y1032" s="36"/>
      <c r="Z1032" s="36"/>
      <c r="AA1032" s="36"/>
      <c r="AB1032" s="36"/>
    </row>
    <row r="1033" spans="1:28" ht="24" hidden="1" customHeight="1">
      <c r="A1033" s="207" t="s">
        <v>2257</v>
      </c>
      <c r="B1033" s="117">
        <v>2009</v>
      </c>
      <c r="C1033" s="117" t="s">
        <v>507</v>
      </c>
      <c r="D1033" s="195" t="s">
        <v>2258</v>
      </c>
      <c r="E1033" s="206" t="s">
        <v>41</v>
      </c>
      <c r="F1033" s="117" t="s">
        <v>97</v>
      </c>
      <c r="G1033" s="211" t="s">
        <v>43</v>
      </c>
      <c r="H1033" s="117" t="s">
        <v>2230</v>
      </c>
      <c r="I1033" s="35"/>
      <c r="J1033" s="36"/>
      <c r="K1033" s="36"/>
      <c r="L1033" s="36"/>
      <c r="M1033" s="36"/>
      <c r="N1033" s="36"/>
      <c r="O1033" s="36"/>
      <c r="P1033" s="36"/>
      <c r="Q1033" s="36"/>
      <c r="R1033" s="36"/>
      <c r="S1033" s="36"/>
      <c r="T1033" s="36"/>
      <c r="U1033" s="36"/>
      <c r="V1033" s="36"/>
      <c r="W1033" s="36"/>
      <c r="X1033" s="36"/>
      <c r="Y1033" s="36"/>
      <c r="Z1033" s="36"/>
      <c r="AA1033" s="36"/>
      <c r="AB1033" s="36"/>
    </row>
    <row r="1034" spans="1:28" ht="24" hidden="1" customHeight="1">
      <c r="A1034" s="207" t="s">
        <v>280</v>
      </c>
      <c r="B1034" s="117">
        <v>2011</v>
      </c>
      <c r="C1034" s="117" t="s">
        <v>507</v>
      </c>
      <c r="D1034" s="195" t="s">
        <v>2259</v>
      </c>
      <c r="E1034" s="206" t="s">
        <v>41</v>
      </c>
      <c r="F1034" s="117" t="s">
        <v>97</v>
      </c>
      <c r="G1034" s="211" t="s">
        <v>43</v>
      </c>
      <c r="H1034" s="117" t="s">
        <v>2230</v>
      </c>
      <c r="I1034" s="35"/>
      <c r="J1034" s="36"/>
      <c r="K1034" s="36"/>
      <c r="L1034" s="36"/>
      <c r="M1034" s="36"/>
      <c r="N1034" s="36"/>
      <c r="O1034" s="36"/>
      <c r="P1034" s="36"/>
      <c r="Q1034" s="36"/>
      <c r="R1034" s="36"/>
      <c r="S1034" s="36"/>
      <c r="T1034" s="36"/>
      <c r="U1034" s="36"/>
      <c r="V1034" s="36"/>
      <c r="W1034" s="36"/>
      <c r="X1034" s="36"/>
      <c r="Y1034" s="36"/>
      <c r="Z1034" s="36"/>
      <c r="AA1034" s="36"/>
      <c r="AB1034" s="36"/>
    </row>
    <row r="1035" spans="1:28" ht="60" hidden="1" customHeight="1">
      <c r="A1035" s="207" t="s">
        <v>286</v>
      </c>
      <c r="B1035" s="117">
        <v>2011</v>
      </c>
      <c r="C1035" s="117" t="s">
        <v>507</v>
      </c>
      <c r="D1035" s="195" t="s">
        <v>2260</v>
      </c>
      <c r="E1035" s="206" t="s">
        <v>41</v>
      </c>
      <c r="F1035" s="117" t="s">
        <v>97</v>
      </c>
      <c r="G1035" s="211" t="s">
        <v>43</v>
      </c>
      <c r="H1035" s="117" t="s">
        <v>2230</v>
      </c>
      <c r="I1035" s="35"/>
      <c r="J1035" s="36"/>
      <c r="K1035" s="36"/>
      <c r="L1035" s="36"/>
      <c r="M1035" s="36"/>
      <c r="N1035" s="36"/>
      <c r="O1035" s="36"/>
      <c r="P1035" s="36"/>
      <c r="Q1035" s="36"/>
      <c r="R1035" s="36"/>
      <c r="S1035" s="36"/>
      <c r="T1035" s="36"/>
      <c r="U1035" s="36"/>
      <c r="V1035" s="36"/>
      <c r="W1035" s="36"/>
      <c r="X1035" s="36"/>
      <c r="Y1035" s="36"/>
      <c r="Z1035" s="36"/>
      <c r="AA1035" s="36"/>
      <c r="AB1035" s="36"/>
    </row>
    <row r="1036" spans="1:28" ht="60" hidden="1" customHeight="1">
      <c r="A1036" s="207" t="s">
        <v>290</v>
      </c>
      <c r="B1036" s="117">
        <v>2012</v>
      </c>
      <c r="C1036" s="117" t="s">
        <v>507</v>
      </c>
      <c r="D1036" s="195" t="s">
        <v>2261</v>
      </c>
      <c r="E1036" s="206" t="s">
        <v>41</v>
      </c>
      <c r="F1036" s="117" t="s">
        <v>97</v>
      </c>
      <c r="G1036" s="211" t="s">
        <v>43</v>
      </c>
      <c r="H1036" s="117" t="s">
        <v>2230</v>
      </c>
      <c r="I1036" s="35"/>
      <c r="J1036" s="36"/>
      <c r="K1036" s="36"/>
      <c r="L1036" s="36"/>
      <c r="M1036" s="36"/>
      <c r="N1036" s="36"/>
      <c r="O1036" s="36"/>
      <c r="P1036" s="36"/>
      <c r="Q1036" s="36"/>
      <c r="R1036" s="36"/>
      <c r="S1036" s="36"/>
      <c r="T1036" s="36"/>
      <c r="U1036" s="36"/>
      <c r="V1036" s="36"/>
      <c r="W1036" s="36"/>
      <c r="X1036" s="36"/>
      <c r="Y1036" s="36"/>
      <c r="Z1036" s="36"/>
      <c r="AA1036" s="36"/>
      <c r="AB1036" s="36"/>
    </row>
    <row r="1037" spans="1:28" ht="24" hidden="1" customHeight="1">
      <c r="A1037" s="207" t="s">
        <v>2262</v>
      </c>
      <c r="B1037" s="117">
        <v>2012</v>
      </c>
      <c r="C1037" s="117" t="s">
        <v>507</v>
      </c>
      <c r="D1037" s="195" t="s">
        <v>416</v>
      </c>
      <c r="E1037" s="206" t="s">
        <v>41</v>
      </c>
      <c r="F1037" s="117" t="s">
        <v>97</v>
      </c>
      <c r="G1037" s="211" t="s">
        <v>43</v>
      </c>
      <c r="H1037" s="117" t="s">
        <v>2230</v>
      </c>
      <c r="I1037" s="35"/>
      <c r="J1037" s="36"/>
      <c r="K1037" s="36"/>
      <c r="L1037" s="36"/>
      <c r="M1037" s="36"/>
      <c r="N1037" s="36"/>
      <c r="O1037" s="36"/>
      <c r="P1037" s="36"/>
      <c r="Q1037" s="36"/>
      <c r="R1037" s="36"/>
      <c r="S1037" s="36"/>
      <c r="T1037" s="36"/>
      <c r="U1037" s="36"/>
      <c r="V1037" s="36"/>
      <c r="W1037" s="36"/>
      <c r="X1037" s="36"/>
      <c r="Y1037" s="36"/>
      <c r="Z1037" s="36"/>
      <c r="AA1037" s="36"/>
      <c r="AB1037" s="36"/>
    </row>
    <row r="1038" spans="1:28" ht="19.5" hidden="1" customHeight="1">
      <c r="A1038" s="207" t="s">
        <v>1871</v>
      </c>
      <c r="B1038" s="117">
        <v>2012</v>
      </c>
      <c r="C1038" s="117" t="s">
        <v>507</v>
      </c>
      <c r="D1038" s="195" t="s">
        <v>2263</v>
      </c>
      <c r="E1038" s="206" t="s">
        <v>41</v>
      </c>
      <c r="F1038" s="117" t="s">
        <v>97</v>
      </c>
      <c r="G1038" s="206" t="s">
        <v>43</v>
      </c>
      <c r="H1038" s="117" t="s">
        <v>2230</v>
      </c>
      <c r="I1038" s="36"/>
      <c r="J1038" s="36"/>
      <c r="K1038" s="36"/>
      <c r="L1038" s="36"/>
      <c r="M1038" s="36"/>
      <c r="N1038" s="36"/>
      <c r="O1038" s="36"/>
      <c r="P1038" s="36"/>
      <c r="Q1038" s="36"/>
      <c r="R1038" s="36"/>
      <c r="S1038" s="36"/>
      <c r="T1038" s="36"/>
      <c r="U1038" s="36"/>
      <c r="V1038" s="36"/>
      <c r="W1038" s="36"/>
      <c r="X1038" s="36"/>
      <c r="Y1038" s="36"/>
      <c r="Z1038" s="36"/>
      <c r="AA1038" s="36"/>
      <c r="AB1038" s="36"/>
    </row>
    <row r="1039" spans="1:28" ht="30" hidden="1" customHeight="1">
      <c r="A1039" s="207" t="s">
        <v>294</v>
      </c>
      <c r="B1039" s="117">
        <v>2014</v>
      </c>
      <c r="C1039" s="117" t="s">
        <v>507</v>
      </c>
      <c r="D1039" s="195" t="s">
        <v>2264</v>
      </c>
      <c r="E1039" s="206" t="s">
        <v>41</v>
      </c>
      <c r="F1039" s="117" t="s">
        <v>97</v>
      </c>
      <c r="G1039" s="206" t="s">
        <v>43</v>
      </c>
      <c r="H1039" s="117" t="s">
        <v>2230</v>
      </c>
      <c r="I1039" s="36"/>
      <c r="J1039" s="36"/>
      <c r="K1039" s="36"/>
      <c r="L1039" s="36"/>
      <c r="M1039" s="36"/>
      <c r="N1039" s="36"/>
      <c r="O1039" s="36"/>
      <c r="P1039" s="36"/>
      <c r="Q1039" s="36"/>
      <c r="R1039" s="36"/>
      <c r="S1039" s="36"/>
      <c r="T1039" s="36"/>
      <c r="U1039" s="36"/>
      <c r="V1039" s="36"/>
      <c r="W1039" s="36"/>
      <c r="X1039" s="36"/>
      <c r="Y1039" s="36"/>
      <c r="Z1039" s="36"/>
      <c r="AA1039" s="36"/>
      <c r="AB1039" s="36"/>
    </row>
    <row r="1040" spans="1:28" ht="24" hidden="1" customHeight="1">
      <c r="A1040" s="207" t="s">
        <v>2265</v>
      </c>
      <c r="B1040" s="117">
        <v>2016</v>
      </c>
      <c r="C1040" s="117" t="s">
        <v>507</v>
      </c>
      <c r="D1040" s="195" t="s">
        <v>2266</v>
      </c>
      <c r="E1040" s="206" t="s">
        <v>41</v>
      </c>
      <c r="F1040" s="117" t="s">
        <v>97</v>
      </c>
      <c r="G1040" s="211" t="s">
        <v>43</v>
      </c>
      <c r="H1040" s="117" t="s">
        <v>2230</v>
      </c>
      <c r="I1040" s="35"/>
      <c r="J1040" s="36"/>
      <c r="K1040" s="36"/>
      <c r="L1040" s="36"/>
      <c r="M1040" s="36"/>
      <c r="N1040" s="36"/>
      <c r="O1040" s="36"/>
      <c r="P1040" s="36"/>
      <c r="Q1040" s="36"/>
      <c r="R1040" s="36"/>
      <c r="S1040" s="36"/>
      <c r="T1040" s="36"/>
      <c r="U1040" s="36"/>
      <c r="V1040" s="36"/>
      <c r="W1040" s="36"/>
      <c r="X1040" s="36"/>
      <c r="Y1040" s="36"/>
      <c r="Z1040" s="36"/>
      <c r="AA1040" s="36"/>
      <c r="AB1040" s="36"/>
    </row>
    <row r="1041" spans="1:28" ht="36" hidden="1" customHeight="1">
      <c r="A1041" s="207" t="s">
        <v>307</v>
      </c>
      <c r="B1041" s="117">
        <v>2018</v>
      </c>
      <c r="C1041" s="117" t="s">
        <v>507</v>
      </c>
      <c r="D1041" s="195" t="s">
        <v>2267</v>
      </c>
      <c r="E1041" s="206" t="s">
        <v>41</v>
      </c>
      <c r="F1041" s="117" t="s">
        <v>97</v>
      </c>
      <c r="G1041" s="211" t="s">
        <v>43</v>
      </c>
      <c r="H1041" s="117" t="s">
        <v>2230</v>
      </c>
      <c r="I1041" s="35"/>
      <c r="J1041" s="36"/>
      <c r="K1041" s="36"/>
      <c r="L1041" s="36"/>
      <c r="M1041" s="36"/>
      <c r="N1041" s="36"/>
      <c r="O1041" s="36"/>
      <c r="P1041" s="36"/>
      <c r="Q1041" s="36"/>
      <c r="R1041" s="36"/>
      <c r="S1041" s="36"/>
      <c r="T1041" s="36"/>
      <c r="U1041" s="36"/>
      <c r="V1041" s="36"/>
      <c r="W1041" s="36"/>
      <c r="X1041" s="36"/>
      <c r="Y1041" s="36"/>
      <c r="Z1041" s="36"/>
      <c r="AA1041" s="36"/>
      <c r="AB1041" s="36"/>
    </row>
    <row r="1042" spans="1:28" ht="12" hidden="1" customHeight="1">
      <c r="A1042" s="207" t="s">
        <v>2268</v>
      </c>
      <c r="B1042" s="117">
        <v>1950</v>
      </c>
      <c r="C1042" s="117" t="s">
        <v>507</v>
      </c>
      <c r="D1042" s="195" t="s">
        <v>2269</v>
      </c>
      <c r="E1042" s="206" t="s">
        <v>41</v>
      </c>
      <c r="F1042" s="117" t="s">
        <v>97</v>
      </c>
      <c r="G1042" s="211" t="s">
        <v>43</v>
      </c>
      <c r="H1042" s="117" t="s">
        <v>2230</v>
      </c>
      <c r="I1042" s="35"/>
      <c r="J1042" s="36"/>
      <c r="K1042" s="36"/>
      <c r="L1042" s="36"/>
      <c r="M1042" s="36"/>
      <c r="N1042" s="36"/>
      <c r="O1042" s="36"/>
      <c r="P1042" s="36"/>
      <c r="Q1042" s="36"/>
      <c r="R1042" s="36"/>
      <c r="S1042" s="36"/>
      <c r="T1042" s="36"/>
      <c r="U1042" s="36"/>
      <c r="V1042" s="36"/>
      <c r="W1042" s="36"/>
      <c r="X1042" s="36"/>
      <c r="Y1042" s="36"/>
      <c r="Z1042" s="36"/>
      <c r="AA1042" s="36"/>
      <c r="AB1042" s="36"/>
    </row>
    <row r="1043" spans="1:28" ht="24" hidden="1" customHeight="1">
      <c r="A1043" s="207" t="s">
        <v>2270</v>
      </c>
      <c r="B1043" s="117">
        <v>1950</v>
      </c>
      <c r="C1043" s="117" t="s">
        <v>57</v>
      </c>
      <c r="D1043" s="195" t="s">
        <v>2271</v>
      </c>
      <c r="E1043" s="206" t="s">
        <v>41</v>
      </c>
      <c r="F1043" s="117" t="s">
        <v>97</v>
      </c>
      <c r="G1043" s="211" t="s">
        <v>43</v>
      </c>
      <c r="H1043" s="117" t="s">
        <v>2230</v>
      </c>
      <c r="I1043" s="35"/>
      <c r="J1043" s="36"/>
      <c r="K1043" s="36"/>
      <c r="L1043" s="36"/>
      <c r="M1043" s="36"/>
      <c r="N1043" s="36"/>
      <c r="O1043" s="36"/>
      <c r="P1043" s="36"/>
      <c r="Q1043" s="36"/>
      <c r="R1043" s="36"/>
      <c r="S1043" s="36"/>
      <c r="T1043" s="36"/>
      <c r="U1043" s="36"/>
      <c r="V1043" s="36"/>
      <c r="W1043" s="36"/>
      <c r="X1043" s="36"/>
      <c r="Y1043" s="36"/>
      <c r="Z1043" s="36"/>
      <c r="AA1043" s="36"/>
      <c r="AB1043" s="36"/>
    </row>
    <row r="1044" spans="1:28" ht="24" hidden="1" customHeight="1">
      <c r="A1044" s="207" t="s">
        <v>2272</v>
      </c>
      <c r="B1044" s="117">
        <v>1951</v>
      </c>
      <c r="C1044" s="117" t="s">
        <v>57</v>
      </c>
      <c r="D1044" s="195" t="s">
        <v>2273</v>
      </c>
      <c r="E1044" s="206" t="s">
        <v>41</v>
      </c>
      <c r="F1044" s="117" t="s">
        <v>97</v>
      </c>
      <c r="G1044" s="211" t="s">
        <v>43</v>
      </c>
      <c r="H1044" s="117" t="s">
        <v>2230</v>
      </c>
      <c r="I1044" s="35"/>
      <c r="J1044" s="36"/>
      <c r="K1044" s="36"/>
      <c r="L1044" s="36"/>
      <c r="M1044" s="36"/>
      <c r="N1044" s="36"/>
      <c r="O1044" s="36"/>
      <c r="P1044" s="36"/>
      <c r="Q1044" s="36"/>
      <c r="R1044" s="36"/>
      <c r="S1044" s="36"/>
      <c r="T1044" s="36"/>
      <c r="U1044" s="36"/>
      <c r="V1044" s="36"/>
      <c r="W1044" s="36"/>
      <c r="X1044" s="36"/>
      <c r="Y1044" s="36"/>
      <c r="Z1044" s="36"/>
      <c r="AA1044" s="36"/>
      <c r="AB1044" s="36"/>
    </row>
    <row r="1045" spans="1:28" ht="24" hidden="1" customHeight="1">
      <c r="A1045" s="207" t="s">
        <v>241</v>
      </c>
      <c r="B1045" s="117">
        <v>1971</v>
      </c>
      <c r="C1045" s="197" t="s">
        <v>57</v>
      </c>
      <c r="D1045" s="195" t="s">
        <v>242</v>
      </c>
      <c r="E1045" s="206" t="s">
        <v>41</v>
      </c>
      <c r="F1045" s="117" t="s">
        <v>97</v>
      </c>
      <c r="G1045" s="211" t="s">
        <v>43</v>
      </c>
      <c r="H1045" s="117" t="s">
        <v>2230</v>
      </c>
      <c r="I1045" s="35"/>
      <c r="J1045" s="36"/>
      <c r="K1045" s="36"/>
      <c r="L1045" s="36"/>
      <c r="M1045" s="36"/>
      <c r="N1045" s="36"/>
      <c r="O1045" s="36"/>
      <c r="P1045" s="36"/>
      <c r="Q1045" s="36"/>
      <c r="R1045" s="36"/>
      <c r="S1045" s="36"/>
      <c r="T1045" s="36"/>
      <c r="U1045" s="36"/>
      <c r="V1045" s="36"/>
      <c r="W1045" s="36"/>
      <c r="X1045" s="36"/>
      <c r="Y1045" s="36"/>
      <c r="Z1045" s="36"/>
      <c r="AA1045" s="36"/>
      <c r="AB1045" s="36"/>
    </row>
    <row r="1046" spans="1:28" ht="48" hidden="1" customHeight="1">
      <c r="A1046" s="207" t="s">
        <v>2274</v>
      </c>
      <c r="B1046" s="117">
        <v>1973</v>
      </c>
      <c r="C1046" s="117" t="s">
        <v>57</v>
      </c>
      <c r="D1046" s="195" t="s">
        <v>2275</v>
      </c>
      <c r="E1046" s="206" t="s">
        <v>41</v>
      </c>
      <c r="F1046" s="117" t="s">
        <v>97</v>
      </c>
      <c r="G1046" s="211" t="s">
        <v>43</v>
      </c>
      <c r="H1046" s="117" t="s">
        <v>2230</v>
      </c>
      <c r="I1046" s="35"/>
      <c r="J1046" s="36"/>
      <c r="K1046" s="36"/>
      <c r="L1046" s="36"/>
      <c r="M1046" s="36"/>
      <c r="N1046" s="36"/>
      <c r="O1046" s="36"/>
      <c r="P1046" s="36"/>
      <c r="Q1046" s="36"/>
      <c r="R1046" s="36"/>
      <c r="S1046" s="36"/>
      <c r="T1046" s="36"/>
      <c r="U1046" s="36"/>
      <c r="V1046" s="36"/>
      <c r="W1046" s="36"/>
      <c r="X1046" s="36"/>
      <c r="Y1046" s="36"/>
      <c r="Z1046" s="36"/>
      <c r="AA1046" s="36"/>
      <c r="AB1046" s="36"/>
    </row>
    <row r="1047" spans="1:28" ht="24" hidden="1" customHeight="1">
      <c r="A1047" s="207" t="s">
        <v>2276</v>
      </c>
      <c r="B1047" s="117">
        <v>1976</v>
      </c>
      <c r="C1047" s="117" t="s">
        <v>57</v>
      </c>
      <c r="D1047" s="195" t="s">
        <v>2277</v>
      </c>
      <c r="E1047" s="206" t="s">
        <v>41</v>
      </c>
      <c r="F1047" s="117" t="s">
        <v>97</v>
      </c>
      <c r="G1047" s="211" t="s">
        <v>43</v>
      </c>
      <c r="H1047" s="117" t="s">
        <v>2230</v>
      </c>
      <c r="I1047" s="35"/>
      <c r="J1047" s="36"/>
      <c r="K1047" s="36"/>
      <c r="L1047" s="36"/>
      <c r="M1047" s="36"/>
      <c r="N1047" s="36"/>
      <c r="O1047" s="36"/>
      <c r="P1047" s="36"/>
      <c r="Q1047" s="36"/>
      <c r="R1047" s="36"/>
      <c r="S1047" s="36"/>
      <c r="T1047" s="36"/>
      <c r="U1047" s="36"/>
      <c r="V1047" s="36"/>
      <c r="W1047" s="36"/>
      <c r="X1047" s="36"/>
      <c r="Y1047" s="36"/>
      <c r="Z1047" s="36"/>
      <c r="AA1047" s="36"/>
      <c r="AB1047" s="36"/>
    </row>
    <row r="1048" spans="1:28" ht="36" hidden="1" customHeight="1">
      <c r="A1048" s="207" t="s">
        <v>2278</v>
      </c>
      <c r="B1048" s="117">
        <v>1978</v>
      </c>
      <c r="C1048" s="117" t="s">
        <v>57</v>
      </c>
      <c r="D1048" s="195" t="s">
        <v>2279</v>
      </c>
      <c r="E1048" s="206" t="s">
        <v>41</v>
      </c>
      <c r="F1048" s="117" t="s">
        <v>97</v>
      </c>
      <c r="G1048" s="211" t="s">
        <v>43</v>
      </c>
      <c r="H1048" s="117" t="s">
        <v>2230</v>
      </c>
      <c r="I1048" s="35"/>
      <c r="J1048" s="36"/>
      <c r="K1048" s="36"/>
      <c r="L1048" s="36"/>
      <c r="M1048" s="36"/>
      <c r="N1048" s="36"/>
      <c r="O1048" s="36"/>
      <c r="P1048" s="36"/>
      <c r="Q1048" s="36"/>
      <c r="R1048" s="36"/>
      <c r="S1048" s="36"/>
      <c r="T1048" s="36"/>
      <c r="U1048" s="36"/>
      <c r="V1048" s="36"/>
      <c r="W1048" s="36"/>
      <c r="X1048" s="36"/>
      <c r="Y1048" s="36"/>
      <c r="Z1048" s="36"/>
      <c r="AA1048" s="36"/>
      <c r="AB1048" s="36"/>
    </row>
    <row r="1049" spans="1:28" ht="120" hidden="1" customHeight="1">
      <c r="A1049" s="207" t="s">
        <v>788</v>
      </c>
      <c r="B1049" s="117">
        <v>1989</v>
      </c>
      <c r="C1049" s="117" t="s">
        <v>57</v>
      </c>
      <c r="D1049" s="195" t="s">
        <v>2280</v>
      </c>
      <c r="E1049" s="206" t="s">
        <v>41</v>
      </c>
      <c r="F1049" s="117" t="s">
        <v>97</v>
      </c>
      <c r="G1049" s="211" t="s">
        <v>43</v>
      </c>
      <c r="H1049" s="117" t="s">
        <v>2230</v>
      </c>
      <c r="I1049" s="35"/>
      <c r="J1049" s="36"/>
      <c r="K1049" s="36"/>
      <c r="L1049" s="36"/>
      <c r="M1049" s="36"/>
      <c r="N1049" s="36"/>
      <c r="O1049" s="36"/>
      <c r="P1049" s="36"/>
      <c r="Q1049" s="36"/>
      <c r="R1049" s="36"/>
      <c r="S1049" s="36"/>
      <c r="T1049" s="36"/>
      <c r="U1049" s="36"/>
      <c r="V1049" s="36"/>
      <c r="W1049" s="36"/>
      <c r="X1049" s="36"/>
      <c r="Y1049" s="36"/>
      <c r="Z1049" s="36"/>
      <c r="AA1049" s="36"/>
      <c r="AB1049" s="36"/>
    </row>
    <row r="1050" spans="1:28" ht="48" hidden="1" customHeight="1">
      <c r="A1050" s="207" t="s">
        <v>2281</v>
      </c>
      <c r="B1050" s="117">
        <v>1991</v>
      </c>
      <c r="C1050" s="117" t="s">
        <v>57</v>
      </c>
      <c r="D1050" s="195" t="s">
        <v>2282</v>
      </c>
      <c r="E1050" s="206" t="s">
        <v>41</v>
      </c>
      <c r="F1050" s="117" t="s">
        <v>97</v>
      </c>
      <c r="G1050" s="211" t="s">
        <v>43</v>
      </c>
      <c r="H1050" s="117" t="s">
        <v>2230</v>
      </c>
      <c r="I1050" s="35"/>
      <c r="J1050" s="36"/>
      <c r="K1050" s="36"/>
      <c r="L1050" s="36"/>
      <c r="M1050" s="36"/>
      <c r="N1050" s="36"/>
      <c r="O1050" s="36"/>
      <c r="P1050" s="36"/>
      <c r="Q1050" s="36"/>
      <c r="R1050" s="36"/>
      <c r="S1050" s="36"/>
      <c r="T1050" s="36"/>
      <c r="U1050" s="36"/>
      <c r="V1050" s="36"/>
      <c r="W1050" s="36"/>
      <c r="X1050" s="36"/>
      <c r="Y1050" s="36"/>
      <c r="Z1050" s="36"/>
      <c r="AA1050" s="36"/>
      <c r="AB1050" s="36"/>
    </row>
    <row r="1051" spans="1:28" ht="24" hidden="1" customHeight="1">
      <c r="A1051" s="207" t="s">
        <v>2283</v>
      </c>
      <c r="B1051" s="117">
        <v>1991</v>
      </c>
      <c r="C1051" s="117" t="s">
        <v>507</v>
      </c>
      <c r="D1051" s="195" t="s">
        <v>2284</v>
      </c>
      <c r="E1051" s="206" t="s">
        <v>41</v>
      </c>
      <c r="F1051" s="117" t="s">
        <v>97</v>
      </c>
      <c r="G1051" s="211" t="s">
        <v>43</v>
      </c>
      <c r="H1051" s="117" t="s">
        <v>2230</v>
      </c>
      <c r="I1051" s="248"/>
      <c r="J1051" s="36"/>
      <c r="K1051" s="36"/>
      <c r="L1051" s="36"/>
      <c r="M1051" s="36"/>
      <c r="N1051" s="36"/>
      <c r="O1051" s="36"/>
      <c r="P1051" s="36"/>
      <c r="Q1051" s="36"/>
      <c r="R1051" s="36"/>
      <c r="S1051" s="36"/>
      <c r="T1051" s="36"/>
      <c r="U1051" s="36"/>
      <c r="V1051" s="36"/>
      <c r="W1051" s="36"/>
      <c r="X1051" s="36"/>
      <c r="Y1051" s="36"/>
      <c r="Z1051" s="36"/>
      <c r="AA1051" s="36"/>
      <c r="AB1051" s="36"/>
    </row>
    <row r="1052" spans="1:28" ht="24" hidden="1" customHeight="1">
      <c r="A1052" s="207" t="s">
        <v>2285</v>
      </c>
      <c r="B1052" s="117">
        <v>1992</v>
      </c>
      <c r="C1052" s="117" t="s">
        <v>57</v>
      </c>
      <c r="D1052" s="195" t="s">
        <v>2286</v>
      </c>
      <c r="E1052" s="206" t="s">
        <v>41</v>
      </c>
      <c r="F1052" s="117" t="s">
        <v>97</v>
      </c>
      <c r="G1052" s="211" t="s">
        <v>43</v>
      </c>
      <c r="H1052" s="117" t="s">
        <v>2230</v>
      </c>
      <c r="I1052" s="35"/>
      <c r="J1052" s="36"/>
      <c r="K1052" s="36"/>
      <c r="L1052" s="36"/>
      <c r="M1052" s="36"/>
      <c r="N1052" s="36"/>
      <c r="O1052" s="36"/>
      <c r="P1052" s="36"/>
      <c r="Q1052" s="36"/>
      <c r="R1052" s="36"/>
      <c r="S1052" s="36"/>
      <c r="T1052" s="36"/>
      <c r="U1052" s="36"/>
      <c r="V1052" s="36"/>
      <c r="W1052" s="36"/>
      <c r="X1052" s="36"/>
      <c r="Y1052" s="36"/>
      <c r="Z1052" s="36"/>
      <c r="AA1052" s="36"/>
      <c r="AB1052" s="36"/>
    </row>
    <row r="1053" spans="1:28" ht="24" hidden="1" customHeight="1">
      <c r="A1053" s="207" t="s">
        <v>789</v>
      </c>
      <c r="B1053" s="117">
        <v>1993</v>
      </c>
      <c r="C1053" s="197" t="s">
        <v>57</v>
      </c>
      <c r="D1053" s="195" t="s">
        <v>513</v>
      </c>
      <c r="E1053" s="206" t="s">
        <v>41</v>
      </c>
      <c r="F1053" s="117" t="s">
        <v>97</v>
      </c>
      <c r="G1053" s="211" t="s">
        <v>43</v>
      </c>
      <c r="H1053" s="117" t="s">
        <v>2230</v>
      </c>
      <c r="I1053" s="35"/>
      <c r="J1053" s="36"/>
      <c r="K1053" s="36"/>
      <c r="L1053" s="36"/>
      <c r="M1053" s="36"/>
      <c r="N1053" s="36"/>
      <c r="O1053" s="36"/>
      <c r="P1053" s="36"/>
      <c r="Q1053" s="36"/>
      <c r="R1053" s="36"/>
      <c r="S1053" s="36"/>
      <c r="T1053" s="36"/>
      <c r="U1053" s="36"/>
      <c r="V1053" s="36"/>
      <c r="W1053" s="36"/>
      <c r="X1053" s="36"/>
      <c r="Y1053" s="36"/>
      <c r="Z1053" s="36"/>
      <c r="AA1053" s="36"/>
      <c r="AB1053" s="36"/>
    </row>
    <row r="1054" spans="1:28" ht="36" hidden="1" customHeight="1">
      <c r="A1054" s="207" t="s">
        <v>1529</v>
      </c>
      <c r="B1054" s="117">
        <v>1995</v>
      </c>
      <c r="C1054" s="197" t="s">
        <v>1619</v>
      </c>
      <c r="D1054" s="195" t="s">
        <v>1530</v>
      </c>
      <c r="E1054" s="117" t="s">
        <v>2287</v>
      </c>
      <c r="F1054" s="117" t="s">
        <v>97</v>
      </c>
      <c r="G1054" s="211" t="s">
        <v>43</v>
      </c>
      <c r="H1054" s="117" t="s">
        <v>2230</v>
      </c>
      <c r="I1054" s="35"/>
      <c r="J1054" s="36"/>
      <c r="K1054" s="36"/>
      <c r="L1054" s="36"/>
      <c r="M1054" s="36"/>
      <c r="N1054" s="36"/>
      <c r="O1054" s="36"/>
      <c r="P1054" s="36"/>
      <c r="Q1054" s="36"/>
      <c r="R1054" s="36"/>
      <c r="S1054" s="36"/>
      <c r="T1054" s="36"/>
      <c r="U1054" s="36"/>
      <c r="V1054" s="36"/>
      <c r="W1054" s="36"/>
      <c r="X1054" s="36"/>
      <c r="Y1054" s="36"/>
      <c r="Z1054" s="36"/>
      <c r="AA1054" s="36"/>
      <c r="AB1054" s="36"/>
    </row>
    <row r="1055" spans="1:28" ht="24" hidden="1" customHeight="1">
      <c r="A1055" s="207" t="s">
        <v>2288</v>
      </c>
      <c r="B1055" s="117">
        <v>2001</v>
      </c>
      <c r="C1055" s="197" t="s">
        <v>57</v>
      </c>
      <c r="D1055" s="195" t="s">
        <v>2289</v>
      </c>
      <c r="E1055" s="117" t="s">
        <v>2290</v>
      </c>
      <c r="F1055" s="117" t="s">
        <v>97</v>
      </c>
      <c r="G1055" s="211" t="s">
        <v>43</v>
      </c>
      <c r="H1055" s="117" t="s">
        <v>2230</v>
      </c>
      <c r="I1055" s="35"/>
      <c r="J1055" s="36"/>
      <c r="K1055" s="36"/>
      <c r="L1055" s="36"/>
      <c r="M1055" s="36"/>
      <c r="N1055" s="36"/>
      <c r="O1055" s="36"/>
      <c r="P1055" s="36"/>
      <c r="Q1055" s="36"/>
      <c r="R1055" s="36"/>
      <c r="S1055" s="36"/>
      <c r="T1055" s="36"/>
      <c r="U1055" s="36"/>
      <c r="V1055" s="36"/>
      <c r="W1055" s="36"/>
      <c r="X1055" s="36"/>
      <c r="Y1055" s="36"/>
      <c r="Z1055" s="36"/>
      <c r="AA1055" s="36"/>
      <c r="AB1055" s="36"/>
    </row>
    <row r="1056" spans="1:28" ht="36" hidden="1" customHeight="1">
      <c r="A1056" s="207" t="s">
        <v>2291</v>
      </c>
      <c r="B1056" s="117">
        <v>2002</v>
      </c>
      <c r="C1056" s="117" t="s">
        <v>61</v>
      </c>
      <c r="D1056" s="195" t="s">
        <v>528</v>
      </c>
      <c r="E1056" s="206" t="s">
        <v>41</v>
      </c>
      <c r="F1056" s="117" t="s">
        <v>97</v>
      </c>
      <c r="G1056" s="211" t="s">
        <v>43</v>
      </c>
      <c r="H1056" s="117" t="s">
        <v>2230</v>
      </c>
      <c r="I1056" s="35"/>
      <c r="J1056" s="36"/>
      <c r="K1056" s="36"/>
      <c r="L1056" s="36"/>
      <c r="M1056" s="36"/>
      <c r="N1056" s="36"/>
      <c r="O1056" s="36"/>
      <c r="P1056" s="36"/>
      <c r="Q1056" s="36"/>
      <c r="R1056" s="36"/>
      <c r="S1056" s="36"/>
      <c r="T1056" s="36"/>
      <c r="U1056" s="36"/>
      <c r="V1056" s="36"/>
      <c r="W1056" s="36"/>
      <c r="X1056" s="36"/>
      <c r="Y1056" s="36"/>
      <c r="Z1056" s="36"/>
      <c r="AA1056" s="36"/>
      <c r="AB1056" s="36"/>
    </row>
    <row r="1057" spans="1:28" ht="36" hidden="1" customHeight="1">
      <c r="A1057" s="207" t="s">
        <v>2292</v>
      </c>
      <c r="B1057" s="117">
        <v>2002</v>
      </c>
      <c r="C1057" s="117" t="s">
        <v>57</v>
      </c>
      <c r="D1057" s="195" t="s">
        <v>2293</v>
      </c>
      <c r="E1057" s="206" t="s">
        <v>41</v>
      </c>
      <c r="F1057" s="117" t="s">
        <v>97</v>
      </c>
      <c r="G1057" s="211" t="s">
        <v>43</v>
      </c>
      <c r="H1057" s="117" t="s">
        <v>2230</v>
      </c>
      <c r="I1057" s="35"/>
      <c r="J1057" s="36"/>
      <c r="K1057" s="36"/>
      <c r="L1057" s="36"/>
      <c r="M1057" s="36"/>
      <c r="N1057" s="36"/>
      <c r="O1057" s="36"/>
      <c r="P1057" s="36"/>
      <c r="Q1057" s="36"/>
      <c r="R1057" s="36"/>
      <c r="S1057" s="36"/>
      <c r="T1057" s="36"/>
      <c r="U1057" s="36"/>
      <c r="V1057" s="36"/>
      <c r="W1057" s="36"/>
      <c r="X1057" s="36"/>
      <c r="Y1057" s="36"/>
      <c r="Z1057" s="36"/>
      <c r="AA1057" s="36"/>
      <c r="AB1057" s="36"/>
    </row>
    <row r="1058" spans="1:28" ht="36" hidden="1" customHeight="1">
      <c r="A1058" s="207" t="s">
        <v>2294</v>
      </c>
      <c r="B1058" s="117">
        <v>2002</v>
      </c>
      <c r="C1058" s="117" t="s">
        <v>507</v>
      </c>
      <c r="D1058" s="195" t="s">
        <v>530</v>
      </c>
      <c r="E1058" s="206" t="s">
        <v>41</v>
      </c>
      <c r="F1058" s="117" t="s">
        <v>97</v>
      </c>
      <c r="G1058" s="211" t="s">
        <v>43</v>
      </c>
      <c r="H1058" s="117" t="s">
        <v>2230</v>
      </c>
      <c r="I1058" s="35"/>
      <c r="J1058" s="36"/>
      <c r="K1058" s="36"/>
      <c r="L1058" s="36"/>
      <c r="M1058" s="36"/>
      <c r="N1058" s="36"/>
      <c r="O1058" s="36"/>
      <c r="P1058" s="36"/>
      <c r="Q1058" s="36"/>
      <c r="R1058" s="36"/>
      <c r="S1058" s="36"/>
      <c r="T1058" s="36"/>
      <c r="U1058" s="36"/>
      <c r="V1058" s="36"/>
      <c r="W1058" s="36"/>
      <c r="X1058" s="36"/>
      <c r="Y1058" s="36"/>
      <c r="Z1058" s="36"/>
      <c r="AA1058" s="36"/>
      <c r="AB1058" s="36"/>
    </row>
    <row r="1059" spans="1:28" ht="24" hidden="1" customHeight="1">
      <c r="A1059" s="207" t="s">
        <v>2295</v>
      </c>
      <c r="B1059" s="117">
        <v>2004</v>
      </c>
      <c r="C1059" s="117" t="s">
        <v>61</v>
      </c>
      <c r="D1059" s="195" t="s">
        <v>2296</v>
      </c>
      <c r="E1059" s="206" t="s">
        <v>41</v>
      </c>
      <c r="F1059" s="117" t="s">
        <v>97</v>
      </c>
      <c r="G1059" s="211" t="s">
        <v>43</v>
      </c>
      <c r="H1059" s="117" t="s">
        <v>2230</v>
      </c>
      <c r="I1059" s="35"/>
      <c r="J1059" s="36"/>
      <c r="K1059" s="36"/>
      <c r="L1059" s="36"/>
      <c r="M1059" s="36"/>
      <c r="N1059" s="36"/>
      <c r="O1059" s="36"/>
      <c r="P1059" s="36"/>
      <c r="Q1059" s="36"/>
      <c r="R1059" s="36"/>
      <c r="S1059" s="36"/>
      <c r="T1059" s="36"/>
      <c r="U1059" s="36"/>
      <c r="V1059" s="36"/>
      <c r="W1059" s="36"/>
      <c r="X1059" s="36"/>
      <c r="Y1059" s="36"/>
      <c r="Z1059" s="36"/>
      <c r="AA1059" s="36"/>
      <c r="AB1059" s="36"/>
    </row>
    <row r="1060" spans="1:28" ht="24" hidden="1" customHeight="1">
      <c r="A1060" s="207" t="s">
        <v>2297</v>
      </c>
      <c r="B1060" s="117">
        <v>2006</v>
      </c>
      <c r="C1060" s="117" t="s">
        <v>57</v>
      </c>
      <c r="D1060" s="195" t="s">
        <v>2298</v>
      </c>
      <c r="E1060" s="206" t="s">
        <v>41</v>
      </c>
      <c r="F1060" s="117" t="s">
        <v>97</v>
      </c>
      <c r="G1060" s="211" t="s">
        <v>43</v>
      </c>
      <c r="H1060" s="117" t="s">
        <v>2230</v>
      </c>
      <c r="I1060" s="35"/>
      <c r="J1060" s="36"/>
      <c r="K1060" s="36"/>
      <c r="L1060" s="36"/>
      <c r="M1060" s="36"/>
      <c r="N1060" s="36"/>
      <c r="O1060" s="36"/>
      <c r="P1060" s="36"/>
      <c r="Q1060" s="36"/>
      <c r="R1060" s="36"/>
      <c r="S1060" s="36"/>
      <c r="T1060" s="36"/>
      <c r="U1060" s="36"/>
      <c r="V1060" s="36"/>
      <c r="W1060" s="36"/>
      <c r="X1060" s="36"/>
      <c r="Y1060" s="36"/>
      <c r="Z1060" s="36"/>
      <c r="AA1060" s="36"/>
      <c r="AB1060" s="36"/>
    </row>
    <row r="1061" spans="1:28" ht="24" hidden="1" customHeight="1">
      <c r="A1061" s="207" t="s">
        <v>814</v>
      </c>
      <c r="B1061" s="117">
        <v>2009</v>
      </c>
      <c r="C1061" s="117" t="s">
        <v>57</v>
      </c>
      <c r="D1061" s="195" t="s">
        <v>2299</v>
      </c>
      <c r="E1061" s="206" t="s">
        <v>41</v>
      </c>
      <c r="F1061" s="117" t="s">
        <v>97</v>
      </c>
      <c r="G1061" s="211" t="s">
        <v>43</v>
      </c>
      <c r="H1061" s="117" t="s">
        <v>2230</v>
      </c>
      <c r="I1061" s="35"/>
      <c r="J1061" s="36"/>
      <c r="K1061" s="36"/>
      <c r="L1061" s="36"/>
      <c r="M1061" s="36"/>
      <c r="N1061" s="36"/>
      <c r="O1061" s="36"/>
      <c r="P1061" s="36"/>
      <c r="Q1061" s="36"/>
      <c r="R1061" s="36"/>
      <c r="S1061" s="36"/>
      <c r="T1061" s="36"/>
      <c r="U1061" s="36"/>
      <c r="V1061" s="36"/>
      <c r="W1061" s="36"/>
      <c r="X1061" s="36"/>
      <c r="Y1061" s="36"/>
      <c r="Z1061" s="36"/>
      <c r="AA1061" s="36"/>
      <c r="AB1061" s="36"/>
    </row>
    <row r="1062" spans="1:28" ht="24" hidden="1" customHeight="1">
      <c r="A1062" s="207" t="s">
        <v>2300</v>
      </c>
      <c r="B1062" s="117">
        <v>2010</v>
      </c>
      <c r="C1062" s="117" t="s">
        <v>57</v>
      </c>
      <c r="D1062" s="195" t="s">
        <v>2301</v>
      </c>
      <c r="E1062" s="206" t="s">
        <v>41</v>
      </c>
      <c r="F1062" s="117" t="s">
        <v>97</v>
      </c>
      <c r="G1062" s="211" t="s">
        <v>43</v>
      </c>
      <c r="H1062" s="117" t="s">
        <v>2230</v>
      </c>
      <c r="I1062" s="35"/>
      <c r="J1062" s="36"/>
      <c r="K1062" s="36"/>
      <c r="L1062" s="36"/>
      <c r="M1062" s="36"/>
      <c r="N1062" s="36"/>
      <c r="O1062" s="36"/>
      <c r="P1062" s="36"/>
      <c r="Q1062" s="36"/>
      <c r="R1062" s="36"/>
      <c r="S1062" s="36"/>
      <c r="T1062" s="36"/>
      <c r="U1062" s="36"/>
      <c r="V1062" s="36"/>
      <c r="W1062" s="36"/>
      <c r="X1062" s="36"/>
      <c r="Y1062" s="36"/>
      <c r="Z1062" s="36"/>
      <c r="AA1062" s="36"/>
      <c r="AB1062" s="36"/>
    </row>
    <row r="1063" spans="1:28" ht="24" hidden="1" customHeight="1">
      <c r="A1063" s="207" t="s">
        <v>822</v>
      </c>
      <c r="B1063" s="117">
        <v>2011</v>
      </c>
      <c r="C1063" s="117" t="s">
        <v>61</v>
      </c>
      <c r="D1063" s="195" t="s">
        <v>823</v>
      </c>
      <c r="E1063" s="206" t="s">
        <v>41</v>
      </c>
      <c r="F1063" s="117" t="s">
        <v>97</v>
      </c>
      <c r="G1063" s="211" t="s">
        <v>43</v>
      </c>
      <c r="H1063" s="117" t="s">
        <v>2230</v>
      </c>
      <c r="I1063" s="35"/>
      <c r="J1063" s="36"/>
      <c r="K1063" s="36"/>
      <c r="L1063" s="36"/>
      <c r="M1063" s="36"/>
      <c r="N1063" s="36"/>
      <c r="O1063" s="36"/>
      <c r="P1063" s="36"/>
      <c r="Q1063" s="36"/>
      <c r="R1063" s="36"/>
      <c r="S1063" s="36"/>
      <c r="T1063" s="36"/>
      <c r="U1063" s="36"/>
      <c r="V1063" s="36"/>
      <c r="W1063" s="36"/>
      <c r="X1063" s="36"/>
      <c r="Y1063" s="36"/>
      <c r="Z1063" s="36"/>
      <c r="AA1063" s="36"/>
      <c r="AB1063" s="36"/>
    </row>
    <row r="1064" spans="1:28" ht="36" hidden="1" customHeight="1">
      <c r="A1064" s="207" t="s">
        <v>2302</v>
      </c>
      <c r="B1064" s="117">
        <v>2011</v>
      </c>
      <c r="C1064" s="117" t="s">
        <v>61</v>
      </c>
      <c r="D1064" s="195" t="s">
        <v>2303</v>
      </c>
      <c r="E1064" s="206" t="s">
        <v>41</v>
      </c>
      <c r="F1064" s="117" t="s">
        <v>97</v>
      </c>
      <c r="G1064" s="211" t="s">
        <v>43</v>
      </c>
      <c r="H1064" s="117" t="s">
        <v>2230</v>
      </c>
      <c r="I1064" s="35"/>
      <c r="J1064" s="36"/>
      <c r="K1064" s="36"/>
      <c r="L1064" s="36"/>
      <c r="M1064" s="36"/>
      <c r="N1064" s="36"/>
      <c r="O1064" s="36"/>
      <c r="P1064" s="36"/>
      <c r="Q1064" s="36"/>
      <c r="R1064" s="36"/>
      <c r="S1064" s="36"/>
      <c r="T1064" s="36"/>
      <c r="U1064" s="36"/>
      <c r="V1064" s="36"/>
      <c r="W1064" s="36"/>
      <c r="X1064" s="36"/>
      <c r="Y1064" s="36"/>
      <c r="Z1064" s="36"/>
      <c r="AA1064" s="36"/>
      <c r="AB1064" s="36"/>
    </row>
    <row r="1065" spans="1:28" ht="48" hidden="1" customHeight="1">
      <c r="A1065" s="207" t="s">
        <v>2304</v>
      </c>
      <c r="B1065" s="117">
        <v>2011</v>
      </c>
      <c r="C1065" s="117" t="s">
        <v>61</v>
      </c>
      <c r="D1065" s="195" t="s">
        <v>2305</v>
      </c>
      <c r="E1065" s="206" t="s">
        <v>41</v>
      </c>
      <c r="F1065" s="117" t="s">
        <v>97</v>
      </c>
      <c r="G1065" s="211" t="s">
        <v>43</v>
      </c>
      <c r="H1065" s="117" t="s">
        <v>2230</v>
      </c>
      <c r="I1065" s="35"/>
      <c r="J1065" s="36"/>
      <c r="K1065" s="36"/>
      <c r="L1065" s="36"/>
      <c r="M1065" s="36"/>
      <c r="N1065" s="36"/>
      <c r="O1065" s="36"/>
      <c r="P1065" s="36"/>
      <c r="Q1065" s="36"/>
      <c r="R1065" s="36"/>
      <c r="S1065" s="36"/>
      <c r="T1065" s="36"/>
      <c r="U1065" s="36"/>
      <c r="V1065" s="36"/>
      <c r="W1065" s="36"/>
      <c r="X1065" s="36"/>
      <c r="Y1065" s="36"/>
      <c r="Z1065" s="36"/>
      <c r="AA1065" s="36"/>
      <c r="AB1065" s="36"/>
    </row>
    <row r="1066" spans="1:28" ht="24" hidden="1" customHeight="1">
      <c r="A1066" s="207" t="s">
        <v>2306</v>
      </c>
      <c r="B1066" s="117">
        <v>2011</v>
      </c>
      <c r="C1066" s="117" t="s">
        <v>61</v>
      </c>
      <c r="D1066" s="195" t="s">
        <v>2307</v>
      </c>
      <c r="E1066" s="206" t="s">
        <v>41</v>
      </c>
      <c r="F1066" s="117" t="s">
        <v>97</v>
      </c>
      <c r="G1066" s="211" t="s">
        <v>43</v>
      </c>
      <c r="H1066" s="117" t="s">
        <v>2230</v>
      </c>
      <c r="I1066" s="35"/>
      <c r="J1066" s="36"/>
      <c r="K1066" s="36"/>
      <c r="L1066" s="36"/>
      <c r="M1066" s="36"/>
      <c r="N1066" s="36"/>
      <c r="O1066" s="36"/>
      <c r="P1066" s="36"/>
      <c r="Q1066" s="36"/>
      <c r="R1066" s="36"/>
      <c r="S1066" s="36"/>
      <c r="T1066" s="36"/>
      <c r="U1066" s="36"/>
      <c r="V1066" s="36"/>
      <c r="W1066" s="36"/>
      <c r="X1066" s="36"/>
      <c r="Y1066" s="36"/>
      <c r="Z1066" s="36"/>
      <c r="AA1066" s="36"/>
      <c r="AB1066" s="36"/>
    </row>
    <row r="1067" spans="1:28" ht="24" hidden="1" customHeight="1">
      <c r="A1067" s="207" t="s">
        <v>2308</v>
      </c>
      <c r="B1067" s="117">
        <v>2012</v>
      </c>
      <c r="C1067" s="117" t="s">
        <v>57</v>
      </c>
      <c r="D1067" s="195" t="s">
        <v>2309</v>
      </c>
      <c r="E1067" s="206" t="s">
        <v>41</v>
      </c>
      <c r="F1067" s="117" t="s">
        <v>97</v>
      </c>
      <c r="G1067" s="211" t="s">
        <v>43</v>
      </c>
      <c r="H1067" s="117" t="s">
        <v>2230</v>
      </c>
      <c r="I1067" s="35"/>
      <c r="J1067" s="36"/>
      <c r="K1067" s="36"/>
      <c r="L1067" s="36"/>
      <c r="M1067" s="36"/>
      <c r="N1067" s="36"/>
      <c r="O1067" s="36"/>
      <c r="P1067" s="36"/>
      <c r="Q1067" s="36"/>
      <c r="R1067" s="36"/>
      <c r="S1067" s="36"/>
      <c r="T1067" s="36"/>
      <c r="U1067" s="36"/>
      <c r="V1067" s="36"/>
      <c r="W1067" s="36"/>
      <c r="X1067" s="36"/>
      <c r="Y1067" s="36"/>
      <c r="Z1067" s="36"/>
      <c r="AA1067" s="36"/>
      <c r="AB1067" s="36"/>
    </row>
    <row r="1068" spans="1:28" ht="60" hidden="1" customHeight="1">
      <c r="A1068" s="207" t="s">
        <v>831</v>
      </c>
      <c r="B1068" s="117">
        <v>2012</v>
      </c>
      <c r="C1068" s="117" t="s">
        <v>57</v>
      </c>
      <c r="D1068" s="195" t="s">
        <v>2310</v>
      </c>
      <c r="E1068" s="206" t="s">
        <v>41</v>
      </c>
      <c r="F1068" s="117" t="s">
        <v>97</v>
      </c>
      <c r="G1068" s="211" t="s">
        <v>43</v>
      </c>
      <c r="H1068" s="117" t="s">
        <v>2230</v>
      </c>
      <c r="I1068" s="35"/>
      <c r="J1068" s="36"/>
      <c r="K1068" s="36"/>
      <c r="L1068" s="36"/>
      <c r="M1068" s="36"/>
      <c r="N1068" s="36"/>
      <c r="O1068" s="36"/>
      <c r="P1068" s="36"/>
      <c r="Q1068" s="36"/>
      <c r="R1068" s="36"/>
      <c r="S1068" s="36"/>
      <c r="T1068" s="36"/>
      <c r="U1068" s="36"/>
      <c r="V1068" s="36"/>
      <c r="W1068" s="36"/>
      <c r="X1068" s="36"/>
      <c r="Y1068" s="36"/>
      <c r="Z1068" s="36"/>
      <c r="AA1068" s="36"/>
      <c r="AB1068" s="36"/>
    </row>
    <row r="1069" spans="1:28" ht="36" hidden="1" customHeight="1">
      <c r="A1069" s="207" t="s">
        <v>826</v>
      </c>
      <c r="B1069" s="117">
        <v>2012</v>
      </c>
      <c r="C1069" s="117" t="s">
        <v>57</v>
      </c>
      <c r="D1069" s="195" t="s">
        <v>2311</v>
      </c>
      <c r="E1069" s="206" t="s">
        <v>41</v>
      </c>
      <c r="F1069" s="117" t="s">
        <v>97</v>
      </c>
      <c r="G1069" s="211" t="s">
        <v>43</v>
      </c>
      <c r="H1069" s="117" t="s">
        <v>2230</v>
      </c>
      <c r="I1069" s="35"/>
      <c r="J1069" s="36"/>
      <c r="K1069" s="36"/>
      <c r="L1069" s="36"/>
      <c r="M1069" s="36"/>
      <c r="N1069" s="36"/>
      <c r="O1069" s="36"/>
      <c r="P1069" s="36"/>
      <c r="Q1069" s="36"/>
      <c r="R1069" s="36"/>
      <c r="S1069" s="36"/>
      <c r="T1069" s="36"/>
      <c r="U1069" s="36"/>
      <c r="V1069" s="36"/>
      <c r="W1069" s="36"/>
      <c r="X1069" s="36"/>
      <c r="Y1069" s="36"/>
      <c r="Z1069" s="36"/>
      <c r="AA1069" s="36"/>
      <c r="AB1069" s="36"/>
    </row>
    <row r="1070" spans="1:28" ht="24" hidden="1" customHeight="1">
      <c r="A1070" s="207" t="s">
        <v>1877</v>
      </c>
      <c r="B1070" s="117">
        <v>2013</v>
      </c>
      <c r="C1070" s="117" t="s">
        <v>57</v>
      </c>
      <c r="D1070" s="195" t="s">
        <v>2312</v>
      </c>
      <c r="E1070" s="206" t="s">
        <v>41</v>
      </c>
      <c r="F1070" s="117" t="s">
        <v>97</v>
      </c>
      <c r="G1070" s="206" t="s">
        <v>43</v>
      </c>
      <c r="H1070" s="117" t="s">
        <v>2230</v>
      </c>
      <c r="I1070" s="36"/>
      <c r="J1070" s="36"/>
      <c r="K1070" s="36"/>
      <c r="L1070" s="36"/>
      <c r="M1070" s="36"/>
      <c r="N1070" s="36"/>
      <c r="O1070" s="36"/>
      <c r="P1070" s="36"/>
      <c r="Q1070" s="36"/>
      <c r="R1070" s="36"/>
      <c r="S1070" s="36"/>
      <c r="T1070" s="36"/>
      <c r="U1070" s="36"/>
      <c r="V1070" s="36"/>
      <c r="W1070" s="36"/>
      <c r="X1070" s="36"/>
      <c r="Y1070" s="36"/>
      <c r="Z1070" s="36"/>
      <c r="AA1070" s="36"/>
      <c r="AB1070" s="36"/>
    </row>
    <row r="1071" spans="1:28" ht="24" hidden="1" customHeight="1">
      <c r="A1071" s="207" t="s">
        <v>2313</v>
      </c>
      <c r="B1071" s="117">
        <v>2013</v>
      </c>
      <c r="C1071" s="117" t="s">
        <v>57</v>
      </c>
      <c r="D1071" s="195" t="s">
        <v>2314</v>
      </c>
      <c r="E1071" s="206" t="s">
        <v>41</v>
      </c>
      <c r="F1071" s="117" t="s">
        <v>97</v>
      </c>
      <c r="G1071" s="211" t="s">
        <v>43</v>
      </c>
      <c r="H1071" s="117" t="s">
        <v>2230</v>
      </c>
      <c r="I1071" s="36"/>
      <c r="J1071" s="36"/>
      <c r="K1071" s="36"/>
      <c r="L1071" s="36"/>
      <c r="M1071" s="36"/>
      <c r="N1071" s="36"/>
      <c r="O1071" s="36"/>
      <c r="P1071" s="36"/>
      <c r="Q1071" s="36"/>
      <c r="R1071" s="36"/>
      <c r="S1071" s="36"/>
      <c r="T1071" s="36"/>
      <c r="U1071" s="36"/>
      <c r="V1071" s="36"/>
      <c r="W1071" s="36"/>
      <c r="X1071" s="36"/>
      <c r="Y1071" s="36"/>
      <c r="Z1071" s="36"/>
      <c r="AA1071" s="36"/>
      <c r="AB1071" s="36"/>
    </row>
    <row r="1072" spans="1:28" ht="48" hidden="1" customHeight="1">
      <c r="A1072" s="207" t="s">
        <v>2315</v>
      </c>
      <c r="B1072" s="117">
        <v>2014</v>
      </c>
      <c r="C1072" s="117" t="s">
        <v>61</v>
      </c>
      <c r="D1072" s="195" t="s">
        <v>2316</v>
      </c>
      <c r="E1072" s="206" t="s">
        <v>41</v>
      </c>
      <c r="F1072" s="117" t="s">
        <v>97</v>
      </c>
      <c r="G1072" s="211" t="s">
        <v>43</v>
      </c>
      <c r="H1072" s="117" t="s">
        <v>2230</v>
      </c>
      <c r="I1072" s="36"/>
      <c r="J1072" s="36"/>
      <c r="K1072" s="36"/>
      <c r="L1072" s="36"/>
      <c r="M1072" s="36"/>
      <c r="N1072" s="36"/>
      <c r="O1072" s="36"/>
      <c r="P1072" s="36"/>
      <c r="Q1072" s="36"/>
      <c r="R1072" s="36"/>
      <c r="S1072" s="36"/>
      <c r="T1072" s="36"/>
      <c r="U1072" s="36"/>
      <c r="V1072" s="36"/>
      <c r="W1072" s="36"/>
      <c r="X1072" s="36"/>
      <c r="Y1072" s="36"/>
      <c r="Z1072" s="36"/>
      <c r="AA1072" s="36"/>
      <c r="AB1072" s="36"/>
    </row>
    <row r="1073" spans="1:28" ht="24" hidden="1" customHeight="1">
      <c r="A1073" s="207" t="s">
        <v>2317</v>
      </c>
      <c r="B1073" s="117">
        <v>2014</v>
      </c>
      <c r="C1073" s="117" t="s">
        <v>57</v>
      </c>
      <c r="D1073" s="195" t="s">
        <v>2318</v>
      </c>
      <c r="E1073" s="206" t="s">
        <v>41</v>
      </c>
      <c r="F1073" s="117" t="s">
        <v>97</v>
      </c>
      <c r="G1073" s="211" t="s">
        <v>43</v>
      </c>
      <c r="H1073" s="117" t="s">
        <v>2230</v>
      </c>
      <c r="I1073" s="36"/>
      <c r="J1073" s="36"/>
      <c r="K1073" s="36"/>
      <c r="L1073" s="36"/>
      <c r="M1073" s="36"/>
      <c r="N1073" s="36"/>
      <c r="O1073" s="36"/>
      <c r="P1073" s="36"/>
      <c r="Q1073" s="36"/>
      <c r="R1073" s="36"/>
      <c r="S1073" s="36"/>
      <c r="T1073" s="36"/>
      <c r="U1073" s="36"/>
      <c r="V1073" s="36"/>
      <c r="W1073" s="36"/>
      <c r="X1073" s="36"/>
      <c r="Y1073" s="36"/>
      <c r="Z1073" s="36"/>
      <c r="AA1073" s="36"/>
      <c r="AB1073" s="36"/>
    </row>
    <row r="1074" spans="1:28" ht="42.75" hidden="1" customHeight="1">
      <c r="A1074" s="63" t="s">
        <v>1051</v>
      </c>
      <c r="B1074" s="32">
        <v>2015</v>
      </c>
      <c r="C1074" s="142" t="s">
        <v>2319</v>
      </c>
      <c r="D1074" s="52" t="s">
        <v>2320</v>
      </c>
      <c r="E1074" s="249" t="s">
        <v>41</v>
      </c>
      <c r="F1074" s="51" t="s">
        <v>97</v>
      </c>
      <c r="G1074" s="249" t="s">
        <v>43</v>
      </c>
      <c r="H1074" s="51" t="s">
        <v>2230</v>
      </c>
      <c r="I1074" s="36"/>
      <c r="J1074" s="36"/>
      <c r="K1074" s="36"/>
      <c r="L1074" s="36"/>
      <c r="M1074" s="36"/>
      <c r="N1074" s="36"/>
      <c r="O1074" s="36"/>
      <c r="P1074" s="36"/>
      <c r="Q1074" s="36"/>
      <c r="R1074" s="36"/>
      <c r="S1074" s="36"/>
      <c r="T1074" s="36"/>
      <c r="U1074" s="36"/>
      <c r="V1074" s="36"/>
      <c r="W1074" s="36"/>
      <c r="X1074" s="36"/>
      <c r="Y1074" s="36"/>
      <c r="Z1074" s="36"/>
      <c r="AA1074" s="36"/>
      <c r="AB1074" s="36"/>
    </row>
    <row r="1075" spans="1:28" ht="24" hidden="1" customHeight="1">
      <c r="A1075" s="207" t="s">
        <v>2321</v>
      </c>
      <c r="B1075" s="117">
        <v>2015</v>
      </c>
      <c r="C1075" s="117" t="s">
        <v>57</v>
      </c>
      <c r="D1075" s="195" t="s">
        <v>2322</v>
      </c>
      <c r="E1075" s="206" t="s">
        <v>41</v>
      </c>
      <c r="F1075" s="117" t="s">
        <v>97</v>
      </c>
      <c r="G1075" s="211" t="s">
        <v>43</v>
      </c>
      <c r="H1075" s="117" t="s">
        <v>2230</v>
      </c>
      <c r="I1075" s="36"/>
      <c r="J1075" s="36"/>
      <c r="K1075" s="36"/>
      <c r="L1075" s="36"/>
      <c r="M1075" s="36"/>
      <c r="N1075" s="36"/>
      <c r="O1075" s="36"/>
      <c r="P1075" s="36"/>
      <c r="Q1075" s="36"/>
      <c r="R1075" s="36"/>
      <c r="S1075" s="36"/>
      <c r="T1075" s="36"/>
      <c r="U1075" s="36"/>
      <c r="V1075" s="36"/>
      <c r="W1075" s="36"/>
      <c r="X1075" s="36"/>
      <c r="Y1075" s="36"/>
      <c r="Z1075" s="36"/>
      <c r="AA1075" s="36"/>
      <c r="AB1075" s="36"/>
    </row>
    <row r="1076" spans="1:28" ht="24" hidden="1" customHeight="1">
      <c r="A1076" s="63" t="s">
        <v>2323</v>
      </c>
      <c r="B1076" s="32">
        <v>2016</v>
      </c>
      <c r="C1076" s="142" t="s">
        <v>2324</v>
      </c>
      <c r="D1076" s="52" t="s">
        <v>2325</v>
      </c>
      <c r="E1076" s="249" t="s">
        <v>41</v>
      </c>
      <c r="F1076" s="51" t="s">
        <v>97</v>
      </c>
      <c r="G1076" s="249" t="s">
        <v>43</v>
      </c>
      <c r="H1076" s="51" t="s">
        <v>2230</v>
      </c>
      <c r="I1076" s="36"/>
      <c r="J1076" s="36"/>
      <c r="K1076" s="36"/>
      <c r="L1076" s="36"/>
      <c r="M1076" s="36"/>
      <c r="N1076" s="36"/>
      <c r="O1076" s="36"/>
      <c r="P1076" s="36"/>
      <c r="Q1076" s="36"/>
      <c r="R1076" s="36"/>
      <c r="S1076" s="36"/>
      <c r="T1076" s="36"/>
      <c r="U1076" s="36"/>
      <c r="V1076" s="36"/>
      <c r="W1076" s="36"/>
      <c r="X1076" s="36"/>
      <c r="Y1076" s="36"/>
      <c r="Z1076" s="36"/>
      <c r="AA1076" s="36"/>
      <c r="AB1076" s="36"/>
    </row>
    <row r="1077" spans="1:28" ht="36" hidden="1" customHeight="1">
      <c r="A1077" s="207" t="s">
        <v>309</v>
      </c>
      <c r="B1077" s="117">
        <v>2018</v>
      </c>
      <c r="C1077" s="117" t="s">
        <v>57</v>
      </c>
      <c r="D1077" s="195" t="s">
        <v>2326</v>
      </c>
      <c r="E1077" s="206" t="s">
        <v>41</v>
      </c>
      <c r="F1077" s="117" t="s">
        <v>97</v>
      </c>
      <c r="G1077" s="211" t="s">
        <v>43</v>
      </c>
      <c r="H1077" s="117" t="s">
        <v>2230</v>
      </c>
      <c r="I1077" s="36"/>
      <c r="J1077" s="36"/>
      <c r="K1077" s="36"/>
      <c r="L1077" s="36"/>
      <c r="M1077" s="36"/>
      <c r="N1077" s="36"/>
      <c r="O1077" s="36"/>
      <c r="P1077" s="36"/>
      <c r="Q1077" s="36"/>
      <c r="R1077" s="36"/>
      <c r="S1077" s="36"/>
      <c r="T1077" s="36"/>
      <c r="U1077" s="36"/>
      <c r="V1077" s="36"/>
      <c r="W1077" s="36"/>
      <c r="X1077" s="36"/>
      <c r="Y1077" s="36"/>
      <c r="Z1077" s="36"/>
      <c r="AA1077" s="36"/>
      <c r="AB1077" s="36"/>
    </row>
    <row r="1078" spans="1:28" ht="24" hidden="1" customHeight="1">
      <c r="A1078" s="208" t="s">
        <v>1061</v>
      </c>
      <c r="B1078" s="117">
        <v>2018</v>
      </c>
      <c r="C1078" s="117" t="s">
        <v>856</v>
      </c>
      <c r="D1078" s="195" t="s">
        <v>2327</v>
      </c>
      <c r="E1078" s="206" t="s">
        <v>41</v>
      </c>
      <c r="F1078" s="117" t="s">
        <v>97</v>
      </c>
      <c r="G1078" s="206" t="s">
        <v>43</v>
      </c>
      <c r="H1078" s="117" t="s">
        <v>2230</v>
      </c>
      <c r="I1078" s="36"/>
      <c r="J1078" s="36"/>
      <c r="K1078" s="36"/>
      <c r="L1078" s="36"/>
      <c r="M1078" s="36"/>
      <c r="N1078" s="36"/>
      <c r="O1078" s="36"/>
      <c r="P1078" s="36"/>
      <c r="Q1078" s="36"/>
      <c r="R1078" s="36"/>
      <c r="S1078" s="36"/>
      <c r="T1078" s="36"/>
      <c r="U1078" s="36"/>
      <c r="V1078" s="36"/>
      <c r="W1078" s="36"/>
      <c r="X1078" s="36"/>
      <c r="Y1078" s="36"/>
      <c r="Z1078" s="36"/>
      <c r="AA1078" s="36"/>
      <c r="AB1078" s="36"/>
    </row>
    <row r="1079" spans="1:28" ht="24" hidden="1" customHeight="1">
      <c r="A1079" s="63" t="s">
        <v>2328</v>
      </c>
      <c r="B1079" s="32">
        <v>2019</v>
      </c>
      <c r="C1079" s="142" t="s">
        <v>2324</v>
      </c>
      <c r="D1079" s="52" t="s">
        <v>2329</v>
      </c>
      <c r="E1079" s="249" t="s">
        <v>41</v>
      </c>
      <c r="F1079" s="51" t="s">
        <v>97</v>
      </c>
      <c r="G1079" s="249" t="s">
        <v>43</v>
      </c>
      <c r="H1079" s="51" t="s">
        <v>2230</v>
      </c>
      <c r="I1079" s="36"/>
      <c r="J1079" s="36"/>
      <c r="K1079" s="36"/>
      <c r="L1079" s="36"/>
      <c r="M1079" s="36"/>
      <c r="N1079" s="36"/>
      <c r="O1079" s="36"/>
      <c r="P1079" s="36"/>
      <c r="Q1079" s="36"/>
      <c r="R1079" s="36"/>
      <c r="S1079" s="36"/>
      <c r="T1079" s="36"/>
      <c r="U1079" s="36"/>
      <c r="V1079" s="36"/>
      <c r="W1079" s="36"/>
      <c r="X1079" s="36"/>
      <c r="Y1079" s="36"/>
      <c r="Z1079" s="36"/>
      <c r="AA1079" s="36"/>
      <c r="AB1079" s="36"/>
    </row>
    <row r="1080" spans="1:28" ht="15" hidden="1" customHeight="1">
      <c r="A1080" s="232" t="s">
        <v>243</v>
      </c>
      <c r="B1080" s="198">
        <v>1978</v>
      </c>
      <c r="C1080" s="117" t="s">
        <v>195</v>
      </c>
      <c r="D1080" s="195" t="s">
        <v>1566</v>
      </c>
      <c r="E1080" s="206" t="s">
        <v>41</v>
      </c>
      <c r="F1080" s="117" t="s">
        <v>97</v>
      </c>
      <c r="G1080" s="211" t="s">
        <v>43</v>
      </c>
      <c r="H1080" s="117" t="s">
        <v>2230</v>
      </c>
      <c r="I1080" s="35"/>
      <c r="J1080" s="36"/>
      <c r="K1080" s="36"/>
      <c r="L1080" s="36"/>
      <c r="M1080" s="36"/>
      <c r="N1080" s="36"/>
      <c r="O1080" s="36"/>
      <c r="P1080" s="36"/>
      <c r="Q1080" s="36"/>
      <c r="R1080" s="36"/>
      <c r="S1080" s="36"/>
      <c r="T1080" s="36"/>
      <c r="U1080" s="36"/>
      <c r="V1080" s="36"/>
      <c r="W1080" s="36"/>
      <c r="X1080" s="36"/>
      <c r="Y1080" s="36"/>
      <c r="Z1080" s="36"/>
      <c r="AA1080" s="36"/>
      <c r="AB1080" s="36"/>
    </row>
    <row r="1081" spans="1:28" ht="15" hidden="1" customHeight="1">
      <c r="A1081" s="250" t="s">
        <v>2330</v>
      </c>
      <c r="B1081" s="198">
        <v>1985</v>
      </c>
      <c r="C1081" s="117" t="s">
        <v>195</v>
      </c>
      <c r="D1081" s="195" t="s">
        <v>2331</v>
      </c>
      <c r="E1081" s="206" t="s">
        <v>41</v>
      </c>
      <c r="F1081" s="117" t="s">
        <v>97</v>
      </c>
      <c r="G1081" s="211" t="s">
        <v>43</v>
      </c>
      <c r="H1081" s="117" t="s">
        <v>2230</v>
      </c>
      <c r="I1081" s="35"/>
      <c r="J1081" s="36"/>
      <c r="K1081" s="36"/>
      <c r="L1081" s="36"/>
      <c r="M1081" s="36"/>
      <c r="N1081" s="36"/>
      <c r="O1081" s="36"/>
      <c r="P1081" s="36"/>
      <c r="Q1081" s="36"/>
      <c r="R1081" s="36"/>
      <c r="S1081" s="36"/>
      <c r="T1081" s="36"/>
      <c r="U1081" s="36"/>
      <c r="V1081" s="36"/>
      <c r="W1081" s="36"/>
      <c r="X1081" s="36"/>
      <c r="Y1081" s="36"/>
      <c r="Z1081" s="36"/>
      <c r="AA1081" s="36"/>
      <c r="AB1081" s="36"/>
    </row>
    <row r="1082" spans="1:28" ht="46.5" hidden="1" customHeight="1">
      <c r="A1082" s="63" t="s">
        <v>2332</v>
      </c>
      <c r="B1082" s="32">
        <v>2018</v>
      </c>
      <c r="C1082" s="142" t="s">
        <v>2333</v>
      </c>
      <c r="D1082" s="33" t="s">
        <v>2334</v>
      </c>
      <c r="E1082" s="249" t="s">
        <v>41</v>
      </c>
      <c r="F1082" s="51" t="s">
        <v>97</v>
      </c>
      <c r="G1082" s="249" t="s">
        <v>43</v>
      </c>
      <c r="H1082" s="51" t="s">
        <v>2230</v>
      </c>
      <c r="I1082" s="35"/>
      <c r="J1082" s="36"/>
      <c r="K1082" s="36"/>
      <c r="L1082" s="36"/>
      <c r="M1082" s="36"/>
      <c r="N1082" s="36"/>
      <c r="O1082" s="36"/>
      <c r="P1082" s="36"/>
      <c r="Q1082" s="36"/>
      <c r="R1082" s="36"/>
      <c r="S1082" s="36"/>
      <c r="T1082" s="36"/>
      <c r="U1082" s="36"/>
      <c r="V1082" s="36"/>
      <c r="W1082" s="36"/>
      <c r="X1082" s="36"/>
      <c r="Y1082" s="36"/>
      <c r="Z1082" s="36"/>
      <c r="AA1082" s="36"/>
      <c r="AB1082" s="36"/>
    </row>
    <row r="1083" spans="1:28" ht="34.5" hidden="1" customHeight="1">
      <c r="A1083" s="205" t="s">
        <v>1576</v>
      </c>
      <c r="B1083" s="117">
        <v>1991</v>
      </c>
      <c r="C1083" s="117" t="s">
        <v>1619</v>
      </c>
      <c r="D1083" s="195" t="s">
        <v>2335</v>
      </c>
      <c r="E1083" s="206" t="s">
        <v>41</v>
      </c>
      <c r="F1083" s="117" t="s">
        <v>97</v>
      </c>
      <c r="G1083" s="211" t="s">
        <v>43</v>
      </c>
      <c r="H1083" s="117" t="s">
        <v>2230</v>
      </c>
      <c r="I1083" s="35"/>
      <c r="J1083" s="36"/>
      <c r="K1083" s="36"/>
      <c r="L1083" s="36"/>
      <c r="M1083" s="36"/>
      <c r="N1083" s="36"/>
      <c r="O1083" s="36"/>
      <c r="P1083" s="36"/>
      <c r="Q1083" s="36"/>
      <c r="R1083" s="36"/>
      <c r="S1083" s="36"/>
      <c r="T1083" s="36"/>
      <c r="U1083" s="36"/>
      <c r="V1083" s="36"/>
      <c r="W1083" s="36"/>
      <c r="X1083" s="36"/>
      <c r="Y1083" s="36"/>
      <c r="Z1083" s="36"/>
      <c r="AA1083" s="36"/>
      <c r="AB1083" s="36"/>
    </row>
    <row r="1084" spans="1:28" ht="60" hidden="1" customHeight="1">
      <c r="A1084" s="207" t="s">
        <v>2336</v>
      </c>
      <c r="B1084" s="117">
        <v>1997</v>
      </c>
      <c r="C1084" s="117" t="s">
        <v>61</v>
      </c>
      <c r="D1084" s="195" t="s">
        <v>2337</v>
      </c>
      <c r="E1084" s="206" t="s">
        <v>41</v>
      </c>
      <c r="F1084" s="117" t="s">
        <v>97</v>
      </c>
      <c r="G1084" s="211" t="s">
        <v>43</v>
      </c>
      <c r="H1084" s="117" t="s">
        <v>2230</v>
      </c>
      <c r="I1084" s="35"/>
      <c r="J1084" s="36"/>
      <c r="K1084" s="36"/>
      <c r="L1084" s="36"/>
      <c r="M1084" s="36"/>
      <c r="N1084" s="36"/>
      <c r="O1084" s="36"/>
      <c r="P1084" s="36"/>
      <c r="Q1084" s="36"/>
      <c r="R1084" s="36"/>
      <c r="S1084" s="36"/>
      <c r="T1084" s="36"/>
      <c r="U1084" s="36"/>
      <c r="V1084" s="36"/>
      <c r="W1084" s="36"/>
      <c r="X1084" s="36"/>
      <c r="Y1084" s="36"/>
      <c r="Z1084" s="36"/>
      <c r="AA1084" s="36"/>
      <c r="AB1084" s="36"/>
    </row>
    <row r="1085" spans="1:28" ht="24" hidden="1" customHeight="1">
      <c r="A1085" s="207" t="s">
        <v>2338</v>
      </c>
      <c r="B1085" s="117">
        <v>2004</v>
      </c>
      <c r="C1085" s="117" t="s">
        <v>969</v>
      </c>
      <c r="D1085" s="195" t="s">
        <v>2339</v>
      </c>
      <c r="E1085" s="206" t="s">
        <v>41</v>
      </c>
      <c r="F1085" s="117" t="s">
        <v>97</v>
      </c>
      <c r="G1085" s="211" t="s">
        <v>43</v>
      </c>
      <c r="H1085" s="117" t="s">
        <v>2230</v>
      </c>
      <c r="I1085" s="35"/>
      <c r="J1085" s="36"/>
      <c r="K1085" s="36"/>
      <c r="L1085" s="36"/>
      <c r="M1085" s="36"/>
      <c r="N1085" s="36"/>
      <c r="O1085" s="36"/>
      <c r="P1085" s="36"/>
      <c r="Q1085" s="36"/>
      <c r="R1085" s="36"/>
      <c r="S1085" s="36"/>
      <c r="T1085" s="36"/>
      <c r="U1085" s="36"/>
      <c r="V1085" s="36"/>
      <c r="W1085" s="36"/>
      <c r="X1085" s="36"/>
      <c r="Y1085" s="36"/>
      <c r="Z1085" s="36"/>
      <c r="AA1085" s="36"/>
      <c r="AB1085" s="36"/>
    </row>
    <row r="1086" spans="1:28" ht="48" hidden="1" customHeight="1">
      <c r="A1086" s="207" t="s">
        <v>886</v>
      </c>
      <c r="B1086" s="117">
        <v>2007</v>
      </c>
      <c r="C1086" s="197" t="s">
        <v>130</v>
      </c>
      <c r="D1086" s="195" t="s">
        <v>2340</v>
      </c>
      <c r="E1086" s="206" t="s">
        <v>41</v>
      </c>
      <c r="F1086" s="117" t="s">
        <v>97</v>
      </c>
      <c r="G1086" s="211" t="s">
        <v>43</v>
      </c>
      <c r="H1086" s="117" t="s">
        <v>2230</v>
      </c>
      <c r="I1086" s="35"/>
      <c r="J1086" s="36"/>
      <c r="K1086" s="36"/>
      <c r="L1086" s="36"/>
      <c r="M1086" s="36"/>
      <c r="N1086" s="36"/>
      <c r="O1086" s="36"/>
      <c r="P1086" s="36"/>
      <c r="Q1086" s="36"/>
      <c r="R1086" s="36"/>
      <c r="S1086" s="36"/>
      <c r="T1086" s="36"/>
      <c r="U1086" s="36"/>
      <c r="V1086" s="36"/>
      <c r="W1086" s="36"/>
      <c r="X1086" s="36"/>
      <c r="Y1086" s="36"/>
      <c r="Z1086" s="36"/>
      <c r="AA1086" s="36"/>
      <c r="AB1086" s="36"/>
    </row>
    <row r="1087" spans="1:28" ht="36" hidden="1" customHeight="1">
      <c r="A1087" s="207" t="s">
        <v>1586</v>
      </c>
      <c r="B1087" s="117">
        <v>2009</v>
      </c>
      <c r="C1087" s="197" t="s">
        <v>130</v>
      </c>
      <c r="D1087" s="195" t="s">
        <v>2341</v>
      </c>
      <c r="E1087" s="206" t="s">
        <v>41</v>
      </c>
      <c r="F1087" s="117" t="s">
        <v>97</v>
      </c>
      <c r="G1087" s="211" t="s">
        <v>43</v>
      </c>
      <c r="H1087" s="117" t="s">
        <v>2230</v>
      </c>
      <c r="I1087" s="35"/>
      <c r="J1087" s="36"/>
      <c r="K1087" s="36"/>
      <c r="L1087" s="36"/>
      <c r="M1087" s="36"/>
      <c r="N1087" s="36"/>
      <c r="O1087" s="36"/>
      <c r="P1087" s="36"/>
      <c r="Q1087" s="36"/>
      <c r="R1087" s="36"/>
      <c r="S1087" s="36"/>
      <c r="T1087" s="36"/>
      <c r="U1087" s="36"/>
      <c r="V1087" s="36"/>
      <c r="W1087" s="36"/>
      <c r="X1087" s="36"/>
      <c r="Y1087" s="36"/>
      <c r="Z1087" s="36"/>
      <c r="AA1087" s="36"/>
      <c r="AB1087" s="36"/>
    </row>
    <row r="1088" spans="1:28" ht="24" hidden="1" customHeight="1">
      <c r="A1088" s="207" t="s">
        <v>2342</v>
      </c>
      <c r="B1088" s="117">
        <v>2011</v>
      </c>
      <c r="C1088" s="197" t="s">
        <v>1619</v>
      </c>
      <c r="D1088" s="195" t="s">
        <v>2343</v>
      </c>
      <c r="E1088" s="206" t="s">
        <v>41</v>
      </c>
      <c r="F1088" s="117" t="s">
        <v>97</v>
      </c>
      <c r="G1088" s="211" t="s">
        <v>43</v>
      </c>
      <c r="H1088" s="117" t="s">
        <v>2230</v>
      </c>
      <c r="I1088" s="35"/>
      <c r="J1088" s="36"/>
      <c r="K1088" s="36"/>
      <c r="L1088" s="36"/>
      <c r="M1088" s="36"/>
      <c r="N1088" s="36"/>
      <c r="O1088" s="36"/>
      <c r="P1088" s="36"/>
      <c r="Q1088" s="36"/>
      <c r="R1088" s="36"/>
      <c r="S1088" s="36"/>
      <c r="T1088" s="36"/>
      <c r="U1088" s="36"/>
      <c r="V1088" s="36"/>
      <c r="W1088" s="36"/>
      <c r="X1088" s="36"/>
      <c r="Y1088" s="36"/>
      <c r="Z1088" s="36"/>
      <c r="AA1088" s="36"/>
      <c r="AB1088" s="36"/>
    </row>
    <row r="1089" spans="1:28" ht="24" hidden="1" customHeight="1">
      <c r="A1089" s="207" t="s">
        <v>2344</v>
      </c>
      <c r="B1089" s="117">
        <v>2011</v>
      </c>
      <c r="C1089" s="197" t="s">
        <v>130</v>
      </c>
      <c r="D1089" s="195" t="s">
        <v>2345</v>
      </c>
      <c r="E1089" s="206" t="s">
        <v>41</v>
      </c>
      <c r="F1089" s="117" t="s">
        <v>97</v>
      </c>
      <c r="G1089" s="211" t="s">
        <v>43</v>
      </c>
      <c r="H1089" s="117" t="s">
        <v>2230</v>
      </c>
      <c r="I1089" s="35"/>
      <c r="J1089" s="36"/>
      <c r="K1089" s="36"/>
      <c r="L1089" s="36"/>
      <c r="M1089" s="36"/>
      <c r="N1089" s="36"/>
      <c r="O1089" s="36"/>
      <c r="P1089" s="36"/>
      <c r="Q1089" s="36"/>
      <c r="R1089" s="36"/>
      <c r="S1089" s="36"/>
      <c r="T1089" s="36"/>
      <c r="U1089" s="36"/>
      <c r="V1089" s="36"/>
      <c r="W1089" s="36"/>
      <c r="X1089" s="36"/>
      <c r="Y1089" s="36"/>
      <c r="Z1089" s="36"/>
      <c r="AA1089" s="36"/>
      <c r="AB1089" s="36"/>
    </row>
    <row r="1090" spans="1:28" ht="24" hidden="1" customHeight="1">
      <c r="A1090" s="207" t="s">
        <v>2346</v>
      </c>
      <c r="B1090" s="117">
        <v>2012</v>
      </c>
      <c r="C1090" s="197" t="s">
        <v>130</v>
      </c>
      <c r="D1090" s="195" t="s">
        <v>2347</v>
      </c>
      <c r="E1090" s="206" t="s">
        <v>41</v>
      </c>
      <c r="F1090" s="117" t="s">
        <v>97</v>
      </c>
      <c r="G1090" s="211" t="s">
        <v>43</v>
      </c>
      <c r="H1090" s="117" t="s">
        <v>2230</v>
      </c>
      <c r="I1090" s="35"/>
      <c r="J1090" s="36"/>
      <c r="K1090" s="36"/>
      <c r="L1090" s="36"/>
      <c r="M1090" s="36"/>
      <c r="N1090" s="36"/>
      <c r="O1090" s="36"/>
      <c r="P1090" s="36"/>
      <c r="Q1090" s="36"/>
      <c r="R1090" s="36"/>
      <c r="S1090" s="36"/>
      <c r="T1090" s="36"/>
      <c r="U1090" s="36"/>
      <c r="V1090" s="36"/>
      <c r="W1090" s="36"/>
      <c r="X1090" s="36"/>
      <c r="Y1090" s="36"/>
      <c r="Z1090" s="36"/>
      <c r="AA1090" s="36"/>
      <c r="AB1090" s="36"/>
    </row>
    <row r="1091" spans="1:28" ht="24" hidden="1" customHeight="1">
      <c r="A1091" s="207" t="s">
        <v>2348</v>
      </c>
      <c r="B1091" s="117">
        <v>2013</v>
      </c>
      <c r="C1091" s="197" t="s">
        <v>130</v>
      </c>
      <c r="D1091" s="195" t="s">
        <v>2349</v>
      </c>
      <c r="E1091" s="206" t="s">
        <v>41</v>
      </c>
      <c r="F1091" s="117" t="s">
        <v>97</v>
      </c>
      <c r="G1091" s="211" t="s">
        <v>43</v>
      </c>
      <c r="H1091" s="117" t="s">
        <v>2230</v>
      </c>
      <c r="I1091" s="35"/>
      <c r="J1091" s="36"/>
      <c r="K1091" s="36"/>
      <c r="L1091" s="36"/>
      <c r="M1091" s="36"/>
      <c r="N1091" s="36"/>
      <c r="O1091" s="36"/>
      <c r="P1091" s="36"/>
      <c r="Q1091" s="36"/>
      <c r="R1091" s="36"/>
      <c r="S1091" s="36"/>
      <c r="T1091" s="36"/>
      <c r="U1091" s="36"/>
      <c r="V1091" s="36"/>
      <c r="W1091" s="36"/>
      <c r="X1091" s="36"/>
      <c r="Y1091" s="36"/>
      <c r="Z1091" s="36"/>
      <c r="AA1091" s="36"/>
      <c r="AB1091" s="36"/>
    </row>
    <row r="1092" spans="1:28" ht="24" hidden="1" customHeight="1">
      <c r="A1092" s="207" t="s">
        <v>2350</v>
      </c>
      <c r="B1092" s="117">
        <v>2013</v>
      </c>
      <c r="C1092" s="117" t="s">
        <v>430</v>
      </c>
      <c r="D1092" s="195" t="s">
        <v>2351</v>
      </c>
      <c r="E1092" s="117" t="s">
        <v>41</v>
      </c>
      <c r="F1092" s="117" t="s">
        <v>42</v>
      </c>
      <c r="G1092" s="206" t="s">
        <v>43</v>
      </c>
      <c r="H1092" s="117" t="s">
        <v>2230</v>
      </c>
      <c r="I1092" s="35"/>
      <c r="J1092" s="36"/>
      <c r="K1092" s="36"/>
      <c r="L1092" s="36"/>
      <c r="M1092" s="36"/>
      <c r="N1092" s="36"/>
      <c r="O1092" s="36"/>
      <c r="P1092" s="36"/>
      <c r="Q1092" s="36"/>
      <c r="R1092" s="36"/>
      <c r="S1092" s="36"/>
      <c r="T1092" s="36"/>
      <c r="U1092" s="36"/>
      <c r="V1092" s="36"/>
      <c r="W1092" s="36"/>
      <c r="X1092" s="36"/>
      <c r="Y1092" s="36"/>
      <c r="Z1092" s="36"/>
      <c r="AA1092" s="36"/>
      <c r="AB1092" s="36"/>
    </row>
    <row r="1093" spans="1:28" ht="24" hidden="1" customHeight="1">
      <c r="A1093" s="207" t="s">
        <v>2352</v>
      </c>
      <c r="B1093" s="117">
        <v>2014</v>
      </c>
      <c r="C1093" s="197" t="s">
        <v>130</v>
      </c>
      <c r="D1093" s="195" t="s">
        <v>2353</v>
      </c>
      <c r="E1093" s="206" t="s">
        <v>41</v>
      </c>
      <c r="F1093" s="117" t="s">
        <v>97</v>
      </c>
      <c r="G1093" s="211" t="s">
        <v>43</v>
      </c>
      <c r="H1093" s="117" t="s">
        <v>2230</v>
      </c>
      <c r="I1093" s="35"/>
      <c r="J1093" s="36"/>
      <c r="K1093" s="36"/>
      <c r="L1093" s="36"/>
      <c r="M1093" s="36"/>
      <c r="N1093" s="36"/>
      <c r="O1093" s="36"/>
      <c r="P1093" s="36"/>
      <c r="Q1093" s="36"/>
      <c r="R1093" s="36"/>
      <c r="S1093" s="36"/>
      <c r="T1093" s="36"/>
      <c r="U1093" s="36"/>
      <c r="V1093" s="36"/>
      <c r="W1093" s="36"/>
      <c r="X1093" s="36"/>
      <c r="Y1093" s="36"/>
      <c r="Z1093" s="36"/>
      <c r="AA1093" s="36"/>
      <c r="AB1093" s="36"/>
    </row>
    <row r="1094" spans="1:28" ht="24" hidden="1" customHeight="1">
      <c r="A1094" s="207" t="s">
        <v>2354</v>
      </c>
      <c r="B1094" s="117">
        <v>2015</v>
      </c>
      <c r="C1094" s="197" t="s">
        <v>130</v>
      </c>
      <c r="D1094" s="195" t="s">
        <v>2355</v>
      </c>
      <c r="E1094" s="206" t="s">
        <v>41</v>
      </c>
      <c r="F1094" s="117" t="s">
        <v>97</v>
      </c>
      <c r="G1094" s="211" t="s">
        <v>43</v>
      </c>
      <c r="H1094" s="117" t="s">
        <v>2230</v>
      </c>
      <c r="I1094" s="35"/>
      <c r="J1094" s="36"/>
      <c r="K1094" s="36"/>
      <c r="L1094" s="36"/>
      <c r="M1094" s="36"/>
      <c r="N1094" s="36"/>
      <c r="O1094" s="36"/>
      <c r="P1094" s="36"/>
      <c r="Q1094" s="36"/>
      <c r="R1094" s="36"/>
      <c r="S1094" s="36"/>
      <c r="T1094" s="36"/>
      <c r="U1094" s="36"/>
      <c r="V1094" s="36"/>
      <c r="W1094" s="36"/>
      <c r="X1094" s="36"/>
      <c r="Y1094" s="36"/>
      <c r="Z1094" s="36"/>
      <c r="AA1094" s="36"/>
      <c r="AB1094" s="36"/>
    </row>
    <row r="1095" spans="1:28" ht="24" hidden="1" customHeight="1">
      <c r="A1095" s="207" t="s">
        <v>2356</v>
      </c>
      <c r="B1095" s="117">
        <v>2016</v>
      </c>
      <c r="C1095" s="197" t="s">
        <v>130</v>
      </c>
      <c r="D1095" s="195" t="s">
        <v>2357</v>
      </c>
      <c r="E1095" s="206" t="s">
        <v>41</v>
      </c>
      <c r="F1095" s="117" t="s">
        <v>97</v>
      </c>
      <c r="G1095" s="211" t="s">
        <v>43</v>
      </c>
      <c r="H1095" s="117" t="s">
        <v>2230</v>
      </c>
      <c r="I1095" s="35"/>
      <c r="J1095" s="36"/>
      <c r="K1095" s="36"/>
      <c r="L1095" s="36"/>
      <c r="M1095" s="36"/>
      <c r="N1095" s="36"/>
      <c r="O1095" s="36"/>
      <c r="P1095" s="36"/>
      <c r="Q1095" s="36"/>
      <c r="R1095" s="36"/>
      <c r="S1095" s="36"/>
      <c r="T1095" s="36"/>
      <c r="U1095" s="36"/>
      <c r="V1095" s="36"/>
      <c r="W1095" s="36"/>
      <c r="X1095" s="36"/>
      <c r="Y1095" s="36"/>
      <c r="Z1095" s="36"/>
      <c r="AA1095" s="36"/>
      <c r="AB1095" s="36"/>
    </row>
    <row r="1096" spans="1:28" ht="24" hidden="1" customHeight="1">
      <c r="A1096" s="207" t="s">
        <v>2358</v>
      </c>
      <c r="B1096" s="117">
        <v>2017</v>
      </c>
      <c r="C1096" s="117" t="s">
        <v>130</v>
      </c>
      <c r="D1096" s="195" t="s">
        <v>2359</v>
      </c>
      <c r="E1096" s="206" t="s">
        <v>41</v>
      </c>
      <c r="F1096" s="117" t="s">
        <v>97</v>
      </c>
      <c r="G1096" s="211" t="s">
        <v>43</v>
      </c>
      <c r="H1096" s="117" t="s">
        <v>2230</v>
      </c>
      <c r="I1096" s="35"/>
      <c r="J1096" s="36"/>
      <c r="K1096" s="36"/>
      <c r="L1096" s="36"/>
      <c r="M1096" s="36"/>
      <c r="N1096" s="36"/>
      <c r="O1096" s="36"/>
      <c r="P1096" s="36"/>
      <c r="Q1096" s="36"/>
      <c r="R1096" s="36"/>
      <c r="S1096" s="36"/>
      <c r="T1096" s="36"/>
      <c r="U1096" s="36"/>
      <c r="V1096" s="36"/>
      <c r="W1096" s="36"/>
      <c r="X1096" s="36"/>
      <c r="Y1096" s="36"/>
      <c r="Z1096" s="36"/>
      <c r="AA1096" s="36"/>
      <c r="AB1096" s="36"/>
    </row>
    <row r="1097" spans="1:28" ht="36" hidden="1" customHeight="1">
      <c r="A1097" s="207" t="s">
        <v>2163</v>
      </c>
      <c r="B1097" s="117">
        <v>2018</v>
      </c>
      <c r="C1097" s="117" t="s">
        <v>223</v>
      </c>
      <c r="D1097" s="195" t="s">
        <v>2360</v>
      </c>
      <c r="E1097" s="206" t="s">
        <v>41</v>
      </c>
      <c r="F1097" s="117" t="s">
        <v>97</v>
      </c>
      <c r="G1097" s="206" t="s">
        <v>43</v>
      </c>
      <c r="H1097" s="117" t="s">
        <v>2230</v>
      </c>
      <c r="I1097" s="35"/>
      <c r="J1097" s="36"/>
      <c r="K1097" s="36"/>
      <c r="L1097" s="36"/>
      <c r="M1097" s="36"/>
      <c r="N1097" s="36"/>
      <c r="O1097" s="36"/>
      <c r="P1097" s="36"/>
      <c r="Q1097" s="36"/>
      <c r="R1097" s="36"/>
      <c r="S1097" s="36"/>
      <c r="T1097" s="36"/>
      <c r="U1097" s="36"/>
      <c r="V1097" s="36"/>
      <c r="W1097" s="36"/>
      <c r="X1097" s="36"/>
      <c r="Y1097" s="36"/>
      <c r="Z1097" s="36"/>
      <c r="AA1097" s="36"/>
      <c r="AB1097" s="36"/>
    </row>
    <row r="1098" spans="1:28" ht="48" hidden="1" customHeight="1">
      <c r="A1098" s="207" t="s">
        <v>2361</v>
      </c>
      <c r="B1098" s="117">
        <v>2018</v>
      </c>
      <c r="C1098" s="117" t="s">
        <v>1574</v>
      </c>
      <c r="D1098" s="195" t="s">
        <v>2362</v>
      </c>
      <c r="E1098" s="206" t="s">
        <v>41</v>
      </c>
      <c r="F1098" s="117" t="s">
        <v>97</v>
      </c>
      <c r="G1098" s="206" t="s">
        <v>43</v>
      </c>
      <c r="H1098" s="117" t="s">
        <v>2230</v>
      </c>
      <c r="I1098" s="35"/>
      <c r="J1098" s="36"/>
      <c r="K1098" s="36"/>
      <c r="L1098" s="36"/>
      <c r="M1098" s="36"/>
      <c r="N1098" s="36"/>
      <c r="O1098" s="36"/>
      <c r="P1098" s="36"/>
      <c r="Q1098" s="36"/>
      <c r="R1098" s="36"/>
      <c r="S1098" s="36"/>
      <c r="T1098" s="36"/>
      <c r="U1098" s="36"/>
      <c r="V1098" s="36"/>
      <c r="W1098" s="36"/>
      <c r="X1098" s="36"/>
      <c r="Y1098" s="36"/>
      <c r="Z1098" s="36"/>
      <c r="AA1098" s="36"/>
      <c r="AB1098" s="36"/>
    </row>
    <row r="1099" spans="1:28" ht="12" hidden="1" customHeight="1">
      <c r="A1099" s="207" t="s">
        <v>2363</v>
      </c>
      <c r="B1099" s="117">
        <v>2018</v>
      </c>
      <c r="C1099" s="117" t="s">
        <v>1574</v>
      </c>
      <c r="D1099" s="195" t="s">
        <v>2364</v>
      </c>
      <c r="E1099" s="206" t="s">
        <v>41</v>
      </c>
      <c r="F1099" s="117" t="s">
        <v>97</v>
      </c>
      <c r="G1099" s="206" t="s">
        <v>43</v>
      </c>
      <c r="H1099" s="117" t="s">
        <v>2230</v>
      </c>
      <c r="I1099" s="35"/>
      <c r="J1099" s="36"/>
      <c r="K1099" s="36"/>
      <c r="L1099" s="36"/>
      <c r="M1099" s="36"/>
      <c r="N1099" s="36"/>
      <c r="O1099" s="36"/>
      <c r="P1099" s="36"/>
      <c r="Q1099" s="36"/>
      <c r="R1099" s="36"/>
      <c r="S1099" s="36"/>
      <c r="T1099" s="36"/>
      <c r="U1099" s="36"/>
      <c r="V1099" s="36"/>
      <c r="W1099" s="36"/>
      <c r="X1099" s="36"/>
      <c r="Y1099" s="36"/>
      <c r="Z1099" s="36"/>
      <c r="AA1099" s="36"/>
      <c r="AB1099" s="36"/>
    </row>
    <row r="1100" spans="1:28" ht="12" hidden="1" customHeight="1">
      <c r="A1100" s="207" t="s">
        <v>2365</v>
      </c>
      <c r="B1100" s="117">
        <v>2018</v>
      </c>
      <c r="C1100" s="117" t="s">
        <v>1574</v>
      </c>
      <c r="D1100" s="210" t="s">
        <v>2364</v>
      </c>
      <c r="E1100" s="206" t="s">
        <v>41</v>
      </c>
      <c r="F1100" s="117" t="s">
        <v>97</v>
      </c>
      <c r="G1100" s="206" t="s">
        <v>43</v>
      </c>
      <c r="H1100" s="117" t="s">
        <v>2230</v>
      </c>
      <c r="I1100" s="35"/>
      <c r="J1100" s="36"/>
      <c r="K1100" s="36"/>
      <c r="L1100" s="36"/>
      <c r="M1100" s="36"/>
      <c r="N1100" s="36"/>
      <c r="O1100" s="36"/>
      <c r="P1100" s="36"/>
      <c r="Q1100" s="36"/>
      <c r="R1100" s="36"/>
      <c r="S1100" s="36"/>
      <c r="T1100" s="36"/>
      <c r="U1100" s="36"/>
      <c r="V1100" s="36"/>
      <c r="W1100" s="36"/>
      <c r="X1100" s="36"/>
      <c r="Y1100" s="36"/>
      <c r="Z1100" s="36"/>
      <c r="AA1100" s="36"/>
      <c r="AB1100" s="36"/>
    </row>
    <row r="1101" spans="1:28" ht="36" hidden="1" customHeight="1">
      <c r="A1101" s="207" t="s">
        <v>2366</v>
      </c>
      <c r="B1101" s="117">
        <v>2011</v>
      </c>
      <c r="C1101" s="117" t="s">
        <v>61</v>
      </c>
      <c r="D1101" s="195" t="s">
        <v>2367</v>
      </c>
      <c r="E1101" s="206" t="s">
        <v>41</v>
      </c>
      <c r="F1101" s="117" t="s">
        <v>97</v>
      </c>
      <c r="G1101" s="211" t="s">
        <v>43</v>
      </c>
      <c r="H1101" s="117" t="s">
        <v>2230</v>
      </c>
      <c r="I1101" s="35"/>
      <c r="J1101" s="36"/>
      <c r="K1101" s="36"/>
      <c r="L1101" s="36"/>
      <c r="M1101" s="36"/>
      <c r="N1101" s="36"/>
      <c r="O1101" s="36"/>
      <c r="P1101" s="36"/>
      <c r="Q1101" s="36"/>
      <c r="R1101" s="36"/>
      <c r="S1101" s="36"/>
      <c r="T1101" s="36"/>
      <c r="U1101" s="36"/>
      <c r="V1101" s="36"/>
      <c r="W1101" s="36"/>
      <c r="X1101" s="36"/>
      <c r="Y1101" s="36"/>
      <c r="Z1101" s="36"/>
      <c r="AA1101" s="36"/>
      <c r="AB1101" s="36"/>
    </row>
    <row r="1102" spans="1:28" ht="36" hidden="1" customHeight="1">
      <c r="A1102" s="207" t="s">
        <v>345</v>
      </c>
      <c r="B1102" s="117">
        <v>2013</v>
      </c>
      <c r="C1102" s="117" t="s">
        <v>856</v>
      </c>
      <c r="D1102" s="195" t="s">
        <v>2368</v>
      </c>
      <c r="E1102" s="206" t="s">
        <v>41</v>
      </c>
      <c r="F1102" s="117" t="s">
        <v>97</v>
      </c>
      <c r="G1102" s="206" t="s">
        <v>43</v>
      </c>
      <c r="H1102" s="117" t="s">
        <v>2230</v>
      </c>
      <c r="I1102" s="35"/>
      <c r="J1102" s="36"/>
      <c r="K1102" s="36"/>
      <c r="L1102" s="36"/>
      <c r="M1102" s="36"/>
      <c r="N1102" s="36"/>
      <c r="O1102" s="36"/>
      <c r="P1102" s="36"/>
      <c r="Q1102" s="36"/>
      <c r="R1102" s="36"/>
      <c r="S1102" s="36"/>
      <c r="T1102" s="36"/>
      <c r="U1102" s="36"/>
      <c r="V1102" s="36"/>
      <c r="W1102" s="36"/>
      <c r="X1102" s="36"/>
      <c r="Y1102" s="36"/>
      <c r="Z1102" s="36"/>
      <c r="AA1102" s="36"/>
      <c r="AB1102" s="36"/>
    </row>
    <row r="1103" spans="1:28" ht="36" hidden="1" customHeight="1">
      <c r="A1103" s="63" t="s">
        <v>2369</v>
      </c>
      <c r="B1103" s="32">
        <v>2018</v>
      </c>
      <c r="C1103" s="142" t="s">
        <v>223</v>
      </c>
      <c r="D1103" s="52" t="s">
        <v>2370</v>
      </c>
      <c r="E1103" s="249" t="s">
        <v>41</v>
      </c>
      <c r="F1103" s="51" t="s">
        <v>97</v>
      </c>
      <c r="G1103" s="249" t="s">
        <v>43</v>
      </c>
      <c r="H1103" s="51" t="s">
        <v>2230</v>
      </c>
      <c r="I1103" s="35"/>
      <c r="J1103" s="36"/>
      <c r="K1103" s="36"/>
      <c r="L1103" s="36"/>
      <c r="M1103" s="36"/>
      <c r="N1103" s="36"/>
      <c r="O1103" s="36"/>
      <c r="P1103" s="36"/>
      <c r="Q1103" s="36"/>
      <c r="R1103" s="36"/>
      <c r="S1103" s="36"/>
      <c r="T1103" s="36"/>
      <c r="U1103" s="36"/>
      <c r="V1103" s="36"/>
      <c r="W1103" s="36"/>
      <c r="X1103" s="36"/>
      <c r="Y1103" s="36"/>
      <c r="Z1103" s="36"/>
      <c r="AA1103" s="36"/>
      <c r="AB1103" s="36"/>
    </row>
    <row r="1104" spans="1:28" ht="36" hidden="1" customHeight="1">
      <c r="A1104" s="63" t="s">
        <v>2371</v>
      </c>
      <c r="B1104" s="32">
        <v>2019</v>
      </c>
      <c r="C1104" s="142" t="s">
        <v>2319</v>
      </c>
      <c r="D1104" s="52" t="s">
        <v>2372</v>
      </c>
      <c r="E1104" s="249" t="s">
        <v>41</v>
      </c>
      <c r="F1104" s="51" t="s">
        <v>97</v>
      </c>
      <c r="G1104" s="249" t="s">
        <v>43</v>
      </c>
      <c r="H1104" s="51" t="s">
        <v>2230</v>
      </c>
      <c r="I1104" s="35"/>
      <c r="J1104" s="36"/>
      <c r="K1104" s="36"/>
      <c r="L1104" s="36"/>
      <c r="M1104" s="36"/>
      <c r="N1104" s="36"/>
      <c r="O1104" s="36"/>
      <c r="P1104" s="36"/>
      <c r="Q1104" s="36"/>
      <c r="R1104" s="36"/>
      <c r="S1104" s="36"/>
      <c r="T1104" s="36"/>
      <c r="U1104" s="36"/>
      <c r="V1104" s="36"/>
      <c r="W1104" s="36"/>
      <c r="X1104" s="36"/>
      <c r="Y1104" s="36"/>
      <c r="Z1104" s="36"/>
      <c r="AA1104" s="36"/>
      <c r="AB1104" s="36"/>
    </row>
    <row r="1105" spans="1:28" ht="24" hidden="1" customHeight="1">
      <c r="A1105" s="207" t="s">
        <v>2373</v>
      </c>
      <c r="B1105" s="117">
        <v>2004</v>
      </c>
      <c r="C1105" s="117" t="s">
        <v>2374</v>
      </c>
      <c r="D1105" s="195" t="s">
        <v>2375</v>
      </c>
      <c r="E1105" s="206" t="s">
        <v>41</v>
      </c>
      <c r="F1105" s="117" t="s">
        <v>97</v>
      </c>
      <c r="G1105" s="211" t="s">
        <v>43</v>
      </c>
      <c r="H1105" s="117" t="s">
        <v>2230</v>
      </c>
      <c r="I1105" s="35"/>
      <c r="J1105" s="36"/>
      <c r="K1105" s="36"/>
      <c r="L1105" s="36"/>
      <c r="M1105" s="36"/>
      <c r="N1105" s="36"/>
      <c r="O1105" s="36"/>
      <c r="P1105" s="36"/>
      <c r="Q1105" s="36"/>
      <c r="R1105" s="36"/>
      <c r="S1105" s="36"/>
      <c r="T1105" s="36"/>
      <c r="U1105" s="36"/>
      <c r="V1105" s="36"/>
      <c r="W1105" s="36"/>
      <c r="X1105" s="36"/>
      <c r="Y1105" s="36"/>
      <c r="Z1105" s="36"/>
      <c r="AA1105" s="36"/>
      <c r="AB1105" s="36"/>
    </row>
    <row r="1106" spans="1:28" ht="24" hidden="1" customHeight="1">
      <c r="A1106" s="207" t="s">
        <v>2376</v>
      </c>
      <c r="B1106" s="117">
        <v>2005</v>
      </c>
      <c r="C1106" s="117" t="s">
        <v>2374</v>
      </c>
      <c r="D1106" s="195" t="s">
        <v>2377</v>
      </c>
      <c r="E1106" s="206" t="s">
        <v>41</v>
      </c>
      <c r="F1106" s="117" t="s">
        <v>97</v>
      </c>
      <c r="G1106" s="211" t="s">
        <v>43</v>
      </c>
      <c r="H1106" s="117" t="s">
        <v>2230</v>
      </c>
      <c r="I1106" s="35"/>
      <c r="J1106" s="36"/>
      <c r="K1106" s="36"/>
      <c r="L1106" s="36"/>
      <c r="M1106" s="36"/>
      <c r="N1106" s="36"/>
      <c r="O1106" s="36"/>
      <c r="P1106" s="36"/>
      <c r="Q1106" s="36"/>
      <c r="R1106" s="36"/>
      <c r="S1106" s="36"/>
      <c r="T1106" s="36"/>
      <c r="U1106" s="36"/>
      <c r="V1106" s="36"/>
      <c r="W1106" s="36"/>
      <c r="X1106" s="36"/>
      <c r="Y1106" s="36"/>
      <c r="Z1106" s="36"/>
      <c r="AA1106" s="36"/>
      <c r="AB1106" s="36"/>
    </row>
    <row r="1107" spans="1:28" ht="24" hidden="1" customHeight="1">
      <c r="A1107" s="207" t="s">
        <v>2378</v>
      </c>
      <c r="B1107" s="117">
        <v>2006</v>
      </c>
      <c r="C1107" s="117" t="s">
        <v>2374</v>
      </c>
      <c r="D1107" s="195" t="s">
        <v>2379</v>
      </c>
      <c r="E1107" s="206" t="s">
        <v>41</v>
      </c>
      <c r="F1107" s="117" t="s">
        <v>97</v>
      </c>
      <c r="G1107" s="211" t="s">
        <v>43</v>
      </c>
      <c r="H1107" s="117" t="s">
        <v>2230</v>
      </c>
      <c r="I1107" s="35"/>
      <c r="J1107" s="36"/>
      <c r="K1107" s="36"/>
      <c r="L1107" s="36"/>
      <c r="M1107" s="36"/>
      <c r="N1107" s="36"/>
      <c r="O1107" s="36"/>
      <c r="P1107" s="36"/>
      <c r="Q1107" s="36"/>
      <c r="R1107" s="36"/>
      <c r="S1107" s="36"/>
      <c r="T1107" s="36"/>
      <c r="U1107" s="36"/>
      <c r="V1107" s="36"/>
      <c r="W1107" s="36"/>
      <c r="X1107" s="36"/>
      <c r="Y1107" s="36"/>
      <c r="Z1107" s="36"/>
      <c r="AA1107" s="36"/>
      <c r="AB1107" s="36"/>
    </row>
    <row r="1108" spans="1:28" ht="24" hidden="1" customHeight="1">
      <c r="A1108" s="207" t="s">
        <v>2380</v>
      </c>
      <c r="B1108" s="117">
        <v>2008</v>
      </c>
      <c r="C1108" s="117" t="s">
        <v>61</v>
      </c>
      <c r="D1108" s="195" t="s">
        <v>2381</v>
      </c>
      <c r="E1108" s="206" t="s">
        <v>41</v>
      </c>
      <c r="F1108" s="117" t="s">
        <v>97</v>
      </c>
      <c r="G1108" s="211" t="s">
        <v>43</v>
      </c>
      <c r="H1108" s="117" t="s">
        <v>2230</v>
      </c>
      <c r="I1108" s="35"/>
      <c r="J1108" s="36"/>
      <c r="K1108" s="36"/>
      <c r="L1108" s="36"/>
      <c r="M1108" s="36"/>
      <c r="N1108" s="36"/>
      <c r="O1108" s="36"/>
      <c r="P1108" s="36"/>
      <c r="Q1108" s="36"/>
      <c r="R1108" s="36"/>
      <c r="S1108" s="36"/>
      <c r="T1108" s="36"/>
      <c r="U1108" s="36"/>
      <c r="V1108" s="36"/>
      <c r="W1108" s="36"/>
      <c r="X1108" s="36"/>
      <c r="Y1108" s="36"/>
      <c r="Z1108" s="36"/>
      <c r="AA1108" s="36"/>
      <c r="AB1108" s="36"/>
    </row>
    <row r="1109" spans="1:28" ht="36" hidden="1" customHeight="1">
      <c r="A1109" s="207" t="s">
        <v>2382</v>
      </c>
      <c r="B1109" s="117">
        <v>2009</v>
      </c>
      <c r="C1109" s="117" t="s">
        <v>61</v>
      </c>
      <c r="D1109" s="195" t="s">
        <v>2383</v>
      </c>
      <c r="E1109" s="206" t="s">
        <v>41</v>
      </c>
      <c r="F1109" s="117" t="s">
        <v>97</v>
      </c>
      <c r="G1109" s="211" t="s">
        <v>43</v>
      </c>
      <c r="H1109" s="117" t="s">
        <v>2230</v>
      </c>
      <c r="I1109" s="35"/>
      <c r="J1109" s="36"/>
      <c r="K1109" s="36"/>
      <c r="L1109" s="36"/>
      <c r="M1109" s="36"/>
      <c r="N1109" s="36"/>
      <c r="O1109" s="36"/>
      <c r="P1109" s="36"/>
      <c r="Q1109" s="36"/>
      <c r="R1109" s="36"/>
      <c r="S1109" s="36"/>
      <c r="T1109" s="36"/>
      <c r="U1109" s="36"/>
      <c r="V1109" s="36"/>
      <c r="W1109" s="36"/>
      <c r="X1109" s="36"/>
      <c r="Y1109" s="36"/>
      <c r="Z1109" s="36"/>
      <c r="AA1109" s="36"/>
      <c r="AB1109" s="36"/>
    </row>
    <row r="1110" spans="1:28" ht="24" hidden="1" customHeight="1">
      <c r="A1110" s="207" t="s">
        <v>946</v>
      </c>
      <c r="B1110" s="117">
        <v>2009</v>
      </c>
      <c r="C1110" s="117" t="s">
        <v>1895</v>
      </c>
      <c r="D1110" s="195" t="s">
        <v>2384</v>
      </c>
      <c r="E1110" s="206" t="s">
        <v>41</v>
      </c>
      <c r="F1110" s="117" t="s">
        <v>97</v>
      </c>
      <c r="G1110" s="211" t="s">
        <v>43</v>
      </c>
      <c r="H1110" s="117" t="s">
        <v>2230</v>
      </c>
      <c r="I1110" s="35"/>
      <c r="J1110" s="36"/>
      <c r="K1110" s="36"/>
      <c r="L1110" s="36"/>
      <c r="M1110" s="36"/>
      <c r="N1110" s="36"/>
      <c r="O1110" s="36"/>
      <c r="P1110" s="36"/>
      <c r="Q1110" s="36"/>
      <c r="R1110" s="36"/>
      <c r="S1110" s="36"/>
      <c r="T1110" s="36"/>
      <c r="U1110" s="36"/>
      <c r="V1110" s="36"/>
      <c r="W1110" s="36"/>
      <c r="X1110" s="36"/>
      <c r="Y1110" s="36"/>
      <c r="Z1110" s="36"/>
      <c r="AA1110" s="36"/>
      <c r="AB1110" s="36"/>
    </row>
    <row r="1111" spans="1:28" ht="48" hidden="1" customHeight="1">
      <c r="A1111" s="207" t="s">
        <v>2385</v>
      </c>
      <c r="B1111" s="117">
        <v>2012</v>
      </c>
      <c r="C1111" s="117" t="s">
        <v>2374</v>
      </c>
      <c r="D1111" s="195" t="s">
        <v>2386</v>
      </c>
      <c r="E1111" s="206" t="s">
        <v>41</v>
      </c>
      <c r="F1111" s="117" t="s">
        <v>97</v>
      </c>
      <c r="G1111" s="211" t="s">
        <v>43</v>
      </c>
      <c r="H1111" s="117" t="s">
        <v>2230</v>
      </c>
      <c r="I1111" s="35"/>
      <c r="J1111" s="36"/>
      <c r="K1111" s="36"/>
      <c r="L1111" s="36"/>
      <c r="M1111" s="36"/>
      <c r="N1111" s="36"/>
      <c r="O1111" s="36"/>
      <c r="P1111" s="36"/>
      <c r="Q1111" s="36"/>
      <c r="R1111" s="36"/>
      <c r="S1111" s="36"/>
      <c r="T1111" s="36"/>
      <c r="U1111" s="36"/>
      <c r="V1111" s="36"/>
      <c r="W1111" s="36"/>
      <c r="X1111" s="36"/>
      <c r="Y1111" s="36"/>
      <c r="Z1111" s="36"/>
      <c r="AA1111" s="36"/>
      <c r="AB1111" s="36"/>
    </row>
    <row r="1112" spans="1:28" ht="24" hidden="1" customHeight="1">
      <c r="A1112" s="207" t="s">
        <v>2387</v>
      </c>
      <c r="B1112" s="117">
        <v>2015</v>
      </c>
      <c r="C1112" s="117" t="s">
        <v>2374</v>
      </c>
      <c r="D1112" s="195" t="s">
        <v>2388</v>
      </c>
      <c r="E1112" s="206" t="s">
        <v>41</v>
      </c>
      <c r="F1112" s="117" t="s">
        <v>97</v>
      </c>
      <c r="G1112" s="211" t="s">
        <v>43</v>
      </c>
      <c r="H1112" s="117" t="s">
        <v>2230</v>
      </c>
      <c r="I1112" s="35"/>
      <c r="J1112" s="36"/>
      <c r="K1112" s="36"/>
      <c r="L1112" s="36"/>
      <c r="M1112" s="36"/>
      <c r="N1112" s="36"/>
      <c r="O1112" s="36"/>
      <c r="P1112" s="36"/>
      <c r="Q1112" s="36"/>
      <c r="R1112" s="36"/>
      <c r="S1112" s="36"/>
      <c r="T1112" s="36"/>
      <c r="U1112" s="36"/>
      <c r="V1112" s="36"/>
      <c r="W1112" s="36"/>
      <c r="X1112" s="36"/>
      <c r="Y1112" s="36"/>
      <c r="Z1112" s="36"/>
      <c r="AA1112" s="36"/>
      <c r="AB1112" s="36"/>
    </row>
    <row r="1113" spans="1:28" ht="12" hidden="1" customHeight="1">
      <c r="A1113" s="207" t="s">
        <v>946</v>
      </c>
      <c r="B1113" s="117">
        <v>2017</v>
      </c>
      <c r="C1113" s="117" t="s">
        <v>223</v>
      </c>
      <c r="D1113" s="195" t="s">
        <v>964</v>
      </c>
      <c r="E1113" s="206" t="s">
        <v>41</v>
      </c>
      <c r="F1113" s="117" t="s">
        <v>97</v>
      </c>
      <c r="G1113" s="211" t="s">
        <v>43</v>
      </c>
      <c r="H1113" s="117" t="s">
        <v>2230</v>
      </c>
      <c r="I1113" s="35"/>
      <c r="J1113" s="36"/>
      <c r="K1113" s="36"/>
      <c r="L1113" s="36"/>
      <c r="M1113" s="36"/>
      <c r="N1113" s="36"/>
      <c r="O1113" s="36"/>
      <c r="P1113" s="36"/>
      <c r="Q1113" s="36"/>
      <c r="R1113" s="36"/>
      <c r="S1113" s="36"/>
      <c r="T1113" s="36"/>
      <c r="U1113" s="36"/>
      <c r="V1113" s="36"/>
      <c r="W1113" s="36"/>
      <c r="X1113" s="36"/>
      <c r="Y1113" s="36"/>
      <c r="Z1113" s="36"/>
      <c r="AA1113" s="36"/>
      <c r="AB1113" s="36"/>
    </row>
    <row r="1114" spans="1:28" ht="24" hidden="1" customHeight="1">
      <c r="A1114" s="207" t="s">
        <v>957</v>
      </c>
      <c r="B1114" s="117">
        <v>2017</v>
      </c>
      <c r="C1114" s="117" t="s">
        <v>2389</v>
      </c>
      <c r="D1114" s="195" t="s">
        <v>2390</v>
      </c>
      <c r="E1114" s="206" t="s">
        <v>41</v>
      </c>
      <c r="F1114" s="117" t="s">
        <v>97</v>
      </c>
      <c r="G1114" s="211" t="s">
        <v>43</v>
      </c>
      <c r="H1114" s="117" t="s">
        <v>2230</v>
      </c>
      <c r="I1114" s="35"/>
      <c r="J1114" s="36"/>
      <c r="K1114" s="36"/>
      <c r="L1114" s="36"/>
      <c r="M1114" s="36"/>
      <c r="N1114" s="36"/>
      <c r="O1114" s="36"/>
      <c r="P1114" s="36"/>
      <c r="Q1114" s="36"/>
      <c r="R1114" s="36"/>
      <c r="S1114" s="36"/>
      <c r="T1114" s="36"/>
      <c r="U1114" s="36"/>
      <c r="V1114" s="36"/>
      <c r="W1114" s="36"/>
      <c r="X1114" s="36"/>
      <c r="Y1114" s="36"/>
      <c r="Z1114" s="36"/>
      <c r="AA1114" s="36"/>
      <c r="AB1114" s="36"/>
    </row>
    <row r="1115" spans="1:28" ht="36" hidden="1" customHeight="1">
      <c r="A1115" s="207" t="s">
        <v>2391</v>
      </c>
      <c r="B1115" s="117">
        <v>2018</v>
      </c>
      <c r="C1115" s="117" t="s">
        <v>2392</v>
      </c>
      <c r="D1115" s="195" t="s">
        <v>2393</v>
      </c>
      <c r="E1115" s="206" t="s">
        <v>41</v>
      </c>
      <c r="F1115" s="117" t="s">
        <v>97</v>
      </c>
      <c r="G1115" s="206" t="s">
        <v>43</v>
      </c>
      <c r="H1115" s="117" t="s">
        <v>2230</v>
      </c>
      <c r="I1115" s="35"/>
      <c r="J1115" s="36"/>
      <c r="K1115" s="36"/>
      <c r="L1115" s="36"/>
      <c r="M1115" s="36"/>
      <c r="N1115" s="36"/>
      <c r="O1115" s="36"/>
      <c r="P1115" s="36"/>
      <c r="Q1115" s="36"/>
      <c r="R1115" s="36"/>
      <c r="S1115" s="36"/>
      <c r="T1115" s="36"/>
      <c r="U1115" s="36"/>
      <c r="V1115" s="36"/>
      <c r="W1115" s="36"/>
      <c r="X1115" s="36"/>
      <c r="Y1115" s="36"/>
      <c r="Z1115" s="36"/>
      <c r="AA1115" s="36"/>
      <c r="AB1115" s="36"/>
    </row>
    <row r="1116" spans="1:28" ht="36" hidden="1" customHeight="1">
      <c r="A1116" s="63" t="s">
        <v>2394</v>
      </c>
      <c r="B1116" s="32">
        <v>2019</v>
      </c>
      <c r="C1116" s="32" t="s">
        <v>223</v>
      </c>
      <c r="D1116" s="52" t="s">
        <v>2395</v>
      </c>
      <c r="E1116" s="249" t="s">
        <v>41</v>
      </c>
      <c r="F1116" s="51" t="s">
        <v>97</v>
      </c>
      <c r="G1116" s="249" t="s">
        <v>43</v>
      </c>
      <c r="H1116" s="51" t="s">
        <v>2230</v>
      </c>
      <c r="I1116" s="35"/>
      <c r="J1116" s="36"/>
      <c r="K1116" s="36"/>
      <c r="L1116" s="36"/>
      <c r="M1116" s="36"/>
      <c r="N1116" s="36"/>
      <c r="O1116" s="36"/>
      <c r="P1116" s="36"/>
      <c r="Q1116" s="36"/>
      <c r="R1116" s="36"/>
      <c r="S1116" s="36"/>
      <c r="T1116" s="36"/>
      <c r="U1116" s="36"/>
      <c r="V1116" s="36"/>
      <c r="W1116" s="36"/>
      <c r="X1116" s="36"/>
      <c r="Y1116" s="36"/>
      <c r="Z1116" s="36"/>
      <c r="AA1116" s="36"/>
      <c r="AB1116" s="36"/>
    </row>
    <row r="1117" spans="1:28" ht="36" hidden="1" customHeight="1">
      <c r="A1117" s="63" t="s">
        <v>2396</v>
      </c>
      <c r="B1117" s="32">
        <v>2019</v>
      </c>
      <c r="C1117" s="142" t="s">
        <v>2397</v>
      </c>
      <c r="D1117" s="52" t="s">
        <v>2398</v>
      </c>
      <c r="E1117" s="249" t="s">
        <v>41</v>
      </c>
      <c r="F1117" s="51" t="s">
        <v>97</v>
      </c>
      <c r="G1117" s="249" t="s">
        <v>43</v>
      </c>
      <c r="H1117" s="51" t="s">
        <v>2230</v>
      </c>
      <c r="I1117" s="35"/>
      <c r="J1117" s="36"/>
      <c r="K1117" s="36"/>
      <c r="L1117" s="36"/>
      <c r="M1117" s="36"/>
      <c r="N1117" s="36"/>
      <c r="O1117" s="36"/>
      <c r="P1117" s="36"/>
      <c r="Q1117" s="36"/>
      <c r="R1117" s="36"/>
      <c r="S1117" s="36"/>
      <c r="T1117" s="36"/>
      <c r="U1117" s="36"/>
      <c r="V1117" s="36"/>
      <c r="W1117" s="36"/>
      <c r="X1117" s="36"/>
      <c r="Y1117" s="36"/>
      <c r="Z1117" s="36"/>
      <c r="AA1117" s="36"/>
      <c r="AB1117" s="36"/>
    </row>
    <row r="1118" spans="1:28" ht="36" hidden="1" customHeight="1">
      <c r="A1118" s="207" t="s">
        <v>282</v>
      </c>
      <c r="B1118" s="117">
        <v>2007</v>
      </c>
      <c r="C1118" s="117" t="s">
        <v>2399</v>
      </c>
      <c r="D1118" s="195" t="s">
        <v>2400</v>
      </c>
      <c r="E1118" s="206" t="s">
        <v>41</v>
      </c>
      <c r="F1118" s="117" t="s">
        <v>97</v>
      </c>
      <c r="G1118" s="211" t="s">
        <v>43</v>
      </c>
      <c r="H1118" s="117" t="s">
        <v>2230</v>
      </c>
      <c r="I1118" s="35"/>
      <c r="J1118" s="36"/>
      <c r="K1118" s="36"/>
      <c r="L1118" s="36"/>
      <c r="M1118" s="36"/>
      <c r="N1118" s="36"/>
      <c r="O1118" s="36"/>
      <c r="P1118" s="36"/>
      <c r="Q1118" s="36"/>
      <c r="R1118" s="36"/>
      <c r="S1118" s="36"/>
      <c r="T1118" s="36"/>
      <c r="U1118" s="36"/>
      <c r="V1118" s="36"/>
      <c r="W1118" s="36"/>
      <c r="X1118" s="36"/>
      <c r="Y1118" s="36"/>
      <c r="Z1118" s="36"/>
      <c r="AA1118" s="36"/>
      <c r="AB1118" s="36"/>
    </row>
    <row r="1119" spans="1:28" ht="36" hidden="1" customHeight="1">
      <c r="A1119" s="207" t="s">
        <v>345</v>
      </c>
      <c r="B1119" s="117">
        <v>2013</v>
      </c>
      <c r="C1119" s="117" t="s">
        <v>856</v>
      </c>
      <c r="D1119" s="195" t="s">
        <v>2368</v>
      </c>
      <c r="E1119" s="206" t="s">
        <v>41</v>
      </c>
      <c r="F1119" s="117" t="s">
        <v>97</v>
      </c>
      <c r="G1119" s="206" t="s">
        <v>43</v>
      </c>
      <c r="H1119" s="117" t="s">
        <v>2230</v>
      </c>
      <c r="I1119" s="36"/>
      <c r="J1119" s="36"/>
      <c r="K1119" s="36"/>
      <c r="L1119" s="36"/>
      <c r="M1119" s="36"/>
      <c r="N1119" s="36"/>
      <c r="O1119" s="36"/>
      <c r="P1119" s="36"/>
      <c r="Q1119" s="36"/>
      <c r="R1119" s="36"/>
      <c r="S1119" s="36"/>
      <c r="T1119" s="36"/>
      <c r="U1119" s="36"/>
      <c r="V1119" s="36"/>
      <c r="W1119" s="36"/>
      <c r="X1119" s="36"/>
      <c r="Y1119" s="36"/>
      <c r="Z1119" s="36"/>
      <c r="AA1119" s="36"/>
      <c r="AB1119" s="36"/>
    </row>
    <row r="1120" spans="1:28" ht="36" hidden="1" customHeight="1">
      <c r="A1120" s="207" t="s">
        <v>2401</v>
      </c>
      <c r="B1120" s="117">
        <v>2018</v>
      </c>
      <c r="C1120" s="117" t="s">
        <v>223</v>
      </c>
      <c r="D1120" s="195" t="s">
        <v>2402</v>
      </c>
      <c r="E1120" s="206" t="s">
        <v>41</v>
      </c>
      <c r="F1120" s="117" t="s">
        <v>97</v>
      </c>
      <c r="G1120" s="206" t="s">
        <v>43</v>
      </c>
      <c r="H1120" s="117" t="s">
        <v>2230</v>
      </c>
      <c r="I1120" s="35"/>
      <c r="J1120" s="36"/>
      <c r="K1120" s="36"/>
      <c r="L1120" s="36"/>
      <c r="M1120" s="36"/>
      <c r="N1120" s="36"/>
      <c r="O1120" s="36"/>
      <c r="P1120" s="36"/>
      <c r="Q1120" s="36"/>
      <c r="R1120" s="36"/>
      <c r="S1120" s="36"/>
      <c r="T1120" s="36"/>
      <c r="U1120" s="36"/>
      <c r="V1120" s="36"/>
      <c r="W1120" s="36"/>
      <c r="X1120" s="36"/>
      <c r="Y1120" s="36"/>
      <c r="Z1120" s="36"/>
      <c r="AA1120" s="36"/>
      <c r="AB1120" s="36"/>
    </row>
    <row r="1121" spans="1:28" ht="180" hidden="1" customHeight="1">
      <c r="A1121" s="251" t="s">
        <v>1103</v>
      </c>
      <c r="B1121" s="204">
        <v>1991</v>
      </c>
      <c r="C1121" s="201" t="s">
        <v>405</v>
      </c>
      <c r="D1121" s="195" t="s">
        <v>2403</v>
      </c>
      <c r="E1121" s="206" t="s">
        <v>2404</v>
      </c>
      <c r="F1121" s="195" t="s">
        <v>2405</v>
      </c>
      <c r="G1121" s="211" t="s">
        <v>43</v>
      </c>
      <c r="H1121" s="117" t="s">
        <v>750</v>
      </c>
      <c r="I1121" s="35"/>
      <c r="J1121" s="36"/>
      <c r="K1121" s="36"/>
      <c r="L1121" s="36"/>
      <c r="M1121" s="36"/>
      <c r="N1121" s="36"/>
      <c r="O1121" s="36"/>
      <c r="P1121" s="36"/>
      <c r="Q1121" s="36"/>
      <c r="R1121" s="36"/>
      <c r="S1121" s="36"/>
      <c r="T1121" s="36"/>
      <c r="U1121" s="36"/>
      <c r="V1121" s="36"/>
      <c r="W1121" s="36"/>
      <c r="X1121" s="36"/>
      <c r="Y1121" s="36"/>
      <c r="Z1121" s="36"/>
      <c r="AA1121" s="36"/>
      <c r="AB1121" s="36"/>
    </row>
    <row r="1122" spans="1:28" ht="24" hidden="1" customHeight="1">
      <c r="A1122" s="215" t="s">
        <v>236</v>
      </c>
      <c r="B1122" s="201">
        <v>1985</v>
      </c>
      <c r="C1122" s="201" t="s">
        <v>39</v>
      </c>
      <c r="D1122" s="195" t="s">
        <v>2406</v>
      </c>
      <c r="E1122" s="206" t="s">
        <v>41</v>
      </c>
      <c r="F1122" s="117" t="s">
        <v>97</v>
      </c>
      <c r="G1122" s="211" t="s">
        <v>43</v>
      </c>
      <c r="H1122" s="117" t="s">
        <v>750</v>
      </c>
      <c r="I1122" s="35"/>
      <c r="J1122" s="36"/>
      <c r="K1122" s="36"/>
      <c r="L1122" s="36"/>
      <c r="M1122" s="36"/>
      <c r="N1122" s="36"/>
      <c r="O1122" s="36"/>
      <c r="P1122" s="36"/>
      <c r="Q1122" s="36"/>
      <c r="R1122" s="36"/>
      <c r="S1122" s="36"/>
      <c r="T1122" s="36"/>
      <c r="U1122" s="36"/>
      <c r="V1122" s="36"/>
      <c r="W1122" s="36"/>
      <c r="X1122" s="36"/>
      <c r="Y1122" s="36"/>
      <c r="Z1122" s="36"/>
      <c r="AA1122" s="36"/>
      <c r="AB1122" s="36"/>
    </row>
    <row r="1123" spans="1:28" ht="48" hidden="1" customHeight="1">
      <c r="A1123" s="215" t="s">
        <v>266</v>
      </c>
      <c r="B1123" s="201">
        <v>1999</v>
      </c>
      <c r="C1123" s="201" t="s">
        <v>39</v>
      </c>
      <c r="D1123" s="195" t="s">
        <v>2407</v>
      </c>
      <c r="E1123" s="206" t="s">
        <v>41</v>
      </c>
      <c r="F1123" s="117" t="s">
        <v>97</v>
      </c>
      <c r="G1123" s="211" t="s">
        <v>43</v>
      </c>
      <c r="H1123" s="117" t="s">
        <v>750</v>
      </c>
      <c r="I1123" s="35"/>
      <c r="J1123" s="36"/>
      <c r="K1123" s="36"/>
      <c r="L1123" s="36"/>
      <c r="M1123" s="36"/>
      <c r="N1123" s="36"/>
      <c r="O1123" s="36"/>
      <c r="P1123" s="36"/>
      <c r="Q1123" s="36"/>
      <c r="R1123" s="36"/>
      <c r="S1123" s="36"/>
      <c r="T1123" s="36"/>
      <c r="U1123" s="36"/>
      <c r="V1123" s="36"/>
      <c r="W1123" s="36"/>
      <c r="X1123" s="36"/>
      <c r="Y1123" s="36"/>
      <c r="Z1123" s="36"/>
      <c r="AA1123" s="36"/>
      <c r="AB1123" s="36"/>
    </row>
    <row r="1124" spans="1:28" ht="24" hidden="1" customHeight="1">
      <c r="A1124" s="215" t="s">
        <v>2408</v>
      </c>
      <c r="B1124" s="201">
        <v>2000</v>
      </c>
      <c r="C1124" s="201" t="s">
        <v>39</v>
      </c>
      <c r="D1124" s="195" t="s">
        <v>2409</v>
      </c>
      <c r="E1124" s="206" t="s">
        <v>41</v>
      </c>
      <c r="F1124" s="117" t="s">
        <v>97</v>
      </c>
      <c r="G1124" s="211" t="s">
        <v>43</v>
      </c>
      <c r="H1124" s="117" t="s">
        <v>750</v>
      </c>
      <c r="I1124" s="35"/>
      <c r="J1124" s="36"/>
      <c r="K1124" s="36"/>
      <c r="L1124" s="36"/>
      <c r="M1124" s="36"/>
      <c r="N1124" s="36"/>
      <c r="O1124" s="36"/>
      <c r="P1124" s="36"/>
      <c r="Q1124" s="36"/>
      <c r="R1124" s="36"/>
      <c r="S1124" s="36"/>
      <c r="T1124" s="36"/>
      <c r="U1124" s="36"/>
      <c r="V1124" s="36"/>
      <c r="W1124" s="36"/>
      <c r="X1124" s="36"/>
      <c r="Y1124" s="36"/>
      <c r="Z1124" s="36"/>
      <c r="AA1124" s="36"/>
      <c r="AB1124" s="36"/>
    </row>
    <row r="1125" spans="1:28" ht="24" hidden="1" customHeight="1">
      <c r="A1125" s="252" t="s">
        <v>1867</v>
      </c>
      <c r="B1125" s="204">
        <v>2002</v>
      </c>
      <c r="C1125" s="218" t="s">
        <v>39</v>
      </c>
      <c r="D1125" s="195" t="s">
        <v>489</v>
      </c>
      <c r="E1125" s="206" t="s">
        <v>41</v>
      </c>
      <c r="F1125" s="117" t="s">
        <v>97</v>
      </c>
      <c r="G1125" s="211" t="s">
        <v>43</v>
      </c>
      <c r="H1125" s="117" t="s">
        <v>750</v>
      </c>
      <c r="I1125" s="35"/>
      <c r="J1125" s="36"/>
      <c r="K1125" s="36"/>
      <c r="L1125" s="36"/>
      <c r="M1125" s="36"/>
      <c r="N1125" s="36"/>
      <c r="O1125" s="36"/>
      <c r="P1125" s="36"/>
      <c r="Q1125" s="36"/>
      <c r="R1125" s="36"/>
      <c r="S1125" s="36"/>
      <c r="T1125" s="36"/>
      <c r="U1125" s="36"/>
      <c r="V1125" s="36"/>
      <c r="W1125" s="36"/>
      <c r="X1125" s="36"/>
      <c r="Y1125" s="36"/>
      <c r="Z1125" s="36"/>
      <c r="AA1125" s="36"/>
      <c r="AB1125" s="36"/>
    </row>
    <row r="1126" spans="1:28" ht="36" hidden="1" customHeight="1">
      <c r="A1126" s="215" t="s">
        <v>2410</v>
      </c>
      <c r="B1126" s="201">
        <v>2002</v>
      </c>
      <c r="C1126" s="201" t="s">
        <v>39</v>
      </c>
      <c r="D1126" s="195" t="s">
        <v>2411</v>
      </c>
      <c r="E1126" s="206" t="s">
        <v>41</v>
      </c>
      <c r="F1126" s="117" t="s">
        <v>97</v>
      </c>
      <c r="G1126" s="211" t="s">
        <v>43</v>
      </c>
      <c r="H1126" s="117" t="s">
        <v>750</v>
      </c>
      <c r="I1126" s="35"/>
      <c r="J1126" s="36"/>
      <c r="K1126" s="36"/>
      <c r="L1126" s="36"/>
      <c r="M1126" s="36"/>
      <c r="N1126" s="36"/>
      <c r="O1126" s="36"/>
      <c r="P1126" s="36"/>
      <c r="Q1126" s="36"/>
      <c r="R1126" s="36"/>
      <c r="S1126" s="36"/>
      <c r="T1126" s="36"/>
      <c r="U1126" s="36"/>
      <c r="V1126" s="36"/>
      <c r="W1126" s="36"/>
      <c r="X1126" s="36"/>
      <c r="Y1126" s="36"/>
      <c r="Z1126" s="36"/>
      <c r="AA1126" s="36"/>
      <c r="AB1126" s="36"/>
    </row>
    <row r="1127" spans="1:28" ht="24" hidden="1" customHeight="1">
      <c r="A1127" s="215" t="s">
        <v>2412</v>
      </c>
      <c r="B1127" s="201">
        <v>2004</v>
      </c>
      <c r="C1127" s="201" t="s">
        <v>39</v>
      </c>
      <c r="D1127" s="195" t="s">
        <v>2413</v>
      </c>
      <c r="E1127" s="206" t="s">
        <v>41</v>
      </c>
      <c r="F1127" s="117" t="s">
        <v>97</v>
      </c>
      <c r="G1127" s="211" t="s">
        <v>43</v>
      </c>
      <c r="H1127" s="117" t="s">
        <v>750</v>
      </c>
      <c r="I1127" s="35"/>
      <c r="J1127" s="36"/>
      <c r="K1127" s="36"/>
      <c r="L1127" s="36"/>
      <c r="M1127" s="36"/>
      <c r="N1127" s="36"/>
      <c r="O1127" s="36"/>
      <c r="P1127" s="36"/>
      <c r="Q1127" s="36"/>
      <c r="R1127" s="36"/>
      <c r="S1127" s="36"/>
      <c r="T1127" s="36"/>
      <c r="U1127" s="36"/>
      <c r="V1127" s="36"/>
      <c r="W1127" s="36"/>
      <c r="X1127" s="36"/>
      <c r="Y1127" s="36"/>
      <c r="Z1127" s="36"/>
      <c r="AA1127" s="36"/>
      <c r="AB1127" s="36"/>
    </row>
    <row r="1128" spans="1:28" ht="48" hidden="1" customHeight="1">
      <c r="A1128" s="215" t="s">
        <v>977</v>
      </c>
      <c r="B1128" s="201">
        <v>2005</v>
      </c>
      <c r="C1128" s="201" t="s">
        <v>39</v>
      </c>
      <c r="D1128" s="195" t="s">
        <v>2414</v>
      </c>
      <c r="E1128" s="206" t="s">
        <v>41</v>
      </c>
      <c r="F1128" s="117" t="s">
        <v>97</v>
      </c>
      <c r="G1128" s="211" t="s">
        <v>43</v>
      </c>
      <c r="H1128" s="117" t="s">
        <v>750</v>
      </c>
      <c r="I1128" s="35"/>
      <c r="J1128" s="36"/>
      <c r="K1128" s="36"/>
      <c r="L1128" s="36"/>
      <c r="M1128" s="36"/>
      <c r="N1128" s="36"/>
      <c r="O1128" s="36"/>
      <c r="P1128" s="36"/>
      <c r="Q1128" s="36"/>
      <c r="R1128" s="36"/>
      <c r="S1128" s="36"/>
      <c r="T1128" s="36"/>
      <c r="U1128" s="36"/>
      <c r="V1128" s="36"/>
      <c r="W1128" s="36"/>
      <c r="X1128" s="36"/>
      <c r="Y1128" s="36"/>
      <c r="Z1128" s="36"/>
      <c r="AA1128" s="36"/>
      <c r="AB1128" s="36"/>
    </row>
    <row r="1129" spans="1:28" ht="24" hidden="1" customHeight="1">
      <c r="A1129" s="215" t="s">
        <v>624</v>
      </c>
      <c r="B1129" s="201">
        <v>2008</v>
      </c>
      <c r="C1129" s="201" t="s">
        <v>39</v>
      </c>
      <c r="D1129" s="195" t="s">
        <v>2415</v>
      </c>
      <c r="E1129" s="206" t="s">
        <v>41</v>
      </c>
      <c r="F1129" s="117" t="s">
        <v>97</v>
      </c>
      <c r="G1129" s="211" t="s">
        <v>43</v>
      </c>
      <c r="H1129" s="117" t="s">
        <v>750</v>
      </c>
      <c r="I1129" s="35"/>
      <c r="J1129" s="36"/>
      <c r="K1129" s="36"/>
      <c r="L1129" s="36"/>
      <c r="M1129" s="36"/>
      <c r="N1129" s="36"/>
      <c r="O1129" s="36"/>
      <c r="P1129" s="36"/>
      <c r="Q1129" s="36"/>
      <c r="R1129" s="36"/>
      <c r="S1129" s="36"/>
      <c r="T1129" s="36"/>
      <c r="U1129" s="36"/>
      <c r="V1129" s="36"/>
      <c r="W1129" s="36"/>
      <c r="X1129" s="36"/>
      <c r="Y1129" s="36"/>
      <c r="Z1129" s="36"/>
      <c r="AA1129" s="36"/>
      <c r="AB1129" s="36"/>
    </row>
    <row r="1130" spans="1:28" ht="48" hidden="1" customHeight="1">
      <c r="A1130" s="215" t="s">
        <v>2416</v>
      </c>
      <c r="B1130" s="201">
        <v>2008</v>
      </c>
      <c r="C1130" s="201" t="s">
        <v>39</v>
      </c>
      <c r="D1130" s="195" t="s">
        <v>2417</v>
      </c>
      <c r="E1130" s="206" t="s">
        <v>41</v>
      </c>
      <c r="F1130" s="117" t="s">
        <v>97</v>
      </c>
      <c r="G1130" s="211" t="s">
        <v>43</v>
      </c>
      <c r="H1130" s="117" t="s">
        <v>750</v>
      </c>
      <c r="I1130" s="35"/>
      <c r="J1130" s="36"/>
      <c r="K1130" s="36"/>
      <c r="L1130" s="36"/>
      <c r="M1130" s="36"/>
      <c r="N1130" s="36"/>
      <c r="O1130" s="36"/>
      <c r="P1130" s="36"/>
      <c r="Q1130" s="36"/>
      <c r="R1130" s="36"/>
      <c r="S1130" s="36"/>
      <c r="T1130" s="36"/>
      <c r="U1130" s="36"/>
      <c r="V1130" s="36"/>
      <c r="W1130" s="36"/>
      <c r="X1130" s="36"/>
      <c r="Y1130" s="36"/>
      <c r="Z1130" s="36"/>
      <c r="AA1130" s="36"/>
      <c r="AB1130" s="36"/>
    </row>
    <row r="1131" spans="1:28" ht="60" hidden="1" customHeight="1">
      <c r="A1131" s="215" t="s">
        <v>2418</v>
      </c>
      <c r="B1131" s="201">
        <v>2009</v>
      </c>
      <c r="C1131" s="201" t="s">
        <v>39</v>
      </c>
      <c r="D1131" s="195" t="s">
        <v>505</v>
      </c>
      <c r="E1131" s="206" t="s">
        <v>41</v>
      </c>
      <c r="F1131" s="117" t="s">
        <v>97</v>
      </c>
      <c r="G1131" s="211" t="s">
        <v>43</v>
      </c>
      <c r="H1131" s="117" t="s">
        <v>750</v>
      </c>
      <c r="I1131" s="35"/>
      <c r="J1131" s="36"/>
      <c r="K1131" s="36"/>
      <c r="L1131" s="36"/>
      <c r="M1131" s="36"/>
      <c r="N1131" s="36"/>
      <c r="O1131" s="36"/>
      <c r="P1131" s="36"/>
      <c r="Q1131" s="36"/>
      <c r="R1131" s="36"/>
      <c r="S1131" s="36"/>
      <c r="T1131" s="36"/>
      <c r="U1131" s="36"/>
      <c r="V1131" s="36"/>
      <c r="W1131" s="36"/>
      <c r="X1131" s="36"/>
      <c r="Y1131" s="36"/>
      <c r="Z1131" s="36"/>
      <c r="AA1131" s="36"/>
      <c r="AB1131" s="36"/>
    </row>
    <row r="1132" spans="1:28" ht="48" hidden="1" customHeight="1">
      <c r="A1132" s="215" t="s">
        <v>1869</v>
      </c>
      <c r="B1132" s="201">
        <v>2009</v>
      </c>
      <c r="C1132" s="201" t="s">
        <v>39</v>
      </c>
      <c r="D1132" s="195" t="s">
        <v>2419</v>
      </c>
      <c r="E1132" s="206" t="s">
        <v>41</v>
      </c>
      <c r="F1132" s="117" t="s">
        <v>97</v>
      </c>
      <c r="G1132" s="211" t="s">
        <v>43</v>
      </c>
      <c r="H1132" s="117" t="s">
        <v>750</v>
      </c>
      <c r="I1132" s="35"/>
      <c r="J1132" s="36"/>
      <c r="K1132" s="36"/>
      <c r="L1132" s="36"/>
      <c r="M1132" s="36"/>
      <c r="N1132" s="36"/>
      <c r="O1132" s="36"/>
      <c r="P1132" s="36"/>
      <c r="Q1132" s="36"/>
      <c r="R1132" s="36"/>
      <c r="S1132" s="36"/>
      <c r="T1132" s="36"/>
      <c r="U1132" s="36"/>
      <c r="V1132" s="36"/>
      <c r="W1132" s="36"/>
      <c r="X1132" s="36"/>
      <c r="Y1132" s="36"/>
      <c r="Z1132" s="36"/>
      <c r="AA1132" s="36"/>
      <c r="AB1132" s="36"/>
    </row>
    <row r="1133" spans="1:28" ht="24" hidden="1" customHeight="1">
      <c r="A1133" s="215" t="s">
        <v>1871</v>
      </c>
      <c r="B1133" s="201">
        <v>2012</v>
      </c>
      <c r="C1133" s="201" t="s">
        <v>39</v>
      </c>
      <c r="D1133" s="195" t="s">
        <v>2420</v>
      </c>
      <c r="E1133" s="206" t="s">
        <v>41</v>
      </c>
      <c r="F1133" s="117" t="s">
        <v>97</v>
      </c>
      <c r="G1133" s="211" t="s">
        <v>43</v>
      </c>
      <c r="H1133" s="117" t="s">
        <v>750</v>
      </c>
      <c r="I1133" s="35"/>
      <c r="J1133" s="36"/>
      <c r="K1133" s="36"/>
      <c r="L1133" s="36"/>
      <c r="M1133" s="36"/>
      <c r="N1133" s="36"/>
      <c r="O1133" s="36"/>
      <c r="P1133" s="36"/>
      <c r="Q1133" s="36"/>
      <c r="R1133" s="36"/>
      <c r="S1133" s="36"/>
      <c r="T1133" s="36"/>
      <c r="U1133" s="36"/>
      <c r="V1133" s="36"/>
      <c r="W1133" s="36"/>
      <c r="X1133" s="36"/>
      <c r="Y1133" s="36"/>
      <c r="Z1133" s="36"/>
      <c r="AA1133" s="36"/>
      <c r="AB1133" s="36"/>
    </row>
    <row r="1134" spans="1:28" ht="24" hidden="1" customHeight="1">
      <c r="A1134" s="215" t="s">
        <v>1673</v>
      </c>
      <c r="B1134" s="201">
        <v>2013</v>
      </c>
      <c r="C1134" s="201" t="s">
        <v>39</v>
      </c>
      <c r="D1134" s="195" t="s">
        <v>2421</v>
      </c>
      <c r="E1134" s="206" t="s">
        <v>41</v>
      </c>
      <c r="F1134" s="117" t="s">
        <v>97</v>
      </c>
      <c r="G1134" s="211" t="s">
        <v>43</v>
      </c>
      <c r="H1134" s="117" t="s">
        <v>750</v>
      </c>
      <c r="I1134" s="35"/>
      <c r="J1134" s="36"/>
      <c r="K1134" s="36"/>
      <c r="L1134" s="36"/>
      <c r="M1134" s="36"/>
      <c r="N1134" s="36"/>
      <c r="O1134" s="36"/>
      <c r="P1134" s="36"/>
      <c r="Q1134" s="36"/>
      <c r="R1134" s="36"/>
      <c r="S1134" s="36"/>
      <c r="T1134" s="36"/>
      <c r="U1134" s="36"/>
      <c r="V1134" s="36"/>
      <c r="W1134" s="36"/>
      <c r="X1134" s="36"/>
      <c r="Y1134" s="36"/>
      <c r="Z1134" s="36"/>
      <c r="AA1134" s="36"/>
      <c r="AB1134" s="36"/>
    </row>
    <row r="1135" spans="1:28" ht="36" hidden="1" customHeight="1">
      <c r="A1135" s="215" t="s">
        <v>294</v>
      </c>
      <c r="B1135" s="201">
        <v>2014</v>
      </c>
      <c r="C1135" s="201" t="s">
        <v>39</v>
      </c>
      <c r="D1135" s="195" t="s">
        <v>987</v>
      </c>
      <c r="E1135" s="206" t="s">
        <v>41</v>
      </c>
      <c r="F1135" s="117" t="s">
        <v>97</v>
      </c>
      <c r="G1135" s="211" t="s">
        <v>43</v>
      </c>
      <c r="H1135" s="117" t="s">
        <v>750</v>
      </c>
      <c r="I1135" s="35"/>
      <c r="J1135" s="36"/>
      <c r="K1135" s="36"/>
      <c r="L1135" s="36"/>
      <c r="M1135" s="36"/>
      <c r="N1135" s="36"/>
      <c r="O1135" s="36"/>
      <c r="P1135" s="36"/>
      <c r="Q1135" s="36"/>
      <c r="R1135" s="36"/>
      <c r="S1135" s="36"/>
      <c r="T1135" s="36"/>
      <c r="U1135" s="36"/>
      <c r="V1135" s="36"/>
      <c r="W1135" s="36"/>
      <c r="X1135" s="36"/>
      <c r="Y1135" s="36"/>
      <c r="Z1135" s="36"/>
      <c r="AA1135" s="36"/>
      <c r="AB1135" s="36"/>
    </row>
    <row r="1136" spans="1:28" ht="24" hidden="1" customHeight="1">
      <c r="A1136" s="215" t="s">
        <v>2422</v>
      </c>
      <c r="B1136" s="201">
        <v>1989</v>
      </c>
      <c r="C1136" s="201" t="s">
        <v>57</v>
      </c>
      <c r="D1136" s="195" t="s">
        <v>2423</v>
      </c>
      <c r="E1136" s="206" t="s">
        <v>41</v>
      </c>
      <c r="F1136" s="117" t="s">
        <v>97</v>
      </c>
      <c r="G1136" s="211" t="s">
        <v>43</v>
      </c>
      <c r="H1136" s="117" t="s">
        <v>750</v>
      </c>
      <c r="I1136" s="35"/>
      <c r="J1136" s="36"/>
      <c r="K1136" s="36"/>
      <c r="L1136" s="36"/>
      <c r="M1136" s="36"/>
      <c r="N1136" s="36"/>
      <c r="O1136" s="36"/>
      <c r="P1136" s="36"/>
      <c r="Q1136" s="36"/>
      <c r="R1136" s="36"/>
      <c r="S1136" s="36"/>
      <c r="T1136" s="36"/>
      <c r="U1136" s="36"/>
      <c r="V1136" s="36"/>
      <c r="W1136" s="36"/>
      <c r="X1136" s="36"/>
      <c r="Y1136" s="36"/>
      <c r="Z1136" s="36"/>
      <c r="AA1136" s="36"/>
      <c r="AB1136" s="36"/>
    </row>
    <row r="1137" spans="1:28" ht="24" hidden="1" customHeight="1">
      <c r="A1137" s="215" t="s">
        <v>2424</v>
      </c>
      <c r="B1137" s="204">
        <v>1995</v>
      </c>
      <c r="C1137" s="201" t="s">
        <v>520</v>
      </c>
      <c r="D1137" s="195" t="s">
        <v>521</v>
      </c>
      <c r="E1137" s="206" t="s">
        <v>41</v>
      </c>
      <c r="F1137" s="117" t="s">
        <v>97</v>
      </c>
      <c r="G1137" s="211" t="s">
        <v>43</v>
      </c>
      <c r="H1137" s="117" t="s">
        <v>750</v>
      </c>
      <c r="I1137" s="35"/>
      <c r="J1137" s="36"/>
      <c r="K1137" s="36"/>
      <c r="L1137" s="36"/>
      <c r="M1137" s="36"/>
      <c r="N1137" s="36"/>
      <c r="O1137" s="36"/>
      <c r="P1137" s="36"/>
      <c r="Q1137" s="36"/>
      <c r="R1137" s="36"/>
      <c r="S1137" s="36"/>
      <c r="T1137" s="36"/>
      <c r="U1137" s="36"/>
      <c r="V1137" s="36"/>
      <c r="W1137" s="36"/>
      <c r="X1137" s="36"/>
      <c r="Y1137" s="36"/>
      <c r="Z1137" s="36"/>
      <c r="AA1137" s="36"/>
      <c r="AB1137" s="36"/>
    </row>
    <row r="1138" spans="1:28" ht="36" hidden="1" customHeight="1">
      <c r="A1138" s="215" t="s">
        <v>2425</v>
      </c>
      <c r="B1138" s="201">
        <v>2000</v>
      </c>
      <c r="C1138" s="201" t="s">
        <v>57</v>
      </c>
      <c r="D1138" s="195" t="s">
        <v>2426</v>
      </c>
      <c r="E1138" s="206" t="s">
        <v>41</v>
      </c>
      <c r="F1138" s="117" t="s">
        <v>97</v>
      </c>
      <c r="G1138" s="211" t="s">
        <v>43</v>
      </c>
      <c r="H1138" s="117" t="s">
        <v>750</v>
      </c>
      <c r="I1138" s="35"/>
      <c r="J1138" s="36"/>
      <c r="K1138" s="36"/>
      <c r="L1138" s="36"/>
      <c r="M1138" s="36"/>
      <c r="N1138" s="36"/>
      <c r="O1138" s="36"/>
      <c r="P1138" s="36"/>
      <c r="Q1138" s="36"/>
      <c r="R1138" s="36"/>
      <c r="S1138" s="36"/>
      <c r="T1138" s="36"/>
      <c r="U1138" s="36"/>
      <c r="V1138" s="36"/>
      <c r="W1138" s="36"/>
      <c r="X1138" s="36"/>
      <c r="Y1138" s="36"/>
      <c r="Z1138" s="36"/>
      <c r="AA1138" s="36"/>
      <c r="AB1138" s="36"/>
    </row>
    <row r="1139" spans="1:28" ht="24" hidden="1" customHeight="1">
      <c r="A1139" s="215" t="s">
        <v>372</v>
      </c>
      <c r="B1139" s="201">
        <v>2001</v>
      </c>
      <c r="C1139" s="201" t="s">
        <v>61</v>
      </c>
      <c r="D1139" s="195" t="s">
        <v>2427</v>
      </c>
      <c r="E1139" s="206" t="s">
        <v>41</v>
      </c>
      <c r="F1139" s="117" t="s">
        <v>97</v>
      </c>
      <c r="G1139" s="211" t="s">
        <v>43</v>
      </c>
      <c r="H1139" s="117" t="s">
        <v>750</v>
      </c>
      <c r="I1139" s="35"/>
      <c r="J1139" s="36"/>
      <c r="K1139" s="36"/>
      <c r="L1139" s="36"/>
      <c r="M1139" s="36"/>
      <c r="N1139" s="36"/>
      <c r="O1139" s="36"/>
      <c r="P1139" s="36"/>
      <c r="Q1139" s="36"/>
      <c r="R1139" s="36"/>
      <c r="S1139" s="36"/>
      <c r="T1139" s="36"/>
      <c r="U1139" s="36"/>
      <c r="V1139" s="36"/>
      <c r="W1139" s="36"/>
      <c r="X1139" s="36"/>
      <c r="Y1139" s="36"/>
      <c r="Z1139" s="36"/>
      <c r="AA1139" s="36"/>
      <c r="AB1139" s="36"/>
    </row>
    <row r="1140" spans="1:28" ht="24" hidden="1" customHeight="1">
      <c r="A1140" s="215" t="s">
        <v>2428</v>
      </c>
      <c r="B1140" s="201">
        <v>2003</v>
      </c>
      <c r="C1140" s="201" t="s">
        <v>57</v>
      </c>
      <c r="D1140" s="195" t="s">
        <v>2429</v>
      </c>
      <c r="E1140" s="206" t="s">
        <v>41</v>
      </c>
      <c r="F1140" s="117" t="s">
        <v>97</v>
      </c>
      <c r="G1140" s="211" t="s">
        <v>43</v>
      </c>
      <c r="H1140" s="117" t="s">
        <v>750</v>
      </c>
      <c r="I1140" s="35"/>
      <c r="J1140" s="36"/>
      <c r="K1140" s="36"/>
      <c r="L1140" s="36"/>
      <c r="M1140" s="36"/>
      <c r="N1140" s="36"/>
      <c r="O1140" s="36"/>
      <c r="P1140" s="36"/>
      <c r="Q1140" s="36"/>
      <c r="R1140" s="36"/>
      <c r="S1140" s="36"/>
      <c r="T1140" s="36"/>
      <c r="U1140" s="36"/>
      <c r="V1140" s="36"/>
      <c r="W1140" s="36"/>
      <c r="X1140" s="36"/>
      <c r="Y1140" s="36"/>
      <c r="Z1140" s="36"/>
      <c r="AA1140" s="36"/>
      <c r="AB1140" s="36"/>
    </row>
    <row r="1141" spans="1:28" ht="36" hidden="1" customHeight="1">
      <c r="A1141" s="215" t="s">
        <v>2430</v>
      </c>
      <c r="B1141" s="204">
        <v>2007</v>
      </c>
      <c r="C1141" s="201" t="s">
        <v>61</v>
      </c>
      <c r="D1141" s="195" t="s">
        <v>2431</v>
      </c>
      <c r="E1141" s="206" t="s">
        <v>41</v>
      </c>
      <c r="F1141" s="117" t="s">
        <v>97</v>
      </c>
      <c r="G1141" s="211" t="s">
        <v>43</v>
      </c>
      <c r="H1141" s="117" t="s">
        <v>750</v>
      </c>
      <c r="I1141" s="35"/>
      <c r="J1141" s="36"/>
      <c r="K1141" s="36"/>
      <c r="L1141" s="36"/>
      <c r="M1141" s="36"/>
      <c r="N1141" s="36"/>
      <c r="O1141" s="36"/>
      <c r="P1141" s="36"/>
      <c r="Q1141" s="36"/>
      <c r="R1141" s="36"/>
      <c r="S1141" s="36"/>
      <c r="T1141" s="36"/>
      <c r="U1141" s="36"/>
      <c r="V1141" s="36"/>
      <c r="W1141" s="36"/>
      <c r="X1141" s="36"/>
      <c r="Y1141" s="36"/>
      <c r="Z1141" s="36"/>
      <c r="AA1141" s="36"/>
      <c r="AB1141" s="36"/>
    </row>
    <row r="1142" spans="1:28" ht="36" hidden="1" customHeight="1">
      <c r="A1142" s="215" t="s">
        <v>2432</v>
      </c>
      <c r="B1142" s="201">
        <v>2008</v>
      </c>
      <c r="C1142" s="201" t="s">
        <v>61</v>
      </c>
      <c r="D1142" s="195" t="s">
        <v>2433</v>
      </c>
      <c r="E1142" s="206" t="s">
        <v>41</v>
      </c>
      <c r="F1142" s="117" t="s">
        <v>97</v>
      </c>
      <c r="G1142" s="211" t="s">
        <v>43</v>
      </c>
      <c r="H1142" s="117" t="s">
        <v>750</v>
      </c>
      <c r="I1142" s="35"/>
      <c r="J1142" s="36"/>
      <c r="K1142" s="36"/>
      <c r="L1142" s="36"/>
      <c r="M1142" s="36"/>
      <c r="N1142" s="36"/>
      <c r="O1142" s="36"/>
      <c r="P1142" s="36"/>
      <c r="Q1142" s="36"/>
      <c r="R1142" s="36"/>
      <c r="S1142" s="36"/>
      <c r="T1142" s="36"/>
      <c r="U1142" s="36"/>
      <c r="V1142" s="36"/>
      <c r="W1142" s="36"/>
      <c r="X1142" s="36"/>
      <c r="Y1142" s="36"/>
      <c r="Z1142" s="36"/>
      <c r="AA1142" s="36"/>
      <c r="AB1142" s="36"/>
    </row>
    <row r="1143" spans="1:28" ht="36" hidden="1" customHeight="1">
      <c r="A1143" s="215" t="s">
        <v>2434</v>
      </c>
      <c r="B1143" s="201">
        <v>2008</v>
      </c>
      <c r="C1143" s="201" t="s">
        <v>61</v>
      </c>
      <c r="D1143" s="195" t="s">
        <v>2435</v>
      </c>
      <c r="E1143" s="206" t="s">
        <v>41</v>
      </c>
      <c r="F1143" s="117" t="s">
        <v>97</v>
      </c>
      <c r="G1143" s="211" t="s">
        <v>43</v>
      </c>
      <c r="H1143" s="117" t="s">
        <v>750</v>
      </c>
      <c r="I1143" s="35"/>
      <c r="J1143" s="36"/>
      <c r="K1143" s="36"/>
      <c r="L1143" s="36"/>
      <c r="M1143" s="36"/>
      <c r="N1143" s="36"/>
      <c r="O1143" s="36"/>
      <c r="P1143" s="36"/>
      <c r="Q1143" s="36"/>
      <c r="R1143" s="36"/>
      <c r="S1143" s="36"/>
      <c r="T1143" s="36"/>
      <c r="U1143" s="36"/>
      <c r="V1143" s="36"/>
      <c r="W1143" s="36"/>
      <c r="X1143" s="36"/>
      <c r="Y1143" s="36"/>
      <c r="Z1143" s="36"/>
      <c r="AA1143" s="36"/>
      <c r="AB1143" s="36"/>
    </row>
    <row r="1144" spans="1:28" ht="36" hidden="1" customHeight="1">
      <c r="A1144" s="215" t="s">
        <v>2436</v>
      </c>
      <c r="B1144" s="201">
        <v>2008</v>
      </c>
      <c r="C1144" s="201" t="s">
        <v>61</v>
      </c>
      <c r="D1144" s="195" t="s">
        <v>2437</v>
      </c>
      <c r="E1144" s="206" t="s">
        <v>41</v>
      </c>
      <c r="F1144" s="117" t="s">
        <v>97</v>
      </c>
      <c r="G1144" s="211" t="s">
        <v>43</v>
      </c>
      <c r="H1144" s="117" t="s">
        <v>750</v>
      </c>
      <c r="I1144" s="35"/>
      <c r="J1144" s="36"/>
      <c r="K1144" s="36"/>
      <c r="L1144" s="36"/>
      <c r="M1144" s="36"/>
      <c r="N1144" s="36"/>
      <c r="O1144" s="36"/>
      <c r="P1144" s="36"/>
      <c r="Q1144" s="36"/>
      <c r="R1144" s="36"/>
      <c r="S1144" s="36"/>
      <c r="T1144" s="36"/>
      <c r="U1144" s="36"/>
      <c r="V1144" s="36"/>
      <c r="W1144" s="36"/>
      <c r="X1144" s="36"/>
      <c r="Y1144" s="36"/>
      <c r="Z1144" s="36"/>
      <c r="AA1144" s="36"/>
      <c r="AB1144" s="36"/>
    </row>
    <row r="1145" spans="1:28" ht="36" hidden="1" customHeight="1">
      <c r="A1145" s="215" t="s">
        <v>2438</v>
      </c>
      <c r="B1145" s="201">
        <v>2008</v>
      </c>
      <c r="C1145" s="201" t="s">
        <v>61</v>
      </c>
      <c r="D1145" s="195" t="s">
        <v>2439</v>
      </c>
      <c r="E1145" s="206" t="s">
        <v>41</v>
      </c>
      <c r="F1145" s="117" t="s">
        <v>97</v>
      </c>
      <c r="G1145" s="211" t="s">
        <v>43</v>
      </c>
      <c r="H1145" s="117" t="s">
        <v>750</v>
      </c>
      <c r="I1145" s="35"/>
      <c r="J1145" s="36"/>
      <c r="K1145" s="36"/>
      <c r="L1145" s="36"/>
      <c r="M1145" s="36"/>
      <c r="N1145" s="36"/>
      <c r="O1145" s="36"/>
      <c r="P1145" s="36"/>
      <c r="Q1145" s="36"/>
      <c r="R1145" s="36"/>
      <c r="S1145" s="36"/>
      <c r="T1145" s="36"/>
      <c r="U1145" s="36"/>
      <c r="V1145" s="36"/>
      <c r="W1145" s="36"/>
      <c r="X1145" s="36"/>
      <c r="Y1145" s="36"/>
      <c r="Z1145" s="36"/>
      <c r="AA1145" s="36"/>
      <c r="AB1145" s="36"/>
    </row>
    <row r="1146" spans="1:28" ht="24" hidden="1" customHeight="1">
      <c r="A1146" s="215" t="s">
        <v>2440</v>
      </c>
      <c r="B1146" s="204">
        <v>2010</v>
      </c>
      <c r="C1146" s="201" t="s">
        <v>273</v>
      </c>
      <c r="D1146" s="195" t="s">
        <v>2441</v>
      </c>
      <c r="E1146" s="206" t="s">
        <v>41</v>
      </c>
      <c r="F1146" s="117" t="s">
        <v>97</v>
      </c>
      <c r="G1146" s="211" t="s">
        <v>43</v>
      </c>
      <c r="H1146" s="117" t="s">
        <v>750</v>
      </c>
      <c r="I1146" s="35"/>
      <c r="J1146" s="36"/>
      <c r="K1146" s="36"/>
      <c r="L1146" s="36"/>
      <c r="M1146" s="36"/>
      <c r="N1146" s="36"/>
      <c r="O1146" s="36"/>
      <c r="P1146" s="36"/>
      <c r="Q1146" s="36"/>
      <c r="R1146" s="36"/>
      <c r="S1146" s="36"/>
      <c r="T1146" s="36"/>
      <c r="U1146" s="36"/>
      <c r="V1146" s="36"/>
      <c r="W1146" s="36"/>
      <c r="X1146" s="36"/>
      <c r="Y1146" s="36"/>
      <c r="Z1146" s="36"/>
      <c r="AA1146" s="36"/>
      <c r="AB1146" s="36"/>
    </row>
    <row r="1147" spans="1:28" ht="36" hidden="1" customHeight="1">
      <c r="A1147" s="215" t="s">
        <v>831</v>
      </c>
      <c r="B1147" s="201">
        <v>2012</v>
      </c>
      <c r="C1147" s="201" t="s">
        <v>57</v>
      </c>
      <c r="D1147" s="195" t="s">
        <v>546</v>
      </c>
      <c r="E1147" s="206" t="s">
        <v>41</v>
      </c>
      <c r="F1147" s="117" t="s">
        <v>97</v>
      </c>
      <c r="G1147" s="211" t="s">
        <v>43</v>
      </c>
      <c r="H1147" s="117" t="s">
        <v>750</v>
      </c>
      <c r="I1147" s="35"/>
      <c r="J1147" s="36"/>
      <c r="K1147" s="36"/>
      <c r="L1147" s="36"/>
      <c r="M1147" s="36"/>
      <c r="N1147" s="36"/>
      <c r="O1147" s="36"/>
      <c r="P1147" s="36"/>
      <c r="Q1147" s="36"/>
      <c r="R1147" s="36"/>
      <c r="S1147" s="36"/>
      <c r="T1147" s="36"/>
      <c r="U1147" s="36"/>
      <c r="V1147" s="36"/>
      <c r="W1147" s="36"/>
      <c r="X1147" s="36"/>
      <c r="Y1147" s="36"/>
      <c r="Z1147" s="36"/>
      <c r="AA1147" s="36"/>
      <c r="AB1147" s="36"/>
    </row>
    <row r="1148" spans="1:28" ht="24" hidden="1" customHeight="1">
      <c r="A1148" s="215" t="s">
        <v>2442</v>
      </c>
      <c r="B1148" s="201">
        <v>2012</v>
      </c>
      <c r="C1148" s="201" t="s">
        <v>57</v>
      </c>
      <c r="D1148" s="195" t="s">
        <v>2443</v>
      </c>
      <c r="E1148" s="206" t="s">
        <v>41</v>
      </c>
      <c r="F1148" s="117" t="s">
        <v>97</v>
      </c>
      <c r="G1148" s="211" t="s">
        <v>43</v>
      </c>
      <c r="H1148" s="117" t="s">
        <v>750</v>
      </c>
      <c r="I1148" s="35"/>
      <c r="J1148" s="36"/>
      <c r="K1148" s="36"/>
      <c r="L1148" s="36"/>
      <c r="M1148" s="36"/>
      <c r="N1148" s="36"/>
      <c r="O1148" s="36"/>
      <c r="P1148" s="36"/>
      <c r="Q1148" s="36"/>
      <c r="R1148" s="36"/>
      <c r="S1148" s="36"/>
      <c r="T1148" s="36"/>
      <c r="U1148" s="36"/>
      <c r="V1148" s="36"/>
      <c r="W1148" s="36"/>
      <c r="X1148" s="36"/>
      <c r="Y1148" s="36"/>
      <c r="Z1148" s="36"/>
      <c r="AA1148" s="36"/>
      <c r="AB1148" s="36"/>
    </row>
    <row r="1149" spans="1:28" ht="24" hidden="1" customHeight="1">
      <c r="A1149" s="215" t="s">
        <v>2444</v>
      </c>
      <c r="B1149" s="201">
        <v>2012</v>
      </c>
      <c r="C1149" s="201" t="s">
        <v>57</v>
      </c>
      <c r="D1149" s="195" t="s">
        <v>2445</v>
      </c>
      <c r="E1149" s="206" t="s">
        <v>41</v>
      </c>
      <c r="F1149" s="117" t="s">
        <v>97</v>
      </c>
      <c r="G1149" s="211" t="s">
        <v>43</v>
      </c>
      <c r="H1149" s="117" t="s">
        <v>750</v>
      </c>
      <c r="I1149" s="35"/>
      <c r="J1149" s="36"/>
      <c r="K1149" s="36"/>
      <c r="L1149" s="36"/>
      <c r="M1149" s="36"/>
      <c r="N1149" s="36"/>
      <c r="O1149" s="36"/>
      <c r="P1149" s="36"/>
      <c r="Q1149" s="36"/>
      <c r="R1149" s="36"/>
      <c r="S1149" s="36"/>
      <c r="T1149" s="36"/>
      <c r="U1149" s="36"/>
      <c r="V1149" s="36"/>
      <c r="W1149" s="36"/>
      <c r="X1149" s="36"/>
      <c r="Y1149" s="36"/>
      <c r="Z1149" s="36"/>
      <c r="AA1149" s="36"/>
      <c r="AB1149" s="36"/>
    </row>
    <row r="1150" spans="1:28" ht="24" hidden="1" customHeight="1">
      <c r="A1150" s="215" t="s">
        <v>2446</v>
      </c>
      <c r="B1150" s="201">
        <v>2012</v>
      </c>
      <c r="C1150" s="201" t="s">
        <v>57</v>
      </c>
      <c r="D1150" s="195" t="s">
        <v>2447</v>
      </c>
      <c r="E1150" s="206" t="s">
        <v>41</v>
      </c>
      <c r="F1150" s="117" t="s">
        <v>97</v>
      </c>
      <c r="G1150" s="211" t="s">
        <v>43</v>
      </c>
      <c r="H1150" s="117" t="s">
        <v>750</v>
      </c>
      <c r="I1150" s="35"/>
      <c r="J1150" s="36"/>
      <c r="K1150" s="36"/>
      <c r="L1150" s="36"/>
      <c r="M1150" s="36"/>
      <c r="N1150" s="36"/>
      <c r="O1150" s="36"/>
      <c r="P1150" s="36"/>
      <c r="Q1150" s="36"/>
      <c r="R1150" s="36"/>
      <c r="S1150" s="36"/>
      <c r="T1150" s="36"/>
      <c r="U1150" s="36"/>
      <c r="V1150" s="36"/>
      <c r="W1150" s="36"/>
      <c r="X1150" s="36"/>
      <c r="Y1150" s="36"/>
      <c r="Z1150" s="36"/>
      <c r="AA1150" s="36"/>
      <c r="AB1150" s="36"/>
    </row>
    <row r="1151" spans="1:28" ht="24" hidden="1" customHeight="1">
      <c r="A1151" s="215" t="s">
        <v>1877</v>
      </c>
      <c r="B1151" s="204">
        <v>2013</v>
      </c>
      <c r="C1151" s="201" t="s">
        <v>57</v>
      </c>
      <c r="D1151" s="195" t="s">
        <v>1878</v>
      </c>
      <c r="E1151" s="206" t="s">
        <v>41</v>
      </c>
      <c r="F1151" s="117" t="s">
        <v>97</v>
      </c>
      <c r="G1151" s="211" t="s">
        <v>43</v>
      </c>
      <c r="H1151" s="117" t="s">
        <v>750</v>
      </c>
      <c r="I1151" s="35"/>
      <c r="J1151" s="36"/>
      <c r="K1151" s="36"/>
      <c r="L1151" s="36"/>
      <c r="M1151" s="36"/>
      <c r="N1151" s="36"/>
      <c r="O1151" s="36"/>
      <c r="P1151" s="36"/>
      <c r="Q1151" s="36"/>
      <c r="R1151" s="36"/>
      <c r="S1151" s="36"/>
      <c r="T1151" s="36"/>
      <c r="U1151" s="36"/>
      <c r="V1151" s="36"/>
      <c r="W1151" s="36"/>
      <c r="X1151" s="36"/>
      <c r="Y1151" s="36"/>
      <c r="Z1151" s="36"/>
      <c r="AA1151" s="36"/>
      <c r="AB1151" s="36"/>
    </row>
    <row r="1152" spans="1:28" ht="24" hidden="1" customHeight="1">
      <c r="A1152" s="215" t="s">
        <v>1732</v>
      </c>
      <c r="B1152" s="201">
        <v>2013</v>
      </c>
      <c r="C1152" s="201" t="s">
        <v>61</v>
      </c>
      <c r="D1152" s="195" t="s">
        <v>2448</v>
      </c>
      <c r="E1152" s="206" t="s">
        <v>41</v>
      </c>
      <c r="F1152" s="117" t="s">
        <v>97</v>
      </c>
      <c r="G1152" s="211" t="s">
        <v>43</v>
      </c>
      <c r="H1152" s="117" t="s">
        <v>750</v>
      </c>
      <c r="I1152" s="35"/>
      <c r="J1152" s="36"/>
      <c r="K1152" s="36"/>
      <c r="L1152" s="36"/>
      <c r="M1152" s="36"/>
      <c r="N1152" s="36"/>
      <c r="O1152" s="36"/>
      <c r="P1152" s="36"/>
      <c r="Q1152" s="36"/>
      <c r="R1152" s="36"/>
      <c r="S1152" s="36"/>
      <c r="T1152" s="36"/>
      <c r="U1152" s="36"/>
      <c r="V1152" s="36"/>
      <c r="W1152" s="36"/>
      <c r="X1152" s="36"/>
      <c r="Y1152" s="36"/>
      <c r="Z1152" s="36"/>
      <c r="AA1152" s="36"/>
      <c r="AB1152" s="36"/>
    </row>
    <row r="1153" spans="1:28" ht="24" hidden="1" customHeight="1">
      <c r="A1153" s="215" t="s">
        <v>2449</v>
      </c>
      <c r="B1153" s="201">
        <v>2014</v>
      </c>
      <c r="C1153" s="201" t="s">
        <v>57</v>
      </c>
      <c r="D1153" s="195" t="s">
        <v>2450</v>
      </c>
      <c r="E1153" s="206" t="s">
        <v>41</v>
      </c>
      <c r="F1153" s="117" t="s">
        <v>97</v>
      </c>
      <c r="G1153" s="211" t="s">
        <v>43</v>
      </c>
      <c r="H1153" s="117" t="s">
        <v>750</v>
      </c>
      <c r="I1153" s="35"/>
      <c r="J1153" s="36"/>
      <c r="K1153" s="36"/>
      <c r="L1153" s="36"/>
      <c r="M1153" s="36"/>
      <c r="N1153" s="36"/>
      <c r="O1153" s="36"/>
      <c r="P1153" s="36"/>
      <c r="Q1153" s="36"/>
      <c r="R1153" s="36"/>
      <c r="S1153" s="36"/>
      <c r="T1153" s="36"/>
      <c r="U1153" s="36"/>
      <c r="V1153" s="36"/>
      <c r="W1153" s="36"/>
      <c r="X1153" s="36"/>
      <c r="Y1153" s="36"/>
      <c r="Z1153" s="36"/>
      <c r="AA1153" s="36"/>
      <c r="AB1153" s="36"/>
    </row>
    <row r="1154" spans="1:28" ht="36" hidden="1" customHeight="1">
      <c r="A1154" s="215" t="s">
        <v>1879</v>
      </c>
      <c r="B1154" s="204">
        <v>2014</v>
      </c>
      <c r="C1154" s="201" t="s">
        <v>57</v>
      </c>
      <c r="D1154" s="195" t="s">
        <v>1880</v>
      </c>
      <c r="E1154" s="206" t="s">
        <v>41</v>
      </c>
      <c r="F1154" s="117" t="s">
        <v>97</v>
      </c>
      <c r="G1154" s="211" t="s">
        <v>43</v>
      </c>
      <c r="H1154" s="117" t="s">
        <v>750</v>
      </c>
      <c r="I1154" s="35"/>
      <c r="J1154" s="36"/>
      <c r="K1154" s="36"/>
      <c r="L1154" s="36"/>
      <c r="M1154" s="36"/>
      <c r="N1154" s="36"/>
      <c r="O1154" s="36"/>
      <c r="P1154" s="36"/>
      <c r="Q1154" s="36"/>
      <c r="R1154" s="36"/>
      <c r="S1154" s="36"/>
      <c r="T1154" s="36"/>
      <c r="U1154" s="36"/>
      <c r="V1154" s="36"/>
      <c r="W1154" s="36"/>
      <c r="X1154" s="36"/>
      <c r="Y1154" s="36"/>
      <c r="Z1154" s="36"/>
      <c r="AA1154" s="36"/>
      <c r="AB1154" s="36"/>
    </row>
    <row r="1155" spans="1:28" ht="24" hidden="1" customHeight="1">
      <c r="A1155" s="215" t="s">
        <v>298</v>
      </c>
      <c r="B1155" s="201">
        <v>2015</v>
      </c>
      <c r="C1155" s="201" t="s">
        <v>57</v>
      </c>
      <c r="D1155" s="195" t="s">
        <v>1881</v>
      </c>
      <c r="E1155" s="206" t="s">
        <v>41</v>
      </c>
      <c r="F1155" s="117" t="s">
        <v>97</v>
      </c>
      <c r="G1155" s="211" t="s">
        <v>43</v>
      </c>
      <c r="H1155" s="117" t="s">
        <v>750</v>
      </c>
      <c r="I1155" s="35"/>
      <c r="J1155" s="36"/>
      <c r="K1155" s="36"/>
      <c r="L1155" s="36"/>
      <c r="M1155" s="36"/>
      <c r="N1155" s="36"/>
      <c r="O1155" s="36"/>
      <c r="P1155" s="36"/>
      <c r="Q1155" s="36"/>
      <c r="R1155" s="36"/>
      <c r="S1155" s="36"/>
      <c r="T1155" s="36"/>
      <c r="U1155" s="36"/>
      <c r="V1155" s="36"/>
      <c r="W1155" s="36"/>
      <c r="X1155" s="36"/>
      <c r="Y1155" s="36"/>
      <c r="Z1155" s="36"/>
      <c r="AA1155" s="36"/>
      <c r="AB1155" s="36"/>
    </row>
    <row r="1156" spans="1:28" ht="24" hidden="1" customHeight="1">
      <c r="A1156" s="215" t="s">
        <v>1882</v>
      </c>
      <c r="B1156" s="204">
        <v>2015</v>
      </c>
      <c r="C1156" s="201" t="s">
        <v>57</v>
      </c>
      <c r="D1156" s="195" t="s">
        <v>1883</v>
      </c>
      <c r="E1156" s="206" t="s">
        <v>41</v>
      </c>
      <c r="F1156" s="117" t="s">
        <v>97</v>
      </c>
      <c r="G1156" s="211" t="s">
        <v>43</v>
      </c>
      <c r="H1156" s="117" t="s">
        <v>750</v>
      </c>
      <c r="I1156" s="35"/>
      <c r="J1156" s="36"/>
      <c r="K1156" s="36"/>
      <c r="L1156" s="36"/>
      <c r="M1156" s="36"/>
      <c r="N1156" s="36"/>
      <c r="O1156" s="36"/>
      <c r="P1156" s="36"/>
      <c r="Q1156" s="36"/>
      <c r="R1156" s="36"/>
      <c r="S1156" s="36"/>
      <c r="T1156" s="36"/>
      <c r="U1156" s="36"/>
      <c r="V1156" s="36"/>
      <c r="W1156" s="36"/>
      <c r="X1156" s="36"/>
      <c r="Y1156" s="36"/>
      <c r="Z1156" s="36"/>
      <c r="AA1156" s="36"/>
      <c r="AB1156" s="36"/>
    </row>
    <row r="1157" spans="1:28" ht="24" hidden="1" customHeight="1">
      <c r="A1157" s="215" t="s">
        <v>1051</v>
      </c>
      <c r="B1157" s="201">
        <v>2015</v>
      </c>
      <c r="C1157" s="201" t="s">
        <v>57</v>
      </c>
      <c r="D1157" s="195" t="s">
        <v>2451</v>
      </c>
      <c r="E1157" s="206" t="s">
        <v>41</v>
      </c>
      <c r="F1157" s="117" t="s">
        <v>97</v>
      </c>
      <c r="G1157" s="211" t="s">
        <v>43</v>
      </c>
      <c r="H1157" s="117" t="s">
        <v>750</v>
      </c>
      <c r="I1157" s="35"/>
      <c r="J1157" s="36"/>
      <c r="K1157" s="36"/>
      <c r="L1157" s="36"/>
      <c r="M1157" s="36"/>
      <c r="N1157" s="36"/>
      <c r="O1157" s="36"/>
      <c r="P1157" s="36"/>
      <c r="Q1157" s="36"/>
      <c r="R1157" s="36"/>
      <c r="S1157" s="36"/>
      <c r="T1157" s="36"/>
      <c r="U1157" s="36"/>
      <c r="V1157" s="36"/>
      <c r="W1157" s="36"/>
      <c r="X1157" s="36"/>
      <c r="Y1157" s="36"/>
      <c r="Z1157" s="36"/>
      <c r="AA1157" s="36"/>
      <c r="AB1157" s="36"/>
    </row>
    <row r="1158" spans="1:28" ht="48" hidden="1" customHeight="1">
      <c r="A1158" s="217" t="s">
        <v>2452</v>
      </c>
      <c r="B1158" s="204">
        <v>2018</v>
      </c>
      <c r="C1158" s="201" t="s">
        <v>599</v>
      </c>
      <c r="D1158" s="195" t="s">
        <v>2453</v>
      </c>
      <c r="E1158" s="206" t="s">
        <v>41</v>
      </c>
      <c r="F1158" s="117" t="s">
        <v>42</v>
      </c>
      <c r="G1158" s="211" t="s">
        <v>43</v>
      </c>
      <c r="H1158" s="117" t="s">
        <v>750</v>
      </c>
      <c r="I1158" s="35"/>
      <c r="J1158" s="36"/>
      <c r="K1158" s="36"/>
      <c r="L1158" s="36"/>
      <c r="M1158" s="36"/>
      <c r="N1158" s="36"/>
      <c r="O1158" s="36"/>
      <c r="P1158" s="36"/>
      <c r="Q1158" s="36"/>
      <c r="R1158" s="36"/>
      <c r="S1158" s="36"/>
      <c r="T1158" s="36"/>
      <c r="U1158" s="36"/>
      <c r="V1158" s="36"/>
      <c r="W1158" s="36"/>
      <c r="X1158" s="36"/>
      <c r="Y1158" s="36"/>
      <c r="Z1158" s="36"/>
      <c r="AA1158" s="36"/>
      <c r="AB1158" s="36"/>
    </row>
    <row r="1159" spans="1:28" ht="36" hidden="1" customHeight="1">
      <c r="A1159" s="199" t="s">
        <v>2454</v>
      </c>
      <c r="B1159" s="200">
        <v>2002</v>
      </c>
      <c r="C1159" s="201" t="s">
        <v>2333</v>
      </c>
      <c r="D1159" s="195" t="s">
        <v>2455</v>
      </c>
      <c r="E1159" s="206" t="s">
        <v>41</v>
      </c>
      <c r="F1159" s="117" t="s">
        <v>97</v>
      </c>
      <c r="G1159" s="211" t="s">
        <v>43</v>
      </c>
      <c r="H1159" s="117" t="s">
        <v>750</v>
      </c>
      <c r="I1159" s="35"/>
      <c r="J1159" s="36"/>
      <c r="K1159" s="36"/>
      <c r="L1159" s="36"/>
      <c r="M1159" s="36"/>
      <c r="N1159" s="36"/>
      <c r="O1159" s="36"/>
      <c r="P1159" s="36"/>
      <c r="Q1159" s="36"/>
      <c r="R1159" s="36"/>
      <c r="S1159" s="36"/>
      <c r="T1159" s="36"/>
      <c r="U1159" s="36"/>
      <c r="V1159" s="36"/>
      <c r="W1159" s="36"/>
      <c r="X1159" s="36"/>
      <c r="Y1159" s="36"/>
      <c r="Z1159" s="36"/>
      <c r="AA1159" s="36"/>
      <c r="AB1159" s="36"/>
    </row>
    <row r="1160" spans="1:28" ht="36" hidden="1" customHeight="1">
      <c r="A1160" s="199" t="s">
        <v>2456</v>
      </c>
      <c r="B1160" s="200">
        <v>2007</v>
      </c>
      <c r="C1160" s="201" t="s">
        <v>2333</v>
      </c>
      <c r="D1160" s="195" t="s">
        <v>2457</v>
      </c>
      <c r="E1160" s="206" t="s">
        <v>41</v>
      </c>
      <c r="F1160" s="117" t="s">
        <v>97</v>
      </c>
      <c r="G1160" s="211" t="s">
        <v>43</v>
      </c>
      <c r="H1160" s="117" t="s">
        <v>750</v>
      </c>
      <c r="I1160" s="35"/>
      <c r="J1160" s="36"/>
      <c r="K1160" s="36"/>
      <c r="L1160" s="36"/>
      <c r="M1160" s="36"/>
      <c r="N1160" s="36"/>
      <c r="O1160" s="36"/>
      <c r="P1160" s="36"/>
      <c r="Q1160" s="36"/>
      <c r="R1160" s="36"/>
      <c r="S1160" s="36"/>
      <c r="T1160" s="36"/>
      <c r="U1160" s="36"/>
      <c r="V1160" s="36"/>
      <c r="W1160" s="36"/>
      <c r="X1160" s="36"/>
      <c r="Y1160" s="36"/>
      <c r="Z1160" s="36"/>
      <c r="AA1160" s="36"/>
      <c r="AB1160" s="36"/>
    </row>
    <row r="1161" spans="1:28" ht="24" hidden="1" customHeight="1">
      <c r="A1161" s="199" t="s">
        <v>2330</v>
      </c>
      <c r="B1161" s="200">
        <v>2014</v>
      </c>
      <c r="C1161" s="201" t="s">
        <v>2458</v>
      </c>
      <c r="D1161" s="195" t="s">
        <v>2459</v>
      </c>
      <c r="E1161" s="206" t="s">
        <v>41</v>
      </c>
      <c r="F1161" s="117" t="s">
        <v>97</v>
      </c>
      <c r="G1161" s="211" t="s">
        <v>43</v>
      </c>
      <c r="H1161" s="117" t="s">
        <v>750</v>
      </c>
      <c r="I1161" s="35"/>
      <c r="J1161" s="36"/>
      <c r="K1161" s="36"/>
      <c r="L1161" s="36"/>
      <c r="M1161" s="36"/>
      <c r="N1161" s="36"/>
      <c r="O1161" s="36"/>
      <c r="P1161" s="36"/>
      <c r="Q1161" s="36"/>
      <c r="R1161" s="36"/>
      <c r="S1161" s="36"/>
      <c r="T1161" s="36"/>
      <c r="U1161" s="36"/>
      <c r="V1161" s="36"/>
      <c r="W1161" s="36"/>
      <c r="X1161" s="36"/>
      <c r="Y1161" s="36"/>
      <c r="Z1161" s="36"/>
      <c r="AA1161" s="36"/>
      <c r="AB1161" s="36"/>
    </row>
    <row r="1162" spans="1:28" ht="72" hidden="1" customHeight="1">
      <c r="A1162" s="199" t="s">
        <v>2460</v>
      </c>
      <c r="B1162" s="200">
        <v>2015</v>
      </c>
      <c r="C1162" s="201" t="s">
        <v>2458</v>
      </c>
      <c r="D1162" s="195" t="s">
        <v>2461</v>
      </c>
      <c r="E1162" s="206" t="s">
        <v>41</v>
      </c>
      <c r="F1162" s="117" t="s">
        <v>97</v>
      </c>
      <c r="G1162" s="211" t="s">
        <v>43</v>
      </c>
      <c r="H1162" s="117" t="s">
        <v>750</v>
      </c>
      <c r="I1162" s="35"/>
      <c r="J1162" s="36"/>
      <c r="K1162" s="36"/>
      <c r="L1162" s="36"/>
      <c r="M1162" s="36"/>
      <c r="N1162" s="36"/>
      <c r="O1162" s="36"/>
      <c r="P1162" s="36"/>
      <c r="Q1162" s="36"/>
      <c r="R1162" s="36"/>
      <c r="S1162" s="36"/>
      <c r="T1162" s="36"/>
      <c r="U1162" s="36"/>
      <c r="V1162" s="36"/>
      <c r="W1162" s="36"/>
      <c r="X1162" s="36"/>
      <c r="Y1162" s="36"/>
      <c r="Z1162" s="36"/>
      <c r="AA1162" s="36"/>
      <c r="AB1162" s="36"/>
    </row>
    <row r="1163" spans="1:28" ht="72" hidden="1" customHeight="1">
      <c r="A1163" s="220" t="s">
        <v>1888</v>
      </c>
      <c r="B1163" s="201">
        <v>2008</v>
      </c>
      <c r="C1163" s="201" t="s">
        <v>2462</v>
      </c>
      <c r="D1163" s="195" t="s">
        <v>2463</v>
      </c>
      <c r="E1163" s="206" t="s">
        <v>41</v>
      </c>
      <c r="F1163" s="117" t="s">
        <v>97</v>
      </c>
      <c r="G1163" s="211" t="s">
        <v>43</v>
      </c>
      <c r="H1163" s="117" t="s">
        <v>750</v>
      </c>
      <c r="I1163" s="35"/>
      <c r="J1163" s="36"/>
      <c r="K1163" s="36"/>
      <c r="L1163" s="36"/>
      <c r="M1163" s="36"/>
      <c r="N1163" s="36"/>
      <c r="O1163" s="36"/>
      <c r="P1163" s="36"/>
      <c r="Q1163" s="36"/>
      <c r="R1163" s="36"/>
      <c r="S1163" s="36"/>
      <c r="T1163" s="36"/>
      <c r="U1163" s="36"/>
      <c r="V1163" s="36"/>
      <c r="W1163" s="36"/>
      <c r="X1163" s="36"/>
      <c r="Y1163" s="36"/>
      <c r="Z1163" s="36"/>
      <c r="AA1163" s="36"/>
      <c r="AB1163" s="36"/>
    </row>
    <row r="1164" spans="1:28" ht="36" hidden="1" customHeight="1">
      <c r="A1164" s="215" t="s">
        <v>2464</v>
      </c>
      <c r="B1164" s="201">
        <v>2014</v>
      </c>
      <c r="C1164" s="201" t="s">
        <v>1098</v>
      </c>
      <c r="D1164" s="195" t="s">
        <v>2465</v>
      </c>
      <c r="E1164" s="206" t="s">
        <v>41</v>
      </c>
      <c r="F1164" s="117" t="s">
        <v>97</v>
      </c>
      <c r="G1164" s="211" t="s">
        <v>43</v>
      </c>
      <c r="H1164" s="117" t="s">
        <v>750</v>
      </c>
      <c r="I1164" s="35"/>
      <c r="J1164" s="36"/>
      <c r="K1164" s="36"/>
      <c r="L1164" s="36"/>
      <c r="M1164" s="36"/>
      <c r="N1164" s="36"/>
      <c r="O1164" s="36"/>
      <c r="P1164" s="36"/>
      <c r="Q1164" s="36"/>
      <c r="R1164" s="36"/>
      <c r="S1164" s="36"/>
      <c r="T1164" s="36"/>
      <c r="U1164" s="36"/>
      <c r="V1164" s="36"/>
      <c r="W1164" s="36"/>
      <c r="X1164" s="36"/>
      <c r="Y1164" s="36"/>
      <c r="Z1164" s="36"/>
      <c r="AA1164" s="36"/>
      <c r="AB1164" s="36"/>
    </row>
    <row r="1165" spans="1:28" ht="24" hidden="1" customHeight="1">
      <c r="A1165" s="215" t="s">
        <v>2466</v>
      </c>
      <c r="B1165" s="201">
        <v>2015</v>
      </c>
      <c r="C1165" s="201" t="s">
        <v>1098</v>
      </c>
      <c r="D1165" s="195" t="s">
        <v>2467</v>
      </c>
      <c r="E1165" s="206" t="s">
        <v>41</v>
      </c>
      <c r="F1165" s="117" t="s">
        <v>97</v>
      </c>
      <c r="G1165" s="211" t="s">
        <v>43</v>
      </c>
      <c r="H1165" s="117" t="s">
        <v>750</v>
      </c>
      <c r="I1165" s="35"/>
      <c r="J1165" s="36"/>
      <c r="K1165" s="36"/>
      <c r="L1165" s="36"/>
      <c r="M1165" s="36"/>
      <c r="N1165" s="36"/>
      <c r="O1165" s="36"/>
      <c r="P1165" s="36"/>
      <c r="Q1165" s="36"/>
      <c r="R1165" s="36"/>
      <c r="S1165" s="36"/>
      <c r="T1165" s="36"/>
      <c r="U1165" s="36"/>
      <c r="V1165" s="36"/>
      <c r="W1165" s="36"/>
      <c r="X1165" s="36"/>
      <c r="Y1165" s="36"/>
      <c r="Z1165" s="36"/>
      <c r="AA1165" s="36"/>
      <c r="AB1165" s="36"/>
    </row>
    <row r="1166" spans="1:28" ht="36" hidden="1" customHeight="1">
      <c r="A1166" s="215" t="s">
        <v>1891</v>
      </c>
      <c r="B1166" s="201">
        <v>2015</v>
      </c>
      <c r="C1166" s="201" t="s">
        <v>599</v>
      </c>
      <c r="D1166" s="195" t="s">
        <v>2468</v>
      </c>
      <c r="E1166" s="206" t="s">
        <v>41</v>
      </c>
      <c r="F1166" s="117" t="s">
        <v>97</v>
      </c>
      <c r="G1166" s="211" t="s">
        <v>43</v>
      </c>
      <c r="H1166" s="117" t="s">
        <v>750</v>
      </c>
      <c r="I1166" s="35"/>
      <c r="J1166" s="36"/>
      <c r="K1166" s="36"/>
      <c r="L1166" s="36"/>
      <c r="M1166" s="36"/>
      <c r="N1166" s="36"/>
      <c r="O1166" s="36"/>
      <c r="P1166" s="36"/>
      <c r="Q1166" s="36"/>
      <c r="R1166" s="36"/>
      <c r="S1166" s="36"/>
      <c r="T1166" s="36"/>
      <c r="U1166" s="36"/>
      <c r="V1166" s="36"/>
      <c r="W1166" s="36"/>
      <c r="X1166" s="36"/>
      <c r="Y1166" s="36"/>
      <c r="Z1166" s="36"/>
      <c r="AA1166" s="36"/>
      <c r="AB1166" s="36"/>
    </row>
    <row r="1167" spans="1:28" ht="24" hidden="1" customHeight="1">
      <c r="A1167" s="215" t="s">
        <v>2469</v>
      </c>
      <c r="B1167" s="204">
        <v>2017</v>
      </c>
      <c r="C1167" s="201" t="s">
        <v>856</v>
      </c>
      <c r="D1167" s="195" t="s">
        <v>2470</v>
      </c>
      <c r="E1167" s="206" t="s">
        <v>41</v>
      </c>
      <c r="F1167" s="117" t="s">
        <v>42</v>
      </c>
      <c r="G1167" s="211" t="s">
        <v>43</v>
      </c>
      <c r="H1167" s="117" t="s">
        <v>750</v>
      </c>
      <c r="I1167" s="35"/>
      <c r="J1167" s="36"/>
      <c r="K1167" s="36"/>
      <c r="L1167" s="36"/>
      <c r="M1167" s="36"/>
      <c r="N1167" s="36"/>
      <c r="O1167" s="36"/>
      <c r="P1167" s="36"/>
      <c r="Q1167" s="36"/>
      <c r="R1167" s="36"/>
      <c r="S1167" s="36"/>
      <c r="T1167" s="36"/>
      <c r="U1167" s="36"/>
      <c r="V1167" s="36"/>
      <c r="W1167" s="36"/>
      <c r="X1167" s="36"/>
      <c r="Y1167" s="36"/>
      <c r="Z1167" s="36"/>
      <c r="AA1167" s="36"/>
      <c r="AB1167" s="36"/>
    </row>
    <row r="1168" spans="1:28" ht="60" hidden="1" customHeight="1">
      <c r="A1168" s="215" t="s">
        <v>946</v>
      </c>
      <c r="B1168" s="201">
        <v>2006</v>
      </c>
      <c r="C1168" s="201" t="s">
        <v>2471</v>
      </c>
      <c r="D1168" s="195" t="s">
        <v>2472</v>
      </c>
      <c r="E1168" s="206" t="s">
        <v>41</v>
      </c>
      <c r="F1168" s="117" t="s">
        <v>97</v>
      </c>
      <c r="G1168" s="211" t="s">
        <v>43</v>
      </c>
      <c r="H1168" s="117" t="s">
        <v>750</v>
      </c>
      <c r="I1168" s="35"/>
      <c r="J1168" s="36"/>
      <c r="K1168" s="36"/>
      <c r="L1168" s="36"/>
      <c r="M1168" s="36"/>
      <c r="N1168" s="36"/>
      <c r="O1168" s="36"/>
      <c r="P1168" s="36"/>
      <c r="Q1168" s="36"/>
      <c r="R1168" s="36"/>
      <c r="S1168" s="36"/>
      <c r="T1168" s="36"/>
      <c r="U1168" s="36"/>
      <c r="V1168" s="36"/>
      <c r="W1168" s="36"/>
      <c r="X1168" s="36"/>
      <c r="Y1168" s="36"/>
      <c r="Z1168" s="36"/>
      <c r="AA1168" s="36"/>
      <c r="AB1168" s="36"/>
    </row>
    <row r="1169" spans="1:28" ht="36" hidden="1" customHeight="1">
      <c r="A1169" s="215" t="s">
        <v>2473</v>
      </c>
      <c r="B1169" s="201">
        <v>2007</v>
      </c>
      <c r="C1169" s="201" t="s">
        <v>2474</v>
      </c>
      <c r="D1169" s="195" t="s">
        <v>2475</v>
      </c>
      <c r="E1169" s="206" t="s">
        <v>41</v>
      </c>
      <c r="F1169" s="117" t="s">
        <v>97</v>
      </c>
      <c r="G1169" s="211" t="s">
        <v>43</v>
      </c>
      <c r="H1169" s="117" t="s">
        <v>750</v>
      </c>
      <c r="I1169" s="35"/>
      <c r="J1169" s="36"/>
      <c r="K1169" s="36"/>
      <c r="L1169" s="36"/>
      <c r="M1169" s="36"/>
      <c r="N1169" s="36"/>
      <c r="O1169" s="36"/>
      <c r="P1169" s="36"/>
      <c r="Q1169" s="36"/>
      <c r="R1169" s="36"/>
      <c r="S1169" s="36"/>
      <c r="T1169" s="36"/>
      <c r="U1169" s="36"/>
      <c r="V1169" s="36"/>
      <c r="W1169" s="36"/>
      <c r="X1169" s="36"/>
      <c r="Y1169" s="36"/>
      <c r="Z1169" s="36"/>
      <c r="AA1169" s="36"/>
      <c r="AB1169" s="36"/>
    </row>
    <row r="1170" spans="1:28" ht="24" hidden="1" customHeight="1">
      <c r="A1170" s="215" t="s">
        <v>2476</v>
      </c>
      <c r="B1170" s="201">
        <v>2009</v>
      </c>
      <c r="C1170" s="201" t="s">
        <v>334</v>
      </c>
      <c r="D1170" s="195" t="s">
        <v>2477</v>
      </c>
      <c r="E1170" s="206" t="s">
        <v>41</v>
      </c>
      <c r="F1170" s="117" t="s">
        <v>97</v>
      </c>
      <c r="G1170" s="211" t="s">
        <v>43</v>
      </c>
      <c r="H1170" s="117" t="s">
        <v>750</v>
      </c>
      <c r="I1170" s="35"/>
      <c r="J1170" s="36"/>
      <c r="K1170" s="36"/>
      <c r="L1170" s="36"/>
      <c r="M1170" s="36"/>
      <c r="N1170" s="36"/>
      <c r="O1170" s="36"/>
      <c r="P1170" s="36"/>
      <c r="Q1170" s="36"/>
      <c r="R1170" s="36"/>
      <c r="S1170" s="36"/>
      <c r="T1170" s="36"/>
      <c r="U1170" s="36"/>
      <c r="V1170" s="36"/>
      <c r="W1170" s="36"/>
      <c r="X1170" s="36"/>
      <c r="Y1170" s="36"/>
      <c r="Z1170" s="36"/>
      <c r="AA1170" s="36"/>
      <c r="AB1170" s="36"/>
    </row>
    <row r="1171" spans="1:28" ht="36" hidden="1" customHeight="1">
      <c r="A1171" s="215" t="s">
        <v>957</v>
      </c>
      <c r="B1171" s="201">
        <v>2012</v>
      </c>
      <c r="C1171" s="201" t="s">
        <v>2458</v>
      </c>
      <c r="D1171" s="195" t="s">
        <v>2478</v>
      </c>
      <c r="E1171" s="206" t="s">
        <v>41</v>
      </c>
      <c r="F1171" s="117" t="s">
        <v>97</v>
      </c>
      <c r="G1171" s="211" t="s">
        <v>43</v>
      </c>
      <c r="H1171" s="117" t="s">
        <v>750</v>
      </c>
      <c r="I1171" s="35"/>
      <c r="J1171" s="36"/>
      <c r="K1171" s="36"/>
      <c r="L1171" s="36"/>
      <c r="M1171" s="36"/>
      <c r="N1171" s="36"/>
      <c r="O1171" s="36"/>
      <c r="P1171" s="36"/>
      <c r="Q1171" s="36"/>
      <c r="R1171" s="36"/>
      <c r="S1171" s="36"/>
      <c r="T1171" s="36"/>
      <c r="U1171" s="36"/>
      <c r="V1171" s="36"/>
      <c r="W1171" s="36"/>
      <c r="X1171" s="36"/>
      <c r="Y1171" s="36"/>
      <c r="Z1171" s="36"/>
      <c r="AA1171" s="36"/>
      <c r="AB1171" s="36"/>
    </row>
    <row r="1172" spans="1:28" ht="36" hidden="1" customHeight="1">
      <c r="A1172" s="215" t="s">
        <v>951</v>
      </c>
      <c r="B1172" s="201">
        <v>2015</v>
      </c>
      <c r="C1172" s="201" t="s">
        <v>61</v>
      </c>
      <c r="D1172" s="195" t="s">
        <v>2479</v>
      </c>
      <c r="E1172" s="206" t="s">
        <v>41</v>
      </c>
      <c r="F1172" s="117" t="s">
        <v>97</v>
      </c>
      <c r="G1172" s="211" t="s">
        <v>43</v>
      </c>
      <c r="H1172" s="117" t="s">
        <v>750</v>
      </c>
      <c r="I1172" s="35"/>
      <c r="J1172" s="36"/>
      <c r="K1172" s="36"/>
      <c r="L1172" s="36"/>
      <c r="M1172" s="36"/>
      <c r="N1172" s="36"/>
      <c r="O1172" s="36"/>
      <c r="P1172" s="36"/>
      <c r="Q1172" s="36"/>
      <c r="R1172" s="36"/>
      <c r="S1172" s="36"/>
      <c r="T1172" s="36"/>
      <c r="U1172" s="36"/>
      <c r="V1172" s="36"/>
      <c r="W1172" s="36"/>
      <c r="X1172" s="36"/>
      <c r="Y1172" s="36"/>
      <c r="Z1172" s="36"/>
      <c r="AA1172" s="36"/>
      <c r="AB1172" s="36"/>
    </row>
    <row r="1173" spans="1:28" ht="60" hidden="1" customHeight="1">
      <c r="A1173" s="215" t="s">
        <v>2480</v>
      </c>
      <c r="B1173" s="204">
        <v>2015</v>
      </c>
      <c r="C1173" s="201" t="s">
        <v>225</v>
      </c>
      <c r="D1173" s="195" t="s">
        <v>2481</v>
      </c>
      <c r="E1173" s="206" t="s">
        <v>41</v>
      </c>
      <c r="F1173" s="117" t="s">
        <v>97</v>
      </c>
      <c r="G1173" s="211" t="s">
        <v>43</v>
      </c>
      <c r="H1173" s="117" t="s">
        <v>750</v>
      </c>
      <c r="I1173" s="35"/>
      <c r="J1173" s="36"/>
      <c r="K1173" s="36"/>
      <c r="L1173" s="36"/>
      <c r="M1173" s="36"/>
      <c r="N1173" s="36"/>
      <c r="O1173" s="36"/>
      <c r="P1173" s="36"/>
      <c r="Q1173" s="36"/>
      <c r="R1173" s="36"/>
      <c r="S1173" s="36"/>
      <c r="T1173" s="36"/>
      <c r="U1173" s="36"/>
      <c r="V1173" s="36"/>
      <c r="W1173" s="36"/>
      <c r="X1173" s="36"/>
      <c r="Y1173" s="36"/>
      <c r="Z1173" s="36"/>
      <c r="AA1173" s="36"/>
      <c r="AB1173" s="36"/>
    </row>
    <row r="1174" spans="1:28" ht="24" hidden="1" customHeight="1">
      <c r="A1174" s="215" t="s">
        <v>2482</v>
      </c>
      <c r="B1174" s="201">
        <v>2016</v>
      </c>
      <c r="C1174" s="201" t="s">
        <v>2374</v>
      </c>
      <c r="D1174" s="195" t="s">
        <v>2483</v>
      </c>
      <c r="E1174" s="206" t="s">
        <v>41</v>
      </c>
      <c r="F1174" s="117" t="s">
        <v>97</v>
      </c>
      <c r="G1174" s="211" t="s">
        <v>43</v>
      </c>
      <c r="H1174" s="117" t="s">
        <v>750</v>
      </c>
      <c r="I1174" s="35"/>
      <c r="J1174" s="36"/>
      <c r="K1174" s="36"/>
      <c r="L1174" s="36"/>
      <c r="M1174" s="36"/>
      <c r="N1174" s="36"/>
      <c r="O1174" s="36"/>
      <c r="P1174" s="36"/>
      <c r="Q1174" s="36"/>
      <c r="R1174" s="36"/>
      <c r="S1174" s="36"/>
      <c r="T1174" s="36"/>
      <c r="U1174" s="36"/>
      <c r="V1174" s="36"/>
      <c r="W1174" s="36"/>
      <c r="X1174" s="36"/>
      <c r="Y1174" s="36"/>
      <c r="Z1174" s="36"/>
      <c r="AA1174" s="36"/>
      <c r="AB1174" s="36"/>
    </row>
    <row r="1175" spans="1:28" ht="24" hidden="1" customHeight="1">
      <c r="A1175" s="215" t="s">
        <v>2484</v>
      </c>
      <c r="B1175" s="201">
        <v>2016</v>
      </c>
      <c r="C1175" s="201" t="s">
        <v>2374</v>
      </c>
      <c r="D1175" s="195" t="s">
        <v>2485</v>
      </c>
      <c r="E1175" s="206" t="s">
        <v>41</v>
      </c>
      <c r="F1175" s="117" t="s">
        <v>97</v>
      </c>
      <c r="G1175" s="211" t="s">
        <v>43</v>
      </c>
      <c r="H1175" s="117" t="s">
        <v>750</v>
      </c>
      <c r="I1175" s="35"/>
      <c r="J1175" s="36"/>
      <c r="K1175" s="36"/>
      <c r="L1175" s="36"/>
      <c r="M1175" s="36"/>
      <c r="N1175" s="36"/>
      <c r="O1175" s="36"/>
      <c r="P1175" s="36"/>
      <c r="Q1175" s="36"/>
      <c r="R1175" s="36"/>
      <c r="S1175" s="36"/>
      <c r="T1175" s="36"/>
      <c r="U1175" s="36"/>
      <c r="V1175" s="36"/>
      <c r="W1175" s="36"/>
      <c r="X1175" s="36"/>
      <c r="Y1175" s="36"/>
      <c r="Z1175" s="36"/>
      <c r="AA1175" s="36"/>
      <c r="AB1175" s="36"/>
    </row>
    <row r="1176" spans="1:28" ht="24" hidden="1" customHeight="1">
      <c r="A1176" s="215" t="s">
        <v>2486</v>
      </c>
      <c r="B1176" s="201">
        <v>2016</v>
      </c>
      <c r="C1176" s="201" t="s">
        <v>2374</v>
      </c>
      <c r="D1176" s="195" t="s">
        <v>2487</v>
      </c>
      <c r="E1176" s="206" t="s">
        <v>41</v>
      </c>
      <c r="F1176" s="117" t="s">
        <v>97</v>
      </c>
      <c r="G1176" s="211" t="s">
        <v>43</v>
      </c>
      <c r="H1176" s="117" t="s">
        <v>750</v>
      </c>
      <c r="I1176" s="35"/>
      <c r="J1176" s="36"/>
      <c r="K1176" s="36"/>
      <c r="L1176" s="36"/>
      <c r="M1176" s="36"/>
      <c r="N1176" s="36"/>
      <c r="O1176" s="36"/>
      <c r="P1176" s="36"/>
      <c r="Q1176" s="36"/>
      <c r="R1176" s="36"/>
      <c r="S1176" s="36"/>
      <c r="T1176" s="36"/>
      <c r="U1176" s="36"/>
      <c r="V1176" s="36"/>
      <c r="W1176" s="36"/>
      <c r="X1176" s="36"/>
      <c r="Y1176" s="36"/>
      <c r="Z1176" s="36"/>
      <c r="AA1176" s="36"/>
      <c r="AB1176" s="36"/>
    </row>
    <row r="1177" spans="1:28" ht="24" hidden="1" customHeight="1">
      <c r="A1177" s="215" t="s">
        <v>2488</v>
      </c>
      <c r="B1177" s="201">
        <v>2016</v>
      </c>
      <c r="C1177" s="201" t="s">
        <v>2374</v>
      </c>
      <c r="D1177" s="195" t="s">
        <v>2489</v>
      </c>
      <c r="E1177" s="206" t="s">
        <v>41</v>
      </c>
      <c r="F1177" s="117" t="s">
        <v>97</v>
      </c>
      <c r="G1177" s="211" t="s">
        <v>43</v>
      </c>
      <c r="H1177" s="117" t="s">
        <v>750</v>
      </c>
      <c r="I1177" s="35"/>
      <c r="J1177" s="36"/>
      <c r="K1177" s="36"/>
      <c r="L1177" s="36"/>
      <c r="M1177" s="36"/>
      <c r="N1177" s="36"/>
      <c r="O1177" s="36"/>
      <c r="P1177" s="36"/>
      <c r="Q1177" s="36"/>
      <c r="R1177" s="36"/>
      <c r="S1177" s="36"/>
      <c r="T1177" s="36"/>
      <c r="U1177" s="36"/>
      <c r="V1177" s="36"/>
      <c r="W1177" s="36"/>
      <c r="X1177" s="36"/>
      <c r="Y1177" s="36"/>
      <c r="Z1177" s="36"/>
      <c r="AA1177" s="36"/>
      <c r="AB1177" s="36"/>
    </row>
    <row r="1178" spans="1:28" ht="24" hidden="1" customHeight="1">
      <c r="A1178" s="215" t="s">
        <v>2490</v>
      </c>
      <c r="B1178" s="204">
        <v>2018</v>
      </c>
      <c r="C1178" s="201" t="s">
        <v>856</v>
      </c>
      <c r="D1178" s="195" t="s">
        <v>2491</v>
      </c>
      <c r="E1178" s="206" t="s">
        <v>41</v>
      </c>
      <c r="F1178" s="117" t="s">
        <v>42</v>
      </c>
      <c r="G1178" s="211" t="s">
        <v>43</v>
      </c>
      <c r="H1178" s="117" t="s">
        <v>750</v>
      </c>
      <c r="I1178" s="35"/>
      <c r="J1178" s="36"/>
      <c r="K1178" s="36"/>
      <c r="L1178" s="36"/>
      <c r="M1178" s="36"/>
      <c r="N1178" s="36"/>
      <c r="O1178" s="36"/>
      <c r="P1178" s="36"/>
      <c r="Q1178" s="36"/>
      <c r="R1178" s="36"/>
      <c r="S1178" s="36"/>
      <c r="T1178" s="36"/>
      <c r="U1178" s="36"/>
      <c r="V1178" s="36"/>
      <c r="W1178" s="36"/>
      <c r="X1178" s="36"/>
      <c r="Y1178" s="36"/>
      <c r="Z1178" s="36"/>
      <c r="AA1178" s="36"/>
      <c r="AB1178" s="36"/>
    </row>
    <row r="1179" spans="1:28" ht="36" hidden="1" customHeight="1">
      <c r="A1179" s="215" t="s">
        <v>2492</v>
      </c>
      <c r="B1179" s="204">
        <v>2018</v>
      </c>
      <c r="C1179" s="201" t="s">
        <v>856</v>
      </c>
      <c r="D1179" s="195" t="s">
        <v>2493</v>
      </c>
      <c r="E1179" s="206" t="s">
        <v>41</v>
      </c>
      <c r="F1179" s="117" t="s">
        <v>42</v>
      </c>
      <c r="G1179" s="211" t="s">
        <v>43</v>
      </c>
      <c r="H1179" s="117" t="s">
        <v>750</v>
      </c>
      <c r="I1179" s="35"/>
      <c r="J1179" s="36"/>
      <c r="K1179" s="36"/>
      <c r="L1179" s="36"/>
      <c r="M1179" s="36"/>
      <c r="N1179" s="36"/>
      <c r="O1179" s="36"/>
      <c r="P1179" s="36"/>
      <c r="Q1179" s="36"/>
      <c r="R1179" s="36"/>
      <c r="S1179" s="36"/>
      <c r="T1179" s="36"/>
      <c r="U1179" s="36"/>
      <c r="V1179" s="36"/>
      <c r="W1179" s="36"/>
      <c r="X1179" s="36"/>
      <c r="Y1179" s="36"/>
      <c r="Z1179" s="36"/>
      <c r="AA1179" s="36"/>
      <c r="AB1179" s="36"/>
    </row>
    <row r="1180" spans="1:28" ht="24" hidden="1" customHeight="1">
      <c r="A1180" s="215" t="s">
        <v>2494</v>
      </c>
      <c r="B1180" s="201">
        <v>2002</v>
      </c>
      <c r="C1180" s="201" t="s">
        <v>2495</v>
      </c>
      <c r="D1180" s="195" t="s">
        <v>2496</v>
      </c>
      <c r="E1180" s="206" t="s">
        <v>41</v>
      </c>
      <c r="F1180" s="117" t="s">
        <v>97</v>
      </c>
      <c r="G1180" s="211" t="s">
        <v>43</v>
      </c>
      <c r="H1180" s="117" t="s">
        <v>750</v>
      </c>
      <c r="I1180" s="35"/>
      <c r="J1180" s="36"/>
      <c r="K1180" s="36"/>
      <c r="L1180" s="36"/>
      <c r="M1180" s="36"/>
      <c r="N1180" s="36"/>
      <c r="O1180" s="36"/>
      <c r="P1180" s="36"/>
      <c r="Q1180" s="36"/>
      <c r="R1180" s="36"/>
      <c r="S1180" s="36"/>
      <c r="T1180" s="36"/>
      <c r="U1180" s="36"/>
      <c r="V1180" s="36"/>
      <c r="W1180" s="36"/>
      <c r="X1180" s="36"/>
      <c r="Y1180" s="36"/>
      <c r="Z1180" s="36"/>
      <c r="AA1180" s="36"/>
      <c r="AB1180" s="36"/>
    </row>
    <row r="1181" spans="1:28" ht="24" hidden="1" customHeight="1">
      <c r="A1181" s="215" t="s">
        <v>1476</v>
      </c>
      <c r="B1181" s="201">
        <v>2011</v>
      </c>
      <c r="C1181" s="201" t="s">
        <v>61</v>
      </c>
      <c r="D1181" s="195" t="s">
        <v>2497</v>
      </c>
      <c r="E1181" s="206" t="s">
        <v>41</v>
      </c>
      <c r="F1181" s="117" t="s">
        <v>97</v>
      </c>
      <c r="G1181" s="211" t="s">
        <v>43</v>
      </c>
      <c r="H1181" s="117" t="s">
        <v>750</v>
      </c>
      <c r="I1181" s="35"/>
      <c r="J1181" s="36"/>
      <c r="K1181" s="36"/>
      <c r="L1181" s="36"/>
      <c r="M1181" s="36"/>
      <c r="N1181" s="36"/>
      <c r="O1181" s="36"/>
      <c r="P1181" s="36"/>
      <c r="Q1181" s="36"/>
      <c r="R1181" s="36"/>
      <c r="S1181" s="36"/>
      <c r="T1181" s="36"/>
      <c r="U1181" s="36"/>
      <c r="V1181" s="36"/>
      <c r="W1181" s="36"/>
      <c r="X1181" s="36"/>
      <c r="Y1181" s="36"/>
      <c r="Z1181" s="36"/>
      <c r="AA1181" s="36"/>
      <c r="AB1181" s="36"/>
    </row>
    <row r="1182" spans="1:28" ht="24" hidden="1" customHeight="1">
      <c r="A1182" s="215" t="s">
        <v>2498</v>
      </c>
      <c r="B1182" s="201">
        <v>2012</v>
      </c>
      <c r="C1182" s="201" t="s">
        <v>61</v>
      </c>
      <c r="D1182" s="195" t="s">
        <v>2499</v>
      </c>
      <c r="E1182" s="206" t="s">
        <v>41</v>
      </c>
      <c r="F1182" s="117" t="s">
        <v>97</v>
      </c>
      <c r="G1182" s="211" t="s">
        <v>43</v>
      </c>
      <c r="H1182" s="117" t="s">
        <v>750</v>
      </c>
      <c r="I1182" s="35"/>
      <c r="J1182" s="36"/>
      <c r="K1182" s="36"/>
      <c r="L1182" s="36"/>
      <c r="M1182" s="36"/>
      <c r="N1182" s="36"/>
      <c r="O1182" s="36"/>
      <c r="P1182" s="36"/>
      <c r="Q1182" s="36"/>
      <c r="R1182" s="36"/>
      <c r="S1182" s="36"/>
      <c r="T1182" s="36"/>
      <c r="U1182" s="36"/>
      <c r="V1182" s="36"/>
      <c r="W1182" s="36"/>
      <c r="X1182" s="36"/>
      <c r="Y1182" s="36"/>
      <c r="Z1182" s="36"/>
      <c r="AA1182" s="36"/>
      <c r="AB1182" s="36"/>
    </row>
    <row r="1183" spans="1:28" ht="36" hidden="1" customHeight="1">
      <c r="A1183" s="215" t="s">
        <v>2500</v>
      </c>
      <c r="B1183" s="201">
        <v>2011</v>
      </c>
      <c r="C1183" s="201" t="s">
        <v>61</v>
      </c>
      <c r="D1183" s="195" t="s">
        <v>2501</v>
      </c>
      <c r="E1183" s="206" t="s">
        <v>41</v>
      </c>
      <c r="F1183" s="117" t="s">
        <v>97</v>
      </c>
      <c r="G1183" s="211" t="s">
        <v>43</v>
      </c>
      <c r="H1183" s="117" t="s">
        <v>750</v>
      </c>
      <c r="I1183" s="35"/>
      <c r="J1183" s="36"/>
      <c r="K1183" s="36"/>
      <c r="L1183" s="36"/>
      <c r="M1183" s="36"/>
      <c r="N1183" s="36"/>
      <c r="O1183" s="36"/>
      <c r="P1183" s="36"/>
      <c r="Q1183" s="36"/>
      <c r="R1183" s="36"/>
      <c r="S1183" s="36"/>
      <c r="T1183" s="36"/>
      <c r="U1183" s="36"/>
      <c r="V1183" s="36"/>
      <c r="W1183" s="36"/>
      <c r="X1183" s="36"/>
      <c r="Y1183" s="36"/>
      <c r="Z1183" s="36"/>
      <c r="AA1183" s="36"/>
      <c r="AB1183" s="36"/>
    </row>
    <row r="1184" spans="1:28" ht="24" hidden="1" customHeight="1">
      <c r="A1184" s="215" t="s">
        <v>2502</v>
      </c>
      <c r="B1184" s="201">
        <v>2012</v>
      </c>
      <c r="C1184" s="201" t="s">
        <v>61</v>
      </c>
      <c r="D1184" s="195" t="s">
        <v>2497</v>
      </c>
      <c r="E1184" s="206" t="s">
        <v>41</v>
      </c>
      <c r="F1184" s="117" t="s">
        <v>97</v>
      </c>
      <c r="G1184" s="211" t="s">
        <v>43</v>
      </c>
      <c r="H1184" s="117" t="s">
        <v>750</v>
      </c>
      <c r="I1184" s="35"/>
      <c r="J1184" s="36"/>
      <c r="K1184" s="36"/>
      <c r="L1184" s="36"/>
      <c r="M1184" s="36"/>
      <c r="N1184" s="36"/>
      <c r="O1184" s="36"/>
      <c r="P1184" s="36"/>
      <c r="Q1184" s="36"/>
      <c r="R1184" s="36"/>
      <c r="S1184" s="36"/>
      <c r="T1184" s="36"/>
      <c r="U1184" s="36"/>
      <c r="V1184" s="36"/>
      <c r="W1184" s="36"/>
      <c r="X1184" s="36"/>
      <c r="Y1184" s="36"/>
      <c r="Z1184" s="36"/>
      <c r="AA1184" s="36"/>
      <c r="AB1184" s="36"/>
    </row>
    <row r="1185" spans="1:28" ht="24" hidden="1" customHeight="1">
      <c r="A1185" s="215" t="s">
        <v>1332</v>
      </c>
      <c r="B1185" s="201">
        <v>2005</v>
      </c>
      <c r="C1185" s="201" t="s">
        <v>61</v>
      </c>
      <c r="D1185" s="195" t="s">
        <v>2503</v>
      </c>
      <c r="E1185" s="206" t="s">
        <v>41</v>
      </c>
      <c r="F1185" s="117" t="s">
        <v>97</v>
      </c>
      <c r="G1185" s="211" t="s">
        <v>43</v>
      </c>
      <c r="H1185" s="117" t="s">
        <v>750</v>
      </c>
      <c r="I1185" s="35"/>
      <c r="J1185" s="36"/>
      <c r="K1185" s="36"/>
      <c r="L1185" s="36"/>
      <c r="M1185" s="36"/>
      <c r="N1185" s="36"/>
      <c r="O1185" s="36"/>
      <c r="P1185" s="36"/>
      <c r="Q1185" s="36"/>
      <c r="R1185" s="36"/>
      <c r="S1185" s="36"/>
      <c r="T1185" s="36"/>
      <c r="U1185" s="36"/>
      <c r="V1185" s="36"/>
      <c r="W1185" s="36"/>
      <c r="X1185" s="36"/>
      <c r="Y1185" s="36"/>
      <c r="Z1185" s="36"/>
      <c r="AA1185" s="36"/>
      <c r="AB1185" s="36"/>
    </row>
    <row r="1186" spans="1:28" ht="36" hidden="1" customHeight="1">
      <c r="A1186" s="215" t="s">
        <v>2504</v>
      </c>
      <c r="B1186" s="201"/>
      <c r="C1186" s="201" t="s">
        <v>1101</v>
      </c>
      <c r="D1186" s="195" t="s">
        <v>2505</v>
      </c>
      <c r="E1186" s="206" t="s">
        <v>41</v>
      </c>
      <c r="F1186" s="117" t="s">
        <v>97</v>
      </c>
      <c r="G1186" s="211" t="s">
        <v>43</v>
      </c>
      <c r="H1186" s="117" t="s">
        <v>750</v>
      </c>
      <c r="I1186" s="35"/>
      <c r="J1186" s="36"/>
      <c r="K1186" s="36"/>
      <c r="L1186" s="36"/>
      <c r="M1186" s="36"/>
      <c r="N1186" s="36"/>
      <c r="O1186" s="36"/>
      <c r="P1186" s="36"/>
      <c r="Q1186" s="36"/>
      <c r="R1186" s="36"/>
      <c r="S1186" s="36"/>
      <c r="T1186" s="36"/>
      <c r="U1186" s="36"/>
      <c r="V1186" s="36"/>
      <c r="W1186" s="36"/>
      <c r="X1186" s="36"/>
      <c r="Y1186" s="36"/>
      <c r="Z1186" s="36"/>
      <c r="AA1186" s="36"/>
      <c r="AB1186" s="36"/>
    </row>
    <row r="1187" spans="1:28" ht="24" hidden="1" customHeight="1">
      <c r="A1187" s="215" t="s">
        <v>2506</v>
      </c>
      <c r="B1187" s="201">
        <v>1995</v>
      </c>
      <c r="C1187" s="201" t="s">
        <v>302</v>
      </c>
      <c r="D1187" s="195" t="s">
        <v>2507</v>
      </c>
      <c r="E1187" s="206" t="s">
        <v>41</v>
      </c>
      <c r="F1187" s="117" t="s">
        <v>97</v>
      </c>
      <c r="G1187" s="211" t="s">
        <v>43</v>
      </c>
      <c r="H1187" s="117" t="s">
        <v>750</v>
      </c>
      <c r="I1187" s="35"/>
      <c r="J1187" s="36"/>
      <c r="K1187" s="36"/>
      <c r="L1187" s="36"/>
      <c r="M1187" s="36"/>
      <c r="N1187" s="36"/>
      <c r="O1187" s="36"/>
      <c r="P1187" s="36"/>
      <c r="Q1187" s="36"/>
      <c r="R1187" s="36"/>
      <c r="S1187" s="36"/>
      <c r="T1187" s="36"/>
      <c r="U1187" s="36"/>
      <c r="V1187" s="36"/>
      <c r="W1187" s="36"/>
      <c r="X1187" s="36"/>
      <c r="Y1187" s="36"/>
      <c r="Z1187" s="36"/>
      <c r="AA1187" s="36"/>
      <c r="AB1187" s="36"/>
    </row>
    <row r="1188" spans="1:28" ht="24" hidden="1" customHeight="1">
      <c r="A1188" s="215" t="s">
        <v>2508</v>
      </c>
      <c r="B1188" s="201">
        <v>2000</v>
      </c>
      <c r="C1188" s="201" t="s">
        <v>302</v>
      </c>
      <c r="D1188" s="195" t="s">
        <v>2509</v>
      </c>
      <c r="E1188" s="206" t="s">
        <v>41</v>
      </c>
      <c r="F1188" s="117" t="s">
        <v>97</v>
      </c>
      <c r="G1188" s="211" t="s">
        <v>43</v>
      </c>
      <c r="H1188" s="117" t="s">
        <v>750</v>
      </c>
      <c r="I1188" s="35"/>
      <c r="J1188" s="36"/>
      <c r="K1188" s="36"/>
      <c r="L1188" s="36"/>
      <c r="M1188" s="36"/>
      <c r="N1188" s="36"/>
      <c r="O1188" s="36"/>
      <c r="P1188" s="36"/>
      <c r="Q1188" s="36"/>
      <c r="R1188" s="36"/>
      <c r="S1188" s="36"/>
      <c r="T1188" s="36"/>
      <c r="U1188" s="36"/>
      <c r="V1188" s="36"/>
      <c r="W1188" s="36"/>
      <c r="X1188" s="36"/>
      <c r="Y1188" s="36"/>
      <c r="Z1188" s="36"/>
      <c r="AA1188" s="36"/>
      <c r="AB1188" s="36"/>
    </row>
    <row r="1189" spans="1:28" ht="24" hidden="1" customHeight="1">
      <c r="A1189" s="215" t="s">
        <v>2510</v>
      </c>
      <c r="B1189" s="201">
        <v>2003</v>
      </c>
      <c r="C1189" s="201" t="s">
        <v>302</v>
      </c>
      <c r="D1189" s="195" t="s">
        <v>2511</v>
      </c>
      <c r="E1189" s="206" t="s">
        <v>41</v>
      </c>
      <c r="F1189" s="117" t="s">
        <v>97</v>
      </c>
      <c r="G1189" s="211" t="s">
        <v>43</v>
      </c>
      <c r="H1189" s="117" t="s">
        <v>750</v>
      </c>
      <c r="I1189" s="35"/>
      <c r="J1189" s="36"/>
      <c r="K1189" s="36"/>
      <c r="L1189" s="36"/>
      <c r="M1189" s="36"/>
      <c r="N1189" s="36"/>
      <c r="O1189" s="36"/>
      <c r="P1189" s="36"/>
      <c r="Q1189" s="36"/>
      <c r="R1189" s="36"/>
      <c r="S1189" s="36"/>
      <c r="T1189" s="36"/>
      <c r="U1189" s="36"/>
      <c r="V1189" s="36"/>
      <c r="W1189" s="36"/>
      <c r="X1189" s="36"/>
      <c r="Y1189" s="36"/>
      <c r="Z1189" s="36"/>
      <c r="AA1189" s="36"/>
      <c r="AB1189" s="36"/>
    </row>
    <row r="1190" spans="1:28" ht="24" hidden="1" customHeight="1">
      <c r="A1190" s="215" t="s">
        <v>2512</v>
      </c>
      <c r="B1190" s="201">
        <v>2011</v>
      </c>
      <c r="C1190" s="201" t="s">
        <v>302</v>
      </c>
      <c r="D1190" s="195" t="s">
        <v>2513</v>
      </c>
      <c r="E1190" s="206" t="s">
        <v>41</v>
      </c>
      <c r="F1190" s="117" t="s">
        <v>97</v>
      </c>
      <c r="G1190" s="211" t="s">
        <v>43</v>
      </c>
      <c r="H1190" s="117" t="s">
        <v>750</v>
      </c>
      <c r="I1190" s="35"/>
      <c r="J1190" s="36"/>
      <c r="K1190" s="36"/>
      <c r="L1190" s="36"/>
      <c r="M1190" s="36"/>
      <c r="N1190" s="36"/>
      <c r="O1190" s="36"/>
      <c r="P1190" s="36"/>
      <c r="Q1190" s="36"/>
      <c r="R1190" s="36"/>
      <c r="S1190" s="36"/>
      <c r="T1190" s="36"/>
      <c r="U1190" s="36"/>
      <c r="V1190" s="36"/>
      <c r="W1190" s="36"/>
      <c r="X1190" s="36"/>
      <c r="Y1190" s="36"/>
      <c r="Z1190" s="36"/>
      <c r="AA1190" s="36"/>
      <c r="AB1190" s="36"/>
    </row>
    <row r="1191" spans="1:28" ht="24" hidden="1" customHeight="1">
      <c r="A1191" s="215" t="s">
        <v>2514</v>
      </c>
      <c r="B1191" s="201">
        <v>2016</v>
      </c>
      <c r="C1191" s="201" t="s">
        <v>302</v>
      </c>
      <c r="D1191" s="195" t="s">
        <v>2515</v>
      </c>
      <c r="E1191" s="206" t="s">
        <v>41</v>
      </c>
      <c r="F1191" s="117" t="s">
        <v>97</v>
      </c>
      <c r="G1191" s="211" t="s">
        <v>43</v>
      </c>
      <c r="H1191" s="117" t="s">
        <v>750</v>
      </c>
      <c r="I1191" s="35"/>
      <c r="J1191" s="36"/>
      <c r="K1191" s="36"/>
      <c r="L1191" s="36"/>
      <c r="M1191" s="36"/>
      <c r="N1191" s="36"/>
      <c r="O1191" s="36"/>
      <c r="P1191" s="36"/>
      <c r="Q1191" s="36"/>
      <c r="R1191" s="36"/>
      <c r="S1191" s="36"/>
      <c r="T1191" s="36"/>
      <c r="U1191" s="36"/>
      <c r="V1191" s="36"/>
      <c r="W1191" s="36"/>
      <c r="X1191" s="36"/>
      <c r="Y1191" s="36"/>
      <c r="Z1191" s="36"/>
      <c r="AA1191" s="36"/>
      <c r="AB1191" s="36"/>
    </row>
    <row r="1192" spans="1:28" ht="24" hidden="1" customHeight="1">
      <c r="A1192" s="215" t="s">
        <v>2516</v>
      </c>
      <c r="B1192" s="201">
        <v>2012</v>
      </c>
      <c r="C1192" s="201" t="s">
        <v>1101</v>
      </c>
      <c r="D1192" s="195" t="s">
        <v>2517</v>
      </c>
      <c r="E1192" s="206" t="s">
        <v>41</v>
      </c>
      <c r="F1192" s="117" t="s">
        <v>97</v>
      </c>
      <c r="G1192" s="211" t="s">
        <v>43</v>
      </c>
      <c r="H1192" s="117" t="s">
        <v>750</v>
      </c>
      <c r="I1192" s="35"/>
      <c r="J1192" s="36"/>
      <c r="K1192" s="36"/>
      <c r="L1192" s="36"/>
      <c r="M1192" s="36"/>
      <c r="N1192" s="36"/>
      <c r="O1192" s="36"/>
      <c r="P1192" s="36"/>
      <c r="Q1192" s="36"/>
      <c r="R1192" s="36"/>
      <c r="S1192" s="36"/>
      <c r="T1192" s="36"/>
      <c r="U1192" s="36"/>
      <c r="V1192" s="36"/>
      <c r="W1192" s="36"/>
      <c r="X1192" s="36"/>
      <c r="Y1192" s="36"/>
      <c r="Z1192" s="36"/>
      <c r="AA1192" s="36"/>
      <c r="AB1192" s="36"/>
    </row>
    <row r="1193" spans="1:28" ht="24" hidden="1" customHeight="1">
      <c r="A1193" s="215" t="s">
        <v>2518</v>
      </c>
      <c r="B1193" s="201">
        <v>2009</v>
      </c>
      <c r="C1193" s="201" t="s">
        <v>302</v>
      </c>
      <c r="D1193" s="202" t="s">
        <v>2519</v>
      </c>
      <c r="E1193" s="206" t="s">
        <v>41</v>
      </c>
      <c r="F1193" s="117" t="s">
        <v>97</v>
      </c>
      <c r="G1193" s="206" t="s">
        <v>43</v>
      </c>
      <c r="H1193" s="117" t="s">
        <v>750</v>
      </c>
      <c r="I1193" s="35"/>
      <c r="J1193" s="36"/>
      <c r="K1193" s="36"/>
      <c r="L1193" s="36"/>
      <c r="M1193" s="36"/>
      <c r="N1193" s="36"/>
      <c r="O1193" s="36"/>
      <c r="P1193" s="36"/>
      <c r="Q1193" s="36"/>
      <c r="R1193" s="36"/>
      <c r="S1193" s="36"/>
      <c r="T1193" s="36"/>
      <c r="U1193" s="36"/>
      <c r="V1193" s="36"/>
      <c r="W1193" s="36"/>
      <c r="X1193" s="36"/>
      <c r="Y1193" s="36"/>
      <c r="Z1193" s="36"/>
      <c r="AA1193" s="36"/>
      <c r="AB1193" s="36"/>
    </row>
    <row r="1194" spans="1:28" ht="24" hidden="1" customHeight="1">
      <c r="A1194" s="215" t="s">
        <v>2520</v>
      </c>
      <c r="B1194" s="201">
        <v>2018</v>
      </c>
      <c r="C1194" s="201" t="s">
        <v>302</v>
      </c>
      <c r="D1194" s="202" t="s">
        <v>2521</v>
      </c>
      <c r="E1194" s="206" t="s">
        <v>41</v>
      </c>
      <c r="F1194" s="117" t="s">
        <v>97</v>
      </c>
      <c r="G1194" s="206" t="s">
        <v>43</v>
      </c>
      <c r="H1194" s="117" t="s">
        <v>750</v>
      </c>
      <c r="I1194" s="35"/>
      <c r="J1194" s="36"/>
      <c r="K1194" s="36"/>
      <c r="L1194" s="36"/>
      <c r="M1194" s="36"/>
      <c r="N1194" s="36"/>
      <c r="O1194" s="36"/>
      <c r="P1194" s="36"/>
      <c r="Q1194" s="36"/>
      <c r="R1194" s="36"/>
      <c r="S1194" s="36"/>
      <c r="T1194" s="36"/>
      <c r="U1194" s="36"/>
      <c r="V1194" s="36"/>
      <c r="W1194" s="36"/>
      <c r="X1194" s="36"/>
      <c r="Y1194" s="36"/>
      <c r="Z1194" s="36"/>
      <c r="AA1194" s="36"/>
      <c r="AB1194" s="36"/>
    </row>
    <row r="1195" spans="1:28" ht="72" hidden="1" customHeight="1">
      <c r="A1195" s="239" t="s">
        <v>2522</v>
      </c>
      <c r="B1195" s="201">
        <v>2017</v>
      </c>
      <c r="C1195" s="201" t="s">
        <v>599</v>
      </c>
      <c r="D1195" s="202" t="s">
        <v>2523</v>
      </c>
      <c r="E1195" s="201" t="s">
        <v>41</v>
      </c>
      <c r="F1195" s="117" t="s">
        <v>97</v>
      </c>
      <c r="G1195" s="206" t="s">
        <v>43</v>
      </c>
      <c r="H1195" s="117" t="s">
        <v>750</v>
      </c>
      <c r="I1195" s="35"/>
      <c r="J1195" s="36"/>
      <c r="K1195" s="36"/>
      <c r="L1195" s="36"/>
      <c r="M1195" s="36"/>
      <c r="N1195" s="36"/>
      <c r="O1195" s="36"/>
      <c r="P1195" s="36"/>
      <c r="Q1195" s="36"/>
      <c r="R1195" s="36"/>
      <c r="S1195" s="36"/>
      <c r="T1195" s="36"/>
      <c r="U1195" s="36"/>
      <c r="V1195" s="36"/>
      <c r="W1195" s="36"/>
      <c r="X1195" s="36"/>
      <c r="Y1195" s="36"/>
      <c r="Z1195" s="36"/>
      <c r="AA1195" s="36"/>
      <c r="AB1195" s="36"/>
    </row>
    <row r="1196" spans="1:28" ht="48" hidden="1" customHeight="1">
      <c r="A1196" s="215" t="s">
        <v>2524</v>
      </c>
      <c r="B1196" s="201">
        <v>2014</v>
      </c>
      <c r="C1196" s="201" t="s">
        <v>599</v>
      </c>
      <c r="D1196" s="202" t="s">
        <v>2525</v>
      </c>
      <c r="E1196" s="201" t="s">
        <v>41</v>
      </c>
      <c r="F1196" s="117" t="s">
        <v>97</v>
      </c>
      <c r="G1196" s="206" t="s">
        <v>43</v>
      </c>
      <c r="H1196" s="117" t="s">
        <v>750</v>
      </c>
      <c r="I1196" s="35"/>
      <c r="J1196" s="36"/>
      <c r="K1196" s="36"/>
      <c r="L1196" s="36"/>
      <c r="M1196" s="36"/>
      <c r="N1196" s="36"/>
      <c r="O1196" s="36"/>
      <c r="P1196" s="36"/>
      <c r="Q1196" s="36"/>
      <c r="R1196" s="36"/>
      <c r="S1196" s="36"/>
      <c r="T1196" s="36"/>
      <c r="U1196" s="36"/>
      <c r="V1196" s="36"/>
      <c r="W1196" s="36"/>
      <c r="X1196" s="36"/>
      <c r="Y1196" s="36"/>
      <c r="Z1196" s="36"/>
      <c r="AA1196" s="36"/>
      <c r="AB1196" s="36"/>
    </row>
    <row r="1197" spans="1:28" ht="24" hidden="1" customHeight="1">
      <c r="A1197" s="253" t="s">
        <v>2526</v>
      </c>
      <c r="B1197" s="201">
        <v>2004</v>
      </c>
      <c r="C1197" s="201" t="s">
        <v>2527</v>
      </c>
      <c r="D1197" s="202" t="s">
        <v>2528</v>
      </c>
      <c r="E1197" s="201" t="s">
        <v>41</v>
      </c>
      <c r="F1197" s="117" t="s">
        <v>97</v>
      </c>
      <c r="G1197" s="206" t="s">
        <v>43</v>
      </c>
      <c r="H1197" s="117" t="s">
        <v>750</v>
      </c>
      <c r="I1197" s="35"/>
      <c r="J1197" s="36"/>
      <c r="K1197" s="36"/>
      <c r="L1197" s="36"/>
      <c r="M1197" s="36"/>
      <c r="N1197" s="36"/>
      <c r="O1197" s="36"/>
      <c r="P1197" s="36"/>
      <c r="Q1197" s="36"/>
      <c r="R1197" s="36"/>
      <c r="S1197" s="36"/>
      <c r="T1197" s="36"/>
      <c r="U1197" s="36"/>
      <c r="V1197" s="36"/>
      <c r="W1197" s="36"/>
      <c r="X1197" s="36"/>
      <c r="Y1197" s="36"/>
      <c r="Z1197" s="36"/>
      <c r="AA1197" s="36"/>
      <c r="AB1197" s="36"/>
    </row>
    <row r="1198" spans="1:28" ht="24" hidden="1" customHeight="1">
      <c r="A1198" s="215" t="s">
        <v>2529</v>
      </c>
      <c r="B1198" s="201">
        <v>2018</v>
      </c>
      <c r="C1198" s="201" t="s">
        <v>2530</v>
      </c>
      <c r="D1198" s="202" t="s">
        <v>2531</v>
      </c>
      <c r="E1198" s="201" t="s">
        <v>41</v>
      </c>
      <c r="F1198" s="117" t="s">
        <v>97</v>
      </c>
      <c r="G1198" s="206" t="s">
        <v>43</v>
      </c>
      <c r="H1198" s="117" t="s">
        <v>750</v>
      </c>
      <c r="I1198" s="35"/>
      <c r="J1198" s="36"/>
      <c r="K1198" s="36"/>
      <c r="L1198" s="36"/>
      <c r="M1198" s="36"/>
      <c r="N1198" s="36"/>
      <c r="O1198" s="36"/>
      <c r="P1198" s="36"/>
      <c r="Q1198" s="36"/>
      <c r="R1198" s="36"/>
      <c r="S1198" s="36"/>
      <c r="T1198" s="36"/>
      <c r="U1198" s="36"/>
      <c r="V1198" s="36"/>
      <c r="W1198" s="36"/>
      <c r="X1198" s="36"/>
      <c r="Y1198" s="36"/>
      <c r="Z1198" s="36"/>
      <c r="AA1198" s="36"/>
      <c r="AB1198" s="36"/>
    </row>
    <row r="1199" spans="1:28" ht="36" hidden="1" customHeight="1">
      <c r="A1199" s="215" t="s">
        <v>2532</v>
      </c>
      <c r="B1199" s="201">
        <v>2018</v>
      </c>
      <c r="C1199" s="201" t="s">
        <v>2530</v>
      </c>
      <c r="D1199" s="202" t="s">
        <v>2533</v>
      </c>
      <c r="E1199" s="201" t="s">
        <v>41</v>
      </c>
      <c r="F1199" s="117" t="s">
        <v>97</v>
      </c>
      <c r="G1199" s="206" t="s">
        <v>43</v>
      </c>
      <c r="H1199" s="117" t="s">
        <v>750</v>
      </c>
      <c r="I1199" s="35"/>
      <c r="J1199" s="36"/>
      <c r="K1199" s="36"/>
      <c r="L1199" s="36"/>
      <c r="M1199" s="36"/>
      <c r="N1199" s="36"/>
      <c r="O1199" s="36"/>
      <c r="P1199" s="36"/>
      <c r="Q1199" s="36"/>
      <c r="R1199" s="36"/>
      <c r="S1199" s="36"/>
      <c r="T1199" s="36"/>
      <c r="U1199" s="36"/>
      <c r="V1199" s="36"/>
      <c r="W1199" s="36"/>
      <c r="X1199" s="36"/>
      <c r="Y1199" s="36"/>
      <c r="Z1199" s="36"/>
      <c r="AA1199" s="36"/>
      <c r="AB1199" s="36"/>
    </row>
    <row r="1200" spans="1:28" ht="24" hidden="1" customHeight="1">
      <c r="A1200" s="215" t="s">
        <v>2534</v>
      </c>
      <c r="B1200" s="204">
        <v>2018</v>
      </c>
      <c r="C1200" s="201" t="s">
        <v>2530</v>
      </c>
      <c r="D1200" s="230" t="s">
        <v>2535</v>
      </c>
      <c r="E1200" s="201" t="s">
        <v>41</v>
      </c>
      <c r="F1200" s="117" t="s">
        <v>97</v>
      </c>
      <c r="G1200" s="206" t="s">
        <v>43</v>
      </c>
      <c r="H1200" s="117" t="s">
        <v>750</v>
      </c>
      <c r="I1200" s="35"/>
      <c r="J1200" s="36"/>
      <c r="K1200" s="36"/>
      <c r="L1200" s="36"/>
      <c r="M1200" s="36"/>
      <c r="N1200" s="36"/>
      <c r="O1200" s="36"/>
      <c r="P1200" s="36"/>
      <c r="Q1200" s="36"/>
      <c r="R1200" s="36"/>
      <c r="S1200" s="36"/>
      <c r="T1200" s="36"/>
      <c r="U1200" s="36"/>
      <c r="V1200" s="36"/>
      <c r="W1200" s="36"/>
      <c r="X1200" s="36"/>
      <c r="Y1200" s="36"/>
      <c r="Z1200" s="36"/>
      <c r="AA1200" s="36"/>
      <c r="AB1200" s="36"/>
    </row>
    <row r="1201" spans="1:28" ht="24" hidden="1" customHeight="1">
      <c r="A1201" s="215" t="s">
        <v>2536</v>
      </c>
      <c r="B1201" s="204">
        <v>2017</v>
      </c>
      <c r="C1201" s="201" t="s">
        <v>2530</v>
      </c>
      <c r="D1201" s="230" t="s">
        <v>2537</v>
      </c>
      <c r="E1201" s="201" t="s">
        <v>41</v>
      </c>
      <c r="F1201" s="117" t="s">
        <v>97</v>
      </c>
      <c r="G1201" s="206" t="s">
        <v>43</v>
      </c>
      <c r="H1201" s="117" t="s">
        <v>750</v>
      </c>
      <c r="I1201" s="35"/>
      <c r="J1201" s="36"/>
      <c r="K1201" s="36"/>
      <c r="L1201" s="36"/>
      <c r="M1201" s="36"/>
      <c r="N1201" s="36"/>
      <c r="O1201" s="36"/>
      <c r="P1201" s="36"/>
      <c r="Q1201" s="36"/>
      <c r="R1201" s="36"/>
      <c r="S1201" s="36"/>
      <c r="T1201" s="36"/>
      <c r="U1201" s="36"/>
      <c r="V1201" s="36"/>
      <c r="W1201" s="36"/>
      <c r="X1201" s="36"/>
      <c r="Y1201" s="36"/>
      <c r="Z1201" s="36"/>
      <c r="AA1201" s="36"/>
      <c r="AB1201" s="36"/>
    </row>
    <row r="1202" spans="1:28" ht="24" hidden="1" customHeight="1">
      <c r="A1202" s="215" t="s">
        <v>2534</v>
      </c>
      <c r="B1202" s="204">
        <v>2017</v>
      </c>
      <c r="C1202" s="230" t="s">
        <v>2530</v>
      </c>
      <c r="D1202" s="231" t="s">
        <v>2538</v>
      </c>
      <c r="E1202" s="201" t="s">
        <v>41</v>
      </c>
      <c r="F1202" s="117" t="s">
        <v>97</v>
      </c>
      <c r="G1202" s="206" t="s">
        <v>43</v>
      </c>
      <c r="H1202" s="117" t="s">
        <v>750</v>
      </c>
      <c r="I1202" s="35"/>
      <c r="J1202" s="36"/>
      <c r="K1202" s="36"/>
      <c r="L1202" s="36"/>
      <c r="M1202" s="36"/>
      <c r="N1202" s="36"/>
      <c r="O1202" s="36"/>
      <c r="P1202" s="36"/>
      <c r="Q1202" s="36"/>
      <c r="R1202" s="36"/>
      <c r="S1202" s="36"/>
      <c r="T1202" s="36"/>
      <c r="U1202" s="36"/>
      <c r="V1202" s="36"/>
      <c r="W1202" s="36"/>
      <c r="X1202" s="36"/>
      <c r="Y1202" s="36"/>
      <c r="Z1202" s="36"/>
      <c r="AA1202" s="36"/>
      <c r="AB1202" s="36"/>
    </row>
    <row r="1203" spans="1:28" ht="15" hidden="1" customHeight="1">
      <c r="A1203" s="239" t="s">
        <v>1103</v>
      </c>
      <c r="B1203" s="206">
        <v>1991</v>
      </c>
      <c r="C1203" s="117" t="s">
        <v>405</v>
      </c>
      <c r="D1203" s="195" t="s">
        <v>406</v>
      </c>
      <c r="E1203" s="117" t="s">
        <v>2539</v>
      </c>
      <c r="F1203" s="117" t="s">
        <v>97</v>
      </c>
      <c r="G1203" s="211" t="s">
        <v>43</v>
      </c>
      <c r="H1203" s="117" t="s">
        <v>2540</v>
      </c>
      <c r="I1203" s="35"/>
      <c r="J1203" s="36"/>
      <c r="K1203" s="36"/>
      <c r="L1203" s="36"/>
      <c r="M1203" s="36"/>
      <c r="N1203" s="36"/>
      <c r="O1203" s="36"/>
      <c r="P1203" s="36"/>
      <c r="Q1203" s="36"/>
      <c r="R1203" s="36"/>
      <c r="S1203" s="36"/>
      <c r="T1203" s="36"/>
      <c r="U1203" s="36"/>
      <c r="V1203" s="36"/>
      <c r="W1203" s="36"/>
      <c r="X1203" s="36"/>
      <c r="Y1203" s="36"/>
      <c r="Z1203" s="36"/>
      <c r="AA1203" s="36"/>
      <c r="AB1203" s="36"/>
    </row>
    <row r="1204" spans="1:28" ht="372" hidden="1" customHeight="1">
      <c r="A1204" s="207" t="s">
        <v>2541</v>
      </c>
      <c r="B1204" s="117">
        <v>1913</v>
      </c>
      <c r="C1204" s="117" t="s">
        <v>507</v>
      </c>
      <c r="D1204" s="195" t="s">
        <v>2542</v>
      </c>
      <c r="E1204" s="195" t="s">
        <v>2543</v>
      </c>
      <c r="F1204" s="117" t="s">
        <v>97</v>
      </c>
      <c r="G1204" s="211" t="s">
        <v>43</v>
      </c>
      <c r="H1204" s="117" t="s">
        <v>2540</v>
      </c>
      <c r="I1204" s="35"/>
      <c r="J1204" s="36"/>
      <c r="K1204" s="36"/>
      <c r="L1204" s="36"/>
      <c r="M1204" s="36"/>
      <c r="N1204" s="36"/>
      <c r="O1204" s="36"/>
      <c r="P1204" s="36"/>
      <c r="Q1204" s="36"/>
      <c r="R1204" s="36"/>
      <c r="S1204" s="36"/>
      <c r="T1204" s="36"/>
      <c r="U1204" s="36"/>
      <c r="V1204" s="36"/>
      <c r="W1204" s="36"/>
      <c r="X1204" s="36"/>
      <c r="Y1204" s="36"/>
      <c r="Z1204" s="36"/>
      <c r="AA1204" s="36"/>
      <c r="AB1204" s="36"/>
    </row>
    <row r="1205" spans="1:28" ht="24" hidden="1" customHeight="1">
      <c r="A1205" s="207" t="s">
        <v>2544</v>
      </c>
      <c r="B1205" s="117">
        <v>1920</v>
      </c>
      <c r="C1205" s="117" t="s">
        <v>39</v>
      </c>
      <c r="D1205" s="195" t="s">
        <v>2545</v>
      </c>
      <c r="E1205" s="117" t="s">
        <v>41</v>
      </c>
      <c r="F1205" s="117" t="s">
        <v>97</v>
      </c>
      <c r="G1205" s="211" t="s">
        <v>43</v>
      </c>
      <c r="H1205" s="117" t="s">
        <v>2540</v>
      </c>
      <c r="I1205" s="35"/>
      <c r="J1205" s="36"/>
      <c r="K1205" s="36"/>
      <c r="L1205" s="36"/>
      <c r="M1205" s="36"/>
      <c r="N1205" s="36"/>
      <c r="O1205" s="36"/>
      <c r="P1205" s="36"/>
      <c r="Q1205" s="36"/>
      <c r="R1205" s="36"/>
      <c r="S1205" s="36"/>
      <c r="T1205" s="36"/>
      <c r="U1205" s="36"/>
      <c r="V1205" s="36"/>
      <c r="W1205" s="36"/>
      <c r="X1205" s="36"/>
      <c r="Y1205" s="36"/>
      <c r="Z1205" s="36"/>
      <c r="AA1205" s="36"/>
      <c r="AB1205" s="36"/>
    </row>
    <row r="1206" spans="1:28" ht="12" hidden="1" customHeight="1">
      <c r="A1206" s="207" t="s">
        <v>1116</v>
      </c>
      <c r="B1206" s="117">
        <v>1982</v>
      </c>
      <c r="C1206" s="117" t="s">
        <v>39</v>
      </c>
      <c r="D1206" s="195" t="s">
        <v>2546</v>
      </c>
      <c r="E1206" s="117" t="s">
        <v>2547</v>
      </c>
      <c r="F1206" s="117" t="s">
        <v>97</v>
      </c>
      <c r="G1206" s="211" t="s">
        <v>43</v>
      </c>
      <c r="H1206" s="117" t="s">
        <v>2540</v>
      </c>
      <c r="I1206" s="35"/>
      <c r="J1206" s="36"/>
      <c r="K1206" s="36"/>
      <c r="L1206" s="36"/>
      <c r="M1206" s="36"/>
      <c r="N1206" s="36"/>
      <c r="O1206" s="36"/>
      <c r="P1206" s="36"/>
      <c r="Q1206" s="36"/>
      <c r="R1206" s="36"/>
      <c r="S1206" s="36"/>
      <c r="T1206" s="36"/>
      <c r="U1206" s="36"/>
      <c r="V1206" s="36"/>
      <c r="W1206" s="36"/>
      <c r="X1206" s="36"/>
      <c r="Y1206" s="36"/>
      <c r="Z1206" s="36"/>
      <c r="AA1206" s="36"/>
      <c r="AB1206" s="36"/>
    </row>
    <row r="1207" spans="1:28" ht="12" hidden="1" customHeight="1">
      <c r="A1207" s="207" t="s">
        <v>236</v>
      </c>
      <c r="B1207" s="117">
        <v>1985</v>
      </c>
      <c r="C1207" s="117" t="s">
        <v>39</v>
      </c>
      <c r="D1207" s="195" t="s">
        <v>2406</v>
      </c>
      <c r="E1207" s="117" t="s">
        <v>41</v>
      </c>
      <c r="F1207" s="117" t="s">
        <v>97</v>
      </c>
      <c r="G1207" s="211" t="s">
        <v>43</v>
      </c>
      <c r="H1207" s="117" t="s">
        <v>2540</v>
      </c>
      <c r="I1207" s="35"/>
      <c r="J1207" s="36"/>
      <c r="K1207" s="36"/>
      <c r="L1207" s="36"/>
      <c r="M1207" s="36"/>
      <c r="N1207" s="36"/>
      <c r="O1207" s="36"/>
      <c r="P1207" s="36"/>
      <c r="Q1207" s="36"/>
      <c r="R1207" s="36"/>
      <c r="S1207" s="36"/>
      <c r="T1207" s="36"/>
      <c r="U1207" s="36"/>
      <c r="V1207" s="36"/>
      <c r="W1207" s="36"/>
      <c r="X1207" s="36"/>
      <c r="Y1207" s="36"/>
      <c r="Z1207" s="36"/>
      <c r="AA1207" s="36"/>
      <c r="AB1207" s="36"/>
    </row>
    <row r="1208" spans="1:28" ht="12" hidden="1" customHeight="1">
      <c r="A1208" s="207" t="s">
        <v>2548</v>
      </c>
      <c r="B1208" s="117">
        <v>1993</v>
      </c>
      <c r="C1208" s="117" t="s">
        <v>39</v>
      </c>
      <c r="D1208" s="195" t="s">
        <v>2549</v>
      </c>
      <c r="E1208" s="117" t="s">
        <v>2550</v>
      </c>
      <c r="F1208" s="117" t="s">
        <v>97</v>
      </c>
      <c r="G1208" s="211" t="s">
        <v>43</v>
      </c>
      <c r="H1208" s="117" t="s">
        <v>2540</v>
      </c>
      <c r="I1208" s="35"/>
      <c r="J1208" s="36"/>
      <c r="K1208" s="36"/>
      <c r="L1208" s="36"/>
      <c r="M1208" s="36"/>
      <c r="N1208" s="36"/>
      <c r="O1208" s="36"/>
      <c r="P1208" s="36"/>
      <c r="Q1208" s="36"/>
      <c r="R1208" s="36"/>
      <c r="S1208" s="36"/>
      <c r="T1208" s="36"/>
      <c r="U1208" s="36"/>
      <c r="V1208" s="36"/>
      <c r="W1208" s="36"/>
      <c r="X1208" s="36"/>
      <c r="Y1208" s="36"/>
      <c r="Z1208" s="36"/>
      <c r="AA1208" s="36"/>
      <c r="AB1208" s="36"/>
    </row>
    <row r="1209" spans="1:28" ht="24" hidden="1" customHeight="1">
      <c r="A1209" s="207" t="s">
        <v>245</v>
      </c>
      <c r="B1209" s="117">
        <v>1989</v>
      </c>
      <c r="C1209" s="117" t="s">
        <v>39</v>
      </c>
      <c r="D1209" s="195" t="s">
        <v>2551</v>
      </c>
      <c r="E1209" s="117" t="s">
        <v>2552</v>
      </c>
      <c r="F1209" s="117" t="s">
        <v>97</v>
      </c>
      <c r="G1209" s="211" t="s">
        <v>43</v>
      </c>
      <c r="H1209" s="117" t="s">
        <v>2540</v>
      </c>
      <c r="I1209" s="35"/>
      <c r="J1209" s="36"/>
      <c r="K1209" s="36"/>
      <c r="L1209" s="36"/>
      <c r="M1209" s="36"/>
      <c r="N1209" s="36"/>
      <c r="O1209" s="36"/>
      <c r="P1209" s="36"/>
      <c r="Q1209" s="36"/>
      <c r="R1209" s="36"/>
      <c r="S1209" s="36"/>
      <c r="T1209" s="36"/>
      <c r="U1209" s="36"/>
      <c r="V1209" s="36"/>
      <c r="W1209" s="36"/>
      <c r="X1209" s="36"/>
      <c r="Y1209" s="36"/>
      <c r="Z1209" s="36"/>
      <c r="AA1209" s="36"/>
      <c r="AB1209" s="36"/>
    </row>
    <row r="1210" spans="1:28" ht="36" hidden="1" customHeight="1">
      <c r="A1210" s="207" t="s">
        <v>249</v>
      </c>
      <c r="B1210" s="117">
        <v>1995</v>
      </c>
      <c r="C1210" s="117" t="s">
        <v>39</v>
      </c>
      <c r="D1210" s="195" t="s">
        <v>1129</v>
      </c>
      <c r="E1210" s="117" t="s">
        <v>2553</v>
      </c>
      <c r="F1210" s="117" t="s">
        <v>97</v>
      </c>
      <c r="G1210" s="211" t="s">
        <v>43</v>
      </c>
      <c r="H1210" s="117" t="s">
        <v>2540</v>
      </c>
      <c r="I1210" s="35"/>
      <c r="J1210" s="36"/>
      <c r="K1210" s="36"/>
      <c r="L1210" s="36"/>
      <c r="M1210" s="36"/>
      <c r="N1210" s="36"/>
      <c r="O1210" s="36"/>
      <c r="P1210" s="36"/>
      <c r="Q1210" s="36"/>
      <c r="R1210" s="36"/>
      <c r="S1210" s="36"/>
      <c r="T1210" s="36"/>
      <c r="U1210" s="36"/>
      <c r="V1210" s="36"/>
      <c r="W1210" s="36"/>
      <c r="X1210" s="36"/>
      <c r="Y1210" s="36"/>
      <c r="Z1210" s="36"/>
      <c r="AA1210" s="36"/>
      <c r="AB1210" s="36"/>
    </row>
    <row r="1211" spans="1:28" ht="48" hidden="1" customHeight="1">
      <c r="A1211" s="207" t="s">
        <v>266</v>
      </c>
      <c r="B1211" s="117">
        <v>1999</v>
      </c>
      <c r="C1211" s="117" t="s">
        <v>39</v>
      </c>
      <c r="D1211" s="195" t="s">
        <v>2407</v>
      </c>
      <c r="E1211" s="117" t="s">
        <v>41</v>
      </c>
      <c r="F1211" s="117" t="s">
        <v>97</v>
      </c>
      <c r="G1211" s="211" t="s">
        <v>43</v>
      </c>
      <c r="H1211" s="117" t="s">
        <v>2540</v>
      </c>
      <c r="I1211" s="35"/>
      <c r="J1211" s="36"/>
      <c r="K1211" s="36"/>
      <c r="L1211" s="36"/>
      <c r="M1211" s="36"/>
      <c r="N1211" s="36"/>
      <c r="O1211" s="36"/>
      <c r="P1211" s="36"/>
      <c r="Q1211" s="36"/>
      <c r="R1211" s="36"/>
      <c r="S1211" s="36"/>
      <c r="T1211" s="36"/>
      <c r="U1211" s="36"/>
      <c r="V1211" s="36"/>
      <c r="W1211" s="36"/>
      <c r="X1211" s="36"/>
      <c r="Y1211" s="36"/>
      <c r="Z1211" s="36"/>
      <c r="AA1211" s="36"/>
      <c r="AB1211" s="36"/>
    </row>
    <row r="1212" spans="1:28" ht="24" hidden="1" customHeight="1">
      <c r="A1212" s="207" t="s">
        <v>2408</v>
      </c>
      <c r="B1212" s="117">
        <v>2000</v>
      </c>
      <c r="C1212" s="117" t="s">
        <v>39</v>
      </c>
      <c r="D1212" s="195" t="s">
        <v>2409</v>
      </c>
      <c r="E1212" s="117" t="s">
        <v>41</v>
      </c>
      <c r="F1212" s="117" t="s">
        <v>97</v>
      </c>
      <c r="G1212" s="211" t="s">
        <v>43</v>
      </c>
      <c r="H1212" s="117" t="s">
        <v>2540</v>
      </c>
      <c r="I1212" s="35"/>
      <c r="J1212" s="36"/>
      <c r="K1212" s="36"/>
      <c r="L1212" s="36"/>
      <c r="M1212" s="36"/>
      <c r="N1212" s="36"/>
      <c r="O1212" s="36"/>
      <c r="P1212" s="36"/>
      <c r="Q1212" s="36"/>
      <c r="R1212" s="36"/>
      <c r="S1212" s="36"/>
      <c r="T1212" s="36"/>
      <c r="U1212" s="36"/>
      <c r="V1212" s="36"/>
      <c r="W1212" s="36"/>
      <c r="X1212" s="36"/>
      <c r="Y1212" s="36"/>
      <c r="Z1212" s="36"/>
      <c r="AA1212" s="36"/>
      <c r="AB1212" s="36"/>
    </row>
    <row r="1213" spans="1:28" ht="12" hidden="1" customHeight="1">
      <c r="A1213" s="207" t="s">
        <v>1921</v>
      </c>
      <c r="B1213" s="117">
        <v>2000</v>
      </c>
      <c r="C1213" s="117" t="s">
        <v>39</v>
      </c>
      <c r="D1213" s="195" t="s">
        <v>2554</v>
      </c>
      <c r="E1213" s="117" t="s">
        <v>41</v>
      </c>
      <c r="F1213" s="117" t="s">
        <v>97</v>
      </c>
      <c r="G1213" s="211" t="s">
        <v>43</v>
      </c>
      <c r="H1213" s="117" t="s">
        <v>2540</v>
      </c>
      <c r="I1213" s="35"/>
      <c r="J1213" s="36"/>
      <c r="K1213" s="36"/>
      <c r="L1213" s="36"/>
      <c r="M1213" s="36"/>
      <c r="N1213" s="36"/>
      <c r="O1213" s="36"/>
      <c r="P1213" s="36"/>
      <c r="Q1213" s="36"/>
      <c r="R1213" s="36"/>
      <c r="S1213" s="36"/>
      <c r="T1213" s="36"/>
      <c r="U1213" s="36"/>
      <c r="V1213" s="36"/>
      <c r="W1213" s="36"/>
      <c r="X1213" s="36"/>
      <c r="Y1213" s="36"/>
      <c r="Z1213" s="36"/>
      <c r="AA1213" s="36"/>
      <c r="AB1213" s="36"/>
    </row>
    <row r="1214" spans="1:28" ht="24" hidden="1" customHeight="1">
      <c r="A1214" s="207" t="s">
        <v>2555</v>
      </c>
      <c r="B1214" s="117">
        <v>2001</v>
      </c>
      <c r="C1214" s="117" t="s">
        <v>39</v>
      </c>
      <c r="D1214" s="195" t="s">
        <v>2556</v>
      </c>
      <c r="E1214" s="117" t="s">
        <v>41</v>
      </c>
      <c r="F1214" s="117" t="s">
        <v>97</v>
      </c>
      <c r="G1214" s="211" t="s">
        <v>43</v>
      </c>
      <c r="H1214" s="117" t="s">
        <v>2540</v>
      </c>
      <c r="I1214" s="35"/>
      <c r="J1214" s="36"/>
      <c r="K1214" s="36"/>
      <c r="L1214" s="36"/>
      <c r="M1214" s="36"/>
      <c r="N1214" s="36"/>
      <c r="O1214" s="36"/>
      <c r="P1214" s="36"/>
      <c r="Q1214" s="36"/>
      <c r="R1214" s="36"/>
      <c r="S1214" s="36"/>
      <c r="T1214" s="36"/>
      <c r="U1214" s="36"/>
      <c r="V1214" s="36"/>
      <c r="W1214" s="36"/>
      <c r="X1214" s="36"/>
      <c r="Y1214" s="36"/>
      <c r="Z1214" s="36"/>
      <c r="AA1214" s="36"/>
      <c r="AB1214" s="36"/>
    </row>
    <row r="1215" spans="1:28" ht="24" hidden="1" customHeight="1">
      <c r="A1215" s="214" t="s">
        <v>1867</v>
      </c>
      <c r="B1215" s="206">
        <v>2002</v>
      </c>
      <c r="C1215" s="197" t="s">
        <v>39</v>
      </c>
      <c r="D1215" s="195" t="s">
        <v>489</v>
      </c>
      <c r="E1215" s="117" t="s">
        <v>2557</v>
      </c>
      <c r="F1215" s="117" t="s">
        <v>97</v>
      </c>
      <c r="G1215" s="211" t="s">
        <v>43</v>
      </c>
      <c r="H1215" s="117" t="s">
        <v>2540</v>
      </c>
      <c r="I1215" s="35"/>
      <c r="J1215" s="36"/>
      <c r="K1215" s="36"/>
      <c r="L1215" s="36"/>
      <c r="M1215" s="36"/>
      <c r="N1215" s="36"/>
      <c r="O1215" s="36"/>
      <c r="P1215" s="36"/>
      <c r="Q1215" s="36"/>
      <c r="R1215" s="36"/>
      <c r="S1215" s="36"/>
      <c r="T1215" s="36"/>
      <c r="U1215" s="36"/>
      <c r="V1215" s="36"/>
      <c r="W1215" s="36"/>
      <c r="X1215" s="36"/>
      <c r="Y1215" s="36"/>
      <c r="Z1215" s="36"/>
      <c r="AA1215" s="36"/>
      <c r="AB1215" s="36"/>
    </row>
    <row r="1216" spans="1:28" ht="12" hidden="1" customHeight="1">
      <c r="A1216" s="207" t="s">
        <v>2558</v>
      </c>
      <c r="B1216" s="117">
        <v>2005</v>
      </c>
      <c r="C1216" s="117" t="s">
        <v>39</v>
      </c>
      <c r="D1216" s="195" t="s">
        <v>2559</v>
      </c>
      <c r="E1216" s="117" t="s">
        <v>41</v>
      </c>
      <c r="F1216" s="117" t="s">
        <v>97</v>
      </c>
      <c r="G1216" s="211" t="s">
        <v>43</v>
      </c>
      <c r="H1216" s="117" t="s">
        <v>2540</v>
      </c>
      <c r="I1216" s="35"/>
      <c r="J1216" s="36"/>
      <c r="K1216" s="36"/>
      <c r="L1216" s="36"/>
      <c r="M1216" s="36"/>
      <c r="N1216" s="36"/>
      <c r="O1216" s="36"/>
      <c r="P1216" s="36"/>
      <c r="Q1216" s="36"/>
      <c r="R1216" s="36"/>
      <c r="S1216" s="36"/>
      <c r="T1216" s="36"/>
      <c r="U1216" s="36"/>
      <c r="V1216" s="36"/>
      <c r="W1216" s="36"/>
      <c r="X1216" s="36"/>
      <c r="Y1216" s="36"/>
      <c r="Z1216" s="36"/>
      <c r="AA1216" s="36"/>
      <c r="AB1216" s="36"/>
    </row>
    <row r="1217" spans="1:28" ht="48" hidden="1" customHeight="1">
      <c r="A1217" s="207" t="s">
        <v>977</v>
      </c>
      <c r="B1217" s="117">
        <v>2005</v>
      </c>
      <c r="C1217" s="117" t="s">
        <v>39</v>
      </c>
      <c r="D1217" s="195" t="s">
        <v>2414</v>
      </c>
      <c r="E1217" s="117" t="s">
        <v>2560</v>
      </c>
      <c r="F1217" s="117" t="s">
        <v>97</v>
      </c>
      <c r="G1217" s="211" t="s">
        <v>43</v>
      </c>
      <c r="H1217" s="117" t="s">
        <v>2540</v>
      </c>
      <c r="I1217" s="35"/>
      <c r="J1217" s="36"/>
      <c r="K1217" s="36"/>
      <c r="L1217" s="36"/>
      <c r="M1217" s="36"/>
      <c r="N1217" s="36"/>
      <c r="O1217" s="36"/>
      <c r="P1217" s="36"/>
      <c r="Q1217" s="36"/>
      <c r="R1217" s="36"/>
      <c r="S1217" s="36"/>
      <c r="T1217" s="36"/>
      <c r="U1217" s="36"/>
      <c r="V1217" s="36"/>
      <c r="W1217" s="36"/>
      <c r="X1217" s="36"/>
      <c r="Y1217" s="36"/>
      <c r="Z1217" s="36"/>
      <c r="AA1217" s="36"/>
      <c r="AB1217" s="36"/>
    </row>
    <row r="1218" spans="1:28" ht="36" hidden="1" customHeight="1">
      <c r="A1218" s="207" t="s">
        <v>275</v>
      </c>
      <c r="B1218" s="117">
        <v>2007</v>
      </c>
      <c r="C1218" s="117" t="s">
        <v>39</v>
      </c>
      <c r="D1218" s="195" t="s">
        <v>2561</v>
      </c>
      <c r="E1218" s="117" t="s">
        <v>2562</v>
      </c>
      <c r="F1218" s="117" t="s">
        <v>97</v>
      </c>
      <c r="G1218" s="211" t="s">
        <v>43</v>
      </c>
      <c r="H1218" s="117" t="s">
        <v>2540</v>
      </c>
      <c r="I1218" s="35"/>
      <c r="J1218" s="36"/>
      <c r="K1218" s="36"/>
      <c r="L1218" s="36"/>
      <c r="M1218" s="36"/>
      <c r="N1218" s="36"/>
      <c r="O1218" s="36"/>
      <c r="P1218" s="36"/>
      <c r="Q1218" s="36"/>
      <c r="R1218" s="36"/>
      <c r="S1218" s="36"/>
      <c r="T1218" s="36"/>
      <c r="U1218" s="36"/>
      <c r="V1218" s="36"/>
      <c r="W1218" s="36"/>
      <c r="X1218" s="36"/>
      <c r="Y1218" s="36"/>
      <c r="Z1218" s="36"/>
      <c r="AA1218" s="36"/>
      <c r="AB1218" s="36"/>
    </row>
    <row r="1219" spans="1:28" ht="24" hidden="1" customHeight="1">
      <c r="A1219" s="207" t="s">
        <v>2563</v>
      </c>
      <c r="B1219" s="117">
        <v>2008</v>
      </c>
      <c r="C1219" s="117" t="s">
        <v>39</v>
      </c>
      <c r="D1219" s="195" t="s">
        <v>2564</v>
      </c>
      <c r="E1219" s="117" t="s">
        <v>41</v>
      </c>
      <c r="F1219" s="117" t="s">
        <v>97</v>
      </c>
      <c r="G1219" s="211" t="s">
        <v>43</v>
      </c>
      <c r="H1219" s="117" t="s">
        <v>2540</v>
      </c>
      <c r="I1219" s="35"/>
      <c r="J1219" s="36"/>
      <c r="K1219" s="36"/>
      <c r="L1219" s="36"/>
      <c r="M1219" s="36"/>
      <c r="N1219" s="36"/>
      <c r="O1219" s="36"/>
      <c r="P1219" s="36"/>
      <c r="Q1219" s="36"/>
      <c r="R1219" s="36"/>
      <c r="S1219" s="36"/>
      <c r="T1219" s="36"/>
      <c r="U1219" s="36"/>
      <c r="V1219" s="36"/>
      <c r="W1219" s="36"/>
      <c r="X1219" s="36"/>
      <c r="Y1219" s="36"/>
      <c r="Z1219" s="36"/>
      <c r="AA1219" s="36"/>
      <c r="AB1219" s="36"/>
    </row>
    <row r="1220" spans="1:28" ht="60" hidden="1" customHeight="1">
      <c r="A1220" s="207" t="s">
        <v>2418</v>
      </c>
      <c r="B1220" s="117">
        <v>2009</v>
      </c>
      <c r="C1220" s="117" t="s">
        <v>39</v>
      </c>
      <c r="D1220" s="195" t="s">
        <v>505</v>
      </c>
      <c r="E1220" s="117" t="s">
        <v>2565</v>
      </c>
      <c r="F1220" s="117" t="s">
        <v>97</v>
      </c>
      <c r="G1220" s="211" t="s">
        <v>43</v>
      </c>
      <c r="H1220" s="117" t="s">
        <v>2540</v>
      </c>
      <c r="I1220" s="35"/>
      <c r="J1220" s="36"/>
      <c r="K1220" s="36"/>
      <c r="L1220" s="36"/>
      <c r="M1220" s="36"/>
      <c r="N1220" s="36"/>
      <c r="O1220" s="36"/>
      <c r="P1220" s="36"/>
      <c r="Q1220" s="36"/>
      <c r="R1220" s="36"/>
      <c r="S1220" s="36"/>
      <c r="T1220" s="36"/>
      <c r="U1220" s="36"/>
      <c r="V1220" s="36"/>
      <c r="W1220" s="36"/>
      <c r="X1220" s="36"/>
      <c r="Y1220" s="36"/>
      <c r="Z1220" s="36"/>
      <c r="AA1220" s="36"/>
      <c r="AB1220" s="36"/>
    </row>
    <row r="1221" spans="1:28" ht="24" hidden="1" customHeight="1">
      <c r="A1221" s="207" t="s">
        <v>280</v>
      </c>
      <c r="B1221" s="117">
        <v>2011</v>
      </c>
      <c r="C1221" s="117" t="s">
        <v>39</v>
      </c>
      <c r="D1221" s="195" t="s">
        <v>2259</v>
      </c>
      <c r="E1221" s="117" t="s">
        <v>2566</v>
      </c>
      <c r="F1221" s="117" t="s">
        <v>97</v>
      </c>
      <c r="G1221" s="211" t="s">
        <v>43</v>
      </c>
      <c r="H1221" s="117" t="s">
        <v>2540</v>
      </c>
      <c r="I1221" s="35"/>
      <c r="J1221" s="36"/>
      <c r="K1221" s="36"/>
      <c r="L1221" s="36"/>
      <c r="M1221" s="36"/>
      <c r="N1221" s="36"/>
      <c r="O1221" s="36"/>
      <c r="P1221" s="36"/>
      <c r="Q1221" s="36"/>
      <c r="R1221" s="36"/>
      <c r="S1221" s="36"/>
      <c r="T1221" s="36"/>
      <c r="U1221" s="36"/>
      <c r="V1221" s="36"/>
      <c r="W1221" s="36"/>
      <c r="X1221" s="36"/>
      <c r="Y1221" s="36"/>
      <c r="Z1221" s="36"/>
      <c r="AA1221" s="36"/>
      <c r="AB1221" s="36"/>
    </row>
    <row r="1222" spans="1:28" ht="36" hidden="1" customHeight="1">
      <c r="A1222" s="207" t="s">
        <v>831</v>
      </c>
      <c r="B1222" s="117">
        <v>2012</v>
      </c>
      <c r="C1222" s="117" t="s">
        <v>57</v>
      </c>
      <c r="D1222" s="195" t="s">
        <v>546</v>
      </c>
      <c r="E1222" s="117" t="s">
        <v>2567</v>
      </c>
      <c r="F1222" s="117" t="s">
        <v>97</v>
      </c>
      <c r="G1222" s="211" t="s">
        <v>43</v>
      </c>
      <c r="H1222" s="117" t="s">
        <v>2540</v>
      </c>
      <c r="I1222" s="35"/>
      <c r="J1222" s="36"/>
      <c r="K1222" s="36"/>
      <c r="L1222" s="36"/>
      <c r="M1222" s="36"/>
      <c r="N1222" s="36"/>
      <c r="O1222" s="36"/>
      <c r="P1222" s="36"/>
      <c r="Q1222" s="36"/>
      <c r="R1222" s="36"/>
      <c r="S1222" s="36"/>
      <c r="T1222" s="36"/>
      <c r="U1222" s="36"/>
      <c r="V1222" s="36"/>
      <c r="W1222" s="36"/>
      <c r="X1222" s="36"/>
      <c r="Y1222" s="36"/>
      <c r="Z1222" s="36"/>
      <c r="AA1222" s="36"/>
      <c r="AB1222" s="36"/>
    </row>
    <row r="1223" spans="1:28" ht="24" hidden="1" customHeight="1">
      <c r="A1223" s="207" t="s">
        <v>2262</v>
      </c>
      <c r="B1223" s="117">
        <v>2012</v>
      </c>
      <c r="C1223" s="117" t="s">
        <v>39</v>
      </c>
      <c r="D1223" s="195" t="s">
        <v>2568</v>
      </c>
      <c r="E1223" s="117" t="s">
        <v>2569</v>
      </c>
      <c r="F1223" s="117" t="s">
        <v>97</v>
      </c>
      <c r="G1223" s="211" t="s">
        <v>43</v>
      </c>
      <c r="H1223" s="117" t="s">
        <v>2540</v>
      </c>
      <c r="I1223" s="35"/>
      <c r="J1223" s="36"/>
      <c r="K1223" s="36"/>
      <c r="L1223" s="36"/>
      <c r="M1223" s="36"/>
      <c r="N1223" s="36"/>
      <c r="O1223" s="36"/>
      <c r="P1223" s="36"/>
      <c r="Q1223" s="36"/>
      <c r="R1223" s="36"/>
      <c r="S1223" s="36"/>
      <c r="T1223" s="36"/>
      <c r="U1223" s="36"/>
      <c r="V1223" s="36"/>
      <c r="W1223" s="36"/>
      <c r="X1223" s="36"/>
      <c r="Y1223" s="36"/>
      <c r="Z1223" s="36"/>
      <c r="AA1223" s="36"/>
      <c r="AB1223" s="36"/>
    </row>
    <row r="1224" spans="1:28" ht="36" hidden="1" customHeight="1">
      <c r="A1224" s="207" t="s">
        <v>294</v>
      </c>
      <c r="B1224" s="117">
        <v>2014</v>
      </c>
      <c r="C1224" s="117" t="s">
        <v>39</v>
      </c>
      <c r="D1224" s="195" t="s">
        <v>987</v>
      </c>
      <c r="E1224" s="117" t="s">
        <v>41</v>
      </c>
      <c r="F1224" s="117" t="s">
        <v>97</v>
      </c>
      <c r="G1224" s="211" t="s">
        <v>43</v>
      </c>
      <c r="H1224" s="117" t="s">
        <v>2540</v>
      </c>
      <c r="I1224" s="35"/>
      <c r="J1224" s="36"/>
      <c r="K1224" s="36"/>
      <c r="L1224" s="36"/>
      <c r="M1224" s="36"/>
      <c r="N1224" s="36"/>
      <c r="O1224" s="36"/>
      <c r="P1224" s="36"/>
      <c r="Q1224" s="36"/>
      <c r="R1224" s="36"/>
      <c r="S1224" s="36"/>
      <c r="T1224" s="36"/>
      <c r="U1224" s="36"/>
      <c r="V1224" s="36"/>
      <c r="W1224" s="36"/>
      <c r="X1224" s="36"/>
      <c r="Y1224" s="36"/>
      <c r="Z1224" s="36"/>
      <c r="AA1224" s="36"/>
      <c r="AB1224" s="36"/>
    </row>
    <row r="1225" spans="1:28" ht="36" hidden="1" customHeight="1">
      <c r="A1225" s="207" t="s">
        <v>1873</v>
      </c>
      <c r="B1225" s="117">
        <v>2015</v>
      </c>
      <c r="C1225" s="117" t="s">
        <v>39</v>
      </c>
      <c r="D1225" s="195" t="s">
        <v>1874</v>
      </c>
      <c r="E1225" s="117" t="s">
        <v>2570</v>
      </c>
      <c r="F1225" s="117" t="s">
        <v>97</v>
      </c>
      <c r="G1225" s="211" t="s">
        <v>43</v>
      </c>
      <c r="H1225" s="117" t="s">
        <v>2540</v>
      </c>
      <c r="I1225" s="35"/>
      <c r="J1225" s="36"/>
      <c r="K1225" s="36"/>
      <c r="L1225" s="36"/>
      <c r="M1225" s="36"/>
      <c r="N1225" s="36"/>
      <c r="O1225" s="36"/>
      <c r="P1225" s="36"/>
      <c r="Q1225" s="36"/>
      <c r="R1225" s="36"/>
      <c r="S1225" s="36"/>
      <c r="T1225" s="36"/>
      <c r="U1225" s="36"/>
      <c r="V1225" s="36"/>
      <c r="W1225" s="36"/>
      <c r="X1225" s="36"/>
      <c r="Y1225" s="36"/>
      <c r="Z1225" s="36"/>
      <c r="AA1225" s="36"/>
      <c r="AB1225" s="36"/>
    </row>
    <row r="1226" spans="1:28" ht="24" hidden="1" customHeight="1">
      <c r="A1226" s="207" t="s">
        <v>2571</v>
      </c>
      <c r="B1226" s="117">
        <v>2018</v>
      </c>
      <c r="C1226" s="117" t="s">
        <v>507</v>
      </c>
      <c r="D1226" s="195" t="s">
        <v>2572</v>
      </c>
      <c r="E1226" s="117"/>
      <c r="F1226" s="117" t="s">
        <v>97</v>
      </c>
      <c r="G1226" s="211" t="s">
        <v>43</v>
      </c>
      <c r="H1226" s="117" t="s">
        <v>2540</v>
      </c>
      <c r="I1226" s="36"/>
      <c r="J1226" s="36"/>
      <c r="K1226" s="36"/>
      <c r="L1226" s="36"/>
      <c r="M1226" s="36"/>
      <c r="N1226" s="36"/>
      <c r="O1226" s="36"/>
      <c r="P1226" s="36"/>
      <c r="Q1226" s="36"/>
      <c r="R1226" s="36"/>
      <c r="S1226" s="36"/>
      <c r="T1226" s="36"/>
      <c r="U1226" s="36"/>
      <c r="V1226" s="36"/>
      <c r="W1226" s="36"/>
      <c r="X1226" s="36"/>
      <c r="Y1226" s="36"/>
      <c r="Z1226" s="36"/>
      <c r="AA1226" s="36"/>
      <c r="AB1226" s="36"/>
    </row>
    <row r="1227" spans="1:28" ht="48" hidden="1" customHeight="1">
      <c r="A1227" s="207" t="s">
        <v>2573</v>
      </c>
      <c r="B1227" s="117">
        <v>1954</v>
      </c>
      <c r="C1227" s="117" t="s">
        <v>2458</v>
      </c>
      <c r="D1227" s="195" t="s">
        <v>2574</v>
      </c>
      <c r="E1227" s="117" t="s">
        <v>41</v>
      </c>
      <c r="F1227" s="117" t="s">
        <v>97</v>
      </c>
      <c r="G1227" s="211" t="s">
        <v>43</v>
      </c>
      <c r="H1227" s="117" t="s">
        <v>2540</v>
      </c>
      <c r="I1227" s="35"/>
      <c r="J1227" s="36"/>
      <c r="K1227" s="36"/>
      <c r="L1227" s="36"/>
      <c r="M1227" s="36"/>
      <c r="N1227" s="36"/>
      <c r="O1227" s="36"/>
      <c r="P1227" s="36"/>
      <c r="Q1227" s="36"/>
      <c r="R1227" s="36"/>
      <c r="S1227" s="36"/>
      <c r="T1227" s="36"/>
      <c r="U1227" s="36"/>
      <c r="V1227" s="36"/>
      <c r="W1227" s="36"/>
      <c r="X1227" s="36"/>
      <c r="Y1227" s="36"/>
      <c r="Z1227" s="36"/>
      <c r="AA1227" s="36"/>
      <c r="AB1227" s="36"/>
    </row>
    <row r="1228" spans="1:28" ht="36" hidden="1" customHeight="1">
      <c r="A1228" s="208" t="s">
        <v>2575</v>
      </c>
      <c r="B1228" s="150">
        <v>1988</v>
      </c>
      <c r="C1228" s="150" t="s">
        <v>57</v>
      </c>
      <c r="D1228" s="254" t="s">
        <v>2576</v>
      </c>
      <c r="E1228" s="150" t="s">
        <v>41</v>
      </c>
      <c r="F1228" s="117" t="s">
        <v>97</v>
      </c>
      <c r="G1228" s="211" t="s">
        <v>43</v>
      </c>
      <c r="H1228" s="117" t="s">
        <v>2540</v>
      </c>
      <c r="I1228" s="35"/>
      <c r="J1228" s="36"/>
      <c r="K1228" s="36"/>
      <c r="L1228" s="36"/>
      <c r="M1228" s="36"/>
      <c r="N1228" s="36"/>
      <c r="O1228" s="36"/>
      <c r="P1228" s="36"/>
      <c r="Q1228" s="36"/>
      <c r="R1228" s="36"/>
      <c r="S1228" s="36"/>
      <c r="T1228" s="36"/>
      <c r="U1228" s="36"/>
      <c r="V1228" s="36"/>
      <c r="W1228" s="36"/>
      <c r="X1228" s="36"/>
      <c r="Y1228" s="36"/>
      <c r="Z1228" s="36"/>
      <c r="AA1228" s="36"/>
      <c r="AB1228" s="36"/>
    </row>
    <row r="1229" spans="1:28" ht="36" hidden="1" customHeight="1">
      <c r="A1229" s="207" t="s">
        <v>2577</v>
      </c>
      <c r="B1229" s="117">
        <v>1993</v>
      </c>
      <c r="C1229" s="117" t="s">
        <v>39</v>
      </c>
      <c r="D1229" s="195" t="s">
        <v>2578</v>
      </c>
      <c r="E1229" s="117" t="s">
        <v>41</v>
      </c>
      <c r="F1229" s="198" t="s">
        <v>97</v>
      </c>
      <c r="G1229" s="211" t="s">
        <v>43</v>
      </c>
      <c r="H1229" s="117" t="s">
        <v>2540</v>
      </c>
      <c r="I1229" s="35"/>
      <c r="J1229" s="36"/>
      <c r="K1229" s="36"/>
      <c r="L1229" s="36"/>
      <c r="M1229" s="36"/>
      <c r="N1229" s="36"/>
      <c r="O1229" s="36"/>
      <c r="P1229" s="36"/>
      <c r="Q1229" s="36"/>
      <c r="R1229" s="36"/>
      <c r="S1229" s="36"/>
      <c r="T1229" s="36"/>
      <c r="U1229" s="36"/>
      <c r="V1229" s="36"/>
      <c r="W1229" s="36"/>
      <c r="X1229" s="36"/>
      <c r="Y1229" s="36"/>
      <c r="Z1229" s="36"/>
      <c r="AA1229" s="36"/>
      <c r="AB1229" s="36"/>
    </row>
    <row r="1230" spans="1:28" ht="36" hidden="1" customHeight="1">
      <c r="A1230" s="207" t="s">
        <v>2579</v>
      </c>
      <c r="B1230" s="117">
        <v>1993</v>
      </c>
      <c r="C1230" s="117" t="s">
        <v>39</v>
      </c>
      <c r="D1230" s="255" t="s">
        <v>2580</v>
      </c>
      <c r="E1230" s="117" t="s">
        <v>2581</v>
      </c>
      <c r="F1230" s="198" t="s">
        <v>97</v>
      </c>
      <c r="G1230" s="211" t="s">
        <v>43</v>
      </c>
      <c r="H1230" s="117" t="s">
        <v>2540</v>
      </c>
      <c r="I1230" s="35"/>
      <c r="J1230" s="36"/>
      <c r="K1230" s="36"/>
      <c r="L1230" s="36"/>
      <c r="M1230" s="36"/>
      <c r="N1230" s="36"/>
      <c r="O1230" s="36"/>
      <c r="P1230" s="36"/>
      <c r="Q1230" s="36"/>
      <c r="R1230" s="36"/>
      <c r="S1230" s="36"/>
      <c r="T1230" s="36"/>
      <c r="U1230" s="36"/>
      <c r="V1230" s="36"/>
      <c r="W1230" s="36"/>
      <c r="X1230" s="36"/>
      <c r="Y1230" s="36"/>
      <c r="Z1230" s="36"/>
      <c r="AA1230" s="36"/>
      <c r="AB1230" s="36"/>
    </row>
    <row r="1231" spans="1:28" ht="48" hidden="1" customHeight="1">
      <c r="A1231" s="207" t="s">
        <v>2582</v>
      </c>
      <c r="B1231" s="117">
        <v>1995</v>
      </c>
      <c r="C1231" s="117" t="s">
        <v>57</v>
      </c>
      <c r="D1231" s="256" t="s">
        <v>2583</v>
      </c>
      <c r="E1231" s="117" t="s">
        <v>41</v>
      </c>
      <c r="F1231" s="117" t="s">
        <v>97</v>
      </c>
      <c r="G1231" s="211" t="s">
        <v>43</v>
      </c>
      <c r="H1231" s="117" t="s">
        <v>2540</v>
      </c>
      <c r="I1231" s="35"/>
      <c r="J1231" s="36"/>
      <c r="K1231" s="36"/>
      <c r="L1231" s="36"/>
      <c r="M1231" s="36"/>
      <c r="N1231" s="36"/>
      <c r="O1231" s="36"/>
      <c r="P1231" s="36"/>
      <c r="Q1231" s="36"/>
      <c r="R1231" s="36"/>
      <c r="S1231" s="36"/>
      <c r="T1231" s="36"/>
      <c r="U1231" s="36"/>
      <c r="V1231" s="36"/>
      <c r="W1231" s="36"/>
      <c r="X1231" s="36"/>
      <c r="Y1231" s="36"/>
      <c r="Z1231" s="36"/>
      <c r="AA1231" s="36"/>
      <c r="AB1231" s="36"/>
    </row>
    <row r="1232" spans="1:28" ht="24" hidden="1" customHeight="1">
      <c r="A1232" s="207" t="s">
        <v>2424</v>
      </c>
      <c r="B1232" s="117">
        <v>1995</v>
      </c>
      <c r="C1232" s="117" t="s">
        <v>57</v>
      </c>
      <c r="D1232" s="195" t="s">
        <v>2584</v>
      </c>
      <c r="E1232" s="117" t="s">
        <v>2585</v>
      </c>
      <c r="F1232" s="117" t="s">
        <v>97</v>
      </c>
      <c r="G1232" s="211" t="s">
        <v>43</v>
      </c>
      <c r="H1232" s="117" t="s">
        <v>2540</v>
      </c>
      <c r="I1232" s="35"/>
      <c r="J1232" s="36"/>
      <c r="K1232" s="36"/>
      <c r="L1232" s="36"/>
      <c r="M1232" s="36"/>
      <c r="N1232" s="36"/>
      <c r="O1232" s="36"/>
      <c r="P1232" s="36"/>
      <c r="Q1232" s="36"/>
      <c r="R1232" s="36"/>
      <c r="S1232" s="36"/>
      <c r="T1232" s="36"/>
      <c r="U1232" s="36"/>
      <c r="V1232" s="36"/>
      <c r="W1232" s="36"/>
      <c r="X1232" s="36"/>
      <c r="Y1232" s="36"/>
      <c r="Z1232" s="36"/>
      <c r="AA1232" s="36"/>
      <c r="AB1232" s="36"/>
    </row>
    <row r="1233" spans="1:28" ht="36" hidden="1" customHeight="1">
      <c r="A1233" s="207" t="s">
        <v>2586</v>
      </c>
      <c r="B1233" s="117">
        <v>2004</v>
      </c>
      <c r="C1233" s="117" t="s">
        <v>61</v>
      </c>
      <c r="D1233" s="195" t="s">
        <v>2587</v>
      </c>
      <c r="E1233" s="117" t="s">
        <v>41</v>
      </c>
      <c r="F1233" s="117" t="s">
        <v>97</v>
      </c>
      <c r="G1233" s="211" t="s">
        <v>43</v>
      </c>
      <c r="H1233" s="117" t="s">
        <v>2540</v>
      </c>
      <c r="I1233" s="35"/>
      <c r="J1233" s="36"/>
      <c r="K1233" s="36"/>
      <c r="L1233" s="36"/>
      <c r="M1233" s="36"/>
      <c r="N1233" s="36"/>
      <c r="O1233" s="36"/>
      <c r="P1233" s="36"/>
      <c r="Q1233" s="36"/>
      <c r="R1233" s="36"/>
      <c r="S1233" s="36"/>
      <c r="T1233" s="36"/>
      <c r="U1233" s="36"/>
      <c r="V1233" s="36"/>
      <c r="W1233" s="36"/>
      <c r="X1233" s="36"/>
      <c r="Y1233" s="36"/>
      <c r="Z1233" s="36"/>
      <c r="AA1233" s="36"/>
      <c r="AB1233" s="36"/>
    </row>
    <row r="1234" spans="1:28" ht="48" hidden="1" customHeight="1">
      <c r="A1234" s="207" t="s">
        <v>2588</v>
      </c>
      <c r="B1234" s="117">
        <v>2006</v>
      </c>
      <c r="C1234" s="117" t="s">
        <v>61</v>
      </c>
      <c r="D1234" s="195" t="s">
        <v>2589</v>
      </c>
      <c r="E1234" s="117" t="s">
        <v>2590</v>
      </c>
      <c r="F1234" s="117" t="s">
        <v>97</v>
      </c>
      <c r="G1234" s="211" t="s">
        <v>43</v>
      </c>
      <c r="H1234" s="117" t="s">
        <v>2540</v>
      </c>
      <c r="I1234" s="35"/>
      <c r="J1234" s="36"/>
      <c r="K1234" s="36"/>
      <c r="L1234" s="36"/>
      <c r="M1234" s="36"/>
      <c r="N1234" s="36"/>
      <c r="O1234" s="36"/>
      <c r="P1234" s="36"/>
      <c r="Q1234" s="36"/>
      <c r="R1234" s="36"/>
      <c r="S1234" s="36"/>
      <c r="T1234" s="36"/>
      <c r="U1234" s="36"/>
      <c r="V1234" s="36"/>
      <c r="W1234" s="36"/>
      <c r="X1234" s="36"/>
      <c r="Y1234" s="36"/>
      <c r="Z1234" s="36"/>
      <c r="AA1234" s="36"/>
      <c r="AB1234" s="36"/>
    </row>
    <row r="1235" spans="1:28" ht="48" hidden="1" customHeight="1">
      <c r="A1235" s="207" t="s">
        <v>2591</v>
      </c>
      <c r="B1235" s="117">
        <v>2009</v>
      </c>
      <c r="C1235" s="117" t="s">
        <v>61</v>
      </c>
      <c r="D1235" s="195" t="s">
        <v>2592</v>
      </c>
      <c r="E1235" s="117" t="s">
        <v>41</v>
      </c>
      <c r="F1235" s="117" t="s">
        <v>97</v>
      </c>
      <c r="G1235" s="211" t="s">
        <v>43</v>
      </c>
      <c r="H1235" s="117" t="s">
        <v>2540</v>
      </c>
      <c r="I1235" s="35"/>
      <c r="J1235" s="36"/>
      <c r="K1235" s="36"/>
      <c r="L1235" s="36"/>
      <c r="M1235" s="36"/>
      <c r="N1235" s="36"/>
      <c r="O1235" s="36"/>
      <c r="P1235" s="36"/>
      <c r="Q1235" s="36"/>
      <c r="R1235" s="36"/>
      <c r="S1235" s="36"/>
      <c r="T1235" s="36"/>
      <c r="U1235" s="36"/>
      <c r="V1235" s="36"/>
      <c r="W1235" s="36"/>
      <c r="X1235" s="36"/>
      <c r="Y1235" s="36"/>
      <c r="Z1235" s="36"/>
      <c r="AA1235" s="36"/>
      <c r="AB1235" s="36"/>
    </row>
    <row r="1236" spans="1:28" ht="36" hidden="1" customHeight="1">
      <c r="A1236" s="207" t="s">
        <v>2593</v>
      </c>
      <c r="B1236" s="117">
        <v>2013</v>
      </c>
      <c r="C1236" s="117" t="s">
        <v>61</v>
      </c>
      <c r="D1236" s="195" t="s">
        <v>2594</v>
      </c>
      <c r="E1236" s="117" t="s">
        <v>41</v>
      </c>
      <c r="F1236" s="117" t="s">
        <v>97</v>
      </c>
      <c r="G1236" s="211" t="s">
        <v>43</v>
      </c>
      <c r="H1236" s="117" t="s">
        <v>2540</v>
      </c>
      <c r="I1236" s="35"/>
      <c r="J1236" s="36"/>
      <c r="K1236" s="36"/>
      <c r="L1236" s="36"/>
      <c r="M1236" s="36"/>
      <c r="N1236" s="36"/>
      <c r="O1236" s="36"/>
      <c r="P1236" s="36"/>
      <c r="Q1236" s="36"/>
      <c r="R1236" s="36"/>
      <c r="S1236" s="36"/>
      <c r="T1236" s="36"/>
      <c r="U1236" s="36"/>
      <c r="V1236" s="36"/>
      <c r="W1236" s="36"/>
      <c r="X1236" s="36"/>
      <c r="Y1236" s="36"/>
      <c r="Z1236" s="36"/>
      <c r="AA1236" s="36"/>
      <c r="AB1236" s="36"/>
    </row>
    <row r="1237" spans="1:28" ht="36" hidden="1" customHeight="1">
      <c r="A1237" s="207" t="s">
        <v>2449</v>
      </c>
      <c r="B1237" s="117">
        <v>2014</v>
      </c>
      <c r="C1237" s="197" t="s">
        <v>57</v>
      </c>
      <c r="D1237" s="195" t="s">
        <v>2595</v>
      </c>
      <c r="E1237" s="117" t="s">
        <v>41</v>
      </c>
      <c r="F1237" s="117" t="s">
        <v>97</v>
      </c>
      <c r="G1237" s="206" t="s">
        <v>43</v>
      </c>
      <c r="H1237" s="117" t="s">
        <v>2540</v>
      </c>
      <c r="I1237" s="35"/>
      <c r="J1237" s="36"/>
      <c r="K1237" s="36"/>
      <c r="L1237" s="36"/>
      <c r="M1237" s="36"/>
      <c r="N1237" s="36"/>
      <c r="O1237" s="36"/>
      <c r="P1237" s="36"/>
      <c r="Q1237" s="36"/>
      <c r="R1237" s="36"/>
      <c r="S1237" s="36"/>
      <c r="T1237" s="36"/>
      <c r="U1237" s="36"/>
      <c r="V1237" s="36"/>
      <c r="W1237" s="36"/>
      <c r="X1237" s="36"/>
      <c r="Y1237" s="36"/>
      <c r="Z1237" s="36"/>
      <c r="AA1237" s="36"/>
      <c r="AB1237" s="36"/>
    </row>
    <row r="1238" spans="1:28" ht="60" hidden="1" customHeight="1">
      <c r="A1238" s="207" t="s">
        <v>2596</v>
      </c>
      <c r="B1238" s="117">
        <v>2015</v>
      </c>
      <c r="C1238" s="117" t="s">
        <v>2597</v>
      </c>
      <c r="D1238" s="195" t="s">
        <v>2598</v>
      </c>
      <c r="E1238" s="117" t="s">
        <v>41</v>
      </c>
      <c r="F1238" s="117" t="s">
        <v>97</v>
      </c>
      <c r="G1238" s="211" t="s">
        <v>43</v>
      </c>
      <c r="H1238" s="117" t="s">
        <v>2540</v>
      </c>
      <c r="I1238" s="36"/>
      <c r="J1238" s="36"/>
      <c r="K1238" s="36"/>
      <c r="L1238" s="36"/>
      <c r="M1238" s="36"/>
      <c r="N1238" s="36"/>
      <c r="O1238" s="36"/>
      <c r="P1238" s="36"/>
      <c r="Q1238" s="36"/>
      <c r="R1238" s="36"/>
      <c r="S1238" s="36"/>
      <c r="T1238" s="36"/>
      <c r="U1238" s="36"/>
      <c r="V1238" s="36"/>
      <c r="W1238" s="36"/>
      <c r="X1238" s="36"/>
      <c r="Y1238" s="36"/>
      <c r="Z1238" s="36"/>
      <c r="AA1238" s="36"/>
      <c r="AB1238" s="36"/>
    </row>
    <row r="1239" spans="1:28" ht="24" hidden="1" customHeight="1">
      <c r="A1239" s="207" t="s">
        <v>298</v>
      </c>
      <c r="B1239" s="206">
        <v>2015</v>
      </c>
      <c r="C1239" s="117" t="s">
        <v>57</v>
      </c>
      <c r="D1239" s="195" t="s">
        <v>299</v>
      </c>
      <c r="E1239" s="117" t="s">
        <v>41</v>
      </c>
      <c r="F1239" s="117" t="s">
        <v>97</v>
      </c>
      <c r="G1239" s="211" t="s">
        <v>43</v>
      </c>
      <c r="H1239" s="117" t="s">
        <v>2540</v>
      </c>
      <c r="I1239" s="35"/>
      <c r="J1239" s="36"/>
      <c r="K1239" s="36"/>
      <c r="L1239" s="36"/>
      <c r="M1239" s="36"/>
      <c r="N1239" s="36"/>
      <c r="O1239" s="36"/>
      <c r="P1239" s="36"/>
      <c r="Q1239" s="36"/>
      <c r="R1239" s="36"/>
      <c r="S1239" s="36"/>
      <c r="T1239" s="36"/>
      <c r="U1239" s="36"/>
      <c r="V1239" s="36"/>
      <c r="W1239" s="36"/>
      <c r="X1239" s="36"/>
      <c r="Y1239" s="36"/>
      <c r="Z1239" s="36"/>
      <c r="AA1239" s="36"/>
      <c r="AB1239" s="36"/>
    </row>
    <row r="1240" spans="1:28" ht="60" hidden="1" customHeight="1">
      <c r="A1240" s="207" t="s">
        <v>1425</v>
      </c>
      <c r="B1240" s="117">
        <v>2015</v>
      </c>
      <c r="C1240" s="117" t="s">
        <v>57</v>
      </c>
      <c r="D1240" s="195" t="s">
        <v>96</v>
      </c>
      <c r="E1240" s="117" t="s">
        <v>41</v>
      </c>
      <c r="F1240" s="117" t="s">
        <v>97</v>
      </c>
      <c r="G1240" s="211" t="s">
        <v>43</v>
      </c>
      <c r="H1240" s="117" t="s">
        <v>2540</v>
      </c>
      <c r="I1240" s="35"/>
      <c r="J1240" s="36"/>
      <c r="K1240" s="36"/>
      <c r="L1240" s="36"/>
      <c r="M1240" s="36"/>
      <c r="N1240" s="36"/>
      <c r="O1240" s="36"/>
      <c r="P1240" s="36"/>
      <c r="Q1240" s="36"/>
      <c r="R1240" s="36"/>
      <c r="S1240" s="36"/>
      <c r="T1240" s="36"/>
      <c r="U1240" s="36"/>
      <c r="V1240" s="36"/>
      <c r="W1240" s="36"/>
      <c r="X1240" s="36"/>
      <c r="Y1240" s="36"/>
      <c r="Z1240" s="36"/>
      <c r="AA1240" s="36"/>
      <c r="AB1240" s="36"/>
    </row>
    <row r="1241" spans="1:28" ht="48" hidden="1" customHeight="1">
      <c r="A1241" s="207" t="s">
        <v>2599</v>
      </c>
      <c r="B1241" s="117">
        <v>2012</v>
      </c>
      <c r="C1241" s="117" t="s">
        <v>57</v>
      </c>
      <c r="D1241" s="195" t="s">
        <v>2600</v>
      </c>
      <c r="E1241" s="117" t="s">
        <v>41</v>
      </c>
      <c r="F1241" s="117" t="s">
        <v>97</v>
      </c>
      <c r="G1241" s="211" t="s">
        <v>43</v>
      </c>
      <c r="H1241" s="117" t="s">
        <v>2540</v>
      </c>
      <c r="I1241" s="35"/>
      <c r="J1241" s="36"/>
      <c r="K1241" s="36"/>
      <c r="L1241" s="36"/>
      <c r="M1241" s="36"/>
      <c r="N1241" s="36"/>
      <c r="O1241" s="36"/>
      <c r="P1241" s="36"/>
      <c r="Q1241" s="36"/>
      <c r="R1241" s="36"/>
      <c r="S1241" s="36"/>
      <c r="T1241" s="36"/>
      <c r="U1241" s="36"/>
      <c r="V1241" s="36"/>
      <c r="W1241" s="36"/>
      <c r="X1241" s="36"/>
      <c r="Y1241" s="36"/>
      <c r="Z1241" s="36"/>
      <c r="AA1241" s="36"/>
      <c r="AB1241" s="36"/>
    </row>
    <row r="1242" spans="1:28" ht="48" hidden="1" customHeight="1">
      <c r="A1242" s="207" t="s">
        <v>2601</v>
      </c>
      <c r="B1242" s="117">
        <v>2012</v>
      </c>
      <c r="C1242" s="117" t="s">
        <v>57</v>
      </c>
      <c r="D1242" s="195" t="s">
        <v>2602</v>
      </c>
      <c r="E1242" s="117" t="s">
        <v>41</v>
      </c>
      <c r="F1242" s="117" t="s">
        <v>97</v>
      </c>
      <c r="G1242" s="211" t="s">
        <v>43</v>
      </c>
      <c r="H1242" s="117" t="s">
        <v>2540</v>
      </c>
      <c r="I1242" s="35"/>
      <c r="J1242" s="36"/>
      <c r="K1242" s="36"/>
      <c r="L1242" s="36"/>
      <c r="M1242" s="36"/>
      <c r="N1242" s="36"/>
      <c r="O1242" s="36"/>
      <c r="P1242" s="36"/>
      <c r="Q1242" s="36"/>
      <c r="R1242" s="36"/>
      <c r="S1242" s="36"/>
      <c r="T1242" s="36"/>
      <c r="U1242" s="36"/>
      <c r="V1242" s="36"/>
      <c r="W1242" s="36"/>
      <c r="X1242" s="36"/>
      <c r="Y1242" s="36"/>
      <c r="Z1242" s="36"/>
      <c r="AA1242" s="36"/>
      <c r="AB1242" s="36"/>
    </row>
    <row r="1243" spans="1:28" ht="60" hidden="1" customHeight="1">
      <c r="A1243" s="207" t="s">
        <v>2603</v>
      </c>
      <c r="B1243" s="117">
        <v>2013</v>
      </c>
      <c r="C1243" s="117" t="s">
        <v>57</v>
      </c>
      <c r="D1243" s="195" t="s">
        <v>2604</v>
      </c>
      <c r="E1243" s="117" t="s">
        <v>41</v>
      </c>
      <c r="F1243" s="117" t="s">
        <v>97</v>
      </c>
      <c r="G1243" s="211" t="s">
        <v>43</v>
      </c>
      <c r="H1243" s="117" t="s">
        <v>2540</v>
      </c>
      <c r="I1243" s="35"/>
      <c r="J1243" s="36"/>
      <c r="K1243" s="36"/>
      <c r="L1243" s="36"/>
      <c r="M1243" s="36"/>
      <c r="N1243" s="36"/>
      <c r="O1243" s="36"/>
      <c r="P1243" s="36"/>
      <c r="Q1243" s="36"/>
      <c r="R1243" s="36"/>
      <c r="S1243" s="36"/>
      <c r="T1243" s="36"/>
      <c r="U1243" s="36"/>
      <c r="V1243" s="36"/>
      <c r="W1243" s="36"/>
      <c r="X1243" s="36"/>
      <c r="Y1243" s="36"/>
      <c r="Z1243" s="36"/>
      <c r="AA1243" s="36"/>
      <c r="AB1243" s="36"/>
    </row>
    <row r="1244" spans="1:28" ht="48" hidden="1" customHeight="1">
      <c r="A1244" s="207" t="s">
        <v>2605</v>
      </c>
      <c r="B1244" s="117">
        <v>2013</v>
      </c>
      <c r="C1244" s="193" t="s">
        <v>57</v>
      </c>
      <c r="D1244" s="195" t="s">
        <v>2606</v>
      </c>
      <c r="E1244" s="198" t="s">
        <v>41</v>
      </c>
      <c r="F1244" s="117" t="s">
        <v>97</v>
      </c>
      <c r="G1244" s="211" t="s">
        <v>43</v>
      </c>
      <c r="H1244" s="117" t="s">
        <v>2540</v>
      </c>
      <c r="I1244" s="35"/>
      <c r="J1244" s="36"/>
      <c r="K1244" s="36"/>
      <c r="L1244" s="36"/>
      <c r="M1244" s="36"/>
      <c r="N1244" s="36"/>
      <c r="O1244" s="36"/>
      <c r="P1244" s="36"/>
      <c r="Q1244" s="36"/>
      <c r="R1244" s="36"/>
      <c r="S1244" s="36"/>
      <c r="T1244" s="36"/>
      <c r="U1244" s="36"/>
      <c r="V1244" s="36"/>
      <c r="W1244" s="36"/>
      <c r="X1244" s="36"/>
      <c r="Y1244" s="36"/>
      <c r="Z1244" s="36"/>
      <c r="AA1244" s="36"/>
      <c r="AB1244" s="36"/>
    </row>
    <row r="1245" spans="1:28" ht="36" hidden="1" customHeight="1">
      <c r="A1245" s="207" t="s">
        <v>2607</v>
      </c>
      <c r="B1245" s="117">
        <v>2018</v>
      </c>
      <c r="C1245" s="117" t="s">
        <v>2608</v>
      </c>
      <c r="D1245" s="195" t="s">
        <v>2609</v>
      </c>
      <c r="E1245" s="117" t="s">
        <v>41</v>
      </c>
      <c r="F1245" s="117" t="s">
        <v>97</v>
      </c>
      <c r="G1245" s="211" t="s">
        <v>43</v>
      </c>
      <c r="H1245" s="117" t="s">
        <v>2540</v>
      </c>
      <c r="I1245" s="36"/>
      <c r="J1245" s="36"/>
      <c r="K1245" s="36"/>
      <c r="L1245" s="36"/>
      <c r="M1245" s="36"/>
      <c r="N1245" s="36"/>
      <c r="O1245" s="36"/>
      <c r="P1245" s="36"/>
      <c r="Q1245" s="36"/>
      <c r="R1245" s="36"/>
      <c r="S1245" s="36"/>
      <c r="T1245" s="36"/>
      <c r="U1245" s="36"/>
      <c r="V1245" s="36"/>
      <c r="W1245" s="36"/>
      <c r="X1245" s="36"/>
      <c r="Y1245" s="36"/>
      <c r="Z1245" s="36"/>
      <c r="AA1245" s="36"/>
      <c r="AB1245" s="36"/>
    </row>
    <row r="1246" spans="1:28" ht="21" hidden="1" customHeight="1">
      <c r="A1246" s="208" t="s">
        <v>2610</v>
      </c>
      <c r="B1246" s="117">
        <v>2018</v>
      </c>
      <c r="C1246" s="117" t="s">
        <v>61</v>
      </c>
      <c r="D1246" s="195" t="s">
        <v>2611</v>
      </c>
      <c r="E1246" s="117" t="s">
        <v>41</v>
      </c>
      <c r="F1246" s="117" t="s">
        <v>97</v>
      </c>
      <c r="G1246" s="211" t="s">
        <v>43</v>
      </c>
      <c r="H1246" s="117" t="s">
        <v>2540</v>
      </c>
      <c r="I1246" s="36"/>
      <c r="J1246" s="36"/>
      <c r="K1246" s="36"/>
      <c r="L1246" s="36"/>
      <c r="M1246" s="36"/>
      <c r="N1246" s="36"/>
      <c r="O1246" s="36"/>
      <c r="P1246" s="36"/>
      <c r="Q1246" s="36"/>
      <c r="R1246" s="36"/>
      <c r="S1246" s="36"/>
      <c r="T1246" s="36"/>
      <c r="U1246" s="36"/>
      <c r="V1246" s="36"/>
      <c r="W1246" s="36"/>
      <c r="X1246" s="36"/>
      <c r="Y1246" s="36"/>
      <c r="Z1246" s="36"/>
      <c r="AA1246" s="36"/>
      <c r="AB1246" s="36"/>
    </row>
    <row r="1247" spans="1:28" ht="24" hidden="1" customHeight="1">
      <c r="A1247" s="199" t="s">
        <v>2612</v>
      </c>
      <c r="B1247" s="198">
        <v>1994</v>
      </c>
      <c r="C1247" s="117" t="s">
        <v>2458</v>
      </c>
      <c r="D1247" s="195" t="s">
        <v>2613</v>
      </c>
      <c r="E1247" s="117" t="s">
        <v>41</v>
      </c>
      <c r="F1247" s="117" t="s">
        <v>97</v>
      </c>
      <c r="G1247" s="211" t="s">
        <v>43</v>
      </c>
      <c r="H1247" s="117" t="s">
        <v>2540</v>
      </c>
      <c r="I1247" s="35"/>
      <c r="J1247" s="36"/>
      <c r="K1247" s="36"/>
      <c r="L1247" s="36"/>
      <c r="M1247" s="36"/>
      <c r="N1247" s="36"/>
      <c r="O1247" s="36"/>
      <c r="P1247" s="36"/>
      <c r="Q1247" s="36"/>
      <c r="R1247" s="36"/>
      <c r="S1247" s="36"/>
      <c r="T1247" s="36"/>
      <c r="U1247" s="36"/>
      <c r="V1247" s="36"/>
      <c r="W1247" s="36"/>
      <c r="X1247" s="36"/>
      <c r="Y1247" s="36"/>
      <c r="Z1247" s="36"/>
      <c r="AA1247" s="36"/>
      <c r="AB1247" s="36"/>
    </row>
    <row r="1248" spans="1:28" ht="36" hidden="1" customHeight="1">
      <c r="A1248" s="199" t="s">
        <v>858</v>
      </c>
      <c r="B1248" s="198">
        <v>1995</v>
      </c>
      <c r="C1248" s="117" t="s">
        <v>2458</v>
      </c>
      <c r="D1248" s="195" t="s">
        <v>2614</v>
      </c>
      <c r="E1248" s="117" t="s">
        <v>41</v>
      </c>
      <c r="F1248" s="117" t="s">
        <v>97</v>
      </c>
      <c r="G1248" s="211" t="s">
        <v>43</v>
      </c>
      <c r="H1248" s="117" t="s">
        <v>2540</v>
      </c>
      <c r="I1248" s="35"/>
      <c r="J1248" s="36"/>
      <c r="K1248" s="36"/>
      <c r="L1248" s="36"/>
      <c r="M1248" s="36"/>
      <c r="N1248" s="36"/>
      <c r="O1248" s="36"/>
      <c r="P1248" s="36"/>
      <c r="Q1248" s="36"/>
      <c r="R1248" s="36"/>
      <c r="S1248" s="36"/>
      <c r="T1248" s="36"/>
      <c r="U1248" s="36"/>
      <c r="V1248" s="36"/>
      <c r="W1248" s="36"/>
      <c r="X1248" s="36"/>
      <c r="Y1248" s="36"/>
      <c r="Z1248" s="36"/>
      <c r="AA1248" s="36"/>
      <c r="AB1248" s="36"/>
    </row>
    <row r="1249" spans="1:28" ht="24" hidden="1" customHeight="1">
      <c r="A1249" s="199" t="s">
        <v>2615</v>
      </c>
      <c r="B1249" s="198">
        <v>1996</v>
      </c>
      <c r="C1249" s="117" t="s">
        <v>2458</v>
      </c>
      <c r="D1249" s="195" t="s">
        <v>2616</v>
      </c>
      <c r="E1249" s="117" t="s">
        <v>41</v>
      </c>
      <c r="F1249" s="117" t="s">
        <v>97</v>
      </c>
      <c r="G1249" s="211" t="s">
        <v>43</v>
      </c>
      <c r="H1249" s="117" t="s">
        <v>2540</v>
      </c>
      <c r="I1249" s="35"/>
      <c r="J1249" s="36"/>
      <c r="K1249" s="36"/>
      <c r="L1249" s="36"/>
      <c r="M1249" s="36"/>
      <c r="N1249" s="36"/>
      <c r="O1249" s="36"/>
      <c r="P1249" s="36"/>
      <c r="Q1249" s="36"/>
      <c r="R1249" s="36"/>
      <c r="S1249" s="36"/>
      <c r="T1249" s="36"/>
      <c r="U1249" s="36"/>
      <c r="V1249" s="36"/>
      <c r="W1249" s="36"/>
      <c r="X1249" s="36"/>
      <c r="Y1249" s="36"/>
      <c r="Z1249" s="36"/>
      <c r="AA1249" s="36"/>
      <c r="AB1249" s="36"/>
    </row>
    <row r="1250" spans="1:28" ht="36" hidden="1" customHeight="1">
      <c r="A1250" s="199" t="s">
        <v>2617</v>
      </c>
      <c r="B1250" s="198">
        <v>2000</v>
      </c>
      <c r="C1250" s="117" t="s">
        <v>2458</v>
      </c>
      <c r="D1250" s="195" t="s">
        <v>2618</v>
      </c>
      <c r="E1250" s="117" t="s">
        <v>41</v>
      </c>
      <c r="F1250" s="117" t="s">
        <v>97</v>
      </c>
      <c r="G1250" s="211" t="s">
        <v>43</v>
      </c>
      <c r="H1250" s="117" t="s">
        <v>2540</v>
      </c>
      <c r="I1250" s="35"/>
      <c r="J1250" s="36"/>
      <c r="K1250" s="36"/>
      <c r="L1250" s="36"/>
      <c r="M1250" s="36"/>
      <c r="N1250" s="36"/>
      <c r="O1250" s="36"/>
      <c r="P1250" s="36"/>
      <c r="Q1250" s="36"/>
      <c r="R1250" s="36"/>
      <c r="S1250" s="36"/>
      <c r="T1250" s="36"/>
      <c r="U1250" s="36"/>
      <c r="V1250" s="36"/>
      <c r="W1250" s="36"/>
      <c r="X1250" s="36"/>
      <c r="Y1250" s="36"/>
      <c r="Z1250" s="36"/>
      <c r="AA1250" s="36"/>
      <c r="AB1250" s="36"/>
    </row>
    <row r="1251" spans="1:28" ht="36" hidden="1" customHeight="1">
      <c r="A1251" s="199" t="s">
        <v>2619</v>
      </c>
      <c r="B1251" s="198">
        <v>2000</v>
      </c>
      <c r="C1251" s="117" t="s">
        <v>2458</v>
      </c>
      <c r="D1251" s="195" t="s">
        <v>2620</v>
      </c>
      <c r="E1251" s="117" t="s">
        <v>41</v>
      </c>
      <c r="F1251" s="117" t="s">
        <v>97</v>
      </c>
      <c r="G1251" s="211" t="s">
        <v>43</v>
      </c>
      <c r="H1251" s="117" t="s">
        <v>2540</v>
      </c>
      <c r="I1251" s="35"/>
      <c r="J1251" s="36"/>
      <c r="K1251" s="36"/>
      <c r="L1251" s="36"/>
      <c r="M1251" s="36"/>
      <c r="N1251" s="36"/>
      <c r="O1251" s="36"/>
      <c r="P1251" s="36"/>
      <c r="Q1251" s="36"/>
      <c r="R1251" s="36"/>
      <c r="S1251" s="36"/>
      <c r="T1251" s="36"/>
      <c r="U1251" s="36"/>
      <c r="V1251" s="36"/>
      <c r="W1251" s="36"/>
      <c r="X1251" s="36"/>
      <c r="Y1251" s="36"/>
      <c r="Z1251" s="36"/>
      <c r="AA1251" s="36"/>
      <c r="AB1251" s="36"/>
    </row>
    <row r="1252" spans="1:28" ht="36" hidden="1" customHeight="1">
      <c r="A1252" s="199" t="s">
        <v>2621</v>
      </c>
      <c r="B1252" s="198">
        <v>2000</v>
      </c>
      <c r="C1252" s="117" t="s">
        <v>2458</v>
      </c>
      <c r="D1252" s="195" t="s">
        <v>2622</v>
      </c>
      <c r="E1252" s="117" t="s">
        <v>41</v>
      </c>
      <c r="F1252" s="117" t="s">
        <v>97</v>
      </c>
      <c r="G1252" s="211" t="s">
        <v>43</v>
      </c>
      <c r="H1252" s="117" t="s">
        <v>2540</v>
      </c>
      <c r="I1252" s="35"/>
      <c r="J1252" s="36"/>
      <c r="K1252" s="36"/>
      <c r="L1252" s="36"/>
      <c r="M1252" s="36"/>
      <c r="N1252" s="36"/>
      <c r="O1252" s="36"/>
      <c r="P1252" s="36"/>
      <c r="Q1252" s="36"/>
      <c r="R1252" s="36"/>
      <c r="S1252" s="36"/>
      <c r="T1252" s="36"/>
      <c r="U1252" s="36"/>
      <c r="V1252" s="36"/>
      <c r="W1252" s="36"/>
      <c r="X1252" s="36"/>
      <c r="Y1252" s="36"/>
      <c r="Z1252" s="36"/>
      <c r="AA1252" s="36"/>
      <c r="AB1252" s="36"/>
    </row>
    <row r="1253" spans="1:28" ht="36" hidden="1" customHeight="1">
      <c r="A1253" s="199" t="s">
        <v>2623</v>
      </c>
      <c r="B1253" s="198">
        <v>2000</v>
      </c>
      <c r="C1253" s="117" t="s">
        <v>2458</v>
      </c>
      <c r="D1253" s="195" t="s">
        <v>2624</v>
      </c>
      <c r="E1253" s="117" t="s">
        <v>41</v>
      </c>
      <c r="F1253" s="117" t="s">
        <v>97</v>
      </c>
      <c r="G1253" s="211" t="s">
        <v>43</v>
      </c>
      <c r="H1253" s="117" t="s">
        <v>2540</v>
      </c>
      <c r="I1253" s="35"/>
      <c r="J1253" s="36"/>
      <c r="K1253" s="36"/>
      <c r="L1253" s="36"/>
      <c r="M1253" s="36"/>
      <c r="N1253" s="36"/>
      <c r="O1253" s="36"/>
      <c r="P1253" s="36"/>
      <c r="Q1253" s="36"/>
      <c r="R1253" s="36"/>
      <c r="S1253" s="36"/>
      <c r="T1253" s="36"/>
      <c r="U1253" s="36"/>
      <c r="V1253" s="36"/>
      <c r="W1253" s="36"/>
      <c r="X1253" s="36"/>
      <c r="Y1253" s="36"/>
      <c r="Z1253" s="36"/>
      <c r="AA1253" s="36"/>
      <c r="AB1253" s="36"/>
    </row>
    <row r="1254" spans="1:28" ht="36" hidden="1" customHeight="1">
      <c r="A1254" s="199" t="s">
        <v>2625</v>
      </c>
      <c r="B1254" s="198">
        <v>2000</v>
      </c>
      <c r="C1254" s="117" t="s">
        <v>2458</v>
      </c>
      <c r="D1254" s="195" t="s">
        <v>2626</v>
      </c>
      <c r="E1254" s="117" t="s">
        <v>41</v>
      </c>
      <c r="F1254" s="117" t="s">
        <v>97</v>
      </c>
      <c r="G1254" s="211" t="s">
        <v>43</v>
      </c>
      <c r="H1254" s="117" t="s">
        <v>2540</v>
      </c>
      <c r="I1254" s="35"/>
      <c r="J1254" s="36"/>
      <c r="K1254" s="36"/>
      <c r="L1254" s="36"/>
      <c r="M1254" s="36"/>
      <c r="N1254" s="36"/>
      <c r="O1254" s="36"/>
      <c r="P1254" s="36"/>
      <c r="Q1254" s="36"/>
      <c r="R1254" s="36"/>
      <c r="S1254" s="36"/>
      <c r="T1254" s="36"/>
      <c r="U1254" s="36"/>
      <c r="V1254" s="36"/>
      <c r="W1254" s="36"/>
      <c r="X1254" s="36"/>
      <c r="Y1254" s="36"/>
      <c r="Z1254" s="36"/>
      <c r="AA1254" s="36"/>
      <c r="AB1254" s="36"/>
    </row>
    <row r="1255" spans="1:28" ht="36" hidden="1" customHeight="1">
      <c r="A1255" s="199" t="s">
        <v>2627</v>
      </c>
      <c r="B1255" s="198">
        <v>2001</v>
      </c>
      <c r="C1255" s="117" t="s">
        <v>2458</v>
      </c>
      <c r="D1255" s="195" t="s">
        <v>2628</v>
      </c>
      <c r="E1255" s="117" t="s">
        <v>41</v>
      </c>
      <c r="F1255" s="117" t="s">
        <v>97</v>
      </c>
      <c r="G1255" s="211" t="s">
        <v>43</v>
      </c>
      <c r="H1255" s="117" t="s">
        <v>2540</v>
      </c>
      <c r="I1255" s="35"/>
      <c r="J1255" s="36"/>
      <c r="K1255" s="36"/>
      <c r="L1255" s="36"/>
      <c r="M1255" s="36"/>
      <c r="N1255" s="36"/>
      <c r="O1255" s="36"/>
      <c r="P1255" s="36"/>
      <c r="Q1255" s="36"/>
      <c r="R1255" s="36"/>
      <c r="S1255" s="36"/>
      <c r="T1255" s="36"/>
      <c r="U1255" s="36"/>
      <c r="V1255" s="36"/>
      <c r="W1255" s="36"/>
      <c r="X1255" s="36"/>
      <c r="Y1255" s="36"/>
      <c r="Z1255" s="36"/>
      <c r="AA1255" s="36"/>
      <c r="AB1255" s="36"/>
    </row>
    <row r="1256" spans="1:28" ht="24" hidden="1" customHeight="1">
      <c r="A1256" s="199" t="s">
        <v>2629</v>
      </c>
      <c r="B1256" s="198">
        <v>2002</v>
      </c>
      <c r="C1256" s="117" t="s">
        <v>2458</v>
      </c>
      <c r="D1256" s="195" t="s">
        <v>2630</v>
      </c>
      <c r="E1256" s="117" t="s">
        <v>41</v>
      </c>
      <c r="F1256" s="117" t="s">
        <v>97</v>
      </c>
      <c r="G1256" s="211" t="s">
        <v>43</v>
      </c>
      <c r="H1256" s="117" t="s">
        <v>2540</v>
      </c>
      <c r="I1256" s="35"/>
      <c r="J1256" s="36"/>
      <c r="K1256" s="36"/>
      <c r="L1256" s="36"/>
      <c r="M1256" s="36"/>
      <c r="N1256" s="36"/>
      <c r="O1256" s="36"/>
      <c r="P1256" s="36"/>
      <c r="Q1256" s="36"/>
      <c r="R1256" s="36"/>
      <c r="S1256" s="36"/>
      <c r="T1256" s="36"/>
      <c r="U1256" s="36"/>
      <c r="V1256" s="36"/>
      <c r="W1256" s="36"/>
      <c r="X1256" s="36"/>
      <c r="Y1256" s="36"/>
      <c r="Z1256" s="36"/>
      <c r="AA1256" s="36"/>
      <c r="AB1256" s="36"/>
    </row>
    <row r="1257" spans="1:28" ht="48" hidden="1" customHeight="1">
      <c r="A1257" s="199" t="s">
        <v>2631</v>
      </c>
      <c r="B1257" s="198">
        <v>2002</v>
      </c>
      <c r="C1257" s="117" t="s">
        <v>2458</v>
      </c>
      <c r="D1257" s="195" t="s">
        <v>2632</v>
      </c>
      <c r="E1257" s="117" t="s">
        <v>41</v>
      </c>
      <c r="F1257" s="117" t="s">
        <v>97</v>
      </c>
      <c r="G1257" s="211" t="s">
        <v>43</v>
      </c>
      <c r="H1257" s="117" t="s">
        <v>2540</v>
      </c>
      <c r="I1257" s="35"/>
      <c r="J1257" s="36"/>
      <c r="K1257" s="36"/>
      <c r="L1257" s="36"/>
      <c r="M1257" s="36"/>
      <c r="N1257" s="36"/>
      <c r="O1257" s="36"/>
      <c r="P1257" s="36"/>
      <c r="Q1257" s="36"/>
      <c r="R1257" s="36"/>
      <c r="S1257" s="36"/>
      <c r="T1257" s="36"/>
      <c r="U1257" s="36"/>
      <c r="V1257" s="36"/>
      <c r="W1257" s="36"/>
      <c r="X1257" s="36"/>
      <c r="Y1257" s="36"/>
      <c r="Z1257" s="36"/>
      <c r="AA1257" s="36"/>
      <c r="AB1257" s="36"/>
    </row>
    <row r="1258" spans="1:28" ht="24" hidden="1" customHeight="1">
      <c r="A1258" s="199" t="s">
        <v>2633</v>
      </c>
      <c r="B1258" s="198">
        <v>2004</v>
      </c>
      <c r="C1258" s="117" t="s">
        <v>2458</v>
      </c>
      <c r="D1258" s="195" t="s">
        <v>2634</v>
      </c>
      <c r="E1258" s="117" t="s">
        <v>41</v>
      </c>
      <c r="F1258" s="117" t="s">
        <v>97</v>
      </c>
      <c r="G1258" s="211" t="s">
        <v>43</v>
      </c>
      <c r="H1258" s="117" t="s">
        <v>2540</v>
      </c>
      <c r="I1258" s="35"/>
      <c r="J1258" s="36"/>
      <c r="K1258" s="36"/>
      <c r="L1258" s="36"/>
      <c r="M1258" s="36"/>
      <c r="N1258" s="36"/>
      <c r="O1258" s="36"/>
      <c r="P1258" s="36"/>
      <c r="Q1258" s="36"/>
      <c r="R1258" s="36"/>
      <c r="S1258" s="36"/>
      <c r="T1258" s="36"/>
      <c r="U1258" s="36"/>
      <c r="V1258" s="36"/>
      <c r="W1258" s="36"/>
      <c r="X1258" s="36"/>
      <c r="Y1258" s="36"/>
      <c r="Z1258" s="36"/>
      <c r="AA1258" s="36"/>
      <c r="AB1258" s="36"/>
    </row>
    <row r="1259" spans="1:28" ht="48" hidden="1" customHeight="1">
      <c r="A1259" s="199" t="s">
        <v>243</v>
      </c>
      <c r="B1259" s="198">
        <v>2013</v>
      </c>
      <c r="C1259" s="117" t="s">
        <v>2458</v>
      </c>
      <c r="D1259" s="195" t="s">
        <v>2635</v>
      </c>
      <c r="E1259" s="117" t="s">
        <v>41</v>
      </c>
      <c r="F1259" s="117" t="s">
        <v>97</v>
      </c>
      <c r="G1259" s="211" t="s">
        <v>43</v>
      </c>
      <c r="H1259" s="117" t="s">
        <v>2540</v>
      </c>
      <c r="I1259" s="35"/>
      <c r="J1259" s="36"/>
      <c r="K1259" s="36"/>
      <c r="L1259" s="36"/>
      <c r="M1259" s="36"/>
      <c r="N1259" s="36"/>
      <c r="O1259" s="36"/>
      <c r="P1259" s="36"/>
      <c r="Q1259" s="36"/>
      <c r="R1259" s="36"/>
      <c r="S1259" s="36"/>
      <c r="T1259" s="36"/>
      <c r="U1259" s="36"/>
      <c r="V1259" s="36"/>
      <c r="W1259" s="36"/>
      <c r="X1259" s="36"/>
      <c r="Y1259" s="36"/>
      <c r="Z1259" s="36"/>
      <c r="AA1259" s="36"/>
      <c r="AB1259" s="36"/>
    </row>
    <row r="1260" spans="1:28" ht="48" hidden="1" customHeight="1">
      <c r="A1260" s="199" t="s">
        <v>2636</v>
      </c>
      <c r="B1260" s="198">
        <v>2013</v>
      </c>
      <c r="C1260" s="117" t="s">
        <v>2637</v>
      </c>
      <c r="D1260" s="195" t="s">
        <v>2638</v>
      </c>
      <c r="E1260" s="117" t="s">
        <v>41</v>
      </c>
      <c r="F1260" s="117" t="s">
        <v>97</v>
      </c>
      <c r="G1260" s="211" t="s">
        <v>43</v>
      </c>
      <c r="H1260" s="117" t="s">
        <v>2540</v>
      </c>
      <c r="I1260" s="35"/>
      <c r="J1260" s="36"/>
      <c r="K1260" s="36"/>
      <c r="L1260" s="36"/>
      <c r="M1260" s="36"/>
      <c r="N1260" s="36"/>
      <c r="O1260" s="36"/>
      <c r="P1260" s="36"/>
      <c r="Q1260" s="36"/>
      <c r="R1260" s="36"/>
      <c r="S1260" s="36"/>
      <c r="T1260" s="36"/>
      <c r="U1260" s="36"/>
      <c r="V1260" s="36"/>
      <c r="W1260" s="36"/>
      <c r="X1260" s="36"/>
      <c r="Y1260" s="36"/>
      <c r="Z1260" s="36"/>
      <c r="AA1260" s="36"/>
      <c r="AB1260" s="36"/>
    </row>
    <row r="1261" spans="1:28" ht="36" hidden="1" customHeight="1">
      <c r="A1261" s="199" t="s">
        <v>2633</v>
      </c>
      <c r="B1261" s="198">
        <v>2014</v>
      </c>
      <c r="C1261" s="117" t="s">
        <v>2458</v>
      </c>
      <c r="D1261" s="195" t="s">
        <v>2639</v>
      </c>
      <c r="E1261" s="117" t="s">
        <v>41</v>
      </c>
      <c r="F1261" s="117" t="s">
        <v>97</v>
      </c>
      <c r="G1261" s="211" t="s">
        <v>43</v>
      </c>
      <c r="H1261" s="117" t="s">
        <v>2540</v>
      </c>
      <c r="I1261" s="35"/>
      <c r="J1261" s="36"/>
      <c r="K1261" s="36"/>
      <c r="L1261" s="36"/>
      <c r="M1261" s="36"/>
      <c r="N1261" s="36"/>
      <c r="O1261" s="36"/>
      <c r="P1261" s="36"/>
      <c r="Q1261" s="36"/>
      <c r="R1261" s="36"/>
      <c r="S1261" s="36"/>
      <c r="T1261" s="36"/>
      <c r="U1261" s="36"/>
      <c r="V1261" s="36"/>
      <c r="W1261" s="36"/>
      <c r="X1261" s="36"/>
      <c r="Y1261" s="36"/>
      <c r="Z1261" s="36"/>
      <c r="AA1261" s="36"/>
      <c r="AB1261" s="36"/>
    </row>
    <row r="1262" spans="1:28" ht="24" hidden="1" customHeight="1">
      <c r="A1262" s="199" t="s">
        <v>2330</v>
      </c>
      <c r="B1262" s="198">
        <v>2014</v>
      </c>
      <c r="C1262" s="117" t="s">
        <v>2458</v>
      </c>
      <c r="D1262" s="195" t="s">
        <v>2459</v>
      </c>
      <c r="E1262" s="117" t="s">
        <v>41</v>
      </c>
      <c r="F1262" s="117" t="s">
        <v>97</v>
      </c>
      <c r="G1262" s="211" t="s">
        <v>43</v>
      </c>
      <c r="H1262" s="117" t="s">
        <v>2540</v>
      </c>
      <c r="I1262" s="35"/>
      <c r="J1262" s="36"/>
      <c r="K1262" s="36"/>
      <c r="L1262" s="36"/>
      <c r="M1262" s="36"/>
      <c r="N1262" s="36"/>
      <c r="O1262" s="36"/>
      <c r="P1262" s="36"/>
      <c r="Q1262" s="36"/>
      <c r="R1262" s="36"/>
      <c r="S1262" s="36"/>
      <c r="T1262" s="36"/>
      <c r="U1262" s="36"/>
      <c r="V1262" s="36"/>
      <c r="W1262" s="36"/>
      <c r="X1262" s="36"/>
      <c r="Y1262" s="36"/>
      <c r="Z1262" s="36"/>
      <c r="AA1262" s="36"/>
      <c r="AB1262" s="36"/>
    </row>
    <row r="1263" spans="1:28" ht="24" hidden="1" customHeight="1">
      <c r="A1263" s="199" t="s">
        <v>2612</v>
      </c>
      <c r="B1263" s="198">
        <v>2014</v>
      </c>
      <c r="C1263" s="117" t="s">
        <v>2458</v>
      </c>
      <c r="D1263" s="195" t="s">
        <v>2640</v>
      </c>
      <c r="E1263" s="117" t="s">
        <v>41</v>
      </c>
      <c r="F1263" s="117" t="s">
        <v>97</v>
      </c>
      <c r="G1263" s="211" t="s">
        <v>43</v>
      </c>
      <c r="H1263" s="117" t="s">
        <v>2540</v>
      </c>
      <c r="I1263" s="35"/>
      <c r="J1263" s="36"/>
      <c r="K1263" s="36"/>
      <c r="L1263" s="36"/>
      <c r="M1263" s="36"/>
      <c r="N1263" s="36"/>
      <c r="O1263" s="36"/>
      <c r="P1263" s="36"/>
      <c r="Q1263" s="36"/>
      <c r="R1263" s="36"/>
      <c r="S1263" s="36"/>
      <c r="T1263" s="36"/>
      <c r="U1263" s="36"/>
      <c r="V1263" s="36"/>
      <c r="W1263" s="36"/>
      <c r="X1263" s="36"/>
      <c r="Y1263" s="36"/>
      <c r="Z1263" s="36"/>
      <c r="AA1263" s="36"/>
      <c r="AB1263" s="36"/>
    </row>
    <row r="1264" spans="1:28" ht="60" hidden="1" customHeight="1">
      <c r="A1264" s="199" t="s">
        <v>2641</v>
      </c>
      <c r="B1264" s="198">
        <v>2014</v>
      </c>
      <c r="C1264" s="117" t="s">
        <v>2458</v>
      </c>
      <c r="D1264" s="195" t="s">
        <v>2642</v>
      </c>
      <c r="E1264" s="117" t="s">
        <v>41</v>
      </c>
      <c r="F1264" s="117" t="s">
        <v>97</v>
      </c>
      <c r="G1264" s="211" t="s">
        <v>43</v>
      </c>
      <c r="H1264" s="117" t="s">
        <v>2540</v>
      </c>
      <c r="I1264" s="35"/>
      <c r="J1264" s="36"/>
      <c r="K1264" s="36"/>
      <c r="L1264" s="36"/>
      <c r="M1264" s="36"/>
      <c r="N1264" s="36"/>
      <c r="O1264" s="36"/>
      <c r="P1264" s="36"/>
      <c r="Q1264" s="36"/>
      <c r="R1264" s="36"/>
      <c r="S1264" s="36"/>
      <c r="T1264" s="36"/>
      <c r="U1264" s="36"/>
      <c r="V1264" s="36"/>
      <c r="W1264" s="36"/>
      <c r="X1264" s="36"/>
      <c r="Y1264" s="36"/>
      <c r="Z1264" s="36"/>
      <c r="AA1264" s="36"/>
      <c r="AB1264" s="36"/>
    </row>
    <row r="1265" spans="1:28" ht="72" hidden="1" customHeight="1">
      <c r="A1265" s="199" t="s">
        <v>2460</v>
      </c>
      <c r="B1265" s="198">
        <v>2015</v>
      </c>
      <c r="C1265" s="117" t="s">
        <v>2458</v>
      </c>
      <c r="D1265" s="195" t="s">
        <v>2461</v>
      </c>
      <c r="E1265" s="117" t="s">
        <v>41</v>
      </c>
      <c r="F1265" s="117" t="s">
        <v>97</v>
      </c>
      <c r="G1265" s="211" t="s">
        <v>43</v>
      </c>
      <c r="H1265" s="117" t="s">
        <v>2540</v>
      </c>
      <c r="I1265" s="35"/>
      <c r="J1265" s="36"/>
      <c r="K1265" s="36"/>
      <c r="L1265" s="36"/>
      <c r="M1265" s="36"/>
      <c r="N1265" s="36"/>
      <c r="O1265" s="36"/>
      <c r="P1265" s="36"/>
      <c r="Q1265" s="36"/>
      <c r="R1265" s="36"/>
      <c r="S1265" s="36"/>
      <c r="T1265" s="36"/>
      <c r="U1265" s="36"/>
      <c r="V1265" s="36"/>
      <c r="W1265" s="36"/>
      <c r="X1265" s="36"/>
      <c r="Y1265" s="36"/>
      <c r="Z1265" s="36"/>
      <c r="AA1265" s="36"/>
      <c r="AB1265" s="36"/>
    </row>
    <row r="1266" spans="1:28" ht="48" hidden="1" customHeight="1">
      <c r="A1266" s="199" t="s">
        <v>243</v>
      </c>
      <c r="B1266" s="198">
        <v>2015</v>
      </c>
      <c r="C1266" s="117" t="s">
        <v>2458</v>
      </c>
      <c r="D1266" s="195" t="s">
        <v>2643</v>
      </c>
      <c r="E1266" s="117" t="s">
        <v>41</v>
      </c>
      <c r="F1266" s="117" t="s">
        <v>97</v>
      </c>
      <c r="G1266" s="211" t="s">
        <v>43</v>
      </c>
      <c r="H1266" s="117" t="s">
        <v>2540</v>
      </c>
      <c r="I1266" s="36"/>
      <c r="J1266" s="36"/>
      <c r="K1266" s="36"/>
      <c r="L1266" s="36"/>
      <c r="M1266" s="36"/>
      <c r="N1266" s="36"/>
      <c r="O1266" s="36"/>
      <c r="P1266" s="36"/>
      <c r="Q1266" s="36"/>
      <c r="R1266" s="36"/>
      <c r="S1266" s="36"/>
      <c r="T1266" s="36"/>
      <c r="U1266" s="36"/>
      <c r="V1266" s="36"/>
      <c r="W1266" s="36"/>
      <c r="X1266" s="36"/>
      <c r="Y1266" s="36"/>
      <c r="Z1266" s="36"/>
      <c r="AA1266" s="36"/>
      <c r="AB1266" s="36"/>
    </row>
    <row r="1267" spans="1:28" ht="72" hidden="1" customHeight="1">
      <c r="A1267" s="199" t="s">
        <v>2330</v>
      </c>
      <c r="B1267" s="198">
        <v>2015</v>
      </c>
      <c r="C1267" s="117" t="s">
        <v>2458</v>
      </c>
      <c r="D1267" s="195" t="s">
        <v>2644</v>
      </c>
      <c r="E1267" s="117"/>
      <c r="F1267" s="117" t="s">
        <v>97</v>
      </c>
      <c r="G1267" s="211" t="s">
        <v>43</v>
      </c>
      <c r="H1267" s="117" t="s">
        <v>2540</v>
      </c>
      <c r="I1267" s="36"/>
      <c r="J1267" s="36"/>
      <c r="K1267" s="36"/>
      <c r="L1267" s="36"/>
      <c r="M1267" s="36"/>
      <c r="N1267" s="36"/>
      <c r="O1267" s="36"/>
      <c r="P1267" s="36"/>
      <c r="Q1267" s="36"/>
      <c r="R1267" s="36"/>
      <c r="S1267" s="36"/>
      <c r="T1267" s="36"/>
      <c r="U1267" s="36"/>
      <c r="V1267" s="36"/>
      <c r="W1267" s="36"/>
      <c r="X1267" s="36"/>
      <c r="Y1267" s="36"/>
      <c r="Z1267" s="36"/>
      <c r="AA1267" s="36"/>
      <c r="AB1267" s="36"/>
    </row>
    <row r="1268" spans="1:28" ht="36" hidden="1" customHeight="1">
      <c r="A1268" s="199" t="s">
        <v>2460</v>
      </c>
      <c r="B1268" s="198">
        <v>2017</v>
      </c>
      <c r="C1268" s="117" t="s">
        <v>2458</v>
      </c>
      <c r="D1268" s="195" t="s">
        <v>2645</v>
      </c>
      <c r="E1268" s="117" t="s">
        <v>41</v>
      </c>
      <c r="F1268" s="117" t="s">
        <v>97</v>
      </c>
      <c r="G1268" s="211" t="s">
        <v>43</v>
      </c>
      <c r="H1268" s="117" t="s">
        <v>2540</v>
      </c>
      <c r="I1268" s="36"/>
      <c r="J1268" s="36"/>
      <c r="K1268" s="36"/>
      <c r="L1268" s="36"/>
      <c r="M1268" s="36"/>
      <c r="N1268" s="36"/>
      <c r="O1268" s="36"/>
      <c r="P1268" s="36"/>
      <c r="Q1268" s="36"/>
      <c r="R1268" s="36"/>
      <c r="S1268" s="36"/>
      <c r="T1268" s="36"/>
      <c r="U1268" s="36"/>
      <c r="V1268" s="36"/>
      <c r="W1268" s="36"/>
      <c r="X1268" s="36"/>
      <c r="Y1268" s="36"/>
      <c r="Z1268" s="36"/>
      <c r="AA1268" s="36"/>
      <c r="AB1268" s="36"/>
    </row>
    <row r="1269" spans="1:28" ht="36" hidden="1" customHeight="1">
      <c r="A1269" s="199" t="s">
        <v>2646</v>
      </c>
      <c r="B1269" s="198">
        <v>2018</v>
      </c>
      <c r="C1269" s="117" t="s">
        <v>2458</v>
      </c>
      <c r="D1269" s="195" t="s">
        <v>2647</v>
      </c>
      <c r="E1269" s="117" t="s">
        <v>41</v>
      </c>
      <c r="F1269" s="117" t="s">
        <v>97</v>
      </c>
      <c r="G1269" s="211" t="s">
        <v>43</v>
      </c>
      <c r="H1269" s="117" t="s">
        <v>2540</v>
      </c>
      <c r="I1269" s="36"/>
      <c r="J1269" s="36"/>
      <c r="K1269" s="36"/>
      <c r="L1269" s="36"/>
      <c r="M1269" s="36"/>
      <c r="N1269" s="36"/>
      <c r="O1269" s="36"/>
      <c r="P1269" s="36"/>
      <c r="Q1269" s="36"/>
      <c r="R1269" s="36"/>
      <c r="S1269" s="36"/>
      <c r="T1269" s="36"/>
      <c r="U1269" s="36"/>
      <c r="V1269" s="36"/>
      <c r="W1269" s="36"/>
      <c r="X1269" s="36"/>
      <c r="Y1269" s="36"/>
      <c r="Z1269" s="36"/>
      <c r="AA1269" s="36"/>
      <c r="AB1269" s="36"/>
    </row>
    <row r="1270" spans="1:28" ht="24" hidden="1" customHeight="1">
      <c r="A1270" s="205" t="s">
        <v>2648</v>
      </c>
      <c r="B1270" s="117">
        <v>2004</v>
      </c>
      <c r="C1270" s="117" t="s">
        <v>2649</v>
      </c>
      <c r="D1270" s="195" t="s">
        <v>2650</v>
      </c>
      <c r="E1270" s="117" t="s">
        <v>41</v>
      </c>
      <c r="F1270" s="117" t="s">
        <v>97</v>
      </c>
      <c r="G1270" s="211" t="s">
        <v>43</v>
      </c>
      <c r="H1270" s="117" t="s">
        <v>2540</v>
      </c>
      <c r="I1270" s="35"/>
      <c r="J1270" s="36"/>
      <c r="K1270" s="36"/>
      <c r="L1270" s="36"/>
      <c r="M1270" s="36"/>
      <c r="N1270" s="36"/>
      <c r="O1270" s="36"/>
      <c r="P1270" s="36"/>
      <c r="Q1270" s="36"/>
      <c r="R1270" s="36"/>
      <c r="S1270" s="36"/>
      <c r="T1270" s="36"/>
      <c r="U1270" s="36"/>
      <c r="V1270" s="36"/>
      <c r="W1270" s="36"/>
      <c r="X1270" s="36"/>
      <c r="Y1270" s="36"/>
      <c r="Z1270" s="36"/>
      <c r="AA1270" s="36"/>
      <c r="AB1270" s="36"/>
    </row>
    <row r="1271" spans="1:28" ht="36" hidden="1" customHeight="1">
      <c r="A1271" s="207" t="s">
        <v>2651</v>
      </c>
      <c r="B1271" s="117">
        <v>2006</v>
      </c>
      <c r="C1271" s="117" t="s">
        <v>2652</v>
      </c>
      <c r="D1271" s="195" t="s">
        <v>2653</v>
      </c>
      <c r="E1271" s="117" t="s">
        <v>41</v>
      </c>
      <c r="F1271" s="117" t="s">
        <v>97</v>
      </c>
      <c r="G1271" s="211" t="s">
        <v>43</v>
      </c>
      <c r="H1271" s="117" t="s">
        <v>2540</v>
      </c>
      <c r="I1271" s="35"/>
      <c r="J1271" s="36"/>
      <c r="K1271" s="36"/>
      <c r="L1271" s="36"/>
      <c r="M1271" s="36"/>
      <c r="N1271" s="36"/>
      <c r="O1271" s="36"/>
      <c r="P1271" s="36"/>
      <c r="Q1271" s="36"/>
      <c r="R1271" s="36"/>
      <c r="S1271" s="36"/>
      <c r="T1271" s="36"/>
      <c r="U1271" s="36"/>
      <c r="V1271" s="36"/>
      <c r="W1271" s="36"/>
      <c r="X1271" s="36"/>
      <c r="Y1271" s="36"/>
      <c r="Z1271" s="36"/>
      <c r="AA1271" s="36"/>
      <c r="AB1271" s="36"/>
    </row>
    <row r="1272" spans="1:28" ht="36" hidden="1" customHeight="1">
      <c r="A1272" s="207" t="s">
        <v>2654</v>
      </c>
      <c r="B1272" s="117">
        <v>2011</v>
      </c>
      <c r="C1272" s="117" t="s">
        <v>2655</v>
      </c>
      <c r="D1272" s="195" t="s">
        <v>2656</v>
      </c>
      <c r="E1272" s="117" t="s">
        <v>41</v>
      </c>
      <c r="F1272" s="117" t="s">
        <v>97</v>
      </c>
      <c r="G1272" s="211" t="s">
        <v>43</v>
      </c>
      <c r="H1272" s="117" t="s">
        <v>2540</v>
      </c>
      <c r="I1272" s="35"/>
      <c r="J1272" s="36"/>
      <c r="K1272" s="36"/>
      <c r="L1272" s="36"/>
      <c r="M1272" s="36"/>
      <c r="N1272" s="36"/>
      <c r="O1272" s="36"/>
      <c r="P1272" s="36"/>
      <c r="Q1272" s="36"/>
      <c r="R1272" s="36"/>
      <c r="S1272" s="36"/>
      <c r="T1272" s="36"/>
      <c r="U1272" s="36"/>
      <c r="V1272" s="36"/>
      <c r="W1272" s="36"/>
      <c r="X1272" s="36"/>
      <c r="Y1272" s="36"/>
      <c r="Z1272" s="36"/>
      <c r="AA1272" s="36"/>
      <c r="AB1272" s="36"/>
    </row>
    <row r="1273" spans="1:28" ht="19.5" hidden="1" customHeight="1">
      <c r="A1273" s="207" t="s">
        <v>2657</v>
      </c>
      <c r="B1273" s="117">
        <v>2013</v>
      </c>
      <c r="C1273" s="117" t="s">
        <v>2652</v>
      </c>
      <c r="D1273" s="195" t="s">
        <v>2658</v>
      </c>
      <c r="E1273" s="117" t="s">
        <v>41</v>
      </c>
      <c r="F1273" s="117" t="s">
        <v>97</v>
      </c>
      <c r="G1273" s="211" t="s">
        <v>43</v>
      </c>
      <c r="H1273" s="117" t="s">
        <v>2540</v>
      </c>
      <c r="I1273" s="35"/>
      <c r="J1273" s="36"/>
      <c r="K1273" s="36"/>
      <c r="L1273" s="36"/>
      <c r="M1273" s="36"/>
      <c r="N1273" s="36"/>
      <c r="O1273" s="36"/>
      <c r="P1273" s="36"/>
      <c r="Q1273" s="36"/>
      <c r="R1273" s="36"/>
      <c r="S1273" s="36"/>
      <c r="T1273" s="36"/>
      <c r="U1273" s="36"/>
      <c r="V1273" s="36"/>
      <c r="W1273" s="36"/>
      <c r="X1273" s="36"/>
      <c r="Y1273" s="36"/>
      <c r="Z1273" s="36"/>
      <c r="AA1273" s="36"/>
      <c r="AB1273" s="36"/>
    </row>
    <row r="1274" spans="1:28" ht="24" hidden="1" customHeight="1">
      <c r="A1274" s="207" t="s">
        <v>2659</v>
      </c>
      <c r="B1274" s="117">
        <v>2015</v>
      </c>
      <c r="C1274" s="117" t="s">
        <v>2652</v>
      </c>
      <c r="D1274" s="195" t="s">
        <v>2660</v>
      </c>
      <c r="E1274" s="117" t="s">
        <v>41</v>
      </c>
      <c r="F1274" s="117" t="s">
        <v>97</v>
      </c>
      <c r="G1274" s="211" t="s">
        <v>43</v>
      </c>
      <c r="H1274" s="117" t="s">
        <v>2540</v>
      </c>
      <c r="I1274" s="35"/>
      <c r="J1274" s="36"/>
      <c r="K1274" s="36"/>
      <c r="L1274" s="36"/>
      <c r="M1274" s="36"/>
      <c r="N1274" s="36"/>
      <c r="O1274" s="36"/>
      <c r="P1274" s="36"/>
      <c r="Q1274" s="36"/>
      <c r="R1274" s="36"/>
      <c r="S1274" s="36"/>
      <c r="T1274" s="36"/>
      <c r="U1274" s="36"/>
      <c r="V1274" s="36"/>
      <c r="W1274" s="36"/>
      <c r="X1274" s="36"/>
      <c r="Y1274" s="36"/>
      <c r="Z1274" s="36"/>
      <c r="AA1274" s="36"/>
      <c r="AB1274" s="36"/>
    </row>
    <row r="1275" spans="1:28" ht="36" hidden="1" customHeight="1">
      <c r="A1275" s="207" t="s">
        <v>2661</v>
      </c>
      <c r="B1275" s="117">
        <v>2018</v>
      </c>
      <c r="C1275" s="117" t="s">
        <v>2652</v>
      </c>
      <c r="D1275" s="195" t="s">
        <v>2662</v>
      </c>
      <c r="E1275" s="117" t="s">
        <v>41</v>
      </c>
      <c r="F1275" s="117" t="s">
        <v>97</v>
      </c>
      <c r="G1275" s="211" t="s">
        <v>43</v>
      </c>
      <c r="H1275" s="117" t="s">
        <v>2540</v>
      </c>
      <c r="I1275" s="35"/>
      <c r="J1275" s="36"/>
      <c r="K1275" s="36"/>
      <c r="L1275" s="36"/>
      <c r="M1275" s="36"/>
      <c r="N1275" s="36"/>
      <c r="O1275" s="36"/>
      <c r="P1275" s="36"/>
      <c r="Q1275" s="36"/>
      <c r="R1275" s="36"/>
      <c r="S1275" s="36"/>
      <c r="T1275" s="36"/>
      <c r="U1275" s="36"/>
      <c r="V1275" s="36"/>
      <c r="W1275" s="36"/>
      <c r="X1275" s="36"/>
      <c r="Y1275" s="36"/>
      <c r="Z1275" s="36"/>
      <c r="AA1275" s="36"/>
      <c r="AB1275" s="36"/>
    </row>
    <row r="1276" spans="1:28" ht="24" hidden="1" customHeight="1">
      <c r="A1276" s="207" t="s">
        <v>2663</v>
      </c>
      <c r="B1276" s="117">
        <v>1997</v>
      </c>
      <c r="C1276" s="117" t="s">
        <v>2458</v>
      </c>
      <c r="D1276" s="195" t="s">
        <v>2664</v>
      </c>
      <c r="E1276" s="117" t="s">
        <v>2552</v>
      </c>
      <c r="F1276" s="117" t="s">
        <v>97</v>
      </c>
      <c r="G1276" s="211" t="s">
        <v>43</v>
      </c>
      <c r="H1276" s="117" t="s">
        <v>2540</v>
      </c>
      <c r="I1276" s="35"/>
      <c r="J1276" s="36"/>
      <c r="K1276" s="36"/>
      <c r="L1276" s="36"/>
      <c r="M1276" s="36"/>
      <c r="N1276" s="36"/>
      <c r="O1276" s="36"/>
      <c r="P1276" s="36"/>
      <c r="Q1276" s="36"/>
      <c r="R1276" s="36"/>
      <c r="S1276" s="36"/>
      <c r="T1276" s="36"/>
      <c r="U1276" s="36"/>
      <c r="V1276" s="36"/>
      <c r="W1276" s="36"/>
      <c r="X1276" s="36"/>
      <c r="Y1276" s="36"/>
      <c r="Z1276" s="36"/>
      <c r="AA1276" s="36"/>
      <c r="AB1276" s="36"/>
    </row>
    <row r="1277" spans="1:28" ht="24" hidden="1" customHeight="1">
      <c r="A1277" s="207" t="s">
        <v>1073</v>
      </c>
      <c r="B1277" s="117">
        <v>1999</v>
      </c>
      <c r="C1277" s="117" t="s">
        <v>2458</v>
      </c>
      <c r="D1277" s="195" t="s">
        <v>2665</v>
      </c>
      <c r="E1277" s="117" t="s">
        <v>2552</v>
      </c>
      <c r="F1277" s="117" t="s">
        <v>97</v>
      </c>
      <c r="G1277" s="211" t="s">
        <v>43</v>
      </c>
      <c r="H1277" s="117" t="s">
        <v>2540</v>
      </c>
      <c r="I1277" s="35"/>
      <c r="J1277" s="36"/>
      <c r="K1277" s="36"/>
      <c r="L1277" s="36"/>
      <c r="M1277" s="36"/>
      <c r="N1277" s="36"/>
      <c r="O1277" s="36"/>
      <c r="P1277" s="36"/>
      <c r="Q1277" s="36"/>
      <c r="R1277" s="36"/>
      <c r="S1277" s="36"/>
      <c r="T1277" s="36"/>
      <c r="U1277" s="36"/>
      <c r="V1277" s="36"/>
      <c r="W1277" s="36"/>
      <c r="X1277" s="36"/>
      <c r="Y1277" s="36"/>
      <c r="Z1277" s="36"/>
      <c r="AA1277" s="36"/>
      <c r="AB1277" s="36"/>
    </row>
    <row r="1278" spans="1:28" ht="24" hidden="1" customHeight="1">
      <c r="A1278" s="207" t="s">
        <v>2666</v>
      </c>
      <c r="B1278" s="117">
        <v>2002</v>
      </c>
      <c r="C1278" s="117" t="s">
        <v>2667</v>
      </c>
      <c r="D1278" s="195" t="s">
        <v>2668</v>
      </c>
      <c r="E1278" s="117" t="s">
        <v>2552</v>
      </c>
      <c r="F1278" s="117" t="s">
        <v>97</v>
      </c>
      <c r="G1278" s="211" t="s">
        <v>43</v>
      </c>
      <c r="H1278" s="117" t="s">
        <v>2540</v>
      </c>
      <c r="I1278" s="35"/>
      <c r="J1278" s="36"/>
      <c r="K1278" s="36"/>
      <c r="L1278" s="36"/>
      <c r="M1278" s="36"/>
      <c r="N1278" s="36"/>
      <c r="O1278" s="36"/>
      <c r="P1278" s="36"/>
      <c r="Q1278" s="36"/>
      <c r="R1278" s="36"/>
      <c r="S1278" s="36"/>
      <c r="T1278" s="36"/>
      <c r="U1278" s="36"/>
      <c r="V1278" s="36"/>
      <c r="W1278" s="36"/>
      <c r="X1278" s="36"/>
      <c r="Y1278" s="36"/>
      <c r="Z1278" s="36"/>
      <c r="AA1278" s="36"/>
      <c r="AB1278" s="36"/>
    </row>
    <row r="1279" spans="1:28" ht="36" hidden="1" customHeight="1">
      <c r="A1279" s="207" t="s">
        <v>2669</v>
      </c>
      <c r="B1279" s="117">
        <v>2002</v>
      </c>
      <c r="C1279" s="117" t="s">
        <v>225</v>
      </c>
      <c r="D1279" s="195" t="s">
        <v>2670</v>
      </c>
      <c r="E1279" s="117" t="s">
        <v>2552</v>
      </c>
      <c r="F1279" s="117" t="s">
        <v>97</v>
      </c>
      <c r="G1279" s="211" t="s">
        <v>43</v>
      </c>
      <c r="H1279" s="117" t="s">
        <v>2540</v>
      </c>
      <c r="I1279" s="35"/>
      <c r="J1279" s="36"/>
      <c r="K1279" s="36"/>
      <c r="L1279" s="36"/>
      <c r="M1279" s="36"/>
      <c r="N1279" s="36"/>
      <c r="O1279" s="36"/>
      <c r="P1279" s="36"/>
      <c r="Q1279" s="36"/>
      <c r="R1279" s="36"/>
      <c r="S1279" s="36"/>
      <c r="T1279" s="36"/>
      <c r="U1279" s="36"/>
      <c r="V1279" s="36"/>
      <c r="W1279" s="36"/>
      <c r="X1279" s="36"/>
      <c r="Y1279" s="36"/>
      <c r="Z1279" s="36"/>
      <c r="AA1279" s="36"/>
      <c r="AB1279" s="36"/>
    </row>
    <row r="1280" spans="1:28" ht="24" hidden="1" customHeight="1">
      <c r="A1280" s="207" t="s">
        <v>2671</v>
      </c>
      <c r="B1280" s="117">
        <v>2003</v>
      </c>
      <c r="C1280" s="117" t="s">
        <v>2458</v>
      </c>
      <c r="D1280" s="195" t="s">
        <v>2672</v>
      </c>
      <c r="E1280" s="117" t="s">
        <v>41</v>
      </c>
      <c r="F1280" s="117" t="s">
        <v>97</v>
      </c>
      <c r="G1280" s="211" t="s">
        <v>43</v>
      </c>
      <c r="H1280" s="117" t="s">
        <v>2540</v>
      </c>
      <c r="I1280" s="35"/>
      <c r="J1280" s="36"/>
      <c r="K1280" s="36"/>
      <c r="L1280" s="36"/>
      <c r="M1280" s="36"/>
      <c r="N1280" s="36"/>
      <c r="O1280" s="36"/>
      <c r="P1280" s="36"/>
      <c r="Q1280" s="36"/>
      <c r="R1280" s="36"/>
      <c r="S1280" s="36"/>
      <c r="T1280" s="36"/>
      <c r="U1280" s="36"/>
      <c r="V1280" s="36"/>
      <c r="W1280" s="36"/>
      <c r="X1280" s="36"/>
      <c r="Y1280" s="36"/>
      <c r="Z1280" s="36"/>
      <c r="AA1280" s="36"/>
      <c r="AB1280" s="36"/>
    </row>
    <row r="1281" spans="1:28" ht="20.25" hidden="1" customHeight="1">
      <c r="A1281" s="207" t="s">
        <v>946</v>
      </c>
      <c r="B1281" s="117">
        <v>2003</v>
      </c>
      <c r="C1281" s="117" t="s">
        <v>2673</v>
      </c>
      <c r="D1281" s="195" t="s">
        <v>2674</v>
      </c>
      <c r="E1281" s="117" t="s">
        <v>2552</v>
      </c>
      <c r="F1281" s="117" t="s">
        <v>97</v>
      </c>
      <c r="G1281" s="211" t="s">
        <v>43</v>
      </c>
      <c r="H1281" s="117" t="s">
        <v>2540</v>
      </c>
      <c r="I1281" s="35"/>
      <c r="J1281" s="36"/>
      <c r="K1281" s="36"/>
      <c r="L1281" s="36"/>
      <c r="M1281" s="36"/>
      <c r="N1281" s="36"/>
      <c r="O1281" s="36"/>
      <c r="P1281" s="36"/>
      <c r="Q1281" s="36"/>
      <c r="R1281" s="36"/>
      <c r="S1281" s="36"/>
      <c r="T1281" s="36"/>
      <c r="U1281" s="36"/>
      <c r="V1281" s="36"/>
      <c r="W1281" s="36"/>
      <c r="X1281" s="36"/>
      <c r="Y1281" s="36"/>
      <c r="Z1281" s="36"/>
      <c r="AA1281" s="36"/>
      <c r="AB1281" s="36"/>
    </row>
    <row r="1282" spans="1:28" ht="108" hidden="1" customHeight="1">
      <c r="A1282" s="207" t="s">
        <v>730</v>
      </c>
      <c r="B1282" s="117">
        <v>2004</v>
      </c>
      <c r="C1282" s="117" t="s">
        <v>2673</v>
      </c>
      <c r="D1282" s="195" t="s">
        <v>2675</v>
      </c>
      <c r="E1282" s="195" t="s">
        <v>2676</v>
      </c>
      <c r="F1282" s="117" t="s">
        <v>97</v>
      </c>
      <c r="G1282" s="211" t="s">
        <v>43</v>
      </c>
      <c r="H1282" s="117" t="s">
        <v>2540</v>
      </c>
      <c r="I1282" s="35"/>
      <c r="J1282" s="36"/>
      <c r="K1282" s="36"/>
      <c r="L1282" s="36"/>
      <c r="M1282" s="36"/>
      <c r="N1282" s="36"/>
      <c r="O1282" s="36"/>
      <c r="P1282" s="36"/>
      <c r="Q1282" s="36"/>
      <c r="R1282" s="36"/>
      <c r="S1282" s="36"/>
      <c r="T1282" s="36"/>
      <c r="U1282" s="36"/>
      <c r="V1282" s="36"/>
      <c r="W1282" s="36"/>
      <c r="X1282" s="36"/>
      <c r="Y1282" s="36"/>
      <c r="Z1282" s="36"/>
      <c r="AA1282" s="36"/>
      <c r="AB1282" s="36"/>
    </row>
    <row r="1283" spans="1:28" ht="24" hidden="1" customHeight="1">
      <c r="A1283" s="207" t="s">
        <v>2677</v>
      </c>
      <c r="B1283" s="117">
        <v>2004</v>
      </c>
      <c r="C1283" s="117" t="s">
        <v>2649</v>
      </c>
      <c r="D1283" s="195" t="s">
        <v>2678</v>
      </c>
      <c r="E1283" s="117" t="s">
        <v>41</v>
      </c>
      <c r="F1283" s="117" t="s">
        <v>97</v>
      </c>
      <c r="G1283" s="211" t="s">
        <v>43</v>
      </c>
      <c r="H1283" s="117" t="s">
        <v>2540</v>
      </c>
      <c r="I1283" s="35"/>
      <c r="J1283" s="36"/>
      <c r="K1283" s="36"/>
      <c r="L1283" s="36"/>
      <c r="M1283" s="36"/>
      <c r="N1283" s="36"/>
      <c r="O1283" s="36"/>
      <c r="P1283" s="36"/>
      <c r="Q1283" s="36"/>
      <c r="R1283" s="36"/>
      <c r="S1283" s="36"/>
      <c r="T1283" s="36"/>
      <c r="U1283" s="36"/>
      <c r="V1283" s="36"/>
      <c r="W1283" s="36"/>
      <c r="X1283" s="36"/>
      <c r="Y1283" s="36"/>
      <c r="Z1283" s="36"/>
      <c r="AA1283" s="36"/>
      <c r="AB1283" s="36"/>
    </row>
    <row r="1284" spans="1:28" ht="24" hidden="1" customHeight="1">
      <c r="A1284" s="207" t="s">
        <v>2679</v>
      </c>
      <c r="B1284" s="117">
        <v>2010</v>
      </c>
      <c r="C1284" s="117" t="s">
        <v>302</v>
      </c>
      <c r="D1284" s="195" t="s">
        <v>2680</v>
      </c>
      <c r="E1284" s="117" t="s">
        <v>41</v>
      </c>
      <c r="F1284" s="117" t="s">
        <v>97</v>
      </c>
      <c r="G1284" s="211" t="s">
        <v>43</v>
      </c>
      <c r="H1284" s="117" t="s">
        <v>2540</v>
      </c>
      <c r="I1284" s="35"/>
      <c r="J1284" s="36"/>
      <c r="K1284" s="36"/>
      <c r="L1284" s="36"/>
      <c r="M1284" s="36"/>
      <c r="N1284" s="36"/>
      <c r="O1284" s="36"/>
      <c r="P1284" s="36"/>
      <c r="Q1284" s="36"/>
      <c r="R1284" s="36"/>
      <c r="S1284" s="36"/>
      <c r="T1284" s="36"/>
      <c r="U1284" s="36"/>
      <c r="V1284" s="36"/>
      <c r="W1284" s="36"/>
      <c r="X1284" s="36"/>
      <c r="Y1284" s="36"/>
      <c r="Z1284" s="36"/>
      <c r="AA1284" s="36"/>
      <c r="AB1284" s="36"/>
    </row>
    <row r="1285" spans="1:28" ht="24" hidden="1" customHeight="1">
      <c r="A1285" s="207" t="s">
        <v>946</v>
      </c>
      <c r="B1285" s="117">
        <v>2010</v>
      </c>
      <c r="C1285" s="117" t="s">
        <v>302</v>
      </c>
      <c r="D1285" s="195" t="s">
        <v>2681</v>
      </c>
      <c r="E1285" s="117" t="s">
        <v>41</v>
      </c>
      <c r="F1285" s="117" t="s">
        <v>97</v>
      </c>
      <c r="G1285" s="211" t="s">
        <v>43</v>
      </c>
      <c r="H1285" s="117" t="s">
        <v>2540</v>
      </c>
      <c r="I1285" s="35"/>
      <c r="J1285" s="36"/>
      <c r="K1285" s="36"/>
      <c r="L1285" s="36"/>
      <c r="M1285" s="36"/>
      <c r="N1285" s="36"/>
      <c r="O1285" s="36"/>
      <c r="P1285" s="36"/>
      <c r="Q1285" s="36"/>
      <c r="R1285" s="36"/>
      <c r="S1285" s="36"/>
      <c r="T1285" s="36"/>
      <c r="U1285" s="36"/>
      <c r="V1285" s="36"/>
      <c r="W1285" s="36"/>
      <c r="X1285" s="36"/>
      <c r="Y1285" s="36"/>
      <c r="Z1285" s="36"/>
      <c r="AA1285" s="36"/>
      <c r="AB1285" s="36"/>
    </row>
    <row r="1286" spans="1:28" ht="24" hidden="1" customHeight="1">
      <c r="A1286" s="207" t="s">
        <v>944</v>
      </c>
      <c r="B1286" s="117">
        <v>2011</v>
      </c>
      <c r="C1286" s="117" t="s">
        <v>2458</v>
      </c>
      <c r="D1286" s="195" t="s">
        <v>2682</v>
      </c>
      <c r="E1286" s="117" t="s">
        <v>41</v>
      </c>
      <c r="F1286" s="117" t="s">
        <v>97</v>
      </c>
      <c r="G1286" s="211" t="s">
        <v>43</v>
      </c>
      <c r="H1286" s="117" t="s">
        <v>2540</v>
      </c>
      <c r="I1286" s="35"/>
      <c r="J1286" s="36"/>
      <c r="K1286" s="36"/>
      <c r="L1286" s="36"/>
      <c r="M1286" s="36"/>
      <c r="N1286" s="36"/>
      <c r="O1286" s="36"/>
      <c r="P1286" s="36"/>
      <c r="Q1286" s="36"/>
      <c r="R1286" s="36"/>
      <c r="S1286" s="36"/>
      <c r="T1286" s="36"/>
      <c r="U1286" s="36"/>
      <c r="V1286" s="36"/>
      <c r="W1286" s="36"/>
      <c r="X1286" s="36"/>
      <c r="Y1286" s="36"/>
      <c r="Z1286" s="36"/>
      <c r="AA1286" s="36"/>
      <c r="AB1286" s="36"/>
    </row>
    <row r="1287" spans="1:28" ht="24" hidden="1" customHeight="1">
      <c r="A1287" s="207" t="s">
        <v>957</v>
      </c>
      <c r="B1287" s="117">
        <v>2011</v>
      </c>
      <c r="C1287" s="117" t="s">
        <v>2673</v>
      </c>
      <c r="D1287" s="195" t="s">
        <v>2683</v>
      </c>
      <c r="E1287" s="117" t="s">
        <v>2552</v>
      </c>
      <c r="F1287" s="117" t="s">
        <v>97</v>
      </c>
      <c r="G1287" s="211" t="s">
        <v>43</v>
      </c>
      <c r="H1287" s="117" t="s">
        <v>2540</v>
      </c>
      <c r="I1287" s="35"/>
      <c r="J1287" s="36"/>
      <c r="K1287" s="36"/>
      <c r="L1287" s="36"/>
      <c r="M1287" s="36"/>
      <c r="N1287" s="36"/>
      <c r="O1287" s="36"/>
      <c r="P1287" s="36"/>
      <c r="Q1287" s="36"/>
      <c r="R1287" s="36"/>
      <c r="S1287" s="36"/>
      <c r="T1287" s="36"/>
      <c r="U1287" s="36"/>
      <c r="V1287" s="36"/>
      <c r="W1287" s="36"/>
      <c r="X1287" s="36"/>
      <c r="Y1287" s="36"/>
      <c r="Z1287" s="36"/>
      <c r="AA1287" s="36"/>
      <c r="AB1287" s="36"/>
    </row>
    <row r="1288" spans="1:28" ht="24" hidden="1" customHeight="1">
      <c r="A1288" s="207" t="s">
        <v>2663</v>
      </c>
      <c r="B1288" s="117">
        <v>2012</v>
      </c>
      <c r="C1288" s="117" t="s">
        <v>2458</v>
      </c>
      <c r="D1288" s="195" t="s">
        <v>2684</v>
      </c>
      <c r="E1288" s="117" t="s">
        <v>41</v>
      </c>
      <c r="F1288" s="117" t="s">
        <v>97</v>
      </c>
      <c r="G1288" s="211" t="s">
        <v>43</v>
      </c>
      <c r="H1288" s="117" t="s">
        <v>2540</v>
      </c>
      <c r="I1288" s="35"/>
      <c r="J1288" s="36"/>
      <c r="K1288" s="36"/>
      <c r="L1288" s="36"/>
      <c r="M1288" s="36"/>
      <c r="N1288" s="36"/>
      <c r="O1288" s="36"/>
      <c r="P1288" s="36"/>
      <c r="Q1288" s="36"/>
      <c r="R1288" s="36"/>
      <c r="S1288" s="36"/>
      <c r="T1288" s="36"/>
      <c r="U1288" s="36"/>
      <c r="V1288" s="36"/>
      <c r="W1288" s="36"/>
      <c r="X1288" s="36"/>
      <c r="Y1288" s="36"/>
      <c r="Z1288" s="36"/>
      <c r="AA1288" s="36"/>
      <c r="AB1288" s="36"/>
    </row>
    <row r="1289" spans="1:28" ht="36" hidden="1" customHeight="1">
      <c r="A1289" s="207" t="s">
        <v>2685</v>
      </c>
      <c r="B1289" s="117">
        <v>2012</v>
      </c>
      <c r="C1289" s="117" t="s">
        <v>2458</v>
      </c>
      <c r="D1289" s="195" t="s">
        <v>2478</v>
      </c>
      <c r="E1289" s="117" t="s">
        <v>41</v>
      </c>
      <c r="F1289" s="117" t="s">
        <v>97</v>
      </c>
      <c r="G1289" s="211" t="s">
        <v>43</v>
      </c>
      <c r="H1289" s="117" t="s">
        <v>2540</v>
      </c>
      <c r="I1289" s="35"/>
      <c r="J1289" s="36"/>
      <c r="K1289" s="36"/>
      <c r="L1289" s="36"/>
      <c r="M1289" s="36"/>
      <c r="N1289" s="36"/>
      <c r="O1289" s="36"/>
      <c r="P1289" s="36"/>
      <c r="Q1289" s="36"/>
      <c r="R1289" s="36"/>
      <c r="S1289" s="36"/>
      <c r="T1289" s="36"/>
      <c r="U1289" s="36"/>
      <c r="V1289" s="36"/>
      <c r="W1289" s="36"/>
      <c r="X1289" s="36"/>
      <c r="Y1289" s="36"/>
      <c r="Z1289" s="36"/>
      <c r="AA1289" s="36"/>
      <c r="AB1289" s="36"/>
    </row>
    <row r="1290" spans="1:28" ht="24" hidden="1" customHeight="1">
      <c r="A1290" s="207" t="s">
        <v>2686</v>
      </c>
      <c r="B1290" s="117">
        <v>2015</v>
      </c>
      <c r="C1290" s="117" t="s">
        <v>2458</v>
      </c>
      <c r="D1290" s="195" t="s">
        <v>2687</v>
      </c>
      <c r="E1290" s="117" t="s">
        <v>41</v>
      </c>
      <c r="F1290" s="117" t="s">
        <v>97</v>
      </c>
      <c r="G1290" s="211" t="s">
        <v>43</v>
      </c>
      <c r="H1290" s="117" t="s">
        <v>2540</v>
      </c>
      <c r="I1290" s="35"/>
      <c r="J1290" s="36"/>
      <c r="K1290" s="36"/>
      <c r="L1290" s="36"/>
      <c r="M1290" s="36"/>
      <c r="N1290" s="36"/>
      <c r="O1290" s="36"/>
      <c r="P1290" s="36"/>
      <c r="Q1290" s="36"/>
      <c r="R1290" s="36"/>
      <c r="S1290" s="36"/>
      <c r="T1290" s="36"/>
      <c r="U1290" s="36"/>
      <c r="V1290" s="36"/>
      <c r="W1290" s="36"/>
      <c r="X1290" s="36"/>
      <c r="Y1290" s="36"/>
      <c r="Z1290" s="36"/>
      <c r="AA1290" s="36"/>
      <c r="AB1290" s="36"/>
    </row>
    <row r="1291" spans="1:28" ht="24" hidden="1" customHeight="1">
      <c r="A1291" s="207" t="s">
        <v>2688</v>
      </c>
      <c r="B1291" s="117">
        <v>2015</v>
      </c>
      <c r="C1291" s="117" t="s">
        <v>2458</v>
      </c>
      <c r="D1291" s="195" t="s">
        <v>2689</v>
      </c>
      <c r="E1291" s="117" t="s">
        <v>41</v>
      </c>
      <c r="F1291" s="117" t="s">
        <v>97</v>
      </c>
      <c r="G1291" s="211" t="s">
        <v>43</v>
      </c>
      <c r="H1291" s="117" t="s">
        <v>2540</v>
      </c>
      <c r="I1291" s="35"/>
      <c r="J1291" s="36"/>
      <c r="K1291" s="36"/>
      <c r="L1291" s="36"/>
      <c r="M1291" s="36"/>
      <c r="N1291" s="36"/>
      <c r="O1291" s="36"/>
      <c r="P1291" s="36"/>
      <c r="Q1291" s="36"/>
      <c r="R1291" s="36"/>
      <c r="S1291" s="36"/>
      <c r="T1291" s="36"/>
      <c r="U1291" s="36"/>
      <c r="V1291" s="36"/>
      <c r="W1291" s="36"/>
      <c r="X1291" s="36"/>
      <c r="Y1291" s="36"/>
      <c r="Z1291" s="36"/>
      <c r="AA1291" s="36"/>
      <c r="AB1291" s="36"/>
    </row>
    <row r="1292" spans="1:28" ht="36" hidden="1" customHeight="1">
      <c r="A1292" s="207" t="s">
        <v>2690</v>
      </c>
      <c r="B1292" s="117">
        <v>2016</v>
      </c>
      <c r="C1292" s="117" t="s">
        <v>61</v>
      </c>
      <c r="D1292" s="195" t="s">
        <v>2691</v>
      </c>
      <c r="E1292" s="117" t="s">
        <v>41</v>
      </c>
      <c r="F1292" s="117" t="s">
        <v>97</v>
      </c>
      <c r="G1292" s="211" t="s">
        <v>43</v>
      </c>
      <c r="H1292" s="117" t="s">
        <v>2540</v>
      </c>
      <c r="I1292" s="35"/>
      <c r="J1292" s="36"/>
      <c r="K1292" s="36"/>
      <c r="L1292" s="36"/>
      <c r="M1292" s="36"/>
      <c r="N1292" s="36"/>
      <c r="O1292" s="36"/>
      <c r="P1292" s="36"/>
      <c r="Q1292" s="36"/>
      <c r="R1292" s="36"/>
      <c r="S1292" s="36"/>
      <c r="T1292" s="36"/>
      <c r="U1292" s="36"/>
      <c r="V1292" s="36"/>
      <c r="W1292" s="36"/>
      <c r="X1292" s="36"/>
      <c r="Y1292" s="36"/>
      <c r="Z1292" s="36"/>
      <c r="AA1292" s="36"/>
      <c r="AB1292" s="36"/>
    </row>
    <row r="1293" spans="1:28" ht="24" hidden="1" customHeight="1">
      <c r="A1293" s="232" t="s">
        <v>2692</v>
      </c>
      <c r="B1293" s="257">
        <v>2018</v>
      </c>
      <c r="C1293" s="257" t="s">
        <v>2324</v>
      </c>
      <c r="D1293" s="255" t="s">
        <v>2693</v>
      </c>
      <c r="E1293" s="257" t="s">
        <v>41</v>
      </c>
      <c r="F1293" s="257" t="s">
        <v>97</v>
      </c>
      <c r="G1293" s="258" t="s">
        <v>43</v>
      </c>
      <c r="H1293" s="257" t="s">
        <v>2540</v>
      </c>
      <c r="I1293" s="35"/>
      <c r="J1293" s="36"/>
      <c r="K1293" s="36"/>
      <c r="L1293" s="36"/>
      <c r="M1293" s="36"/>
      <c r="N1293" s="36"/>
      <c r="O1293" s="36"/>
      <c r="P1293" s="36"/>
      <c r="Q1293" s="36"/>
      <c r="R1293" s="36"/>
      <c r="S1293" s="36"/>
      <c r="T1293" s="36"/>
      <c r="U1293" s="36"/>
      <c r="V1293" s="36"/>
      <c r="W1293" s="36"/>
      <c r="X1293" s="36"/>
      <c r="Y1293" s="36"/>
      <c r="Z1293" s="36"/>
      <c r="AA1293" s="36"/>
      <c r="AB1293" s="36"/>
    </row>
    <row r="1294" spans="1:28" ht="24" hidden="1" customHeight="1">
      <c r="A1294" s="207" t="s">
        <v>2694</v>
      </c>
      <c r="B1294" s="117">
        <v>2012</v>
      </c>
      <c r="C1294" s="197" t="s">
        <v>57</v>
      </c>
      <c r="D1294" s="195" t="s">
        <v>2695</v>
      </c>
      <c r="E1294" s="117" t="s">
        <v>41</v>
      </c>
      <c r="F1294" s="117" t="s">
        <v>97</v>
      </c>
      <c r="G1294" s="211" t="s">
        <v>43</v>
      </c>
      <c r="H1294" s="117" t="s">
        <v>2540</v>
      </c>
      <c r="I1294" s="35" t="s">
        <v>2696</v>
      </c>
      <c r="J1294" s="36"/>
      <c r="K1294" s="36"/>
      <c r="L1294" s="36"/>
      <c r="M1294" s="36"/>
      <c r="N1294" s="36"/>
      <c r="O1294" s="36"/>
      <c r="P1294" s="36"/>
      <c r="Q1294" s="36"/>
      <c r="R1294" s="36"/>
      <c r="S1294" s="36"/>
      <c r="T1294" s="36"/>
      <c r="U1294" s="36"/>
      <c r="V1294" s="36"/>
      <c r="W1294" s="36"/>
      <c r="X1294" s="36"/>
      <c r="Y1294" s="36"/>
      <c r="Z1294" s="36"/>
      <c r="AA1294" s="36"/>
      <c r="AB1294" s="36"/>
    </row>
    <row r="1295" spans="1:28" ht="96" hidden="1" customHeight="1">
      <c r="A1295" s="232" t="s">
        <v>343</v>
      </c>
      <c r="B1295" s="257">
        <v>2018</v>
      </c>
      <c r="C1295" s="257" t="s">
        <v>2324</v>
      </c>
      <c r="D1295" s="255" t="s">
        <v>2697</v>
      </c>
      <c r="E1295" s="257" t="s">
        <v>41</v>
      </c>
      <c r="F1295" s="257" t="s">
        <v>2698</v>
      </c>
      <c r="G1295" s="258" t="s">
        <v>43</v>
      </c>
      <c r="H1295" s="257" t="s">
        <v>2540</v>
      </c>
      <c r="I1295" s="35"/>
      <c r="J1295" s="36"/>
      <c r="K1295" s="36"/>
      <c r="L1295" s="36"/>
      <c r="M1295" s="36"/>
      <c r="N1295" s="36"/>
      <c r="O1295" s="36"/>
      <c r="P1295" s="36"/>
      <c r="Q1295" s="36"/>
      <c r="R1295" s="36"/>
      <c r="S1295" s="36"/>
      <c r="T1295" s="36"/>
      <c r="U1295" s="36"/>
      <c r="V1295" s="36"/>
      <c r="W1295" s="36"/>
      <c r="X1295" s="36"/>
      <c r="Y1295" s="36"/>
      <c r="Z1295" s="36"/>
      <c r="AA1295" s="36"/>
      <c r="AB1295" s="36"/>
    </row>
    <row r="1296" spans="1:28" ht="15" hidden="1" customHeight="1">
      <c r="A1296" s="239" t="s">
        <v>1103</v>
      </c>
      <c r="B1296" s="206">
        <v>1991</v>
      </c>
      <c r="C1296" s="117" t="s">
        <v>405</v>
      </c>
      <c r="D1296" s="195" t="s">
        <v>406</v>
      </c>
      <c r="E1296" s="117" t="s">
        <v>2699</v>
      </c>
      <c r="F1296" s="117" t="s">
        <v>97</v>
      </c>
      <c r="G1296" s="211" t="s">
        <v>43</v>
      </c>
      <c r="H1296" s="117" t="s">
        <v>2540</v>
      </c>
      <c r="I1296" s="35"/>
      <c r="J1296" s="36"/>
      <c r="K1296" s="36"/>
      <c r="L1296" s="36"/>
      <c r="M1296" s="36"/>
      <c r="N1296" s="36"/>
      <c r="O1296" s="36"/>
      <c r="P1296" s="36"/>
      <c r="Q1296" s="36"/>
      <c r="R1296" s="36"/>
      <c r="S1296" s="36"/>
      <c r="T1296" s="36"/>
      <c r="U1296" s="36"/>
      <c r="V1296" s="36"/>
      <c r="W1296" s="36"/>
      <c r="X1296" s="36"/>
      <c r="Y1296" s="36"/>
      <c r="Z1296" s="36"/>
      <c r="AA1296" s="36"/>
      <c r="AB1296" s="36"/>
    </row>
    <row r="1297" spans="1:28" ht="24" hidden="1" customHeight="1">
      <c r="A1297" s="207" t="s">
        <v>1639</v>
      </c>
      <c r="B1297" s="206">
        <v>1887</v>
      </c>
      <c r="C1297" s="117" t="s">
        <v>57</v>
      </c>
      <c r="D1297" s="195" t="s">
        <v>1640</v>
      </c>
      <c r="E1297" s="206" t="s">
        <v>41</v>
      </c>
      <c r="F1297" s="117" t="s">
        <v>97</v>
      </c>
      <c r="G1297" s="211" t="s">
        <v>43</v>
      </c>
      <c r="H1297" s="117" t="s">
        <v>2540</v>
      </c>
      <c r="I1297" s="35"/>
      <c r="J1297" s="36"/>
      <c r="K1297" s="36"/>
      <c r="L1297" s="36"/>
      <c r="M1297" s="36"/>
      <c r="N1297" s="36"/>
      <c r="O1297" s="36"/>
      <c r="P1297" s="36"/>
      <c r="Q1297" s="36"/>
      <c r="R1297" s="36"/>
      <c r="S1297" s="36"/>
      <c r="T1297" s="36"/>
      <c r="U1297" s="36"/>
      <c r="V1297" s="36"/>
      <c r="W1297" s="36"/>
      <c r="X1297" s="36"/>
      <c r="Y1297" s="36"/>
      <c r="Z1297" s="36"/>
      <c r="AA1297" s="36"/>
      <c r="AB1297" s="36"/>
    </row>
    <row r="1298" spans="1:28" ht="36" hidden="1" customHeight="1">
      <c r="A1298" s="207" t="s">
        <v>249</v>
      </c>
      <c r="B1298" s="117">
        <v>1995</v>
      </c>
      <c r="C1298" s="117" t="s">
        <v>39</v>
      </c>
      <c r="D1298" s="195" t="s">
        <v>1129</v>
      </c>
      <c r="E1298" s="206" t="s">
        <v>2700</v>
      </c>
      <c r="F1298" s="117" t="s">
        <v>97</v>
      </c>
      <c r="G1298" s="211" t="s">
        <v>43</v>
      </c>
      <c r="H1298" s="117" t="s">
        <v>2540</v>
      </c>
      <c r="I1298" s="35"/>
      <c r="J1298" s="36"/>
      <c r="K1298" s="36"/>
      <c r="L1298" s="36"/>
      <c r="M1298" s="36"/>
      <c r="N1298" s="36"/>
      <c r="O1298" s="36"/>
      <c r="P1298" s="36"/>
      <c r="Q1298" s="36"/>
      <c r="R1298" s="36"/>
      <c r="S1298" s="36"/>
      <c r="T1298" s="36"/>
      <c r="U1298" s="36"/>
      <c r="V1298" s="36"/>
      <c r="W1298" s="36"/>
      <c r="X1298" s="36"/>
      <c r="Y1298" s="36"/>
      <c r="Z1298" s="36"/>
      <c r="AA1298" s="36"/>
      <c r="AB1298" s="36"/>
    </row>
    <row r="1299" spans="1:28" ht="12" hidden="1" customHeight="1">
      <c r="A1299" s="214" t="s">
        <v>1867</v>
      </c>
      <c r="B1299" s="206">
        <v>2002</v>
      </c>
      <c r="C1299" s="197" t="s">
        <v>39</v>
      </c>
      <c r="D1299" s="195" t="s">
        <v>489</v>
      </c>
      <c r="E1299" s="206" t="s">
        <v>41</v>
      </c>
      <c r="F1299" s="117" t="s">
        <v>97</v>
      </c>
      <c r="G1299" s="211" t="s">
        <v>43</v>
      </c>
      <c r="H1299" s="117" t="s">
        <v>2540</v>
      </c>
      <c r="I1299" s="35"/>
      <c r="J1299" s="36"/>
      <c r="K1299" s="36"/>
      <c r="L1299" s="36"/>
      <c r="M1299" s="36"/>
      <c r="N1299" s="36"/>
      <c r="O1299" s="36"/>
      <c r="P1299" s="36"/>
      <c r="Q1299" s="36"/>
      <c r="R1299" s="36"/>
      <c r="S1299" s="36"/>
      <c r="T1299" s="36"/>
      <c r="U1299" s="36"/>
      <c r="V1299" s="36"/>
      <c r="W1299" s="36"/>
      <c r="X1299" s="36"/>
      <c r="Y1299" s="36"/>
      <c r="Z1299" s="36"/>
      <c r="AA1299" s="36"/>
      <c r="AB1299" s="36"/>
    </row>
    <row r="1300" spans="1:28" ht="48" hidden="1" customHeight="1">
      <c r="A1300" s="207" t="s">
        <v>977</v>
      </c>
      <c r="B1300" s="117">
        <v>2005</v>
      </c>
      <c r="C1300" s="117" t="s">
        <v>39</v>
      </c>
      <c r="D1300" s="195" t="s">
        <v>2414</v>
      </c>
      <c r="E1300" s="206" t="s">
        <v>41</v>
      </c>
      <c r="F1300" s="117" t="s">
        <v>97</v>
      </c>
      <c r="G1300" s="211" t="s">
        <v>43</v>
      </c>
      <c r="H1300" s="117" t="s">
        <v>2540</v>
      </c>
      <c r="I1300" s="35"/>
      <c r="J1300" s="36"/>
      <c r="K1300" s="36"/>
      <c r="L1300" s="36"/>
      <c r="M1300" s="36"/>
      <c r="N1300" s="36"/>
      <c r="O1300" s="36"/>
      <c r="P1300" s="36"/>
      <c r="Q1300" s="36"/>
      <c r="R1300" s="36"/>
      <c r="S1300" s="36"/>
      <c r="T1300" s="36"/>
      <c r="U1300" s="36"/>
      <c r="V1300" s="36"/>
      <c r="W1300" s="36"/>
      <c r="X1300" s="36"/>
      <c r="Y1300" s="36"/>
      <c r="Z1300" s="36"/>
      <c r="AA1300" s="36"/>
      <c r="AB1300" s="36"/>
    </row>
    <row r="1301" spans="1:28" ht="24" hidden="1" customHeight="1">
      <c r="A1301" s="207" t="s">
        <v>280</v>
      </c>
      <c r="B1301" s="117">
        <v>2011</v>
      </c>
      <c r="C1301" s="117" t="s">
        <v>39</v>
      </c>
      <c r="D1301" s="195" t="s">
        <v>2259</v>
      </c>
      <c r="E1301" s="206" t="s">
        <v>41</v>
      </c>
      <c r="F1301" s="117" t="s">
        <v>97</v>
      </c>
      <c r="G1301" s="211" t="s">
        <v>43</v>
      </c>
      <c r="H1301" s="117" t="s">
        <v>2540</v>
      </c>
      <c r="I1301" s="35"/>
      <c r="J1301" s="36"/>
      <c r="K1301" s="36"/>
      <c r="L1301" s="36"/>
      <c r="M1301" s="36"/>
      <c r="N1301" s="36"/>
      <c r="O1301" s="36"/>
      <c r="P1301" s="36"/>
      <c r="Q1301" s="36"/>
      <c r="R1301" s="36"/>
      <c r="S1301" s="36"/>
      <c r="T1301" s="36"/>
      <c r="U1301" s="36"/>
      <c r="V1301" s="36"/>
      <c r="W1301" s="36"/>
      <c r="X1301" s="36"/>
      <c r="Y1301" s="36"/>
      <c r="Z1301" s="36"/>
      <c r="AA1301" s="36"/>
      <c r="AB1301" s="36"/>
    </row>
    <row r="1302" spans="1:28" ht="36" hidden="1" customHeight="1">
      <c r="A1302" s="207" t="s">
        <v>286</v>
      </c>
      <c r="B1302" s="117">
        <v>2011</v>
      </c>
      <c r="C1302" s="197" t="s">
        <v>39</v>
      </c>
      <c r="D1302" s="195" t="s">
        <v>54</v>
      </c>
      <c r="E1302" s="206" t="s">
        <v>2701</v>
      </c>
      <c r="F1302" s="117" t="s">
        <v>97</v>
      </c>
      <c r="G1302" s="211" t="s">
        <v>43</v>
      </c>
      <c r="H1302" s="117" t="s">
        <v>2540</v>
      </c>
      <c r="I1302" s="35"/>
      <c r="J1302" s="36"/>
      <c r="K1302" s="36"/>
      <c r="L1302" s="36"/>
      <c r="M1302" s="36"/>
      <c r="N1302" s="36"/>
      <c r="O1302" s="36"/>
      <c r="P1302" s="36"/>
      <c r="Q1302" s="36"/>
      <c r="R1302" s="36"/>
      <c r="S1302" s="36"/>
      <c r="T1302" s="36"/>
      <c r="U1302" s="36"/>
      <c r="V1302" s="36"/>
      <c r="W1302" s="36"/>
      <c r="X1302" s="36"/>
      <c r="Y1302" s="36"/>
      <c r="Z1302" s="36"/>
      <c r="AA1302" s="36"/>
      <c r="AB1302" s="36"/>
    </row>
    <row r="1303" spans="1:28" ht="36" hidden="1" customHeight="1">
      <c r="A1303" s="207" t="s">
        <v>294</v>
      </c>
      <c r="B1303" s="117">
        <v>2014</v>
      </c>
      <c r="C1303" s="117" t="s">
        <v>39</v>
      </c>
      <c r="D1303" s="195" t="s">
        <v>987</v>
      </c>
      <c r="E1303" s="206" t="s">
        <v>41</v>
      </c>
      <c r="F1303" s="117" t="s">
        <v>97</v>
      </c>
      <c r="G1303" s="211" t="s">
        <v>43</v>
      </c>
      <c r="H1303" s="117" t="s">
        <v>2540</v>
      </c>
      <c r="I1303" s="35"/>
      <c r="J1303" s="36"/>
      <c r="K1303" s="36"/>
      <c r="L1303" s="36"/>
      <c r="M1303" s="36"/>
      <c r="N1303" s="36"/>
      <c r="O1303" s="36"/>
      <c r="P1303" s="36"/>
      <c r="Q1303" s="36"/>
      <c r="R1303" s="36"/>
      <c r="S1303" s="36"/>
      <c r="T1303" s="36"/>
      <c r="U1303" s="36"/>
      <c r="V1303" s="36"/>
      <c r="W1303" s="36"/>
      <c r="X1303" s="36"/>
      <c r="Y1303" s="36"/>
      <c r="Z1303" s="36"/>
      <c r="AA1303" s="36"/>
      <c r="AB1303" s="36"/>
    </row>
    <row r="1304" spans="1:28" ht="36" hidden="1" customHeight="1">
      <c r="A1304" s="207" t="s">
        <v>1873</v>
      </c>
      <c r="B1304" s="117">
        <v>2015</v>
      </c>
      <c r="C1304" s="117" t="s">
        <v>39</v>
      </c>
      <c r="D1304" s="195" t="s">
        <v>1874</v>
      </c>
      <c r="E1304" s="206" t="s">
        <v>41</v>
      </c>
      <c r="F1304" s="117" t="s">
        <v>97</v>
      </c>
      <c r="G1304" s="211" t="s">
        <v>43</v>
      </c>
      <c r="H1304" s="117" t="s">
        <v>2540</v>
      </c>
      <c r="I1304" s="35"/>
      <c r="J1304" s="36"/>
      <c r="K1304" s="36"/>
      <c r="L1304" s="36"/>
      <c r="M1304" s="36"/>
      <c r="N1304" s="36"/>
      <c r="O1304" s="36"/>
      <c r="P1304" s="36"/>
      <c r="Q1304" s="36"/>
      <c r="R1304" s="36"/>
      <c r="S1304" s="36"/>
      <c r="T1304" s="36"/>
      <c r="U1304" s="36"/>
      <c r="V1304" s="36"/>
      <c r="W1304" s="36"/>
      <c r="X1304" s="36"/>
      <c r="Y1304" s="36"/>
      <c r="Z1304" s="36"/>
      <c r="AA1304" s="36"/>
      <c r="AB1304" s="36"/>
    </row>
    <row r="1305" spans="1:28" ht="36" hidden="1" customHeight="1">
      <c r="A1305" s="207" t="s">
        <v>831</v>
      </c>
      <c r="B1305" s="117">
        <v>2012</v>
      </c>
      <c r="C1305" s="117" t="s">
        <v>57</v>
      </c>
      <c r="D1305" s="195" t="s">
        <v>546</v>
      </c>
      <c r="E1305" s="206" t="s">
        <v>2702</v>
      </c>
      <c r="F1305" s="117" t="s">
        <v>97</v>
      </c>
      <c r="G1305" s="211" t="s">
        <v>43</v>
      </c>
      <c r="H1305" s="117" t="s">
        <v>2540</v>
      </c>
      <c r="I1305" s="35"/>
      <c r="J1305" s="36"/>
      <c r="K1305" s="36"/>
      <c r="L1305" s="36"/>
      <c r="M1305" s="36"/>
      <c r="N1305" s="36"/>
      <c r="O1305" s="36"/>
      <c r="P1305" s="36"/>
      <c r="Q1305" s="36"/>
      <c r="R1305" s="36"/>
      <c r="S1305" s="36"/>
      <c r="T1305" s="36"/>
      <c r="U1305" s="36"/>
      <c r="V1305" s="36"/>
      <c r="W1305" s="36"/>
      <c r="X1305" s="36"/>
      <c r="Y1305" s="36"/>
      <c r="Z1305" s="36"/>
      <c r="AA1305" s="36"/>
      <c r="AB1305" s="36"/>
    </row>
    <row r="1306" spans="1:28" ht="36" hidden="1" customHeight="1">
      <c r="A1306" s="207" t="s">
        <v>2703</v>
      </c>
      <c r="B1306" s="206">
        <v>1995</v>
      </c>
      <c r="C1306" s="197" t="s">
        <v>57</v>
      </c>
      <c r="D1306" s="195" t="s">
        <v>522</v>
      </c>
      <c r="E1306" s="206" t="s">
        <v>2704</v>
      </c>
      <c r="F1306" s="117" t="s">
        <v>97</v>
      </c>
      <c r="G1306" s="211" t="s">
        <v>43</v>
      </c>
      <c r="H1306" s="117" t="s">
        <v>2540</v>
      </c>
      <c r="I1306" s="35"/>
      <c r="J1306" s="36"/>
      <c r="K1306" s="36"/>
      <c r="L1306" s="36"/>
      <c r="M1306" s="36"/>
      <c r="N1306" s="36"/>
      <c r="O1306" s="36"/>
      <c r="P1306" s="36"/>
      <c r="Q1306" s="36"/>
      <c r="R1306" s="36"/>
      <c r="S1306" s="36"/>
      <c r="T1306" s="36"/>
      <c r="U1306" s="36"/>
      <c r="V1306" s="36"/>
      <c r="W1306" s="36"/>
      <c r="X1306" s="36"/>
      <c r="Y1306" s="36"/>
      <c r="Z1306" s="36"/>
      <c r="AA1306" s="36"/>
      <c r="AB1306" s="36"/>
    </row>
    <row r="1307" spans="1:28" ht="24" hidden="1" customHeight="1">
      <c r="A1307" s="207" t="s">
        <v>2705</v>
      </c>
      <c r="B1307" s="117">
        <v>2009</v>
      </c>
      <c r="C1307" s="117" t="s">
        <v>302</v>
      </c>
      <c r="D1307" s="195" t="s">
        <v>2706</v>
      </c>
      <c r="E1307" s="206" t="s">
        <v>41</v>
      </c>
      <c r="F1307" s="117" t="s">
        <v>97</v>
      </c>
      <c r="G1307" s="211" t="s">
        <v>43</v>
      </c>
      <c r="H1307" s="117" t="s">
        <v>2540</v>
      </c>
      <c r="I1307" s="35"/>
      <c r="J1307" s="36"/>
      <c r="K1307" s="36"/>
      <c r="L1307" s="36"/>
      <c r="M1307" s="36"/>
      <c r="N1307" s="36"/>
      <c r="O1307" s="36"/>
      <c r="P1307" s="36"/>
      <c r="Q1307" s="36"/>
      <c r="R1307" s="36"/>
      <c r="S1307" s="36"/>
      <c r="T1307" s="36"/>
      <c r="U1307" s="36"/>
      <c r="V1307" s="36"/>
      <c r="W1307" s="36"/>
      <c r="X1307" s="36"/>
      <c r="Y1307" s="36"/>
      <c r="Z1307" s="36"/>
      <c r="AA1307" s="36"/>
      <c r="AB1307" s="36"/>
    </row>
    <row r="1308" spans="1:28" ht="36" hidden="1" customHeight="1">
      <c r="A1308" s="207" t="s">
        <v>277</v>
      </c>
      <c r="B1308" s="206">
        <v>2010</v>
      </c>
      <c r="C1308" s="117" t="s">
        <v>61</v>
      </c>
      <c r="D1308" s="195" t="s">
        <v>278</v>
      </c>
      <c r="E1308" s="206" t="s">
        <v>41</v>
      </c>
      <c r="F1308" s="117" t="s">
        <v>97</v>
      </c>
      <c r="G1308" s="211" t="s">
        <v>43</v>
      </c>
      <c r="H1308" s="117" t="s">
        <v>2540</v>
      </c>
      <c r="I1308" s="35"/>
      <c r="J1308" s="36"/>
      <c r="K1308" s="36"/>
      <c r="L1308" s="36"/>
      <c r="M1308" s="36"/>
      <c r="N1308" s="36"/>
      <c r="O1308" s="36"/>
      <c r="P1308" s="36"/>
      <c r="Q1308" s="36"/>
      <c r="R1308" s="36"/>
      <c r="S1308" s="36"/>
      <c r="T1308" s="36"/>
      <c r="U1308" s="36"/>
      <c r="V1308" s="36"/>
      <c r="W1308" s="36"/>
      <c r="X1308" s="36"/>
      <c r="Y1308" s="36"/>
      <c r="Z1308" s="36"/>
      <c r="AA1308" s="36"/>
      <c r="AB1308" s="36"/>
    </row>
    <row r="1309" spans="1:28" ht="24" hidden="1" customHeight="1">
      <c r="A1309" s="207" t="s">
        <v>2707</v>
      </c>
      <c r="B1309" s="117">
        <v>2014</v>
      </c>
      <c r="C1309" s="117" t="s">
        <v>61</v>
      </c>
      <c r="D1309" s="195" t="s">
        <v>2708</v>
      </c>
      <c r="E1309" s="206" t="s">
        <v>41</v>
      </c>
      <c r="F1309" s="117" t="s">
        <v>97</v>
      </c>
      <c r="G1309" s="211" t="s">
        <v>43</v>
      </c>
      <c r="H1309" s="117" t="s">
        <v>2540</v>
      </c>
      <c r="I1309" s="35"/>
      <c r="J1309" s="36"/>
      <c r="K1309" s="36"/>
      <c r="L1309" s="36"/>
      <c r="M1309" s="36"/>
      <c r="N1309" s="36"/>
      <c r="O1309" s="36"/>
      <c r="P1309" s="36"/>
      <c r="Q1309" s="36"/>
      <c r="R1309" s="36"/>
      <c r="S1309" s="36"/>
      <c r="T1309" s="36"/>
      <c r="U1309" s="36"/>
      <c r="V1309" s="36"/>
      <c r="W1309" s="36"/>
      <c r="X1309" s="36"/>
      <c r="Y1309" s="36"/>
      <c r="Z1309" s="36"/>
      <c r="AA1309" s="36"/>
      <c r="AB1309" s="36"/>
    </row>
    <row r="1310" spans="1:28" ht="24" hidden="1" customHeight="1">
      <c r="A1310" s="207" t="s">
        <v>298</v>
      </c>
      <c r="B1310" s="206">
        <v>2015</v>
      </c>
      <c r="C1310" s="117" t="s">
        <v>57</v>
      </c>
      <c r="D1310" s="195" t="s">
        <v>299</v>
      </c>
      <c r="E1310" s="206" t="s">
        <v>41</v>
      </c>
      <c r="F1310" s="117" t="s">
        <v>97</v>
      </c>
      <c r="G1310" s="211" t="s">
        <v>43</v>
      </c>
      <c r="H1310" s="117" t="s">
        <v>2540</v>
      </c>
      <c r="I1310" s="35"/>
      <c r="J1310" s="36"/>
      <c r="K1310" s="36"/>
      <c r="L1310" s="36"/>
      <c r="M1310" s="36"/>
      <c r="N1310" s="36"/>
      <c r="O1310" s="36"/>
      <c r="P1310" s="36"/>
      <c r="Q1310" s="36"/>
      <c r="R1310" s="36"/>
      <c r="S1310" s="36"/>
      <c r="T1310" s="36"/>
      <c r="U1310" s="36"/>
      <c r="V1310" s="36"/>
      <c r="W1310" s="36"/>
      <c r="X1310" s="36"/>
      <c r="Y1310" s="36"/>
      <c r="Z1310" s="36"/>
      <c r="AA1310" s="36"/>
      <c r="AB1310" s="36"/>
    </row>
    <row r="1311" spans="1:28" ht="36" hidden="1" customHeight="1">
      <c r="A1311" s="208" t="s">
        <v>309</v>
      </c>
      <c r="B1311" s="206">
        <v>2015</v>
      </c>
      <c r="C1311" s="117" t="s">
        <v>61</v>
      </c>
      <c r="D1311" s="195" t="s">
        <v>2709</v>
      </c>
      <c r="E1311" s="206" t="s">
        <v>41</v>
      </c>
      <c r="F1311" s="117" t="s">
        <v>97</v>
      </c>
      <c r="G1311" s="211" t="s">
        <v>43</v>
      </c>
      <c r="H1311" s="117" t="s">
        <v>2540</v>
      </c>
      <c r="I1311" s="35"/>
      <c r="J1311" s="36"/>
      <c r="K1311" s="36"/>
      <c r="L1311" s="36"/>
      <c r="M1311" s="36"/>
      <c r="N1311" s="36"/>
      <c r="O1311" s="36"/>
      <c r="P1311" s="36"/>
      <c r="Q1311" s="36"/>
      <c r="R1311" s="36"/>
      <c r="S1311" s="36"/>
      <c r="T1311" s="36"/>
      <c r="U1311" s="36"/>
      <c r="V1311" s="36"/>
      <c r="W1311" s="36"/>
      <c r="X1311" s="36"/>
      <c r="Y1311" s="36"/>
      <c r="Z1311" s="36"/>
      <c r="AA1311" s="36"/>
      <c r="AB1311" s="36"/>
    </row>
    <row r="1312" spans="1:28" ht="48" hidden="1" customHeight="1">
      <c r="A1312" s="199" t="s">
        <v>2710</v>
      </c>
      <c r="B1312" s="198">
        <v>2013</v>
      </c>
      <c r="C1312" s="117" t="s">
        <v>2333</v>
      </c>
      <c r="D1312" s="195" t="s">
        <v>2711</v>
      </c>
      <c r="E1312" s="206" t="s">
        <v>41</v>
      </c>
      <c r="F1312" s="117" t="s">
        <v>97</v>
      </c>
      <c r="G1312" s="211" t="s">
        <v>43</v>
      </c>
      <c r="H1312" s="117" t="s">
        <v>2540</v>
      </c>
      <c r="I1312" s="35"/>
      <c r="J1312" s="36"/>
      <c r="K1312" s="36"/>
      <c r="L1312" s="36"/>
      <c r="M1312" s="36"/>
      <c r="N1312" s="36"/>
      <c r="O1312" s="36"/>
      <c r="P1312" s="36"/>
      <c r="Q1312" s="36"/>
      <c r="R1312" s="36"/>
      <c r="S1312" s="36"/>
      <c r="T1312" s="36"/>
      <c r="U1312" s="36"/>
      <c r="V1312" s="36"/>
      <c r="W1312" s="36"/>
      <c r="X1312" s="36"/>
      <c r="Y1312" s="36"/>
      <c r="Z1312" s="36"/>
      <c r="AA1312" s="36"/>
      <c r="AB1312" s="36"/>
    </row>
    <row r="1313" spans="1:28" ht="48" hidden="1" customHeight="1">
      <c r="A1313" s="199" t="s">
        <v>2712</v>
      </c>
      <c r="B1313" s="198">
        <v>2015</v>
      </c>
      <c r="C1313" s="117" t="s">
        <v>61</v>
      </c>
      <c r="D1313" s="195" t="s">
        <v>2713</v>
      </c>
      <c r="E1313" s="206" t="s">
        <v>41</v>
      </c>
      <c r="F1313" s="117" t="s">
        <v>97</v>
      </c>
      <c r="G1313" s="211" t="s">
        <v>43</v>
      </c>
      <c r="H1313" s="117" t="s">
        <v>2540</v>
      </c>
      <c r="I1313" s="35"/>
      <c r="J1313" s="36"/>
      <c r="K1313" s="36"/>
      <c r="L1313" s="36"/>
      <c r="M1313" s="36"/>
      <c r="N1313" s="36"/>
      <c r="O1313" s="36"/>
      <c r="P1313" s="36"/>
      <c r="Q1313" s="36"/>
      <c r="R1313" s="36"/>
      <c r="S1313" s="36"/>
      <c r="T1313" s="36"/>
      <c r="U1313" s="36"/>
      <c r="V1313" s="36"/>
      <c r="W1313" s="36"/>
      <c r="X1313" s="36"/>
      <c r="Y1313" s="36"/>
      <c r="Z1313" s="36"/>
      <c r="AA1313" s="36"/>
      <c r="AB1313" s="36"/>
    </row>
    <row r="1314" spans="1:28" ht="36" hidden="1" customHeight="1">
      <c r="A1314" s="199" t="s">
        <v>2714</v>
      </c>
      <c r="B1314" s="198">
        <v>2015</v>
      </c>
      <c r="C1314" s="117" t="s">
        <v>2333</v>
      </c>
      <c r="D1314" s="195" t="s">
        <v>2715</v>
      </c>
      <c r="E1314" s="206" t="s">
        <v>41</v>
      </c>
      <c r="F1314" s="117" t="s">
        <v>97</v>
      </c>
      <c r="G1314" s="211" t="s">
        <v>43</v>
      </c>
      <c r="H1314" s="117" t="s">
        <v>2540</v>
      </c>
      <c r="I1314" s="35"/>
      <c r="J1314" s="36"/>
      <c r="K1314" s="36"/>
      <c r="L1314" s="36"/>
      <c r="M1314" s="36"/>
      <c r="N1314" s="36"/>
      <c r="O1314" s="36"/>
      <c r="P1314" s="36"/>
      <c r="Q1314" s="36"/>
      <c r="R1314" s="36"/>
      <c r="S1314" s="36"/>
      <c r="T1314" s="36"/>
      <c r="U1314" s="36"/>
      <c r="V1314" s="36"/>
      <c r="W1314" s="36"/>
      <c r="X1314" s="36"/>
      <c r="Y1314" s="36"/>
      <c r="Z1314" s="36"/>
      <c r="AA1314" s="36"/>
      <c r="AB1314" s="36"/>
    </row>
    <row r="1315" spans="1:28" ht="12" hidden="1" customHeight="1">
      <c r="A1315" s="205" t="s">
        <v>2473</v>
      </c>
      <c r="B1315" s="117">
        <v>2007</v>
      </c>
      <c r="C1315" s="117" t="s">
        <v>1895</v>
      </c>
      <c r="D1315" s="195" t="s">
        <v>2716</v>
      </c>
      <c r="E1315" s="206" t="s">
        <v>41</v>
      </c>
      <c r="F1315" s="117" t="s">
        <v>97</v>
      </c>
      <c r="G1315" s="211" t="s">
        <v>43</v>
      </c>
      <c r="H1315" s="117" t="s">
        <v>2540</v>
      </c>
      <c r="I1315" s="35"/>
      <c r="J1315" s="36"/>
      <c r="K1315" s="36"/>
      <c r="L1315" s="36"/>
      <c r="M1315" s="36"/>
      <c r="N1315" s="36"/>
      <c r="O1315" s="36"/>
      <c r="P1315" s="36"/>
      <c r="Q1315" s="36"/>
      <c r="R1315" s="36"/>
      <c r="S1315" s="36"/>
      <c r="T1315" s="36"/>
      <c r="U1315" s="36"/>
      <c r="V1315" s="36"/>
      <c r="W1315" s="36"/>
      <c r="X1315" s="36"/>
      <c r="Y1315" s="36"/>
      <c r="Z1315" s="36"/>
      <c r="AA1315" s="36"/>
      <c r="AB1315" s="36"/>
    </row>
    <row r="1316" spans="1:28" ht="24" hidden="1" customHeight="1">
      <c r="A1316" s="207" t="s">
        <v>2717</v>
      </c>
      <c r="B1316" s="117">
        <v>2008</v>
      </c>
      <c r="C1316" s="117" t="s">
        <v>1895</v>
      </c>
      <c r="D1316" s="195" t="s">
        <v>2718</v>
      </c>
      <c r="E1316" s="206" t="s">
        <v>41</v>
      </c>
      <c r="F1316" s="117" t="s">
        <v>97</v>
      </c>
      <c r="G1316" s="211" t="s">
        <v>43</v>
      </c>
      <c r="H1316" s="117" t="s">
        <v>2540</v>
      </c>
      <c r="I1316" s="35"/>
      <c r="J1316" s="36"/>
      <c r="K1316" s="36"/>
      <c r="L1316" s="36"/>
      <c r="M1316" s="36"/>
      <c r="N1316" s="36"/>
      <c r="O1316" s="36"/>
      <c r="P1316" s="36"/>
      <c r="Q1316" s="36"/>
      <c r="R1316" s="36"/>
      <c r="S1316" s="36"/>
      <c r="T1316" s="36"/>
      <c r="U1316" s="36"/>
      <c r="V1316" s="36"/>
      <c r="W1316" s="36"/>
      <c r="X1316" s="36"/>
      <c r="Y1316" s="36"/>
      <c r="Z1316" s="36"/>
      <c r="AA1316" s="36"/>
      <c r="AB1316" s="36"/>
    </row>
    <row r="1317" spans="1:28" ht="12" hidden="1" customHeight="1">
      <c r="A1317" s="207" t="s">
        <v>2719</v>
      </c>
      <c r="B1317" s="117">
        <v>2008</v>
      </c>
      <c r="C1317" s="117" t="s">
        <v>1895</v>
      </c>
      <c r="D1317" s="195" t="s">
        <v>2720</v>
      </c>
      <c r="E1317" s="206" t="s">
        <v>41</v>
      </c>
      <c r="F1317" s="117" t="s">
        <v>97</v>
      </c>
      <c r="G1317" s="211" t="s">
        <v>43</v>
      </c>
      <c r="H1317" s="117" t="s">
        <v>2540</v>
      </c>
      <c r="I1317" s="35"/>
      <c r="J1317" s="36"/>
      <c r="K1317" s="36"/>
      <c r="L1317" s="36"/>
      <c r="M1317" s="36"/>
      <c r="N1317" s="36"/>
      <c r="O1317" s="36"/>
      <c r="P1317" s="36"/>
      <c r="Q1317" s="36"/>
      <c r="R1317" s="36"/>
      <c r="S1317" s="36"/>
      <c r="T1317" s="36"/>
      <c r="U1317" s="36"/>
      <c r="V1317" s="36"/>
      <c r="W1317" s="36"/>
      <c r="X1317" s="36"/>
      <c r="Y1317" s="36"/>
      <c r="Z1317" s="36"/>
      <c r="AA1317" s="36"/>
      <c r="AB1317" s="36"/>
    </row>
    <row r="1318" spans="1:28" ht="12" hidden="1" customHeight="1">
      <c r="A1318" s="207" t="s">
        <v>2721</v>
      </c>
      <c r="B1318" s="117">
        <v>2009</v>
      </c>
      <c r="C1318" s="117" t="s">
        <v>1895</v>
      </c>
      <c r="D1318" s="195" t="s">
        <v>2722</v>
      </c>
      <c r="E1318" s="206" t="s">
        <v>41</v>
      </c>
      <c r="F1318" s="117" t="s">
        <v>97</v>
      </c>
      <c r="G1318" s="211" t="s">
        <v>43</v>
      </c>
      <c r="H1318" s="117" t="s">
        <v>2540</v>
      </c>
      <c r="I1318" s="35"/>
      <c r="J1318" s="36"/>
      <c r="K1318" s="36"/>
      <c r="L1318" s="36"/>
      <c r="M1318" s="36"/>
      <c r="N1318" s="36"/>
      <c r="O1318" s="36"/>
      <c r="P1318" s="36"/>
      <c r="Q1318" s="36"/>
      <c r="R1318" s="36"/>
      <c r="S1318" s="36"/>
      <c r="T1318" s="36"/>
      <c r="U1318" s="36"/>
      <c r="V1318" s="36"/>
      <c r="W1318" s="36"/>
      <c r="X1318" s="36"/>
      <c r="Y1318" s="36"/>
      <c r="Z1318" s="36"/>
      <c r="AA1318" s="36"/>
      <c r="AB1318" s="36"/>
    </row>
    <row r="1319" spans="1:28" ht="24" hidden="1" customHeight="1">
      <c r="A1319" s="207" t="s">
        <v>2484</v>
      </c>
      <c r="B1319" s="117">
        <v>2011</v>
      </c>
      <c r="C1319" s="117" t="s">
        <v>1098</v>
      </c>
      <c r="D1319" s="195" t="s">
        <v>2723</v>
      </c>
      <c r="E1319" s="206" t="s">
        <v>41</v>
      </c>
      <c r="F1319" s="117" t="s">
        <v>97</v>
      </c>
      <c r="G1319" s="211" t="s">
        <v>43</v>
      </c>
      <c r="H1319" s="117" t="s">
        <v>2540</v>
      </c>
      <c r="I1319" s="35"/>
      <c r="J1319" s="36"/>
      <c r="K1319" s="36"/>
      <c r="L1319" s="36"/>
      <c r="M1319" s="36"/>
      <c r="N1319" s="36"/>
      <c r="O1319" s="36"/>
      <c r="P1319" s="36"/>
      <c r="Q1319" s="36"/>
      <c r="R1319" s="36"/>
      <c r="S1319" s="36"/>
      <c r="T1319" s="36"/>
      <c r="U1319" s="36"/>
      <c r="V1319" s="36"/>
      <c r="W1319" s="36"/>
      <c r="X1319" s="36"/>
      <c r="Y1319" s="36"/>
      <c r="Z1319" s="36"/>
      <c r="AA1319" s="36"/>
      <c r="AB1319" s="36"/>
    </row>
    <row r="1320" spans="1:28" ht="24" hidden="1" customHeight="1">
      <c r="A1320" s="207" t="s">
        <v>2663</v>
      </c>
      <c r="B1320" s="117">
        <v>2012</v>
      </c>
      <c r="C1320" s="117" t="s">
        <v>960</v>
      </c>
      <c r="D1320" s="195" t="s">
        <v>2724</v>
      </c>
      <c r="E1320" s="206" t="s">
        <v>41</v>
      </c>
      <c r="F1320" s="117" t="s">
        <v>97</v>
      </c>
      <c r="G1320" s="211" t="s">
        <v>43</v>
      </c>
      <c r="H1320" s="117" t="s">
        <v>2540</v>
      </c>
      <c r="I1320" s="35"/>
      <c r="J1320" s="36"/>
      <c r="K1320" s="36"/>
      <c r="L1320" s="36"/>
      <c r="M1320" s="36"/>
      <c r="N1320" s="36"/>
      <c r="O1320" s="36"/>
      <c r="P1320" s="36"/>
      <c r="Q1320" s="36"/>
      <c r="R1320" s="36"/>
      <c r="S1320" s="36"/>
      <c r="T1320" s="36"/>
      <c r="U1320" s="36"/>
      <c r="V1320" s="36"/>
      <c r="W1320" s="36"/>
      <c r="X1320" s="36"/>
      <c r="Y1320" s="36"/>
      <c r="Z1320" s="36"/>
      <c r="AA1320" s="36"/>
      <c r="AB1320" s="36"/>
    </row>
    <row r="1321" spans="1:28" ht="12" hidden="1" customHeight="1">
      <c r="A1321" s="207" t="s">
        <v>2725</v>
      </c>
      <c r="B1321" s="117">
        <v>2014</v>
      </c>
      <c r="C1321" s="117" t="s">
        <v>1895</v>
      </c>
      <c r="D1321" s="195" t="s">
        <v>2726</v>
      </c>
      <c r="E1321" s="206" t="s">
        <v>41</v>
      </c>
      <c r="F1321" s="117" t="s">
        <v>97</v>
      </c>
      <c r="G1321" s="211" t="s">
        <v>43</v>
      </c>
      <c r="H1321" s="117" t="s">
        <v>2540</v>
      </c>
      <c r="I1321" s="35"/>
      <c r="J1321" s="36"/>
      <c r="K1321" s="36"/>
      <c r="L1321" s="36"/>
      <c r="M1321" s="36"/>
      <c r="N1321" s="36"/>
      <c r="O1321" s="36"/>
      <c r="P1321" s="36"/>
      <c r="Q1321" s="36"/>
      <c r="R1321" s="36"/>
      <c r="S1321" s="36"/>
      <c r="T1321" s="36"/>
      <c r="U1321" s="36"/>
      <c r="V1321" s="36"/>
      <c r="W1321" s="36"/>
      <c r="X1321" s="36"/>
      <c r="Y1321" s="36"/>
      <c r="Z1321" s="36"/>
      <c r="AA1321" s="36"/>
      <c r="AB1321" s="36"/>
    </row>
    <row r="1322" spans="1:28" ht="12" hidden="1" customHeight="1">
      <c r="A1322" s="207" t="s">
        <v>2473</v>
      </c>
      <c r="B1322" s="117">
        <v>2015</v>
      </c>
      <c r="C1322" s="117" t="s">
        <v>960</v>
      </c>
      <c r="D1322" s="195" t="s">
        <v>2727</v>
      </c>
      <c r="E1322" s="206" t="s">
        <v>41</v>
      </c>
      <c r="F1322" s="117" t="s">
        <v>97</v>
      </c>
      <c r="G1322" s="211" t="s">
        <v>43</v>
      </c>
      <c r="H1322" s="117" t="s">
        <v>2540</v>
      </c>
      <c r="I1322" s="35"/>
      <c r="J1322" s="36"/>
      <c r="K1322" s="36"/>
      <c r="L1322" s="36"/>
      <c r="M1322" s="36"/>
      <c r="N1322" s="36"/>
      <c r="O1322" s="36"/>
      <c r="P1322" s="36"/>
      <c r="Q1322" s="36"/>
      <c r="R1322" s="36"/>
      <c r="S1322" s="36"/>
      <c r="T1322" s="36"/>
      <c r="U1322" s="36"/>
      <c r="V1322" s="36"/>
      <c r="W1322" s="36"/>
      <c r="X1322" s="36"/>
      <c r="Y1322" s="36"/>
      <c r="Z1322" s="36"/>
      <c r="AA1322" s="36"/>
      <c r="AB1322" s="36"/>
    </row>
    <row r="1323" spans="1:28" ht="24" hidden="1" customHeight="1">
      <c r="A1323" s="207" t="s">
        <v>959</v>
      </c>
      <c r="B1323" s="206">
        <v>2015</v>
      </c>
      <c r="C1323" s="117" t="s">
        <v>960</v>
      </c>
      <c r="D1323" s="195" t="s">
        <v>961</v>
      </c>
      <c r="E1323" s="206" t="s">
        <v>2728</v>
      </c>
      <c r="F1323" s="117" t="s">
        <v>97</v>
      </c>
      <c r="G1323" s="211" t="s">
        <v>43</v>
      </c>
      <c r="H1323" s="117" t="s">
        <v>2540</v>
      </c>
      <c r="I1323" s="35"/>
      <c r="J1323" s="36"/>
      <c r="K1323" s="36"/>
      <c r="L1323" s="36"/>
      <c r="M1323" s="36"/>
      <c r="N1323" s="36"/>
      <c r="O1323" s="36"/>
      <c r="P1323" s="36"/>
      <c r="Q1323" s="36"/>
      <c r="R1323" s="36"/>
      <c r="S1323" s="36"/>
      <c r="T1323" s="36"/>
      <c r="U1323" s="36"/>
      <c r="V1323" s="36"/>
      <c r="W1323" s="36"/>
      <c r="X1323" s="36"/>
      <c r="Y1323" s="36"/>
      <c r="Z1323" s="36"/>
      <c r="AA1323" s="36"/>
      <c r="AB1323" s="36"/>
    </row>
    <row r="1324" spans="1:28" ht="24" hidden="1" customHeight="1">
      <c r="A1324" s="207" t="s">
        <v>2484</v>
      </c>
      <c r="B1324" s="117">
        <v>2016</v>
      </c>
      <c r="C1324" s="117" t="s">
        <v>2374</v>
      </c>
      <c r="D1324" s="195" t="s">
        <v>2485</v>
      </c>
      <c r="E1324" s="206" t="s">
        <v>41</v>
      </c>
      <c r="F1324" s="117" t="s">
        <v>97</v>
      </c>
      <c r="G1324" s="211" t="s">
        <v>43</v>
      </c>
      <c r="H1324" s="117" t="s">
        <v>2540</v>
      </c>
      <c r="I1324" s="35"/>
      <c r="J1324" s="36"/>
      <c r="K1324" s="36"/>
      <c r="L1324" s="36"/>
      <c r="M1324" s="36"/>
      <c r="N1324" s="36"/>
      <c r="O1324" s="36"/>
      <c r="P1324" s="36"/>
      <c r="Q1324" s="36"/>
      <c r="R1324" s="36"/>
      <c r="S1324" s="36"/>
      <c r="T1324" s="36"/>
      <c r="U1324" s="36"/>
      <c r="V1324" s="36"/>
      <c r="W1324" s="36"/>
      <c r="X1324" s="36"/>
      <c r="Y1324" s="36"/>
      <c r="Z1324" s="36"/>
      <c r="AA1324" s="36"/>
      <c r="AB1324" s="36"/>
    </row>
    <row r="1325" spans="1:28" ht="24" hidden="1" customHeight="1">
      <c r="A1325" s="207" t="s">
        <v>959</v>
      </c>
      <c r="B1325" s="117">
        <v>2017</v>
      </c>
      <c r="C1325" s="117" t="s">
        <v>960</v>
      </c>
      <c r="D1325" s="195" t="s">
        <v>2729</v>
      </c>
      <c r="E1325" s="206" t="s">
        <v>41</v>
      </c>
      <c r="F1325" s="117" t="s">
        <v>97</v>
      </c>
      <c r="G1325" s="211" t="s">
        <v>43</v>
      </c>
      <c r="H1325" s="117" t="s">
        <v>2540</v>
      </c>
      <c r="I1325" s="35"/>
      <c r="J1325" s="36"/>
      <c r="K1325" s="36"/>
      <c r="L1325" s="36"/>
      <c r="M1325" s="36"/>
      <c r="N1325" s="36"/>
      <c r="O1325" s="36"/>
      <c r="P1325" s="36"/>
      <c r="Q1325" s="36"/>
      <c r="R1325" s="36"/>
      <c r="S1325" s="36"/>
      <c r="T1325" s="36"/>
      <c r="U1325" s="36"/>
      <c r="V1325" s="36"/>
      <c r="W1325" s="36"/>
      <c r="X1325" s="36"/>
      <c r="Y1325" s="36"/>
      <c r="Z1325" s="36"/>
      <c r="AA1325" s="36"/>
      <c r="AB1325" s="36"/>
    </row>
    <row r="1326" spans="1:28" ht="24" hidden="1" customHeight="1">
      <c r="A1326" s="207" t="s">
        <v>951</v>
      </c>
      <c r="B1326" s="117">
        <v>2017</v>
      </c>
      <c r="C1326" s="117" t="s">
        <v>960</v>
      </c>
      <c r="D1326" s="195" t="s">
        <v>2730</v>
      </c>
      <c r="E1326" s="206" t="s">
        <v>41</v>
      </c>
      <c r="F1326" s="117" t="s">
        <v>97</v>
      </c>
      <c r="G1326" s="211" t="s">
        <v>43</v>
      </c>
      <c r="H1326" s="117" t="s">
        <v>2540</v>
      </c>
      <c r="I1326" s="35"/>
      <c r="J1326" s="36"/>
      <c r="K1326" s="36"/>
      <c r="L1326" s="36"/>
      <c r="M1326" s="36"/>
      <c r="N1326" s="36"/>
      <c r="O1326" s="36"/>
      <c r="P1326" s="36"/>
      <c r="Q1326" s="36"/>
      <c r="R1326" s="36"/>
      <c r="S1326" s="36"/>
      <c r="T1326" s="36"/>
      <c r="U1326" s="36"/>
      <c r="V1326" s="36"/>
      <c r="W1326" s="36"/>
      <c r="X1326" s="36"/>
      <c r="Y1326" s="36"/>
      <c r="Z1326" s="36"/>
      <c r="AA1326" s="36"/>
      <c r="AB1326" s="36"/>
    </row>
    <row r="1327" spans="1:28" ht="36" hidden="1" customHeight="1">
      <c r="A1327" s="207" t="s">
        <v>1891</v>
      </c>
      <c r="B1327" s="117">
        <v>2015</v>
      </c>
      <c r="C1327" s="117" t="s">
        <v>599</v>
      </c>
      <c r="D1327" s="195" t="s">
        <v>2468</v>
      </c>
      <c r="E1327" s="206" t="s">
        <v>41</v>
      </c>
      <c r="F1327" s="117" t="s">
        <v>97</v>
      </c>
      <c r="G1327" s="211" t="s">
        <v>43</v>
      </c>
      <c r="H1327" s="117" t="s">
        <v>2540</v>
      </c>
      <c r="I1327" s="35"/>
      <c r="J1327" s="36"/>
      <c r="K1327" s="36"/>
      <c r="L1327" s="36"/>
      <c r="M1327" s="36"/>
      <c r="N1327" s="36"/>
      <c r="O1327" s="36"/>
      <c r="P1327" s="36"/>
      <c r="Q1327" s="36"/>
      <c r="R1327" s="36"/>
      <c r="S1327" s="36"/>
      <c r="T1327" s="36"/>
      <c r="U1327" s="36"/>
      <c r="V1327" s="36"/>
      <c r="W1327" s="36"/>
      <c r="X1327" s="36"/>
      <c r="Y1327" s="36"/>
      <c r="Z1327" s="36"/>
      <c r="AA1327" s="36"/>
      <c r="AB1327" s="36"/>
    </row>
    <row r="1328" spans="1:28" ht="12" hidden="1" customHeight="1">
      <c r="A1328" s="207" t="s">
        <v>2731</v>
      </c>
      <c r="B1328" s="117">
        <v>2016</v>
      </c>
      <c r="C1328" s="117" t="s">
        <v>1098</v>
      </c>
      <c r="D1328" s="195" t="s">
        <v>2732</v>
      </c>
      <c r="E1328" s="206" t="s">
        <v>41</v>
      </c>
      <c r="F1328" s="117" t="s">
        <v>97</v>
      </c>
      <c r="G1328" s="211" t="s">
        <v>43</v>
      </c>
      <c r="H1328" s="117" t="s">
        <v>2540</v>
      </c>
      <c r="I1328" s="35"/>
      <c r="J1328" s="36"/>
      <c r="K1328" s="36"/>
      <c r="L1328" s="36"/>
      <c r="M1328" s="36"/>
      <c r="N1328" s="36"/>
      <c r="O1328" s="36"/>
      <c r="P1328" s="36"/>
      <c r="Q1328" s="36"/>
      <c r="R1328" s="36"/>
      <c r="S1328" s="36"/>
      <c r="T1328" s="36"/>
      <c r="U1328" s="36"/>
      <c r="V1328" s="36"/>
      <c r="W1328" s="36"/>
      <c r="X1328" s="36"/>
      <c r="Y1328" s="36"/>
      <c r="Z1328" s="36"/>
      <c r="AA1328" s="36"/>
      <c r="AB1328" s="36"/>
    </row>
    <row r="1329" spans="1:28" ht="36" hidden="1" customHeight="1">
      <c r="A1329" s="207" t="s">
        <v>2733</v>
      </c>
      <c r="B1329" s="117">
        <v>2016</v>
      </c>
      <c r="C1329" s="117" t="s">
        <v>1098</v>
      </c>
      <c r="D1329" s="195" t="s">
        <v>2734</v>
      </c>
      <c r="E1329" s="206" t="s">
        <v>41</v>
      </c>
      <c r="F1329" s="117" t="s">
        <v>97</v>
      </c>
      <c r="G1329" s="211" t="s">
        <v>43</v>
      </c>
      <c r="H1329" s="117" t="s">
        <v>2540</v>
      </c>
      <c r="I1329" s="35"/>
      <c r="J1329" s="36"/>
      <c r="K1329" s="36"/>
      <c r="L1329" s="36"/>
      <c r="M1329" s="36"/>
      <c r="N1329" s="36"/>
      <c r="O1329" s="36"/>
      <c r="P1329" s="36"/>
      <c r="Q1329" s="36"/>
      <c r="R1329" s="36"/>
      <c r="S1329" s="36"/>
      <c r="T1329" s="36"/>
      <c r="U1329" s="36"/>
      <c r="V1329" s="36"/>
      <c r="W1329" s="36"/>
      <c r="X1329" s="36"/>
      <c r="Y1329" s="36"/>
      <c r="Z1329" s="36"/>
      <c r="AA1329" s="36"/>
      <c r="AB1329" s="36"/>
    </row>
    <row r="1330" spans="1:28" ht="24" hidden="1" customHeight="1">
      <c r="A1330" s="207" t="s">
        <v>2735</v>
      </c>
      <c r="B1330" s="206">
        <v>2017</v>
      </c>
      <c r="C1330" s="117" t="s">
        <v>1098</v>
      </c>
      <c r="D1330" s="195" t="s">
        <v>2736</v>
      </c>
      <c r="E1330" s="206" t="s">
        <v>41</v>
      </c>
      <c r="F1330" s="117" t="s">
        <v>97</v>
      </c>
      <c r="G1330" s="211" t="s">
        <v>43</v>
      </c>
      <c r="H1330" s="117" t="s">
        <v>2540</v>
      </c>
      <c r="I1330" s="35"/>
      <c r="J1330" s="36"/>
      <c r="K1330" s="36"/>
      <c r="L1330" s="36"/>
      <c r="M1330" s="36"/>
      <c r="N1330" s="36"/>
      <c r="O1330" s="36"/>
      <c r="P1330" s="36"/>
      <c r="Q1330" s="36"/>
      <c r="R1330" s="36"/>
      <c r="S1330" s="36"/>
      <c r="T1330" s="36"/>
      <c r="U1330" s="36"/>
      <c r="V1330" s="36"/>
      <c r="W1330" s="36"/>
      <c r="X1330" s="36"/>
      <c r="Y1330" s="36"/>
      <c r="Z1330" s="36"/>
      <c r="AA1330" s="36"/>
      <c r="AB1330" s="36"/>
    </row>
    <row r="1331" spans="1:28" ht="36" hidden="1" customHeight="1">
      <c r="A1331" s="232" t="s">
        <v>2737</v>
      </c>
      <c r="B1331" s="117">
        <v>2019</v>
      </c>
      <c r="C1331" s="117" t="s">
        <v>2738</v>
      </c>
      <c r="D1331" s="195" t="s">
        <v>2739</v>
      </c>
      <c r="E1331" s="206" t="s">
        <v>41</v>
      </c>
      <c r="F1331" s="117" t="s">
        <v>97</v>
      </c>
      <c r="G1331" s="211" t="s">
        <v>43</v>
      </c>
      <c r="H1331" s="117" t="s">
        <v>2540</v>
      </c>
      <c r="I1331" s="35"/>
      <c r="J1331" s="36"/>
      <c r="K1331" s="36"/>
      <c r="L1331" s="36"/>
      <c r="M1331" s="36"/>
      <c r="N1331" s="36"/>
      <c r="O1331" s="36"/>
      <c r="P1331" s="36"/>
      <c r="Q1331" s="36"/>
      <c r="R1331" s="36"/>
      <c r="S1331" s="36"/>
      <c r="T1331" s="36"/>
      <c r="U1331" s="36"/>
      <c r="V1331" s="36"/>
      <c r="W1331" s="36"/>
      <c r="X1331" s="36"/>
      <c r="Y1331" s="36"/>
      <c r="Z1331" s="36"/>
      <c r="AA1331" s="36"/>
      <c r="AB1331" s="36"/>
    </row>
    <row r="1332" spans="1:28" ht="36" hidden="1" customHeight="1">
      <c r="A1332" s="207" t="s">
        <v>1497</v>
      </c>
      <c r="B1332" s="206">
        <v>1995</v>
      </c>
      <c r="C1332" s="117" t="s">
        <v>39</v>
      </c>
      <c r="D1332" s="195" t="s">
        <v>2740</v>
      </c>
      <c r="E1332" s="206" t="s">
        <v>41</v>
      </c>
      <c r="F1332" s="117" t="s">
        <v>42</v>
      </c>
      <c r="G1332" s="211" t="s">
        <v>43</v>
      </c>
      <c r="H1332" s="117" t="s">
        <v>2741</v>
      </c>
      <c r="I1332" s="35"/>
      <c r="J1332" s="36"/>
      <c r="K1332" s="36"/>
      <c r="L1332" s="36"/>
      <c r="M1332" s="36"/>
      <c r="N1332" s="36"/>
      <c r="O1332" s="36"/>
      <c r="P1332" s="36"/>
      <c r="Q1332" s="36"/>
      <c r="R1332" s="36"/>
      <c r="S1332" s="36"/>
      <c r="T1332" s="36"/>
      <c r="U1332" s="36"/>
      <c r="V1332" s="36"/>
      <c r="W1332" s="36"/>
      <c r="X1332" s="36"/>
      <c r="Y1332" s="36"/>
      <c r="Z1332" s="36"/>
      <c r="AA1332" s="36"/>
      <c r="AB1332" s="36"/>
    </row>
    <row r="1333" spans="1:28" ht="12" hidden="1" customHeight="1">
      <c r="A1333" s="207" t="s">
        <v>1674</v>
      </c>
      <c r="B1333" s="206">
        <v>2016</v>
      </c>
      <c r="C1333" s="117" t="s">
        <v>507</v>
      </c>
      <c r="D1333" s="195" t="s">
        <v>56</v>
      </c>
      <c r="E1333" s="206" t="s">
        <v>41</v>
      </c>
      <c r="F1333" s="117" t="s">
        <v>42</v>
      </c>
      <c r="G1333" s="211" t="s">
        <v>43</v>
      </c>
      <c r="H1333" s="117" t="s">
        <v>2741</v>
      </c>
      <c r="I1333" s="35"/>
      <c r="J1333" s="36"/>
      <c r="K1333" s="36"/>
      <c r="L1333" s="36"/>
      <c r="M1333" s="36"/>
      <c r="N1333" s="36"/>
      <c r="O1333" s="36"/>
      <c r="P1333" s="36"/>
      <c r="Q1333" s="36"/>
      <c r="R1333" s="36"/>
      <c r="S1333" s="36"/>
      <c r="T1333" s="36"/>
      <c r="U1333" s="36"/>
      <c r="V1333" s="36"/>
      <c r="W1333" s="36"/>
      <c r="X1333" s="36"/>
      <c r="Y1333" s="36"/>
      <c r="Z1333" s="36"/>
      <c r="AA1333" s="36"/>
      <c r="AB1333" s="36"/>
    </row>
    <row r="1334" spans="1:28" ht="12" hidden="1" customHeight="1">
      <c r="A1334" s="207" t="s">
        <v>980</v>
      </c>
      <c r="B1334" s="206">
        <v>2006</v>
      </c>
      <c r="C1334" s="117" t="s">
        <v>39</v>
      </c>
      <c r="D1334" s="195" t="s">
        <v>2742</v>
      </c>
      <c r="E1334" s="206" t="s">
        <v>41</v>
      </c>
      <c r="F1334" s="117" t="s">
        <v>42</v>
      </c>
      <c r="G1334" s="211" t="s">
        <v>43</v>
      </c>
      <c r="H1334" s="117" t="s">
        <v>2741</v>
      </c>
      <c r="I1334" s="35"/>
      <c r="J1334" s="36"/>
      <c r="K1334" s="36"/>
      <c r="L1334" s="36"/>
      <c r="M1334" s="36"/>
      <c r="N1334" s="36"/>
      <c r="O1334" s="36"/>
      <c r="P1334" s="36"/>
      <c r="Q1334" s="36"/>
      <c r="R1334" s="36"/>
      <c r="S1334" s="36"/>
      <c r="T1334" s="36"/>
      <c r="U1334" s="36"/>
      <c r="V1334" s="36"/>
      <c r="W1334" s="36"/>
      <c r="X1334" s="36"/>
      <c r="Y1334" s="36"/>
      <c r="Z1334" s="36"/>
      <c r="AA1334" s="36"/>
      <c r="AB1334" s="36"/>
    </row>
    <row r="1335" spans="1:28" ht="36" hidden="1" customHeight="1">
      <c r="A1335" s="207" t="s">
        <v>2743</v>
      </c>
      <c r="B1335" s="206">
        <v>2003</v>
      </c>
      <c r="C1335" s="117" t="s">
        <v>856</v>
      </c>
      <c r="D1335" s="195" t="s">
        <v>2744</v>
      </c>
      <c r="E1335" s="206" t="s">
        <v>41</v>
      </c>
      <c r="F1335" s="117" t="s">
        <v>42</v>
      </c>
      <c r="G1335" s="211" t="s">
        <v>43</v>
      </c>
      <c r="H1335" s="117" t="s">
        <v>2741</v>
      </c>
      <c r="I1335" s="35"/>
      <c r="J1335" s="36"/>
      <c r="K1335" s="36"/>
      <c r="L1335" s="36"/>
      <c r="M1335" s="36"/>
      <c r="N1335" s="36"/>
      <c r="O1335" s="36"/>
      <c r="P1335" s="36"/>
      <c r="Q1335" s="36"/>
      <c r="R1335" s="36"/>
      <c r="S1335" s="36"/>
      <c r="T1335" s="36"/>
      <c r="U1335" s="36"/>
      <c r="V1335" s="36"/>
      <c r="W1335" s="36"/>
      <c r="X1335" s="36"/>
      <c r="Y1335" s="36"/>
      <c r="Z1335" s="36"/>
      <c r="AA1335" s="36"/>
      <c r="AB1335" s="36"/>
    </row>
    <row r="1336" spans="1:28" ht="24" hidden="1" customHeight="1">
      <c r="A1336" s="207" t="s">
        <v>2745</v>
      </c>
      <c r="B1336" s="206">
        <v>2005</v>
      </c>
      <c r="C1336" s="117" t="s">
        <v>856</v>
      </c>
      <c r="D1336" s="195" t="s">
        <v>2746</v>
      </c>
      <c r="E1336" s="206" t="s">
        <v>41</v>
      </c>
      <c r="F1336" s="117" t="s">
        <v>42</v>
      </c>
      <c r="G1336" s="211" t="s">
        <v>43</v>
      </c>
      <c r="H1336" s="117" t="s">
        <v>2741</v>
      </c>
      <c r="I1336" s="35"/>
      <c r="J1336" s="36"/>
      <c r="K1336" s="36"/>
      <c r="L1336" s="36"/>
      <c r="M1336" s="36"/>
      <c r="N1336" s="36"/>
      <c r="O1336" s="36"/>
      <c r="P1336" s="36"/>
      <c r="Q1336" s="36"/>
      <c r="R1336" s="36"/>
      <c r="S1336" s="36"/>
      <c r="T1336" s="36"/>
      <c r="U1336" s="36"/>
      <c r="V1336" s="36"/>
      <c r="W1336" s="36"/>
      <c r="X1336" s="36"/>
      <c r="Y1336" s="36"/>
      <c r="Z1336" s="36"/>
      <c r="AA1336" s="36"/>
      <c r="AB1336" s="36"/>
    </row>
    <row r="1337" spans="1:28" ht="24" hidden="1" customHeight="1">
      <c r="A1337" s="207" t="s">
        <v>2747</v>
      </c>
      <c r="B1337" s="206">
        <v>2007</v>
      </c>
      <c r="C1337" s="117" t="s">
        <v>856</v>
      </c>
      <c r="D1337" s="195" t="s">
        <v>2748</v>
      </c>
      <c r="E1337" s="206" t="s">
        <v>41</v>
      </c>
      <c r="F1337" s="117" t="s">
        <v>42</v>
      </c>
      <c r="G1337" s="211" t="s">
        <v>43</v>
      </c>
      <c r="H1337" s="117" t="s">
        <v>2741</v>
      </c>
      <c r="I1337" s="35"/>
      <c r="J1337" s="36"/>
      <c r="K1337" s="36"/>
      <c r="L1337" s="36"/>
      <c r="M1337" s="36"/>
      <c r="N1337" s="36"/>
      <c r="O1337" s="36"/>
      <c r="P1337" s="36"/>
      <c r="Q1337" s="36"/>
      <c r="R1337" s="36"/>
      <c r="S1337" s="36"/>
      <c r="T1337" s="36"/>
      <c r="U1337" s="36"/>
      <c r="V1337" s="36"/>
      <c r="W1337" s="36"/>
      <c r="X1337" s="36"/>
      <c r="Y1337" s="36"/>
      <c r="Z1337" s="36"/>
      <c r="AA1337" s="36"/>
      <c r="AB1337" s="36"/>
    </row>
    <row r="1338" spans="1:28" ht="24" hidden="1" customHeight="1">
      <c r="A1338" s="207" t="s">
        <v>2749</v>
      </c>
      <c r="B1338" s="206">
        <v>2007</v>
      </c>
      <c r="C1338" s="117" t="s">
        <v>856</v>
      </c>
      <c r="D1338" s="195" t="s">
        <v>2750</v>
      </c>
      <c r="E1338" s="206" t="s">
        <v>41</v>
      </c>
      <c r="F1338" s="117" t="s">
        <v>42</v>
      </c>
      <c r="G1338" s="211" t="s">
        <v>43</v>
      </c>
      <c r="H1338" s="117" t="s">
        <v>2741</v>
      </c>
      <c r="I1338" s="35"/>
      <c r="J1338" s="36"/>
      <c r="K1338" s="36"/>
      <c r="L1338" s="36"/>
      <c r="M1338" s="36"/>
      <c r="N1338" s="36"/>
      <c r="O1338" s="36"/>
      <c r="P1338" s="36"/>
      <c r="Q1338" s="36"/>
      <c r="R1338" s="36"/>
      <c r="S1338" s="36"/>
      <c r="T1338" s="36"/>
      <c r="U1338" s="36"/>
      <c r="V1338" s="36"/>
      <c r="W1338" s="36"/>
      <c r="X1338" s="36"/>
      <c r="Y1338" s="36"/>
      <c r="Z1338" s="36"/>
      <c r="AA1338" s="36"/>
      <c r="AB1338" s="36"/>
    </row>
    <row r="1339" spans="1:28" ht="24" hidden="1" customHeight="1">
      <c r="A1339" s="207" t="s">
        <v>2751</v>
      </c>
      <c r="B1339" s="206">
        <v>2007</v>
      </c>
      <c r="C1339" s="117" t="s">
        <v>856</v>
      </c>
      <c r="D1339" s="195" t="s">
        <v>2752</v>
      </c>
      <c r="E1339" s="206" t="s">
        <v>41</v>
      </c>
      <c r="F1339" s="117" t="s">
        <v>42</v>
      </c>
      <c r="G1339" s="211" t="s">
        <v>43</v>
      </c>
      <c r="H1339" s="117" t="s">
        <v>2741</v>
      </c>
      <c r="I1339" s="35"/>
      <c r="J1339" s="36"/>
      <c r="K1339" s="36"/>
      <c r="L1339" s="36"/>
      <c r="M1339" s="36"/>
      <c r="N1339" s="36"/>
      <c r="O1339" s="36"/>
      <c r="P1339" s="36"/>
      <c r="Q1339" s="36"/>
      <c r="R1339" s="36"/>
      <c r="S1339" s="36"/>
      <c r="T1339" s="36"/>
      <c r="U1339" s="36"/>
      <c r="V1339" s="36"/>
      <c r="W1339" s="36"/>
      <c r="X1339" s="36"/>
      <c r="Y1339" s="36"/>
      <c r="Z1339" s="36"/>
      <c r="AA1339" s="36"/>
      <c r="AB1339" s="36"/>
    </row>
    <row r="1340" spans="1:28" ht="24" hidden="1" customHeight="1">
      <c r="A1340" s="207" t="s">
        <v>1705</v>
      </c>
      <c r="B1340" s="206">
        <v>2010</v>
      </c>
      <c r="C1340" s="117" t="s">
        <v>856</v>
      </c>
      <c r="D1340" s="195" t="s">
        <v>1016</v>
      </c>
      <c r="E1340" s="206" t="s">
        <v>41</v>
      </c>
      <c r="F1340" s="117" t="s">
        <v>42</v>
      </c>
      <c r="G1340" s="211" t="s">
        <v>43</v>
      </c>
      <c r="H1340" s="117" t="s">
        <v>2741</v>
      </c>
      <c r="I1340" s="35"/>
      <c r="J1340" s="36"/>
      <c r="K1340" s="36"/>
      <c r="L1340" s="36"/>
      <c r="M1340" s="36"/>
      <c r="N1340" s="36"/>
      <c r="O1340" s="36"/>
      <c r="P1340" s="36"/>
      <c r="Q1340" s="36"/>
      <c r="R1340" s="36"/>
      <c r="S1340" s="36"/>
      <c r="T1340" s="36"/>
      <c r="U1340" s="36"/>
      <c r="V1340" s="36"/>
      <c r="W1340" s="36"/>
      <c r="X1340" s="36"/>
      <c r="Y1340" s="36"/>
      <c r="Z1340" s="36"/>
      <c r="AA1340" s="36"/>
      <c r="AB1340" s="36"/>
    </row>
    <row r="1341" spans="1:28" ht="24" hidden="1" customHeight="1">
      <c r="A1341" s="207" t="s">
        <v>1706</v>
      </c>
      <c r="B1341" s="206">
        <v>2010</v>
      </c>
      <c r="C1341" s="117" t="s">
        <v>856</v>
      </c>
      <c r="D1341" s="195" t="s">
        <v>1018</v>
      </c>
      <c r="E1341" s="206" t="s">
        <v>41</v>
      </c>
      <c r="F1341" s="117" t="s">
        <v>42</v>
      </c>
      <c r="G1341" s="211" t="s">
        <v>43</v>
      </c>
      <c r="H1341" s="117" t="s">
        <v>2741</v>
      </c>
      <c r="I1341" s="35"/>
      <c r="J1341" s="36"/>
      <c r="K1341" s="36"/>
      <c r="L1341" s="36"/>
      <c r="M1341" s="36"/>
      <c r="N1341" s="36"/>
      <c r="O1341" s="36"/>
      <c r="P1341" s="36"/>
      <c r="Q1341" s="36"/>
      <c r="R1341" s="36"/>
      <c r="S1341" s="36"/>
      <c r="T1341" s="36"/>
      <c r="U1341" s="36"/>
      <c r="V1341" s="36"/>
      <c r="W1341" s="36"/>
      <c r="X1341" s="36"/>
      <c r="Y1341" s="36"/>
      <c r="Z1341" s="36"/>
      <c r="AA1341" s="36"/>
      <c r="AB1341" s="36"/>
    </row>
    <row r="1342" spans="1:28" ht="24" hidden="1" customHeight="1">
      <c r="A1342" s="207" t="s">
        <v>2753</v>
      </c>
      <c r="B1342" s="206">
        <v>2011</v>
      </c>
      <c r="C1342" s="117" t="s">
        <v>856</v>
      </c>
      <c r="D1342" s="195" t="s">
        <v>2754</v>
      </c>
      <c r="E1342" s="206" t="s">
        <v>41</v>
      </c>
      <c r="F1342" s="117" t="s">
        <v>42</v>
      </c>
      <c r="G1342" s="211" t="s">
        <v>43</v>
      </c>
      <c r="H1342" s="117" t="s">
        <v>2741</v>
      </c>
      <c r="I1342" s="35"/>
      <c r="J1342" s="36"/>
      <c r="K1342" s="36"/>
      <c r="L1342" s="36"/>
      <c r="M1342" s="36"/>
      <c r="N1342" s="36"/>
      <c r="O1342" s="36"/>
      <c r="P1342" s="36"/>
      <c r="Q1342" s="36"/>
      <c r="R1342" s="36"/>
      <c r="S1342" s="36"/>
      <c r="T1342" s="36"/>
      <c r="U1342" s="36"/>
      <c r="V1342" s="36"/>
      <c r="W1342" s="36"/>
      <c r="X1342" s="36"/>
      <c r="Y1342" s="36"/>
      <c r="Z1342" s="36"/>
      <c r="AA1342" s="36"/>
      <c r="AB1342" s="36"/>
    </row>
    <row r="1343" spans="1:28" ht="36" hidden="1" customHeight="1">
      <c r="A1343" s="207" t="s">
        <v>2755</v>
      </c>
      <c r="B1343" s="206">
        <v>2015</v>
      </c>
      <c r="C1343" s="117" t="s">
        <v>856</v>
      </c>
      <c r="D1343" s="195" t="s">
        <v>2756</v>
      </c>
      <c r="E1343" s="206" t="s">
        <v>41</v>
      </c>
      <c r="F1343" s="117" t="s">
        <v>42</v>
      </c>
      <c r="G1343" s="211" t="s">
        <v>43</v>
      </c>
      <c r="H1343" s="117" t="s">
        <v>2741</v>
      </c>
      <c r="I1343" s="35"/>
      <c r="J1343" s="36"/>
      <c r="K1343" s="36"/>
      <c r="L1343" s="36"/>
      <c r="M1343" s="36"/>
      <c r="N1343" s="36"/>
      <c r="O1343" s="36"/>
      <c r="P1343" s="36"/>
      <c r="Q1343" s="36"/>
      <c r="R1343" s="36"/>
      <c r="S1343" s="36"/>
      <c r="T1343" s="36"/>
      <c r="U1343" s="36"/>
      <c r="V1343" s="36"/>
      <c r="W1343" s="36"/>
      <c r="X1343" s="36"/>
      <c r="Y1343" s="36"/>
      <c r="Z1343" s="36"/>
      <c r="AA1343" s="36"/>
      <c r="AB1343" s="36"/>
    </row>
    <row r="1344" spans="1:28" ht="48" hidden="1" customHeight="1">
      <c r="A1344" s="207" t="s">
        <v>101</v>
      </c>
      <c r="B1344" s="206">
        <v>2018</v>
      </c>
      <c r="C1344" s="117" t="s">
        <v>856</v>
      </c>
      <c r="D1344" s="195" t="s">
        <v>2757</v>
      </c>
      <c r="E1344" s="206" t="s">
        <v>41</v>
      </c>
      <c r="F1344" s="117" t="s">
        <v>42</v>
      </c>
      <c r="G1344" s="211" t="s">
        <v>43</v>
      </c>
      <c r="H1344" s="117" t="s">
        <v>2741</v>
      </c>
      <c r="I1344" s="35"/>
      <c r="J1344" s="36"/>
      <c r="K1344" s="36"/>
      <c r="L1344" s="36"/>
      <c r="M1344" s="36"/>
      <c r="N1344" s="36"/>
      <c r="O1344" s="36"/>
      <c r="P1344" s="36"/>
      <c r="Q1344" s="36"/>
      <c r="R1344" s="36"/>
      <c r="S1344" s="36"/>
      <c r="T1344" s="36"/>
      <c r="U1344" s="36"/>
      <c r="V1344" s="36"/>
      <c r="W1344" s="36"/>
      <c r="X1344" s="36"/>
      <c r="Y1344" s="36"/>
      <c r="Z1344" s="36"/>
      <c r="AA1344" s="36"/>
      <c r="AB1344" s="36"/>
    </row>
    <row r="1345" spans="1:28" ht="48" hidden="1" customHeight="1">
      <c r="A1345" s="207" t="s">
        <v>104</v>
      </c>
      <c r="B1345" s="206">
        <v>2018</v>
      </c>
      <c r="C1345" s="117" t="s">
        <v>856</v>
      </c>
      <c r="D1345" s="195" t="s">
        <v>2758</v>
      </c>
      <c r="E1345" s="206" t="s">
        <v>41</v>
      </c>
      <c r="F1345" s="117" t="s">
        <v>42</v>
      </c>
      <c r="G1345" s="211" t="s">
        <v>43</v>
      </c>
      <c r="H1345" s="117" t="s">
        <v>2741</v>
      </c>
      <c r="I1345" s="35"/>
      <c r="J1345" s="36"/>
      <c r="K1345" s="36"/>
      <c r="L1345" s="36"/>
      <c r="M1345" s="36"/>
      <c r="N1345" s="36"/>
      <c r="O1345" s="36"/>
      <c r="P1345" s="36"/>
      <c r="Q1345" s="36"/>
      <c r="R1345" s="36"/>
      <c r="S1345" s="36"/>
      <c r="T1345" s="36"/>
      <c r="U1345" s="36"/>
      <c r="V1345" s="36"/>
      <c r="W1345" s="36"/>
      <c r="X1345" s="36"/>
      <c r="Y1345" s="36"/>
      <c r="Z1345" s="36"/>
      <c r="AA1345" s="36"/>
      <c r="AB1345" s="36"/>
    </row>
    <row r="1346" spans="1:28" ht="24" hidden="1" customHeight="1">
      <c r="A1346" s="199" t="s">
        <v>2759</v>
      </c>
      <c r="B1346" s="206">
        <v>2002</v>
      </c>
      <c r="C1346" s="117" t="s">
        <v>2760</v>
      </c>
      <c r="D1346" s="195" t="s">
        <v>2761</v>
      </c>
      <c r="E1346" s="206" t="s">
        <v>41</v>
      </c>
      <c r="F1346" s="117" t="s">
        <v>42</v>
      </c>
      <c r="G1346" s="211" t="s">
        <v>43</v>
      </c>
      <c r="H1346" s="117" t="s">
        <v>2741</v>
      </c>
      <c r="I1346" s="35"/>
      <c r="J1346" s="36"/>
      <c r="K1346" s="36"/>
      <c r="L1346" s="36"/>
      <c r="M1346" s="36"/>
      <c r="N1346" s="36"/>
      <c r="O1346" s="36"/>
      <c r="P1346" s="36"/>
      <c r="Q1346" s="36"/>
      <c r="R1346" s="36"/>
      <c r="S1346" s="36"/>
      <c r="T1346" s="36"/>
      <c r="U1346" s="36"/>
      <c r="V1346" s="36"/>
      <c r="W1346" s="36"/>
      <c r="X1346" s="36"/>
      <c r="Y1346" s="36"/>
      <c r="Z1346" s="36"/>
      <c r="AA1346" s="36"/>
      <c r="AB1346" s="36"/>
    </row>
    <row r="1347" spans="1:28" ht="15" hidden="1" customHeight="1">
      <c r="A1347" s="199" t="s">
        <v>1567</v>
      </c>
      <c r="B1347" s="206">
        <v>2003</v>
      </c>
      <c r="C1347" s="117" t="s">
        <v>2760</v>
      </c>
      <c r="D1347" s="195" t="s">
        <v>2762</v>
      </c>
      <c r="E1347" s="206" t="s">
        <v>41</v>
      </c>
      <c r="F1347" s="117" t="s">
        <v>42</v>
      </c>
      <c r="G1347" s="211" t="s">
        <v>43</v>
      </c>
      <c r="H1347" s="117" t="s">
        <v>2741</v>
      </c>
      <c r="I1347" s="35"/>
      <c r="J1347" s="36"/>
      <c r="K1347" s="36"/>
      <c r="L1347" s="36"/>
      <c r="M1347" s="36"/>
      <c r="N1347" s="36"/>
      <c r="O1347" s="36"/>
      <c r="P1347" s="36"/>
      <c r="Q1347" s="36"/>
      <c r="R1347" s="36"/>
      <c r="S1347" s="36"/>
      <c r="T1347" s="36"/>
      <c r="U1347" s="36"/>
      <c r="V1347" s="36"/>
      <c r="W1347" s="36"/>
      <c r="X1347" s="36"/>
      <c r="Y1347" s="36"/>
      <c r="Z1347" s="36"/>
      <c r="AA1347" s="36"/>
      <c r="AB1347" s="36"/>
    </row>
    <row r="1348" spans="1:28" ht="24" hidden="1" customHeight="1">
      <c r="A1348" s="207" t="s">
        <v>2763</v>
      </c>
      <c r="B1348" s="206">
        <v>2017</v>
      </c>
      <c r="C1348" s="117" t="s">
        <v>856</v>
      </c>
      <c r="D1348" s="195" t="s">
        <v>2764</v>
      </c>
      <c r="E1348" s="206" t="s">
        <v>41</v>
      </c>
      <c r="F1348" s="117" t="s">
        <v>42</v>
      </c>
      <c r="G1348" s="211" t="s">
        <v>43</v>
      </c>
      <c r="H1348" s="117" t="s">
        <v>2741</v>
      </c>
      <c r="I1348" s="35"/>
      <c r="J1348" s="36"/>
      <c r="K1348" s="36"/>
      <c r="L1348" s="36"/>
      <c r="M1348" s="36"/>
      <c r="N1348" s="36"/>
      <c r="O1348" s="36"/>
      <c r="P1348" s="36"/>
      <c r="Q1348" s="36"/>
      <c r="R1348" s="36"/>
      <c r="S1348" s="36"/>
      <c r="T1348" s="36"/>
      <c r="U1348" s="36"/>
      <c r="V1348" s="36"/>
      <c r="W1348" s="36"/>
      <c r="X1348" s="36"/>
      <c r="Y1348" s="36"/>
      <c r="Z1348" s="36"/>
      <c r="AA1348" s="36"/>
      <c r="AB1348" s="36"/>
    </row>
    <row r="1349" spans="1:28" ht="24" hidden="1" customHeight="1">
      <c r="A1349" s="207" t="s">
        <v>1334</v>
      </c>
      <c r="B1349" s="206">
        <v>2016</v>
      </c>
      <c r="C1349" s="117" t="s">
        <v>856</v>
      </c>
      <c r="D1349" s="195" t="s">
        <v>2765</v>
      </c>
      <c r="E1349" s="206" t="s">
        <v>41</v>
      </c>
      <c r="F1349" s="117" t="s">
        <v>42</v>
      </c>
      <c r="G1349" s="211" t="s">
        <v>43</v>
      </c>
      <c r="H1349" s="117" t="s">
        <v>2741</v>
      </c>
      <c r="I1349" s="35"/>
      <c r="J1349" s="36"/>
      <c r="K1349" s="36"/>
      <c r="L1349" s="36"/>
      <c r="M1349" s="36"/>
      <c r="N1349" s="36"/>
      <c r="O1349" s="36"/>
      <c r="P1349" s="36"/>
      <c r="Q1349" s="36"/>
      <c r="R1349" s="36"/>
      <c r="S1349" s="36"/>
      <c r="T1349" s="36"/>
      <c r="U1349" s="36"/>
      <c r="V1349" s="36"/>
      <c r="W1349" s="36"/>
      <c r="X1349" s="36"/>
      <c r="Y1349" s="36"/>
      <c r="Z1349" s="36"/>
      <c r="AA1349" s="36"/>
      <c r="AB1349" s="36"/>
    </row>
    <row r="1350" spans="1:28" ht="24" hidden="1" customHeight="1">
      <c r="A1350" s="207" t="s">
        <v>2766</v>
      </c>
      <c r="B1350" s="206">
        <v>2004</v>
      </c>
      <c r="C1350" s="117" t="s">
        <v>856</v>
      </c>
      <c r="D1350" s="195" t="s">
        <v>2767</v>
      </c>
      <c r="E1350" s="206" t="s">
        <v>41</v>
      </c>
      <c r="F1350" s="117" t="s">
        <v>42</v>
      </c>
      <c r="G1350" s="211" t="s">
        <v>43</v>
      </c>
      <c r="H1350" s="117" t="s">
        <v>2741</v>
      </c>
      <c r="I1350" s="35"/>
      <c r="J1350" s="36"/>
      <c r="K1350" s="36"/>
      <c r="L1350" s="36"/>
      <c r="M1350" s="36"/>
      <c r="N1350" s="36"/>
      <c r="O1350" s="36"/>
      <c r="P1350" s="36"/>
      <c r="Q1350" s="36"/>
      <c r="R1350" s="36"/>
      <c r="S1350" s="36"/>
      <c r="T1350" s="36"/>
      <c r="U1350" s="36"/>
      <c r="V1350" s="36"/>
      <c r="W1350" s="36"/>
      <c r="X1350" s="36"/>
      <c r="Y1350" s="36"/>
      <c r="Z1350" s="36"/>
      <c r="AA1350" s="36"/>
      <c r="AB1350" s="36"/>
    </row>
    <row r="1351" spans="1:28" ht="84" hidden="1" customHeight="1">
      <c r="A1351" s="207" t="s">
        <v>2768</v>
      </c>
      <c r="B1351" s="117">
        <v>1992</v>
      </c>
      <c r="C1351" s="197" t="s">
        <v>39</v>
      </c>
      <c r="D1351" s="195" t="s">
        <v>2769</v>
      </c>
      <c r="E1351" s="117" t="s">
        <v>41</v>
      </c>
      <c r="F1351" s="117" t="s">
        <v>42</v>
      </c>
      <c r="G1351" s="193" t="s">
        <v>43</v>
      </c>
      <c r="H1351" s="117" t="s">
        <v>750</v>
      </c>
      <c r="I1351" s="35"/>
      <c r="J1351" s="36"/>
      <c r="K1351" s="36"/>
      <c r="L1351" s="36"/>
      <c r="M1351" s="36"/>
      <c r="N1351" s="36"/>
      <c r="O1351" s="36"/>
      <c r="P1351" s="36"/>
      <c r="Q1351" s="36"/>
      <c r="R1351" s="36"/>
      <c r="S1351" s="36"/>
      <c r="T1351" s="36"/>
      <c r="U1351" s="36"/>
      <c r="V1351" s="36"/>
      <c r="W1351" s="36"/>
      <c r="X1351" s="36"/>
      <c r="Y1351" s="36"/>
      <c r="Z1351" s="36"/>
      <c r="AA1351" s="36"/>
      <c r="AB1351" s="36"/>
    </row>
    <row r="1352" spans="1:28" ht="24" hidden="1" customHeight="1">
      <c r="A1352" s="214" t="s">
        <v>247</v>
      </c>
      <c r="B1352" s="117">
        <v>1993</v>
      </c>
      <c r="C1352" s="197" t="s">
        <v>39</v>
      </c>
      <c r="D1352" s="195" t="s">
        <v>468</v>
      </c>
      <c r="E1352" s="117" t="s">
        <v>41</v>
      </c>
      <c r="F1352" s="117" t="s">
        <v>42</v>
      </c>
      <c r="G1352" s="193" t="s">
        <v>43</v>
      </c>
      <c r="H1352" s="117" t="s">
        <v>750</v>
      </c>
      <c r="I1352" s="35"/>
      <c r="J1352" s="36"/>
      <c r="K1352" s="36"/>
      <c r="L1352" s="36"/>
      <c r="M1352" s="36"/>
      <c r="N1352" s="36"/>
      <c r="O1352" s="36"/>
      <c r="P1352" s="36"/>
      <c r="Q1352" s="36"/>
      <c r="R1352" s="36"/>
      <c r="S1352" s="36"/>
      <c r="T1352" s="36"/>
      <c r="U1352" s="36"/>
      <c r="V1352" s="36"/>
      <c r="W1352" s="36"/>
      <c r="X1352" s="36"/>
      <c r="Y1352" s="36"/>
      <c r="Z1352" s="36"/>
      <c r="AA1352" s="36"/>
      <c r="AB1352" s="36"/>
    </row>
    <row r="1353" spans="1:28" ht="36" hidden="1" customHeight="1">
      <c r="A1353" s="207" t="s">
        <v>2770</v>
      </c>
      <c r="B1353" s="117">
        <v>1996</v>
      </c>
      <c r="C1353" s="197" t="s">
        <v>39</v>
      </c>
      <c r="D1353" s="195" t="s">
        <v>2771</v>
      </c>
      <c r="E1353" s="117" t="s">
        <v>41</v>
      </c>
      <c r="F1353" s="117" t="s">
        <v>42</v>
      </c>
      <c r="G1353" s="193" t="s">
        <v>43</v>
      </c>
      <c r="H1353" s="117" t="s">
        <v>750</v>
      </c>
      <c r="I1353" s="35"/>
      <c r="J1353" s="36"/>
      <c r="K1353" s="36"/>
      <c r="L1353" s="36"/>
      <c r="M1353" s="36"/>
      <c r="N1353" s="36"/>
      <c r="O1353" s="36"/>
      <c r="P1353" s="36"/>
      <c r="Q1353" s="36"/>
      <c r="R1353" s="36"/>
      <c r="S1353" s="36"/>
      <c r="T1353" s="36"/>
      <c r="U1353" s="36"/>
      <c r="V1353" s="36"/>
      <c r="W1353" s="36"/>
      <c r="X1353" s="36"/>
      <c r="Y1353" s="36"/>
      <c r="Z1353" s="36"/>
      <c r="AA1353" s="36"/>
      <c r="AB1353" s="36"/>
    </row>
    <row r="1354" spans="1:28" ht="60" hidden="1" customHeight="1">
      <c r="A1354" s="214" t="s">
        <v>264</v>
      </c>
      <c r="B1354" s="206">
        <v>1998</v>
      </c>
      <c r="C1354" s="197" t="s">
        <v>39</v>
      </c>
      <c r="D1354" s="195" t="s">
        <v>265</v>
      </c>
      <c r="E1354" s="117" t="s">
        <v>41</v>
      </c>
      <c r="F1354" s="117" t="s">
        <v>42</v>
      </c>
      <c r="G1354" s="193" t="s">
        <v>43</v>
      </c>
      <c r="H1354" s="117" t="s">
        <v>750</v>
      </c>
      <c r="I1354" s="35"/>
      <c r="J1354" s="36"/>
      <c r="K1354" s="36"/>
      <c r="L1354" s="36"/>
      <c r="M1354" s="36"/>
      <c r="N1354" s="36"/>
      <c r="O1354" s="36"/>
      <c r="P1354" s="36"/>
      <c r="Q1354" s="36"/>
      <c r="R1354" s="36"/>
      <c r="S1354" s="36"/>
      <c r="T1354" s="36"/>
      <c r="U1354" s="36"/>
      <c r="V1354" s="36"/>
      <c r="W1354" s="36"/>
      <c r="X1354" s="36"/>
      <c r="Y1354" s="36"/>
      <c r="Z1354" s="36"/>
      <c r="AA1354" s="36"/>
      <c r="AB1354" s="36"/>
    </row>
    <row r="1355" spans="1:28" ht="24" hidden="1" customHeight="1">
      <c r="A1355" s="207" t="s">
        <v>2250</v>
      </c>
      <c r="B1355" s="117">
        <v>2004</v>
      </c>
      <c r="C1355" s="197" t="s">
        <v>39</v>
      </c>
      <c r="D1355" s="195" t="s">
        <v>622</v>
      </c>
      <c r="E1355" s="117" t="s">
        <v>41</v>
      </c>
      <c r="F1355" s="117" t="s">
        <v>42</v>
      </c>
      <c r="G1355" s="193" t="s">
        <v>43</v>
      </c>
      <c r="H1355" s="117" t="s">
        <v>750</v>
      </c>
      <c r="I1355" s="35"/>
      <c r="J1355" s="36"/>
      <c r="K1355" s="36"/>
      <c r="L1355" s="36"/>
      <c r="M1355" s="36"/>
      <c r="N1355" s="36"/>
      <c r="O1355" s="36"/>
      <c r="P1355" s="36"/>
      <c r="Q1355" s="36"/>
      <c r="R1355" s="36"/>
      <c r="S1355" s="36"/>
      <c r="T1355" s="36"/>
      <c r="U1355" s="36"/>
      <c r="V1355" s="36"/>
      <c r="W1355" s="36"/>
      <c r="X1355" s="36"/>
      <c r="Y1355" s="36"/>
      <c r="Z1355" s="36"/>
      <c r="AA1355" s="36"/>
      <c r="AB1355" s="36"/>
    </row>
    <row r="1356" spans="1:28" ht="24" hidden="1" customHeight="1">
      <c r="A1356" s="208" t="s">
        <v>280</v>
      </c>
      <c r="B1356" s="117" t="s">
        <v>2772</v>
      </c>
      <c r="C1356" s="197" t="s">
        <v>39</v>
      </c>
      <c r="D1356" s="195" t="s">
        <v>281</v>
      </c>
      <c r="E1356" s="117" t="s">
        <v>41</v>
      </c>
      <c r="F1356" s="117" t="s">
        <v>42</v>
      </c>
      <c r="G1356" s="193" t="s">
        <v>43</v>
      </c>
      <c r="H1356" s="117" t="s">
        <v>750</v>
      </c>
      <c r="I1356" s="35"/>
      <c r="J1356" s="36"/>
      <c r="K1356" s="36"/>
      <c r="L1356" s="36"/>
      <c r="M1356" s="36"/>
      <c r="N1356" s="36"/>
      <c r="O1356" s="36"/>
      <c r="P1356" s="36"/>
      <c r="Q1356" s="36"/>
      <c r="R1356" s="36"/>
      <c r="S1356" s="36"/>
      <c r="T1356" s="36"/>
      <c r="U1356" s="36"/>
      <c r="V1356" s="36"/>
      <c r="W1356" s="36"/>
      <c r="X1356" s="36"/>
      <c r="Y1356" s="36"/>
      <c r="Z1356" s="36"/>
      <c r="AA1356" s="36"/>
      <c r="AB1356" s="36"/>
    </row>
    <row r="1357" spans="1:28" ht="36" hidden="1" customHeight="1">
      <c r="A1357" s="199" t="s">
        <v>286</v>
      </c>
      <c r="B1357" s="198">
        <v>2011</v>
      </c>
      <c r="C1357" s="197" t="s">
        <v>39</v>
      </c>
      <c r="D1357" s="195" t="s">
        <v>54</v>
      </c>
      <c r="E1357" s="117" t="s">
        <v>41</v>
      </c>
      <c r="F1357" s="117" t="s">
        <v>42</v>
      </c>
      <c r="G1357" s="193" t="s">
        <v>43</v>
      </c>
      <c r="H1357" s="117" t="s">
        <v>750</v>
      </c>
      <c r="I1357" s="35"/>
      <c r="J1357" s="36"/>
      <c r="K1357" s="36"/>
      <c r="L1357" s="36"/>
      <c r="M1357" s="36"/>
      <c r="N1357" s="36"/>
      <c r="O1357" s="36"/>
      <c r="P1357" s="36"/>
      <c r="Q1357" s="36"/>
      <c r="R1357" s="36"/>
      <c r="S1357" s="36"/>
      <c r="T1357" s="36"/>
      <c r="U1357" s="36"/>
      <c r="V1357" s="36"/>
      <c r="W1357" s="36"/>
      <c r="X1357" s="36"/>
      <c r="Y1357" s="36"/>
      <c r="Z1357" s="36"/>
      <c r="AA1357" s="36"/>
      <c r="AB1357" s="36"/>
    </row>
    <row r="1358" spans="1:28" ht="24" hidden="1" customHeight="1">
      <c r="A1358" s="199" t="s">
        <v>771</v>
      </c>
      <c r="B1358" s="198">
        <v>2012</v>
      </c>
      <c r="C1358" s="197" t="s">
        <v>39</v>
      </c>
      <c r="D1358" s="195" t="s">
        <v>772</v>
      </c>
      <c r="E1358" s="117" t="s">
        <v>41</v>
      </c>
      <c r="F1358" s="117" t="s">
        <v>42</v>
      </c>
      <c r="G1358" s="193" t="s">
        <v>43</v>
      </c>
      <c r="H1358" s="117" t="s">
        <v>750</v>
      </c>
      <c r="I1358" s="35"/>
      <c r="J1358" s="36"/>
      <c r="K1358" s="36"/>
      <c r="L1358" s="36"/>
      <c r="M1358" s="36"/>
      <c r="N1358" s="36"/>
      <c r="O1358" s="36"/>
      <c r="P1358" s="36"/>
      <c r="Q1358" s="36"/>
      <c r="R1358" s="36"/>
      <c r="S1358" s="36"/>
      <c r="T1358" s="36"/>
      <c r="U1358" s="36"/>
      <c r="V1358" s="36"/>
      <c r="W1358" s="36"/>
      <c r="X1358" s="36"/>
      <c r="Y1358" s="36"/>
      <c r="Z1358" s="36"/>
      <c r="AA1358" s="36"/>
      <c r="AB1358" s="36"/>
    </row>
    <row r="1359" spans="1:28" ht="24" hidden="1" customHeight="1">
      <c r="A1359" s="199" t="s">
        <v>2773</v>
      </c>
      <c r="B1359" s="198">
        <v>2018</v>
      </c>
      <c r="C1359" s="197" t="s">
        <v>39</v>
      </c>
      <c r="D1359" s="195" t="s">
        <v>2774</v>
      </c>
      <c r="E1359" s="117" t="s">
        <v>41</v>
      </c>
      <c r="F1359" s="117" t="s">
        <v>42</v>
      </c>
      <c r="G1359" s="193" t="s">
        <v>43</v>
      </c>
      <c r="H1359" s="117" t="s">
        <v>750</v>
      </c>
      <c r="I1359" s="35"/>
      <c r="J1359" s="36"/>
      <c r="K1359" s="36"/>
      <c r="L1359" s="36"/>
      <c r="M1359" s="36"/>
      <c r="N1359" s="36"/>
      <c r="O1359" s="36"/>
      <c r="P1359" s="36"/>
      <c r="Q1359" s="36"/>
      <c r="R1359" s="36"/>
      <c r="S1359" s="36"/>
      <c r="T1359" s="36"/>
      <c r="U1359" s="36"/>
      <c r="V1359" s="36"/>
      <c r="W1359" s="36"/>
      <c r="X1359" s="36"/>
      <c r="Y1359" s="36"/>
      <c r="Z1359" s="36"/>
      <c r="AA1359" s="36"/>
      <c r="AB1359" s="36"/>
    </row>
    <row r="1360" spans="1:28" ht="24" hidden="1" customHeight="1">
      <c r="A1360" s="199" t="s">
        <v>2775</v>
      </c>
      <c r="B1360" s="198">
        <v>2012</v>
      </c>
      <c r="C1360" s="197" t="s">
        <v>39</v>
      </c>
      <c r="D1360" s="195" t="s">
        <v>2776</v>
      </c>
      <c r="E1360" s="117" t="s">
        <v>41</v>
      </c>
      <c r="F1360" s="117" t="s">
        <v>42</v>
      </c>
      <c r="G1360" s="193" t="s">
        <v>43</v>
      </c>
      <c r="H1360" s="117" t="s">
        <v>750</v>
      </c>
      <c r="I1360" s="35"/>
      <c r="J1360" s="36"/>
      <c r="K1360" s="36"/>
      <c r="L1360" s="36"/>
      <c r="M1360" s="36"/>
      <c r="N1360" s="36"/>
      <c r="O1360" s="36"/>
      <c r="P1360" s="36"/>
      <c r="Q1360" s="36"/>
      <c r="R1360" s="36"/>
      <c r="S1360" s="36"/>
      <c r="T1360" s="36"/>
      <c r="U1360" s="36"/>
      <c r="V1360" s="36"/>
      <c r="W1360" s="36"/>
      <c r="X1360" s="36"/>
      <c r="Y1360" s="36"/>
      <c r="Z1360" s="36"/>
      <c r="AA1360" s="36"/>
      <c r="AB1360" s="36"/>
    </row>
    <row r="1361" spans="1:28" ht="24" hidden="1" customHeight="1">
      <c r="A1361" s="205" t="s">
        <v>789</v>
      </c>
      <c r="B1361" s="206">
        <v>1993</v>
      </c>
      <c r="C1361" s="197" t="s">
        <v>57</v>
      </c>
      <c r="D1361" s="195" t="s">
        <v>513</v>
      </c>
      <c r="E1361" s="117" t="s">
        <v>41</v>
      </c>
      <c r="F1361" s="117" t="s">
        <v>42</v>
      </c>
      <c r="G1361" s="193" t="s">
        <v>43</v>
      </c>
      <c r="H1361" s="117" t="s">
        <v>750</v>
      </c>
      <c r="I1361" s="35"/>
      <c r="J1361" s="36"/>
      <c r="K1361" s="36"/>
      <c r="L1361" s="36"/>
      <c r="M1361" s="36"/>
      <c r="N1361" s="36"/>
      <c r="O1361" s="36"/>
      <c r="P1361" s="36"/>
      <c r="Q1361" s="36"/>
      <c r="R1361" s="36"/>
      <c r="S1361" s="36"/>
      <c r="T1361" s="36"/>
      <c r="U1361" s="36"/>
      <c r="V1361" s="36"/>
      <c r="W1361" s="36"/>
      <c r="X1361" s="36"/>
      <c r="Y1361" s="36"/>
      <c r="Z1361" s="36"/>
      <c r="AA1361" s="36"/>
      <c r="AB1361" s="36"/>
    </row>
    <row r="1362" spans="1:28" ht="36" hidden="1" customHeight="1">
      <c r="A1362" s="207" t="s">
        <v>831</v>
      </c>
      <c r="B1362" s="117">
        <v>2012</v>
      </c>
      <c r="C1362" s="117" t="s">
        <v>57</v>
      </c>
      <c r="D1362" s="195" t="s">
        <v>546</v>
      </c>
      <c r="E1362" s="117" t="s">
        <v>41</v>
      </c>
      <c r="F1362" s="117" t="s">
        <v>42</v>
      </c>
      <c r="G1362" s="193" t="s">
        <v>43</v>
      </c>
      <c r="H1362" s="117" t="s">
        <v>750</v>
      </c>
      <c r="I1362" s="35"/>
      <c r="J1362" s="36"/>
      <c r="K1362" s="36"/>
      <c r="L1362" s="36"/>
      <c r="M1362" s="36"/>
      <c r="N1362" s="36"/>
      <c r="O1362" s="36"/>
      <c r="P1362" s="36"/>
      <c r="Q1362" s="36"/>
      <c r="R1362" s="36"/>
      <c r="S1362" s="36"/>
      <c r="T1362" s="36"/>
      <c r="U1362" s="36"/>
      <c r="V1362" s="36"/>
      <c r="W1362" s="36"/>
      <c r="X1362" s="36"/>
      <c r="Y1362" s="36"/>
      <c r="Z1362" s="36"/>
      <c r="AA1362" s="36"/>
      <c r="AB1362" s="36"/>
    </row>
    <row r="1363" spans="1:28" ht="24" hidden="1" customHeight="1">
      <c r="A1363" s="207" t="s">
        <v>2777</v>
      </c>
      <c r="B1363" s="117">
        <v>1968</v>
      </c>
      <c r="C1363" s="197" t="s">
        <v>57</v>
      </c>
      <c r="D1363" s="195" t="s">
        <v>2778</v>
      </c>
      <c r="E1363" s="117" t="s">
        <v>41</v>
      </c>
      <c r="F1363" s="117" t="s">
        <v>42</v>
      </c>
      <c r="G1363" s="193" t="s">
        <v>43</v>
      </c>
      <c r="H1363" s="117" t="s">
        <v>750</v>
      </c>
      <c r="I1363" s="35"/>
      <c r="J1363" s="36"/>
      <c r="K1363" s="36"/>
      <c r="L1363" s="36"/>
      <c r="M1363" s="36"/>
      <c r="N1363" s="36"/>
      <c r="O1363" s="36"/>
      <c r="P1363" s="36"/>
      <c r="Q1363" s="36"/>
      <c r="R1363" s="36"/>
      <c r="S1363" s="36"/>
      <c r="T1363" s="36"/>
      <c r="U1363" s="36"/>
      <c r="V1363" s="36"/>
      <c r="W1363" s="36"/>
      <c r="X1363" s="36"/>
      <c r="Y1363" s="36"/>
      <c r="Z1363" s="36"/>
      <c r="AA1363" s="36"/>
      <c r="AB1363" s="36"/>
    </row>
    <row r="1364" spans="1:28" ht="36" hidden="1" customHeight="1">
      <c r="A1364" s="207" t="s">
        <v>2779</v>
      </c>
      <c r="B1364" s="117">
        <v>1968</v>
      </c>
      <c r="C1364" s="197" t="s">
        <v>57</v>
      </c>
      <c r="D1364" s="195" t="s">
        <v>2780</v>
      </c>
      <c r="E1364" s="117" t="s">
        <v>41</v>
      </c>
      <c r="F1364" s="117" t="s">
        <v>42</v>
      </c>
      <c r="G1364" s="193" t="s">
        <v>43</v>
      </c>
      <c r="H1364" s="117" t="s">
        <v>750</v>
      </c>
      <c r="I1364" s="35"/>
      <c r="J1364" s="36"/>
      <c r="K1364" s="36"/>
      <c r="L1364" s="36"/>
      <c r="M1364" s="36"/>
      <c r="N1364" s="36"/>
      <c r="O1364" s="36"/>
      <c r="P1364" s="36"/>
      <c r="Q1364" s="36"/>
      <c r="R1364" s="36"/>
      <c r="S1364" s="36"/>
      <c r="T1364" s="36"/>
      <c r="U1364" s="36"/>
      <c r="V1364" s="36"/>
      <c r="W1364" s="36"/>
      <c r="X1364" s="36"/>
      <c r="Y1364" s="36"/>
      <c r="Z1364" s="36"/>
      <c r="AA1364" s="36"/>
      <c r="AB1364" s="36"/>
    </row>
    <row r="1365" spans="1:28" ht="24" hidden="1" customHeight="1">
      <c r="A1365" s="207" t="s">
        <v>2781</v>
      </c>
      <c r="B1365" s="117">
        <v>1969</v>
      </c>
      <c r="C1365" s="197" t="s">
        <v>1283</v>
      </c>
      <c r="D1365" s="195" t="s">
        <v>2782</v>
      </c>
      <c r="E1365" s="117" t="s">
        <v>41</v>
      </c>
      <c r="F1365" s="117" t="s">
        <v>42</v>
      </c>
      <c r="G1365" s="193" t="s">
        <v>43</v>
      </c>
      <c r="H1365" s="117" t="s">
        <v>750</v>
      </c>
      <c r="I1365" s="35"/>
      <c r="J1365" s="36"/>
      <c r="K1365" s="36"/>
      <c r="L1365" s="36"/>
      <c r="M1365" s="36"/>
      <c r="N1365" s="36"/>
      <c r="O1365" s="36"/>
      <c r="P1365" s="36"/>
      <c r="Q1365" s="36"/>
      <c r="R1365" s="36"/>
      <c r="S1365" s="36"/>
      <c r="T1365" s="36"/>
      <c r="U1365" s="36"/>
      <c r="V1365" s="36"/>
      <c r="W1365" s="36"/>
      <c r="X1365" s="36"/>
      <c r="Y1365" s="36"/>
      <c r="Z1365" s="36"/>
      <c r="AA1365" s="36"/>
      <c r="AB1365" s="36"/>
    </row>
    <row r="1366" spans="1:28" ht="24" hidden="1" customHeight="1">
      <c r="A1366" s="207" t="s">
        <v>2274</v>
      </c>
      <c r="B1366" s="117">
        <v>1973</v>
      </c>
      <c r="C1366" s="197" t="s">
        <v>57</v>
      </c>
      <c r="D1366" s="195" t="s">
        <v>2783</v>
      </c>
      <c r="E1366" s="117" t="s">
        <v>41</v>
      </c>
      <c r="F1366" s="117" t="s">
        <v>42</v>
      </c>
      <c r="G1366" s="193" t="s">
        <v>43</v>
      </c>
      <c r="H1366" s="117" t="s">
        <v>750</v>
      </c>
      <c r="I1366" s="35"/>
      <c r="J1366" s="36"/>
      <c r="K1366" s="36"/>
      <c r="L1366" s="36"/>
      <c r="M1366" s="36"/>
      <c r="N1366" s="36"/>
      <c r="O1366" s="36"/>
      <c r="P1366" s="36"/>
      <c r="Q1366" s="36"/>
      <c r="R1366" s="36"/>
      <c r="S1366" s="36"/>
      <c r="T1366" s="36"/>
      <c r="U1366" s="36"/>
      <c r="V1366" s="36"/>
      <c r="W1366" s="36"/>
      <c r="X1366" s="36"/>
      <c r="Y1366" s="36"/>
      <c r="Z1366" s="36"/>
      <c r="AA1366" s="36"/>
      <c r="AB1366" s="36"/>
    </row>
    <row r="1367" spans="1:28" ht="72" hidden="1" customHeight="1">
      <c r="A1367" s="207" t="s">
        <v>2784</v>
      </c>
      <c r="B1367" s="117">
        <v>1978</v>
      </c>
      <c r="C1367" s="197" t="s">
        <v>57</v>
      </c>
      <c r="D1367" s="195" t="s">
        <v>2785</v>
      </c>
      <c r="E1367" s="117" t="s">
        <v>41</v>
      </c>
      <c r="F1367" s="117" t="s">
        <v>42</v>
      </c>
      <c r="G1367" s="193" t="s">
        <v>43</v>
      </c>
      <c r="H1367" s="117" t="s">
        <v>750</v>
      </c>
      <c r="I1367" s="35"/>
      <c r="J1367" s="36"/>
      <c r="K1367" s="36"/>
      <c r="L1367" s="36"/>
      <c r="M1367" s="36"/>
      <c r="N1367" s="36"/>
      <c r="O1367" s="36"/>
      <c r="P1367" s="36"/>
      <c r="Q1367" s="36"/>
      <c r="R1367" s="36"/>
      <c r="S1367" s="36"/>
      <c r="T1367" s="36"/>
      <c r="U1367" s="36"/>
      <c r="V1367" s="36"/>
      <c r="W1367" s="36"/>
      <c r="X1367" s="36"/>
      <c r="Y1367" s="36"/>
      <c r="Z1367" s="36"/>
      <c r="AA1367" s="36"/>
      <c r="AB1367" s="36"/>
    </row>
    <row r="1368" spans="1:28" ht="36" hidden="1" customHeight="1">
      <c r="A1368" s="207" t="s">
        <v>2278</v>
      </c>
      <c r="B1368" s="117">
        <v>1978</v>
      </c>
      <c r="C1368" s="197" t="s">
        <v>1283</v>
      </c>
      <c r="D1368" s="195" t="s">
        <v>2786</v>
      </c>
      <c r="E1368" s="117" t="s">
        <v>41</v>
      </c>
      <c r="F1368" s="117" t="s">
        <v>42</v>
      </c>
      <c r="G1368" s="193" t="s">
        <v>43</v>
      </c>
      <c r="H1368" s="117" t="s">
        <v>750</v>
      </c>
      <c r="I1368" s="35"/>
      <c r="J1368" s="36"/>
      <c r="K1368" s="36"/>
      <c r="L1368" s="36"/>
      <c r="M1368" s="36"/>
      <c r="N1368" s="36"/>
      <c r="O1368" s="36"/>
      <c r="P1368" s="36"/>
      <c r="Q1368" s="36"/>
      <c r="R1368" s="36"/>
      <c r="S1368" s="36"/>
      <c r="T1368" s="36"/>
      <c r="U1368" s="36"/>
      <c r="V1368" s="36"/>
      <c r="W1368" s="36"/>
      <c r="X1368" s="36"/>
      <c r="Y1368" s="36"/>
      <c r="Z1368" s="36"/>
      <c r="AA1368" s="36"/>
      <c r="AB1368" s="36"/>
    </row>
    <row r="1369" spans="1:28" ht="24" hidden="1" customHeight="1">
      <c r="A1369" s="207" t="s">
        <v>2787</v>
      </c>
      <c r="B1369" s="201">
        <v>1984</v>
      </c>
      <c r="C1369" s="218" t="s">
        <v>57</v>
      </c>
      <c r="D1369" s="202" t="s">
        <v>2788</v>
      </c>
      <c r="E1369" s="201" t="s">
        <v>41</v>
      </c>
      <c r="F1369" s="201" t="s">
        <v>42</v>
      </c>
      <c r="G1369" s="216" t="s">
        <v>43</v>
      </c>
      <c r="H1369" s="201" t="s">
        <v>750</v>
      </c>
      <c r="I1369" s="35"/>
      <c r="J1369" s="36"/>
      <c r="K1369" s="36"/>
      <c r="L1369" s="36"/>
      <c r="M1369" s="36"/>
      <c r="N1369" s="36"/>
      <c r="O1369" s="36"/>
      <c r="P1369" s="36"/>
      <c r="Q1369" s="36"/>
      <c r="R1369" s="36"/>
      <c r="S1369" s="36"/>
      <c r="T1369" s="36"/>
      <c r="U1369" s="36"/>
      <c r="V1369" s="36"/>
      <c r="W1369" s="36"/>
      <c r="X1369" s="36"/>
      <c r="Y1369" s="36"/>
      <c r="Z1369" s="36"/>
      <c r="AA1369" s="36"/>
      <c r="AB1369" s="36"/>
    </row>
    <row r="1370" spans="1:28" ht="24" hidden="1" customHeight="1">
      <c r="A1370" s="207" t="s">
        <v>2789</v>
      </c>
      <c r="B1370" s="201">
        <v>1994</v>
      </c>
      <c r="C1370" s="218" t="s">
        <v>57</v>
      </c>
      <c r="D1370" s="202" t="s">
        <v>2790</v>
      </c>
      <c r="E1370" s="201" t="s">
        <v>41</v>
      </c>
      <c r="F1370" s="201" t="s">
        <v>42</v>
      </c>
      <c r="G1370" s="216" t="s">
        <v>43</v>
      </c>
      <c r="H1370" s="201" t="s">
        <v>750</v>
      </c>
      <c r="I1370" s="35"/>
      <c r="J1370" s="36"/>
      <c r="K1370" s="36"/>
      <c r="L1370" s="36"/>
      <c r="M1370" s="36"/>
      <c r="N1370" s="36"/>
      <c r="O1370" s="36"/>
      <c r="P1370" s="36"/>
      <c r="Q1370" s="36"/>
      <c r="R1370" s="36"/>
      <c r="S1370" s="36"/>
      <c r="T1370" s="36"/>
      <c r="U1370" s="36"/>
      <c r="V1370" s="36"/>
      <c r="W1370" s="36"/>
      <c r="X1370" s="36"/>
      <c r="Y1370" s="36"/>
      <c r="Z1370" s="36"/>
      <c r="AA1370" s="36"/>
      <c r="AB1370" s="36"/>
    </row>
    <row r="1371" spans="1:28" ht="24" hidden="1" customHeight="1">
      <c r="A1371" s="207" t="s">
        <v>2791</v>
      </c>
      <c r="B1371" s="201">
        <v>1994</v>
      </c>
      <c r="C1371" s="218" t="s">
        <v>1283</v>
      </c>
      <c r="D1371" s="202" t="s">
        <v>2792</v>
      </c>
      <c r="E1371" s="201" t="s">
        <v>41</v>
      </c>
      <c r="F1371" s="201" t="s">
        <v>42</v>
      </c>
      <c r="G1371" s="216" t="s">
        <v>43</v>
      </c>
      <c r="H1371" s="201" t="s">
        <v>750</v>
      </c>
      <c r="I1371" s="35"/>
      <c r="J1371" s="36"/>
      <c r="K1371" s="36"/>
      <c r="L1371" s="36"/>
      <c r="M1371" s="36"/>
      <c r="N1371" s="36"/>
      <c r="O1371" s="36"/>
      <c r="P1371" s="36"/>
      <c r="Q1371" s="36"/>
      <c r="R1371" s="36"/>
      <c r="S1371" s="36"/>
      <c r="T1371" s="36"/>
      <c r="U1371" s="36"/>
      <c r="V1371" s="36"/>
      <c r="W1371" s="36"/>
      <c r="X1371" s="36"/>
      <c r="Y1371" s="36"/>
      <c r="Z1371" s="36"/>
      <c r="AA1371" s="36"/>
      <c r="AB1371" s="36"/>
    </row>
    <row r="1372" spans="1:28" ht="24" hidden="1" customHeight="1">
      <c r="A1372" s="207" t="s">
        <v>2793</v>
      </c>
      <c r="B1372" s="201">
        <v>1994</v>
      </c>
      <c r="C1372" s="218" t="s">
        <v>57</v>
      </c>
      <c r="D1372" s="202" t="s">
        <v>2794</v>
      </c>
      <c r="E1372" s="201" t="s">
        <v>41</v>
      </c>
      <c r="F1372" s="201" t="s">
        <v>42</v>
      </c>
      <c r="G1372" s="216" t="s">
        <v>43</v>
      </c>
      <c r="H1372" s="201" t="s">
        <v>750</v>
      </c>
      <c r="I1372" s="35"/>
      <c r="J1372" s="36"/>
      <c r="K1372" s="36"/>
      <c r="L1372" s="36"/>
      <c r="M1372" s="36"/>
      <c r="N1372" s="36"/>
      <c r="O1372" s="36"/>
      <c r="P1372" s="36"/>
      <c r="Q1372" s="36"/>
      <c r="R1372" s="36"/>
      <c r="S1372" s="36"/>
      <c r="T1372" s="36"/>
      <c r="U1372" s="36"/>
      <c r="V1372" s="36"/>
      <c r="W1372" s="36"/>
      <c r="X1372" s="36"/>
      <c r="Y1372" s="36"/>
      <c r="Z1372" s="36"/>
      <c r="AA1372" s="36"/>
      <c r="AB1372" s="36"/>
    </row>
    <row r="1373" spans="1:28" ht="24" hidden="1" customHeight="1">
      <c r="A1373" s="207" t="s">
        <v>2795</v>
      </c>
      <c r="B1373" s="201">
        <v>1994</v>
      </c>
      <c r="C1373" s="218" t="s">
        <v>57</v>
      </c>
      <c r="D1373" s="202" t="s">
        <v>2796</v>
      </c>
      <c r="E1373" s="201" t="s">
        <v>41</v>
      </c>
      <c r="F1373" s="201" t="s">
        <v>42</v>
      </c>
      <c r="G1373" s="216" t="s">
        <v>43</v>
      </c>
      <c r="H1373" s="201" t="s">
        <v>750</v>
      </c>
      <c r="I1373" s="35"/>
      <c r="J1373" s="36"/>
      <c r="K1373" s="36"/>
      <c r="L1373" s="36"/>
      <c r="M1373" s="36"/>
      <c r="N1373" s="36"/>
      <c r="O1373" s="36"/>
      <c r="P1373" s="36"/>
      <c r="Q1373" s="36"/>
      <c r="R1373" s="36"/>
      <c r="S1373" s="36"/>
      <c r="T1373" s="36"/>
      <c r="U1373" s="36"/>
      <c r="V1373" s="36"/>
      <c r="W1373" s="36"/>
      <c r="X1373" s="36"/>
      <c r="Y1373" s="36"/>
      <c r="Z1373" s="36"/>
      <c r="AA1373" s="36"/>
      <c r="AB1373" s="36"/>
    </row>
    <row r="1374" spans="1:28" ht="24" hidden="1" customHeight="1">
      <c r="A1374" s="207" t="s">
        <v>1179</v>
      </c>
      <c r="B1374" s="201">
        <v>1996</v>
      </c>
      <c r="C1374" s="218" t="s">
        <v>1283</v>
      </c>
      <c r="D1374" s="202" t="s">
        <v>2797</v>
      </c>
      <c r="E1374" s="201" t="s">
        <v>41</v>
      </c>
      <c r="F1374" s="201" t="s">
        <v>42</v>
      </c>
      <c r="G1374" s="216" t="s">
        <v>43</v>
      </c>
      <c r="H1374" s="201" t="s">
        <v>750</v>
      </c>
      <c r="I1374" s="35"/>
      <c r="J1374" s="36"/>
      <c r="K1374" s="36"/>
      <c r="L1374" s="36"/>
      <c r="M1374" s="36"/>
      <c r="N1374" s="36"/>
      <c r="O1374" s="36"/>
      <c r="P1374" s="36"/>
      <c r="Q1374" s="36"/>
      <c r="R1374" s="36"/>
      <c r="S1374" s="36"/>
      <c r="T1374" s="36"/>
      <c r="U1374" s="36"/>
      <c r="V1374" s="36"/>
      <c r="W1374" s="36"/>
      <c r="X1374" s="36"/>
      <c r="Y1374" s="36"/>
      <c r="Z1374" s="36"/>
      <c r="AA1374" s="36"/>
      <c r="AB1374" s="36"/>
    </row>
    <row r="1375" spans="1:28" ht="36" hidden="1" customHeight="1">
      <c r="A1375" s="207" t="s">
        <v>2798</v>
      </c>
      <c r="B1375" s="201">
        <v>1998</v>
      </c>
      <c r="C1375" s="218" t="s">
        <v>260</v>
      </c>
      <c r="D1375" s="202" t="s">
        <v>2799</v>
      </c>
      <c r="E1375" s="201" t="s">
        <v>41</v>
      </c>
      <c r="F1375" s="201" t="s">
        <v>42</v>
      </c>
      <c r="G1375" s="216" t="s">
        <v>43</v>
      </c>
      <c r="H1375" s="201" t="s">
        <v>750</v>
      </c>
      <c r="I1375" s="35"/>
      <c r="J1375" s="36"/>
      <c r="K1375" s="36"/>
      <c r="L1375" s="36"/>
      <c r="M1375" s="36"/>
      <c r="N1375" s="36"/>
      <c r="O1375" s="36"/>
      <c r="P1375" s="36"/>
      <c r="Q1375" s="36"/>
      <c r="R1375" s="36"/>
      <c r="S1375" s="36"/>
      <c r="T1375" s="36"/>
      <c r="U1375" s="36"/>
      <c r="V1375" s="36"/>
      <c r="W1375" s="36"/>
      <c r="X1375" s="36"/>
      <c r="Y1375" s="36"/>
      <c r="Z1375" s="36"/>
      <c r="AA1375" s="36"/>
      <c r="AB1375" s="36"/>
    </row>
    <row r="1376" spans="1:28" ht="12" hidden="1" customHeight="1">
      <c r="A1376" s="207" t="s">
        <v>2800</v>
      </c>
      <c r="B1376" s="201">
        <v>1998</v>
      </c>
      <c r="C1376" s="218" t="s">
        <v>273</v>
      </c>
      <c r="D1376" s="202" t="s">
        <v>2801</v>
      </c>
      <c r="E1376" s="201" t="s">
        <v>41</v>
      </c>
      <c r="F1376" s="201" t="s">
        <v>42</v>
      </c>
      <c r="G1376" s="216" t="s">
        <v>43</v>
      </c>
      <c r="H1376" s="201" t="s">
        <v>750</v>
      </c>
      <c r="I1376" s="35"/>
      <c r="J1376" s="36"/>
      <c r="K1376" s="36"/>
      <c r="L1376" s="36"/>
      <c r="M1376" s="36"/>
      <c r="N1376" s="36"/>
      <c r="O1376" s="36"/>
      <c r="P1376" s="36"/>
      <c r="Q1376" s="36"/>
      <c r="R1376" s="36"/>
      <c r="S1376" s="36"/>
      <c r="T1376" s="36"/>
      <c r="U1376" s="36"/>
      <c r="V1376" s="36"/>
      <c r="W1376" s="36"/>
      <c r="X1376" s="36"/>
      <c r="Y1376" s="36"/>
      <c r="Z1376" s="36"/>
      <c r="AA1376" s="36"/>
      <c r="AB1376" s="36"/>
    </row>
    <row r="1377" spans="1:28" ht="36" hidden="1" customHeight="1">
      <c r="A1377" s="207" t="s">
        <v>2802</v>
      </c>
      <c r="B1377" s="201">
        <v>1998</v>
      </c>
      <c r="C1377" s="218" t="s">
        <v>647</v>
      </c>
      <c r="D1377" s="202" t="s">
        <v>2803</v>
      </c>
      <c r="E1377" s="201" t="s">
        <v>41</v>
      </c>
      <c r="F1377" s="201" t="s">
        <v>42</v>
      </c>
      <c r="G1377" s="216" t="s">
        <v>43</v>
      </c>
      <c r="H1377" s="201" t="s">
        <v>750</v>
      </c>
      <c r="I1377" s="35"/>
      <c r="J1377" s="36"/>
      <c r="K1377" s="36"/>
      <c r="L1377" s="36"/>
      <c r="M1377" s="36"/>
      <c r="N1377" s="36"/>
      <c r="O1377" s="36"/>
      <c r="P1377" s="36"/>
      <c r="Q1377" s="36"/>
      <c r="R1377" s="36"/>
      <c r="S1377" s="36"/>
      <c r="T1377" s="36"/>
      <c r="U1377" s="36"/>
      <c r="V1377" s="36"/>
      <c r="W1377" s="36"/>
      <c r="X1377" s="36"/>
      <c r="Y1377" s="36"/>
      <c r="Z1377" s="36"/>
      <c r="AA1377" s="36"/>
      <c r="AB1377" s="36"/>
    </row>
    <row r="1378" spans="1:28" ht="72" hidden="1" customHeight="1">
      <c r="A1378" s="207" t="s">
        <v>2804</v>
      </c>
      <c r="B1378" s="201">
        <v>1999</v>
      </c>
      <c r="C1378" s="218" t="s">
        <v>260</v>
      </c>
      <c r="D1378" s="202" t="s">
        <v>2805</v>
      </c>
      <c r="E1378" s="201" t="s">
        <v>41</v>
      </c>
      <c r="F1378" s="201" t="s">
        <v>42</v>
      </c>
      <c r="G1378" s="216" t="s">
        <v>43</v>
      </c>
      <c r="H1378" s="201" t="s">
        <v>750</v>
      </c>
      <c r="I1378" s="35"/>
      <c r="J1378" s="36"/>
      <c r="K1378" s="36"/>
      <c r="L1378" s="36"/>
      <c r="M1378" s="36"/>
      <c r="N1378" s="36"/>
      <c r="O1378" s="36"/>
      <c r="P1378" s="36"/>
      <c r="Q1378" s="36"/>
      <c r="R1378" s="36"/>
      <c r="S1378" s="36"/>
      <c r="T1378" s="36"/>
      <c r="U1378" s="36"/>
      <c r="V1378" s="36"/>
      <c r="W1378" s="36"/>
      <c r="X1378" s="36"/>
      <c r="Y1378" s="36"/>
      <c r="Z1378" s="36"/>
      <c r="AA1378" s="36"/>
      <c r="AB1378" s="36"/>
    </row>
    <row r="1379" spans="1:28" ht="48" hidden="1" customHeight="1">
      <c r="A1379" s="207" t="s">
        <v>2806</v>
      </c>
      <c r="B1379" s="201">
        <v>2015</v>
      </c>
      <c r="C1379" s="218" t="s">
        <v>57</v>
      </c>
      <c r="D1379" s="202" t="s">
        <v>2807</v>
      </c>
      <c r="E1379" s="201" t="s">
        <v>41</v>
      </c>
      <c r="F1379" s="201" t="s">
        <v>42</v>
      </c>
      <c r="G1379" s="216" t="s">
        <v>43</v>
      </c>
      <c r="H1379" s="201" t="s">
        <v>750</v>
      </c>
      <c r="I1379" s="35"/>
      <c r="J1379" s="36"/>
      <c r="K1379" s="36"/>
      <c r="L1379" s="36"/>
      <c r="M1379" s="36"/>
      <c r="N1379" s="36"/>
      <c r="O1379" s="36"/>
      <c r="P1379" s="36"/>
      <c r="Q1379" s="36"/>
      <c r="R1379" s="36"/>
      <c r="S1379" s="36"/>
      <c r="T1379" s="36"/>
      <c r="U1379" s="36"/>
      <c r="V1379" s="36"/>
      <c r="W1379" s="36"/>
      <c r="X1379" s="36"/>
      <c r="Y1379" s="36"/>
      <c r="Z1379" s="36"/>
      <c r="AA1379" s="36"/>
      <c r="AB1379" s="36"/>
    </row>
    <row r="1380" spans="1:28" ht="36" hidden="1" customHeight="1">
      <c r="A1380" s="207" t="s">
        <v>2808</v>
      </c>
      <c r="B1380" s="201">
        <v>2002</v>
      </c>
      <c r="C1380" s="218" t="s">
        <v>57</v>
      </c>
      <c r="D1380" s="202" t="s">
        <v>2809</v>
      </c>
      <c r="E1380" s="201" t="s">
        <v>41</v>
      </c>
      <c r="F1380" s="201" t="s">
        <v>42</v>
      </c>
      <c r="G1380" s="216" t="s">
        <v>43</v>
      </c>
      <c r="H1380" s="201" t="s">
        <v>750</v>
      </c>
      <c r="I1380" s="35"/>
      <c r="J1380" s="36"/>
      <c r="K1380" s="36"/>
      <c r="L1380" s="36"/>
      <c r="M1380" s="36"/>
      <c r="N1380" s="36"/>
      <c r="O1380" s="36"/>
      <c r="P1380" s="36"/>
      <c r="Q1380" s="36"/>
      <c r="R1380" s="36"/>
      <c r="S1380" s="36"/>
      <c r="T1380" s="36"/>
      <c r="U1380" s="36"/>
      <c r="V1380" s="36"/>
      <c r="W1380" s="36"/>
      <c r="X1380" s="36"/>
      <c r="Y1380" s="36"/>
      <c r="Z1380" s="36"/>
      <c r="AA1380" s="36"/>
      <c r="AB1380" s="36"/>
    </row>
    <row r="1381" spans="1:28" ht="48" hidden="1" customHeight="1">
      <c r="A1381" s="215" t="s">
        <v>2810</v>
      </c>
      <c r="B1381" s="201">
        <v>2004</v>
      </c>
      <c r="C1381" s="218" t="s">
        <v>133</v>
      </c>
      <c r="D1381" s="202" t="s">
        <v>2811</v>
      </c>
      <c r="E1381" s="201" t="s">
        <v>41</v>
      </c>
      <c r="F1381" s="201" t="s">
        <v>42</v>
      </c>
      <c r="G1381" s="216" t="s">
        <v>43</v>
      </c>
      <c r="H1381" s="201" t="s">
        <v>750</v>
      </c>
      <c r="I1381" s="35"/>
      <c r="J1381" s="36"/>
      <c r="K1381" s="36"/>
      <c r="L1381" s="36"/>
      <c r="M1381" s="36"/>
      <c r="N1381" s="36"/>
      <c r="O1381" s="36"/>
      <c r="P1381" s="36"/>
      <c r="Q1381" s="36"/>
      <c r="R1381" s="36"/>
      <c r="S1381" s="36"/>
      <c r="T1381" s="36"/>
      <c r="U1381" s="36"/>
      <c r="V1381" s="36"/>
      <c r="W1381" s="36"/>
      <c r="X1381" s="36"/>
      <c r="Y1381" s="36"/>
      <c r="Z1381" s="36"/>
      <c r="AA1381" s="36"/>
      <c r="AB1381" s="36"/>
    </row>
    <row r="1382" spans="1:28" ht="36" hidden="1" customHeight="1">
      <c r="A1382" s="215" t="s">
        <v>2812</v>
      </c>
      <c r="B1382" s="201">
        <v>2005</v>
      </c>
      <c r="C1382" s="218" t="s">
        <v>57</v>
      </c>
      <c r="D1382" s="202" t="s">
        <v>2813</v>
      </c>
      <c r="E1382" s="201" t="s">
        <v>41</v>
      </c>
      <c r="F1382" s="201" t="s">
        <v>42</v>
      </c>
      <c r="G1382" s="216" t="s">
        <v>43</v>
      </c>
      <c r="H1382" s="201" t="s">
        <v>750</v>
      </c>
      <c r="I1382" s="35"/>
      <c r="J1382" s="36"/>
      <c r="K1382" s="36"/>
      <c r="L1382" s="36"/>
      <c r="M1382" s="36"/>
      <c r="N1382" s="36"/>
      <c r="O1382" s="36"/>
      <c r="P1382" s="36"/>
      <c r="Q1382" s="36"/>
      <c r="R1382" s="36"/>
      <c r="S1382" s="36"/>
      <c r="T1382" s="36"/>
      <c r="U1382" s="36"/>
      <c r="V1382" s="36"/>
      <c r="W1382" s="36"/>
      <c r="X1382" s="36"/>
      <c r="Y1382" s="36"/>
      <c r="Z1382" s="36"/>
      <c r="AA1382" s="36"/>
      <c r="AB1382" s="36"/>
    </row>
    <row r="1383" spans="1:28" ht="36" hidden="1" customHeight="1">
      <c r="A1383" s="215" t="s">
        <v>2814</v>
      </c>
      <c r="B1383" s="201">
        <v>2005</v>
      </c>
      <c r="C1383" s="218" t="s">
        <v>647</v>
      </c>
      <c r="D1383" s="202" t="s">
        <v>2815</v>
      </c>
      <c r="E1383" s="201" t="s">
        <v>41</v>
      </c>
      <c r="F1383" s="201" t="s">
        <v>42</v>
      </c>
      <c r="G1383" s="216" t="s">
        <v>43</v>
      </c>
      <c r="H1383" s="201" t="s">
        <v>750</v>
      </c>
      <c r="I1383" s="35"/>
      <c r="J1383" s="36"/>
      <c r="K1383" s="36"/>
      <c r="L1383" s="36"/>
      <c r="M1383" s="36"/>
      <c r="N1383" s="36"/>
      <c r="O1383" s="36"/>
      <c r="P1383" s="36"/>
      <c r="Q1383" s="36"/>
      <c r="R1383" s="36"/>
      <c r="S1383" s="36"/>
      <c r="T1383" s="36"/>
      <c r="U1383" s="36"/>
      <c r="V1383" s="36"/>
      <c r="W1383" s="36"/>
      <c r="X1383" s="36"/>
      <c r="Y1383" s="36"/>
      <c r="Z1383" s="36"/>
      <c r="AA1383" s="36"/>
      <c r="AB1383" s="36"/>
    </row>
    <row r="1384" spans="1:28" ht="36" hidden="1" customHeight="1">
      <c r="A1384" s="215" t="s">
        <v>2816</v>
      </c>
      <c r="B1384" s="201">
        <v>2005</v>
      </c>
      <c r="C1384" s="218" t="s">
        <v>647</v>
      </c>
      <c r="D1384" s="202" t="s">
        <v>2817</v>
      </c>
      <c r="E1384" s="201" t="s">
        <v>41</v>
      </c>
      <c r="F1384" s="201" t="s">
        <v>42</v>
      </c>
      <c r="G1384" s="216" t="s">
        <v>43</v>
      </c>
      <c r="H1384" s="201" t="s">
        <v>750</v>
      </c>
      <c r="I1384" s="35"/>
      <c r="J1384" s="36"/>
      <c r="K1384" s="36"/>
      <c r="L1384" s="36"/>
      <c r="M1384" s="36"/>
      <c r="N1384" s="36"/>
      <c r="O1384" s="36"/>
      <c r="P1384" s="36"/>
      <c r="Q1384" s="36"/>
      <c r="R1384" s="36"/>
      <c r="S1384" s="36"/>
      <c r="T1384" s="36"/>
      <c r="U1384" s="36"/>
      <c r="V1384" s="36"/>
      <c r="W1384" s="36"/>
      <c r="X1384" s="36"/>
      <c r="Y1384" s="36"/>
      <c r="Z1384" s="36"/>
      <c r="AA1384" s="36"/>
      <c r="AB1384" s="36"/>
    </row>
    <row r="1385" spans="1:28" ht="24" hidden="1" customHeight="1">
      <c r="A1385" s="215" t="s">
        <v>1529</v>
      </c>
      <c r="B1385" s="201">
        <v>2005</v>
      </c>
      <c r="C1385" s="218" t="s">
        <v>57</v>
      </c>
      <c r="D1385" s="202" t="s">
        <v>2818</v>
      </c>
      <c r="E1385" s="201" t="s">
        <v>41</v>
      </c>
      <c r="F1385" s="201" t="s">
        <v>42</v>
      </c>
      <c r="G1385" s="216" t="s">
        <v>43</v>
      </c>
      <c r="H1385" s="201" t="s">
        <v>750</v>
      </c>
      <c r="I1385" s="35"/>
      <c r="J1385" s="36"/>
      <c r="K1385" s="36"/>
      <c r="L1385" s="36"/>
      <c r="M1385" s="36"/>
      <c r="N1385" s="36"/>
      <c r="O1385" s="36"/>
      <c r="P1385" s="36"/>
      <c r="Q1385" s="36"/>
      <c r="R1385" s="36"/>
      <c r="S1385" s="36"/>
      <c r="T1385" s="36"/>
      <c r="U1385" s="36"/>
      <c r="V1385" s="36"/>
      <c r="W1385" s="36"/>
      <c r="X1385" s="36"/>
      <c r="Y1385" s="36"/>
      <c r="Z1385" s="36"/>
      <c r="AA1385" s="36"/>
      <c r="AB1385" s="36"/>
    </row>
    <row r="1386" spans="1:28" ht="24" hidden="1" customHeight="1">
      <c r="A1386" s="215" t="s">
        <v>2819</v>
      </c>
      <c r="B1386" s="201">
        <v>2005</v>
      </c>
      <c r="C1386" s="218" t="s">
        <v>57</v>
      </c>
      <c r="D1386" s="202" t="s">
        <v>2820</v>
      </c>
      <c r="E1386" s="201" t="s">
        <v>41</v>
      </c>
      <c r="F1386" s="201" t="s">
        <v>42</v>
      </c>
      <c r="G1386" s="216" t="s">
        <v>43</v>
      </c>
      <c r="H1386" s="201" t="s">
        <v>750</v>
      </c>
      <c r="I1386" s="35"/>
      <c r="J1386" s="36"/>
      <c r="K1386" s="36"/>
      <c r="L1386" s="36"/>
      <c r="M1386" s="36"/>
      <c r="N1386" s="36"/>
      <c r="O1386" s="36"/>
      <c r="P1386" s="36"/>
      <c r="Q1386" s="36"/>
      <c r="R1386" s="36"/>
      <c r="S1386" s="36"/>
      <c r="T1386" s="36"/>
      <c r="U1386" s="36"/>
      <c r="V1386" s="36"/>
      <c r="W1386" s="36"/>
      <c r="X1386" s="36"/>
      <c r="Y1386" s="36"/>
      <c r="Z1386" s="36"/>
      <c r="AA1386" s="36"/>
      <c r="AB1386" s="36"/>
    </row>
    <row r="1387" spans="1:28" ht="36" hidden="1" customHeight="1">
      <c r="A1387" s="215" t="s">
        <v>2821</v>
      </c>
      <c r="B1387" s="201">
        <v>2006</v>
      </c>
      <c r="C1387" s="218" t="s">
        <v>133</v>
      </c>
      <c r="D1387" s="202" t="s">
        <v>2822</v>
      </c>
      <c r="E1387" s="201" t="s">
        <v>41</v>
      </c>
      <c r="F1387" s="201" t="s">
        <v>42</v>
      </c>
      <c r="G1387" s="216" t="s">
        <v>43</v>
      </c>
      <c r="H1387" s="201" t="s">
        <v>750</v>
      </c>
      <c r="I1387" s="35"/>
      <c r="J1387" s="36"/>
      <c r="K1387" s="36"/>
      <c r="L1387" s="36"/>
      <c r="M1387" s="36"/>
      <c r="N1387" s="36"/>
      <c r="O1387" s="36"/>
      <c r="P1387" s="36"/>
      <c r="Q1387" s="36"/>
      <c r="R1387" s="36"/>
      <c r="S1387" s="36"/>
      <c r="T1387" s="36"/>
      <c r="U1387" s="36"/>
      <c r="V1387" s="36"/>
      <c r="W1387" s="36"/>
      <c r="X1387" s="36"/>
      <c r="Y1387" s="36"/>
      <c r="Z1387" s="36"/>
      <c r="AA1387" s="36"/>
      <c r="AB1387" s="36"/>
    </row>
    <row r="1388" spans="1:28" ht="36" hidden="1" customHeight="1">
      <c r="A1388" s="215" t="s">
        <v>2823</v>
      </c>
      <c r="B1388" s="201">
        <v>2008</v>
      </c>
      <c r="C1388" s="218" t="s">
        <v>273</v>
      </c>
      <c r="D1388" s="202" t="s">
        <v>2824</v>
      </c>
      <c r="E1388" s="201" t="s">
        <v>41</v>
      </c>
      <c r="F1388" s="201" t="s">
        <v>42</v>
      </c>
      <c r="G1388" s="216" t="s">
        <v>43</v>
      </c>
      <c r="H1388" s="201" t="s">
        <v>750</v>
      </c>
      <c r="I1388" s="35"/>
      <c r="J1388" s="36"/>
      <c r="K1388" s="36"/>
      <c r="L1388" s="36"/>
      <c r="M1388" s="36"/>
      <c r="N1388" s="36"/>
      <c r="O1388" s="36"/>
      <c r="P1388" s="36"/>
      <c r="Q1388" s="36"/>
      <c r="R1388" s="36"/>
      <c r="S1388" s="36"/>
      <c r="T1388" s="36"/>
      <c r="U1388" s="36"/>
      <c r="V1388" s="36"/>
      <c r="W1388" s="36"/>
      <c r="X1388" s="36"/>
      <c r="Y1388" s="36"/>
      <c r="Z1388" s="36"/>
      <c r="AA1388" s="36"/>
      <c r="AB1388" s="36"/>
    </row>
    <row r="1389" spans="1:28" ht="24" hidden="1" customHeight="1">
      <c r="A1389" s="215" t="s">
        <v>2825</v>
      </c>
      <c r="B1389" s="201">
        <v>2009</v>
      </c>
      <c r="C1389" s="218" t="s">
        <v>57</v>
      </c>
      <c r="D1389" s="202" t="s">
        <v>2826</v>
      </c>
      <c r="E1389" s="201" t="s">
        <v>41</v>
      </c>
      <c r="F1389" s="201" t="s">
        <v>42</v>
      </c>
      <c r="G1389" s="216" t="s">
        <v>43</v>
      </c>
      <c r="H1389" s="201" t="s">
        <v>750</v>
      </c>
      <c r="I1389" s="35"/>
      <c r="J1389" s="36"/>
      <c r="K1389" s="36"/>
      <c r="L1389" s="36"/>
      <c r="M1389" s="36"/>
      <c r="N1389" s="36"/>
      <c r="O1389" s="36"/>
      <c r="P1389" s="36"/>
      <c r="Q1389" s="36"/>
      <c r="R1389" s="36"/>
      <c r="S1389" s="36"/>
      <c r="T1389" s="36"/>
      <c r="U1389" s="36"/>
      <c r="V1389" s="36"/>
      <c r="W1389" s="36"/>
      <c r="X1389" s="36"/>
      <c r="Y1389" s="36"/>
      <c r="Z1389" s="36"/>
      <c r="AA1389" s="36"/>
      <c r="AB1389" s="36"/>
    </row>
    <row r="1390" spans="1:28" ht="12" hidden="1" customHeight="1">
      <c r="A1390" s="215" t="s">
        <v>2827</v>
      </c>
      <c r="B1390" s="201">
        <v>2015</v>
      </c>
      <c r="C1390" s="201" t="s">
        <v>566</v>
      </c>
      <c r="D1390" s="202" t="s">
        <v>2828</v>
      </c>
      <c r="E1390" s="201" t="s">
        <v>41</v>
      </c>
      <c r="F1390" s="201" t="s">
        <v>42</v>
      </c>
      <c r="G1390" s="216" t="s">
        <v>43</v>
      </c>
      <c r="H1390" s="201" t="s">
        <v>750</v>
      </c>
      <c r="I1390" s="35"/>
      <c r="J1390" s="36"/>
      <c r="K1390" s="36"/>
      <c r="L1390" s="36"/>
      <c r="M1390" s="36"/>
      <c r="N1390" s="36"/>
      <c r="O1390" s="36"/>
      <c r="P1390" s="36"/>
      <c r="Q1390" s="36"/>
      <c r="R1390" s="36"/>
      <c r="S1390" s="36"/>
      <c r="T1390" s="36"/>
      <c r="U1390" s="36"/>
      <c r="V1390" s="36"/>
      <c r="W1390" s="36"/>
      <c r="X1390" s="36"/>
      <c r="Y1390" s="36"/>
      <c r="Z1390" s="36"/>
      <c r="AA1390" s="36"/>
      <c r="AB1390" s="36"/>
    </row>
    <row r="1391" spans="1:28" ht="36" hidden="1" customHeight="1">
      <c r="A1391" s="215" t="s">
        <v>1726</v>
      </c>
      <c r="B1391" s="201">
        <v>2015</v>
      </c>
      <c r="C1391" s="218" t="s">
        <v>647</v>
      </c>
      <c r="D1391" s="202" t="s">
        <v>2829</v>
      </c>
      <c r="E1391" s="201" t="s">
        <v>41</v>
      </c>
      <c r="F1391" s="201" t="s">
        <v>42</v>
      </c>
      <c r="G1391" s="216" t="s">
        <v>43</v>
      </c>
      <c r="H1391" s="201" t="s">
        <v>750</v>
      </c>
      <c r="I1391" s="35"/>
      <c r="J1391" s="36"/>
      <c r="K1391" s="36"/>
      <c r="L1391" s="36"/>
      <c r="M1391" s="36"/>
      <c r="N1391" s="36"/>
      <c r="O1391" s="36"/>
      <c r="P1391" s="36"/>
      <c r="Q1391" s="36"/>
      <c r="R1391" s="36"/>
      <c r="S1391" s="36"/>
      <c r="T1391" s="36"/>
      <c r="U1391" s="36"/>
      <c r="V1391" s="36"/>
      <c r="W1391" s="36"/>
      <c r="X1391" s="36"/>
      <c r="Y1391" s="36"/>
      <c r="Z1391" s="36"/>
      <c r="AA1391" s="36"/>
      <c r="AB1391" s="36"/>
    </row>
    <row r="1392" spans="1:28" ht="36" hidden="1" customHeight="1">
      <c r="A1392" s="239" t="s">
        <v>2112</v>
      </c>
      <c r="B1392" s="201">
        <v>2015</v>
      </c>
      <c r="C1392" s="218" t="s">
        <v>195</v>
      </c>
      <c r="D1392" s="202" t="s">
        <v>2113</v>
      </c>
      <c r="E1392" s="201" t="s">
        <v>41</v>
      </c>
      <c r="F1392" s="201" t="s">
        <v>42</v>
      </c>
      <c r="G1392" s="216" t="s">
        <v>43</v>
      </c>
      <c r="H1392" s="201" t="s">
        <v>750</v>
      </c>
      <c r="I1392" s="35"/>
      <c r="J1392" s="36"/>
      <c r="K1392" s="36"/>
      <c r="L1392" s="36"/>
      <c r="M1392" s="36"/>
      <c r="N1392" s="36"/>
      <c r="O1392" s="36"/>
      <c r="P1392" s="36"/>
      <c r="Q1392" s="36"/>
      <c r="R1392" s="36"/>
      <c r="S1392" s="36"/>
      <c r="T1392" s="36"/>
      <c r="U1392" s="36"/>
      <c r="V1392" s="36"/>
      <c r="W1392" s="36"/>
      <c r="X1392" s="36"/>
      <c r="Y1392" s="36"/>
      <c r="Z1392" s="36"/>
      <c r="AA1392" s="36"/>
      <c r="AB1392" s="36"/>
    </row>
    <row r="1393" spans="1:28" ht="36" hidden="1" customHeight="1">
      <c r="A1393" s="215" t="s">
        <v>710</v>
      </c>
      <c r="B1393" s="201">
        <v>2005</v>
      </c>
      <c r="C1393" s="218" t="s">
        <v>130</v>
      </c>
      <c r="D1393" s="202" t="s">
        <v>2830</v>
      </c>
      <c r="E1393" s="201" t="s">
        <v>41</v>
      </c>
      <c r="F1393" s="201" t="s">
        <v>42</v>
      </c>
      <c r="G1393" s="216" t="s">
        <v>43</v>
      </c>
      <c r="H1393" s="201" t="s">
        <v>750</v>
      </c>
      <c r="I1393" s="35"/>
      <c r="J1393" s="36"/>
      <c r="K1393" s="36"/>
      <c r="L1393" s="36"/>
      <c r="M1393" s="36"/>
      <c r="N1393" s="36"/>
      <c r="O1393" s="36"/>
      <c r="P1393" s="36"/>
      <c r="Q1393" s="36"/>
      <c r="R1393" s="36"/>
      <c r="S1393" s="36"/>
      <c r="T1393" s="36"/>
      <c r="U1393" s="36"/>
      <c r="V1393" s="36"/>
      <c r="W1393" s="36"/>
      <c r="X1393" s="36"/>
      <c r="Y1393" s="36"/>
      <c r="Z1393" s="36"/>
      <c r="AA1393" s="36"/>
      <c r="AB1393" s="36"/>
    </row>
    <row r="1394" spans="1:28" ht="60" hidden="1" customHeight="1">
      <c r="A1394" s="215" t="s">
        <v>2831</v>
      </c>
      <c r="B1394" s="201">
        <v>2005</v>
      </c>
      <c r="C1394" s="218" t="s">
        <v>2832</v>
      </c>
      <c r="D1394" s="202" t="s">
        <v>2833</v>
      </c>
      <c r="E1394" s="201" t="s">
        <v>41</v>
      </c>
      <c r="F1394" s="201" t="s">
        <v>42</v>
      </c>
      <c r="G1394" s="216" t="s">
        <v>43</v>
      </c>
      <c r="H1394" s="201" t="s">
        <v>750</v>
      </c>
      <c r="I1394" s="35"/>
      <c r="J1394" s="36"/>
      <c r="K1394" s="36"/>
      <c r="L1394" s="36"/>
      <c r="M1394" s="36"/>
      <c r="N1394" s="36"/>
      <c r="O1394" s="36"/>
      <c r="P1394" s="36"/>
      <c r="Q1394" s="36"/>
      <c r="R1394" s="36"/>
      <c r="S1394" s="36"/>
      <c r="T1394" s="36"/>
      <c r="U1394" s="36"/>
      <c r="V1394" s="36"/>
      <c r="W1394" s="36"/>
      <c r="X1394" s="36"/>
      <c r="Y1394" s="36"/>
      <c r="Z1394" s="36"/>
      <c r="AA1394" s="36"/>
      <c r="AB1394" s="36"/>
    </row>
    <row r="1395" spans="1:28" ht="24" hidden="1" customHeight="1">
      <c r="A1395" s="215" t="s">
        <v>2834</v>
      </c>
      <c r="B1395" s="201">
        <v>2006</v>
      </c>
      <c r="C1395" s="218" t="s">
        <v>133</v>
      </c>
      <c r="D1395" s="202" t="s">
        <v>2835</v>
      </c>
      <c r="E1395" s="201" t="s">
        <v>41</v>
      </c>
      <c r="F1395" s="201" t="s">
        <v>42</v>
      </c>
      <c r="G1395" s="216" t="s">
        <v>43</v>
      </c>
      <c r="H1395" s="201" t="s">
        <v>750</v>
      </c>
      <c r="I1395" s="35"/>
      <c r="J1395" s="36"/>
      <c r="K1395" s="36"/>
      <c r="L1395" s="36"/>
      <c r="M1395" s="36"/>
      <c r="N1395" s="36"/>
      <c r="O1395" s="36"/>
      <c r="P1395" s="36"/>
      <c r="Q1395" s="36"/>
      <c r="R1395" s="36"/>
      <c r="S1395" s="36"/>
      <c r="T1395" s="36"/>
      <c r="U1395" s="36"/>
      <c r="V1395" s="36"/>
      <c r="W1395" s="36"/>
      <c r="X1395" s="36"/>
      <c r="Y1395" s="36"/>
      <c r="Z1395" s="36"/>
      <c r="AA1395" s="36"/>
      <c r="AB1395" s="36"/>
    </row>
    <row r="1396" spans="1:28" ht="36" hidden="1" customHeight="1">
      <c r="A1396" s="215" t="s">
        <v>2836</v>
      </c>
      <c r="B1396" s="201">
        <v>2009</v>
      </c>
      <c r="C1396" s="218" t="s">
        <v>130</v>
      </c>
      <c r="D1396" s="202" t="s">
        <v>2837</v>
      </c>
      <c r="E1396" s="201" t="s">
        <v>41</v>
      </c>
      <c r="F1396" s="201" t="s">
        <v>42</v>
      </c>
      <c r="G1396" s="216" t="s">
        <v>43</v>
      </c>
      <c r="H1396" s="201" t="s">
        <v>750</v>
      </c>
      <c r="I1396" s="35"/>
      <c r="J1396" s="36"/>
      <c r="K1396" s="36"/>
      <c r="L1396" s="36"/>
      <c r="M1396" s="36"/>
      <c r="N1396" s="36"/>
      <c r="O1396" s="36"/>
      <c r="P1396" s="36"/>
      <c r="Q1396" s="36"/>
      <c r="R1396" s="36"/>
      <c r="S1396" s="36"/>
      <c r="T1396" s="36"/>
      <c r="U1396" s="36"/>
      <c r="V1396" s="36"/>
      <c r="W1396" s="36"/>
      <c r="X1396" s="36"/>
      <c r="Y1396" s="36"/>
      <c r="Z1396" s="36"/>
      <c r="AA1396" s="36"/>
      <c r="AB1396" s="36"/>
    </row>
    <row r="1397" spans="1:28" ht="24" hidden="1" customHeight="1">
      <c r="A1397" s="215" t="s">
        <v>2838</v>
      </c>
      <c r="B1397" s="201">
        <v>2011</v>
      </c>
      <c r="C1397" s="218" t="s">
        <v>130</v>
      </c>
      <c r="D1397" s="202" t="s">
        <v>2839</v>
      </c>
      <c r="E1397" s="201" t="s">
        <v>41</v>
      </c>
      <c r="F1397" s="201" t="s">
        <v>42</v>
      </c>
      <c r="G1397" s="216" t="s">
        <v>43</v>
      </c>
      <c r="H1397" s="201" t="s">
        <v>750</v>
      </c>
      <c r="I1397" s="35"/>
      <c r="J1397" s="36"/>
      <c r="K1397" s="36"/>
      <c r="L1397" s="36"/>
      <c r="M1397" s="36"/>
      <c r="N1397" s="36"/>
      <c r="O1397" s="36"/>
      <c r="P1397" s="36"/>
      <c r="Q1397" s="36"/>
      <c r="R1397" s="36"/>
      <c r="S1397" s="36"/>
      <c r="T1397" s="36"/>
      <c r="U1397" s="36"/>
      <c r="V1397" s="36"/>
      <c r="W1397" s="36"/>
      <c r="X1397" s="36"/>
      <c r="Y1397" s="36"/>
      <c r="Z1397" s="36"/>
      <c r="AA1397" s="36"/>
      <c r="AB1397" s="36"/>
    </row>
    <row r="1398" spans="1:28" ht="36" hidden="1" customHeight="1">
      <c r="A1398" s="215" t="s">
        <v>1601</v>
      </c>
      <c r="B1398" s="201">
        <v>2013</v>
      </c>
      <c r="C1398" s="218" t="s">
        <v>130</v>
      </c>
      <c r="D1398" s="202" t="s">
        <v>2840</v>
      </c>
      <c r="E1398" s="201" t="s">
        <v>41</v>
      </c>
      <c r="F1398" s="201" t="s">
        <v>42</v>
      </c>
      <c r="G1398" s="216" t="s">
        <v>43</v>
      </c>
      <c r="H1398" s="201" t="s">
        <v>750</v>
      </c>
      <c r="I1398" s="35"/>
      <c r="J1398" s="36"/>
      <c r="K1398" s="36"/>
      <c r="L1398" s="36"/>
      <c r="M1398" s="36"/>
      <c r="N1398" s="36"/>
      <c r="O1398" s="36"/>
      <c r="P1398" s="36"/>
      <c r="Q1398" s="36"/>
      <c r="R1398" s="36"/>
      <c r="S1398" s="36"/>
      <c r="T1398" s="36"/>
      <c r="U1398" s="36"/>
      <c r="V1398" s="36"/>
      <c r="W1398" s="36"/>
      <c r="X1398" s="36"/>
      <c r="Y1398" s="36"/>
      <c r="Z1398" s="36"/>
      <c r="AA1398" s="36"/>
      <c r="AB1398" s="36"/>
    </row>
    <row r="1399" spans="1:28" ht="24" hidden="1" customHeight="1">
      <c r="A1399" s="215" t="s">
        <v>2841</v>
      </c>
      <c r="B1399" s="201">
        <v>2014</v>
      </c>
      <c r="C1399" s="218" t="s">
        <v>130</v>
      </c>
      <c r="D1399" s="202" t="s">
        <v>2842</v>
      </c>
      <c r="E1399" s="201" t="s">
        <v>41</v>
      </c>
      <c r="F1399" s="201" t="s">
        <v>42</v>
      </c>
      <c r="G1399" s="216" t="s">
        <v>43</v>
      </c>
      <c r="H1399" s="201" t="s">
        <v>750</v>
      </c>
      <c r="I1399" s="35"/>
      <c r="J1399" s="36"/>
      <c r="K1399" s="36"/>
      <c r="L1399" s="36"/>
      <c r="M1399" s="36"/>
      <c r="N1399" s="36"/>
      <c r="O1399" s="36"/>
      <c r="P1399" s="36"/>
      <c r="Q1399" s="36"/>
      <c r="R1399" s="36"/>
      <c r="S1399" s="36"/>
      <c r="T1399" s="36"/>
      <c r="U1399" s="36"/>
      <c r="V1399" s="36"/>
      <c r="W1399" s="36"/>
      <c r="X1399" s="36"/>
      <c r="Y1399" s="36"/>
      <c r="Z1399" s="36"/>
      <c r="AA1399" s="36"/>
      <c r="AB1399" s="36"/>
    </row>
    <row r="1400" spans="1:28" ht="24" hidden="1" customHeight="1">
      <c r="A1400" s="215" t="s">
        <v>2843</v>
      </c>
      <c r="B1400" s="201">
        <v>2014</v>
      </c>
      <c r="C1400" s="218" t="s">
        <v>130</v>
      </c>
      <c r="D1400" s="202" t="s">
        <v>2844</v>
      </c>
      <c r="E1400" s="201" t="s">
        <v>41</v>
      </c>
      <c r="F1400" s="201" t="s">
        <v>42</v>
      </c>
      <c r="G1400" s="216" t="s">
        <v>43</v>
      </c>
      <c r="H1400" s="201" t="s">
        <v>750</v>
      </c>
      <c r="I1400" s="35"/>
      <c r="J1400" s="36"/>
      <c r="K1400" s="36"/>
      <c r="L1400" s="36"/>
      <c r="M1400" s="36"/>
      <c r="N1400" s="36"/>
      <c r="O1400" s="36"/>
      <c r="P1400" s="36"/>
      <c r="Q1400" s="36"/>
      <c r="R1400" s="36"/>
      <c r="S1400" s="36"/>
      <c r="T1400" s="36"/>
      <c r="U1400" s="36"/>
      <c r="V1400" s="36"/>
      <c r="W1400" s="36"/>
      <c r="X1400" s="36"/>
      <c r="Y1400" s="36"/>
      <c r="Z1400" s="36"/>
      <c r="AA1400" s="36"/>
      <c r="AB1400" s="36"/>
    </row>
    <row r="1401" spans="1:28" ht="24" hidden="1" customHeight="1">
      <c r="A1401" s="215" t="s">
        <v>2845</v>
      </c>
      <c r="B1401" s="201">
        <v>2014</v>
      </c>
      <c r="C1401" s="218" t="s">
        <v>130</v>
      </c>
      <c r="D1401" s="202" t="s">
        <v>2846</v>
      </c>
      <c r="E1401" s="201" t="s">
        <v>41</v>
      </c>
      <c r="F1401" s="201" t="s">
        <v>42</v>
      </c>
      <c r="G1401" s="216" t="s">
        <v>43</v>
      </c>
      <c r="H1401" s="201" t="s">
        <v>750</v>
      </c>
      <c r="I1401" s="35"/>
      <c r="J1401" s="36"/>
      <c r="K1401" s="36"/>
      <c r="L1401" s="36"/>
      <c r="M1401" s="36"/>
      <c r="N1401" s="36"/>
      <c r="O1401" s="36"/>
      <c r="P1401" s="36"/>
      <c r="Q1401" s="36"/>
      <c r="R1401" s="36"/>
      <c r="S1401" s="36"/>
      <c r="T1401" s="36"/>
      <c r="U1401" s="36"/>
      <c r="V1401" s="36"/>
      <c r="W1401" s="36"/>
      <c r="X1401" s="36"/>
      <c r="Y1401" s="36"/>
      <c r="Z1401" s="36"/>
      <c r="AA1401" s="36"/>
      <c r="AB1401" s="36"/>
    </row>
    <row r="1402" spans="1:28" ht="24" hidden="1" customHeight="1">
      <c r="A1402" s="215" t="s">
        <v>2847</v>
      </c>
      <c r="B1402" s="201">
        <v>2014</v>
      </c>
      <c r="C1402" s="218" t="s">
        <v>130</v>
      </c>
      <c r="D1402" s="202" t="s">
        <v>2848</v>
      </c>
      <c r="E1402" s="201" t="s">
        <v>41</v>
      </c>
      <c r="F1402" s="201" t="s">
        <v>42</v>
      </c>
      <c r="G1402" s="216" t="s">
        <v>43</v>
      </c>
      <c r="H1402" s="201" t="s">
        <v>750</v>
      </c>
      <c r="I1402" s="35"/>
      <c r="J1402" s="36"/>
      <c r="K1402" s="36"/>
      <c r="L1402" s="36"/>
      <c r="M1402" s="36"/>
      <c r="N1402" s="36"/>
      <c r="O1402" s="36"/>
      <c r="P1402" s="36"/>
      <c r="Q1402" s="36"/>
      <c r="R1402" s="36"/>
      <c r="S1402" s="36"/>
      <c r="T1402" s="36"/>
      <c r="U1402" s="36"/>
      <c r="V1402" s="36"/>
      <c r="W1402" s="36"/>
      <c r="X1402" s="36"/>
      <c r="Y1402" s="36"/>
      <c r="Z1402" s="36"/>
      <c r="AA1402" s="36"/>
      <c r="AB1402" s="36"/>
    </row>
    <row r="1403" spans="1:28" ht="24" hidden="1" customHeight="1">
      <c r="A1403" s="215" t="s">
        <v>2836</v>
      </c>
      <c r="B1403" s="201">
        <v>2014</v>
      </c>
      <c r="C1403" s="218" t="s">
        <v>130</v>
      </c>
      <c r="D1403" s="202" t="s">
        <v>2849</v>
      </c>
      <c r="E1403" s="201" t="s">
        <v>41</v>
      </c>
      <c r="F1403" s="201" t="s">
        <v>42</v>
      </c>
      <c r="G1403" s="216" t="s">
        <v>43</v>
      </c>
      <c r="H1403" s="201" t="s">
        <v>750</v>
      </c>
      <c r="I1403" s="35"/>
      <c r="J1403" s="36"/>
      <c r="K1403" s="36"/>
      <c r="L1403" s="36"/>
      <c r="M1403" s="36"/>
      <c r="N1403" s="36"/>
      <c r="O1403" s="36"/>
      <c r="P1403" s="36"/>
      <c r="Q1403" s="36"/>
      <c r="R1403" s="36"/>
      <c r="S1403" s="36"/>
      <c r="T1403" s="36"/>
      <c r="U1403" s="36"/>
      <c r="V1403" s="36"/>
      <c r="W1403" s="36"/>
      <c r="X1403" s="36"/>
      <c r="Y1403" s="36"/>
      <c r="Z1403" s="36"/>
      <c r="AA1403" s="36"/>
      <c r="AB1403" s="36"/>
    </row>
    <row r="1404" spans="1:28" ht="36" hidden="1" customHeight="1">
      <c r="A1404" s="215" t="s">
        <v>2850</v>
      </c>
      <c r="B1404" s="201">
        <v>2014</v>
      </c>
      <c r="C1404" s="218" t="s">
        <v>130</v>
      </c>
      <c r="D1404" s="202" t="s">
        <v>2851</v>
      </c>
      <c r="E1404" s="201" t="s">
        <v>41</v>
      </c>
      <c r="F1404" s="201" t="s">
        <v>42</v>
      </c>
      <c r="G1404" s="216" t="s">
        <v>43</v>
      </c>
      <c r="H1404" s="201" t="s">
        <v>750</v>
      </c>
      <c r="I1404" s="35"/>
      <c r="J1404" s="36"/>
      <c r="K1404" s="36"/>
      <c r="L1404" s="36"/>
      <c r="M1404" s="36"/>
      <c r="N1404" s="36"/>
      <c r="O1404" s="36"/>
      <c r="P1404" s="36"/>
      <c r="Q1404" s="36"/>
      <c r="R1404" s="36"/>
      <c r="S1404" s="36"/>
      <c r="T1404" s="36"/>
      <c r="U1404" s="36"/>
      <c r="V1404" s="36"/>
      <c r="W1404" s="36"/>
      <c r="X1404" s="36"/>
      <c r="Y1404" s="36"/>
      <c r="Z1404" s="36"/>
      <c r="AA1404" s="36"/>
      <c r="AB1404" s="36"/>
    </row>
    <row r="1405" spans="1:28" ht="36" hidden="1" customHeight="1">
      <c r="A1405" s="215" t="s">
        <v>591</v>
      </c>
      <c r="B1405" s="201">
        <v>2015</v>
      </c>
      <c r="C1405" s="218" t="s">
        <v>130</v>
      </c>
      <c r="D1405" s="202" t="s">
        <v>592</v>
      </c>
      <c r="E1405" s="201" t="s">
        <v>41</v>
      </c>
      <c r="F1405" s="201" t="s">
        <v>42</v>
      </c>
      <c r="G1405" s="216" t="s">
        <v>43</v>
      </c>
      <c r="H1405" s="201" t="s">
        <v>750</v>
      </c>
      <c r="I1405" s="35"/>
      <c r="J1405" s="36"/>
      <c r="K1405" s="36"/>
      <c r="L1405" s="36"/>
      <c r="M1405" s="36"/>
      <c r="N1405" s="36"/>
      <c r="O1405" s="36"/>
      <c r="P1405" s="36"/>
      <c r="Q1405" s="36"/>
      <c r="R1405" s="36"/>
      <c r="S1405" s="36"/>
      <c r="T1405" s="36"/>
      <c r="U1405" s="36"/>
      <c r="V1405" s="36"/>
      <c r="W1405" s="36"/>
      <c r="X1405" s="36"/>
      <c r="Y1405" s="36"/>
      <c r="Z1405" s="36"/>
      <c r="AA1405" s="36"/>
      <c r="AB1405" s="36"/>
    </row>
    <row r="1406" spans="1:28" ht="24" hidden="1" customHeight="1">
      <c r="A1406" s="215" t="s">
        <v>2852</v>
      </c>
      <c r="B1406" s="201">
        <v>2015</v>
      </c>
      <c r="C1406" s="218" t="s">
        <v>130</v>
      </c>
      <c r="D1406" s="202" t="s">
        <v>2853</v>
      </c>
      <c r="E1406" s="201" t="s">
        <v>41</v>
      </c>
      <c r="F1406" s="201" t="s">
        <v>42</v>
      </c>
      <c r="G1406" s="216" t="s">
        <v>43</v>
      </c>
      <c r="H1406" s="201" t="s">
        <v>750</v>
      </c>
      <c r="I1406" s="35"/>
      <c r="J1406" s="36"/>
      <c r="K1406" s="36"/>
      <c r="L1406" s="36"/>
      <c r="M1406" s="36"/>
      <c r="N1406" s="36"/>
      <c r="O1406" s="36"/>
      <c r="P1406" s="36"/>
      <c r="Q1406" s="36"/>
      <c r="R1406" s="36"/>
      <c r="S1406" s="36"/>
      <c r="T1406" s="36"/>
      <c r="U1406" s="36"/>
      <c r="V1406" s="36"/>
      <c r="W1406" s="36"/>
      <c r="X1406" s="36"/>
      <c r="Y1406" s="36"/>
      <c r="Z1406" s="36"/>
      <c r="AA1406" s="36"/>
      <c r="AB1406" s="36"/>
    </row>
    <row r="1407" spans="1:28" ht="24" hidden="1" customHeight="1">
      <c r="A1407" s="215" t="s">
        <v>2854</v>
      </c>
      <c r="B1407" s="201">
        <v>2015</v>
      </c>
      <c r="C1407" s="218" t="s">
        <v>130</v>
      </c>
      <c r="D1407" s="202" t="s">
        <v>2855</v>
      </c>
      <c r="E1407" s="201" t="s">
        <v>41</v>
      </c>
      <c r="F1407" s="201" t="s">
        <v>42</v>
      </c>
      <c r="G1407" s="216" t="s">
        <v>43</v>
      </c>
      <c r="H1407" s="201" t="s">
        <v>750</v>
      </c>
      <c r="I1407" s="35"/>
      <c r="J1407" s="36"/>
      <c r="K1407" s="36"/>
      <c r="L1407" s="36"/>
      <c r="M1407" s="36"/>
      <c r="N1407" s="36"/>
      <c r="O1407" s="36"/>
      <c r="P1407" s="36"/>
      <c r="Q1407" s="36"/>
      <c r="R1407" s="36"/>
      <c r="S1407" s="36"/>
      <c r="T1407" s="36"/>
      <c r="U1407" s="36"/>
      <c r="V1407" s="36"/>
      <c r="W1407" s="36"/>
      <c r="X1407" s="36"/>
      <c r="Y1407" s="36"/>
      <c r="Z1407" s="36"/>
      <c r="AA1407" s="36"/>
      <c r="AB1407" s="36"/>
    </row>
    <row r="1408" spans="1:28" ht="36" hidden="1" customHeight="1">
      <c r="A1408" s="215" t="s">
        <v>2856</v>
      </c>
      <c r="B1408" s="201">
        <v>2015</v>
      </c>
      <c r="C1408" s="218" t="s">
        <v>130</v>
      </c>
      <c r="D1408" s="202" t="s">
        <v>592</v>
      </c>
      <c r="E1408" s="201" t="s">
        <v>41</v>
      </c>
      <c r="F1408" s="201" t="s">
        <v>42</v>
      </c>
      <c r="G1408" s="216" t="s">
        <v>43</v>
      </c>
      <c r="H1408" s="201" t="s">
        <v>750</v>
      </c>
      <c r="I1408" s="35"/>
      <c r="J1408" s="36"/>
      <c r="K1408" s="36"/>
      <c r="L1408" s="36"/>
      <c r="M1408" s="36"/>
      <c r="N1408" s="36"/>
      <c r="O1408" s="36"/>
      <c r="P1408" s="36"/>
      <c r="Q1408" s="36"/>
      <c r="R1408" s="36"/>
      <c r="S1408" s="36"/>
      <c r="T1408" s="36"/>
      <c r="U1408" s="36"/>
      <c r="V1408" s="36"/>
      <c r="W1408" s="36"/>
      <c r="X1408" s="36"/>
      <c r="Y1408" s="36"/>
      <c r="Z1408" s="36"/>
      <c r="AA1408" s="36"/>
      <c r="AB1408" s="36"/>
    </row>
    <row r="1409" spans="1:28" ht="24" hidden="1" customHeight="1">
      <c r="A1409" s="215" t="s">
        <v>2857</v>
      </c>
      <c r="B1409" s="201">
        <v>2016</v>
      </c>
      <c r="C1409" s="218" t="s">
        <v>1596</v>
      </c>
      <c r="D1409" s="202" t="s">
        <v>2858</v>
      </c>
      <c r="E1409" s="201" t="s">
        <v>41</v>
      </c>
      <c r="F1409" s="201" t="s">
        <v>42</v>
      </c>
      <c r="G1409" s="216" t="s">
        <v>43</v>
      </c>
      <c r="H1409" s="201" t="s">
        <v>750</v>
      </c>
      <c r="I1409" s="35"/>
      <c r="J1409" s="36"/>
      <c r="K1409" s="36"/>
      <c r="L1409" s="36"/>
      <c r="M1409" s="36"/>
      <c r="N1409" s="36"/>
      <c r="O1409" s="36"/>
      <c r="P1409" s="36"/>
      <c r="Q1409" s="36"/>
      <c r="R1409" s="36"/>
      <c r="S1409" s="36"/>
      <c r="T1409" s="36"/>
      <c r="U1409" s="36"/>
      <c r="V1409" s="36"/>
      <c r="W1409" s="36"/>
      <c r="X1409" s="36"/>
      <c r="Y1409" s="36"/>
      <c r="Z1409" s="36"/>
      <c r="AA1409" s="36"/>
      <c r="AB1409" s="36"/>
    </row>
    <row r="1410" spans="1:28" ht="24" hidden="1" customHeight="1">
      <c r="A1410" s="215" t="s">
        <v>2859</v>
      </c>
      <c r="B1410" s="201">
        <v>2016</v>
      </c>
      <c r="C1410" s="218" t="s">
        <v>1596</v>
      </c>
      <c r="D1410" s="202" t="s">
        <v>2860</v>
      </c>
      <c r="E1410" s="201" t="s">
        <v>41</v>
      </c>
      <c r="F1410" s="201" t="s">
        <v>42</v>
      </c>
      <c r="G1410" s="216" t="s">
        <v>43</v>
      </c>
      <c r="H1410" s="201" t="s">
        <v>750</v>
      </c>
      <c r="I1410" s="35"/>
      <c r="J1410" s="36"/>
      <c r="K1410" s="36"/>
      <c r="L1410" s="36"/>
      <c r="M1410" s="36"/>
      <c r="N1410" s="36"/>
      <c r="O1410" s="36"/>
      <c r="P1410" s="36"/>
      <c r="Q1410" s="36"/>
      <c r="R1410" s="36"/>
      <c r="S1410" s="36"/>
      <c r="T1410" s="36"/>
      <c r="U1410" s="36"/>
      <c r="V1410" s="36"/>
      <c r="W1410" s="36"/>
      <c r="X1410" s="36"/>
      <c r="Y1410" s="36"/>
      <c r="Z1410" s="36"/>
      <c r="AA1410" s="36"/>
      <c r="AB1410" s="36"/>
    </row>
    <row r="1411" spans="1:28" ht="24" hidden="1" customHeight="1">
      <c r="A1411" s="215" t="s">
        <v>2861</v>
      </c>
      <c r="B1411" s="201">
        <v>2016</v>
      </c>
      <c r="C1411" s="218" t="s">
        <v>1596</v>
      </c>
      <c r="D1411" s="202" t="s">
        <v>2862</v>
      </c>
      <c r="E1411" s="201" t="s">
        <v>41</v>
      </c>
      <c r="F1411" s="201" t="s">
        <v>42</v>
      </c>
      <c r="G1411" s="216" t="s">
        <v>43</v>
      </c>
      <c r="H1411" s="201" t="s">
        <v>750</v>
      </c>
      <c r="I1411" s="35"/>
      <c r="J1411" s="36"/>
      <c r="K1411" s="36"/>
      <c r="L1411" s="36"/>
      <c r="M1411" s="36"/>
      <c r="N1411" s="36"/>
      <c r="O1411" s="36"/>
      <c r="P1411" s="36"/>
      <c r="Q1411" s="36"/>
      <c r="R1411" s="36"/>
      <c r="S1411" s="36"/>
      <c r="T1411" s="36"/>
      <c r="U1411" s="36"/>
      <c r="V1411" s="36"/>
      <c r="W1411" s="36"/>
      <c r="X1411" s="36"/>
      <c r="Y1411" s="36"/>
      <c r="Z1411" s="36"/>
      <c r="AA1411" s="36"/>
      <c r="AB1411" s="36"/>
    </row>
    <row r="1412" spans="1:28" ht="24" hidden="1" customHeight="1">
      <c r="A1412" s="215" t="s">
        <v>2863</v>
      </c>
      <c r="B1412" s="204">
        <v>2017</v>
      </c>
      <c r="C1412" s="201" t="s">
        <v>57</v>
      </c>
      <c r="D1412" s="259" t="s">
        <v>644</v>
      </c>
      <c r="E1412" s="201" t="s">
        <v>41</v>
      </c>
      <c r="F1412" s="201" t="s">
        <v>42</v>
      </c>
      <c r="G1412" s="216" t="s">
        <v>43</v>
      </c>
      <c r="H1412" s="201" t="s">
        <v>750</v>
      </c>
      <c r="I1412" s="35"/>
      <c r="J1412" s="36"/>
      <c r="K1412" s="36"/>
      <c r="L1412" s="36"/>
      <c r="M1412" s="36"/>
      <c r="N1412" s="36"/>
      <c r="O1412" s="36"/>
      <c r="P1412" s="36"/>
      <c r="Q1412" s="36"/>
      <c r="R1412" s="36"/>
      <c r="S1412" s="36"/>
      <c r="T1412" s="36"/>
      <c r="U1412" s="36"/>
      <c r="V1412" s="36"/>
      <c r="W1412" s="36"/>
      <c r="X1412" s="36"/>
      <c r="Y1412" s="36"/>
      <c r="Z1412" s="36"/>
      <c r="AA1412" s="36"/>
      <c r="AB1412" s="36"/>
    </row>
    <row r="1413" spans="1:28" ht="36" hidden="1" customHeight="1">
      <c r="A1413" s="215" t="s">
        <v>2059</v>
      </c>
      <c r="B1413" s="204">
        <v>2018</v>
      </c>
      <c r="C1413" s="201" t="s">
        <v>57</v>
      </c>
      <c r="D1413" s="202" t="s">
        <v>2864</v>
      </c>
      <c r="E1413" s="201" t="s">
        <v>41</v>
      </c>
      <c r="F1413" s="201" t="s">
        <v>42</v>
      </c>
      <c r="G1413" s="216" t="s">
        <v>43</v>
      </c>
      <c r="H1413" s="201" t="s">
        <v>750</v>
      </c>
      <c r="I1413" s="35"/>
      <c r="J1413" s="36"/>
      <c r="K1413" s="36"/>
      <c r="L1413" s="36"/>
      <c r="M1413" s="36"/>
      <c r="N1413" s="36"/>
      <c r="O1413" s="36"/>
      <c r="P1413" s="36"/>
      <c r="Q1413" s="36"/>
      <c r="R1413" s="36"/>
      <c r="S1413" s="36"/>
      <c r="T1413" s="36"/>
      <c r="U1413" s="36"/>
      <c r="V1413" s="36"/>
      <c r="W1413" s="36"/>
      <c r="X1413" s="36"/>
      <c r="Y1413" s="36"/>
      <c r="Z1413" s="36"/>
      <c r="AA1413" s="36"/>
      <c r="AB1413" s="36"/>
    </row>
    <row r="1414" spans="1:28" ht="36" hidden="1" customHeight="1">
      <c r="A1414" s="215" t="s">
        <v>2865</v>
      </c>
      <c r="B1414" s="201">
        <v>2017</v>
      </c>
      <c r="C1414" s="218" t="s">
        <v>130</v>
      </c>
      <c r="D1414" s="202" t="s">
        <v>2866</v>
      </c>
      <c r="E1414" s="201" t="s">
        <v>41</v>
      </c>
      <c r="F1414" s="201" t="s">
        <v>42</v>
      </c>
      <c r="G1414" s="216" t="s">
        <v>43</v>
      </c>
      <c r="H1414" s="201" t="s">
        <v>750</v>
      </c>
      <c r="I1414" s="35"/>
      <c r="J1414" s="36"/>
      <c r="K1414" s="36"/>
      <c r="L1414" s="36"/>
      <c r="M1414" s="36"/>
      <c r="N1414" s="36"/>
      <c r="O1414" s="36"/>
      <c r="P1414" s="36"/>
      <c r="Q1414" s="36"/>
      <c r="R1414" s="36"/>
      <c r="S1414" s="36"/>
      <c r="T1414" s="36"/>
      <c r="U1414" s="36"/>
      <c r="V1414" s="36"/>
      <c r="W1414" s="36"/>
      <c r="X1414" s="36"/>
      <c r="Y1414" s="36"/>
      <c r="Z1414" s="36"/>
      <c r="AA1414" s="36"/>
      <c r="AB1414" s="36"/>
    </row>
    <row r="1415" spans="1:28" ht="36" hidden="1" customHeight="1">
      <c r="A1415" s="215" t="s">
        <v>2867</v>
      </c>
      <c r="B1415" s="201">
        <v>2017</v>
      </c>
      <c r="C1415" s="218" t="s">
        <v>130</v>
      </c>
      <c r="D1415" s="202" t="s">
        <v>2868</v>
      </c>
      <c r="E1415" s="201" t="s">
        <v>41</v>
      </c>
      <c r="F1415" s="201" t="s">
        <v>42</v>
      </c>
      <c r="G1415" s="216" t="s">
        <v>43</v>
      </c>
      <c r="H1415" s="201" t="s">
        <v>750</v>
      </c>
      <c r="I1415" s="35"/>
      <c r="J1415" s="36"/>
      <c r="K1415" s="36"/>
      <c r="L1415" s="36"/>
      <c r="M1415" s="36"/>
      <c r="N1415" s="36"/>
      <c r="O1415" s="36"/>
      <c r="P1415" s="36"/>
      <c r="Q1415" s="36"/>
      <c r="R1415" s="36"/>
      <c r="S1415" s="36"/>
      <c r="T1415" s="36"/>
      <c r="U1415" s="36"/>
      <c r="V1415" s="36"/>
      <c r="W1415" s="36"/>
      <c r="X1415" s="36"/>
      <c r="Y1415" s="36"/>
      <c r="Z1415" s="36"/>
      <c r="AA1415" s="36"/>
      <c r="AB1415" s="36"/>
    </row>
    <row r="1416" spans="1:28" ht="36" hidden="1" customHeight="1">
      <c r="A1416" s="215" t="s">
        <v>2358</v>
      </c>
      <c r="B1416" s="201">
        <v>2017</v>
      </c>
      <c r="C1416" s="218" t="s">
        <v>430</v>
      </c>
      <c r="D1416" s="202" t="s">
        <v>2869</v>
      </c>
      <c r="E1416" s="201" t="s">
        <v>41</v>
      </c>
      <c r="F1416" s="201" t="s">
        <v>42</v>
      </c>
      <c r="G1416" s="216" t="s">
        <v>43</v>
      </c>
      <c r="H1416" s="201" t="s">
        <v>2870</v>
      </c>
      <c r="I1416" s="35"/>
      <c r="J1416" s="36"/>
      <c r="K1416" s="36"/>
      <c r="L1416" s="36"/>
      <c r="M1416" s="36"/>
      <c r="N1416" s="36"/>
      <c r="O1416" s="36"/>
      <c r="P1416" s="36"/>
      <c r="Q1416" s="36"/>
      <c r="R1416" s="36"/>
      <c r="S1416" s="36"/>
      <c r="T1416" s="36"/>
      <c r="U1416" s="36"/>
      <c r="V1416" s="36"/>
      <c r="W1416" s="36"/>
      <c r="X1416" s="36"/>
      <c r="Y1416" s="36"/>
      <c r="Z1416" s="36"/>
      <c r="AA1416" s="36"/>
      <c r="AB1416" s="36"/>
    </row>
    <row r="1417" spans="1:28" ht="24" hidden="1" customHeight="1">
      <c r="A1417" s="215" t="s">
        <v>2871</v>
      </c>
      <c r="B1417" s="201">
        <v>2017</v>
      </c>
      <c r="C1417" s="218" t="s">
        <v>430</v>
      </c>
      <c r="D1417" s="202" t="s">
        <v>2872</v>
      </c>
      <c r="E1417" s="201" t="s">
        <v>41</v>
      </c>
      <c r="F1417" s="201" t="s">
        <v>42</v>
      </c>
      <c r="G1417" s="216" t="s">
        <v>43</v>
      </c>
      <c r="H1417" s="201" t="s">
        <v>2870</v>
      </c>
      <c r="I1417" s="35"/>
      <c r="J1417" s="36"/>
      <c r="K1417" s="36"/>
      <c r="L1417" s="36"/>
      <c r="M1417" s="36"/>
      <c r="N1417" s="36"/>
      <c r="O1417" s="36"/>
      <c r="P1417" s="36"/>
      <c r="Q1417" s="36"/>
      <c r="R1417" s="36"/>
      <c r="S1417" s="36"/>
      <c r="T1417" s="36"/>
      <c r="U1417" s="36"/>
      <c r="V1417" s="36"/>
      <c r="W1417" s="36"/>
      <c r="X1417" s="36"/>
      <c r="Y1417" s="36"/>
      <c r="Z1417" s="36"/>
      <c r="AA1417" s="36"/>
      <c r="AB1417" s="36"/>
    </row>
    <row r="1418" spans="1:28" ht="24" hidden="1" customHeight="1">
      <c r="A1418" s="215" t="s">
        <v>2873</v>
      </c>
      <c r="B1418" s="201">
        <v>2014</v>
      </c>
      <c r="C1418" s="218" t="s">
        <v>2832</v>
      </c>
      <c r="D1418" s="202" t="s">
        <v>2874</v>
      </c>
      <c r="E1418" s="201" t="s">
        <v>41</v>
      </c>
      <c r="F1418" s="201" t="s">
        <v>42</v>
      </c>
      <c r="G1418" s="216" t="s">
        <v>43</v>
      </c>
      <c r="H1418" s="201" t="s">
        <v>750</v>
      </c>
      <c r="I1418" s="35"/>
      <c r="J1418" s="36"/>
      <c r="K1418" s="36"/>
      <c r="L1418" s="36"/>
      <c r="M1418" s="36"/>
      <c r="N1418" s="36"/>
      <c r="O1418" s="36"/>
      <c r="P1418" s="36"/>
      <c r="Q1418" s="36"/>
      <c r="R1418" s="36"/>
      <c r="S1418" s="36"/>
      <c r="T1418" s="36"/>
      <c r="U1418" s="36"/>
      <c r="V1418" s="36"/>
      <c r="W1418" s="36"/>
      <c r="X1418" s="36"/>
      <c r="Y1418" s="36"/>
      <c r="Z1418" s="36"/>
      <c r="AA1418" s="36"/>
      <c r="AB1418" s="36"/>
    </row>
    <row r="1419" spans="1:28" ht="24" hidden="1" customHeight="1">
      <c r="A1419" s="215" t="s">
        <v>2875</v>
      </c>
      <c r="B1419" s="201">
        <v>2016</v>
      </c>
      <c r="C1419" s="218" t="s">
        <v>2832</v>
      </c>
      <c r="D1419" s="202" t="s">
        <v>2876</v>
      </c>
      <c r="E1419" s="201" t="s">
        <v>41</v>
      </c>
      <c r="F1419" s="201" t="s">
        <v>42</v>
      </c>
      <c r="G1419" s="216" t="s">
        <v>43</v>
      </c>
      <c r="H1419" s="201" t="s">
        <v>750</v>
      </c>
      <c r="I1419" s="35"/>
      <c r="J1419" s="36"/>
      <c r="K1419" s="36"/>
      <c r="L1419" s="36"/>
      <c r="M1419" s="36"/>
      <c r="N1419" s="36"/>
      <c r="O1419" s="36"/>
      <c r="P1419" s="36"/>
      <c r="Q1419" s="36"/>
      <c r="R1419" s="36"/>
      <c r="S1419" s="36"/>
      <c r="T1419" s="36"/>
      <c r="U1419" s="36"/>
      <c r="V1419" s="36"/>
      <c r="W1419" s="36"/>
      <c r="X1419" s="36"/>
      <c r="Y1419" s="36"/>
      <c r="Z1419" s="36"/>
      <c r="AA1419" s="36"/>
      <c r="AB1419" s="36"/>
    </row>
    <row r="1420" spans="1:28" ht="43.5" customHeight="1">
      <c r="A1420" s="37" t="s">
        <v>2877</v>
      </c>
      <c r="B1420" s="182">
        <v>44313</v>
      </c>
      <c r="C1420" s="40" t="s">
        <v>647</v>
      </c>
      <c r="D1420" s="39" t="s">
        <v>2878</v>
      </c>
      <c r="E1420" s="32" t="s">
        <v>41</v>
      </c>
      <c r="F1420" s="32" t="s">
        <v>42</v>
      </c>
      <c r="G1420" s="183" t="s">
        <v>43</v>
      </c>
      <c r="H1420" s="184" t="s">
        <v>408</v>
      </c>
      <c r="I1420" s="74"/>
      <c r="J1420" s="36"/>
      <c r="K1420" s="36"/>
      <c r="L1420" s="36"/>
      <c r="M1420" s="36"/>
      <c r="N1420" s="36"/>
      <c r="O1420" s="36"/>
      <c r="P1420" s="36"/>
      <c r="Q1420" s="36"/>
      <c r="R1420" s="36"/>
      <c r="S1420" s="36"/>
      <c r="T1420" s="36"/>
      <c r="U1420" s="36"/>
      <c r="V1420" s="36"/>
      <c r="W1420" s="36"/>
      <c r="X1420" s="36"/>
      <c r="Y1420" s="36"/>
      <c r="Z1420" s="36"/>
      <c r="AA1420" s="36"/>
      <c r="AB1420" s="36"/>
    </row>
    <row r="1421" spans="1:28" ht="12" customHeight="1">
      <c r="A1421" s="260"/>
      <c r="B1421" s="104"/>
      <c r="C1421" s="104"/>
      <c r="D1421" s="260"/>
      <c r="E1421" s="104"/>
      <c r="F1421" s="104"/>
      <c r="G1421" s="35"/>
      <c r="H1421" s="104"/>
      <c r="I1421" s="35"/>
      <c r="J1421" s="74"/>
      <c r="K1421" s="74"/>
      <c r="L1421" s="74"/>
      <c r="M1421" s="74"/>
      <c r="N1421" s="74"/>
      <c r="O1421" s="74"/>
      <c r="P1421" s="74"/>
      <c r="Q1421" s="74"/>
      <c r="R1421" s="74"/>
      <c r="S1421" s="74"/>
      <c r="T1421" s="74"/>
      <c r="U1421" s="74"/>
      <c r="V1421" s="74"/>
      <c r="W1421" s="74"/>
      <c r="X1421" s="74"/>
      <c r="Y1421" s="74"/>
      <c r="Z1421" s="74"/>
      <c r="AA1421" s="74"/>
      <c r="AB1421" s="74"/>
    </row>
    <row r="1422" spans="1:28" ht="12" customHeight="1">
      <c r="A1422" s="260"/>
      <c r="B1422" s="104"/>
      <c r="C1422" s="104"/>
      <c r="D1422" s="260"/>
      <c r="E1422" s="104"/>
      <c r="F1422" s="104"/>
      <c r="G1422" s="35"/>
      <c r="H1422" s="104"/>
      <c r="I1422" s="35"/>
      <c r="J1422" s="74"/>
      <c r="K1422" s="74"/>
      <c r="L1422" s="74"/>
      <c r="M1422" s="74"/>
      <c r="N1422" s="74"/>
      <c r="O1422" s="74"/>
      <c r="P1422" s="74"/>
      <c r="Q1422" s="74"/>
      <c r="R1422" s="74"/>
      <c r="S1422" s="74"/>
      <c r="T1422" s="74"/>
      <c r="U1422" s="74"/>
      <c r="V1422" s="74"/>
      <c r="W1422" s="74"/>
      <c r="X1422" s="74"/>
      <c r="Y1422" s="74"/>
      <c r="Z1422" s="74"/>
      <c r="AA1422" s="74"/>
      <c r="AB1422" s="74"/>
    </row>
    <row r="1423" spans="1:28" ht="12" customHeight="1">
      <c r="A1423" s="260"/>
      <c r="B1423" s="104"/>
      <c r="C1423" s="104"/>
      <c r="D1423" s="260"/>
      <c r="E1423" s="104"/>
      <c r="F1423" s="104"/>
      <c r="G1423" s="35"/>
      <c r="H1423" s="104"/>
      <c r="I1423" s="35"/>
      <c r="J1423" s="74"/>
      <c r="K1423" s="74"/>
      <c r="L1423" s="74"/>
      <c r="M1423" s="74"/>
      <c r="N1423" s="74"/>
      <c r="O1423" s="74"/>
      <c r="P1423" s="74"/>
      <c r="Q1423" s="74"/>
      <c r="R1423" s="74"/>
      <c r="S1423" s="74"/>
      <c r="T1423" s="74"/>
      <c r="U1423" s="74"/>
      <c r="V1423" s="74"/>
      <c r="W1423" s="74"/>
      <c r="X1423" s="74"/>
      <c r="Y1423" s="74"/>
      <c r="Z1423" s="74"/>
      <c r="AA1423" s="74"/>
      <c r="AB1423" s="74"/>
    </row>
    <row r="1424" spans="1:28" ht="12" customHeight="1">
      <c r="A1424" s="260"/>
      <c r="B1424" s="104"/>
      <c r="C1424" s="104"/>
      <c r="D1424" s="260"/>
      <c r="E1424" s="104"/>
      <c r="F1424" s="104"/>
      <c r="G1424" s="35"/>
      <c r="H1424" s="104"/>
      <c r="I1424" s="35"/>
      <c r="J1424" s="74"/>
      <c r="K1424" s="74"/>
      <c r="L1424" s="74"/>
      <c r="M1424" s="74"/>
      <c r="N1424" s="74"/>
      <c r="O1424" s="74"/>
      <c r="P1424" s="74"/>
      <c r="Q1424" s="74"/>
      <c r="R1424" s="74"/>
      <c r="S1424" s="74"/>
      <c r="T1424" s="74"/>
      <c r="U1424" s="74"/>
      <c r="V1424" s="74"/>
      <c r="W1424" s="74"/>
      <c r="X1424" s="74"/>
      <c r="Y1424" s="74"/>
      <c r="Z1424" s="74"/>
      <c r="AA1424" s="74"/>
      <c r="AB1424" s="74"/>
    </row>
    <row r="1425" spans="1:28" ht="12" customHeight="1">
      <c r="A1425" s="260"/>
      <c r="B1425" s="104"/>
      <c r="C1425" s="104"/>
      <c r="D1425" s="260"/>
      <c r="E1425" s="104"/>
      <c r="F1425" s="104"/>
      <c r="G1425" s="35"/>
      <c r="H1425" s="104"/>
      <c r="I1425" s="35"/>
      <c r="J1425" s="74"/>
      <c r="K1425" s="74"/>
      <c r="L1425" s="74"/>
      <c r="M1425" s="74"/>
      <c r="N1425" s="74"/>
      <c r="O1425" s="74"/>
      <c r="P1425" s="74"/>
      <c r="Q1425" s="74"/>
      <c r="R1425" s="74"/>
      <c r="S1425" s="74"/>
      <c r="T1425" s="74"/>
      <c r="U1425" s="74"/>
      <c r="V1425" s="74"/>
      <c r="W1425" s="74"/>
      <c r="X1425" s="74"/>
      <c r="Y1425" s="74"/>
      <c r="Z1425" s="74"/>
      <c r="AA1425" s="74"/>
      <c r="AB1425" s="74"/>
    </row>
    <row r="1426" spans="1:28" ht="12" customHeight="1">
      <c r="A1426" s="260"/>
      <c r="B1426" s="104"/>
      <c r="C1426" s="104"/>
      <c r="D1426" s="260"/>
      <c r="E1426" s="104"/>
      <c r="F1426" s="104"/>
      <c r="G1426" s="35"/>
      <c r="H1426" s="104"/>
      <c r="I1426" s="35"/>
      <c r="J1426" s="74"/>
      <c r="K1426" s="74"/>
      <c r="L1426" s="74"/>
      <c r="M1426" s="74"/>
      <c r="N1426" s="74"/>
      <c r="O1426" s="74"/>
      <c r="P1426" s="74"/>
      <c r="Q1426" s="74"/>
      <c r="R1426" s="74"/>
      <c r="S1426" s="74"/>
      <c r="T1426" s="74"/>
      <c r="U1426" s="74"/>
      <c r="V1426" s="74"/>
      <c r="W1426" s="74"/>
      <c r="X1426" s="74"/>
      <c r="Y1426" s="74"/>
      <c r="Z1426" s="74"/>
      <c r="AA1426" s="74"/>
      <c r="AB1426" s="74"/>
    </row>
    <row r="1427" spans="1:28" ht="12" customHeight="1">
      <c r="A1427" s="260"/>
      <c r="B1427" s="104"/>
      <c r="C1427" s="104"/>
      <c r="D1427" s="260"/>
      <c r="E1427" s="104"/>
      <c r="F1427" s="104"/>
      <c r="G1427" s="35"/>
      <c r="H1427" s="104"/>
      <c r="I1427" s="35"/>
      <c r="J1427" s="74"/>
      <c r="K1427" s="74"/>
      <c r="L1427" s="74"/>
      <c r="M1427" s="74"/>
      <c r="N1427" s="74"/>
      <c r="O1427" s="74"/>
      <c r="P1427" s="74"/>
      <c r="Q1427" s="74"/>
      <c r="R1427" s="74"/>
      <c r="S1427" s="74"/>
      <c r="T1427" s="74"/>
      <c r="U1427" s="74"/>
      <c r="V1427" s="74"/>
      <c r="W1427" s="74"/>
      <c r="X1427" s="74"/>
      <c r="Y1427" s="74"/>
      <c r="Z1427" s="74"/>
      <c r="AA1427" s="74"/>
      <c r="AB1427" s="74"/>
    </row>
    <row r="1428" spans="1:28" ht="12" customHeight="1">
      <c r="A1428" s="260"/>
      <c r="B1428" s="104"/>
      <c r="C1428" s="104"/>
      <c r="D1428" s="260"/>
      <c r="E1428" s="104"/>
      <c r="F1428" s="104"/>
      <c r="G1428" s="35"/>
      <c r="H1428" s="104"/>
      <c r="I1428" s="35"/>
      <c r="J1428" s="74"/>
      <c r="K1428" s="74"/>
      <c r="L1428" s="74"/>
      <c r="M1428" s="74"/>
      <c r="N1428" s="74"/>
      <c r="O1428" s="74"/>
      <c r="P1428" s="74"/>
      <c r="Q1428" s="74"/>
      <c r="R1428" s="74"/>
      <c r="S1428" s="74"/>
      <c r="T1428" s="74"/>
      <c r="U1428" s="74"/>
      <c r="V1428" s="74"/>
      <c r="W1428" s="74"/>
      <c r="X1428" s="74"/>
      <c r="Y1428" s="74"/>
      <c r="Z1428" s="74"/>
      <c r="AA1428" s="74"/>
      <c r="AB1428" s="74"/>
    </row>
    <row r="1429" spans="1:28" ht="12" customHeight="1">
      <c r="A1429" s="260"/>
      <c r="B1429" s="104"/>
      <c r="C1429" s="104"/>
      <c r="D1429" s="260"/>
      <c r="E1429" s="104"/>
      <c r="F1429" s="104"/>
      <c r="G1429" s="35"/>
      <c r="H1429" s="104"/>
      <c r="I1429" s="35"/>
      <c r="J1429" s="74"/>
      <c r="K1429" s="74"/>
      <c r="L1429" s="74"/>
      <c r="M1429" s="74"/>
      <c r="N1429" s="74"/>
      <c r="O1429" s="74"/>
      <c r="P1429" s="74"/>
      <c r="Q1429" s="74"/>
      <c r="R1429" s="74"/>
      <c r="S1429" s="74"/>
      <c r="T1429" s="74"/>
      <c r="U1429" s="74"/>
      <c r="V1429" s="74"/>
      <c r="W1429" s="74"/>
      <c r="X1429" s="74"/>
      <c r="Y1429" s="74"/>
      <c r="Z1429" s="74"/>
      <c r="AA1429" s="74"/>
      <c r="AB1429" s="74"/>
    </row>
    <row r="1430" spans="1:28" ht="12" customHeight="1">
      <c r="A1430" s="260"/>
      <c r="B1430" s="104"/>
      <c r="C1430" s="104"/>
      <c r="D1430" s="260"/>
      <c r="E1430" s="104"/>
      <c r="F1430" s="104"/>
      <c r="G1430" s="35"/>
      <c r="H1430" s="104"/>
      <c r="I1430" s="35"/>
      <c r="J1430" s="74"/>
      <c r="K1430" s="74"/>
      <c r="L1430" s="74"/>
      <c r="M1430" s="74"/>
      <c r="N1430" s="74"/>
      <c r="O1430" s="74"/>
      <c r="P1430" s="74"/>
      <c r="Q1430" s="74"/>
      <c r="R1430" s="74"/>
      <c r="S1430" s="74"/>
      <c r="T1430" s="74"/>
      <c r="U1430" s="74"/>
      <c r="V1430" s="74"/>
      <c r="W1430" s="74"/>
      <c r="X1430" s="74"/>
      <c r="Y1430" s="74"/>
      <c r="Z1430" s="74"/>
      <c r="AA1430" s="74"/>
      <c r="AB1430" s="74"/>
    </row>
    <row r="1431" spans="1:28" ht="12" customHeight="1">
      <c r="A1431" s="260"/>
      <c r="B1431" s="104"/>
      <c r="C1431" s="104"/>
      <c r="D1431" s="260"/>
      <c r="E1431" s="104"/>
      <c r="F1431" s="104"/>
      <c r="G1431" s="35"/>
      <c r="H1431" s="104"/>
      <c r="I1431" s="35"/>
      <c r="J1431" s="74"/>
      <c r="K1431" s="74"/>
      <c r="L1431" s="74"/>
      <c r="M1431" s="74"/>
      <c r="N1431" s="74"/>
      <c r="O1431" s="74"/>
      <c r="P1431" s="74"/>
      <c r="Q1431" s="74"/>
      <c r="R1431" s="74"/>
      <c r="S1431" s="74"/>
      <c r="T1431" s="74"/>
      <c r="U1431" s="74"/>
      <c r="V1431" s="74"/>
      <c r="W1431" s="74"/>
      <c r="X1431" s="74"/>
      <c r="Y1431" s="74"/>
      <c r="Z1431" s="74"/>
      <c r="AA1431" s="74"/>
      <c r="AB1431" s="74"/>
    </row>
    <row r="1432" spans="1:28" ht="12" customHeight="1">
      <c r="A1432" s="260"/>
      <c r="B1432" s="104"/>
      <c r="C1432" s="104"/>
      <c r="D1432" s="260"/>
      <c r="E1432" s="104"/>
      <c r="F1432" s="104"/>
      <c r="G1432" s="35"/>
      <c r="H1432" s="104"/>
      <c r="I1432" s="35"/>
      <c r="J1432" s="74"/>
      <c r="K1432" s="74"/>
      <c r="L1432" s="74"/>
      <c r="M1432" s="74"/>
      <c r="N1432" s="74"/>
      <c r="O1432" s="74"/>
      <c r="P1432" s="74"/>
      <c r="Q1432" s="74"/>
      <c r="R1432" s="74"/>
      <c r="S1432" s="74"/>
      <c r="T1432" s="74"/>
      <c r="U1432" s="74"/>
      <c r="V1432" s="74"/>
      <c r="W1432" s="74"/>
      <c r="X1432" s="74"/>
      <c r="Y1432" s="74"/>
      <c r="Z1432" s="74"/>
      <c r="AA1432" s="74"/>
      <c r="AB1432" s="74"/>
    </row>
    <row r="1433" spans="1:28" ht="12" customHeight="1">
      <c r="A1433" s="260"/>
      <c r="B1433" s="104"/>
      <c r="C1433" s="104"/>
      <c r="D1433" s="260"/>
      <c r="E1433" s="104"/>
      <c r="F1433" s="104"/>
      <c r="G1433" s="35"/>
      <c r="H1433" s="104"/>
      <c r="I1433" s="35"/>
      <c r="J1433" s="74"/>
      <c r="K1433" s="74"/>
      <c r="L1433" s="74"/>
      <c r="M1433" s="74"/>
      <c r="N1433" s="74"/>
      <c r="O1433" s="74"/>
      <c r="P1433" s="74"/>
      <c r="Q1433" s="74"/>
      <c r="R1433" s="74"/>
      <c r="S1433" s="74"/>
      <c r="T1433" s="74"/>
      <c r="U1433" s="74"/>
      <c r="V1433" s="74"/>
      <c r="W1433" s="74"/>
      <c r="X1433" s="74"/>
      <c r="Y1433" s="74"/>
      <c r="Z1433" s="74"/>
      <c r="AA1433" s="74"/>
      <c r="AB1433" s="74"/>
    </row>
    <row r="1434" spans="1:28" ht="12" customHeight="1">
      <c r="A1434" s="260"/>
      <c r="B1434" s="104"/>
      <c r="C1434" s="104"/>
      <c r="D1434" s="260"/>
      <c r="E1434" s="104"/>
      <c r="F1434" s="104"/>
      <c r="G1434" s="35"/>
      <c r="H1434" s="104"/>
      <c r="I1434" s="35"/>
      <c r="J1434" s="74"/>
      <c r="K1434" s="74"/>
      <c r="L1434" s="74"/>
      <c r="M1434" s="74"/>
      <c r="N1434" s="74"/>
      <c r="O1434" s="74"/>
      <c r="P1434" s="74"/>
      <c r="Q1434" s="74"/>
      <c r="R1434" s="74"/>
      <c r="S1434" s="74"/>
      <c r="T1434" s="74"/>
      <c r="U1434" s="74"/>
      <c r="V1434" s="74"/>
      <c r="W1434" s="74"/>
      <c r="X1434" s="74"/>
      <c r="Y1434" s="74"/>
      <c r="Z1434" s="74"/>
      <c r="AA1434" s="74"/>
      <c r="AB1434" s="74"/>
    </row>
    <row r="1435" spans="1:28" ht="12" customHeight="1">
      <c r="A1435" s="260"/>
      <c r="B1435" s="104"/>
      <c r="C1435" s="104"/>
      <c r="D1435" s="260"/>
      <c r="E1435" s="104"/>
      <c r="F1435" s="104"/>
      <c r="G1435" s="35"/>
      <c r="H1435" s="104"/>
      <c r="I1435" s="35"/>
      <c r="J1435" s="74"/>
      <c r="K1435" s="74"/>
      <c r="L1435" s="74"/>
      <c r="M1435" s="74"/>
      <c r="N1435" s="74"/>
      <c r="O1435" s="74"/>
      <c r="P1435" s="74"/>
      <c r="Q1435" s="74"/>
      <c r="R1435" s="74"/>
      <c r="S1435" s="74"/>
      <c r="T1435" s="74"/>
      <c r="U1435" s="74"/>
      <c r="V1435" s="74"/>
      <c r="W1435" s="74"/>
      <c r="X1435" s="74"/>
      <c r="Y1435" s="74"/>
      <c r="Z1435" s="74"/>
      <c r="AA1435" s="74"/>
      <c r="AB1435" s="74"/>
    </row>
    <row r="1436" spans="1:28" ht="12" customHeight="1">
      <c r="A1436" s="260"/>
      <c r="B1436" s="104"/>
      <c r="C1436" s="104"/>
      <c r="D1436" s="260"/>
      <c r="E1436" s="104"/>
      <c r="F1436" s="104"/>
      <c r="G1436" s="35"/>
      <c r="H1436" s="104"/>
      <c r="I1436" s="35"/>
      <c r="J1436" s="74"/>
      <c r="K1436" s="74"/>
      <c r="L1436" s="74"/>
      <c r="M1436" s="74"/>
      <c r="N1436" s="74"/>
      <c r="O1436" s="74"/>
      <c r="P1436" s="74"/>
      <c r="Q1436" s="74"/>
      <c r="R1436" s="74"/>
      <c r="S1436" s="74"/>
      <c r="T1436" s="74"/>
      <c r="U1436" s="74"/>
      <c r="V1436" s="74"/>
      <c r="W1436" s="74"/>
      <c r="X1436" s="74"/>
      <c r="Y1436" s="74"/>
      <c r="Z1436" s="74"/>
      <c r="AA1436" s="74"/>
      <c r="AB1436" s="74"/>
    </row>
    <row r="1437" spans="1:28" ht="12" customHeight="1">
      <c r="A1437" s="260"/>
      <c r="B1437" s="104"/>
      <c r="C1437" s="104"/>
      <c r="D1437" s="260"/>
      <c r="E1437" s="104"/>
      <c r="F1437" s="104"/>
      <c r="G1437" s="35"/>
      <c r="H1437" s="104"/>
      <c r="I1437" s="35"/>
      <c r="J1437" s="74"/>
      <c r="K1437" s="74"/>
      <c r="L1437" s="74"/>
      <c r="M1437" s="74"/>
      <c r="N1437" s="74"/>
      <c r="O1437" s="74"/>
      <c r="P1437" s="74"/>
      <c r="Q1437" s="74"/>
      <c r="R1437" s="74"/>
      <c r="S1437" s="74"/>
      <c r="T1437" s="74"/>
      <c r="U1437" s="74"/>
      <c r="V1437" s="74"/>
      <c r="W1437" s="74"/>
      <c r="X1437" s="74"/>
      <c r="Y1437" s="74"/>
      <c r="Z1437" s="74"/>
      <c r="AA1437" s="74"/>
      <c r="AB1437" s="74"/>
    </row>
    <row r="1438" spans="1:28" ht="12" customHeight="1">
      <c r="A1438" s="260"/>
      <c r="B1438" s="104"/>
      <c r="C1438" s="104"/>
      <c r="D1438" s="260"/>
      <c r="E1438" s="104"/>
      <c r="F1438" s="104"/>
      <c r="G1438" s="35"/>
      <c r="H1438" s="104"/>
      <c r="I1438" s="35"/>
      <c r="J1438" s="74"/>
      <c r="K1438" s="74"/>
      <c r="L1438" s="74"/>
      <c r="M1438" s="74"/>
      <c r="N1438" s="74"/>
      <c r="O1438" s="74"/>
      <c r="P1438" s="74"/>
      <c r="Q1438" s="74"/>
      <c r="R1438" s="74"/>
      <c r="S1438" s="74"/>
      <c r="T1438" s="74"/>
      <c r="U1438" s="74"/>
      <c r="V1438" s="74"/>
      <c r="W1438" s="74"/>
      <c r="X1438" s="74"/>
      <c r="Y1438" s="74"/>
      <c r="Z1438" s="74"/>
      <c r="AA1438" s="74"/>
      <c r="AB1438" s="74"/>
    </row>
    <row r="1439" spans="1:28" ht="12" customHeight="1">
      <c r="A1439" s="260"/>
      <c r="B1439" s="104"/>
      <c r="C1439" s="104"/>
      <c r="D1439" s="260"/>
      <c r="E1439" s="104"/>
      <c r="F1439" s="104"/>
      <c r="G1439" s="35"/>
      <c r="H1439" s="104"/>
      <c r="I1439" s="35"/>
      <c r="J1439" s="74"/>
      <c r="K1439" s="74"/>
      <c r="L1439" s="74"/>
      <c r="M1439" s="74"/>
      <c r="N1439" s="74"/>
      <c r="O1439" s="74"/>
      <c r="P1439" s="74"/>
      <c r="Q1439" s="74"/>
      <c r="R1439" s="74"/>
      <c r="S1439" s="74"/>
      <c r="T1439" s="74"/>
      <c r="U1439" s="74"/>
      <c r="V1439" s="74"/>
      <c r="W1439" s="74"/>
      <c r="X1439" s="74"/>
      <c r="Y1439" s="74"/>
      <c r="Z1439" s="74"/>
      <c r="AA1439" s="74"/>
      <c r="AB1439" s="74"/>
    </row>
    <row r="1440" spans="1:28" ht="12" customHeight="1">
      <c r="A1440" s="260"/>
      <c r="B1440" s="104"/>
      <c r="C1440" s="104"/>
      <c r="D1440" s="260"/>
      <c r="E1440" s="104"/>
      <c r="F1440" s="104"/>
      <c r="G1440" s="35"/>
      <c r="H1440" s="104"/>
      <c r="I1440" s="35"/>
      <c r="J1440" s="74"/>
      <c r="K1440" s="74"/>
      <c r="L1440" s="74"/>
      <c r="M1440" s="74"/>
      <c r="N1440" s="74"/>
      <c r="O1440" s="74"/>
      <c r="P1440" s="74"/>
      <c r="Q1440" s="74"/>
      <c r="R1440" s="74"/>
      <c r="S1440" s="74"/>
      <c r="T1440" s="74"/>
      <c r="U1440" s="74"/>
      <c r="V1440" s="74"/>
      <c r="W1440" s="74"/>
      <c r="X1440" s="74"/>
      <c r="Y1440" s="74"/>
      <c r="Z1440" s="74"/>
      <c r="AA1440" s="74"/>
      <c r="AB1440" s="74"/>
    </row>
    <row r="1441" spans="1:28" ht="12" customHeight="1">
      <c r="A1441" s="260"/>
      <c r="B1441" s="104"/>
      <c r="C1441" s="104"/>
      <c r="D1441" s="260"/>
      <c r="E1441" s="104"/>
      <c r="F1441" s="104"/>
      <c r="G1441" s="35"/>
      <c r="H1441" s="104"/>
      <c r="I1441" s="35"/>
      <c r="J1441" s="74"/>
      <c r="K1441" s="74"/>
      <c r="L1441" s="74"/>
      <c r="M1441" s="74"/>
      <c r="N1441" s="74"/>
      <c r="O1441" s="74"/>
      <c r="P1441" s="74"/>
      <c r="Q1441" s="74"/>
      <c r="R1441" s="74"/>
      <c r="S1441" s="74"/>
      <c r="T1441" s="74"/>
      <c r="U1441" s="74"/>
      <c r="V1441" s="74"/>
      <c r="W1441" s="74"/>
      <c r="X1441" s="74"/>
      <c r="Y1441" s="74"/>
      <c r="Z1441" s="74"/>
      <c r="AA1441" s="74"/>
      <c r="AB1441" s="74"/>
    </row>
    <row r="1442" spans="1:28" ht="12" customHeight="1">
      <c r="A1442" s="260"/>
      <c r="B1442" s="104"/>
      <c r="C1442" s="104"/>
      <c r="D1442" s="260"/>
      <c r="E1442" s="104"/>
      <c r="F1442" s="104"/>
      <c r="G1442" s="35"/>
      <c r="H1442" s="104"/>
      <c r="I1442" s="35"/>
      <c r="J1442" s="74"/>
      <c r="K1442" s="74"/>
      <c r="L1442" s="74"/>
      <c r="M1442" s="74"/>
      <c r="N1442" s="74"/>
      <c r="O1442" s="74"/>
      <c r="P1442" s="74"/>
      <c r="Q1442" s="74"/>
      <c r="R1442" s="74"/>
      <c r="S1442" s="74"/>
      <c r="T1442" s="74"/>
      <c r="U1442" s="74"/>
      <c r="V1442" s="74"/>
      <c r="W1442" s="74"/>
      <c r="X1442" s="74"/>
      <c r="Y1442" s="74"/>
      <c r="Z1442" s="74"/>
      <c r="AA1442" s="74"/>
      <c r="AB1442" s="74"/>
    </row>
    <row r="1443" spans="1:28" ht="12" customHeight="1">
      <c r="A1443" s="260"/>
      <c r="B1443" s="104"/>
      <c r="C1443" s="104"/>
      <c r="D1443" s="260"/>
      <c r="E1443" s="104"/>
      <c r="F1443" s="104"/>
      <c r="G1443" s="35"/>
      <c r="H1443" s="104"/>
      <c r="I1443" s="35"/>
      <c r="J1443" s="74"/>
      <c r="K1443" s="74"/>
      <c r="L1443" s="74"/>
      <c r="M1443" s="74"/>
      <c r="N1443" s="74"/>
      <c r="O1443" s="74"/>
      <c r="P1443" s="74"/>
      <c r="Q1443" s="74"/>
      <c r="R1443" s="74"/>
      <c r="S1443" s="74"/>
      <c r="T1443" s="74"/>
      <c r="U1443" s="74"/>
      <c r="V1443" s="74"/>
      <c r="W1443" s="74"/>
      <c r="X1443" s="74"/>
      <c r="Y1443" s="74"/>
      <c r="Z1443" s="74"/>
      <c r="AA1443" s="74"/>
      <c r="AB1443" s="74"/>
    </row>
    <row r="1444" spans="1:28" ht="12" customHeight="1">
      <c r="A1444" s="260"/>
      <c r="B1444" s="104"/>
      <c r="C1444" s="104"/>
      <c r="D1444" s="260"/>
      <c r="E1444" s="104"/>
      <c r="F1444" s="104"/>
      <c r="G1444" s="35"/>
      <c r="H1444" s="104"/>
      <c r="I1444" s="35"/>
      <c r="J1444" s="74"/>
      <c r="K1444" s="74"/>
      <c r="L1444" s="74"/>
      <c r="M1444" s="74"/>
      <c r="N1444" s="74"/>
      <c r="O1444" s="74"/>
      <c r="P1444" s="74"/>
      <c r="Q1444" s="74"/>
      <c r="R1444" s="74"/>
      <c r="S1444" s="74"/>
      <c r="T1444" s="74"/>
      <c r="U1444" s="74"/>
      <c r="V1444" s="74"/>
      <c r="W1444" s="74"/>
      <c r="X1444" s="74"/>
      <c r="Y1444" s="74"/>
      <c r="Z1444" s="74"/>
      <c r="AA1444" s="74"/>
      <c r="AB1444" s="74"/>
    </row>
    <row r="1445" spans="1:28" ht="12" customHeight="1">
      <c r="A1445" s="260"/>
      <c r="B1445" s="104"/>
      <c r="C1445" s="104"/>
      <c r="D1445" s="260"/>
      <c r="E1445" s="104"/>
      <c r="F1445" s="104"/>
      <c r="G1445" s="35"/>
      <c r="H1445" s="104"/>
      <c r="I1445" s="35"/>
      <c r="J1445" s="74"/>
      <c r="K1445" s="74"/>
      <c r="L1445" s="74"/>
      <c r="M1445" s="74"/>
      <c r="N1445" s="74"/>
      <c r="O1445" s="74"/>
      <c r="P1445" s="74"/>
      <c r="Q1445" s="74"/>
      <c r="R1445" s="74"/>
      <c r="S1445" s="74"/>
      <c r="T1445" s="74"/>
      <c r="U1445" s="74"/>
      <c r="V1445" s="74"/>
      <c r="W1445" s="74"/>
      <c r="X1445" s="74"/>
      <c r="Y1445" s="74"/>
      <c r="Z1445" s="74"/>
      <c r="AA1445" s="74"/>
      <c r="AB1445" s="74"/>
    </row>
    <row r="1446" spans="1:28" ht="12" customHeight="1">
      <c r="A1446" s="260"/>
      <c r="B1446" s="104"/>
      <c r="C1446" s="104"/>
      <c r="D1446" s="260"/>
      <c r="E1446" s="104"/>
      <c r="F1446" s="104"/>
      <c r="G1446" s="35"/>
      <c r="H1446" s="104"/>
      <c r="I1446" s="35"/>
      <c r="J1446" s="74"/>
      <c r="K1446" s="74"/>
      <c r="L1446" s="74"/>
      <c r="M1446" s="74"/>
      <c r="N1446" s="74"/>
      <c r="O1446" s="74"/>
      <c r="P1446" s="74"/>
      <c r="Q1446" s="74"/>
      <c r="R1446" s="74"/>
      <c r="S1446" s="74"/>
      <c r="T1446" s="74"/>
      <c r="U1446" s="74"/>
      <c r="V1446" s="74"/>
      <c r="W1446" s="74"/>
      <c r="X1446" s="74"/>
      <c r="Y1446" s="74"/>
      <c r="Z1446" s="74"/>
      <c r="AA1446" s="74"/>
      <c r="AB1446" s="74"/>
    </row>
    <row r="1447" spans="1:28" ht="12" customHeight="1">
      <c r="A1447" s="260"/>
      <c r="B1447" s="104"/>
      <c r="C1447" s="104"/>
      <c r="D1447" s="260"/>
      <c r="E1447" s="104"/>
      <c r="F1447" s="104"/>
      <c r="G1447" s="35"/>
      <c r="H1447" s="104"/>
      <c r="I1447" s="35"/>
      <c r="J1447" s="74"/>
      <c r="K1447" s="74"/>
      <c r="L1447" s="74"/>
      <c r="M1447" s="74"/>
      <c r="N1447" s="74"/>
      <c r="O1447" s="74"/>
      <c r="P1447" s="74"/>
      <c r="Q1447" s="74"/>
      <c r="R1447" s="74"/>
      <c r="S1447" s="74"/>
      <c r="T1447" s="74"/>
      <c r="U1447" s="74"/>
      <c r="V1447" s="74"/>
      <c r="W1447" s="74"/>
      <c r="X1447" s="74"/>
      <c r="Y1447" s="74"/>
      <c r="Z1447" s="74"/>
      <c r="AA1447" s="74"/>
      <c r="AB1447" s="74"/>
    </row>
    <row r="1448" spans="1:28" ht="12" customHeight="1">
      <c r="A1448" s="260"/>
      <c r="B1448" s="104"/>
      <c r="C1448" s="104"/>
      <c r="D1448" s="260"/>
      <c r="E1448" s="104"/>
      <c r="F1448" s="104"/>
      <c r="G1448" s="35"/>
      <c r="H1448" s="104"/>
      <c r="I1448" s="35"/>
      <c r="J1448" s="74"/>
      <c r="K1448" s="74"/>
      <c r="L1448" s="74"/>
      <c r="M1448" s="74"/>
      <c r="N1448" s="74"/>
      <c r="O1448" s="74"/>
      <c r="P1448" s="74"/>
      <c r="Q1448" s="74"/>
      <c r="R1448" s="74"/>
      <c r="S1448" s="74"/>
      <c r="T1448" s="74"/>
      <c r="U1448" s="74"/>
      <c r="V1448" s="74"/>
      <c r="W1448" s="74"/>
      <c r="X1448" s="74"/>
      <c r="Y1448" s="74"/>
      <c r="Z1448" s="74"/>
      <c r="AA1448" s="74"/>
      <c r="AB1448" s="74"/>
    </row>
    <row r="1449" spans="1:28" ht="12" customHeight="1">
      <c r="A1449" s="260"/>
      <c r="B1449" s="104"/>
      <c r="C1449" s="104"/>
      <c r="D1449" s="260"/>
      <c r="E1449" s="104"/>
      <c r="F1449" s="104"/>
      <c r="G1449" s="35"/>
      <c r="H1449" s="104"/>
      <c r="I1449" s="35"/>
      <c r="J1449" s="74"/>
      <c r="K1449" s="74"/>
      <c r="L1449" s="74"/>
      <c r="M1449" s="74"/>
      <c r="N1449" s="74"/>
      <c r="O1449" s="74"/>
      <c r="P1449" s="74"/>
      <c r="Q1449" s="74"/>
      <c r="R1449" s="74"/>
      <c r="S1449" s="74"/>
      <c r="T1449" s="74"/>
      <c r="U1449" s="74"/>
      <c r="V1449" s="74"/>
      <c r="W1449" s="74"/>
      <c r="X1449" s="74"/>
      <c r="Y1449" s="74"/>
      <c r="Z1449" s="74"/>
      <c r="AA1449" s="74"/>
      <c r="AB1449" s="74"/>
    </row>
    <row r="1450" spans="1:28" ht="12" customHeight="1">
      <c r="A1450" s="260"/>
      <c r="B1450" s="104"/>
      <c r="C1450" s="104"/>
      <c r="D1450" s="260"/>
      <c r="E1450" s="104"/>
      <c r="F1450" s="104"/>
      <c r="G1450" s="35"/>
      <c r="H1450" s="104"/>
      <c r="I1450" s="35"/>
      <c r="J1450" s="74"/>
      <c r="K1450" s="74"/>
      <c r="L1450" s="74"/>
      <c r="M1450" s="74"/>
      <c r="N1450" s="74"/>
      <c r="O1450" s="74"/>
      <c r="P1450" s="74"/>
      <c r="Q1450" s="74"/>
      <c r="R1450" s="74"/>
      <c r="S1450" s="74"/>
      <c r="T1450" s="74"/>
      <c r="U1450" s="74"/>
      <c r="V1450" s="74"/>
      <c r="W1450" s="74"/>
      <c r="X1450" s="74"/>
      <c r="Y1450" s="74"/>
      <c r="Z1450" s="74"/>
      <c r="AA1450" s="74"/>
      <c r="AB1450" s="74"/>
    </row>
    <row r="1451" spans="1:28" ht="12" customHeight="1">
      <c r="A1451" s="260"/>
      <c r="B1451" s="104"/>
      <c r="C1451" s="104"/>
      <c r="D1451" s="260"/>
      <c r="E1451" s="104"/>
      <c r="F1451" s="104"/>
      <c r="G1451" s="35"/>
      <c r="H1451" s="104"/>
      <c r="I1451" s="35"/>
      <c r="J1451" s="74"/>
      <c r="K1451" s="74"/>
      <c r="L1451" s="74"/>
      <c r="M1451" s="74"/>
      <c r="N1451" s="74"/>
      <c r="O1451" s="74"/>
      <c r="P1451" s="74"/>
      <c r="Q1451" s="74"/>
      <c r="R1451" s="74"/>
      <c r="S1451" s="74"/>
      <c r="T1451" s="74"/>
      <c r="U1451" s="74"/>
      <c r="V1451" s="74"/>
      <c r="W1451" s="74"/>
      <c r="X1451" s="74"/>
      <c r="Y1451" s="74"/>
      <c r="Z1451" s="74"/>
      <c r="AA1451" s="74"/>
      <c r="AB1451" s="74"/>
    </row>
    <row r="1452" spans="1:28" ht="12" customHeight="1">
      <c r="A1452" s="260"/>
      <c r="B1452" s="104"/>
      <c r="C1452" s="104"/>
      <c r="D1452" s="260"/>
      <c r="E1452" s="104"/>
      <c r="F1452" s="104"/>
      <c r="G1452" s="35"/>
      <c r="H1452" s="104"/>
      <c r="I1452" s="35"/>
      <c r="J1452" s="74"/>
      <c r="K1452" s="74"/>
      <c r="L1452" s="74"/>
      <c r="M1452" s="74"/>
      <c r="N1452" s="74"/>
      <c r="O1452" s="74"/>
      <c r="P1452" s="74"/>
      <c r="Q1452" s="74"/>
      <c r="R1452" s="74"/>
      <c r="S1452" s="74"/>
      <c r="T1452" s="74"/>
      <c r="U1452" s="74"/>
      <c r="V1452" s="74"/>
      <c r="W1452" s="74"/>
      <c r="X1452" s="74"/>
      <c r="Y1452" s="74"/>
      <c r="Z1452" s="74"/>
      <c r="AA1452" s="74"/>
      <c r="AB1452" s="74"/>
    </row>
    <row r="1453" spans="1:28" ht="12" customHeight="1">
      <c r="A1453" s="260"/>
      <c r="B1453" s="104"/>
      <c r="C1453" s="104"/>
      <c r="D1453" s="260"/>
      <c r="E1453" s="104"/>
      <c r="F1453" s="104"/>
      <c r="G1453" s="35"/>
      <c r="H1453" s="104"/>
      <c r="I1453" s="35"/>
      <c r="J1453" s="74"/>
      <c r="K1453" s="74"/>
      <c r="L1453" s="74"/>
      <c r="M1453" s="74"/>
      <c r="N1453" s="74"/>
      <c r="O1453" s="74"/>
      <c r="P1453" s="74"/>
      <c r="Q1453" s="74"/>
      <c r="R1453" s="74"/>
      <c r="S1453" s="74"/>
      <c r="T1453" s="74"/>
      <c r="U1453" s="74"/>
      <c r="V1453" s="74"/>
      <c r="W1453" s="74"/>
      <c r="X1453" s="74"/>
      <c r="Y1453" s="74"/>
      <c r="Z1453" s="74"/>
      <c r="AA1453" s="74"/>
      <c r="AB1453" s="74"/>
    </row>
    <row r="1454" spans="1:28" ht="12" customHeight="1">
      <c r="A1454" s="260"/>
      <c r="B1454" s="104"/>
      <c r="C1454" s="104"/>
      <c r="D1454" s="260"/>
      <c r="E1454" s="104"/>
      <c r="F1454" s="104"/>
      <c r="G1454" s="35"/>
      <c r="H1454" s="104"/>
      <c r="I1454" s="35"/>
      <c r="J1454" s="74"/>
      <c r="K1454" s="74"/>
      <c r="L1454" s="74"/>
      <c r="M1454" s="74"/>
      <c r="N1454" s="74"/>
      <c r="O1454" s="74"/>
      <c r="P1454" s="74"/>
      <c r="Q1454" s="74"/>
      <c r="R1454" s="74"/>
      <c r="S1454" s="74"/>
      <c r="T1454" s="74"/>
      <c r="U1454" s="74"/>
      <c r="V1454" s="74"/>
      <c r="W1454" s="74"/>
      <c r="X1454" s="74"/>
      <c r="Y1454" s="74"/>
      <c r="Z1454" s="74"/>
      <c r="AA1454" s="74"/>
      <c r="AB1454" s="74"/>
    </row>
    <row r="1455" spans="1:28" ht="12" customHeight="1">
      <c r="A1455" s="260"/>
      <c r="B1455" s="104"/>
      <c r="C1455" s="104"/>
      <c r="D1455" s="260"/>
      <c r="E1455" s="104"/>
      <c r="F1455" s="104"/>
      <c r="G1455" s="35"/>
      <c r="H1455" s="104"/>
      <c r="I1455" s="35"/>
      <c r="J1455" s="74"/>
      <c r="K1455" s="74"/>
      <c r="L1455" s="74"/>
      <c r="M1455" s="74"/>
      <c r="N1455" s="74"/>
      <c r="O1455" s="74"/>
      <c r="P1455" s="74"/>
      <c r="Q1455" s="74"/>
      <c r="R1455" s="74"/>
      <c r="S1455" s="74"/>
      <c r="T1455" s="74"/>
      <c r="U1455" s="74"/>
      <c r="V1455" s="74"/>
      <c r="W1455" s="74"/>
      <c r="X1455" s="74"/>
      <c r="Y1455" s="74"/>
      <c r="Z1455" s="74"/>
      <c r="AA1455" s="74"/>
      <c r="AB1455" s="74"/>
    </row>
    <row r="1456" spans="1:28" ht="12" customHeight="1">
      <c r="A1456" s="260"/>
      <c r="B1456" s="104"/>
      <c r="C1456" s="104"/>
      <c r="D1456" s="260"/>
      <c r="E1456" s="104"/>
      <c r="F1456" s="104"/>
      <c r="G1456" s="35"/>
      <c r="H1456" s="104"/>
      <c r="I1456" s="35"/>
      <c r="J1456" s="74"/>
      <c r="K1456" s="74"/>
      <c r="L1456" s="74"/>
      <c r="M1456" s="74"/>
      <c r="N1456" s="74"/>
      <c r="O1456" s="74"/>
      <c r="P1456" s="74"/>
      <c r="Q1456" s="74"/>
      <c r="R1456" s="74"/>
      <c r="S1456" s="74"/>
      <c r="T1456" s="74"/>
      <c r="U1456" s="74"/>
      <c r="V1456" s="74"/>
      <c r="W1456" s="74"/>
      <c r="X1456" s="74"/>
      <c r="Y1456" s="74"/>
      <c r="Z1456" s="74"/>
      <c r="AA1456" s="74"/>
      <c r="AB1456" s="74"/>
    </row>
    <row r="1457" spans="1:28" ht="12" customHeight="1">
      <c r="A1457" s="260"/>
      <c r="B1457" s="104"/>
      <c r="C1457" s="104"/>
      <c r="D1457" s="260"/>
      <c r="E1457" s="104"/>
      <c r="F1457" s="104"/>
      <c r="G1457" s="35"/>
      <c r="H1457" s="104"/>
      <c r="I1457" s="35"/>
      <c r="J1457" s="74"/>
      <c r="K1457" s="74"/>
      <c r="L1457" s="74"/>
      <c r="M1457" s="74"/>
      <c r="N1457" s="74"/>
      <c r="O1457" s="74"/>
      <c r="P1457" s="74"/>
      <c r="Q1457" s="74"/>
      <c r="R1457" s="74"/>
      <c r="S1457" s="74"/>
      <c r="T1457" s="74"/>
      <c r="U1457" s="74"/>
      <c r="V1457" s="74"/>
      <c r="W1457" s="74"/>
      <c r="X1457" s="74"/>
      <c r="Y1457" s="74"/>
      <c r="Z1457" s="74"/>
      <c r="AA1457" s="74"/>
      <c r="AB1457" s="74"/>
    </row>
    <row r="1458" spans="1:28" ht="12" customHeight="1">
      <c r="A1458" s="260"/>
      <c r="B1458" s="104"/>
      <c r="C1458" s="104"/>
      <c r="D1458" s="260"/>
      <c r="E1458" s="104"/>
      <c r="F1458" s="104"/>
      <c r="G1458" s="35"/>
      <c r="H1458" s="104"/>
      <c r="I1458" s="35"/>
      <c r="J1458" s="74"/>
      <c r="K1458" s="74"/>
      <c r="L1458" s="74"/>
      <c r="M1458" s="74"/>
      <c r="N1458" s="74"/>
      <c r="O1458" s="74"/>
      <c r="P1458" s="74"/>
      <c r="Q1458" s="74"/>
      <c r="R1458" s="74"/>
      <c r="S1458" s="74"/>
      <c r="T1458" s="74"/>
      <c r="U1458" s="74"/>
      <c r="V1458" s="74"/>
      <c r="W1458" s="74"/>
      <c r="X1458" s="74"/>
      <c r="Y1458" s="74"/>
      <c r="Z1458" s="74"/>
      <c r="AA1458" s="74"/>
      <c r="AB1458" s="74"/>
    </row>
    <row r="1459" spans="1:28" ht="12" customHeight="1">
      <c r="A1459" s="260"/>
      <c r="B1459" s="104"/>
      <c r="C1459" s="104"/>
      <c r="D1459" s="260"/>
      <c r="E1459" s="104"/>
      <c r="F1459" s="104"/>
      <c r="G1459" s="35"/>
      <c r="H1459" s="104"/>
      <c r="I1459" s="35"/>
      <c r="J1459" s="74"/>
      <c r="K1459" s="74"/>
      <c r="L1459" s="74"/>
      <c r="M1459" s="74"/>
      <c r="N1459" s="74"/>
      <c r="O1459" s="74"/>
      <c r="P1459" s="74"/>
      <c r="Q1459" s="74"/>
      <c r="R1459" s="74"/>
      <c r="S1459" s="74"/>
      <c r="T1459" s="74"/>
      <c r="U1459" s="74"/>
      <c r="V1459" s="74"/>
      <c r="W1459" s="74"/>
      <c r="X1459" s="74"/>
      <c r="Y1459" s="74"/>
      <c r="Z1459" s="74"/>
      <c r="AA1459" s="74"/>
      <c r="AB1459" s="74"/>
    </row>
    <row r="1460" spans="1:28" ht="12" customHeight="1">
      <c r="A1460" s="260"/>
      <c r="B1460" s="104"/>
      <c r="C1460" s="104"/>
      <c r="D1460" s="260"/>
      <c r="E1460" s="104"/>
      <c r="F1460" s="104"/>
      <c r="G1460" s="35"/>
      <c r="H1460" s="104"/>
      <c r="I1460" s="35"/>
      <c r="J1460" s="74"/>
      <c r="K1460" s="74"/>
      <c r="L1460" s="74"/>
      <c r="M1460" s="74"/>
      <c r="N1460" s="74"/>
      <c r="O1460" s="74"/>
      <c r="P1460" s="74"/>
      <c r="Q1460" s="74"/>
      <c r="R1460" s="74"/>
      <c r="S1460" s="74"/>
      <c r="T1460" s="74"/>
      <c r="U1460" s="74"/>
      <c r="V1460" s="74"/>
      <c r="W1460" s="74"/>
      <c r="X1460" s="74"/>
      <c r="Y1460" s="74"/>
      <c r="Z1460" s="74"/>
      <c r="AA1460" s="74"/>
      <c r="AB1460" s="74"/>
    </row>
    <row r="1461" spans="1:28" ht="12" customHeight="1">
      <c r="A1461" s="260"/>
      <c r="B1461" s="104"/>
      <c r="C1461" s="104"/>
      <c r="D1461" s="260"/>
      <c r="E1461" s="104"/>
      <c r="F1461" s="104"/>
      <c r="G1461" s="35"/>
      <c r="H1461" s="104"/>
      <c r="I1461" s="35"/>
      <c r="J1461" s="74"/>
      <c r="K1461" s="74"/>
      <c r="L1461" s="74"/>
      <c r="M1461" s="74"/>
      <c r="N1461" s="74"/>
      <c r="O1461" s="74"/>
      <c r="P1461" s="74"/>
      <c r="Q1461" s="74"/>
      <c r="R1461" s="74"/>
      <c r="S1461" s="74"/>
      <c r="T1461" s="74"/>
      <c r="U1461" s="74"/>
      <c r="V1461" s="74"/>
      <c r="W1461" s="74"/>
      <c r="X1461" s="74"/>
      <c r="Y1461" s="74"/>
      <c r="Z1461" s="74"/>
      <c r="AA1461" s="74"/>
      <c r="AB1461" s="74"/>
    </row>
    <row r="1462" spans="1:28" ht="12" customHeight="1">
      <c r="A1462" s="260"/>
      <c r="B1462" s="104"/>
      <c r="C1462" s="104"/>
      <c r="D1462" s="260"/>
      <c r="E1462" s="104"/>
      <c r="F1462" s="104"/>
      <c r="G1462" s="35"/>
      <c r="H1462" s="104"/>
      <c r="I1462" s="35"/>
      <c r="J1462" s="74"/>
      <c r="K1462" s="74"/>
      <c r="L1462" s="74"/>
      <c r="M1462" s="74"/>
      <c r="N1462" s="74"/>
      <c r="O1462" s="74"/>
      <c r="P1462" s="74"/>
      <c r="Q1462" s="74"/>
      <c r="R1462" s="74"/>
      <c r="S1462" s="74"/>
      <c r="T1462" s="74"/>
      <c r="U1462" s="74"/>
      <c r="V1462" s="74"/>
      <c r="W1462" s="74"/>
      <c r="X1462" s="74"/>
      <c r="Y1462" s="74"/>
      <c r="Z1462" s="74"/>
      <c r="AA1462" s="74"/>
      <c r="AB1462" s="74"/>
    </row>
    <row r="1463" spans="1:28" ht="12" customHeight="1">
      <c r="A1463" s="260"/>
      <c r="B1463" s="104"/>
      <c r="C1463" s="104"/>
      <c r="D1463" s="260"/>
      <c r="E1463" s="104"/>
      <c r="F1463" s="104"/>
      <c r="G1463" s="35"/>
      <c r="H1463" s="104"/>
      <c r="I1463" s="35"/>
      <c r="J1463" s="74"/>
      <c r="K1463" s="74"/>
      <c r="L1463" s="74"/>
      <c r="M1463" s="74"/>
      <c r="N1463" s="74"/>
      <c r="O1463" s="74"/>
      <c r="P1463" s="74"/>
      <c r="Q1463" s="74"/>
      <c r="R1463" s="74"/>
      <c r="S1463" s="74"/>
      <c r="T1463" s="74"/>
      <c r="U1463" s="74"/>
      <c r="V1463" s="74"/>
      <c r="W1463" s="74"/>
      <c r="X1463" s="74"/>
      <c r="Y1463" s="74"/>
      <c r="Z1463" s="74"/>
      <c r="AA1463" s="74"/>
      <c r="AB1463" s="74"/>
    </row>
    <row r="1464" spans="1:28" ht="12" customHeight="1">
      <c r="A1464" s="260"/>
      <c r="B1464" s="104"/>
      <c r="C1464" s="104"/>
      <c r="D1464" s="260"/>
      <c r="E1464" s="104"/>
      <c r="F1464" s="104"/>
      <c r="G1464" s="35"/>
      <c r="H1464" s="104"/>
      <c r="I1464" s="35"/>
      <c r="J1464" s="74"/>
      <c r="K1464" s="74"/>
      <c r="L1464" s="74"/>
      <c r="M1464" s="74"/>
      <c r="N1464" s="74"/>
      <c r="O1464" s="74"/>
      <c r="P1464" s="74"/>
      <c r="Q1464" s="74"/>
      <c r="R1464" s="74"/>
      <c r="S1464" s="74"/>
      <c r="T1464" s="74"/>
      <c r="U1464" s="74"/>
      <c r="V1464" s="74"/>
      <c r="W1464" s="74"/>
      <c r="X1464" s="74"/>
      <c r="Y1464" s="74"/>
      <c r="Z1464" s="74"/>
      <c r="AA1464" s="74"/>
      <c r="AB1464" s="74"/>
    </row>
    <row r="1465" spans="1:28" ht="12" customHeight="1">
      <c r="A1465" s="260"/>
      <c r="B1465" s="104"/>
      <c r="C1465" s="104"/>
      <c r="D1465" s="260"/>
      <c r="E1465" s="104"/>
      <c r="F1465" s="104"/>
      <c r="G1465" s="35"/>
      <c r="H1465" s="104"/>
      <c r="I1465" s="35"/>
      <c r="J1465" s="74"/>
      <c r="K1465" s="74"/>
      <c r="L1465" s="74"/>
      <c r="M1465" s="74"/>
      <c r="N1465" s="74"/>
      <c r="O1465" s="74"/>
      <c r="P1465" s="74"/>
      <c r="Q1465" s="74"/>
      <c r="R1465" s="74"/>
      <c r="S1465" s="74"/>
      <c r="T1465" s="74"/>
      <c r="U1465" s="74"/>
      <c r="V1465" s="74"/>
      <c r="W1465" s="74"/>
      <c r="X1465" s="74"/>
      <c r="Y1465" s="74"/>
      <c r="Z1465" s="74"/>
      <c r="AA1465" s="74"/>
      <c r="AB1465" s="74"/>
    </row>
    <row r="1466" spans="1:28" ht="12" customHeight="1">
      <c r="A1466" s="260"/>
      <c r="B1466" s="104"/>
      <c r="C1466" s="104"/>
      <c r="D1466" s="260"/>
      <c r="E1466" s="104"/>
      <c r="F1466" s="104"/>
      <c r="G1466" s="35"/>
      <c r="H1466" s="104"/>
      <c r="I1466" s="35"/>
      <c r="J1466" s="74"/>
      <c r="K1466" s="74"/>
      <c r="L1466" s="74"/>
      <c r="M1466" s="74"/>
      <c r="N1466" s="74"/>
      <c r="O1466" s="74"/>
      <c r="P1466" s="74"/>
      <c r="Q1466" s="74"/>
      <c r="R1466" s="74"/>
      <c r="S1466" s="74"/>
      <c r="T1466" s="74"/>
      <c r="U1466" s="74"/>
      <c r="V1466" s="74"/>
      <c r="W1466" s="74"/>
      <c r="X1466" s="74"/>
      <c r="Y1466" s="74"/>
      <c r="Z1466" s="74"/>
      <c r="AA1466" s="74"/>
      <c r="AB1466" s="74"/>
    </row>
    <row r="1467" spans="1:28" ht="12" customHeight="1">
      <c r="A1467" s="260"/>
      <c r="B1467" s="104"/>
      <c r="C1467" s="104"/>
      <c r="D1467" s="260"/>
      <c r="E1467" s="104"/>
      <c r="F1467" s="104"/>
      <c r="G1467" s="35"/>
      <c r="H1467" s="104"/>
      <c r="I1467" s="35"/>
      <c r="J1467" s="74"/>
      <c r="K1467" s="74"/>
      <c r="L1467" s="74"/>
      <c r="M1467" s="74"/>
      <c r="N1467" s="74"/>
      <c r="O1467" s="74"/>
      <c r="P1467" s="74"/>
      <c r="Q1467" s="74"/>
      <c r="R1467" s="74"/>
      <c r="S1467" s="74"/>
      <c r="T1467" s="74"/>
      <c r="U1467" s="74"/>
      <c r="V1467" s="74"/>
      <c r="W1467" s="74"/>
      <c r="X1467" s="74"/>
      <c r="Y1467" s="74"/>
      <c r="Z1467" s="74"/>
      <c r="AA1467" s="74"/>
      <c r="AB1467" s="74"/>
    </row>
    <row r="1468" spans="1:28" ht="12" customHeight="1">
      <c r="A1468" s="260"/>
      <c r="B1468" s="104"/>
      <c r="C1468" s="104"/>
      <c r="D1468" s="260"/>
      <c r="E1468" s="104"/>
      <c r="F1468" s="104"/>
      <c r="G1468" s="35"/>
      <c r="H1468" s="104"/>
      <c r="I1468" s="35"/>
      <c r="J1468" s="74"/>
      <c r="K1468" s="74"/>
      <c r="L1468" s="74"/>
      <c r="M1468" s="74"/>
      <c r="N1468" s="74"/>
      <c r="O1468" s="74"/>
      <c r="P1468" s="74"/>
      <c r="Q1468" s="74"/>
      <c r="R1468" s="74"/>
      <c r="S1468" s="74"/>
      <c r="T1468" s="74"/>
      <c r="U1468" s="74"/>
      <c r="V1468" s="74"/>
      <c r="W1468" s="74"/>
      <c r="X1468" s="74"/>
      <c r="Y1468" s="74"/>
      <c r="Z1468" s="74"/>
      <c r="AA1468" s="74"/>
      <c r="AB1468" s="74"/>
    </row>
    <row r="1469" spans="1:28" ht="12" customHeight="1">
      <c r="A1469" s="260"/>
      <c r="B1469" s="104"/>
      <c r="C1469" s="104"/>
      <c r="D1469" s="260"/>
      <c r="E1469" s="104"/>
      <c r="F1469" s="104"/>
      <c r="G1469" s="35"/>
      <c r="H1469" s="104"/>
      <c r="I1469" s="35"/>
      <c r="J1469" s="74"/>
      <c r="K1469" s="74"/>
      <c r="L1469" s="74"/>
      <c r="M1469" s="74"/>
      <c r="N1469" s="74"/>
      <c r="O1469" s="74"/>
      <c r="P1469" s="74"/>
      <c r="Q1469" s="74"/>
      <c r="R1469" s="74"/>
      <c r="S1469" s="74"/>
      <c r="T1469" s="74"/>
      <c r="U1469" s="74"/>
      <c r="V1469" s="74"/>
      <c r="W1469" s="74"/>
      <c r="X1469" s="74"/>
      <c r="Y1469" s="74"/>
      <c r="Z1469" s="74"/>
      <c r="AA1469" s="74"/>
      <c r="AB1469" s="74"/>
    </row>
    <row r="1470" spans="1:28" ht="12" customHeight="1">
      <c r="A1470" s="260"/>
      <c r="B1470" s="104"/>
      <c r="C1470" s="104"/>
      <c r="D1470" s="260"/>
      <c r="E1470" s="104"/>
      <c r="F1470" s="104"/>
      <c r="G1470" s="35"/>
      <c r="H1470" s="104"/>
      <c r="I1470" s="35"/>
      <c r="J1470" s="74"/>
      <c r="K1470" s="74"/>
      <c r="L1470" s="74"/>
      <c r="M1470" s="74"/>
      <c r="N1470" s="74"/>
      <c r="O1470" s="74"/>
      <c r="P1470" s="74"/>
      <c r="Q1470" s="74"/>
      <c r="R1470" s="74"/>
      <c r="S1470" s="74"/>
      <c r="T1470" s="74"/>
      <c r="U1470" s="74"/>
      <c r="V1470" s="74"/>
      <c r="W1470" s="74"/>
      <c r="X1470" s="74"/>
      <c r="Y1470" s="74"/>
      <c r="Z1470" s="74"/>
      <c r="AA1470" s="74"/>
      <c r="AB1470" s="74"/>
    </row>
    <row r="1471" spans="1:28" ht="12" customHeight="1">
      <c r="A1471" s="260"/>
      <c r="B1471" s="104"/>
      <c r="C1471" s="104"/>
      <c r="D1471" s="260"/>
      <c r="E1471" s="104"/>
      <c r="F1471" s="104"/>
      <c r="G1471" s="35"/>
      <c r="H1471" s="104"/>
      <c r="I1471" s="35"/>
      <c r="J1471" s="74"/>
      <c r="K1471" s="74"/>
      <c r="L1471" s="74"/>
      <c r="M1471" s="74"/>
      <c r="N1471" s="74"/>
      <c r="O1471" s="74"/>
      <c r="P1471" s="74"/>
      <c r="Q1471" s="74"/>
      <c r="R1471" s="74"/>
      <c r="S1471" s="74"/>
      <c r="T1471" s="74"/>
      <c r="U1471" s="74"/>
      <c r="V1471" s="74"/>
      <c r="W1471" s="74"/>
      <c r="X1471" s="74"/>
      <c r="Y1471" s="74"/>
      <c r="Z1471" s="74"/>
      <c r="AA1471" s="74"/>
      <c r="AB1471" s="74"/>
    </row>
    <row r="1472" spans="1:28" ht="12" customHeight="1">
      <c r="A1472" s="260"/>
      <c r="B1472" s="104"/>
      <c r="C1472" s="104"/>
      <c r="D1472" s="260"/>
      <c r="E1472" s="104"/>
      <c r="F1472" s="104"/>
      <c r="G1472" s="35"/>
      <c r="H1472" s="104"/>
      <c r="I1472" s="35"/>
      <c r="J1472" s="74"/>
      <c r="K1472" s="74"/>
      <c r="L1472" s="74"/>
      <c r="M1472" s="74"/>
      <c r="N1472" s="74"/>
      <c r="O1472" s="74"/>
      <c r="P1472" s="74"/>
      <c r="Q1472" s="74"/>
      <c r="R1472" s="74"/>
      <c r="S1472" s="74"/>
      <c r="T1472" s="74"/>
      <c r="U1472" s="74"/>
      <c r="V1472" s="74"/>
      <c r="W1472" s="74"/>
      <c r="X1472" s="74"/>
      <c r="Y1472" s="74"/>
      <c r="Z1472" s="74"/>
      <c r="AA1472" s="74"/>
      <c r="AB1472" s="74"/>
    </row>
    <row r="1473" spans="1:28" ht="12" customHeight="1">
      <c r="A1473" s="260"/>
      <c r="B1473" s="104"/>
      <c r="C1473" s="104"/>
      <c r="D1473" s="260"/>
      <c r="E1473" s="104"/>
      <c r="F1473" s="104"/>
      <c r="G1473" s="35"/>
      <c r="H1473" s="104"/>
      <c r="I1473" s="35"/>
      <c r="J1473" s="74"/>
      <c r="K1473" s="74"/>
      <c r="L1473" s="74"/>
      <c r="M1473" s="74"/>
      <c r="N1473" s="74"/>
      <c r="O1473" s="74"/>
      <c r="P1473" s="74"/>
      <c r="Q1473" s="74"/>
      <c r="R1473" s="74"/>
      <c r="S1473" s="74"/>
      <c r="T1473" s="74"/>
      <c r="U1473" s="74"/>
      <c r="V1473" s="74"/>
      <c r="W1473" s="74"/>
      <c r="X1473" s="74"/>
      <c r="Y1473" s="74"/>
      <c r="Z1473" s="74"/>
      <c r="AA1473" s="74"/>
      <c r="AB1473" s="74"/>
    </row>
    <row r="1474" spans="1:28" ht="12" customHeight="1">
      <c r="A1474" s="260"/>
      <c r="B1474" s="104"/>
      <c r="C1474" s="104"/>
      <c r="D1474" s="260"/>
      <c r="E1474" s="104"/>
      <c r="F1474" s="104"/>
      <c r="G1474" s="35"/>
      <c r="H1474" s="104"/>
      <c r="I1474" s="35"/>
      <c r="J1474" s="74"/>
      <c r="K1474" s="74"/>
      <c r="L1474" s="74"/>
      <c r="M1474" s="74"/>
      <c r="N1474" s="74"/>
      <c r="O1474" s="74"/>
      <c r="P1474" s="74"/>
      <c r="Q1474" s="74"/>
      <c r="R1474" s="74"/>
      <c r="S1474" s="74"/>
      <c r="T1474" s="74"/>
      <c r="U1474" s="74"/>
      <c r="V1474" s="74"/>
      <c r="W1474" s="74"/>
      <c r="X1474" s="74"/>
      <c r="Y1474" s="74"/>
      <c r="Z1474" s="74"/>
      <c r="AA1474" s="74"/>
      <c r="AB1474" s="74"/>
    </row>
    <row r="1475" spans="1:28" ht="12" customHeight="1">
      <c r="A1475" s="260"/>
      <c r="B1475" s="104"/>
      <c r="C1475" s="104"/>
      <c r="D1475" s="260"/>
      <c r="E1475" s="104"/>
      <c r="F1475" s="104"/>
      <c r="G1475" s="35"/>
      <c r="H1475" s="104"/>
      <c r="I1475" s="35"/>
      <c r="J1475" s="74"/>
      <c r="K1475" s="74"/>
      <c r="L1475" s="74"/>
      <c r="M1475" s="74"/>
      <c r="N1475" s="74"/>
      <c r="O1475" s="74"/>
      <c r="P1475" s="74"/>
      <c r="Q1475" s="74"/>
      <c r="R1475" s="74"/>
      <c r="S1475" s="74"/>
      <c r="T1475" s="74"/>
      <c r="U1475" s="74"/>
      <c r="V1475" s="74"/>
      <c r="W1475" s="74"/>
      <c r="X1475" s="74"/>
      <c r="Y1475" s="74"/>
      <c r="Z1475" s="74"/>
      <c r="AA1475" s="74"/>
      <c r="AB1475" s="74"/>
    </row>
    <row r="1476" spans="1:28" ht="12" customHeight="1">
      <c r="A1476" s="260"/>
      <c r="B1476" s="104"/>
      <c r="C1476" s="104"/>
      <c r="D1476" s="260"/>
      <c r="E1476" s="104"/>
      <c r="F1476" s="104"/>
      <c r="G1476" s="35"/>
      <c r="H1476" s="104"/>
      <c r="I1476" s="35"/>
      <c r="J1476" s="74"/>
      <c r="K1476" s="74"/>
      <c r="L1476" s="74"/>
      <c r="M1476" s="74"/>
      <c r="N1476" s="74"/>
      <c r="O1476" s="74"/>
      <c r="P1476" s="74"/>
      <c r="Q1476" s="74"/>
      <c r="R1476" s="74"/>
      <c r="S1476" s="74"/>
      <c r="T1476" s="74"/>
      <c r="U1476" s="74"/>
      <c r="V1476" s="74"/>
      <c r="W1476" s="74"/>
      <c r="X1476" s="74"/>
      <c r="Y1476" s="74"/>
      <c r="Z1476" s="74"/>
      <c r="AA1476" s="74"/>
      <c r="AB1476" s="74"/>
    </row>
    <row r="1477" spans="1:28" ht="12" customHeight="1">
      <c r="A1477" s="260"/>
      <c r="B1477" s="104"/>
      <c r="C1477" s="104"/>
      <c r="D1477" s="260"/>
      <c r="E1477" s="104"/>
      <c r="F1477" s="104"/>
      <c r="G1477" s="35"/>
      <c r="H1477" s="104"/>
      <c r="I1477" s="35"/>
      <c r="J1477" s="74"/>
      <c r="K1477" s="74"/>
      <c r="L1477" s="74"/>
      <c r="M1477" s="74"/>
      <c r="N1477" s="74"/>
      <c r="O1477" s="74"/>
      <c r="P1477" s="74"/>
      <c r="Q1477" s="74"/>
      <c r="R1477" s="74"/>
      <c r="S1477" s="74"/>
      <c r="T1477" s="74"/>
      <c r="U1477" s="74"/>
      <c r="V1477" s="74"/>
      <c r="W1477" s="74"/>
      <c r="X1477" s="74"/>
      <c r="Y1477" s="74"/>
      <c r="Z1477" s="74"/>
      <c r="AA1477" s="74"/>
      <c r="AB1477" s="74"/>
    </row>
    <row r="1478" spans="1:28" ht="12" customHeight="1">
      <c r="A1478" s="260"/>
      <c r="B1478" s="104"/>
      <c r="C1478" s="104"/>
      <c r="D1478" s="260"/>
      <c r="E1478" s="104"/>
      <c r="F1478" s="104"/>
      <c r="G1478" s="35"/>
      <c r="H1478" s="104"/>
      <c r="I1478" s="35"/>
      <c r="J1478" s="74"/>
      <c r="K1478" s="74"/>
      <c r="L1478" s="74"/>
      <c r="M1478" s="74"/>
      <c r="N1478" s="74"/>
      <c r="O1478" s="74"/>
      <c r="P1478" s="74"/>
      <c r="Q1478" s="74"/>
      <c r="R1478" s="74"/>
      <c r="S1478" s="74"/>
      <c r="T1478" s="74"/>
      <c r="U1478" s="74"/>
      <c r="V1478" s="74"/>
      <c r="W1478" s="74"/>
      <c r="X1478" s="74"/>
      <c r="Y1478" s="74"/>
      <c r="Z1478" s="74"/>
      <c r="AA1478" s="74"/>
      <c r="AB1478" s="74"/>
    </row>
    <row r="1479" spans="1:28" ht="12" customHeight="1">
      <c r="A1479" s="260"/>
      <c r="B1479" s="104"/>
      <c r="C1479" s="104"/>
      <c r="D1479" s="260"/>
      <c r="E1479" s="104"/>
      <c r="F1479" s="104"/>
      <c r="G1479" s="35"/>
      <c r="H1479" s="104"/>
      <c r="I1479" s="35"/>
      <c r="J1479" s="74"/>
      <c r="K1479" s="74"/>
      <c r="L1479" s="74"/>
      <c r="M1479" s="74"/>
      <c r="N1479" s="74"/>
      <c r="O1479" s="74"/>
      <c r="P1479" s="74"/>
      <c r="Q1479" s="74"/>
      <c r="R1479" s="74"/>
      <c r="S1479" s="74"/>
      <c r="T1479" s="74"/>
      <c r="U1479" s="74"/>
      <c r="V1479" s="74"/>
      <c r="W1479" s="74"/>
      <c r="X1479" s="74"/>
      <c r="Y1479" s="74"/>
      <c r="Z1479" s="74"/>
      <c r="AA1479" s="74"/>
      <c r="AB1479" s="74"/>
    </row>
    <row r="1480" spans="1:28" ht="12" customHeight="1">
      <c r="A1480" s="260"/>
      <c r="B1480" s="104"/>
      <c r="C1480" s="104"/>
      <c r="D1480" s="260"/>
      <c r="E1480" s="104"/>
      <c r="F1480" s="104"/>
      <c r="G1480" s="35"/>
      <c r="H1480" s="104"/>
      <c r="I1480" s="35"/>
      <c r="J1480" s="74"/>
      <c r="K1480" s="74"/>
      <c r="L1480" s="74"/>
      <c r="M1480" s="74"/>
      <c r="N1480" s="74"/>
      <c r="O1480" s="74"/>
      <c r="P1480" s="74"/>
      <c r="Q1480" s="74"/>
      <c r="R1480" s="74"/>
      <c r="S1480" s="74"/>
      <c r="T1480" s="74"/>
      <c r="U1480" s="74"/>
      <c r="V1480" s="74"/>
      <c r="W1480" s="74"/>
      <c r="X1480" s="74"/>
      <c r="Y1480" s="74"/>
      <c r="Z1480" s="74"/>
      <c r="AA1480" s="74"/>
      <c r="AB1480" s="74"/>
    </row>
    <row r="1481" spans="1:28" ht="12" customHeight="1">
      <c r="A1481" s="260"/>
      <c r="B1481" s="104"/>
      <c r="C1481" s="104"/>
      <c r="D1481" s="260"/>
      <c r="E1481" s="104"/>
      <c r="F1481" s="104"/>
      <c r="G1481" s="35"/>
      <c r="H1481" s="104"/>
      <c r="I1481" s="35"/>
      <c r="J1481" s="74"/>
      <c r="K1481" s="74"/>
      <c r="L1481" s="74"/>
      <c r="M1481" s="74"/>
      <c r="N1481" s="74"/>
      <c r="O1481" s="74"/>
      <c r="P1481" s="74"/>
      <c r="Q1481" s="74"/>
      <c r="R1481" s="74"/>
      <c r="S1481" s="74"/>
      <c r="T1481" s="74"/>
      <c r="U1481" s="74"/>
      <c r="V1481" s="74"/>
      <c r="W1481" s="74"/>
      <c r="X1481" s="74"/>
      <c r="Y1481" s="74"/>
      <c r="Z1481" s="74"/>
      <c r="AA1481" s="74"/>
      <c r="AB1481" s="74"/>
    </row>
    <row r="1482" spans="1:28" ht="12" customHeight="1">
      <c r="A1482" s="260"/>
      <c r="B1482" s="104"/>
      <c r="C1482" s="104"/>
      <c r="D1482" s="260"/>
      <c r="E1482" s="104"/>
      <c r="F1482" s="104"/>
      <c r="G1482" s="35"/>
      <c r="H1482" s="104"/>
      <c r="I1482" s="35"/>
      <c r="J1482" s="74"/>
      <c r="K1482" s="74"/>
      <c r="L1482" s="74"/>
      <c r="M1482" s="74"/>
      <c r="N1482" s="74"/>
      <c r="O1482" s="74"/>
      <c r="P1482" s="74"/>
      <c r="Q1482" s="74"/>
      <c r="R1482" s="74"/>
      <c r="S1482" s="74"/>
      <c r="T1482" s="74"/>
      <c r="U1482" s="74"/>
      <c r="V1482" s="74"/>
      <c r="W1482" s="74"/>
      <c r="X1482" s="74"/>
      <c r="Y1482" s="74"/>
      <c r="Z1482" s="74"/>
      <c r="AA1482" s="74"/>
      <c r="AB1482" s="74"/>
    </row>
    <row r="1483" spans="1:28" ht="12" customHeight="1">
      <c r="A1483" s="260"/>
      <c r="B1483" s="104"/>
      <c r="C1483" s="104"/>
      <c r="D1483" s="260"/>
      <c r="E1483" s="104"/>
      <c r="F1483" s="104"/>
      <c r="G1483" s="35"/>
      <c r="H1483" s="104"/>
      <c r="I1483" s="35"/>
      <c r="J1483" s="74"/>
      <c r="K1483" s="74"/>
      <c r="L1483" s="74"/>
      <c r="M1483" s="74"/>
      <c r="N1483" s="74"/>
      <c r="O1483" s="74"/>
      <c r="P1483" s="74"/>
      <c r="Q1483" s="74"/>
      <c r="R1483" s="74"/>
      <c r="S1483" s="74"/>
      <c r="T1483" s="74"/>
      <c r="U1483" s="74"/>
      <c r="V1483" s="74"/>
      <c r="W1483" s="74"/>
      <c r="X1483" s="74"/>
      <c r="Y1483" s="74"/>
      <c r="Z1483" s="74"/>
      <c r="AA1483" s="74"/>
      <c r="AB1483" s="74"/>
    </row>
    <row r="1484" spans="1:28" ht="12" customHeight="1">
      <c r="A1484" s="260"/>
      <c r="B1484" s="104"/>
      <c r="C1484" s="104"/>
      <c r="D1484" s="260"/>
      <c r="E1484" s="104"/>
      <c r="F1484" s="104"/>
      <c r="G1484" s="35"/>
      <c r="H1484" s="104"/>
      <c r="I1484" s="35"/>
      <c r="J1484" s="74"/>
      <c r="K1484" s="74"/>
      <c r="L1484" s="74"/>
      <c r="M1484" s="74"/>
      <c r="N1484" s="74"/>
      <c r="O1484" s="74"/>
      <c r="P1484" s="74"/>
      <c r="Q1484" s="74"/>
      <c r="R1484" s="74"/>
      <c r="S1484" s="74"/>
      <c r="T1484" s="74"/>
      <c r="U1484" s="74"/>
      <c r="V1484" s="74"/>
      <c r="W1484" s="74"/>
      <c r="X1484" s="74"/>
      <c r="Y1484" s="74"/>
      <c r="Z1484" s="74"/>
      <c r="AA1484" s="74"/>
      <c r="AB1484" s="74"/>
    </row>
    <row r="1485" spans="1:28" ht="12" customHeight="1">
      <c r="A1485" s="260"/>
      <c r="B1485" s="104"/>
      <c r="C1485" s="104"/>
      <c r="D1485" s="260"/>
      <c r="E1485" s="104"/>
      <c r="F1485" s="104"/>
      <c r="G1485" s="35"/>
      <c r="H1485" s="104"/>
      <c r="I1485" s="35"/>
      <c r="J1485" s="74"/>
      <c r="K1485" s="74"/>
      <c r="L1485" s="74"/>
      <c r="M1485" s="74"/>
      <c r="N1485" s="74"/>
      <c r="O1485" s="74"/>
      <c r="P1485" s="74"/>
      <c r="Q1485" s="74"/>
      <c r="R1485" s="74"/>
      <c r="S1485" s="74"/>
      <c r="T1485" s="74"/>
      <c r="U1485" s="74"/>
      <c r="V1485" s="74"/>
      <c r="W1485" s="74"/>
      <c r="X1485" s="74"/>
      <c r="Y1485" s="74"/>
      <c r="Z1485" s="74"/>
      <c r="AA1485" s="74"/>
      <c r="AB1485" s="74"/>
    </row>
    <row r="1486" spans="1:28" ht="12" customHeight="1">
      <c r="A1486" s="260"/>
      <c r="B1486" s="104"/>
      <c r="C1486" s="104"/>
      <c r="D1486" s="260"/>
      <c r="E1486" s="104"/>
      <c r="F1486" s="104"/>
      <c r="G1486" s="35"/>
      <c r="H1486" s="104"/>
      <c r="I1486" s="35"/>
      <c r="J1486" s="74"/>
      <c r="K1486" s="74"/>
      <c r="L1486" s="74"/>
      <c r="M1486" s="74"/>
      <c r="N1486" s="74"/>
      <c r="O1486" s="74"/>
      <c r="P1486" s="74"/>
      <c r="Q1486" s="74"/>
      <c r="R1486" s="74"/>
      <c r="S1486" s="74"/>
      <c r="T1486" s="74"/>
      <c r="U1486" s="74"/>
      <c r="V1486" s="74"/>
      <c r="W1486" s="74"/>
      <c r="X1486" s="74"/>
      <c r="Y1486" s="74"/>
      <c r="Z1486" s="74"/>
      <c r="AA1486" s="74"/>
      <c r="AB1486" s="74"/>
    </row>
    <row r="1487" spans="1:28" ht="12" customHeight="1">
      <c r="A1487" s="260"/>
      <c r="B1487" s="104"/>
      <c r="C1487" s="104"/>
      <c r="D1487" s="260"/>
      <c r="E1487" s="104"/>
      <c r="F1487" s="104"/>
      <c r="G1487" s="35"/>
      <c r="H1487" s="104"/>
      <c r="I1487" s="35"/>
      <c r="J1487" s="74"/>
      <c r="K1487" s="74"/>
      <c r="L1487" s="74"/>
      <c r="M1487" s="74"/>
      <c r="N1487" s="74"/>
      <c r="O1487" s="74"/>
      <c r="P1487" s="74"/>
      <c r="Q1487" s="74"/>
      <c r="R1487" s="74"/>
      <c r="S1487" s="74"/>
      <c r="T1487" s="74"/>
      <c r="U1487" s="74"/>
      <c r="V1487" s="74"/>
      <c r="W1487" s="74"/>
      <c r="X1487" s="74"/>
      <c r="Y1487" s="74"/>
      <c r="Z1487" s="74"/>
      <c r="AA1487" s="74"/>
      <c r="AB1487" s="74"/>
    </row>
    <row r="1488" spans="1:28" ht="12" customHeight="1">
      <c r="A1488" s="260"/>
      <c r="B1488" s="104"/>
      <c r="C1488" s="104"/>
      <c r="D1488" s="260"/>
      <c r="E1488" s="104"/>
      <c r="F1488" s="104"/>
      <c r="G1488" s="35"/>
      <c r="H1488" s="104"/>
      <c r="I1488" s="35"/>
      <c r="J1488" s="74"/>
      <c r="K1488" s="74"/>
      <c r="L1488" s="74"/>
      <c r="M1488" s="74"/>
      <c r="N1488" s="74"/>
      <c r="O1488" s="74"/>
      <c r="P1488" s="74"/>
      <c r="Q1488" s="74"/>
      <c r="R1488" s="74"/>
      <c r="S1488" s="74"/>
      <c r="T1488" s="74"/>
      <c r="U1488" s="74"/>
      <c r="V1488" s="74"/>
      <c r="W1488" s="74"/>
      <c r="X1488" s="74"/>
      <c r="Y1488" s="74"/>
      <c r="Z1488" s="74"/>
      <c r="AA1488" s="74"/>
      <c r="AB1488" s="74"/>
    </row>
    <row r="1489" spans="1:28" ht="12" customHeight="1">
      <c r="A1489" s="260"/>
      <c r="B1489" s="104"/>
      <c r="C1489" s="104"/>
      <c r="D1489" s="260"/>
      <c r="E1489" s="104"/>
      <c r="F1489" s="104"/>
      <c r="G1489" s="35"/>
      <c r="H1489" s="104"/>
      <c r="I1489" s="35"/>
      <c r="J1489" s="74"/>
      <c r="K1489" s="74"/>
      <c r="L1489" s="74"/>
      <c r="M1489" s="74"/>
      <c r="N1489" s="74"/>
      <c r="O1489" s="74"/>
      <c r="P1489" s="74"/>
      <c r="Q1489" s="74"/>
      <c r="R1489" s="74"/>
      <c r="S1489" s="74"/>
      <c r="T1489" s="74"/>
      <c r="U1489" s="74"/>
      <c r="V1489" s="74"/>
      <c r="W1489" s="74"/>
      <c r="X1489" s="74"/>
      <c r="Y1489" s="74"/>
      <c r="Z1489" s="74"/>
      <c r="AA1489" s="74"/>
      <c r="AB1489" s="74"/>
    </row>
    <row r="1490" spans="1:28" ht="12" customHeight="1">
      <c r="A1490" s="260"/>
      <c r="B1490" s="104"/>
      <c r="C1490" s="104"/>
      <c r="D1490" s="260"/>
      <c r="E1490" s="104"/>
      <c r="F1490" s="104"/>
      <c r="G1490" s="35"/>
      <c r="H1490" s="104"/>
      <c r="I1490" s="35"/>
      <c r="J1490" s="74"/>
      <c r="K1490" s="74"/>
      <c r="L1490" s="74"/>
      <c r="M1490" s="74"/>
      <c r="N1490" s="74"/>
      <c r="O1490" s="74"/>
      <c r="P1490" s="74"/>
      <c r="Q1490" s="74"/>
      <c r="R1490" s="74"/>
      <c r="S1490" s="74"/>
      <c r="T1490" s="74"/>
      <c r="U1490" s="74"/>
      <c r="V1490" s="74"/>
      <c r="W1490" s="74"/>
      <c r="X1490" s="74"/>
      <c r="Y1490" s="74"/>
      <c r="Z1490" s="74"/>
      <c r="AA1490" s="74"/>
      <c r="AB1490" s="74"/>
    </row>
    <row r="1491" spans="1:28" ht="12" customHeight="1">
      <c r="A1491" s="260"/>
      <c r="B1491" s="104"/>
      <c r="C1491" s="104"/>
      <c r="D1491" s="260"/>
      <c r="E1491" s="104"/>
      <c r="F1491" s="104"/>
      <c r="G1491" s="35"/>
      <c r="H1491" s="104"/>
      <c r="I1491" s="35"/>
      <c r="J1491" s="74"/>
      <c r="K1491" s="74"/>
      <c r="L1491" s="74"/>
      <c r="M1491" s="74"/>
      <c r="N1491" s="74"/>
      <c r="O1491" s="74"/>
      <c r="P1491" s="74"/>
      <c r="Q1491" s="74"/>
      <c r="R1491" s="74"/>
      <c r="S1491" s="74"/>
      <c r="T1491" s="74"/>
      <c r="U1491" s="74"/>
      <c r="V1491" s="74"/>
      <c r="W1491" s="74"/>
      <c r="X1491" s="74"/>
      <c r="Y1491" s="74"/>
      <c r="Z1491" s="74"/>
      <c r="AA1491" s="74"/>
      <c r="AB1491" s="74"/>
    </row>
    <row r="1492" spans="1:28" ht="12" customHeight="1">
      <c r="A1492" s="260"/>
      <c r="B1492" s="104"/>
      <c r="C1492" s="104"/>
      <c r="D1492" s="260"/>
      <c r="E1492" s="104"/>
      <c r="F1492" s="104"/>
      <c r="G1492" s="35"/>
      <c r="H1492" s="104"/>
      <c r="I1492" s="35"/>
      <c r="J1492" s="74"/>
      <c r="K1492" s="74"/>
      <c r="L1492" s="74"/>
      <c r="M1492" s="74"/>
      <c r="N1492" s="74"/>
      <c r="O1492" s="74"/>
      <c r="P1492" s="74"/>
      <c r="Q1492" s="74"/>
      <c r="R1492" s="74"/>
      <c r="S1492" s="74"/>
      <c r="T1492" s="74"/>
      <c r="U1492" s="74"/>
      <c r="V1492" s="74"/>
      <c r="W1492" s="74"/>
      <c r="X1492" s="74"/>
      <c r="Y1492" s="74"/>
      <c r="Z1492" s="74"/>
      <c r="AA1492" s="74"/>
      <c r="AB1492" s="74"/>
    </row>
    <row r="1493" spans="1:28" ht="12" customHeight="1">
      <c r="A1493" s="260"/>
      <c r="B1493" s="104"/>
      <c r="C1493" s="104"/>
      <c r="D1493" s="260"/>
      <c r="E1493" s="104"/>
      <c r="F1493" s="104"/>
      <c r="G1493" s="35"/>
      <c r="H1493" s="104"/>
      <c r="I1493" s="35"/>
      <c r="J1493" s="74"/>
      <c r="K1493" s="74"/>
      <c r="L1493" s="74"/>
      <c r="M1493" s="74"/>
      <c r="N1493" s="74"/>
      <c r="O1493" s="74"/>
      <c r="P1493" s="74"/>
      <c r="Q1493" s="74"/>
      <c r="R1493" s="74"/>
      <c r="S1493" s="74"/>
      <c r="T1493" s="74"/>
      <c r="U1493" s="74"/>
      <c r="V1493" s="74"/>
      <c r="W1493" s="74"/>
      <c r="X1493" s="74"/>
      <c r="Y1493" s="74"/>
      <c r="Z1493" s="74"/>
      <c r="AA1493" s="74"/>
      <c r="AB1493" s="74"/>
    </row>
    <row r="1494" spans="1:28" ht="12" customHeight="1">
      <c r="A1494" s="260"/>
      <c r="B1494" s="104"/>
      <c r="C1494" s="104"/>
      <c r="D1494" s="260"/>
      <c r="E1494" s="104"/>
      <c r="F1494" s="104"/>
      <c r="G1494" s="35"/>
      <c r="H1494" s="104"/>
      <c r="I1494" s="35"/>
      <c r="J1494" s="74"/>
      <c r="K1494" s="74"/>
      <c r="L1494" s="74"/>
      <c r="M1494" s="74"/>
      <c r="N1494" s="74"/>
      <c r="O1494" s="74"/>
      <c r="P1494" s="74"/>
      <c r="Q1494" s="74"/>
      <c r="R1494" s="74"/>
      <c r="S1494" s="74"/>
      <c r="T1494" s="74"/>
      <c r="U1494" s="74"/>
      <c r="V1494" s="74"/>
      <c r="W1494" s="74"/>
      <c r="X1494" s="74"/>
      <c r="Y1494" s="74"/>
      <c r="Z1494" s="74"/>
      <c r="AA1494" s="74"/>
      <c r="AB1494" s="74"/>
    </row>
    <row r="1495" spans="1:28" ht="12" customHeight="1">
      <c r="A1495" s="260"/>
      <c r="B1495" s="104"/>
      <c r="C1495" s="104"/>
      <c r="D1495" s="260"/>
      <c r="E1495" s="104"/>
      <c r="F1495" s="104"/>
      <c r="G1495" s="35"/>
      <c r="H1495" s="104"/>
      <c r="I1495" s="35"/>
      <c r="J1495" s="74"/>
      <c r="K1495" s="74"/>
      <c r="L1495" s="74"/>
      <c r="M1495" s="74"/>
      <c r="N1495" s="74"/>
      <c r="O1495" s="74"/>
      <c r="P1495" s="74"/>
      <c r="Q1495" s="74"/>
      <c r="R1495" s="74"/>
      <c r="S1495" s="74"/>
      <c r="T1495" s="74"/>
      <c r="U1495" s="74"/>
      <c r="V1495" s="74"/>
      <c r="W1495" s="74"/>
      <c r="X1495" s="74"/>
      <c r="Y1495" s="74"/>
      <c r="Z1495" s="74"/>
      <c r="AA1495" s="74"/>
      <c r="AB1495" s="74"/>
    </row>
    <row r="1496" spans="1:28" ht="12" customHeight="1">
      <c r="A1496" s="260"/>
      <c r="B1496" s="104"/>
      <c r="C1496" s="104"/>
      <c r="D1496" s="260"/>
      <c r="E1496" s="104"/>
      <c r="F1496" s="104"/>
      <c r="G1496" s="35"/>
      <c r="H1496" s="104"/>
      <c r="I1496" s="35"/>
      <c r="J1496" s="74"/>
      <c r="K1496" s="74"/>
      <c r="L1496" s="74"/>
      <c r="M1496" s="74"/>
      <c r="N1496" s="74"/>
      <c r="O1496" s="74"/>
      <c r="P1496" s="74"/>
      <c r="Q1496" s="74"/>
      <c r="R1496" s="74"/>
      <c r="S1496" s="74"/>
      <c r="T1496" s="74"/>
      <c r="U1496" s="74"/>
      <c r="V1496" s="74"/>
      <c r="W1496" s="74"/>
      <c r="X1496" s="74"/>
      <c r="Y1496" s="74"/>
      <c r="Z1496" s="74"/>
      <c r="AA1496" s="74"/>
      <c r="AB1496" s="74"/>
    </row>
    <row r="1497" spans="1:28" ht="12" customHeight="1">
      <c r="A1497" s="260"/>
      <c r="B1497" s="104"/>
      <c r="C1497" s="104"/>
      <c r="D1497" s="260"/>
      <c r="E1497" s="104"/>
      <c r="F1497" s="104"/>
      <c r="G1497" s="35"/>
      <c r="H1497" s="104"/>
      <c r="I1497" s="35"/>
      <c r="J1497" s="74"/>
      <c r="K1497" s="74"/>
      <c r="L1497" s="74"/>
      <c r="M1497" s="74"/>
      <c r="N1497" s="74"/>
      <c r="O1497" s="74"/>
      <c r="P1497" s="74"/>
      <c r="Q1497" s="74"/>
      <c r="R1497" s="74"/>
      <c r="S1497" s="74"/>
      <c r="T1497" s="74"/>
      <c r="U1497" s="74"/>
      <c r="V1497" s="74"/>
      <c r="W1497" s="74"/>
      <c r="X1497" s="74"/>
      <c r="Y1497" s="74"/>
      <c r="Z1497" s="74"/>
      <c r="AA1497" s="74"/>
      <c r="AB1497" s="74"/>
    </row>
    <row r="1498" spans="1:28" ht="12" customHeight="1">
      <c r="A1498" s="260"/>
      <c r="B1498" s="104"/>
      <c r="C1498" s="104"/>
      <c r="D1498" s="260"/>
      <c r="E1498" s="104"/>
      <c r="F1498" s="104"/>
      <c r="G1498" s="35"/>
      <c r="H1498" s="104"/>
      <c r="I1498" s="35"/>
      <c r="J1498" s="74"/>
      <c r="K1498" s="74"/>
      <c r="L1498" s="74"/>
      <c r="M1498" s="74"/>
      <c r="N1498" s="74"/>
      <c r="O1498" s="74"/>
      <c r="P1498" s="74"/>
      <c r="Q1498" s="74"/>
      <c r="R1498" s="74"/>
      <c r="S1498" s="74"/>
      <c r="T1498" s="74"/>
      <c r="U1498" s="74"/>
      <c r="V1498" s="74"/>
      <c r="W1498" s="74"/>
      <c r="X1498" s="74"/>
      <c r="Y1498" s="74"/>
      <c r="Z1498" s="74"/>
      <c r="AA1498" s="74"/>
      <c r="AB1498" s="74"/>
    </row>
    <row r="1499" spans="1:28" ht="12" customHeight="1">
      <c r="A1499" s="260"/>
      <c r="B1499" s="104"/>
      <c r="C1499" s="104"/>
      <c r="D1499" s="260"/>
      <c r="E1499" s="104"/>
      <c r="F1499" s="104"/>
      <c r="G1499" s="35"/>
      <c r="H1499" s="104"/>
      <c r="I1499" s="35"/>
      <c r="J1499" s="74"/>
      <c r="K1499" s="74"/>
      <c r="L1499" s="74"/>
      <c r="M1499" s="74"/>
      <c r="N1499" s="74"/>
      <c r="O1499" s="74"/>
      <c r="P1499" s="74"/>
      <c r="Q1499" s="74"/>
      <c r="R1499" s="74"/>
      <c r="S1499" s="74"/>
      <c r="T1499" s="74"/>
      <c r="U1499" s="74"/>
      <c r="V1499" s="74"/>
      <c r="W1499" s="74"/>
      <c r="X1499" s="74"/>
      <c r="Y1499" s="74"/>
      <c r="Z1499" s="74"/>
      <c r="AA1499" s="74"/>
      <c r="AB1499" s="74"/>
    </row>
    <row r="1500" spans="1:28" ht="12" customHeight="1">
      <c r="A1500" s="260"/>
      <c r="B1500" s="104"/>
      <c r="C1500" s="104"/>
      <c r="D1500" s="260"/>
      <c r="E1500" s="104"/>
      <c r="F1500" s="104"/>
      <c r="G1500" s="35"/>
      <c r="H1500" s="104"/>
      <c r="I1500" s="35"/>
      <c r="J1500" s="74"/>
      <c r="K1500" s="74"/>
      <c r="L1500" s="74"/>
      <c r="M1500" s="74"/>
      <c r="N1500" s="74"/>
      <c r="O1500" s="74"/>
      <c r="P1500" s="74"/>
      <c r="Q1500" s="74"/>
      <c r="R1500" s="74"/>
      <c r="S1500" s="74"/>
      <c r="T1500" s="74"/>
      <c r="U1500" s="74"/>
      <c r="V1500" s="74"/>
      <c r="W1500" s="74"/>
      <c r="X1500" s="74"/>
      <c r="Y1500" s="74"/>
      <c r="Z1500" s="74"/>
      <c r="AA1500" s="74"/>
      <c r="AB1500" s="74"/>
    </row>
    <row r="1501" spans="1:28" ht="12" customHeight="1">
      <c r="A1501" s="260"/>
      <c r="B1501" s="104"/>
      <c r="C1501" s="104"/>
      <c r="D1501" s="260"/>
      <c r="E1501" s="104"/>
      <c r="F1501" s="104"/>
      <c r="G1501" s="35"/>
      <c r="H1501" s="104"/>
      <c r="I1501" s="35"/>
      <c r="J1501" s="74"/>
      <c r="K1501" s="74"/>
      <c r="L1501" s="74"/>
      <c r="M1501" s="74"/>
      <c r="N1501" s="74"/>
      <c r="O1501" s="74"/>
      <c r="P1501" s="74"/>
      <c r="Q1501" s="74"/>
      <c r="R1501" s="74"/>
      <c r="S1501" s="74"/>
      <c r="T1501" s="74"/>
      <c r="U1501" s="74"/>
      <c r="V1501" s="74"/>
      <c r="W1501" s="74"/>
      <c r="X1501" s="74"/>
      <c r="Y1501" s="74"/>
      <c r="Z1501" s="74"/>
      <c r="AA1501" s="74"/>
      <c r="AB1501" s="74"/>
    </row>
    <row r="1502" spans="1:28" ht="12" customHeight="1">
      <c r="A1502" s="260"/>
      <c r="B1502" s="104"/>
      <c r="C1502" s="104"/>
      <c r="D1502" s="260"/>
      <c r="E1502" s="104"/>
      <c r="F1502" s="104"/>
      <c r="G1502" s="35"/>
      <c r="H1502" s="104"/>
      <c r="I1502" s="35"/>
      <c r="J1502" s="74"/>
      <c r="K1502" s="74"/>
      <c r="L1502" s="74"/>
      <c r="M1502" s="74"/>
      <c r="N1502" s="74"/>
      <c r="O1502" s="74"/>
      <c r="P1502" s="74"/>
      <c r="Q1502" s="74"/>
      <c r="R1502" s="74"/>
      <c r="S1502" s="74"/>
      <c r="T1502" s="74"/>
      <c r="U1502" s="74"/>
      <c r="V1502" s="74"/>
      <c r="W1502" s="74"/>
      <c r="X1502" s="74"/>
      <c r="Y1502" s="74"/>
      <c r="Z1502" s="74"/>
      <c r="AA1502" s="74"/>
      <c r="AB1502" s="74"/>
    </row>
    <row r="1503" spans="1:28" ht="12" customHeight="1">
      <c r="A1503" s="260"/>
      <c r="B1503" s="104"/>
      <c r="C1503" s="104"/>
      <c r="D1503" s="260"/>
      <c r="E1503" s="104"/>
      <c r="F1503" s="104"/>
      <c r="G1503" s="35"/>
      <c r="H1503" s="104"/>
      <c r="I1503" s="35"/>
      <c r="J1503" s="74"/>
      <c r="K1503" s="74"/>
      <c r="L1503" s="74"/>
      <c r="M1503" s="74"/>
      <c r="N1503" s="74"/>
      <c r="O1503" s="74"/>
      <c r="P1503" s="74"/>
      <c r="Q1503" s="74"/>
      <c r="R1503" s="74"/>
      <c r="S1503" s="74"/>
      <c r="T1503" s="74"/>
      <c r="U1503" s="74"/>
      <c r="V1503" s="74"/>
      <c r="W1503" s="74"/>
      <c r="X1503" s="74"/>
      <c r="Y1503" s="74"/>
      <c r="Z1503" s="74"/>
      <c r="AA1503" s="74"/>
      <c r="AB1503" s="74"/>
    </row>
    <row r="1504" spans="1:28" ht="12" customHeight="1">
      <c r="A1504" s="260"/>
      <c r="B1504" s="104"/>
      <c r="C1504" s="104"/>
      <c r="D1504" s="260"/>
      <c r="E1504" s="104"/>
      <c r="F1504" s="104"/>
      <c r="G1504" s="35"/>
      <c r="H1504" s="104"/>
      <c r="I1504" s="35"/>
      <c r="J1504" s="74"/>
      <c r="K1504" s="74"/>
      <c r="L1504" s="74"/>
      <c r="M1504" s="74"/>
      <c r="N1504" s="74"/>
      <c r="O1504" s="74"/>
      <c r="P1504" s="74"/>
      <c r="Q1504" s="74"/>
      <c r="R1504" s="74"/>
      <c r="S1504" s="74"/>
      <c r="T1504" s="74"/>
      <c r="U1504" s="74"/>
      <c r="V1504" s="74"/>
      <c r="W1504" s="74"/>
      <c r="X1504" s="74"/>
      <c r="Y1504" s="74"/>
      <c r="Z1504" s="74"/>
      <c r="AA1504" s="74"/>
      <c r="AB1504" s="74"/>
    </row>
    <row r="1505" spans="1:28" ht="12" customHeight="1">
      <c r="A1505" s="260"/>
      <c r="B1505" s="104"/>
      <c r="C1505" s="104"/>
      <c r="D1505" s="260"/>
      <c r="E1505" s="104"/>
      <c r="F1505" s="104"/>
      <c r="G1505" s="35"/>
      <c r="H1505" s="104"/>
      <c r="I1505" s="35"/>
      <c r="J1505" s="74"/>
      <c r="K1505" s="74"/>
      <c r="L1505" s="74"/>
      <c r="M1505" s="74"/>
      <c r="N1505" s="74"/>
      <c r="O1505" s="74"/>
      <c r="P1505" s="74"/>
      <c r="Q1505" s="74"/>
      <c r="R1505" s="74"/>
      <c r="S1505" s="74"/>
      <c r="T1505" s="74"/>
      <c r="U1505" s="74"/>
      <c r="V1505" s="74"/>
      <c r="W1505" s="74"/>
      <c r="X1505" s="74"/>
      <c r="Y1505" s="74"/>
      <c r="Z1505" s="74"/>
      <c r="AA1505" s="74"/>
      <c r="AB1505" s="74"/>
    </row>
    <row r="1506" spans="1:28" ht="12" customHeight="1">
      <c r="A1506" s="260"/>
      <c r="B1506" s="104"/>
      <c r="C1506" s="104"/>
      <c r="D1506" s="260"/>
      <c r="E1506" s="104"/>
      <c r="F1506" s="104"/>
      <c r="G1506" s="35"/>
      <c r="H1506" s="104"/>
      <c r="I1506" s="35"/>
      <c r="J1506" s="74"/>
      <c r="K1506" s="74"/>
      <c r="L1506" s="74"/>
      <c r="M1506" s="74"/>
      <c r="N1506" s="74"/>
      <c r="O1506" s="74"/>
      <c r="P1506" s="74"/>
      <c r="Q1506" s="74"/>
      <c r="R1506" s="74"/>
      <c r="S1506" s="74"/>
      <c r="T1506" s="74"/>
      <c r="U1506" s="74"/>
      <c r="V1506" s="74"/>
      <c r="W1506" s="74"/>
      <c r="X1506" s="74"/>
      <c r="Y1506" s="74"/>
      <c r="Z1506" s="74"/>
      <c r="AA1506" s="74"/>
      <c r="AB1506" s="74"/>
    </row>
    <row r="1507" spans="1:28" ht="12" customHeight="1">
      <c r="A1507" s="260"/>
      <c r="B1507" s="104"/>
      <c r="C1507" s="104"/>
      <c r="D1507" s="260"/>
      <c r="E1507" s="104"/>
      <c r="F1507" s="104"/>
      <c r="G1507" s="35"/>
      <c r="H1507" s="104"/>
      <c r="I1507" s="35"/>
      <c r="J1507" s="74"/>
      <c r="K1507" s="74"/>
      <c r="L1507" s="74"/>
      <c r="M1507" s="74"/>
      <c r="N1507" s="74"/>
      <c r="O1507" s="74"/>
      <c r="P1507" s="74"/>
      <c r="Q1507" s="74"/>
      <c r="R1507" s="74"/>
      <c r="S1507" s="74"/>
      <c r="T1507" s="74"/>
      <c r="U1507" s="74"/>
      <c r="V1507" s="74"/>
      <c r="W1507" s="74"/>
      <c r="X1507" s="74"/>
      <c r="Y1507" s="74"/>
      <c r="Z1507" s="74"/>
      <c r="AA1507" s="74"/>
      <c r="AB1507" s="74"/>
    </row>
    <row r="1508" spans="1:28" ht="12" customHeight="1">
      <c r="A1508" s="260"/>
      <c r="B1508" s="104"/>
      <c r="C1508" s="104"/>
      <c r="D1508" s="260"/>
      <c r="E1508" s="104"/>
      <c r="F1508" s="104"/>
      <c r="G1508" s="35"/>
      <c r="H1508" s="104"/>
      <c r="I1508" s="35"/>
      <c r="J1508" s="74"/>
      <c r="K1508" s="74"/>
      <c r="L1508" s="74"/>
      <c r="M1508" s="74"/>
      <c r="N1508" s="74"/>
      <c r="O1508" s="74"/>
      <c r="P1508" s="74"/>
      <c r="Q1508" s="74"/>
      <c r="R1508" s="74"/>
      <c r="S1508" s="74"/>
      <c r="T1508" s="74"/>
      <c r="U1508" s="74"/>
      <c r="V1508" s="74"/>
      <c r="W1508" s="74"/>
      <c r="X1508" s="74"/>
      <c r="Y1508" s="74"/>
      <c r="Z1508" s="74"/>
      <c r="AA1508" s="74"/>
      <c r="AB1508" s="74"/>
    </row>
    <row r="1509" spans="1:28" ht="12" customHeight="1">
      <c r="A1509" s="260"/>
      <c r="B1509" s="104"/>
      <c r="C1509" s="104"/>
      <c r="D1509" s="260"/>
      <c r="E1509" s="104"/>
      <c r="F1509" s="104"/>
      <c r="G1509" s="35"/>
      <c r="H1509" s="104"/>
      <c r="I1509" s="35"/>
      <c r="J1509" s="74"/>
      <c r="K1509" s="74"/>
      <c r="L1509" s="74"/>
      <c r="M1509" s="74"/>
      <c r="N1509" s="74"/>
      <c r="O1509" s="74"/>
      <c r="P1509" s="74"/>
      <c r="Q1509" s="74"/>
      <c r="R1509" s="74"/>
      <c r="S1509" s="74"/>
      <c r="T1509" s="74"/>
      <c r="U1509" s="74"/>
      <c r="V1509" s="74"/>
      <c r="W1509" s="74"/>
      <c r="X1509" s="74"/>
      <c r="Y1509" s="74"/>
      <c r="Z1509" s="74"/>
      <c r="AA1509" s="74"/>
      <c r="AB1509" s="74"/>
    </row>
    <row r="1510" spans="1:28" ht="12" customHeight="1">
      <c r="A1510" s="260"/>
      <c r="B1510" s="104"/>
      <c r="C1510" s="104"/>
      <c r="D1510" s="260"/>
      <c r="E1510" s="104"/>
      <c r="F1510" s="104"/>
      <c r="G1510" s="35"/>
      <c r="H1510" s="104"/>
      <c r="I1510" s="35"/>
      <c r="J1510" s="74"/>
      <c r="K1510" s="74"/>
      <c r="L1510" s="74"/>
      <c r="M1510" s="74"/>
      <c r="N1510" s="74"/>
      <c r="O1510" s="74"/>
      <c r="P1510" s="74"/>
      <c r="Q1510" s="74"/>
      <c r="R1510" s="74"/>
      <c r="S1510" s="74"/>
      <c r="T1510" s="74"/>
      <c r="U1510" s="74"/>
      <c r="V1510" s="74"/>
      <c r="W1510" s="74"/>
      <c r="X1510" s="74"/>
      <c r="Y1510" s="74"/>
      <c r="Z1510" s="74"/>
      <c r="AA1510" s="74"/>
      <c r="AB1510" s="74"/>
    </row>
    <row r="1511" spans="1:28" ht="12" customHeight="1">
      <c r="A1511" s="260"/>
      <c r="B1511" s="104"/>
      <c r="C1511" s="104"/>
      <c r="D1511" s="260"/>
      <c r="E1511" s="104"/>
      <c r="F1511" s="104"/>
      <c r="G1511" s="35"/>
      <c r="H1511" s="104"/>
      <c r="I1511" s="35"/>
      <c r="J1511" s="74"/>
      <c r="K1511" s="74"/>
      <c r="L1511" s="74"/>
      <c r="M1511" s="74"/>
      <c r="N1511" s="74"/>
      <c r="O1511" s="74"/>
      <c r="P1511" s="74"/>
      <c r="Q1511" s="74"/>
      <c r="R1511" s="74"/>
      <c r="S1511" s="74"/>
      <c r="T1511" s="74"/>
      <c r="U1511" s="74"/>
      <c r="V1511" s="74"/>
      <c r="W1511" s="74"/>
      <c r="X1511" s="74"/>
      <c r="Y1511" s="74"/>
      <c r="Z1511" s="74"/>
      <c r="AA1511" s="74"/>
      <c r="AB1511" s="74"/>
    </row>
    <row r="1512" spans="1:28" ht="12" customHeight="1">
      <c r="A1512" s="260"/>
      <c r="B1512" s="104"/>
      <c r="C1512" s="104"/>
      <c r="D1512" s="260"/>
      <c r="E1512" s="104"/>
      <c r="F1512" s="104"/>
      <c r="G1512" s="35"/>
      <c r="H1512" s="104"/>
      <c r="I1512" s="35"/>
      <c r="J1512" s="74"/>
      <c r="K1512" s="74"/>
      <c r="L1512" s="74"/>
      <c r="M1512" s="74"/>
      <c r="N1512" s="74"/>
      <c r="O1512" s="74"/>
      <c r="P1512" s="74"/>
      <c r="Q1512" s="74"/>
      <c r="R1512" s="74"/>
      <c r="S1512" s="74"/>
      <c r="T1512" s="74"/>
      <c r="U1512" s="74"/>
      <c r="V1512" s="74"/>
      <c r="W1512" s="74"/>
      <c r="X1512" s="74"/>
      <c r="Y1512" s="74"/>
      <c r="Z1512" s="74"/>
      <c r="AA1512" s="74"/>
      <c r="AB1512" s="74"/>
    </row>
    <row r="1513" spans="1:28" ht="12" customHeight="1">
      <c r="A1513" s="260"/>
      <c r="B1513" s="104"/>
      <c r="C1513" s="104"/>
      <c r="D1513" s="260"/>
      <c r="E1513" s="104"/>
      <c r="F1513" s="104"/>
      <c r="G1513" s="35"/>
      <c r="H1513" s="104"/>
      <c r="I1513" s="35"/>
      <c r="J1513" s="74"/>
      <c r="K1513" s="74"/>
      <c r="L1513" s="74"/>
      <c r="M1513" s="74"/>
      <c r="N1513" s="74"/>
      <c r="O1513" s="74"/>
      <c r="P1513" s="74"/>
      <c r="Q1513" s="74"/>
      <c r="R1513" s="74"/>
      <c r="S1513" s="74"/>
      <c r="T1513" s="74"/>
      <c r="U1513" s="74"/>
      <c r="V1513" s="74"/>
      <c r="W1513" s="74"/>
      <c r="X1513" s="74"/>
      <c r="Y1513" s="74"/>
      <c r="Z1513" s="74"/>
      <c r="AA1513" s="74"/>
      <c r="AB1513" s="74"/>
    </row>
    <row r="1514" spans="1:28" ht="12" customHeight="1">
      <c r="A1514" s="260"/>
      <c r="B1514" s="104"/>
      <c r="C1514" s="104"/>
      <c r="D1514" s="260"/>
      <c r="E1514" s="104"/>
      <c r="F1514" s="104"/>
      <c r="G1514" s="35"/>
      <c r="H1514" s="104"/>
      <c r="I1514" s="35"/>
      <c r="J1514" s="74"/>
      <c r="K1514" s="74"/>
      <c r="L1514" s="74"/>
      <c r="M1514" s="74"/>
      <c r="N1514" s="74"/>
      <c r="O1514" s="74"/>
      <c r="P1514" s="74"/>
      <c r="Q1514" s="74"/>
      <c r="R1514" s="74"/>
      <c r="S1514" s="74"/>
      <c r="T1514" s="74"/>
      <c r="U1514" s="74"/>
      <c r="V1514" s="74"/>
      <c r="W1514" s="74"/>
      <c r="X1514" s="74"/>
      <c r="Y1514" s="74"/>
      <c r="Z1514" s="74"/>
      <c r="AA1514" s="74"/>
      <c r="AB1514" s="74"/>
    </row>
    <row r="1515" spans="1:28" ht="12" customHeight="1">
      <c r="A1515" s="260"/>
      <c r="B1515" s="104"/>
      <c r="C1515" s="104"/>
      <c r="D1515" s="260"/>
      <c r="E1515" s="104"/>
      <c r="F1515" s="104"/>
      <c r="G1515" s="35"/>
      <c r="H1515" s="104"/>
      <c r="I1515" s="35"/>
      <c r="J1515" s="74"/>
      <c r="K1515" s="74"/>
      <c r="L1515" s="74"/>
      <c r="M1515" s="74"/>
      <c r="N1515" s="74"/>
      <c r="O1515" s="74"/>
      <c r="P1515" s="74"/>
      <c r="Q1515" s="74"/>
      <c r="R1515" s="74"/>
      <c r="S1515" s="74"/>
      <c r="T1515" s="74"/>
      <c r="U1515" s="74"/>
      <c r="V1515" s="74"/>
      <c r="W1515" s="74"/>
      <c r="X1515" s="74"/>
      <c r="Y1515" s="74"/>
      <c r="Z1515" s="74"/>
      <c r="AA1515" s="74"/>
      <c r="AB1515" s="74"/>
    </row>
    <row r="1516" spans="1:28" ht="12" customHeight="1">
      <c r="A1516" s="260"/>
      <c r="B1516" s="104"/>
      <c r="C1516" s="104"/>
      <c r="D1516" s="260"/>
      <c r="E1516" s="104"/>
      <c r="F1516" s="104"/>
      <c r="G1516" s="35"/>
      <c r="H1516" s="104"/>
      <c r="I1516" s="35"/>
      <c r="J1516" s="74"/>
      <c r="K1516" s="74"/>
      <c r="L1516" s="74"/>
      <c r="M1516" s="74"/>
      <c r="N1516" s="74"/>
      <c r="O1516" s="74"/>
      <c r="P1516" s="74"/>
      <c r="Q1516" s="74"/>
      <c r="R1516" s="74"/>
      <c r="S1516" s="74"/>
      <c r="T1516" s="74"/>
      <c r="U1516" s="74"/>
      <c r="V1516" s="74"/>
      <c r="W1516" s="74"/>
      <c r="X1516" s="74"/>
      <c r="Y1516" s="74"/>
      <c r="Z1516" s="74"/>
      <c r="AA1516" s="74"/>
      <c r="AB1516" s="74"/>
    </row>
    <row r="1517" spans="1:28" ht="12" customHeight="1">
      <c r="A1517" s="260"/>
      <c r="B1517" s="104"/>
      <c r="C1517" s="104"/>
      <c r="D1517" s="260"/>
      <c r="E1517" s="104"/>
      <c r="F1517" s="104"/>
      <c r="G1517" s="35"/>
      <c r="H1517" s="104"/>
      <c r="I1517" s="35"/>
      <c r="J1517" s="74"/>
      <c r="K1517" s="74"/>
      <c r="L1517" s="74"/>
      <c r="M1517" s="74"/>
      <c r="N1517" s="74"/>
      <c r="O1517" s="74"/>
      <c r="P1517" s="74"/>
      <c r="Q1517" s="74"/>
      <c r="R1517" s="74"/>
      <c r="S1517" s="74"/>
      <c r="T1517" s="74"/>
      <c r="U1517" s="74"/>
      <c r="V1517" s="74"/>
      <c r="W1517" s="74"/>
      <c r="X1517" s="74"/>
      <c r="Y1517" s="74"/>
      <c r="Z1517" s="74"/>
      <c r="AA1517" s="74"/>
      <c r="AB1517" s="74"/>
    </row>
    <row r="1518" spans="1:28" ht="12" customHeight="1">
      <c r="A1518" s="260"/>
      <c r="B1518" s="104"/>
      <c r="C1518" s="104"/>
      <c r="D1518" s="260"/>
      <c r="E1518" s="104"/>
      <c r="F1518" s="104"/>
      <c r="G1518" s="35"/>
      <c r="H1518" s="104"/>
      <c r="I1518" s="35"/>
      <c r="J1518" s="74"/>
      <c r="K1518" s="74"/>
      <c r="L1518" s="74"/>
      <c r="M1518" s="74"/>
      <c r="N1518" s="74"/>
      <c r="O1518" s="74"/>
      <c r="P1518" s="74"/>
      <c r="Q1518" s="74"/>
      <c r="R1518" s="74"/>
      <c r="S1518" s="74"/>
      <c r="T1518" s="74"/>
      <c r="U1518" s="74"/>
      <c r="V1518" s="74"/>
      <c r="W1518" s="74"/>
      <c r="X1518" s="74"/>
      <c r="Y1518" s="74"/>
      <c r="Z1518" s="74"/>
      <c r="AA1518" s="74"/>
      <c r="AB1518" s="74"/>
    </row>
    <row r="1519" spans="1:28" ht="12" customHeight="1">
      <c r="A1519" s="260"/>
      <c r="B1519" s="104"/>
      <c r="C1519" s="104"/>
      <c r="D1519" s="260"/>
      <c r="E1519" s="104"/>
      <c r="F1519" s="104"/>
      <c r="G1519" s="35"/>
      <c r="H1519" s="104"/>
      <c r="I1519" s="35"/>
      <c r="J1519" s="74"/>
      <c r="K1519" s="74"/>
      <c r="L1519" s="74"/>
      <c r="M1519" s="74"/>
      <c r="N1519" s="74"/>
      <c r="O1519" s="74"/>
      <c r="P1519" s="74"/>
      <c r="Q1519" s="74"/>
      <c r="R1519" s="74"/>
      <c r="S1519" s="74"/>
      <c r="T1519" s="74"/>
      <c r="U1519" s="74"/>
      <c r="V1519" s="74"/>
      <c r="W1519" s="74"/>
      <c r="X1519" s="74"/>
      <c r="Y1519" s="74"/>
      <c r="Z1519" s="74"/>
      <c r="AA1519" s="74"/>
      <c r="AB1519" s="74"/>
    </row>
    <row r="1520" spans="1:28" ht="12" customHeight="1">
      <c r="A1520" s="260"/>
      <c r="B1520" s="104"/>
      <c r="C1520" s="104"/>
      <c r="D1520" s="260"/>
      <c r="E1520" s="104"/>
      <c r="F1520" s="104"/>
      <c r="G1520" s="35"/>
      <c r="H1520" s="104"/>
      <c r="I1520" s="35"/>
      <c r="J1520" s="74"/>
      <c r="K1520" s="74"/>
      <c r="L1520" s="74"/>
      <c r="M1520" s="74"/>
      <c r="N1520" s="74"/>
      <c r="O1520" s="74"/>
      <c r="P1520" s="74"/>
      <c r="Q1520" s="74"/>
      <c r="R1520" s="74"/>
      <c r="S1520" s="74"/>
      <c r="T1520" s="74"/>
      <c r="U1520" s="74"/>
      <c r="V1520" s="74"/>
      <c r="W1520" s="74"/>
      <c r="X1520" s="74"/>
      <c r="Y1520" s="74"/>
      <c r="Z1520" s="74"/>
      <c r="AA1520" s="74"/>
      <c r="AB1520" s="74"/>
    </row>
    <row r="1521" spans="1:28" ht="12" customHeight="1">
      <c r="A1521" s="260"/>
      <c r="B1521" s="104"/>
      <c r="C1521" s="104"/>
      <c r="D1521" s="260"/>
      <c r="E1521" s="104"/>
      <c r="F1521" s="104"/>
      <c r="G1521" s="35"/>
      <c r="H1521" s="104"/>
      <c r="I1521" s="35"/>
      <c r="J1521" s="74"/>
      <c r="K1521" s="74"/>
      <c r="L1521" s="74"/>
      <c r="M1521" s="74"/>
      <c r="N1521" s="74"/>
      <c r="O1521" s="74"/>
      <c r="P1521" s="74"/>
      <c r="Q1521" s="74"/>
      <c r="R1521" s="74"/>
      <c r="S1521" s="74"/>
      <c r="T1521" s="74"/>
      <c r="U1521" s="74"/>
      <c r="V1521" s="74"/>
      <c r="W1521" s="74"/>
      <c r="X1521" s="74"/>
      <c r="Y1521" s="74"/>
      <c r="Z1521" s="74"/>
      <c r="AA1521" s="74"/>
      <c r="AB1521" s="74"/>
    </row>
    <row r="1522" spans="1:28" ht="12" customHeight="1">
      <c r="A1522" s="260"/>
      <c r="B1522" s="104"/>
      <c r="C1522" s="104"/>
      <c r="D1522" s="260"/>
      <c r="E1522" s="104"/>
      <c r="F1522" s="104"/>
      <c r="G1522" s="35"/>
      <c r="H1522" s="104"/>
      <c r="I1522" s="35"/>
      <c r="J1522" s="74"/>
      <c r="K1522" s="74"/>
      <c r="L1522" s="74"/>
      <c r="M1522" s="74"/>
      <c r="N1522" s="74"/>
      <c r="O1522" s="74"/>
      <c r="P1522" s="74"/>
      <c r="Q1522" s="74"/>
      <c r="R1522" s="74"/>
      <c r="S1522" s="74"/>
      <c r="T1522" s="74"/>
      <c r="U1522" s="74"/>
      <c r="V1522" s="74"/>
      <c r="W1522" s="74"/>
      <c r="X1522" s="74"/>
      <c r="Y1522" s="74"/>
      <c r="Z1522" s="74"/>
      <c r="AA1522" s="74"/>
      <c r="AB1522" s="74"/>
    </row>
    <row r="1523" spans="1:28" ht="12" customHeight="1">
      <c r="A1523" s="260"/>
      <c r="B1523" s="104"/>
      <c r="C1523" s="104"/>
      <c r="D1523" s="260"/>
      <c r="E1523" s="104"/>
      <c r="F1523" s="104"/>
      <c r="G1523" s="35"/>
      <c r="H1523" s="104"/>
      <c r="I1523" s="35"/>
      <c r="J1523" s="74"/>
      <c r="K1523" s="74"/>
      <c r="L1523" s="74"/>
      <c r="M1523" s="74"/>
      <c r="N1523" s="74"/>
      <c r="O1523" s="74"/>
      <c r="P1523" s="74"/>
      <c r="Q1523" s="74"/>
      <c r="R1523" s="74"/>
      <c r="S1523" s="74"/>
      <c r="T1523" s="74"/>
      <c r="U1523" s="74"/>
      <c r="V1523" s="74"/>
      <c r="W1523" s="74"/>
      <c r="X1523" s="74"/>
      <c r="Y1523" s="74"/>
      <c r="Z1523" s="74"/>
      <c r="AA1523" s="74"/>
      <c r="AB1523" s="74"/>
    </row>
    <row r="1524" spans="1:28" ht="12" customHeight="1">
      <c r="A1524" s="260"/>
      <c r="B1524" s="104"/>
      <c r="C1524" s="104"/>
      <c r="D1524" s="260"/>
      <c r="E1524" s="104"/>
      <c r="F1524" s="104"/>
      <c r="G1524" s="35"/>
      <c r="H1524" s="104"/>
      <c r="I1524" s="35"/>
      <c r="J1524" s="74"/>
      <c r="K1524" s="74"/>
      <c r="L1524" s="74"/>
      <c r="M1524" s="74"/>
      <c r="N1524" s="74"/>
      <c r="O1524" s="74"/>
      <c r="P1524" s="74"/>
      <c r="Q1524" s="74"/>
      <c r="R1524" s="74"/>
      <c r="S1524" s="74"/>
      <c r="T1524" s="74"/>
      <c r="U1524" s="74"/>
      <c r="V1524" s="74"/>
      <c r="W1524" s="74"/>
      <c r="X1524" s="74"/>
      <c r="Y1524" s="74"/>
      <c r="Z1524" s="74"/>
      <c r="AA1524" s="74"/>
      <c r="AB1524" s="74"/>
    </row>
    <row r="1525" spans="1:28" ht="12" customHeight="1">
      <c r="A1525" s="260"/>
      <c r="B1525" s="104"/>
      <c r="C1525" s="104"/>
      <c r="D1525" s="260"/>
      <c r="E1525" s="104"/>
      <c r="F1525" s="104"/>
      <c r="G1525" s="35"/>
      <c r="H1525" s="104"/>
      <c r="I1525" s="35"/>
      <c r="J1525" s="74"/>
      <c r="K1525" s="74"/>
      <c r="L1525" s="74"/>
      <c r="M1525" s="74"/>
      <c r="N1525" s="74"/>
      <c r="O1525" s="74"/>
      <c r="P1525" s="74"/>
      <c r="Q1525" s="74"/>
      <c r="R1525" s="74"/>
      <c r="S1525" s="74"/>
      <c r="T1525" s="74"/>
      <c r="U1525" s="74"/>
      <c r="V1525" s="74"/>
      <c r="W1525" s="74"/>
      <c r="X1525" s="74"/>
      <c r="Y1525" s="74"/>
      <c r="Z1525" s="74"/>
      <c r="AA1525" s="74"/>
      <c r="AB1525" s="74"/>
    </row>
    <row r="1526" spans="1:28" ht="12" customHeight="1">
      <c r="A1526" s="260"/>
      <c r="B1526" s="104"/>
      <c r="C1526" s="104"/>
      <c r="D1526" s="260"/>
      <c r="E1526" s="104"/>
      <c r="F1526" s="104"/>
      <c r="G1526" s="35"/>
      <c r="H1526" s="104"/>
      <c r="I1526" s="35"/>
      <c r="J1526" s="74"/>
      <c r="K1526" s="74"/>
      <c r="L1526" s="74"/>
      <c r="M1526" s="74"/>
      <c r="N1526" s="74"/>
      <c r="O1526" s="74"/>
      <c r="P1526" s="74"/>
      <c r="Q1526" s="74"/>
      <c r="R1526" s="74"/>
      <c r="S1526" s="74"/>
      <c r="T1526" s="74"/>
      <c r="U1526" s="74"/>
      <c r="V1526" s="74"/>
      <c r="W1526" s="74"/>
      <c r="X1526" s="74"/>
      <c r="Y1526" s="74"/>
      <c r="Z1526" s="74"/>
      <c r="AA1526" s="74"/>
      <c r="AB1526" s="74"/>
    </row>
    <row r="1527" spans="1:28" ht="12" customHeight="1">
      <c r="A1527" s="260"/>
      <c r="B1527" s="104"/>
      <c r="C1527" s="104"/>
      <c r="D1527" s="260"/>
      <c r="E1527" s="104"/>
      <c r="F1527" s="104"/>
      <c r="G1527" s="35"/>
      <c r="H1527" s="104"/>
      <c r="I1527" s="35"/>
      <c r="J1527" s="74"/>
      <c r="K1527" s="74"/>
      <c r="L1527" s="74"/>
      <c r="M1527" s="74"/>
      <c r="N1527" s="74"/>
      <c r="O1527" s="74"/>
      <c r="P1527" s="74"/>
      <c r="Q1527" s="74"/>
      <c r="R1527" s="74"/>
      <c r="S1527" s="74"/>
      <c r="T1527" s="74"/>
      <c r="U1527" s="74"/>
      <c r="V1527" s="74"/>
      <c r="W1527" s="74"/>
      <c r="X1527" s="74"/>
      <c r="Y1527" s="74"/>
      <c r="Z1527" s="74"/>
      <c r="AA1527" s="74"/>
      <c r="AB1527" s="74"/>
    </row>
    <row r="1528" spans="1:28" ht="12" customHeight="1">
      <c r="A1528" s="260"/>
      <c r="B1528" s="104"/>
      <c r="C1528" s="104"/>
      <c r="D1528" s="260"/>
      <c r="E1528" s="104"/>
      <c r="F1528" s="104"/>
      <c r="G1528" s="35"/>
      <c r="H1528" s="104"/>
      <c r="I1528" s="35"/>
      <c r="J1528" s="74"/>
      <c r="K1528" s="74"/>
      <c r="L1528" s="74"/>
      <c r="M1528" s="74"/>
      <c r="N1528" s="74"/>
      <c r="O1528" s="74"/>
      <c r="P1528" s="74"/>
      <c r="Q1528" s="74"/>
      <c r="R1528" s="74"/>
      <c r="S1528" s="74"/>
      <c r="T1528" s="74"/>
      <c r="U1528" s="74"/>
      <c r="V1528" s="74"/>
      <c r="W1528" s="74"/>
      <c r="X1528" s="74"/>
      <c r="Y1528" s="74"/>
      <c r="Z1528" s="74"/>
      <c r="AA1528" s="74"/>
      <c r="AB1528" s="74"/>
    </row>
    <row r="1529" spans="1:28" ht="12" customHeight="1">
      <c r="A1529" s="260"/>
      <c r="B1529" s="104"/>
      <c r="C1529" s="104"/>
      <c r="D1529" s="260"/>
      <c r="E1529" s="104"/>
      <c r="F1529" s="104"/>
      <c r="G1529" s="35"/>
      <c r="H1529" s="104"/>
      <c r="I1529" s="35"/>
      <c r="J1529" s="74"/>
      <c r="K1529" s="74"/>
      <c r="L1529" s="74"/>
      <c r="M1529" s="74"/>
      <c r="N1529" s="74"/>
      <c r="O1529" s="74"/>
      <c r="P1529" s="74"/>
      <c r="Q1529" s="74"/>
      <c r="R1529" s="74"/>
      <c r="S1529" s="74"/>
      <c r="T1529" s="74"/>
      <c r="U1529" s="74"/>
      <c r="V1529" s="74"/>
      <c r="W1529" s="74"/>
      <c r="X1529" s="74"/>
      <c r="Y1529" s="74"/>
      <c r="Z1529" s="74"/>
      <c r="AA1529" s="74"/>
      <c r="AB1529" s="74"/>
    </row>
    <row r="1530" spans="1:28" ht="12" customHeight="1">
      <c r="A1530" s="260"/>
      <c r="B1530" s="104"/>
      <c r="C1530" s="104"/>
      <c r="D1530" s="260"/>
      <c r="E1530" s="104"/>
      <c r="F1530" s="104"/>
      <c r="G1530" s="35"/>
      <c r="H1530" s="104"/>
      <c r="I1530" s="35"/>
      <c r="J1530" s="74"/>
      <c r="K1530" s="74"/>
      <c r="L1530" s="74"/>
      <c r="M1530" s="74"/>
      <c r="N1530" s="74"/>
      <c r="O1530" s="74"/>
      <c r="P1530" s="74"/>
      <c r="Q1530" s="74"/>
      <c r="R1530" s="74"/>
      <c r="S1530" s="74"/>
      <c r="T1530" s="74"/>
      <c r="U1530" s="74"/>
      <c r="V1530" s="74"/>
      <c r="W1530" s="74"/>
      <c r="X1530" s="74"/>
      <c r="Y1530" s="74"/>
      <c r="Z1530" s="74"/>
      <c r="AA1530" s="74"/>
      <c r="AB1530" s="74"/>
    </row>
    <row r="1531" spans="1:28" ht="12" customHeight="1">
      <c r="A1531" s="260"/>
      <c r="B1531" s="104"/>
      <c r="C1531" s="104"/>
      <c r="D1531" s="260"/>
      <c r="E1531" s="104"/>
      <c r="F1531" s="104"/>
      <c r="G1531" s="35"/>
      <c r="H1531" s="104"/>
      <c r="I1531" s="35"/>
      <c r="J1531" s="74"/>
      <c r="K1531" s="74"/>
      <c r="L1531" s="74"/>
      <c r="M1531" s="74"/>
      <c r="N1531" s="74"/>
      <c r="O1531" s="74"/>
      <c r="P1531" s="74"/>
      <c r="Q1531" s="74"/>
      <c r="R1531" s="74"/>
      <c r="S1531" s="74"/>
      <c r="T1531" s="74"/>
      <c r="U1531" s="74"/>
      <c r="V1531" s="74"/>
      <c r="W1531" s="74"/>
      <c r="X1531" s="74"/>
      <c r="Y1531" s="74"/>
      <c r="Z1531" s="74"/>
      <c r="AA1531" s="74"/>
      <c r="AB1531" s="74"/>
    </row>
    <row r="1532" spans="1:28" ht="12" customHeight="1">
      <c r="A1532" s="260"/>
      <c r="B1532" s="104"/>
      <c r="C1532" s="104"/>
      <c r="D1532" s="260"/>
      <c r="E1532" s="104"/>
      <c r="F1532" s="104"/>
      <c r="G1532" s="35"/>
      <c r="H1532" s="104"/>
      <c r="I1532" s="35"/>
      <c r="J1532" s="74"/>
      <c r="K1532" s="74"/>
      <c r="L1532" s="74"/>
      <c r="M1532" s="74"/>
      <c r="N1532" s="74"/>
      <c r="O1532" s="74"/>
      <c r="P1532" s="74"/>
      <c r="Q1532" s="74"/>
      <c r="R1532" s="74"/>
      <c r="S1532" s="74"/>
      <c r="T1532" s="74"/>
      <c r="U1532" s="74"/>
      <c r="V1532" s="74"/>
      <c r="W1532" s="74"/>
      <c r="X1532" s="74"/>
      <c r="Y1532" s="74"/>
      <c r="Z1532" s="74"/>
      <c r="AA1532" s="74"/>
      <c r="AB1532" s="74"/>
    </row>
    <row r="1533" spans="1:28" ht="12" customHeight="1">
      <c r="A1533" s="260"/>
      <c r="B1533" s="104"/>
      <c r="C1533" s="104"/>
      <c r="D1533" s="260"/>
      <c r="E1533" s="104"/>
      <c r="F1533" s="104"/>
      <c r="G1533" s="35"/>
      <c r="H1533" s="104"/>
      <c r="I1533" s="35"/>
      <c r="J1533" s="74"/>
      <c r="K1533" s="74"/>
      <c r="L1533" s="74"/>
      <c r="M1533" s="74"/>
      <c r="N1533" s="74"/>
      <c r="O1533" s="74"/>
      <c r="P1533" s="74"/>
      <c r="Q1533" s="74"/>
      <c r="R1533" s="74"/>
      <c r="S1533" s="74"/>
      <c r="T1533" s="74"/>
      <c r="U1533" s="74"/>
      <c r="V1533" s="74"/>
      <c r="W1533" s="74"/>
      <c r="X1533" s="74"/>
      <c r="Y1533" s="74"/>
      <c r="Z1533" s="74"/>
      <c r="AA1533" s="74"/>
      <c r="AB1533" s="74"/>
    </row>
    <row r="1534" spans="1:28" ht="12" customHeight="1">
      <c r="A1534" s="260"/>
      <c r="B1534" s="104"/>
      <c r="C1534" s="104"/>
      <c r="D1534" s="260"/>
      <c r="E1534" s="104"/>
      <c r="F1534" s="104"/>
      <c r="G1534" s="35"/>
      <c r="H1534" s="104"/>
      <c r="I1534" s="35"/>
      <c r="J1534" s="74"/>
      <c r="K1534" s="74"/>
      <c r="L1534" s="74"/>
      <c r="M1534" s="74"/>
      <c r="N1534" s="74"/>
      <c r="O1534" s="74"/>
      <c r="P1534" s="74"/>
      <c r="Q1534" s="74"/>
      <c r="R1534" s="74"/>
      <c r="S1534" s="74"/>
      <c r="T1534" s="74"/>
      <c r="U1534" s="74"/>
      <c r="V1534" s="74"/>
      <c r="W1534" s="74"/>
      <c r="X1534" s="74"/>
      <c r="Y1534" s="74"/>
      <c r="Z1534" s="74"/>
      <c r="AA1534" s="74"/>
      <c r="AB1534" s="74"/>
    </row>
    <row r="1535" spans="1:28" ht="12" customHeight="1">
      <c r="A1535" s="260"/>
      <c r="B1535" s="104"/>
      <c r="C1535" s="104"/>
      <c r="D1535" s="260"/>
      <c r="E1535" s="104"/>
      <c r="F1535" s="104"/>
      <c r="G1535" s="35"/>
      <c r="H1535" s="104"/>
      <c r="I1535" s="35"/>
      <c r="J1535" s="74"/>
      <c r="K1535" s="74"/>
      <c r="L1535" s="74"/>
      <c r="M1535" s="74"/>
      <c r="N1535" s="74"/>
      <c r="O1535" s="74"/>
      <c r="P1535" s="74"/>
      <c r="Q1535" s="74"/>
      <c r="R1535" s="74"/>
      <c r="S1535" s="74"/>
      <c r="T1535" s="74"/>
      <c r="U1535" s="74"/>
      <c r="V1535" s="74"/>
      <c r="W1535" s="74"/>
      <c r="X1535" s="74"/>
      <c r="Y1535" s="74"/>
      <c r="Z1535" s="74"/>
      <c r="AA1535" s="74"/>
      <c r="AB1535" s="74"/>
    </row>
    <row r="1536" spans="1:28" ht="12" customHeight="1">
      <c r="A1536" s="260"/>
      <c r="B1536" s="104"/>
      <c r="C1536" s="104"/>
      <c r="D1536" s="260"/>
      <c r="E1536" s="104"/>
      <c r="F1536" s="104"/>
      <c r="G1536" s="35"/>
      <c r="H1536" s="104"/>
      <c r="I1536" s="35"/>
      <c r="J1536" s="74"/>
      <c r="K1536" s="74"/>
      <c r="L1536" s="74"/>
      <c r="M1536" s="74"/>
      <c r="N1536" s="74"/>
      <c r="O1536" s="74"/>
      <c r="P1536" s="74"/>
      <c r="Q1536" s="74"/>
      <c r="R1536" s="74"/>
      <c r="S1536" s="74"/>
      <c r="T1536" s="74"/>
      <c r="U1536" s="74"/>
      <c r="V1536" s="74"/>
      <c r="W1536" s="74"/>
      <c r="X1536" s="74"/>
      <c r="Y1536" s="74"/>
      <c r="Z1536" s="74"/>
      <c r="AA1536" s="74"/>
      <c r="AB1536" s="74"/>
    </row>
    <row r="1537" spans="1:28" ht="12" customHeight="1">
      <c r="A1537" s="260"/>
      <c r="B1537" s="104"/>
      <c r="C1537" s="104"/>
      <c r="D1537" s="260"/>
      <c r="E1537" s="104"/>
      <c r="F1537" s="104"/>
      <c r="G1537" s="35"/>
      <c r="H1537" s="104"/>
      <c r="I1537" s="35"/>
      <c r="J1537" s="74"/>
      <c r="K1537" s="74"/>
      <c r="L1537" s="74"/>
      <c r="M1537" s="74"/>
      <c r="N1537" s="74"/>
      <c r="O1537" s="74"/>
      <c r="P1537" s="74"/>
      <c r="Q1537" s="74"/>
      <c r="R1537" s="74"/>
      <c r="S1537" s="74"/>
      <c r="T1537" s="74"/>
      <c r="U1537" s="74"/>
      <c r="V1537" s="74"/>
      <c r="W1537" s="74"/>
      <c r="X1537" s="74"/>
      <c r="Y1537" s="74"/>
      <c r="Z1537" s="74"/>
      <c r="AA1537" s="74"/>
      <c r="AB1537" s="74"/>
    </row>
    <row r="1538" spans="1:28" ht="12" customHeight="1">
      <c r="A1538" s="260"/>
      <c r="B1538" s="104"/>
      <c r="C1538" s="104"/>
      <c r="D1538" s="260"/>
      <c r="E1538" s="104"/>
      <c r="F1538" s="104"/>
      <c r="G1538" s="35"/>
      <c r="H1538" s="104"/>
      <c r="I1538" s="35"/>
      <c r="J1538" s="74"/>
      <c r="K1538" s="74"/>
      <c r="L1538" s="74"/>
      <c r="M1538" s="74"/>
      <c r="N1538" s="74"/>
      <c r="O1538" s="74"/>
      <c r="P1538" s="74"/>
      <c r="Q1538" s="74"/>
      <c r="R1538" s="74"/>
      <c r="S1538" s="74"/>
      <c r="T1538" s="74"/>
      <c r="U1538" s="74"/>
      <c r="V1538" s="74"/>
      <c r="W1538" s="74"/>
      <c r="X1538" s="74"/>
      <c r="Y1538" s="74"/>
      <c r="Z1538" s="74"/>
      <c r="AA1538" s="74"/>
      <c r="AB1538" s="74"/>
    </row>
    <row r="1539" spans="1:28" ht="12" customHeight="1">
      <c r="A1539" s="260"/>
      <c r="B1539" s="104"/>
      <c r="C1539" s="104"/>
      <c r="D1539" s="260"/>
      <c r="E1539" s="104"/>
      <c r="F1539" s="104"/>
      <c r="G1539" s="35"/>
      <c r="H1539" s="104"/>
      <c r="I1539" s="35"/>
      <c r="J1539" s="74"/>
      <c r="K1539" s="74"/>
      <c r="L1539" s="74"/>
      <c r="M1539" s="74"/>
      <c r="N1539" s="74"/>
      <c r="O1539" s="74"/>
      <c r="P1539" s="74"/>
      <c r="Q1539" s="74"/>
      <c r="R1539" s="74"/>
      <c r="S1539" s="74"/>
      <c r="T1539" s="74"/>
      <c r="U1539" s="74"/>
      <c r="V1539" s="74"/>
      <c r="W1539" s="74"/>
      <c r="X1539" s="74"/>
      <c r="Y1539" s="74"/>
      <c r="Z1539" s="74"/>
      <c r="AA1539" s="74"/>
      <c r="AB1539" s="74"/>
    </row>
    <row r="1540" spans="1:28" ht="12" customHeight="1">
      <c r="A1540" s="260"/>
      <c r="B1540" s="104"/>
      <c r="C1540" s="104"/>
      <c r="D1540" s="260"/>
      <c r="E1540" s="104"/>
      <c r="F1540" s="104"/>
      <c r="G1540" s="35"/>
      <c r="H1540" s="104"/>
      <c r="I1540" s="35"/>
      <c r="J1540" s="74"/>
      <c r="K1540" s="74"/>
      <c r="L1540" s="74"/>
      <c r="M1540" s="74"/>
      <c r="N1540" s="74"/>
      <c r="O1540" s="74"/>
      <c r="P1540" s="74"/>
      <c r="Q1540" s="74"/>
      <c r="R1540" s="74"/>
      <c r="S1540" s="74"/>
      <c r="T1540" s="74"/>
      <c r="U1540" s="74"/>
      <c r="V1540" s="74"/>
      <c r="W1540" s="74"/>
      <c r="X1540" s="74"/>
      <c r="Y1540" s="74"/>
      <c r="Z1540" s="74"/>
      <c r="AA1540" s="74"/>
      <c r="AB1540" s="74"/>
    </row>
    <row r="1541" spans="1:28" ht="12" customHeight="1">
      <c r="A1541" s="260"/>
      <c r="B1541" s="104"/>
      <c r="C1541" s="104"/>
      <c r="D1541" s="260"/>
      <c r="E1541" s="104"/>
      <c r="F1541" s="104"/>
      <c r="G1541" s="35"/>
      <c r="H1541" s="104"/>
      <c r="I1541" s="35"/>
      <c r="J1541" s="74"/>
      <c r="K1541" s="74"/>
      <c r="L1541" s="74"/>
      <c r="M1541" s="74"/>
      <c r="N1541" s="74"/>
      <c r="O1541" s="74"/>
      <c r="P1541" s="74"/>
      <c r="Q1541" s="74"/>
      <c r="R1541" s="74"/>
      <c r="S1541" s="74"/>
      <c r="T1541" s="74"/>
      <c r="U1541" s="74"/>
      <c r="V1541" s="74"/>
      <c r="W1541" s="74"/>
      <c r="X1541" s="74"/>
      <c r="Y1541" s="74"/>
      <c r="Z1541" s="74"/>
      <c r="AA1541" s="74"/>
      <c r="AB1541" s="74"/>
    </row>
    <row r="1542" spans="1:28" ht="12" customHeight="1">
      <c r="A1542" s="260"/>
      <c r="B1542" s="104"/>
      <c r="C1542" s="104"/>
      <c r="D1542" s="260"/>
      <c r="E1542" s="104"/>
      <c r="F1542" s="104"/>
      <c r="G1542" s="35"/>
      <c r="H1542" s="104"/>
      <c r="I1542" s="35"/>
      <c r="J1542" s="74"/>
      <c r="K1542" s="74"/>
      <c r="L1542" s="74"/>
      <c r="M1542" s="74"/>
      <c r="N1542" s="74"/>
      <c r="O1542" s="74"/>
      <c r="P1542" s="74"/>
      <c r="Q1542" s="74"/>
      <c r="R1542" s="74"/>
      <c r="S1542" s="74"/>
      <c r="T1542" s="74"/>
      <c r="U1542" s="74"/>
      <c r="V1542" s="74"/>
      <c r="W1542" s="74"/>
      <c r="X1542" s="74"/>
      <c r="Y1542" s="74"/>
      <c r="Z1542" s="74"/>
      <c r="AA1542" s="74"/>
      <c r="AB1542" s="74"/>
    </row>
    <row r="1543" spans="1:28" ht="12" customHeight="1">
      <c r="A1543" s="260"/>
      <c r="B1543" s="104"/>
      <c r="C1543" s="104"/>
      <c r="D1543" s="260"/>
      <c r="E1543" s="104"/>
      <c r="F1543" s="104"/>
      <c r="G1543" s="35"/>
      <c r="H1543" s="104"/>
      <c r="I1543" s="35"/>
      <c r="J1543" s="74"/>
      <c r="K1543" s="74"/>
      <c r="L1543" s="74"/>
      <c r="M1543" s="74"/>
      <c r="N1543" s="74"/>
      <c r="O1543" s="74"/>
      <c r="P1543" s="74"/>
      <c r="Q1543" s="74"/>
      <c r="R1543" s="74"/>
      <c r="S1543" s="74"/>
      <c r="T1543" s="74"/>
      <c r="U1543" s="74"/>
      <c r="V1543" s="74"/>
      <c r="W1543" s="74"/>
      <c r="X1543" s="74"/>
      <c r="Y1543" s="74"/>
      <c r="Z1543" s="74"/>
      <c r="AA1543" s="74"/>
      <c r="AB1543" s="74"/>
    </row>
    <row r="1544" spans="1:28" ht="12" customHeight="1">
      <c r="A1544" s="260"/>
      <c r="B1544" s="104"/>
      <c r="C1544" s="104"/>
      <c r="D1544" s="260"/>
      <c r="E1544" s="104"/>
      <c r="F1544" s="104"/>
      <c r="G1544" s="35"/>
      <c r="H1544" s="104"/>
      <c r="I1544" s="35"/>
      <c r="J1544" s="74"/>
      <c r="K1544" s="74"/>
      <c r="L1544" s="74"/>
      <c r="M1544" s="74"/>
      <c r="N1544" s="74"/>
      <c r="O1544" s="74"/>
      <c r="P1544" s="74"/>
      <c r="Q1544" s="74"/>
      <c r="R1544" s="74"/>
      <c r="S1544" s="74"/>
      <c r="T1544" s="74"/>
      <c r="U1544" s="74"/>
      <c r="V1544" s="74"/>
      <c r="W1544" s="74"/>
      <c r="X1544" s="74"/>
      <c r="Y1544" s="74"/>
      <c r="Z1544" s="74"/>
      <c r="AA1544" s="74"/>
      <c r="AB1544" s="74"/>
    </row>
    <row r="1545" spans="1:28" ht="12" customHeight="1">
      <c r="A1545" s="260"/>
      <c r="B1545" s="104"/>
      <c r="C1545" s="104"/>
      <c r="D1545" s="260"/>
      <c r="E1545" s="104"/>
      <c r="F1545" s="104"/>
      <c r="G1545" s="35"/>
      <c r="H1545" s="104"/>
      <c r="I1545" s="35"/>
      <c r="J1545" s="74"/>
      <c r="K1545" s="74"/>
      <c r="L1545" s="74"/>
      <c r="M1545" s="74"/>
      <c r="N1545" s="74"/>
      <c r="O1545" s="74"/>
      <c r="P1545" s="74"/>
      <c r="Q1545" s="74"/>
      <c r="R1545" s="74"/>
      <c r="S1545" s="74"/>
      <c r="T1545" s="74"/>
      <c r="U1545" s="74"/>
      <c r="V1545" s="74"/>
      <c r="W1545" s="74"/>
      <c r="X1545" s="74"/>
      <c r="Y1545" s="74"/>
      <c r="Z1545" s="74"/>
      <c r="AA1545" s="74"/>
      <c r="AB1545" s="74"/>
    </row>
    <row r="1546" spans="1:28" ht="12" customHeight="1">
      <c r="A1546" s="260"/>
      <c r="B1546" s="104"/>
      <c r="C1546" s="104"/>
      <c r="D1546" s="260"/>
      <c r="E1546" s="104"/>
      <c r="F1546" s="104"/>
      <c r="G1546" s="35"/>
      <c r="H1546" s="104"/>
      <c r="I1546" s="35"/>
      <c r="J1546" s="74"/>
      <c r="K1546" s="74"/>
      <c r="L1546" s="74"/>
      <c r="M1546" s="74"/>
      <c r="N1546" s="74"/>
      <c r="O1546" s="74"/>
      <c r="P1546" s="74"/>
      <c r="Q1546" s="74"/>
      <c r="R1546" s="74"/>
      <c r="S1546" s="74"/>
      <c r="T1546" s="74"/>
      <c r="U1546" s="74"/>
      <c r="V1546" s="74"/>
      <c r="W1546" s="74"/>
      <c r="X1546" s="74"/>
      <c r="Y1546" s="74"/>
      <c r="Z1546" s="74"/>
      <c r="AA1546" s="74"/>
      <c r="AB1546" s="74"/>
    </row>
    <row r="1547" spans="1:28" ht="12" customHeight="1">
      <c r="A1547" s="260"/>
      <c r="B1547" s="104"/>
      <c r="C1547" s="104"/>
      <c r="D1547" s="260"/>
      <c r="E1547" s="104"/>
      <c r="F1547" s="104"/>
      <c r="G1547" s="35"/>
      <c r="H1547" s="104"/>
      <c r="I1547" s="35"/>
      <c r="J1547" s="74"/>
      <c r="K1547" s="74"/>
      <c r="L1547" s="74"/>
      <c r="M1547" s="74"/>
      <c r="N1547" s="74"/>
      <c r="O1547" s="74"/>
      <c r="P1547" s="74"/>
      <c r="Q1547" s="74"/>
      <c r="R1547" s="74"/>
      <c r="S1547" s="74"/>
      <c r="T1547" s="74"/>
      <c r="U1547" s="74"/>
      <c r="V1547" s="74"/>
      <c r="W1547" s="74"/>
      <c r="X1547" s="74"/>
      <c r="Y1547" s="74"/>
      <c r="Z1547" s="74"/>
      <c r="AA1547" s="74"/>
      <c r="AB1547" s="74"/>
    </row>
    <row r="1548" spans="1:28" ht="12" customHeight="1">
      <c r="A1548" s="260"/>
      <c r="B1548" s="104"/>
      <c r="C1548" s="104"/>
      <c r="D1548" s="260"/>
      <c r="E1548" s="104"/>
      <c r="F1548" s="104"/>
      <c r="G1548" s="35"/>
      <c r="H1548" s="104"/>
      <c r="I1548" s="35"/>
      <c r="J1548" s="74"/>
      <c r="K1548" s="74"/>
      <c r="L1548" s="74"/>
      <c r="M1548" s="74"/>
      <c r="N1548" s="74"/>
      <c r="O1548" s="74"/>
      <c r="P1548" s="74"/>
      <c r="Q1548" s="74"/>
      <c r="R1548" s="74"/>
      <c r="S1548" s="74"/>
      <c r="T1548" s="74"/>
      <c r="U1548" s="74"/>
      <c r="V1548" s="74"/>
      <c r="W1548" s="74"/>
      <c r="X1548" s="74"/>
      <c r="Y1548" s="74"/>
      <c r="Z1548" s="74"/>
      <c r="AA1548" s="74"/>
      <c r="AB1548" s="74"/>
    </row>
    <row r="1549" spans="1:28" ht="12" customHeight="1">
      <c r="A1549" s="260"/>
      <c r="B1549" s="104"/>
      <c r="C1549" s="104"/>
      <c r="D1549" s="260"/>
      <c r="E1549" s="104"/>
      <c r="F1549" s="104"/>
      <c r="G1549" s="35"/>
      <c r="H1549" s="104"/>
      <c r="I1549" s="35"/>
      <c r="J1549" s="74"/>
      <c r="K1549" s="74"/>
      <c r="L1549" s="74"/>
      <c r="M1549" s="74"/>
      <c r="N1549" s="74"/>
      <c r="O1549" s="74"/>
      <c r="P1549" s="74"/>
      <c r="Q1549" s="74"/>
      <c r="R1549" s="74"/>
      <c r="S1549" s="74"/>
      <c r="T1549" s="74"/>
      <c r="U1549" s="74"/>
      <c r="V1549" s="74"/>
      <c r="W1549" s="74"/>
      <c r="X1549" s="74"/>
      <c r="Y1549" s="74"/>
      <c r="Z1549" s="74"/>
      <c r="AA1549" s="74"/>
      <c r="AB1549" s="74"/>
    </row>
    <row r="1550" spans="1:28" ht="12" customHeight="1">
      <c r="A1550" s="260"/>
      <c r="B1550" s="104"/>
      <c r="C1550" s="104"/>
      <c r="D1550" s="260"/>
      <c r="E1550" s="104"/>
      <c r="F1550" s="104"/>
      <c r="G1550" s="35"/>
      <c r="H1550" s="104"/>
      <c r="I1550" s="35"/>
      <c r="J1550" s="74"/>
      <c r="K1550" s="74"/>
      <c r="L1550" s="74"/>
      <c r="M1550" s="74"/>
      <c r="N1550" s="74"/>
      <c r="O1550" s="74"/>
      <c r="P1550" s="74"/>
      <c r="Q1550" s="74"/>
      <c r="R1550" s="74"/>
      <c r="S1550" s="74"/>
      <c r="T1550" s="74"/>
      <c r="U1550" s="74"/>
      <c r="V1550" s="74"/>
      <c r="W1550" s="74"/>
      <c r="X1550" s="74"/>
      <c r="Y1550" s="74"/>
      <c r="Z1550" s="74"/>
      <c r="AA1550" s="74"/>
      <c r="AB1550" s="74"/>
    </row>
    <row r="1551" spans="1:28" ht="12" customHeight="1">
      <c r="A1551" s="260"/>
      <c r="B1551" s="104"/>
      <c r="C1551" s="104"/>
      <c r="D1551" s="260"/>
      <c r="E1551" s="104"/>
      <c r="F1551" s="104"/>
      <c r="G1551" s="35"/>
      <c r="H1551" s="104"/>
      <c r="I1551" s="35"/>
      <c r="J1551" s="74"/>
      <c r="K1551" s="74"/>
      <c r="L1551" s="74"/>
      <c r="M1551" s="74"/>
      <c r="N1551" s="74"/>
      <c r="O1551" s="74"/>
      <c r="P1551" s="74"/>
      <c r="Q1551" s="74"/>
      <c r="R1551" s="74"/>
      <c r="S1551" s="74"/>
      <c r="T1551" s="74"/>
      <c r="U1551" s="74"/>
      <c r="V1551" s="74"/>
      <c r="W1551" s="74"/>
      <c r="X1551" s="74"/>
      <c r="Y1551" s="74"/>
      <c r="Z1551" s="74"/>
      <c r="AA1551" s="74"/>
      <c r="AB1551" s="74"/>
    </row>
    <row r="1552" spans="1:28" ht="12" customHeight="1">
      <c r="A1552" s="260"/>
      <c r="B1552" s="104"/>
      <c r="C1552" s="104"/>
      <c r="D1552" s="260"/>
      <c r="E1552" s="104"/>
      <c r="F1552" s="104"/>
      <c r="G1552" s="35"/>
      <c r="H1552" s="104"/>
      <c r="I1552" s="35"/>
      <c r="J1552" s="74"/>
      <c r="K1552" s="74"/>
      <c r="L1552" s="74"/>
      <c r="M1552" s="74"/>
      <c r="N1552" s="74"/>
      <c r="O1552" s="74"/>
      <c r="P1552" s="74"/>
      <c r="Q1552" s="74"/>
      <c r="R1552" s="74"/>
      <c r="S1552" s="74"/>
      <c r="T1552" s="74"/>
      <c r="U1552" s="74"/>
      <c r="V1552" s="74"/>
      <c r="W1552" s="74"/>
      <c r="X1552" s="74"/>
      <c r="Y1552" s="74"/>
      <c r="Z1552" s="74"/>
      <c r="AA1552" s="74"/>
      <c r="AB1552" s="74"/>
    </row>
    <row r="1553" spans="1:28" ht="12" customHeight="1">
      <c r="A1553" s="260"/>
      <c r="B1553" s="104"/>
      <c r="C1553" s="104"/>
      <c r="D1553" s="260"/>
      <c r="E1553" s="104"/>
      <c r="F1553" s="104"/>
      <c r="G1553" s="35"/>
      <c r="H1553" s="104"/>
      <c r="I1553" s="35"/>
      <c r="J1553" s="74"/>
      <c r="K1553" s="74"/>
      <c r="L1553" s="74"/>
      <c r="M1553" s="74"/>
      <c r="N1553" s="74"/>
      <c r="O1553" s="74"/>
      <c r="P1553" s="74"/>
      <c r="Q1553" s="74"/>
      <c r="R1553" s="74"/>
      <c r="S1553" s="74"/>
      <c r="T1553" s="74"/>
      <c r="U1553" s="74"/>
      <c r="V1553" s="74"/>
      <c r="W1553" s="74"/>
      <c r="X1553" s="74"/>
      <c r="Y1553" s="74"/>
      <c r="Z1553" s="74"/>
      <c r="AA1553" s="74"/>
      <c r="AB1553" s="74"/>
    </row>
    <row r="1554" spans="1:28" ht="12" customHeight="1">
      <c r="A1554" s="260"/>
      <c r="B1554" s="104"/>
      <c r="C1554" s="104"/>
      <c r="D1554" s="260"/>
      <c r="E1554" s="104"/>
      <c r="F1554" s="104"/>
      <c r="G1554" s="35"/>
      <c r="H1554" s="104"/>
      <c r="I1554" s="35"/>
      <c r="J1554" s="74"/>
      <c r="K1554" s="74"/>
      <c r="L1554" s="74"/>
      <c r="M1554" s="74"/>
      <c r="N1554" s="74"/>
      <c r="O1554" s="74"/>
      <c r="P1554" s="74"/>
      <c r="Q1554" s="74"/>
      <c r="R1554" s="74"/>
      <c r="S1554" s="74"/>
      <c r="T1554" s="74"/>
      <c r="U1554" s="74"/>
      <c r="V1554" s="74"/>
      <c r="W1554" s="74"/>
      <c r="X1554" s="74"/>
      <c r="Y1554" s="74"/>
      <c r="Z1554" s="74"/>
      <c r="AA1554" s="74"/>
      <c r="AB1554" s="74"/>
    </row>
    <row r="1555" spans="1:28" ht="12" customHeight="1">
      <c r="A1555" s="260"/>
      <c r="B1555" s="104"/>
      <c r="C1555" s="104"/>
      <c r="D1555" s="260"/>
      <c r="E1555" s="104"/>
      <c r="F1555" s="104"/>
      <c r="G1555" s="35"/>
      <c r="H1555" s="104"/>
      <c r="I1555" s="35"/>
      <c r="J1555" s="74"/>
      <c r="K1555" s="74"/>
      <c r="L1555" s="74"/>
      <c r="M1555" s="74"/>
      <c r="N1555" s="74"/>
      <c r="O1555" s="74"/>
      <c r="P1555" s="74"/>
      <c r="Q1555" s="74"/>
      <c r="R1555" s="74"/>
      <c r="S1555" s="74"/>
      <c r="T1555" s="74"/>
      <c r="U1555" s="74"/>
      <c r="V1555" s="74"/>
      <c r="W1555" s="74"/>
      <c r="X1555" s="74"/>
      <c r="Y1555" s="74"/>
      <c r="Z1555" s="74"/>
      <c r="AA1555" s="74"/>
      <c r="AB1555" s="74"/>
    </row>
    <row r="1556" spans="1:28" ht="12" customHeight="1">
      <c r="A1556" s="260"/>
      <c r="B1556" s="104"/>
      <c r="C1556" s="104"/>
      <c r="D1556" s="260"/>
      <c r="E1556" s="104"/>
      <c r="F1556" s="104"/>
      <c r="G1556" s="35"/>
      <c r="H1556" s="104"/>
      <c r="I1556" s="35"/>
      <c r="J1556" s="74"/>
      <c r="K1556" s="74"/>
      <c r="L1556" s="74"/>
      <c r="M1556" s="74"/>
      <c r="N1556" s="74"/>
      <c r="O1556" s="74"/>
      <c r="P1556" s="74"/>
      <c r="Q1556" s="74"/>
      <c r="R1556" s="74"/>
      <c r="S1556" s="74"/>
      <c r="T1556" s="74"/>
      <c r="U1556" s="74"/>
      <c r="V1556" s="74"/>
      <c r="W1556" s="74"/>
      <c r="X1556" s="74"/>
      <c r="Y1556" s="74"/>
      <c r="Z1556" s="74"/>
      <c r="AA1556" s="74"/>
      <c r="AB1556" s="74"/>
    </row>
    <row r="1557" spans="1:28" ht="12" customHeight="1">
      <c r="A1557" s="260"/>
      <c r="B1557" s="104"/>
      <c r="C1557" s="104"/>
      <c r="D1557" s="260"/>
      <c r="E1557" s="104"/>
      <c r="F1557" s="104"/>
      <c r="G1557" s="35"/>
      <c r="H1557" s="104"/>
      <c r="I1557" s="35"/>
      <c r="J1557" s="74"/>
      <c r="K1557" s="74"/>
      <c r="L1557" s="74"/>
      <c r="M1557" s="74"/>
      <c r="N1557" s="74"/>
      <c r="O1557" s="74"/>
      <c r="P1557" s="74"/>
      <c r="Q1557" s="74"/>
      <c r="R1557" s="74"/>
      <c r="S1557" s="74"/>
      <c r="T1557" s="74"/>
      <c r="U1557" s="74"/>
      <c r="V1557" s="74"/>
      <c r="W1557" s="74"/>
      <c r="X1557" s="74"/>
      <c r="Y1557" s="74"/>
      <c r="Z1557" s="74"/>
      <c r="AA1557" s="74"/>
      <c r="AB1557" s="74"/>
    </row>
    <row r="1558" spans="1:28" ht="12" customHeight="1">
      <c r="A1558" s="260"/>
      <c r="B1558" s="104"/>
      <c r="C1558" s="104"/>
      <c r="D1558" s="260"/>
      <c r="E1558" s="104"/>
      <c r="F1558" s="104"/>
      <c r="G1558" s="35"/>
      <c r="H1558" s="104"/>
      <c r="I1558" s="35"/>
      <c r="J1558" s="74"/>
      <c r="K1558" s="74"/>
      <c r="L1558" s="74"/>
      <c r="M1558" s="74"/>
      <c r="N1558" s="74"/>
      <c r="O1558" s="74"/>
      <c r="P1558" s="74"/>
      <c r="Q1558" s="74"/>
      <c r="R1558" s="74"/>
      <c r="S1558" s="74"/>
      <c r="T1558" s="74"/>
      <c r="U1558" s="74"/>
      <c r="V1558" s="74"/>
      <c r="W1558" s="74"/>
      <c r="X1558" s="74"/>
      <c r="Y1558" s="74"/>
      <c r="Z1558" s="74"/>
      <c r="AA1558" s="74"/>
      <c r="AB1558" s="74"/>
    </row>
    <row r="1559" spans="1:28" ht="12" customHeight="1">
      <c r="A1559" s="260"/>
      <c r="B1559" s="104"/>
      <c r="C1559" s="104"/>
      <c r="D1559" s="260"/>
      <c r="E1559" s="104"/>
      <c r="F1559" s="104"/>
      <c r="G1559" s="35"/>
      <c r="H1559" s="104"/>
      <c r="I1559" s="35"/>
      <c r="J1559" s="74"/>
      <c r="K1559" s="74"/>
      <c r="L1559" s="74"/>
      <c r="M1559" s="74"/>
      <c r="N1559" s="74"/>
      <c r="O1559" s="74"/>
      <c r="P1559" s="74"/>
      <c r="Q1559" s="74"/>
      <c r="R1559" s="74"/>
      <c r="S1559" s="74"/>
      <c r="T1559" s="74"/>
      <c r="U1559" s="74"/>
      <c r="V1559" s="74"/>
      <c r="W1559" s="74"/>
      <c r="X1559" s="74"/>
      <c r="Y1559" s="74"/>
      <c r="Z1559" s="74"/>
      <c r="AA1559" s="74"/>
      <c r="AB1559" s="74"/>
    </row>
    <row r="1560" spans="1:28" ht="12" customHeight="1">
      <c r="A1560" s="260"/>
      <c r="B1560" s="104"/>
      <c r="C1560" s="104"/>
      <c r="D1560" s="260"/>
      <c r="E1560" s="104"/>
      <c r="F1560" s="104"/>
      <c r="G1560" s="35"/>
      <c r="H1560" s="104"/>
      <c r="I1560" s="35"/>
      <c r="J1560" s="74"/>
      <c r="K1560" s="74"/>
      <c r="L1560" s="74"/>
      <c r="M1560" s="74"/>
      <c r="N1560" s="74"/>
      <c r="O1560" s="74"/>
      <c r="P1560" s="74"/>
      <c r="Q1560" s="74"/>
      <c r="R1560" s="74"/>
      <c r="S1560" s="74"/>
      <c r="T1560" s="74"/>
      <c r="U1560" s="74"/>
      <c r="V1560" s="74"/>
      <c r="W1560" s="74"/>
      <c r="X1560" s="74"/>
      <c r="Y1560" s="74"/>
      <c r="Z1560" s="74"/>
      <c r="AA1560" s="74"/>
      <c r="AB1560" s="74"/>
    </row>
    <row r="1561" spans="1:28" ht="12" customHeight="1">
      <c r="A1561" s="260"/>
      <c r="B1561" s="104"/>
      <c r="C1561" s="104"/>
      <c r="D1561" s="260"/>
      <c r="E1561" s="104"/>
      <c r="F1561" s="104"/>
      <c r="G1561" s="35"/>
      <c r="H1561" s="104"/>
      <c r="I1561" s="35"/>
      <c r="J1561" s="74"/>
      <c r="K1561" s="74"/>
      <c r="L1561" s="74"/>
      <c r="M1561" s="74"/>
      <c r="N1561" s="74"/>
      <c r="O1561" s="74"/>
      <c r="P1561" s="74"/>
      <c r="Q1561" s="74"/>
      <c r="R1561" s="74"/>
      <c r="S1561" s="74"/>
      <c r="T1561" s="74"/>
      <c r="U1561" s="74"/>
      <c r="V1561" s="74"/>
      <c r="W1561" s="74"/>
      <c r="X1561" s="74"/>
      <c r="Y1561" s="74"/>
      <c r="Z1561" s="74"/>
      <c r="AA1561" s="74"/>
      <c r="AB1561" s="74"/>
    </row>
    <row r="1562" spans="1:28" ht="12" customHeight="1">
      <c r="A1562" s="260"/>
      <c r="B1562" s="104"/>
      <c r="C1562" s="104"/>
      <c r="D1562" s="260"/>
      <c r="E1562" s="104"/>
      <c r="F1562" s="104"/>
      <c r="G1562" s="35"/>
      <c r="H1562" s="104"/>
      <c r="I1562" s="35"/>
      <c r="J1562" s="74"/>
      <c r="K1562" s="74"/>
      <c r="L1562" s="74"/>
      <c r="M1562" s="74"/>
      <c r="N1562" s="74"/>
      <c r="O1562" s="74"/>
      <c r="P1562" s="74"/>
      <c r="Q1562" s="74"/>
      <c r="R1562" s="74"/>
      <c r="S1562" s="74"/>
      <c r="T1562" s="74"/>
      <c r="U1562" s="74"/>
      <c r="V1562" s="74"/>
      <c r="W1562" s="74"/>
      <c r="X1562" s="74"/>
      <c r="Y1562" s="74"/>
      <c r="Z1562" s="74"/>
      <c r="AA1562" s="74"/>
      <c r="AB1562" s="74"/>
    </row>
    <row r="1563" spans="1:28" ht="12" customHeight="1">
      <c r="A1563" s="260"/>
      <c r="B1563" s="104"/>
      <c r="C1563" s="104"/>
      <c r="D1563" s="260"/>
      <c r="E1563" s="104"/>
      <c r="F1563" s="104"/>
      <c r="G1563" s="35"/>
      <c r="H1563" s="104"/>
      <c r="I1563" s="35"/>
      <c r="J1563" s="74"/>
      <c r="K1563" s="74"/>
      <c r="L1563" s="74"/>
      <c r="M1563" s="74"/>
      <c r="N1563" s="74"/>
      <c r="O1563" s="74"/>
      <c r="P1563" s="74"/>
      <c r="Q1563" s="74"/>
      <c r="R1563" s="74"/>
      <c r="S1563" s="74"/>
      <c r="T1563" s="74"/>
      <c r="U1563" s="74"/>
      <c r="V1563" s="74"/>
      <c r="W1563" s="74"/>
      <c r="X1563" s="74"/>
      <c r="Y1563" s="74"/>
      <c r="Z1563" s="74"/>
      <c r="AA1563" s="74"/>
      <c r="AB1563" s="74"/>
    </row>
    <row r="1564" spans="1:28" ht="12" customHeight="1">
      <c r="A1564" s="260"/>
      <c r="B1564" s="104"/>
      <c r="C1564" s="104"/>
      <c r="D1564" s="260"/>
      <c r="E1564" s="104"/>
      <c r="F1564" s="104"/>
      <c r="G1564" s="35"/>
      <c r="H1564" s="104"/>
      <c r="I1564" s="35"/>
      <c r="J1564" s="74"/>
      <c r="K1564" s="74"/>
      <c r="L1564" s="74"/>
      <c r="M1564" s="74"/>
      <c r="N1564" s="74"/>
      <c r="O1564" s="74"/>
      <c r="P1564" s="74"/>
      <c r="Q1564" s="74"/>
      <c r="R1564" s="74"/>
      <c r="S1564" s="74"/>
      <c r="T1564" s="74"/>
      <c r="U1564" s="74"/>
      <c r="V1564" s="74"/>
      <c r="W1564" s="74"/>
      <c r="X1564" s="74"/>
      <c r="Y1564" s="74"/>
      <c r="Z1564" s="74"/>
      <c r="AA1564" s="74"/>
      <c r="AB1564" s="74"/>
    </row>
    <row r="1565" spans="1:28" ht="12" customHeight="1">
      <c r="A1565" s="260"/>
      <c r="B1565" s="104"/>
      <c r="C1565" s="104"/>
      <c r="D1565" s="260"/>
      <c r="E1565" s="104"/>
      <c r="F1565" s="104"/>
      <c r="G1565" s="35"/>
      <c r="H1565" s="104"/>
      <c r="I1565" s="35"/>
      <c r="J1565" s="74"/>
      <c r="K1565" s="74"/>
      <c r="L1565" s="74"/>
      <c r="M1565" s="74"/>
      <c r="N1565" s="74"/>
      <c r="O1565" s="74"/>
      <c r="P1565" s="74"/>
      <c r="Q1565" s="74"/>
      <c r="R1565" s="74"/>
      <c r="S1565" s="74"/>
      <c r="T1565" s="74"/>
      <c r="U1565" s="74"/>
      <c r="V1565" s="74"/>
      <c r="W1565" s="74"/>
      <c r="X1565" s="74"/>
      <c r="Y1565" s="74"/>
      <c r="Z1565" s="74"/>
      <c r="AA1565" s="74"/>
      <c r="AB1565" s="74"/>
    </row>
    <row r="1566" spans="1:28" ht="12" customHeight="1">
      <c r="A1566" s="260"/>
      <c r="B1566" s="104"/>
      <c r="C1566" s="104"/>
      <c r="D1566" s="260"/>
      <c r="E1566" s="104"/>
      <c r="F1566" s="104"/>
      <c r="G1566" s="35"/>
      <c r="H1566" s="104"/>
      <c r="I1566" s="35"/>
      <c r="J1566" s="74"/>
      <c r="K1566" s="74"/>
      <c r="L1566" s="74"/>
      <c r="M1566" s="74"/>
      <c r="N1566" s="74"/>
      <c r="O1566" s="74"/>
      <c r="P1566" s="74"/>
      <c r="Q1566" s="74"/>
      <c r="R1566" s="74"/>
      <c r="S1566" s="74"/>
      <c r="T1566" s="74"/>
      <c r="U1566" s="74"/>
      <c r="V1566" s="74"/>
      <c r="W1566" s="74"/>
      <c r="X1566" s="74"/>
      <c r="Y1566" s="74"/>
      <c r="Z1566" s="74"/>
      <c r="AA1566" s="74"/>
      <c r="AB1566" s="74"/>
    </row>
    <row r="1567" spans="1:28" ht="12" customHeight="1">
      <c r="A1567" s="260"/>
      <c r="B1567" s="104"/>
      <c r="C1567" s="104"/>
      <c r="D1567" s="260"/>
      <c r="E1567" s="104"/>
      <c r="F1567" s="104"/>
      <c r="G1567" s="35"/>
      <c r="H1567" s="104"/>
      <c r="I1567" s="35"/>
      <c r="J1567" s="74"/>
      <c r="K1567" s="74"/>
      <c r="L1567" s="74"/>
      <c r="M1567" s="74"/>
      <c r="N1567" s="74"/>
      <c r="O1567" s="74"/>
      <c r="P1567" s="74"/>
      <c r="Q1567" s="74"/>
      <c r="R1567" s="74"/>
      <c r="S1567" s="74"/>
      <c r="T1567" s="74"/>
      <c r="U1567" s="74"/>
      <c r="V1567" s="74"/>
      <c r="W1567" s="74"/>
      <c r="X1567" s="74"/>
      <c r="Y1567" s="74"/>
      <c r="Z1567" s="74"/>
      <c r="AA1567" s="74"/>
      <c r="AB1567" s="74"/>
    </row>
    <row r="1568" spans="1:28" ht="12" customHeight="1">
      <c r="A1568" s="260"/>
      <c r="B1568" s="104"/>
      <c r="C1568" s="104"/>
      <c r="D1568" s="260"/>
      <c r="E1568" s="104"/>
      <c r="F1568" s="104"/>
      <c r="G1568" s="35"/>
      <c r="H1568" s="104"/>
      <c r="I1568" s="35"/>
      <c r="J1568" s="74"/>
      <c r="K1568" s="74"/>
      <c r="L1568" s="74"/>
      <c r="M1568" s="74"/>
      <c r="N1568" s="74"/>
      <c r="O1568" s="74"/>
      <c r="P1568" s="74"/>
      <c r="Q1568" s="74"/>
      <c r="R1568" s="74"/>
      <c r="S1568" s="74"/>
      <c r="T1568" s="74"/>
      <c r="U1568" s="74"/>
      <c r="V1568" s="74"/>
      <c r="W1568" s="74"/>
      <c r="X1568" s="74"/>
      <c r="Y1568" s="74"/>
      <c r="Z1568" s="74"/>
      <c r="AA1568" s="74"/>
      <c r="AB1568" s="74"/>
    </row>
    <row r="1569" spans="1:28" ht="12" customHeight="1">
      <c r="A1569" s="260"/>
      <c r="B1569" s="104"/>
      <c r="C1569" s="104"/>
      <c r="D1569" s="260"/>
      <c r="E1569" s="104"/>
      <c r="F1569" s="104"/>
      <c r="G1569" s="35"/>
      <c r="H1569" s="104"/>
      <c r="I1569" s="35"/>
      <c r="J1569" s="74"/>
      <c r="K1569" s="74"/>
      <c r="L1569" s="74"/>
      <c r="M1569" s="74"/>
      <c r="N1569" s="74"/>
      <c r="O1569" s="74"/>
      <c r="P1569" s="74"/>
      <c r="Q1569" s="74"/>
      <c r="R1569" s="74"/>
      <c r="S1569" s="74"/>
      <c r="T1569" s="74"/>
      <c r="U1569" s="74"/>
      <c r="V1569" s="74"/>
      <c r="W1569" s="74"/>
      <c r="X1569" s="74"/>
      <c r="Y1569" s="74"/>
      <c r="Z1569" s="74"/>
      <c r="AA1569" s="74"/>
      <c r="AB1569" s="74"/>
    </row>
    <row r="1570" spans="1:28" ht="12" customHeight="1">
      <c r="A1570" s="260"/>
      <c r="B1570" s="104"/>
      <c r="C1570" s="104"/>
      <c r="D1570" s="260"/>
      <c r="E1570" s="104"/>
      <c r="F1570" s="104"/>
      <c r="G1570" s="35"/>
      <c r="H1570" s="104"/>
      <c r="I1570" s="35"/>
      <c r="J1570" s="74"/>
      <c r="K1570" s="74"/>
      <c r="L1570" s="74"/>
      <c r="M1570" s="74"/>
      <c r="N1570" s="74"/>
      <c r="O1570" s="74"/>
      <c r="P1570" s="74"/>
      <c r="Q1570" s="74"/>
      <c r="R1570" s="74"/>
      <c r="S1570" s="74"/>
      <c r="T1570" s="74"/>
      <c r="U1570" s="74"/>
      <c r="V1570" s="74"/>
      <c r="W1570" s="74"/>
      <c r="X1570" s="74"/>
      <c r="Y1570" s="74"/>
      <c r="Z1570" s="74"/>
      <c r="AA1570" s="74"/>
      <c r="AB1570" s="74"/>
    </row>
    <row r="1571" spans="1:28" ht="12" customHeight="1">
      <c r="A1571" s="260"/>
      <c r="B1571" s="104"/>
      <c r="C1571" s="104"/>
      <c r="D1571" s="260"/>
      <c r="E1571" s="104"/>
      <c r="F1571" s="104"/>
      <c r="G1571" s="35"/>
      <c r="H1571" s="104"/>
      <c r="I1571" s="35"/>
      <c r="J1571" s="74"/>
      <c r="K1571" s="74"/>
      <c r="L1571" s="74"/>
      <c r="M1571" s="74"/>
      <c r="N1571" s="74"/>
      <c r="O1571" s="74"/>
      <c r="P1571" s="74"/>
      <c r="Q1571" s="74"/>
      <c r="R1571" s="74"/>
      <c r="S1571" s="74"/>
      <c r="T1571" s="74"/>
      <c r="U1571" s="74"/>
      <c r="V1571" s="74"/>
      <c r="W1571" s="74"/>
      <c r="X1571" s="74"/>
      <c r="Y1571" s="74"/>
      <c r="Z1571" s="74"/>
      <c r="AA1571" s="74"/>
      <c r="AB1571" s="74"/>
    </row>
    <row r="1572" spans="1:28" ht="12" customHeight="1">
      <c r="A1572" s="260"/>
      <c r="B1572" s="104"/>
      <c r="C1572" s="104"/>
      <c r="D1572" s="260"/>
      <c r="E1572" s="104"/>
      <c r="F1572" s="104"/>
      <c r="G1572" s="35"/>
      <c r="H1572" s="104"/>
      <c r="I1572" s="35"/>
      <c r="J1572" s="74"/>
      <c r="K1572" s="74"/>
      <c r="L1572" s="74"/>
      <c r="M1572" s="74"/>
      <c r="N1572" s="74"/>
      <c r="O1572" s="74"/>
      <c r="P1572" s="74"/>
      <c r="Q1572" s="74"/>
      <c r="R1572" s="74"/>
      <c r="S1572" s="74"/>
      <c r="T1572" s="74"/>
      <c r="U1572" s="74"/>
      <c r="V1572" s="74"/>
      <c r="W1572" s="74"/>
      <c r="X1572" s="74"/>
      <c r="Y1572" s="74"/>
      <c r="Z1572" s="74"/>
      <c r="AA1572" s="74"/>
      <c r="AB1572" s="74"/>
    </row>
    <row r="1573" spans="1:28" ht="12" customHeight="1">
      <c r="A1573" s="260"/>
      <c r="B1573" s="104"/>
      <c r="C1573" s="104"/>
      <c r="D1573" s="260"/>
      <c r="E1573" s="104"/>
      <c r="F1573" s="104"/>
      <c r="G1573" s="35"/>
      <c r="H1573" s="104"/>
      <c r="I1573" s="35"/>
      <c r="J1573" s="74"/>
      <c r="K1573" s="74"/>
      <c r="L1573" s="74"/>
      <c r="M1573" s="74"/>
      <c r="N1573" s="74"/>
      <c r="O1573" s="74"/>
      <c r="P1573" s="74"/>
      <c r="Q1573" s="74"/>
      <c r="R1573" s="74"/>
      <c r="S1573" s="74"/>
      <c r="T1573" s="74"/>
      <c r="U1573" s="74"/>
      <c r="V1573" s="74"/>
      <c r="W1573" s="74"/>
      <c r="X1573" s="74"/>
      <c r="Y1573" s="74"/>
      <c r="Z1573" s="74"/>
      <c r="AA1573" s="74"/>
      <c r="AB1573" s="74"/>
    </row>
    <row r="1574" spans="1:28" ht="12" customHeight="1">
      <c r="A1574" s="260"/>
      <c r="B1574" s="104"/>
      <c r="C1574" s="104"/>
      <c r="D1574" s="260"/>
      <c r="E1574" s="104"/>
      <c r="F1574" s="104"/>
      <c r="G1574" s="35"/>
      <c r="H1574" s="104"/>
      <c r="I1574" s="35"/>
      <c r="J1574" s="74"/>
      <c r="K1574" s="74"/>
      <c r="L1574" s="74"/>
      <c r="M1574" s="74"/>
      <c r="N1574" s="74"/>
      <c r="O1574" s="74"/>
      <c r="P1574" s="74"/>
      <c r="Q1574" s="74"/>
      <c r="R1574" s="74"/>
      <c r="S1574" s="74"/>
      <c r="T1574" s="74"/>
      <c r="U1574" s="74"/>
      <c r="V1574" s="74"/>
      <c r="W1574" s="74"/>
      <c r="X1574" s="74"/>
      <c r="Y1574" s="74"/>
      <c r="Z1574" s="74"/>
      <c r="AA1574" s="74"/>
      <c r="AB1574" s="74"/>
    </row>
    <row r="1575" spans="1:28" ht="12" customHeight="1">
      <c r="A1575" s="260"/>
      <c r="B1575" s="104"/>
      <c r="C1575" s="104"/>
      <c r="D1575" s="260"/>
      <c r="E1575" s="104"/>
      <c r="F1575" s="104"/>
      <c r="G1575" s="35"/>
      <c r="H1575" s="104"/>
      <c r="I1575" s="35"/>
      <c r="J1575" s="74"/>
      <c r="K1575" s="74"/>
      <c r="L1575" s="74"/>
      <c r="M1575" s="74"/>
      <c r="N1575" s="74"/>
      <c r="O1575" s="74"/>
      <c r="P1575" s="74"/>
      <c r="Q1575" s="74"/>
      <c r="R1575" s="74"/>
      <c r="S1575" s="74"/>
      <c r="T1575" s="74"/>
      <c r="U1575" s="74"/>
      <c r="V1575" s="74"/>
      <c r="W1575" s="74"/>
      <c r="X1575" s="74"/>
      <c r="Y1575" s="74"/>
      <c r="Z1575" s="74"/>
      <c r="AA1575" s="74"/>
      <c r="AB1575" s="74"/>
    </row>
    <row r="1576" spans="1:28" ht="12" customHeight="1">
      <c r="A1576" s="260"/>
      <c r="B1576" s="104"/>
      <c r="C1576" s="104"/>
      <c r="D1576" s="260"/>
      <c r="E1576" s="104"/>
      <c r="F1576" s="104"/>
      <c r="G1576" s="35"/>
      <c r="H1576" s="104"/>
      <c r="I1576" s="35"/>
      <c r="J1576" s="74"/>
      <c r="K1576" s="74"/>
      <c r="L1576" s="74"/>
      <c r="M1576" s="74"/>
      <c r="N1576" s="74"/>
      <c r="O1576" s="74"/>
      <c r="P1576" s="74"/>
      <c r="Q1576" s="74"/>
      <c r="R1576" s="74"/>
      <c r="S1576" s="74"/>
      <c r="T1576" s="74"/>
      <c r="U1576" s="74"/>
      <c r="V1576" s="74"/>
      <c r="W1576" s="74"/>
      <c r="X1576" s="74"/>
      <c r="Y1576" s="74"/>
      <c r="Z1576" s="74"/>
      <c r="AA1576" s="74"/>
      <c r="AB1576" s="74"/>
    </row>
    <row r="1577" spans="1:28" ht="12" customHeight="1">
      <c r="A1577" s="260"/>
      <c r="B1577" s="104"/>
      <c r="C1577" s="104"/>
      <c r="D1577" s="260"/>
      <c r="E1577" s="104"/>
      <c r="F1577" s="104"/>
      <c r="G1577" s="35"/>
      <c r="H1577" s="104"/>
      <c r="I1577" s="35"/>
      <c r="J1577" s="74"/>
      <c r="K1577" s="74"/>
      <c r="L1577" s="74"/>
      <c r="M1577" s="74"/>
      <c r="N1577" s="74"/>
      <c r="O1577" s="74"/>
      <c r="P1577" s="74"/>
      <c r="Q1577" s="74"/>
      <c r="R1577" s="74"/>
      <c r="S1577" s="74"/>
      <c r="T1577" s="74"/>
      <c r="U1577" s="74"/>
      <c r="V1577" s="74"/>
      <c r="W1577" s="74"/>
      <c r="X1577" s="74"/>
      <c r="Y1577" s="74"/>
      <c r="Z1577" s="74"/>
      <c r="AA1577" s="74"/>
      <c r="AB1577" s="74"/>
    </row>
    <row r="1578" spans="1:28" ht="12" customHeight="1">
      <c r="A1578" s="260"/>
      <c r="B1578" s="104"/>
      <c r="C1578" s="104"/>
      <c r="D1578" s="260"/>
      <c r="E1578" s="104"/>
      <c r="F1578" s="104"/>
      <c r="G1578" s="35"/>
      <c r="H1578" s="104"/>
      <c r="I1578" s="35"/>
      <c r="J1578" s="74"/>
      <c r="K1578" s="74"/>
      <c r="L1578" s="74"/>
      <c r="M1578" s="74"/>
      <c r="N1578" s="74"/>
      <c r="O1578" s="74"/>
      <c r="P1578" s="74"/>
      <c r="Q1578" s="74"/>
      <c r="R1578" s="74"/>
      <c r="S1578" s="74"/>
      <c r="T1578" s="74"/>
      <c r="U1578" s="74"/>
      <c r="V1578" s="74"/>
      <c r="W1578" s="74"/>
      <c r="X1578" s="74"/>
      <c r="Y1578" s="74"/>
      <c r="Z1578" s="74"/>
      <c r="AA1578" s="74"/>
      <c r="AB1578" s="74"/>
    </row>
    <row r="1579" spans="1:28" ht="12" customHeight="1">
      <c r="A1579" s="260"/>
      <c r="B1579" s="104"/>
      <c r="C1579" s="104"/>
      <c r="D1579" s="260"/>
      <c r="E1579" s="104"/>
      <c r="F1579" s="104"/>
      <c r="G1579" s="35"/>
      <c r="H1579" s="104"/>
      <c r="I1579" s="35"/>
      <c r="J1579" s="74"/>
      <c r="K1579" s="74"/>
      <c r="L1579" s="74"/>
      <c r="M1579" s="74"/>
      <c r="N1579" s="74"/>
      <c r="O1579" s="74"/>
      <c r="P1579" s="74"/>
      <c r="Q1579" s="74"/>
      <c r="R1579" s="74"/>
      <c r="S1579" s="74"/>
      <c r="T1579" s="74"/>
      <c r="U1579" s="74"/>
      <c r="V1579" s="74"/>
      <c r="W1579" s="74"/>
      <c r="X1579" s="74"/>
      <c r="Y1579" s="74"/>
      <c r="Z1579" s="74"/>
      <c r="AA1579" s="74"/>
      <c r="AB1579" s="74"/>
    </row>
    <row r="1580" spans="1:28" ht="12" customHeight="1">
      <c r="A1580" s="260"/>
      <c r="B1580" s="104"/>
      <c r="C1580" s="104"/>
      <c r="D1580" s="260"/>
      <c r="E1580" s="104"/>
      <c r="F1580" s="104"/>
      <c r="G1580" s="35"/>
      <c r="H1580" s="104"/>
      <c r="I1580" s="35"/>
      <c r="J1580" s="74"/>
      <c r="K1580" s="74"/>
      <c r="L1580" s="74"/>
      <c r="M1580" s="74"/>
      <c r="N1580" s="74"/>
      <c r="O1580" s="74"/>
      <c r="P1580" s="74"/>
      <c r="Q1580" s="74"/>
      <c r="R1580" s="74"/>
      <c r="S1580" s="74"/>
      <c r="T1580" s="74"/>
      <c r="U1580" s="74"/>
      <c r="V1580" s="74"/>
      <c r="W1580" s="74"/>
      <c r="X1580" s="74"/>
      <c r="Y1580" s="74"/>
      <c r="Z1580" s="74"/>
      <c r="AA1580" s="74"/>
      <c r="AB1580" s="74"/>
    </row>
    <row r="1581" spans="1:28" ht="12" customHeight="1">
      <c r="A1581" s="260"/>
      <c r="B1581" s="104"/>
      <c r="C1581" s="104"/>
      <c r="D1581" s="260"/>
      <c r="E1581" s="104"/>
      <c r="F1581" s="104"/>
      <c r="G1581" s="35"/>
      <c r="H1581" s="104"/>
      <c r="I1581" s="35"/>
      <c r="J1581" s="74"/>
      <c r="K1581" s="74"/>
      <c r="L1581" s="74"/>
      <c r="M1581" s="74"/>
      <c r="N1581" s="74"/>
      <c r="O1581" s="74"/>
      <c r="P1581" s="74"/>
      <c r="Q1581" s="74"/>
      <c r="R1581" s="74"/>
      <c r="S1581" s="74"/>
      <c r="T1581" s="74"/>
      <c r="U1581" s="74"/>
      <c r="V1581" s="74"/>
      <c r="W1581" s="74"/>
      <c r="X1581" s="74"/>
      <c r="Y1581" s="74"/>
      <c r="Z1581" s="74"/>
      <c r="AA1581" s="74"/>
      <c r="AB1581" s="74"/>
    </row>
    <row r="1582" spans="1:28" ht="12" customHeight="1">
      <c r="A1582" s="260"/>
      <c r="B1582" s="104"/>
      <c r="C1582" s="104"/>
      <c r="D1582" s="260"/>
      <c r="E1582" s="104"/>
      <c r="F1582" s="104"/>
      <c r="G1582" s="35"/>
      <c r="H1582" s="104"/>
      <c r="I1582" s="35"/>
      <c r="J1582" s="74"/>
      <c r="K1582" s="74"/>
      <c r="L1582" s="74"/>
      <c r="M1582" s="74"/>
      <c r="N1582" s="74"/>
      <c r="O1582" s="74"/>
      <c r="P1582" s="74"/>
      <c r="Q1582" s="74"/>
      <c r="R1582" s="74"/>
      <c r="S1582" s="74"/>
      <c r="T1582" s="74"/>
      <c r="U1582" s="74"/>
      <c r="V1582" s="74"/>
      <c r="W1582" s="74"/>
      <c r="X1582" s="74"/>
      <c r="Y1582" s="74"/>
      <c r="Z1582" s="74"/>
      <c r="AA1582" s="74"/>
      <c r="AB1582" s="74"/>
    </row>
    <row r="1583" spans="1:28" ht="12" customHeight="1">
      <c r="A1583" s="260"/>
      <c r="B1583" s="104"/>
      <c r="C1583" s="104"/>
      <c r="D1583" s="260"/>
      <c r="E1583" s="104"/>
      <c r="F1583" s="104"/>
      <c r="G1583" s="35"/>
      <c r="H1583" s="104"/>
      <c r="I1583" s="35"/>
      <c r="J1583" s="74"/>
      <c r="K1583" s="74"/>
      <c r="L1583" s="74"/>
      <c r="M1583" s="74"/>
      <c r="N1583" s="74"/>
      <c r="O1583" s="74"/>
      <c r="P1583" s="74"/>
      <c r="Q1583" s="74"/>
      <c r="R1583" s="74"/>
      <c r="S1583" s="74"/>
      <c r="T1583" s="74"/>
      <c r="U1583" s="74"/>
      <c r="V1583" s="74"/>
      <c r="W1583" s="74"/>
      <c r="X1583" s="74"/>
      <c r="Y1583" s="74"/>
      <c r="Z1583" s="74"/>
      <c r="AA1583" s="74"/>
      <c r="AB1583" s="74"/>
    </row>
    <row r="1584" spans="1:28" ht="12" customHeight="1">
      <c r="A1584" s="260"/>
      <c r="B1584" s="104"/>
      <c r="C1584" s="104"/>
      <c r="D1584" s="260"/>
      <c r="E1584" s="104"/>
      <c r="F1584" s="104"/>
      <c r="G1584" s="35"/>
      <c r="H1584" s="104"/>
      <c r="I1584" s="35"/>
      <c r="J1584" s="74"/>
      <c r="K1584" s="74"/>
      <c r="L1584" s="74"/>
      <c r="M1584" s="74"/>
      <c r="N1584" s="74"/>
      <c r="O1584" s="74"/>
      <c r="P1584" s="74"/>
      <c r="Q1584" s="74"/>
      <c r="R1584" s="74"/>
      <c r="S1584" s="74"/>
      <c r="T1584" s="74"/>
      <c r="U1584" s="74"/>
      <c r="V1584" s="74"/>
      <c r="W1584" s="74"/>
      <c r="X1584" s="74"/>
      <c r="Y1584" s="74"/>
      <c r="Z1584" s="74"/>
      <c r="AA1584" s="74"/>
      <c r="AB1584" s="74"/>
    </row>
    <row r="1585" spans="1:28" ht="12" customHeight="1">
      <c r="A1585" s="260"/>
      <c r="B1585" s="104"/>
      <c r="C1585" s="104"/>
      <c r="D1585" s="260"/>
      <c r="E1585" s="104"/>
      <c r="F1585" s="104"/>
      <c r="G1585" s="35"/>
      <c r="H1585" s="104"/>
      <c r="I1585" s="35"/>
      <c r="J1585" s="74"/>
      <c r="K1585" s="74"/>
      <c r="L1585" s="74"/>
      <c r="M1585" s="74"/>
      <c r="N1585" s="74"/>
      <c r="O1585" s="74"/>
      <c r="P1585" s="74"/>
      <c r="Q1585" s="74"/>
      <c r="R1585" s="74"/>
      <c r="S1585" s="74"/>
      <c r="T1585" s="74"/>
      <c r="U1585" s="74"/>
      <c r="V1585" s="74"/>
      <c r="W1585" s="74"/>
      <c r="X1585" s="74"/>
      <c r="Y1585" s="74"/>
      <c r="Z1585" s="74"/>
      <c r="AA1585" s="74"/>
      <c r="AB1585" s="74"/>
    </row>
    <row r="1586" spans="1:28" ht="12" customHeight="1">
      <c r="A1586" s="260"/>
      <c r="B1586" s="104"/>
      <c r="C1586" s="104"/>
      <c r="D1586" s="260"/>
      <c r="E1586" s="104"/>
      <c r="F1586" s="104"/>
      <c r="G1586" s="35"/>
      <c r="H1586" s="104"/>
      <c r="I1586" s="35"/>
      <c r="J1586" s="74"/>
      <c r="K1586" s="74"/>
      <c r="L1586" s="74"/>
      <c r="M1586" s="74"/>
      <c r="N1586" s="74"/>
      <c r="O1586" s="74"/>
      <c r="P1586" s="74"/>
      <c r="Q1586" s="74"/>
      <c r="R1586" s="74"/>
      <c r="S1586" s="74"/>
      <c r="T1586" s="74"/>
      <c r="U1586" s="74"/>
      <c r="V1586" s="74"/>
      <c r="W1586" s="74"/>
      <c r="X1586" s="74"/>
      <c r="Y1586" s="74"/>
      <c r="Z1586" s="74"/>
      <c r="AA1586" s="74"/>
      <c r="AB1586" s="74"/>
    </row>
    <row r="1587" spans="1:28" ht="12" customHeight="1">
      <c r="A1587" s="260"/>
      <c r="B1587" s="104"/>
      <c r="C1587" s="104"/>
      <c r="D1587" s="260"/>
      <c r="E1587" s="104"/>
      <c r="F1587" s="104"/>
      <c r="G1587" s="35"/>
      <c r="H1587" s="104"/>
      <c r="I1587" s="35"/>
      <c r="J1587" s="74"/>
      <c r="K1587" s="74"/>
      <c r="L1587" s="74"/>
      <c r="M1587" s="74"/>
      <c r="N1587" s="74"/>
      <c r="O1587" s="74"/>
      <c r="P1587" s="74"/>
      <c r="Q1587" s="74"/>
      <c r="R1587" s="74"/>
      <c r="S1587" s="74"/>
      <c r="T1587" s="74"/>
      <c r="U1587" s="74"/>
      <c r="V1587" s="74"/>
      <c r="W1587" s="74"/>
      <c r="X1587" s="74"/>
      <c r="Y1587" s="74"/>
      <c r="Z1587" s="74"/>
      <c r="AA1587" s="74"/>
      <c r="AB1587" s="74"/>
    </row>
    <row r="1588" spans="1:28" ht="12" customHeight="1">
      <c r="A1588" s="260"/>
      <c r="B1588" s="104"/>
      <c r="C1588" s="104"/>
      <c r="D1588" s="260"/>
      <c r="E1588" s="104"/>
      <c r="F1588" s="104"/>
      <c r="G1588" s="35"/>
      <c r="H1588" s="104"/>
      <c r="I1588" s="35"/>
      <c r="J1588" s="74"/>
      <c r="K1588" s="74"/>
      <c r="L1588" s="74"/>
      <c r="M1588" s="74"/>
      <c r="N1588" s="74"/>
      <c r="O1588" s="74"/>
      <c r="P1588" s="74"/>
      <c r="Q1588" s="74"/>
      <c r="R1588" s="74"/>
      <c r="S1588" s="74"/>
      <c r="T1588" s="74"/>
      <c r="U1588" s="74"/>
      <c r="V1588" s="74"/>
      <c r="W1588" s="74"/>
      <c r="X1588" s="74"/>
      <c r="Y1588" s="74"/>
      <c r="Z1588" s="74"/>
      <c r="AA1588" s="74"/>
      <c r="AB1588" s="74"/>
    </row>
    <row r="1589" spans="1:28" ht="12" customHeight="1">
      <c r="A1589" s="260"/>
      <c r="B1589" s="104"/>
      <c r="C1589" s="104"/>
      <c r="D1589" s="260"/>
      <c r="E1589" s="104"/>
      <c r="F1589" s="104"/>
      <c r="G1589" s="35"/>
      <c r="H1589" s="104"/>
      <c r="I1589" s="35"/>
      <c r="J1589" s="74"/>
      <c r="K1589" s="74"/>
      <c r="L1589" s="74"/>
      <c r="M1589" s="74"/>
      <c r="N1589" s="74"/>
      <c r="O1589" s="74"/>
      <c r="P1589" s="74"/>
      <c r="Q1589" s="74"/>
      <c r="R1589" s="74"/>
      <c r="S1589" s="74"/>
      <c r="T1589" s="74"/>
      <c r="U1589" s="74"/>
      <c r="V1589" s="74"/>
      <c r="W1589" s="74"/>
      <c r="X1589" s="74"/>
      <c r="Y1589" s="74"/>
      <c r="Z1589" s="74"/>
      <c r="AA1589" s="74"/>
      <c r="AB1589" s="74"/>
    </row>
    <row r="1590" spans="1:28" ht="12" customHeight="1">
      <c r="A1590" s="260"/>
      <c r="B1590" s="104"/>
      <c r="C1590" s="104"/>
      <c r="D1590" s="260"/>
      <c r="E1590" s="104"/>
      <c r="F1590" s="104"/>
      <c r="G1590" s="35"/>
      <c r="H1590" s="104"/>
      <c r="I1590" s="35"/>
      <c r="J1590" s="74"/>
      <c r="K1590" s="74"/>
      <c r="L1590" s="74"/>
      <c r="M1590" s="74"/>
      <c r="N1590" s="74"/>
      <c r="O1590" s="74"/>
      <c r="P1590" s="74"/>
      <c r="Q1590" s="74"/>
      <c r="R1590" s="74"/>
      <c r="S1590" s="74"/>
      <c r="T1590" s="74"/>
      <c r="U1590" s="74"/>
      <c r="V1590" s="74"/>
      <c r="W1590" s="74"/>
      <c r="X1590" s="74"/>
      <c r="Y1590" s="74"/>
      <c r="Z1590" s="74"/>
      <c r="AA1590" s="74"/>
      <c r="AB1590" s="74"/>
    </row>
    <row r="1591" spans="1:28" ht="12" customHeight="1">
      <c r="A1591" s="260"/>
      <c r="B1591" s="104"/>
      <c r="C1591" s="104"/>
      <c r="D1591" s="260"/>
      <c r="E1591" s="104"/>
      <c r="F1591" s="104"/>
      <c r="G1591" s="35"/>
      <c r="H1591" s="104"/>
      <c r="I1591" s="35"/>
      <c r="J1591" s="74"/>
      <c r="K1591" s="74"/>
      <c r="L1591" s="74"/>
      <c r="M1591" s="74"/>
      <c r="N1591" s="74"/>
      <c r="O1591" s="74"/>
      <c r="P1591" s="74"/>
      <c r="Q1591" s="74"/>
      <c r="R1591" s="74"/>
      <c r="S1591" s="74"/>
      <c r="T1591" s="74"/>
      <c r="U1591" s="74"/>
      <c r="V1591" s="74"/>
      <c r="W1591" s="74"/>
      <c r="X1591" s="74"/>
      <c r="Y1591" s="74"/>
      <c r="Z1591" s="74"/>
      <c r="AA1591" s="74"/>
      <c r="AB1591" s="74"/>
    </row>
    <row r="1592" spans="1:28" ht="12" customHeight="1">
      <c r="A1592" s="260"/>
      <c r="B1592" s="104"/>
      <c r="C1592" s="104"/>
      <c r="D1592" s="260"/>
      <c r="E1592" s="104"/>
      <c r="F1592" s="104"/>
      <c r="G1592" s="35"/>
      <c r="H1592" s="104"/>
      <c r="I1592" s="35"/>
      <c r="J1592" s="74"/>
      <c r="K1592" s="74"/>
      <c r="L1592" s="74"/>
      <c r="M1592" s="74"/>
      <c r="N1592" s="74"/>
      <c r="O1592" s="74"/>
      <c r="P1592" s="74"/>
      <c r="Q1592" s="74"/>
      <c r="R1592" s="74"/>
      <c r="S1592" s="74"/>
      <c r="T1592" s="74"/>
      <c r="U1592" s="74"/>
      <c r="V1592" s="74"/>
      <c r="W1592" s="74"/>
      <c r="X1592" s="74"/>
      <c r="Y1592" s="74"/>
      <c r="Z1592" s="74"/>
      <c r="AA1592" s="74"/>
      <c r="AB1592" s="74"/>
    </row>
    <row r="1593" spans="1:28" ht="12" customHeight="1">
      <c r="A1593" s="260"/>
      <c r="B1593" s="104"/>
      <c r="C1593" s="104"/>
      <c r="D1593" s="260"/>
      <c r="E1593" s="104"/>
      <c r="F1593" s="104"/>
      <c r="G1593" s="35"/>
      <c r="H1593" s="104"/>
      <c r="I1593" s="35"/>
      <c r="J1593" s="74"/>
      <c r="K1593" s="74"/>
      <c r="L1593" s="74"/>
      <c r="M1593" s="74"/>
      <c r="N1593" s="74"/>
      <c r="O1593" s="74"/>
      <c r="P1593" s="74"/>
      <c r="Q1593" s="74"/>
      <c r="R1593" s="74"/>
      <c r="S1593" s="74"/>
      <c r="T1593" s="74"/>
      <c r="U1593" s="74"/>
      <c r="V1593" s="74"/>
      <c r="W1593" s="74"/>
      <c r="X1593" s="74"/>
      <c r="Y1593" s="74"/>
      <c r="Z1593" s="74"/>
      <c r="AA1593" s="74"/>
      <c r="AB1593" s="74"/>
    </row>
    <row r="1594" spans="1:28" ht="12" customHeight="1">
      <c r="A1594" s="260"/>
      <c r="B1594" s="104"/>
      <c r="C1594" s="104"/>
      <c r="D1594" s="260"/>
      <c r="E1594" s="104"/>
      <c r="F1594" s="104"/>
      <c r="G1594" s="35"/>
      <c r="H1594" s="104"/>
      <c r="I1594" s="35"/>
      <c r="J1594" s="74"/>
      <c r="K1594" s="74"/>
      <c r="L1594" s="74"/>
      <c r="M1594" s="74"/>
      <c r="N1594" s="74"/>
      <c r="O1594" s="74"/>
      <c r="P1594" s="74"/>
      <c r="Q1594" s="74"/>
      <c r="R1594" s="74"/>
      <c r="S1594" s="74"/>
      <c r="T1594" s="74"/>
      <c r="U1594" s="74"/>
      <c r="V1594" s="74"/>
      <c r="W1594" s="74"/>
      <c r="X1594" s="74"/>
      <c r="Y1594" s="74"/>
      <c r="Z1594" s="74"/>
      <c r="AA1594" s="74"/>
      <c r="AB1594" s="74"/>
    </row>
    <row r="1595" spans="1:28" ht="12" customHeight="1">
      <c r="A1595" s="260"/>
      <c r="B1595" s="104"/>
      <c r="C1595" s="104"/>
      <c r="D1595" s="260"/>
      <c r="E1595" s="104"/>
      <c r="F1595" s="104"/>
      <c r="G1595" s="35"/>
      <c r="H1595" s="104"/>
      <c r="I1595" s="35"/>
      <c r="J1595" s="74"/>
      <c r="K1595" s="74"/>
      <c r="L1595" s="74"/>
      <c r="M1595" s="74"/>
      <c r="N1595" s="74"/>
      <c r="O1595" s="74"/>
      <c r="P1595" s="74"/>
      <c r="Q1595" s="74"/>
      <c r="R1595" s="74"/>
      <c r="S1595" s="74"/>
      <c r="T1595" s="74"/>
      <c r="U1595" s="74"/>
      <c r="V1595" s="74"/>
      <c r="W1595" s="74"/>
      <c r="X1595" s="74"/>
      <c r="Y1595" s="74"/>
      <c r="Z1595" s="74"/>
      <c r="AA1595" s="74"/>
      <c r="AB1595" s="74"/>
    </row>
    <row r="1596" spans="1:28" ht="12" customHeight="1">
      <c r="A1596" s="260"/>
      <c r="B1596" s="104"/>
      <c r="C1596" s="104"/>
      <c r="D1596" s="260"/>
      <c r="E1596" s="104"/>
      <c r="F1596" s="104"/>
      <c r="G1596" s="35"/>
      <c r="H1596" s="104"/>
      <c r="I1596" s="35"/>
      <c r="J1596" s="74"/>
      <c r="K1596" s="74"/>
      <c r="L1596" s="74"/>
      <c r="M1596" s="74"/>
      <c r="N1596" s="74"/>
      <c r="O1596" s="74"/>
      <c r="P1596" s="74"/>
      <c r="Q1596" s="74"/>
      <c r="R1596" s="74"/>
      <c r="S1596" s="74"/>
      <c r="T1596" s="74"/>
      <c r="U1596" s="74"/>
      <c r="V1596" s="74"/>
      <c r="W1596" s="74"/>
      <c r="X1596" s="74"/>
      <c r="Y1596" s="74"/>
      <c r="Z1596" s="74"/>
      <c r="AA1596" s="74"/>
      <c r="AB1596" s="74"/>
    </row>
    <row r="1597" spans="1:28" ht="12" customHeight="1">
      <c r="A1597" s="260"/>
      <c r="B1597" s="104"/>
      <c r="C1597" s="104"/>
      <c r="D1597" s="260"/>
      <c r="E1597" s="104"/>
      <c r="F1597" s="104"/>
      <c r="G1597" s="35"/>
      <c r="H1597" s="104"/>
      <c r="I1597" s="35"/>
      <c r="J1597" s="74"/>
      <c r="K1597" s="74"/>
      <c r="L1597" s="74"/>
      <c r="M1597" s="74"/>
      <c r="N1597" s="74"/>
      <c r="O1597" s="74"/>
      <c r="P1597" s="74"/>
      <c r="Q1597" s="74"/>
      <c r="R1597" s="74"/>
      <c r="S1597" s="74"/>
      <c r="T1597" s="74"/>
      <c r="U1597" s="74"/>
      <c r="V1597" s="74"/>
      <c r="W1597" s="74"/>
      <c r="X1597" s="74"/>
      <c r="Y1597" s="74"/>
      <c r="Z1597" s="74"/>
      <c r="AA1597" s="74"/>
      <c r="AB1597" s="74"/>
    </row>
    <row r="1598" spans="1:28" ht="12" customHeight="1">
      <c r="A1598" s="260"/>
      <c r="B1598" s="104"/>
      <c r="C1598" s="104"/>
      <c r="D1598" s="260"/>
      <c r="E1598" s="104"/>
      <c r="F1598" s="104"/>
      <c r="G1598" s="35"/>
      <c r="H1598" s="104"/>
      <c r="I1598" s="35"/>
      <c r="J1598" s="74"/>
      <c r="K1598" s="74"/>
      <c r="L1598" s="74"/>
      <c r="M1598" s="74"/>
      <c r="N1598" s="74"/>
      <c r="O1598" s="74"/>
      <c r="P1598" s="74"/>
      <c r="Q1598" s="74"/>
      <c r="R1598" s="74"/>
      <c r="S1598" s="74"/>
      <c r="T1598" s="74"/>
      <c r="U1598" s="74"/>
      <c r="V1598" s="74"/>
      <c r="W1598" s="74"/>
      <c r="X1598" s="74"/>
      <c r="Y1598" s="74"/>
      <c r="Z1598" s="74"/>
      <c r="AA1598" s="74"/>
      <c r="AB1598" s="74"/>
    </row>
    <row r="1599" spans="1:28" ht="12" customHeight="1">
      <c r="A1599" s="260"/>
      <c r="B1599" s="104"/>
      <c r="C1599" s="104"/>
      <c r="D1599" s="260"/>
      <c r="E1599" s="104"/>
      <c r="F1599" s="104"/>
      <c r="G1599" s="35"/>
      <c r="H1599" s="104"/>
      <c r="I1599" s="35"/>
      <c r="J1599" s="74"/>
      <c r="K1599" s="74"/>
      <c r="L1599" s="74"/>
      <c r="M1599" s="74"/>
      <c r="N1599" s="74"/>
      <c r="O1599" s="74"/>
      <c r="P1599" s="74"/>
      <c r="Q1599" s="74"/>
      <c r="R1599" s="74"/>
      <c r="S1599" s="74"/>
      <c r="T1599" s="74"/>
      <c r="U1599" s="74"/>
      <c r="V1599" s="74"/>
      <c r="W1599" s="74"/>
      <c r="X1599" s="74"/>
      <c r="Y1599" s="74"/>
      <c r="Z1599" s="74"/>
      <c r="AA1599" s="74"/>
      <c r="AB1599" s="74"/>
    </row>
    <row r="1600" spans="1:28" ht="12" customHeight="1">
      <c r="A1600" s="260"/>
      <c r="B1600" s="104"/>
      <c r="C1600" s="104"/>
      <c r="D1600" s="260"/>
      <c r="E1600" s="104"/>
      <c r="F1600" s="104"/>
      <c r="G1600" s="35"/>
      <c r="H1600" s="104"/>
      <c r="I1600" s="35"/>
      <c r="J1600" s="74"/>
      <c r="K1600" s="74"/>
      <c r="L1600" s="74"/>
      <c r="M1600" s="74"/>
      <c r="N1600" s="74"/>
      <c r="O1600" s="74"/>
      <c r="P1600" s="74"/>
      <c r="Q1600" s="74"/>
      <c r="R1600" s="74"/>
      <c r="S1600" s="74"/>
      <c r="T1600" s="74"/>
      <c r="U1600" s="74"/>
      <c r="V1600" s="74"/>
      <c r="W1600" s="74"/>
      <c r="X1600" s="74"/>
      <c r="Y1600" s="74"/>
      <c r="Z1600" s="74"/>
      <c r="AA1600" s="74"/>
      <c r="AB1600" s="74"/>
    </row>
    <row r="1601" spans="1:28" ht="12" customHeight="1">
      <c r="A1601" s="260"/>
      <c r="B1601" s="104"/>
      <c r="C1601" s="104"/>
      <c r="D1601" s="260"/>
      <c r="E1601" s="104"/>
      <c r="F1601" s="104"/>
      <c r="G1601" s="35"/>
      <c r="H1601" s="104"/>
      <c r="I1601" s="35"/>
      <c r="J1601" s="74"/>
      <c r="K1601" s="74"/>
      <c r="L1601" s="74"/>
      <c r="M1601" s="74"/>
      <c r="N1601" s="74"/>
      <c r="O1601" s="74"/>
      <c r="P1601" s="74"/>
      <c r="Q1601" s="74"/>
      <c r="R1601" s="74"/>
      <c r="S1601" s="74"/>
      <c r="T1601" s="74"/>
      <c r="U1601" s="74"/>
      <c r="V1601" s="74"/>
      <c r="W1601" s="74"/>
      <c r="X1601" s="74"/>
      <c r="Y1601" s="74"/>
      <c r="Z1601" s="74"/>
      <c r="AA1601" s="74"/>
      <c r="AB1601" s="74"/>
    </row>
    <row r="1602" spans="1:28" ht="12" customHeight="1">
      <c r="A1602" s="260"/>
      <c r="B1602" s="104"/>
      <c r="C1602" s="104"/>
      <c r="D1602" s="260"/>
      <c r="E1602" s="104"/>
      <c r="F1602" s="104"/>
      <c r="G1602" s="35"/>
      <c r="H1602" s="104"/>
      <c r="I1602" s="35"/>
      <c r="J1602" s="74"/>
      <c r="K1602" s="74"/>
      <c r="L1602" s="74"/>
      <c r="M1602" s="74"/>
      <c r="N1602" s="74"/>
      <c r="O1602" s="74"/>
      <c r="P1602" s="74"/>
      <c r="Q1602" s="74"/>
      <c r="R1602" s="74"/>
      <c r="S1602" s="74"/>
      <c r="T1602" s="74"/>
      <c r="U1602" s="74"/>
      <c r="V1602" s="74"/>
      <c r="W1602" s="74"/>
      <c r="X1602" s="74"/>
      <c r="Y1602" s="74"/>
      <c r="Z1602" s="74"/>
      <c r="AA1602" s="74"/>
      <c r="AB1602" s="74"/>
    </row>
    <row r="1603" spans="1:28" ht="12" customHeight="1">
      <c r="A1603" s="260"/>
      <c r="B1603" s="104"/>
      <c r="C1603" s="104"/>
      <c r="D1603" s="260"/>
      <c r="E1603" s="104"/>
      <c r="F1603" s="104"/>
      <c r="G1603" s="35"/>
      <c r="H1603" s="104"/>
      <c r="I1603" s="35"/>
      <c r="J1603" s="74"/>
      <c r="K1603" s="74"/>
      <c r="L1603" s="74"/>
      <c r="M1603" s="74"/>
      <c r="N1603" s="74"/>
      <c r="O1603" s="74"/>
      <c r="P1603" s="74"/>
      <c r="Q1603" s="74"/>
      <c r="R1603" s="74"/>
      <c r="S1603" s="74"/>
      <c r="T1603" s="74"/>
      <c r="U1603" s="74"/>
      <c r="V1603" s="74"/>
      <c r="W1603" s="74"/>
      <c r="X1603" s="74"/>
      <c r="Y1603" s="74"/>
      <c r="Z1603" s="74"/>
      <c r="AA1603" s="74"/>
      <c r="AB1603" s="74"/>
    </row>
    <row r="1604" spans="1:28" ht="12" customHeight="1">
      <c r="A1604" s="260"/>
      <c r="B1604" s="104"/>
      <c r="C1604" s="104"/>
      <c r="D1604" s="260"/>
      <c r="E1604" s="104"/>
      <c r="F1604" s="104"/>
      <c r="G1604" s="35"/>
      <c r="H1604" s="104"/>
      <c r="I1604" s="35"/>
      <c r="J1604" s="74"/>
      <c r="K1604" s="74"/>
      <c r="L1604" s="74"/>
      <c r="M1604" s="74"/>
      <c r="N1604" s="74"/>
      <c r="O1604" s="74"/>
      <c r="P1604" s="74"/>
      <c r="Q1604" s="74"/>
      <c r="R1604" s="74"/>
      <c r="S1604" s="74"/>
      <c r="T1604" s="74"/>
      <c r="U1604" s="74"/>
      <c r="V1604" s="74"/>
      <c r="W1604" s="74"/>
      <c r="X1604" s="74"/>
      <c r="Y1604" s="74"/>
      <c r="Z1604" s="74"/>
      <c r="AA1604" s="74"/>
      <c r="AB1604" s="74"/>
    </row>
    <row r="1605" spans="1:28" ht="12" customHeight="1">
      <c r="A1605" s="260"/>
      <c r="B1605" s="104"/>
      <c r="C1605" s="104"/>
      <c r="D1605" s="260"/>
      <c r="E1605" s="104"/>
      <c r="F1605" s="104"/>
      <c r="G1605" s="35"/>
      <c r="H1605" s="104"/>
      <c r="I1605" s="35"/>
      <c r="J1605" s="74"/>
      <c r="K1605" s="74"/>
      <c r="L1605" s="74"/>
      <c r="M1605" s="74"/>
      <c r="N1605" s="74"/>
      <c r="O1605" s="74"/>
      <c r="P1605" s="74"/>
      <c r="Q1605" s="74"/>
      <c r="R1605" s="74"/>
      <c r="S1605" s="74"/>
      <c r="T1605" s="74"/>
      <c r="U1605" s="74"/>
      <c r="V1605" s="74"/>
      <c r="W1605" s="74"/>
      <c r="X1605" s="74"/>
      <c r="Y1605" s="74"/>
      <c r="Z1605" s="74"/>
      <c r="AA1605" s="74"/>
      <c r="AB1605" s="74"/>
    </row>
    <row r="1606" spans="1:28" ht="12" customHeight="1">
      <c r="A1606" s="260"/>
      <c r="B1606" s="104"/>
      <c r="C1606" s="104"/>
      <c r="D1606" s="260"/>
      <c r="E1606" s="104"/>
      <c r="F1606" s="104"/>
      <c r="G1606" s="35"/>
      <c r="H1606" s="104"/>
      <c r="I1606" s="35"/>
      <c r="J1606" s="74"/>
      <c r="K1606" s="74"/>
      <c r="L1606" s="74"/>
      <c r="M1606" s="74"/>
      <c r="N1606" s="74"/>
      <c r="O1606" s="74"/>
      <c r="P1606" s="74"/>
      <c r="Q1606" s="74"/>
      <c r="R1606" s="74"/>
      <c r="S1606" s="74"/>
      <c r="T1606" s="74"/>
      <c r="U1606" s="74"/>
      <c r="V1606" s="74"/>
      <c r="W1606" s="74"/>
      <c r="X1606" s="74"/>
      <c r="Y1606" s="74"/>
      <c r="Z1606" s="74"/>
      <c r="AA1606" s="74"/>
      <c r="AB1606" s="74"/>
    </row>
    <row r="1607" spans="1:28" ht="12" customHeight="1">
      <c r="A1607" s="260"/>
      <c r="B1607" s="104"/>
      <c r="C1607" s="104"/>
      <c r="D1607" s="260"/>
      <c r="E1607" s="104"/>
      <c r="F1607" s="104"/>
      <c r="G1607" s="35"/>
      <c r="H1607" s="104"/>
      <c r="I1607" s="35"/>
      <c r="J1607" s="74"/>
      <c r="K1607" s="74"/>
      <c r="L1607" s="74"/>
      <c r="M1607" s="74"/>
      <c r="N1607" s="74"/>
      <c r="O1607" s="74"/>
      <c r="P1607" s="74"/>
      <c r="Q1607" s="74"/>
      <c r="R1607" s="74"/>
      <c r="S1607" s="74"/>
      <c r="T1607" s="74"/>
      <c r="U1607" s="74"/>
      <c r="V1607" s="74"/>
      <c r="W1607" s="74"/>
      <c r="X1607" s="74"/>
      <c r="Y1607" s="74"/>
      <c r="Z1607" s="74"/>
      <c r="AA1607" s="74"/>
      <c r="AB1607" s="74"/>
    </row>
    <row r="1608" spans="1:28" ht="12" customHeight="1">
      <c r="A1608" s="260"/>
      <c r="B1608" s="104"/>
      <c r="C1608" s="104"/>
      <c r="D1608" s="260"/>
      <c r="E1608" s="104"/>
      <c r="F1608" s="104"/>
      <c r="G1608" s="35"/>
      <c r="H1608" s="104"/>
      <c r="I1608" s="35"/>
      <c r="J1608" s="74"/>
      <c r="K1608" s="74"/>
      <c r="L1608" s="74"/>
      <c r="M1608" s="74"/>
      <c r="N1608" s="74"/>
      <c r="O1608" s="74"/>
      <c r="P1608" s="74"/>
      <c r="Q1608" s="74"/>
      <c r="R1608" s="74"/>
      <c r="S1608" s="74"/>
      <c r="T1608" s="74"/>
      <c r="U1608" s="74"/>
      <c r="V1608" s="74"/>
      <c r="W1608" s="74"/>
      <c r="X1608" s="74"/>
      <c r="Y1608" s="74"/>
      <c r="Z1608" s="74"/>
      <c r="AA1608" s="74"/>
      <c r="AB1608" s="74"/>
    </row>
    <row r="1609" spans="1:28" ht="12" customHeight="1">
      <c r="A1609" s="260"/>
      <c r="B1609" s="104"/>
      <c r="C1609" s="104"/>
      <c r="D1609" s="260"/>
      <c r="E1609" s="104"/>
      <c r="F1609" s="104"/>
      <c r="G1609" s="35"/>
      <c r="H1609" s="104"/>
      <c r="I1609" s="35"/>
      <c r="J1609" s="74"/>
      <c r="K1609" s="74"/>
      <c r="L1609" s="74"/>
      <c r="M1609" s="74"/>
      <c r="N1609" s="74"/>
      <c r="O1609" s="74"/>
      <c r="P1609" s="74"/>
      <c r="Q1609" s="74"/>
      <c r="R1609" s="74"/>
      <c r="S1609" s="74"/>
      <c r="T1609" s="74"/>
      <c r="U1609" s="74"/>
      <c r="V1609" s="74"/>
      <c r="W1609" s="74"/>
      <c r="X1609" s="74"/>
      <c r="Y1609" s="74"/>
      <c r="Z1609" s="74"/>
      <c r="AA1609" s="74"/>
      <c r="AB1609" s="74"/>
    </row>
    <row r="1610" spans="1:28" ht="12" customHeight="1">
      <c r="A1610" s="260"/>
      <c r="B1610" s="104"/>
      <c r="C1610" s="104"/>
      <c r="D1610" s="260"/>
      <c r="E1610" s="104"/>
      <c r="F1610" s="104"/>
      <c r="G1610" s="35"/>
      <c r="H1610" s="104"/>
      <c r="I1610" s="35"/>
      <c r="J1610" s="74"/>
      <c r="K1610" s="74"/>
      <c r="L1610" s="74"/>
      <c r="M1610" s="74"/>
      <c r="N1610" s="74"/>
      <c r="O1610" s="74"/>
      <c r="P1610" s="74"/>
      <c r="Q1610" s="74"/>
      <c r="R1610" s="74"/>
      <c r="S1610" s="74"/>
      <c r="T1610" s="74"/>
      <c r="U1610" s="74"/>
      <c r="V1610" s="74"/>
      <c r="W1610" s="74"/>
      <c r="X1610" s="74"/>
      <c r="Y1610" s="74"/>
      <c r="Z1610" s="74"/>
      <c r="AA1610" s="74"/>
      <c r="AB1610" s="74"/>
    </row>
    <row r="1611" spans="1:28" ht="12" customHeight="1">
      <c r="A1611" s="260"/>
      <c r="B1611" s="104"/>
      <c r="C1611" s="104"/>
      <c r="D1611" s="260"/>
      <c r="E1611" s="104"/>
      <c r="F1611" s="104"/>
      <c r="G1611" s="35"/>
      <c r="H1611" s="104"/>
      <c r="I1611" s="35"/>
      <c r="J1611" s="74"/>
      <c r="K1611" s="74"/>
      <c r="L1611" s="74"/>
      <c r="M1611" s="74"/>
      <c r="N1611" s="74"/>
      <c r="O1611" s="74"/>
      <c r="P1611" s="74"/>
      <c r="Q1611" s="74"/>
      <c r="R1611" s="74"/>
      <c r="S1611" s="74"/>
      <c r="T1611" s="74"/>
      <c r="U1611" s="74"/>
      <c r="V1611" s="74"/>
      <c r="W1611" s="74"/>
      <c r="X1611" s="74"/>
      <c r="Y1611" s="74"/>
      <c r="Z1611" s="74"/>
      <c r="AA1611" s="74"/>
      <c r="AB1611" s="74"/>
    </row>
    <row r="1612" spans="1:28" ht="12" customHeight="1">
      <c r="A1612" s="260"/>
      <c r="B1612" s="104"/>
      <c r="C1612" s="104"/>
      <c r="D1612" s="260"/>
      <c r="E1612" s="104"/>
      <c r="F1612" s="104"/>
      <c r="G1612" s="35"/>
      <c r="H1612" s="104"/>
      <c r="I1612" s="35"/>
      <c r="J1612" s="74"/>
      <c r="K1612" s="74"/>
      <c r="L1612" s="74"/>
      <c r="M1612" s="74"/>
      <c r="N1612" s="74"/>
      <c r="O1612" s="74"/>
      <c r="P1612" s="74"/>
      <c r="Q1612" s="74"/>
      <c r="R1612" s="74"/>
      <c r="S1612" s="74"/>
      <c r="T1612" s="74"/>
      <c r="U1612" s="74"/>
      <c r="V1612" s="74"/>
      <c r="W1612" s="74"/>
      <c r="X1612" s="74"/>
      <c r="Y1612" s="74"/>
      <c r="Z1612" s="74"/>
      <c r="AA1612" s="74"/>
      <c r="AB1612" s="74"/>
    </row>
    <row r="1613" spans="1:28" ht="12" customHeight="1">
      <c r="A1613" s="260"/>
      <c r="B1613" s="104"/>
      <c r="C1613" s="104"/>
      <c r="D1613" s="260"/>
      <c r="E1613" s="104"/>
      <c r="F1613" s="104"/>
      <c r="G1613" s="35"/>
      <c r="H1613" s="104"/>
      <c r="I1613" s="35"/>
      <c r="J1613" s="74"/>
      <c r="K1613" s="74"/>
      <c r="L1613" s="74"/>
      <c r="M1613" s="74"/>
      <c r="N1613" s="74"/>
      <c r="O1613" s="74"/>
      <c r="P1613" s="74"/>
      <c r="Q1613" s="74"/>
      <c r="R1613" s="74"/>
      <c r="S1613" s="74"/>
      <c r="T1613" s="74"/>
      <c r="U1613" s="74"/>
      <c r="V1613" s="74"/>
      <c r="W1613" s="74"/>
      <c r="X1613" s="74"/>
      <c r="Y1613" s="74"/>
      <c r="Z1613" s="74"/>
      <c r="AA1613" s="74"/>
      <c r="AB1613" s="74"/>
    </row>
    <row r="1614" spans="1:28" ht="12" customHeight="1">
      <c r="A1614" s="260"/>
      <c r="B1614" s="104"/>
      <c r="C1614" s="104"/>
      <c r="D1614" s="260"/>
      <c r="E1614" s="104"/>
      <c r="F1614" s="104"/>
      <c r="G1614" s="35"/>
      <c r="H1614" s="104"/>
      <c r="I1614" s="35"/>
      <c r="J1614" s="74"/>
      <c r="K1614" s="74"/>
      <c r="L1614" s="74"/>
      <c r="M1614" s="74"/>
      <c r="N1614" s="74"/>
      <c r="O1614" s="74"/>
      <c r="P1614" s="74"/>
      <c r="Q1614" s="74"/>
      <c r="R1614" s="74"/>
      <c r="S1614" s="74"/>
      <c r="T1614" s="74"/>
      <c r="U1614" s="74"/>
      <c r="V1614" s="74"/>
      <c r="W1614" s="74"/>
      <c r="X1614" s="74"/>
      <c r="Y1614" s="74"/>
      <c r="Z1614" s="74"/>
      <c r="AA1614" s="74"/>
      <c r="AB1614" s="74"/>
    </row>
    <row r="1615" spans="1:28" ht="12" customHeight="1">
      <c r="A1615" s="260"/>
      <c r="B1615" s="104"/>
      <c r="C1615" s="104"/>
      <c r="D1615" s="260"/>
      <c r="E1615" s="104"/>
      <c r="F1615" s="104"/>
      <c r="G1615" s="35"/>
      <c r="H1615" s="104"/>
      <c r="I1615" s="35"/>
      <c r="J1615" s="74"/>
      <c r="K1615" s="74"/>
      <c r="L1615" s="74"/>
      <c r="M1615" s="74"/>
      <c r="N1615" s="74"/>
      <c r="O1615" s="74"/>
      <c r="P1615" s="74"/>
      <c r="Q1615" s="74"/>
      <c r="R1615" s="74"/>
      <c r="S1615" s="74"/>
      <c r="T1615" s="74"/>
      <c r="U1615" s="74"/>
      <c r="V1615" s="74"/>
      <c r="W1615" s="74"/>
      <c r="X1615" s="74"/>
      <c r="Y1615" s="74"/>
      <c r="Z1615" s="74"/>
      <c r="AA1615" s="74"/>
      <c r="AB1615" s="74"/>
    </row>
    <row r="1616" spans="1:28" ht="12" customHeight="1">
      <c r="A1616" s="260"/>
      <c r="B1616" s="104"/>
      <c r="C1616" s="104"/>
      <c r="D1616" s="260"/>
      <c r="E1616" s="104"/>
      <c r="F1616" s="104"/>
      <c r="G1616" s="35"/>
      <c r="H1616" s="104"/>
      <c r="I1616" s="35"/>
      <c r="J1616" s="74"/>
      <c r="K1616" s="74"/>
      <c r="L1616" s="74"/>
      <c r="M1616" s="74"/>
      <c r="N1616" s="74"/>
      <c r="O1616" s="74"/>
      <c r="P1616" s="74"/>
      <c r="Q1616" s="74"/>
      <c r="R1616" s="74"/>
      <c r="S1616" s="74"/>
      <c r="T1616" s="74"/>
      <c r="U1616" s="74"/>
      <c r="V1616" s="74"/>
      <c r="W1616" s="74"/>
      <c r="X1616" s="74"/>
      <c r="Y1616" s="74"/>
      <c r="Z1616" s="74"/>
      <c r="AA1616" s="74"/>
      <c r="AB1616" s="74"/>
    </row>
    <row r="1617" spans="1:28" ht="12" customHeight="1">
      <c r="A1617" s="260"/>
      <c r="B1617" s="104"/>
      <c r="C1617" s="104"/>
      <c r="D1617" s="260"/>
      <c r="E1617" s="104"/>
      <c r="F1617" s="104"/>
      <c r="G1617" s="35"/>
      <c r="H1617" s="104"/>
      <c r="I1617" s="35"/>
      <c r="J1617" s="74"/>
      <c r="K1617" s="74"/>
      <c r="L1617" s="74"/>
      <c r="M1617" s="74"/>
      <c r="N1617" s="74"/>
      <c r="O1617" s="74"/>
      <c r="P1617" s="74"/>
      <c r="Q1617" s="74"/>
      <c r="R1617" s="74"/>
      <c r="S1617" s="74"/>
      <c r="T1617" s="74"/>
      <c r="U1617" s="74"/>
      <c r="V1617" s="74"/>
      <c r="W1617" s="74"/>
      <c r="X1617" s="74"/>
      <c r="Y1617" s="74"/>
      <c r="Z1617" s="74"/>
      <c r="AA1617" s="74"/>
      <c r="AB1617" s="74"/>
    </row>
    <row r="1618" spans="1:28" ht="12" customHeight="1">
      <c r="A1618" s="260"/>
      <c r="B1618" s="104"/>
      <c r="C1618" s="104"/>
      <c r="D1618" s="260"/>
      <c r="E1618" s="104"/>
      <c r="F1618" s="104"/>
      <c r="G1618" s="35"/>
      <c r="H1618" s="104"/>
      <c r="I1618" s="35"/>
      <c r="J1618" s="74"/>
      <c r="K1618" s="74"/>
      <c r="L1618" s="74"/>
      <c r="M1618" s="74"/>
      <c r="N1618" s="74"/>
      <c r="O1618" s="74"/>
      <c r="P1618" s="74"/>
      <c r="Q1618" s="74"/>
      <c r="R1618" s="74"/>
      <c r="S1618" s="74"/>
      <c r="T1618" s="74"/>
      <c r="U1618" s="74"/>
      <c r="V1618" s="74"/>
      <c r="W1618" s="74"/>
      <c r="X1618" s="74"/>
      <c r="Y1618" s="74"/>
      <c r="Z1618" s="74"/>
      <c r="AA1618" s="74"/>
      <c r="AB1618" s="74"/>
    </row>
    <row r="1619" spans="1:28" ht="12" customHeight="1">
      <c r="A1619" s="260"/>
      <c r="B1619" s="104"/>
      <c r="C1619" s="104"/>
      <c r="D1619" s="260"/>
      <c r="E1619" s="104"/>
      <c r="F1619" s="104"/>
      <c r="G1619" s="35"/>
      <c r="H1619" s="104"/>
      <c r="I1619" s="35"/>
      <c r="J1619" s="74"/>
      <c r="K1619" s="74"/>
      <c r="L1619" s="74"/>
      <c r="M1619" s="74"/>
      <c r="N1619" s="74"/>
      <c r="O1619" s="74"/>
      <c r="P1619" s="74"/>
      <c r="Q1619" s="74"/>
      <c r="R1619" s="74"/>
      <c r="S1619" s="74"/>
      <c r="T1619" s="74"/>
      <c r="U1619" s="74"/>
      <c r="V1619" s="74"/>
      <c r="W1619" s="74"/>
      <c r="X1619" s="74"/>
      <c r="Y1619" s="74"/>
      <c r="Z1619" s="74"/>
      <c r="AA1619" s="74"/>
      <c r="AB1619" s="74"/>
    </row>
    <row r="1620" spans="1:28" ht="12" customHeight="1">
      <c r="A1620" s="260"/>
      <c r="B1620" s="104"/>
      <c r="C1620" s="104"/>
      <c r="D1620" s="260"/>
      <c r="E1620" s="104"/>
      <c r="F1620" s="104"/>
      <c r="G1620" s="35"/>
      <c r="H1620" s="104"/>
      <c r="I1620" s="35"/>
      <c r="J1620" s="74"/>
      <c r="K1620" s="74"/>
      <c r="L1620" s="74"/>
      <c r="M1620" s="74"/>
      <c r="N1620" s="74"/>
      <c r="O1620" s="74"/>
      <c r="P1620" s="74"/>
      <c r="Q1620" s="74"/>
      <c r="R1620" s="74"/>
      <c r="S1620" s="74"/>
      <c r="T1620" s="74"/>
      <c r="U1620" s="74"/>
      <c r="V1620" s="74"/>
      <c r="W1620" s="74"/>
      <c r="X1620" s="74"/>
      <c r="Y1620" s="74"/>
      <c r="Z1620" s="74"/>
      <c r="AA1620" s="74"/>
      <c r="AB1620" s="74"/>
    </row>
    <row r="1621" spans="1:28" ht="12" customHeight="1">
      <c r="A1621" s="260"/>
      <c r="B1621" s="104"/>
      <c r="C1621" s="104"/>
      <c r="D1621" s="260"/>
      <c r="E1621" s="104"/>
      <c r="F1621" s="104"/>
      <c r="G1621" s="35"/>
      <c r="H1621" s="104"/>
      <c r="I1621" s="35"/>
      <c r="J1621" s="74"/>
      <c r="K1621" s="74"/>
      <c r="L1621" s="74"/>
      <c r="M1621" s="74"/>
      <c r="N1621" s="74"/>
      <c r="O1621" s="74"/>
      <c r="P1621" s="74"/>
      <c r="Q1621" s="74"/>
      <c r="R1621" s="74"/>
      <c r="S1621" s="74"/>
      <c r="T1621" s="74"/>
      <c r="U1621" s="74"/>
      <c r="V1621" s="74"/>
      <c r="W1621" s="74"/>
      <c r="X1621" s="74"/>
      <c r="Y1621" s="74"/>
      <c r="Z1621" s="74"/>
      <c r="AA1621" s="74"/>
      <c r="AB1621" s="74"/>
    </row>
    <row r="1622" spans="1:28" ht="12" customHeight="1">
      <c r="A1622" s="260"/>
      <c r="B1622" s="104"/>
      <c r="C1622" s="104"/>
      <c r="D1622" s="260"/>
      <c r="E1622" s="104"/>
      <c r="F1622" s="104"/>
      <c r="G1622" s="35"/>
      <c r="H1622" s="104"/>
      <c r="I1622" s="35"/>
      <c r="J1622" s="74"/>
      <c r="K1622" s="74"/>
      <c r="L1622" s="74"/>
      <c r="M1622" s="74"/>
      <c r="N1622" s="74"/>
      <c r="O1622" s="74"/>
      <c r="P1622" s="74"/>
      <c r="Q1622" s="74"/>
      <c r="R1622" s="74"/>
      <c r="S1622" s="74"/>
      <c r="T1622" s="74"/>
      <c r="U1622" s="74"/>
      <c r="V1622" s="74"/>
      <c r="W1622" s="74"/>
      <c r="X1622" s="74"/>
      <c r="Y1622" s="74"/>
      <c r="Z1622" s="74"/>
      <c r="AA1622" s="74"/>
      <c r="AB1622" s="74"/>
    </row>
    <row r="1623" spans="1:28" ht="12" customHeight="1">
      <c r="A1623" s="260"/>
      <c r="B1623" s="104"/>
      <c r="C1623" s="104"/>
      <c r="D1623" s="260"/>
      <c r="E1623" s="104"/>
      <c r="F1623" s="104"/>
      <c r="G1623" s="35"/>
      <c r="H1623" s="104"/>
      <c r="I1623" s="35"/>
      <c r="J1623" s="74"/>
      <c r="K1623" s="74"/>
      <c r="L1623" s="74"/>
      <c r="M1623" s="74"/>
      <c r="N1623" s="74"/>
      <c r="O1623" s="74"/>
      <c r="P1623" s="74"/>
      <c r="Q1623" s="74"/>
      <c r="R1623" s="74"/>
      <c r="S1623" s="74"/>
      <c r="T1623" s="74"/>
      <c r="U1623" s="74"/>
      <c r="V1623" s="74"/>
      <c r="W1623" s="74"/>
      <c r="X1623" s="74"/>
      <c r="Y1623" s="74"/>
      <c r="Z1623" s="74"/>
      <c r="AA1623" s="74"/>
      <c r="AB1623" s="74"/>
    </row>
    <row r="1624" spans="1:28" ht="12" customHeight="1">
      <c r="A1624" s="260"/>
      <c r="B1624" s="104"/>
      <c r="C1624" s="104"/>
      <c r="D1624" s="260"/>
      <c r="E1624" s="104"/>
      <c r="F1624" s="104"/>
      <c r="G1624" s="35"/>
      <c r="H1624" s="104"/>
      <c r="I1624" s="35"/>
      <c r="J1624" s="74"/>
      <c r="K1624" s="74"/>
      <c r="L1624" s="74"/>
      <c r="M1624" s="74"/>
      <c r="N1624" s="74"/>
      <c r="O1624" s="74"/>
      <c r="P1624" s="74"/>
      <c r="Q1624" s="74"/>
      <c r="R1624" s="74"/>
      <c r="S1624" s="74"/>
      <c r="T1624" s="74"/>
      <c r="U1624" s="74"/>
      <c r="V1624" s="74"/>
      <c r="W1624" s="74"/>
      <c r="X1624" s="74"/>
      <c r="Y1624" s="74"/>
      <c r="Z1624" s="74"/>
      <c r="AA1624" s="74"/>
      <c r="AB1624" s="74"/>
    </row>
    <row r="1625" spans="1:28" ht="12" customHeight="1">
      <c r="A1625" s="260"/>
      <c r="B1625" s="104"/>
      <c r="C1625" s="104"/>
      <c r="D1625" s="260"/>
      <c r="E1625" s="104"/>
      <c r="F1625" s="104"/>
      <c r="G1625" s="35"/>
      <c r="H1625" s="104"/>
      <c r="I1625" s="35"/>
      <c r="J1625" s="74"/>
      <c r="K1625" s="74"/>
      <c r="L1625" s="74"/>
      <c r="M1625" s="74"/>
      <c r="N1625" s="74"/>
      <c r="O1625" s="74"/>
      <c r="P1625" s="74"/>
      <c r="Q1625" s="74"/>
      <c r="R1625" s="74"/>
      <c r="S1625" s="74"/>
      <c r="T1625" s="74"/>
      <c r="U1625" s="74"/>
      <c r="V1625" s="74"/>
      <c r="W1625" s="74"/>
      <c r="X1625" s="74"/>
      <c r="Y1625" s="74"/>
      <c r="Z1625" s="74"/>
      <c r="AA1625" s="74"/>
      <c r="AB1625" s="74"/>
    </row>
    <row r="1626" spans="1:28" ht="12" customHeight="1">
      <c r="A1626" s="260"/>
      <c r="B1626" s="104"/>
      <c r="C1626" s="104"/>
      <c r="D1626" s="260"/>
      <c r="E1626" s="104"/>
      <c r="F1626" s="104"/>
      <c r="G1626" s="35"/>
      <c r="H1626" s="104"/>
      <c r="I1626" s="35"/>
      <c r="J1626" s="74"/>
      <c r="K1626" s="74"/>
      <c r="L1626" s="74"/>
      <c r="M1626" s="74"/>
      <c r="N1626" s="74"/>
      <c r="O1626" s="74"/>
      <c r="P1626" s="74"/>
      <c r="Q1626" s="74"/>
      <c r="R1626" s="74"/>
      <c r="S1626" s="74"/>
      <c r="T1626" s="74"/>
      <c r="U1626" s="74"/>
      <c r="V1626" s="74"/>
      <c r="W1626" s="74"/>
      <c r="X1626" s="74"/>
      <c r="Y1626" s="74"/>
      <c r="Z1626" s="74"/>
      <c r="AA1626" s="74"/>
      <c r="AB1626" s="74"/>
    </row>
    <row r="1627" spans="1:28" ht="12" customHeight="1">
      <c r="A1627" s="260"/>
      <c r="B1627" s="104"/>
      <c r="C1627" s="104"/>
      <c r="D1627" s="260"/>
      <c r="E1627" s="104"/>
      <c r="F1627" s="104"/>
      <c r="G1627" s="35"/>
      <c r="H1627" s="104"/>
      <c r="I1627" s="35"/>
      <c r="J1627" s="74"/>
      <c r="K1627" s="74"/>
      <c r="L1627" s="74"/>
      <c r="M1627" s="74"/>
      <c r="N1627" s="74"/>
      <c r="O1627" s="74"/>
      <c r="P1627" s="74"/>
      <c r="Q1627" s="74"/>
      <c r="R1627" s="74"/>
      <c r="S1627" s="74"/>
      <c r="T1627" s="74"/>
      <c r="U1627" s="74"/>
      <c r="V1627" s="74"/>
      <c r="W1627" s="74"/>
      <c r="X1627" s="74"/>
      <c r="Y1627" s="74"/>
      <c r="Z1627" s="74"/>
      <c r="AA1627" s="74"/>
      <c r="AB1627" s="74"/>
    </row>
    <row r="1628" spans="1:28" ht="12" customHeight="1">
      <c r="A1628" s="260"/>
      <c r="B1628" s="104"/>
      <c r="C1628" s="104"/>
      <c r="D1628" s="260"/>
      <c r="E1628" s="104"/>
      <c r="F1628" s="104"/>
      <c r="G1628" s="35"/>
      <c r="H1628" s="104"/>
      <c r="I1628" s="35"/>
      <c r="J1628" s="74"/>
      <c r="K1628" s="74"/>
      <c r="L1628" s="74"/>
      <c r="M1628" s="74"/>
      <c r="N1628" s="74"/>
      <c r="O1628" s="74"/>
      <c r="P1628" s="74"/>
      <c r="Q1628" s="74"/>
      <c r="R1628" s="74"/>
      <c r="S1628" s="74"/>
      <c r="T1628" s="74"/>
      <c r="U1628" s="74"/>
      <c r="V1628" s="74"/>
      <c r="W1628" s="74"/>
      <c r="X1628" s="74"/>
      <c r="Y1628" s="74"/>
      <c r="Z1628" s="74"/>
      <c r="AA1628" s="74"/>
      <c r="AB1628" s="74"/>
    </row>
    <row r="1629" spans="1:28" ht="12" customHeight="1">
      <c r="A1629" s="260"/>
      <c r="B1629" s="104"/>
      <c r="C1629" s="104"/>
      <c r="D1629" s="260"/>
      <c r="E1629" s="104"/>
      <c r="F1629" s="104"/>
      <c r="G1629" s="35"/>
      <c r="H1629" s="104"/>
      <c r="I1629" s="35"/>
      <c r="J1629" s="74"/>
      <c r="K1629" s="74"/>
      <c r="L1629" s="74"/>
      <c r="M1629" s="74"/>
      <c r="N1629" s="74"/>
      <c r="O1629" s="74"/>
      <c r="P1629" s="74"/>
      <c r="Q1629" s="74"/>
      <c r="R1629" s="74"/>
      <c r="S1629" s="74"/>
      <c r="T1629" s="74"/>
      <c r="U1629" s="74"/>
      <c r="V1629" s="74"/>
      <c r="W1629" s="74"/>
      <c r="X1629" s="74"/>
      <c r="Y1629" s="74"/>
      <c r="Z1629" s="74"/>
      <c r="AA1629" s="74"/>
      <c r="AB1629" s="74"/>
    </row>
    <row r="1630" spans="1:28" ht="12" customHeight="1">
      <c r="A1630" s="260"/>
      <c r="B1630" s="104"/>
      <c r="C1630" s="104"/>
      <c r="D1630" s="260"/>
      <c r="E1630" s="104"/>
      <c r="F1630" s="104"/>
      <c r="G1630" s="35"/>
      <c r="H1630" s="104"/>
      <c r="I1630" s="35"/>
      <c r="J1630" s="74"/>
      <c r="K1630" s="74"/>
      <c r="L1630" s="74"/>
      <c r="M1630" s="74"/>
      <c r="N1630" s="74"/>
      <c r="O1630" s="74"/>
      <c r="P1630" s="74"/>
      <c r="Q1630" s="74"/>
      <c r="R1630" s="74"/>
      <c r="S1630" s="74"/>
      <c r="T1630" s="74"/>
      <c r="U1630" s="74"/>
      <c r="V1630" s="74"/>
      <c r="W1630" s="74"/>
      <c r="X1630" s="74"/>
      <c r="Y1630" s="74"/>
      <c r="Z1630" s="74"/>
      <c r="AA1630" s="74"/>
      <c r="AB1630" s="74"/>
    </row>
    <row r="1631" spans="1:28" ht="12" customHeight="1">
      <c r="A1631" s="260"/>
      <c r="B1631" s="104"/>
      <c r="C1631" s="104"/>
      <c r="D1631" s="260"/>
      <c r="E1631" s="104"/>
      <c r="F1631" s="104"/>
      <c r="G1631" s="35"/>
      <c r="H1631" s="104"/>
      <c r="I1631" s="35"/>
      <c r="J1631" s="74"/>
      <c r="K1631" s="74"/>
      <c r="L1631" s="74"/>
      <c r="M1631" s="74"/>
      <c r="N1631" s="74"/>
      <c r="O1631" s="74"/>
      <c r="P1631" s="74"/>
      <c r="Q1631" s="74"/>
      <c r="R1631" s="74"/>
      <c r="S1631" s="74"/>
      <c r="T1631" s="74"/>
      <c r="U1631" s="74"/>
      <c r="V1631" s="74"/>
      <c r="W1631" s="74"/>
      <c r="X1631" s="74"/>
      <c r="Y1631" s="74"/>
      <c r="Z1631" s="74"/>
      <c r="AA1631" s="74"/>
      <c r="AB1631" s="74"/>
    </row>
    <row r="1632" spans="1:28" ht="12" customHeight="1">
      <c r="A1632" s="260"/>
      <c r="B1632" s="104"/>
      <c r="C1632" s="104"/>
      <c r="D1632" s="260"/>
      <c r="E1632" s="104"/>
      <c r="F1632" s="104"/>
      <c r="G1632" s="35"/>
      <c r="H1632" s="104"/>
      <c r="I1632" s="35"/>
      <c r="J1632" s="74"/>
      <c r="K1632" s="74"/>
      <c r="L1632" s="74"/>
      <c r="M1632" s="74"/>
      <c r="N1632" s="74"/>
      <c r="O1632" s="74"/>
      <c r="P1632" s="74"/>
      <c r="Q1632" s="74"/>
      <c r="R1632" s="74"/>
      <c r="S1632" s="74"/>
      <c r="T1632" s="74"/>
      <c r="U1632" s="74"/>
      <c r="V1632" s="74"/>
      <c r="W1632" s="74"/>
      <c r="X1632" s="74"/>
      <c r="Y1632" s="74"/>
      <c r="Z1632" s="74"/>
      <c r="AA1632" s="74"/>
      <c r="AB1632" s="74"/>
    </row>
    <row r="1633" spans="1:28" ht="12" customHeight="1">
      <c r="A1633" s="260"/>
      <c r="B1633" s="104"/>
      <c r="C1633" s="104"/>
      <c r="D1633" s="260"/>
      <c r="E1633" s="104"/>
      <c r="F1633" s="104"/>
      <c r="G1633" s="35"/>
      <c r="H1633" s="104"/>
      <c r="I1633" s="35"/>
      <c r="J1633" s="74"/>
      <c r="K1633" s="74"/>
      <c r="L1633" s="74"/>
      <c r="M1633" s="74"/>
      <c r="N1633" s="74"/>
      <c r="O1633" s="74"/>
      <c r="P1633" s="74"/>
      <c r="Q1633" s="74"/>
      <c r="R1633" s="74"/>
      <c r="S1633" s="74"/>
      <c r="T1633" s="74"/>
      <c r="U1633" s="74"/>
      <c r="V1633" s="74"/>
      <c r="W1633" s="74"/>
      <c r="X1633" s="74"/>
      <c r="Y1633" s="74"/>
      <c r="Z1633" s="74"/>
      <c r="AA1633" s="74"/>
      <c r="AB1633" s="74"/>
    </row>
    <row r="1634" spans="1:28" ht="12" customHeight="1">
      <c r="A1634" s="260"/>
      <c r="B1634" s="104"/>
      <c r="C1634" s="104"/>
      <c r="D1634" s="260"/>
      <c r="E1634" s="104"/>
      <c r="F1634" s="104"/>
      <c r="G1634" s="35"/>
      <c r="H1634" s="104"/>
      <c r="I1634" s="35"/>
      <c r="J1634" s="74"/>
      <c r="K1634" s="74"/>
      <c r="L1634" s="74"/>
      <c r="M1634" s="74"/>
      <c r="N1634" s="74"/>
      <c r="O1634" s="74"/>
      <c r="P1634" s="74"/>
      <c r="Q1634" s="74"/>
      <c r="R1634" s="74"/>
      <c r="S1634" s="74"/>
      <c r="T1634" s="74"/>
      <c r="U1634" s="74"/>
      <c r="V1634" s="74"/>
      <c r="W1634" s="74"/>
      <c r="X1634" s="74"/>
      <c r="Y1634" s="74"/>
      <c r="Z1634" s="74"/>
      <c r="AA1634" s="74"/>
      <c r="AB1634" s="74"/>
    </row>
    <row r="1635" spans="1:28" ht="12" customHeight="1">
      <c r="A1635" s="260"/>
      <c r="B1635" s="104"/>
      <c r="C1635" s="104"/>
      <c r="D1635" s="260"/>
      <c r="E1635" s="104"/>
      <c r="F1635" s="104"/>
      <c r="G1635" s="35"/>
      <c r="H1635" s="104"/>
      <c r="I1635" s="35"/>
      <c r="J1635" s="74"/>
      <c r="K1635" s="74"/>
      <c r="L1635" s="74"/>
      <c r="M1635" s="74"/>
      <c r="N1635" s="74"/>
      <c r="O1635" s="74"/>
      <c r="P1635" s="74"/>
      <c r="Q1635" s="74"/>
      <c r="R1635" s="74"/>
      <c r="S1635" s="74"/>
      <c r="T1635" s="74"/>
      <c r="U1635" s="74"/>
      <c r="V1635" s="74"/>
      <c r="W1635" s="74"/>
      <c r="X1635" s="74"/>
      <c r="Y1635" s="74"/>
      <c r="Z1635" s="74"/>
      <c r="AA1635" s="74"/>
      <c r="AB1635" s="74"/>
    </row>
    <row r="1636" spans="1:28" ht="12" customHeight="1">
      <c r="A1636" s="260"/>
      <c r="B1636" s="104"/>
      <c r="C1636" s="104"/>
      <c r="D1636" s="260"/>
      <c r="E1636" s="104"/>
      <c r="F1636" s="104"/>
      <c r="G1636" s="35"/>
      <c r="H1636" s="104"/>
      <c r="I1636" s="35"/>
      <c r="J1636" s="74"/>
      <c r="K1636" s="74"/>
      <c r="L1636" s="74"/>
      <c r="M1636" s="74"/>
      <c r="N1636" s="74"/>
      <c r="O1636" s="74"/>
      <c r="P1636" s="74"/>
      <c r="Q1636" s="74"/>
      <c r="R1636" s="74"/>
      <c r="S1636" s="74"/>
      <c r="T1636" s="74"/>
      <c r="U1636" s="74"/>
      <c r="V1636" s="74"/>
      <c r="W1636" s="74"/>
      <c r="X1636" s="74"/>
      <c r="Y1636" s="74"/>
      <c r="Z1636" s="74"/>
      <c r="AA1636" s="74"/>
      <c r="AB1636" s="74"/>
    </row>
    <row r="1637" spans="1:28" ht="12" customHeight="1">
      <c r="A1637" s="260"/>
      <c r="B1637" s="104"/>
      <c r="C1637" s="104"/>
      <c r="D1637" s="260"/>
      <c r="E1637" s="104"/>
      <c r="F1637" s="104"/>
      <c r="G1637" s="35"/>
      <c r="H1637" s="104"/>
      <c r="I1637" s="35"/>
      <c r="J1637" s="74"/>
      <c r="K1637" s="74"/>
      <c r="L1637" s="74"/>
      <c r="M1637" s="74"/>
      <c r="N1637" s="74"/>
      <c r="O1637" s="74"/>
      <c r="P1637" s="74"/>
      <c r="Q1637" s="74"/>
      <c r="R1637" s="74"/>
      <c r="S1637" s="74"/>
      <c r="T1637" s="74"/>
      <c r="U1637" s="74"/>
      <c r="V1637" s="74"/>
      <c r="W1637" s="74"/>
      <c r="X1637" s="74"/>
      <c r="Y1637" s="74"/>
      <c r="Z1637" s="74"/>
      <c r="AA1637" s="74"/>
      <c r="AB1637" s="74"/>
    </row>
    <row r="1638" spans="1:28" ht="12" customHeight="1">
      <c r="A1638" s="260"/>
      <c r="B1638" s="104"/>
      <c r="C1638" s="104"/>
      <c r="D1638" s="260"/>
      <c r="E1638" s="104"/>
      <c r="F1638" s="104"/>
      <c r="G1638" s="35"/>
      <c r="H1638" s="104"/>
      <c r="I1638" s="35"/>
      <c r="J1638" s="74"/>
      <c r="K1638" s="74"/>
      <c r="L1638" s="74"/>
      <c r="M1638" s="74"/>
      <c r="N1638" s="74"/>
      <c r="O1638" s="74"/>
      <c r="P1638" s="74"/>
      <c r="Q1638" s="74"/>
      <c r="R1638" s="74"/>
      <c r="S1638" s="74"/>
      <c r="T1638" s="74"/>
      <c r="U1638" s="74"/>
      <c r="V1638" s="74"/>
      <c r="W1638" s="74"/>
      <c r="X1638" s="74"/>
      <c r="Y1638" s="74"/>
      <c r="Z1638" s="74"/>
      <c r="AA1638" s="74"/>
      <c r="AB1638" s="74"/>
    </row>
    <row r="1639" spans="1:28" ht="12" customHeight="1">
      <c r="A1639" s="260"/>
      <c r="B1639" s="104"/>
      <c r="C1639" s="104"/>
      <c r="D1639" s="260"/>
      <c r="E1639" s="104"/>
      <c r="F1639" s="104"/>
      <c r="G1639" s="35"/>
      <c r="H1639" s="104"/>
      <c r="I1639" s="35"/>
      <c r="J1639" s="74"/>
      <c r="K1639" s="74"/>
      <c r="L1639" s="74"/>
      <c r="M1639" s="74"/>
      <c r="N1639" s="74"/>
      <c r="O1639" s="74"/>
      <c r="P1639" s="74"/>
      <c r="Q1639" s="74"/>
      <c r="R1639" s="74"/>
      <c r="S1639" s="74"/>
      <c r="T1639" s="74"/>
      <c r="U1639" s="74"/>
      <c r="V1639" s="74"/>
      <c r="W1639" s="74"/>
      <c r="X1639" s="74"/>
      <c r="Y1639" s="74"/>
      <c r="Z1639" s="74"/>
      <c r="AA1639" s="74"/>
      <c r="AB1639" s="74"/>
    </row>
    <row r="1640" spans="1:28" ht="12" customHeight="1">
      <c r="A1640" s="260"/>
      <c r="B1640" s="104"/>
      <c r="C1640" s="104"/>
      <c r="D1640" s="260"/>
      <c r="E1640" s="104"/>
      <c r="F1640" s="104"/>
      <c r="G1640" s="35"/>
      <c r="H1640" s="104"/>
      <c r="I1640" s="35"/>
      <c r="J1640" s="74"/>
      <c r="K1640" s="74"/>
      <c r="L1640" s="74"/>
      <c r="M1640" s="74"/>
      <c r="N1640" s="74"/>
      <c r="O1640" s="74"/>
      <c r="P1640" s="74"/>
      <c r="Q1640" s="74"/>
      <c r="R1640" s="74"/>
      <c r="S1640" s="74"/>
      <c r="T1640" s="74"/>
      <c r="U1640" s="74"/>
      <c r="V1640" s="74"/>
      <c r="W1640" s="74"/>
      <c r="X1640" s="74"/>
      <c r="Y1640" s="74"/>
      <c r="Z1640" s="74"/>
      <c r="AA1640" s="74"/>
      <c r="AB1640" s="74"/>
    </row>
    <row r="1641" spans="1:28" ht="12" customHeight="1">
      <c r="A1641" s="260"/>
      <c r="B1641" s="104"/>
      <c r="C1641" s="104"/>
      <c r="D1641" s="260"/>
      <c r="E1641" s="104"/>
      <c r="F1641" s="104"/>
      <c r="G1641" s="35"/>
      <c r="H1641" s="104"/>
      <c r="I1641" s="35"/>
      <c r="J1641" s="74"/>
      <c r="K1641" s="74"/>
      <c r="L1641" s="74"/>
      <c r="M1641" s="74"/>
      <c r="N1641" s="74"/>
      <c r="O1641" s="74"/>
      <c r="P1641" s="74"/>
      <c r="Q1641" s="74"/>
      <c r="R1641" s="74"/>
      <c r="S1641" s="74"/>
      <c r="T1641" s="74"/>
      <c r="U1641" s="74"/>
      <c r="V1641" s="74"/>
      <c r="W1641" s="74"/>
      <c r="X1641" s="74"/>
      <c r="Y1641" s="74"/>
      <c r="Z1641" s="74"/>
      <c r="AA1641" s="74"/>
      <c r="AB1641" s="74"/>
    </row>
    <row r="1642" spans="1:28" ht="12" customHeight="1">
      <c r="A1642" s="260"/>
      <c r="B1642" s="104"/>
      <c r="C1642" s="104"/>
      <c r="D1642" s="260"/>
      <c r="E1642" s="104"/>
      <c r="F1642" s="104"/>
      <c r="G1642" s="35"/>
      <c r="H1642" s="104"/>
      <c r="I1642" s="35"/>
      <c r="J1642" s="74"/>
      <c r="K1642" s="74"/>
      <c r="L1642" s="74"/>
      <c r="M1642" s="74"/>
      <c r="N1642" s="74"/>
      <c r="O1642" s="74"/>
      <c r="P1642" s="74"/>
      <c r="Q1642" s="74"/>
      <c r="R1642" s="74"/>
      <c r="S1642" s="74"/>
      <c r="T1642" s="74"/>
      <c r="U1642" s="74"/>
      <c r="V1642" s="74"/>
      <c r="W1642" s="74"/>
      <c r="X1642" s="74"/>
      <c r="Y1642" s="74"/>
      <c r="Z1642" s="74"/>
      <c r="AA1642" s="74"/>
      <c r="AB1642" s="74"/>
    </row>
    <row r="1643" spans="1:28" ht="12" customHeight="1">
      <c r="A1643" s="260"/>
      <c r="B1643" s="104"/>
      <c r="C1643" s="104"/>
      <c r="D1643" s="260"/>
      <c r="E1643" s="104"/>
      <c r="F1643" s="104"/>
      <c r="G1643" s="35"/>
      <c r="H1643" s="104"/>
      <c r="I1643" s="35"/>
      <c r="J1643" s="74"/>
      <c r="K1643" s="74"/>
      <c r="L1643" s="74"/>
      <c r="M1643" s="74"/>
      <c r="N1643" s="74"/>
      <c r="O1643" s="74"/>
      <c r="P1643" s="74"/>
      <c r="Q1643" s="74"/>
      <c r="R1643" s="74"/>
      <c r="S1643" s="74"/>
      <c r="T1643" s="74"/>
      <c r="U1643" s="74"/>
      <c r="V1643" s="74"/>
      <c r="W1643" s="74"/>
      <c r="X1643" s="74"/>
      <c r="Y1643" s="74"/>
      <c r="Z1643" s="74"/>
      <c r="AA1643" s="74"/>
      <c r="AB1643" s="74"/>
    </row>
    <row r="1644" spans="1:28" ht="12" customHeight="1">
      <c r="A1644" s="260"/>
      <c r="B1644" s="104"/>
      <c r="C1644" s="104"/>
      <c r="D1644" s="260"/>
      <c r="E1644" s="104"/>
      <c r="F1644" s="104"/>
      <c r="G1644" s="35"/>
      <c r="H1644" s="104"/>
      <c r="I1644" s="35"/>
      <c r="J1644" s="74"/>
      <c r="K1644" s="74"/>
      <c r="L1644" s="74"/>
      <c r="M1644" s="74"/>
      <c r="N1644" s="74"/>
      <c r="O1644" s="74"/>
      <c r="P1644" s="74"/>
      <c r="Q1644" s="74"/>
      <c r="R1644" s="74"/>
      <c r="S1644" s="74"/>
      <c r="T1644" s="74"/>
      <c r="U1644" s="74"/>
      <c r="V1644" s="74"/>
      <c r="W1644" s="74"/>
      <c r="X1644" s="74"/>
      <c r="Y1644" s="74"/>
      <c r="Z1644" s="74"/>
      <c r="AA1644" s="74"/>
      <c r="AB1644" s="74"/>
    </row>
    <row r="1645" spans="1:28" ht="12" customHeight="1">
      <c r="A1645" s="260"/>
      <c r="B1645" s="104"/>
      <c r="C1645" s="104"/>
      <c r="D1645" s="260"/>
      <c r="E1645" s="104"/>
      <c r="F1645" s="104"/>
      <c r="G1645" s="35"/>
      <c r="H1645" s="104"/>
      <c r="I1645" s="35"/>
      <c r="J1645" s="74"/>
      <c r="K1645" s="74"/>
      <c r="L1645" s="74"/>
      <c r="M1645" s="74"/>
      <c r="N1645" s="74"/>
      <c r="O1645" s="74"/>
      <c r="P1645" s="74"/>
      <c r="Q1645" s="74"/>
      <c r="R1645" s="74"/>
      <c r="S1645" s="74"/>
      <c r="T1645" s="74"/>
      <c r="U1645" s="74"/>
      <c r="V1645" s="74"/>
      <c r="W1645" s="74"/>
      <c r="X1645" s="74"/>
      <c r="Y1645" s="74"/>
      <c r="Z1645" s="74"/>
      <c r="AA1645" s="74"/>
      <c r="AB1645" s="74"/>
    </row>
    <row r="1646" spans="1:28" ht="12" customHeight="1">
      <c r="A1646" s="260"/>
      <c r="B1646" s="104"/>
      <c r="C1646" s="104"/>
      <c r="D1646" s="260"/>
      <c r="E1646" s="104"/>
      <c r="F1646" s="104"/>
      <c r="G1646" s="35"/>
      <c r="H1646" s="104"/>
      <c r="I1646" s="35"/>
      <c r="J1646" s="74"/>
      <c r="K1646" s="74"/>
      <c r="L1646" s="74"/>
      <c r="M1646" s="74"/>
      <c r="N1646" s="74"/>
      <c r="O1646" s="74"/>
      <c r="P1646" s="74"/>
      <c r="Q1646" s="74"/>
      <c r="R1646" s="74"/>
      <c r="S1646" s="74"/>
      <c r="T1646" s="74"/>
      <c r="U1646" s="74"/>
      <c r="V1646" s="74"/>
      <c r="W1646" s="74"/>
      <c r="X1646" s="74"/>
      <c r="Y1646" s="74"/>
      <c r="Z1646" s="74"/>
      <c r="AA1646" s="74"/>
      <c r="AB1646" s="74"/>
    </row>
    <row r="1647" spans="1:28" ht="12" customHeight="1">
      <c r="A1647" s="260"/>
      <c r="B1647" s="104"/>
      <c r="C1647" s="104"/>
      <c r="D1647" s="260"/>
      <c r="E1647" s="104"/>
      <c r="F1647" s="104"/>
      <c r="G1647" s="35"/>
      <c r="H1647" s="104"/>
      <c r="I1647" s="35"/>
      <c r="J1647" s="74"/>
      <c r="K1647" s="74"/>
      <c r="L1647" s="74"/>
      <c r="M1647" s="74"/>
      <c r="N1647" s="74"/>
      <c r="O1647" s="74"/>
      <c r="P1647" s="74"/>
      <c r="Q1647" s="74"/>
      <c r="R1647" s="74"/>
      <c r="S1647" s="74"/>
      <c r="T1647" s="74"/>
      <c r="U1647" s="74"/>
      <c r="V1647" s="74"/>
      <c r="W1647" s="74"/>
      <c r="X1647" s="74"/>
      <c r="Y1647" s="74"/>
      <c r="Z1647" s="74"/>
      <c r="AA1647" s="74"/>
      <c r="AB1647" s="74"/>
    </row>
    <row r="1648" spans="1:28" ht="12" customHeight="1">
      <c r="A1648" s="260"/>
      <c r="B1648" s="104"/>
      <c r="C1648" s="104"/>
      <c r="D1648" s="260"/>
      <c r="E1648" s="104"/>
      <c r="F1648" s="104"/>
      <c r="G1648" s="35"/>
      <c r="H1648" s="104"/>
      <c r="I1648" s="35"/>
      <c r="J1648" s="74"/>
      <c r="K1648" s="74"/>
      <c r="L1648" s="74"/>
      <c r="M1648" s="74"/>
      <c r="N1648" s="74"/>
      <c r="O1648" s="74"/>
      <c r="P1648" s="74"/>
      <c r="Q1648" s="74"/>
      <c r="R1648" s="74"/>
      <c r="S1648" s="74"/>
      <c r="T1648" s="74"/>
      <c r="U1648" s="74"/>
      <c r="V1648" s="74"/>
      <c r="W1648" s="74"/>
      <c r="X1648" s="74"/>
      <c r="Y1648" s="74"/>
      <c r="Z1648" s="74"/>
      <c r="AA1648" s="74"/>
      <c r="AB1648" s="74"/>
    </row>
    <row r="1649" spans="1:28" ht="12" customHeight="1">
      <c r="A1649" s="260"/>
      <c r="B1649" s="104"/>
      <c r="C1649" s="104"/>
      <c r="D1649" s="260"/>
      <c r="E1649" s="104"/>
      <c r="F1649" s="104"/>
      <c r="G1649" s="35"/>
      <c r="H1649" s="104"/>
      <c r="I1649" s="35"/>
      <c r="J1649" s="74"/>
      <c r="K1649" s="74"/>
      <c r="L1649" s="74"/>
      <c r="M1649" s="74"/>
      <c r="N1649" s="74"/>
      <c r="O1649" s="74"/>
      <c r="P1649" s="74"/>
      <c r="Q1649" s="74"/>
      <c r="R1649" s="74"/>
      <c r="S1649" s="74"/>
      <c r="T1649" s="74"/>
      <c r="U1649" s="74"/>
      <c r="V1649" s="74"/>
      <c r="W1649" s="74"/>
      <c r="X1649" s="74"/>
      <c r="Y1649" s="74"/>
      <c r="Z1649" s="74"/>
      <c r="AA1649" s="74"/>
      <c r="AB1649" s="74"/>
    </row>
    <row r="1650" spans="1:28" ht="12" customHeight="1">
      <c r="A1650" s="260"/>
      <c r="B1650" s="104"/>
      <c r="C1650" s="104"/>
      <c r="D1650" s="260"/>
      <c r="E1650" s="104"/>
      <c r="F1650" s="104"/>
      <c r="G1650" s="35"/>
      <c r="H1650" s="104"/>
      <c r="I1650" s="35"/>
      <c r="J1650" s="74"/>
      <c r="K1650" s="74"/>
      <c r="L1650" s="74"/>
      <c r="M1650" s="74"/>
      <c r="N1650" s="74"/>
      <c r="O1650" s="74"/>
      <c r="P1650" s="74"/>
      <c r="Q1650" s="74"/>
      <c r="R1650" s="74"/>
      <c r="S1650" s="74"/>
      <c r="T1650" s="74"/>
      <c r="U1650" s="74"/>
      <c r="V1650" s="74"/>
      <c r="W1650" s="74"/>
      <c r="X1650" s="74"/>
      <c r="Y1650" s="74"/>
      <c r="Z1650" s="74"/>
      <c r="AA1650" s="74"/>
      <c r="AB1650" s="74"/>
    </row>
    <row r="1651" spans="1:28" ht="12" customHeight="1">
      <c r="A1651" s="260"/>
      <c r="B1651" s="104"/>
      <c r="C1651" s="104"/>
      <c r="D1651" s="260"/>
      <c r="E1651" s="104"/>
      <c r="F1651" s="104"/>
      <c r="G1651" s="35"/>
      <c r="H1651" s="104"/>
      <c r="I1651" s="35"/>
      <c r="J1651" s="74"/>
      <c r="K1651" s="74"/>
      <c r="L1651" s="74"/>
      <c r="M1651" s="74"/>
      <c r="N1651" s="74"/>
      <c r="O1651" s="74"/>
      <c r="P1651" s="74"/>
      <c r="Q1651" s="74"/>
      <c r="R1651" s="74"/>
      <c r="S1651" s="74"/>
      <c r="T1651" s="74"/>
      <c r="U1651" s="74"/>
      <c r="V1651" s="74"/>
      <c r="W1651" s="74"/>
      <c r="X1651" s="74"/>
      <c r="Y1651" s="74"/>
      <c r="Z1651" s="74"/>
      <c r="AA1651" s="74"/>
      <c r="AB1651" s="74"/>
    </row>
    <row r="1652" spans="1:28" ht="12" customHeight="1">
      <c r="A1652" s="260"/>
      <c r="B1652" s="104"/>
      <c r="C1652" s="104"/>
      <c r="D1652" s="260"/>
      <c r="E1652" s="104"/>
      <c r="F1652" s="104"/>
      <c r="G1652" s="35"/>
      <c r="H1652" s="104"/>
      <c r="I1652" s="35"/>
      <c r="J1652" s="74"/>
      <c r="K1652" s="74"/>
      <c r="L1652" s="74"/>
      <c r="M1652" s="74"/>
      <c r="N1652" s="74"/>
      <c r="O1652" s="74"/>
      <c r="P1652" s="74"/>
      <c r="Q1652" s="74"/>
      <c r="R1652" s="74"/>
      <c r="S1652" s="74"/>
      <c r="T1652" s="74"/>
      <c r="U1652" s="74"/>
      <c r="V1652" s="74"/>
      <c r="W1652" s="74"/>
      <c r="X1652" s="74"/>
      <c r="Y1652" s="74"/>
      <c r="Z1652" s="74"/>
      <c r="AA1652" s="74"/>
      <c r="AB1652" s="74"/>
    </row>
    <row r="1653" spans="1:28" ht="12" customHeight="1">
      <c r="A1653" s="260"/>
      <c r="B1653" s="104"/>
      <c r="C1653" s="104"/>
      <c r="D1653" s="260"/>
      <c r="E1653" s="104"/>
      <c r="F1653" s="104"/>
      <c r="G1653" s="35"/>
      <c r="H1653" s="104"/>
      <c r="I1653" s="35"/>
      <c r="J1653" s="74"/>
      <c r="K1653" s="74"/>
      <c r="L1653" s="74"/>
      <c r="M1653" s="74"/>
      <c r="N1653" s="74"/>
      <c r="O1653" s="74"/>
      <c r="P1653" s="74"/>
      <c r="Q1653" s="74"/>
      <c r="R1653" s="74"/>
      <c r="S1653" s="74"/>
      <c r="T1653" s="74"/>
      <c r="U1653" s="74"/>
      <c r="V1653" s="74"/>
      <c r="W1653" s="74"/>
      <c r="X1653" s="74"/>
      <c r="Y1653" s="74"/>
      <c r="Z1653" s="74"/>
      <c r="AA1653" s="74"/>
      <c r="AB1653" s="74"/>
    </row>
    <row r="1654" spans="1:28" ht="12" customHeight="1">
      <c r="A1654" s="260"/>
      <c r="B1654" s="104"/>
      <c r="C1654" s="104"/>
      <c r="D1654" s="260"/>
      <c r="E1654" s="104"/>
      <c r="F1654" s="104"/>
      <c r="G1654" s="35"/>
      <c r="H1654" s="104"/>
      <c r="I1654" s="35"/>
      <c r="J1654" s="74"/>
      <c r="K1654" s="74"/>
      <c r="L1654" s="74"/>
      <c r="M1654" s="74"/>
      <c r="N1654" s="74"/>
      <c r="O1654" s="74"/>
      <c r="P1654" s="74"/>
      <c r="Q1654" s="74"/>
      <c r="R1654" s="74"/>
      <c r="S1654" s="74"/>
      <c r="T1654" s="74"/>
      <c r="U1654" s="74"/>
      <c r="V1654" s="74"/>
      <c r="W1654" s="74"/>
      <c r="X1654" s="74"/>
      <c r="Y1654" s="74"/>
      <c r="Z1654" s="74"/>
      <c r="AA1654" s="74"/>
      <c r="AB1654" s="74"/>
    </row>
    <row r="1655" spans="1:28" ht="12" customHeight="1">
      <c r="A1655" s="260"/>
      <c r="B1655" s="104"/>
      <c r="C1655" s="104"/>
      <c r="D1655" s="260"/>
      <c r="E1655" s="104"/>
      <c r="F1655" s="104"/>
      <c r="G1655" s="35"/>
      <c r="H1655" s="104"/>
      <c r="I1655" s="35"/>
      <c r="J1655" s="74"/>
      <c r="K1655" s="74"/>
      <c r="L1655" s="74"/>
      <c r="M1655" s="74"/>
      <c r="N1655" s="74"/>
      <c r="O1655" s="74"/>
      <c r="P1655" s="74"/>
      <c r="Q1655" s="74"/>
      <c r="R1655" s="74"/>
      <c r="S1655" s="74"/>
      <c r="T1655" s="74"/>
      <c r="U1655" s="74"/>
      <c r="V1655" s="74"/>
      <c r="W1655" s="74"/>
      <c r="X1655" s="74"/>
      <c r="Y1655" s="74"/>
      <c r="Z1655" s="74"/>
      <c r="AA1655" s="74"/>
      <c r="AB1655" s="74"/>
    </row>
    <row r="1656" spans="1:28" ht="12" customHeight="1">
      <c r="A1656" s="260"/>
      <c r="B1656" s="104"/>
      <c r="C1656" s="104"/>
      <c r="D1656" s="260"/>
      <c r="E1656" s="104"/>
      <c r="F1656" s="104"/>
      <c r="G1656" s="35"/>
      <c r="H1656" s="104"/>
      <c r="I1656" s="35"/>
      <c r="J1656" s="74"/>
      <c r="K1656" s="74"/>
      <c r="L1656" s="74"/>
      <c r="M1656" s="74"/>
      <c r="N1656" s="74"/>
      <c r="O1656" s="74"/>
      <c r="P1656" s="74"/>
      <c r="Q1656" s="74"/>
      <c r="R1656" s="74"/>
      <c r="S1656" s="74"/>
      <c r="T1656" s="74"/>
      <c r="U1656" s="74"/>
      <c r="V1656" s="74"/>
      <c r="W1656" s="74"/>
      <c r="X1656" s="74"/>
      <c r="Y1656" s="74"/>
      <c r="Z1656" s="74"/>
      <c r="AA1656" s="74"/>
      <c r="AB1656" s="74"/>
    </row>
    <row r="1657" spans="1:28" ht="12" customHeight="1">
      <c r="A1657" s="260"/>
      <c r="B1657" s="104"/>
      <c r="C1657" s="104"/>
      <c r="D1657" s="260"/>
      <c r="E1657" s="104"/>
      <c r="F1657" s="104"/>
      <c r="G1657" s="35"/>
      <c r="H1657" s="104"/>
      <c r="I1657" s="35"/>
      <c r="J1657" s="74"/>
      <c r="K1657" s="74"/>
      <c r="L1657" s="74"/>
      <c r="M1657" s="74"/>
      <c r="N1657" s="74"/>
      <c r="O1657" s="74"/>
      <c r="P1657" s="74"/>
      <c r="Q1657" s="74"/>
      <c r="R1657" s="74"/>
      <c r="S1657" s="74"/>
      <c r="T1657" s="74"/>
      <c r="U1657" s="74"/>
      <c r="V1657" s="74"/>
      <c r="W1657" s="74"/>
      <c r="X1657" s="74"/>
      <c r="Y1657" s="74"/>
      <c r="Z1657" s="74"/>
      <c r="AA1657" s="74"/>
      <c r="AB1657" s="74"/>
    </row>
    <row r="1658" spans="1:28" ht="12" customHeight="1">
      <c r="A1658" s="260"/>
      <c r="B1658" s="104"/>
      <c r="C1658" s="104"/>
      <c r="D1658" s="260"/>
      <c r="E1658" s="104"/>
      <c r="F1658" s="104"/>
      <c r="G1658" s="35"/>
      <c r="H1658" s="104"/>
      <c r="I1658" s="35"/>
      <c r="J1658" s="74"/>
      <c r="K1658" s="74"/>
      <c r="L1658" s="74"/>
      <c r="M1658" s="74"/>
      <c r="N1658" s="74"/>
      <c r="O1658" s="74"/>
      <c r="P1658" s="74"/>
      <c r="Q1658" s="74"/>
      <c r="R1658" s="74"/>
      <c r="S1658" s="74"/>
      <c r="T1658" s="74"/>
      <c r="U1658" s="74"/>
      <c r="V1658" s="74"/>
      <c r="W1658" s="74"/>
      <c r="X1658" s="74"/>
      <c r="Y1658" s="74"/>
      <c r="Z1658" s="74"/>
      <c r="AA1658" s="74"/>
      <c r="AB1658" s="74"/>
    </row>
    <row r="1659" spans="1:28" ht="12" customHeight="1">
      <c r="A1659" s="260"/>
      <c r="B1659" s="104"/>
      <c r="C1659" s="104"/>
      <c r="D1659" s="260"/>
      <c r="E1659" s="104"/>
      <c r="F1659" s="104"/>
      <c r="G1659" s="35"/>
      <c r="H1659" s="104"/>
      <c r="I1659" s="35"/>
      <c r="J1659" s="74"/>
      <c r="K1659" s="74"/>
      <c r="L1659" s="74"/>
      <c r="M1659" s="74"/>
      <c r="N1659" s="74"/>
      <c r="O1659" s="74"/>
      <c r="P1659" s="74"/>
      <c r="Q1659" s="74"/>
      <c r="R1659" s="74"/>
      <c r="S1659" s="74"/>
      <c r="T1659" s="74"/>
      <c r="U1659" s="74"/>
      <c r="V1659" s="74"/>
      <c r="W1659" s="74"/>
      <c r="X1659" s="74"/>
      <c r="Y1659" s="74"/>
      <c r="Z1659" s="74"/>
      <c r="AA1659" s="74"/>
      <c r="AB1659" s="74"/>
    </row>
    <row r="1660" spans="1:28" ht="12" customHeight="1">
      <c r="A1660" s="260"/>
      <c r="B1660" s="104"/>
      <c r="C1660" s="104"/>
      <c r="D1660" s="260"/>
      <c r="E1660" s="104"/>
      <c r="F1660" s="104"/>
      <c r="G1660" s="35"/>
      <c r="H1660" s="104"/>
      <c r="I1660" s="35"/>
      <c r="J1660" s="74"/>
      <c r="K1660" s="74"/>
      <c r="L1660" s="74"/>
      <c r="M1660" s="74"/>
      <c r="N1660" s="74"/>
      <c r="O1660" s="74"/>
      <c r="P1660" s="74"/>
      <c r="Q1660" s="74"/>
      <c r="R1660" s="74"/>
      <c r="S1660" s="74"/>
      <c r="T1660" s="74"/>
      <c r="U1660" s="74"/>
      <c r="V1660" s="74"/>
      <c r="W1660" s="74"/>
      <c r="X1660" s="74"/>
      <c r="Y1660" s="74"/>
      <c r="Z1660" s="74"/>
      <c r="AA1660" s="74"/>
      <c r="AB1660" s="74"/>
    </row>
    <row r="1661" spans="1:28" ht="12" customHeight="1">
      <c r="A1661" s="260"/>
      <c r="B1661" s="104"/>
      <c r="C1661" s="104"/>
      <c r="D1661" s="260"/>
      <c r="E1661" s="104"/>
      <c r="F1661" s="104"/>
      <c r="G1661" s="35"/>
      <c r="H1661" s="104"/>
      <c r="I1661" s="35"/>
      <c r="J1661" s="74"/>
      <c r="K1661" s="74"/>
      <c r="L1661" s="74"/>
      <c r="M1661" s="74"/>
      <c r="N1661" s="74"/>
      <c r="O1661" s="74"/>
      <c r="P1661" s="74"/>
      <c r="Q1661" s="74"/>
      <c r="R1661" s="74"/>
      <c r="S1661" s="74"/>
      <c r="T1661" s="74"/>
      <c r="U1661" s="74"/>
      <c r="V1661" s="74"/>
      <c r="W1661" s="74"/>
      <c r="X1661" s="74"/>
      <c r="Y1661" s="74"/>
      <c r="Z1661" s="74"/>
      <c r="AA1661" s="74"/>
      <c r="AB1661" s="74"/>
    </row>
    <row r="1662" spans="1:28" ht="12" customHeight="1">
      <c r="A1662" s="260"/>
      <c r="B1662" s="104"/>
      <c r="C1662" s="104"/>
      <c r="D1662" s="260"/>
      <c r="E1662" s="104"/>
      <c r="F1662" s="104"/>
      <c r="G1662" s="35"/>
      <c r="H1662" s="104"/>
      <c r="I1662" s="35"/>
      <c r="J1662" s="74"/>
      <c r="K1662" s="74"/>
      <c r="L1662" s="74"/>
      <c r="M1662" s="74"/>
      <c r="N1662" s="74"/>
      <c r="O1662" s="74"/>
      <c r="P1662" s="74"/>
      <c r="Q1662" s="74"/>
      <c r="R1662" s="74"/>
      <c r="S1662" s="74"/>
      <c r="T1662" s="74"/>
      <c r="U1662" s="74"/>
      <c r="V1662" s="74"/>
      <c r="W1662" s="74"/>
      <c r="X1662" s="74"/>
      <c r="Y1662" s="74"/>
      <c r="Z1662" s="74"/>
      <c r="AA1662" s="74"/>
      <c r="AB1662" s="74"/>
    </row>
    <row r="1663" spans="1:28" ht="12" customHeight="1">
      <c r="A1663" s="260"/>
      <c r="B1663" s="104"/>
      <c r="C1663" s="104"/>
      <c r="D1663" s="260"/>
      <c r="E1663" s="104"/>
      <c r="F1663" s="104"/>
      <c r="G1663" s="35"/>
      <c r="H1663" s="104"/>
      <c r="I1663" s="35"/>
      <c r="J1663" s="74"/>
      <c r="K1663" s="74"/>
      <c r="L1663" s="74"/>
      <c r="M1663" s="74"/>
      <c r="N1663" s="74"/>
      <c r="O1663" s="74"/>
      <c r="P1663" s="74"/>
      <c r="Q1663" s="74"/>
      <c r="R1663" s="74"/>
      <c r="S1663" s="74"/>
      <c r="T1663" s="74"/>
      <c r="U1663" s="74"/>
      <c r="V1663" s="74"/>
      <c r="W1663" s="74"/>
      <c r="X1663" s="74"/>
      <c r="Y1663" s="74"/>
      <c r="Z1663" s="74"/>
      <c r="AA1663" s="74"/>
      <c r="AB1663" s="74"/>
    </row>
    <row r="1664" spans="1:28" ht="12" customHeight="1">
      <c r="A1664" s="260"/>
      <c r="B1664" s="104"/>
      <c r="C1664" s="104"/>
      <c r="D1664" s="260"/>
      <c r="E1664" s="104"/>
      <c r="F1664" s="104"/>
      <c r="G1664" s="35"/>
      <c r="H1664" s="104"/>
      <c r="I1664" s="35"/>
      <c r="J1664" s="74"/>
      <c r="K1664" s="74"/>
      <c r="L1664" s="74"/>
      <c r="M1664" s="74"/>
      <c r="N1664" s="74"/>
      <c r="O1664" s="74"/>
      <c r="P1664" s="74"/>
      <c r="Q1664" s="74"/>
      <c r="R1664" s="74"/>
      <c r="S1664" s="74"/>
      <c r="T1664" s="74"/>
      <c r="U1664" s="74"/>
      <c r="V1664" s="74"/>
      <c r="W1664" s="74"/>
      <c r="X1664" s="74"/>
      <c r="Y1664" s="74"/>
      <c r="Z1664" s="74"/>
      <c r="AA1664" s="74"/>
      <c r="AB1664" s="74"/>
    </row>
    <row r="1665" spans="1:28" ht="12" customHeight="1">
      <c r="A1665" s="260"/>
      <c r="B1665" s="104"/>
      <c r="C1665" s="104"/>
      <c r="D1665" s="260"/>
      <c r="E1665" s="104"/>
      <c r="F1665" s="104"/>
      <c r="G1665" s="35"/>
      <c r="H1665" s="104"/>
      <c r="I1665" s="35"/>
      <c r="J1665" s="74"/>
      <c r="K1665" s="74"/>
      <c r="L1665" s="74"/>
      <c r="M1665" s="74"/>
      <c r="N1665" s="74"/>
      <c r="O1665" s="74"/>
      <c r="P1665" s="74"/>
      <c r="Q1665" s="74"/>
      <c r="R1665" s="74"/>
      <c r="S1665" s="74"/>
      <c r="T1665" s="74"/>
      <c r="U1665" s="74"/>
      <c r="V1665" s="74"/>
      <c r="W1665" s="74"/>
      <c r="X1665" s="74"/>
      <c r="Y1665" s="74"/>
      <c r="Z1665" s="74"/>
      <c r="AA1665" s="74"/>
      <c r="AB1665" s="74"/>
    </row>
    <row r="1666" spans="1:28" ht="12" customHeight="1">
      <c r="A1666" s="260"/>
      <c r="B1666" s="104"/>
      <c r="C1666" s="104"/>
      <c r="D1666" s="260"/>
      <c r="E1666" s="104"/>
      <c r="F1666" s="104"/>
      <c r="G1666" s="35"/>
      <c r="H1666" s="104"/>
      <c r="I1666" s="35"/>
      <c r="J1666" s="74"/>
      <c r="K1666" s="74"/>
      <c r="L1666" s="74"/>
      <c r="M1666" s="74"/>
      <c r="N1666" s="74"/>
      <c r="O1666" s="74"/>
      <c r="P1666" s="74"/>
      <c r="Q1666" s="74"/>
      <c r="R1666" s="74"/>
      <c r="S1666" s="74"/>
      <c r="T1666" s="74"/>
      <c r="U1666" s="74"/>
      <c r="V1666" s="74"/>
      <c r="W1666" s="74"/>
      <c r="X1666" s="74"/>
      <c r="Y1666" s="74"/>
      <c r="Z1666" s="74"/>
      <c r="AA1666" s="74"/>
      <c r="AB1666" s="74"/>
    </row>
    <row r="1667" spans="1:28" ht="12" customHeight="1">
      <c r="A1667" s="260"/>
      <c r="B1667" s="104"/>
      <c r="C1667" s="104"/>
      <c r="D1667" s="260"/>
      <c r="E1667" s="104"/>
      <c r="F1667" s="104"/>
      <c r="G1667" s="35"/>
      <c r="H1667" s="104"/>
      <c r="I1667" s="35"/>
      <c r="J1667" s="74"/>
      <c r="K1667" s="74"/>
      <c r="L1667" s="74"/>
      <c r="M1667" s="74"/>
      <c r="N1667" s="74"/>
      <c r="O1667" s="74"/>
      <c r="P1667" s="74"/>
      <c r="Q1667" s="74"/>
      <c r="R1667" s="74"/>
      <c r="S1667" s="74"/>
      <c r="T1667" s="74"/>
      <c r="U1667" s="74"/>
      <c r="V1667" s="74"/>
      <c r="W1667" s="74"/>
      <c r="X1667" s="74"/>
      <c r="Y1667" s="74"/>
      <c r="Z1667" s="74"/>
      <c r="AA1667" s="74"/>
      <c r="AB1667" s="74"/>
    </row>
    <row r="1668" spans="1:28" ht="12" customHeight="1">
      <c r="A1668" s="260"/>
      <c r="B1668" s="104"/>
      <c r="C1668" s="104"/>
      <c r="D1668" s="260"/>
      <c r="E1668" s="104"/>
      <c r="F1668" s="104"/>
      <c r="G1668" s="35"/>
      <c r="H1668" s="104"/>
      <c r="I1668" s="35"/>
      <c r="J1668" s="74"/>
      <c r="K1668" s="74"/>
      <c r="L1668" s="74"/>
      <c r="M1668" s="74"/>
      <c r="N1668" s="74"/>
      <c r="O1668" s="74"/>
      <c r="P1668" s="74"/>
      <c r="Q1668" s="74"/>
      <c r="R1668" s="74"/>
      <c r="S1668" s="74"/>
      <c r="T1668" s="74"/>
      <c r="U1668" s="74"/>
      <c r="V1668" s="74"/>
      <c r="W1668" s="74"/>
      <c r="X1668" s="74"/>
      <c r="Y1668" s="74"/>
      <c r="Z1668" s="74"/>
      <c r="AA1668" s="74"/>
      <c r="AB1668" s="74"/>
    </row>
    <row r="1669" spans="1:28" ht="12" customHeight="1">
      <c r="A1669" s="260"/>
      <c r="B1669" s="104"/>
      <c r="C1669" s="104"/>
      <c r="D1669" s="260"/>
      <c r="E1669" s="104"/>
      <c r="F1669" s="104"/>
      <c r="G1669" s="35"/>
      <c r="H1669" s="104"/>
      <c r="I1669" s="35"/>
      <c r="J1669" s="74"/>
      <c r="K1669" s="74"/>
      <c r="L1669" s="74"/>
      <c r="M1669" s="74"/>
      <c r="N1669" s="74"/>
      <c r="O1669" s="74"/>
      <c r="P1669" s="74"/>
      <c r="Q1669" s="74"/>
      <c r="R1669" s="74"/>
      <c r="S1669" s="74"/>
      <c r="T1669" s="74"/>
      <c r="U1669" s="74"/>
      <c r="V1669" s="74"/>
      <c r="W1669" s="74"/>
      <c r="X1669" s="74"/>
      <c r="Y1669" s="74"/>
      <c r="Z1669" s="74"/>
      <c r="AA1669" s="74"/>
      <c r="AB1669" s="74"/>
    </row>
    <row r="1670" spans="1:28" ht="12" customHeight="1">
      <c r="A1670" s="260"/>
      <c r="B1670" s="104"/>
      <c r="C1670" s="104"/>
      <c r="D1670" s="260"/>
      <c r="E1670" s="104"/>
      <c r="F1670" s="104"/>
      <c r="G1670" s="35"/>
      <c r="H1670" s="104"/>
      <c r="I1670" s="35"/>
      <c r="J1670" s="74"/>
      <c r="K1670" s="74"/>
      <c r="L1670" s="74"/>
      <c r="M1670" s="74"/>
      <c r="N1670" s="74"/>
      <c r="O1670" s="74"/>
      <c r="P1670" s="74"/>
      <c r="Q1670" s="74"/>
      <c r="R1670" s="74"/>
      <c r="S1670" s="74"/>
      <c r="T1670" s="74"/>
      <c r="U1670" s="74"/>
      <c r="V1670" s="74"/>
      <c r="W1670" s="74"/>
      <c r="X1670" s="74"/>
      <c r="Y1670" s="74"/>
      <c r="Z1670" s="74"/>
      <c r="AA1670" s="74"/>
      <c r="AB1670" s="74"/>
    </row>
    <row r="1671" spans="1:28" ht="12" customHeight="1">
      <c r="A1671" s="260"/>
      <c r="B1671" s="104"/>
      <c r="C1671" s="104"/>
      <c r="D1671" s="260"/>
      <c r="E1671" s="104"/>
      <c r="F1671" s="104"/>
      <c r="G1671" s="35"/>
      <c r="H1671" s="104"/>
      <c r="I1671" s="35"/>
      <c r="J1671" s="74"/>
      <c r="K1671" s="74"/>
      <c r="L1671" s="74"/>
      <c r="M1671" s="74"/>
      <c r="N1671" s="74"/>
      <c r="O1671" s="74"/>
      <c r="P1671" s="74"/>
      <c r="Q1671" s="74"/>
      <c r="R1671" s="74"/>
      <c r="S1671" s="74"/>
      <c r="T1671" s="74"/>
      <c r="U1671" s="74"/>
      <c r="V1671" s="74"/>
      <c r="W1671" s="74"/>
      <c r="X1671" s="74"/>
      <c r="Y1671" s="74"/>
      <c r="Z1671" s="74"/>
      <c r="AA1671" s="74"/>
      <c r="AB1671" s="74"/>
    </row>
    <row r="1672" spans="1:28" ht="12" customHeight="1">
      <c r="A1672" s="260"/>
      <c r="B1672" s="104"/>
      <c r="C1672" s="104"/>
      <c r="D1672" s="260"/>
      <c r="E1672" s="104"/>
      <c r="F1672" s="104"/>
      <c r="G1672" s="35"/>
      <c r="H1672" s="104"/>
      <c r="I1672" s="35"/>
      <c r="J1672" s="74"/>
      <c r="K1672" s="74"/>
      <c r="L1672" s="74"/>
      <c r="M1672" s="74"/>
      <c r="N1672" s="74"/>
      <c r="O1672" s="74"/>
      <c r="P1672" s="74"/>
      <c r="Q1672" s="74"/>
      <c r="R1672" s="74"/>
      <c r="S1672" s="74"/>
      <c r="T1672" s="74"/>
      <c r="U1672" s="74"/>
      <c r="V1672" s="74"/>
      <c r="W1672" s="74"/>
      <c r="X1672" s="74"/>
      <c r="Y1672" s="74"/>
      <c r="Z1672" s="74"/>
      <c r="AA1672" s="74"/>
      <c r="AB1672" s="74"/>
    </row>
    <row r="1673" spans="1:28" ht="12" customHeight="1">
      <c r="A1673" s="260"/>
      <c r="B1673" s="104"/>
      <c r="C1673" s="104"/>
      <c r="D1673" s="260"/>
      <c r="E1673" s="104"/>
      <c r="F1673" s="104"/>
      <c r="G1673" s="35"/>
      <c r="H1673" s="104"/>
      <c r="I1673" s="35"/>
      <c r="J1673" s="74"/>
      <c r="K1673" s="74"/>
      <c r="L1673" s="74"/>
      <c r="M1673" s="74"/>
      <c r="N1673" s="74"/>
      <c r="O1673" s="74"/>
      <c r="P1673" s="74"/>
      <c r="Q1673" s="74"/>
      <c r="R1673" s="74"/>
      <c r="S1673" s="74"/>
      <c r="T1673" s="74"/>
      <c r="U1673" s="74"/>
      <c r="V1673" s="74"/>
      <c r="W1673" s="74"/>
      <c r="X1673" s="74"/>
      <c r="Y1673" s="74"/>
      <c r="Z1673" s="74"/>
      <c r="AA1673" s="74"/>
      <c r="AB1673" s="74"/>
    </row>
    <row r="1674" spans="1:28" ht="12" customHeight="1">
      <c r="A1674" s="260"/>
      <c r="B1674" s="104"/>
      <c r="C1674" s="104"/>
      <c r="D1674" s="260"/>
      <c r="E1674" s="104"/>
      <c r="F1674" s="104"/>
      <c r="G1674" s="35"/>
      <c r="H1674" s="104"/>
      <c r="I1674" s="35"/>
      <c r="J1674" s="74"/>
      <c r="K1674" s="74"/>
      <c r="L1674" s="74"/>
      <c r="M1674" s="74"/>
      <c r="N1674" s="74"/>
      <c r="O1674" s="74"/>
      <c r="P1674" s="74"/>
      <c r="Q1674" s="74"/>
      <c r="R1674" s="74"/>
      <c r="S1674" s="74"/>
      <c r="T1674" s="74"/>
      <c r="U1674" s="74"/>
      <c r="V1674" s="74"/>
      <c r="W1674" s="74"/>
      <c r="X1674" s="74"/>
      <c r="Y1674" s="74"/>
      <c r="Z1674" s="74"/>
      <c r="AA1674" s="74"/>
      <c r="AB1674" s="74"/>
    </row>
    <row r="1675" spans="1:28" ht="12" customHeight="1">
      <c r="A1675" s="260"/>
      <c r="B1675" s="104"/>
      <c r="C1675" s="104"/>
      <c r="D1675" s="260"/>
      <c r="E1675" s="104"/>
      <c r="F1675" s="104"/>
      <c r="G1675" s="35"/>
      <c r="H1675" s="104"/>
      <c r="I1675" s="35"/>
      <c r="J1675" s="74"/>
      <c r="K1675" s="74"/>
      <c r="L1675" s="74"/>
      <c r="M1675" s="74"/>
      <c r="N1675" s="74"/>
      <c r="O1675" s="74"/>
      <c r="P1675" s="74"/>
      <c r="Q1675" s="74"/>
      <c r="R1675" s="74"/>
      <c r="S1675" s="74"/>
      <c r="T1675" s="74"/>
      <c r="U1675" s="74"/>
      <c r="V1675" s="74"/>
      <c r="W1675" s="74"/>
      <c r="X1675" s="74"/>
      <c r="Y1675" s="74"/>
      <c r="Z1675" s="74"/>
      <c r="AA1675" s="74"/>
      <c r="AB1675" s="74"/>
    </row>
    <row r="1676" spans="1:28" ht="12" customHeight="1">
      <c r="A1676" s="260"/>
      <c r="B1676" s="104"/>
      <c r="C1676" s="104"/>
      <c r="D1676" s="260"/>
      <c r="E1676" s="104"/>
      <c r="F1676" s="104"/>
      <c r="G1676" s="35"/>
      <c r="H1676" s="104"/>
      <c r="I1676" s="35"/>
      <c r="J1676" s="74"/>
      <c r="K1676" s="74"/>
      <c r="L1676" s="74"/>
      <c r="M1676" s="74"/>
      <c r="N1676" s="74"/>
      <c r="O1676" s="74"/>
      <c r="P1676" s="74"/>
      <c r="Q1676" s="74"/>
      <c r="R1676" s="74"/>
      <c r="S1676" s="74"/>
      <c r="T1676" s="74"/>
      <c r="U1676" s="74"/>
      <c r="V1676" s="74"/>
      <c r="W1676" s="74"/>
      <c r="X1676" s="74"/>
      <c r="Y1676" s="74"/>
      <c r="Z1676" s="74"/>
      <c r="AA1676" s="74"/>
      <c r="AB1676" s="74"/>
    </row>
    <row r="1677" spans="1:28" ht="12" customHeight="1">
      <c r="A1677" s="260"/>
      <c r="B1677" s="104"/>
      <c r="C1677" s="104"/>
      <c r="D1677" s="260"/>
      <c r="E1677" s="104"/>
      <c r="F1677" s="104"/>
      <c r="G1677" s="35"/>
      <c r="H1677" s="104"/>
      <c r="I1677" s="35"/>
      <c r="J1677" s="74"/>
      <c r="K1677" s="74"/>
      <c r="L1677" s="74"/>
      <c r="M1677" s="74"/>
      <c r="N1677" s="74"/>
      <c r="O1677" s="74"/>
      <c r="P1677" s="74"/>
      <c r="Q1677" s="74"/>
      <c r="R1677" s="74"/>
      <c r="S1677" s="74"/>
      <c r="T1677" s="74"/>
      <c r="U1677" s="74"/>
      <c r="V1677" s="74"/>
      <c r="W1677" s="74"/>
      <c r="X1677" s="74"/>
      <c r="Y1677" s="74"/>
      <c r="Z1677" s="74"/>
      <c r="AA1677" s="74"/>
      <c r="AB1677" s="74"/>
    </row>
    <row r="1678" spans="1:28" ht="12" customHeight="1">
      <c r="A1678" s="260"/>
      <c r="B1678" s="104"/>
      <c r="C1678" s="104"/>
      <c r="D1678" s="260"/>
      <c r="E1678" s="104"/>
      <c r="F1678" s="104"/>
      <c r="G1678" s="35"/>
      <c r="H1678" s="104"/>
      <c r="I1678" s="35"/>
      <c r="J1678" s="74"/>
      <c r="K1678" s="74"/>
      <c r="L1678" s="74"/>
      <c r="M1678" s="74"/>
      <c r="N1678" s="74"/>
      <c r="O1678" s="74"/>
      <c r="P1678" s="74"/>
      <c r="Q1678" s="74"/>
      <c r="R1678" s="74"/>
      <c r="S1678" s="74"/>
      <c r="T1678" s="74"/>
      <c r="U1678" s="74"/>
      <c r="V1678" s="74"/>
      <c r="W1678" s="74"/>
      <c r="X1678" s="74"/>
      <c r="Y1678" s="74"/>
      <c r="Z1678" s="74"/>
      <c r="AA1678" s="74"/>
      <c r="AB1678" s="74"/>
    </row>
    <row r="1679" spans="1:28" ht="12" customHeight="1">
      <c r="A1679" s="260"/>
      <c r="B1679" s="104"/>
      <c r="C1679" s="104"/>
      <c r="D1679" s="260"/>
      <c r="E1679" s="104"/>
      <c r="F1679" s="104"/>
      <c r="G1679" s="35"/>
      <c r="H1679" s="104"/>
      <c r="I1679" s="35"/>
      <c r="J1679" s="74"/>
      <c r="K1679" s="74"/>
      <c r="L1679" s="74"/>
      <c r="M1679" s="74"/>
      <c r="N1679" s="74"/>
      <c r="O1679" s="74"/>
      <c r="P1679" s="74"/>
      <c r="Q1679" s="74"/>
      <c r="R1679" s="74"/>
      <c r="S1679" s="74"/>
      <c r="T1679" s="74"/>
      <c r="U1679" s="74"/>
      <c r="V1679" s="74"/>
      <c r="W1679" s="74"/>
      <c r="X1679" s="74"/>
      <c r="Y1679" s="74"/>
      <c r="Z1679" s="74"/>
      <c r="AA1679" s="74"/>
      <c r="AB1679" s="74"/>
    </row>
    <row r="1680" spans="1:28" ht="12" customHeight="1">
      <c r="A1680" s="260"/>
      <c r="B1680" s="104"/>
      <c r="C1680" s="104"/>
      <c r="D1680" s="260"/>
      <c r="E1680" s="104"/>
      <c r="F1680" s="104"/>
      <c r="G1680" s="35"/>
      <c r="H1680" s="104"/>
      <c r="I1680" s="35"/>
      <c r="J1680" s="74"/>
      <c r="K1680" s="74"/>
      <c r="L1680" s="74"/>
      <c r="M1680" s="74"/>
      <c r="N1680" s="74"/>
      <c r="O1680" s="74"/>
      <c r="P1680" s="74"/>
      <c r="Q1680" s="74"/>
      <c r="R1680" s="74"/>
      <c r="S1680" s="74"/>
      <c r="T1680" s="74"/>
      <c r="U1680" s="74"/>
      <c r="V1680" s="74"/>
      <c r="W1680" s="74"/>
      <c r="X1680" s="74"/>
      <c r="Y1680" s="74"/>
      <c r="Z1680" s="74"/>
      <c r="AA1680" s="74"/>
      <c r="AB1680" s="74"/>
    </row>
    <row r="1681" spans="1:28" ht="12" customHeight="1">
      <c r="A1681" s="260"/>
      <c r="B1681" s="104"/>
      <c r="C1681" s="104"/>
      <c r="D1681" s="260"/>
      <c r="E1681" s="104"/>
      <c r="F1681" s="104"/>
      <c r="G1681" s="35"/>
      <c r="H1681" s="104"/>
      <c r="I1681" s="35"/>
      <c r="J1681" s="74"/>
      <c r="K1681" s="74"/>
      <c r="L1681" s="74"/>
      <c r="M1681" s="74"/>
      <c r="N1681" s="74"/>
      <c r="O1681" s="74"/>
      <c r="P1681" s="74"/>
      <c r="Q1681" s="74"/>
      <c r="R1681" s="74"/>
      <c r="S1681" s="74"/>
      <c r="T1681" s="74"/>
      <c r="U1681" s="74"/>
      <c r="V1681" s="74"/>
      <c r="W1681" s="74"/>
      <c r="X1681" s="74"/>
      <c r="Y1681" s="74"/>
      <c r="Z1681" s="74"/>
      <c r="AA1681" s="74"/>
      <c r="AB1681" s="74"/>
    </row>
    <row r="1682" spans="1:28" ht="12" customHeight="1">
      <c r="A1682" s="260"/>
      <c r="B1682" s="104"/>
      <c r="C1682" s="104"/>
      <c r="D1682" s="260"/>
      <c r="E1682" s="104"/>
      <c r="F1682" s="104"/>
      <c r="G1682" s="35"/>
      <c r="H1682" s="104"/>
      <c r="I1682" s="35"/>
      <c r="J1682" s="74"/>
      <c r="K1682" s="74"/>
      <c r="L1682" s="74"/>
      <c r="M1682" s="74"/>
      <c r="N1682" s="74"/>
      <c r="O1682" s="74"/>
      <c r="P1682" s="74"/>
      <c r="Q1682" s="74"/>
      <c r="R1682" s="74"/>
      <c r="S1682" s="74"/>
      <c r="T1682" s="74"/>
      <c r="U1682" s="74"/>
      <c r="V1682" s="74"/>
      <c r="W1682" s="74"/>
      <c r="X1682" s="74"/>
      <c r="Y1682" s="74"/>
      <c r="Z1682" s="74"/>
      <c r="AA1682" s="74"/>
      <c r="AB1682" s="74"/>
    </row>
    <row r="1683" spans="1:28" ht="12" customHeight="1">
      <c r="A1683" s="260"/>
      <c r="B1683" s="104"/>
      <c r="C1683" s="104"/>
      <c r="D1683" s="260"/>
      <c r="E1683" s="104"/>
      <c r="F1683" s="104"/>
      <c r="G1683" s="35"/>
      <c r="H1683" s="104"/>
      <c r="I1683" s="35"/>
      <c r="J1683" s="74"/>
      <c r="K1683" s="74"/>
      <c r="L1683" s="74"/>
      <c r="M1683" s="74"/>
      <c r="N1683" s="74"/>
      <c r="O1683" s="74"/>
      <c r="P1683" s="74"/>
      <c r="Q1683" s="74"/>
      <c r="R1683" s="74"/>
      <c r="S1683" s="74"/>
      <c r="T1683" s="74"/>
      <c r="U1683" s="74"/>
      <c r="V1683" s="74"/>
      <c r="W1683" s="74"/>
      <c r="X1683" s="74"/>
      <c r="Y1683" s="74"/>
      <c r="Z1683" s="74"/>
      <c r="AA1683" s="74"/>
      <c r="AB1683" s="74"/>
    </row>
    <row r="1684" spans="1:28" ht="12" customHeight="1">
      <c r="A1684" s="260"/>
      <c r="B1684" s="104"/>
      <c r="C1684" s="104"/>
      <c r="D1684" s="260"/>
      <c r="E1684" s="104"/>
      <c r="F1684" s="104"/>
      <c r="G1684" s="35"/>
      <c r="H1684" s="104"/>
      <c r="I1684" s="35"/>
      <c r="J1684" s="74"/>
      <c r="K1684" s="74"/>
      <c r="L1684" s="74"/>
      <c r="M1684" s="74"/>
      <c r="N1684" s="74"/>
      <c r="O1684" s="74"/>
      <c r="P1684" s="74"/>
      <c r="Q1684" s="74"/>
      <c r="R1684" s="74"/>
      <c r="S1684" s="74"/>
      <c r="T1684" s="74"/>
      <c r="U1684" s="74"/>
      <c r="V1684" s="74"/>
      <c r="W1684" s="74"/>
      <c r="X1684" s="74"/>
      <c r="Y1684" s="74"/>
      <c r="Z1684" s="74"/>
      <c r="AA1684" s="74"/>
      <c r="AB1684" s="74"/>
    </row>
    <row r="1685" spans="1:28" ht="12" customHeight="1">
      <c r="A1685" s="260"/>
      <c r="B1685" s="104"/>
      <c r="C1685" s="104"/>
      <c r="D1685" s="260"/>
      <c r="E1685" s="104"/>
      <c r="F1685" s="104"/>
      <c r="G1685" s="35"/>
      <c r="H1685" s="104"/>
      <c r="I1685" s="35"/>
      <c r="J1685" s="74"/>
      <c r="K1685" s="74"/>
      <c r="L1685" s="74"/>
      <c r="M1685" s="74"/>
      <c r="N1685" s="74"/>
      <c r="O1685" s="74"/>
      <c r="P1685" s="74"/>
      <c r="Q1685" s="74"/>
      <c r="R1685" s="74"/>
      <c r="S1685" s="74"/>
      <c r="T1685" s="74"/>
      <c r="U1685" s="74"/>
      <c r="V1685" s="74"/>
      <c r="W1685" s="74"/>
      <c r="X1685" s="74"/>
      <c r="Y1685" s="74"/>
      <c r="Z1685" s="74"/>
      <c r="AA1685" s="74"/>
      <c r="AB1685" s="74"/>
    </row>
    <row r="1686" spans="1:28" ht="12" customHeight="1">
      <c r="A1686" s="260"/>
      <c r="B1686" s="104"/>
      <c r="C1686" s="104"/>
      <c r="D1686" s="260"/>
      <c r="E1686" s="104"/>
      <c r="F1686" s="104"/>
      <c r="G1686" s="35"/>
      <c r="H1686" s="104"/>
      <c r="I1686" s="35"/>
      <c r="J1686" s="74"/>
      <c r="K1686" s="74"/>
      <c r="L1686" s="74"/>
      <c r="M1686" s="74"/>
      <c r="N1686" s="74"/>
      <c r="O1686" s="74"/>
      <c r="P1686" s="74"/>
      <c r="Q1686" s="74"/>
      <c r="R1686" s="74"/>
      <c r="S1686" s="74"/>
      <c r="T1686" s="74"/>
      <c r="U1686" s="74"/>
      <c r="V1686" s="74"/>
      <c r="W1686" s="74"/>
      <c r="X1686" s="74"/>
      <c r="Y1686" s="74"/>
      <c r="Z1686" s="74"/>
      <c r="AA1686" s="74"/>
      <c r="AB1686" s="74"/>
    </row>
    <row r="1687" spans="1:28" ht="12" customHeight="1">
      <c r="A1687" s="260"/>
      <c r="B1687" s="104"/>
      <c r="C1687" s="104"/>
      <c r="D1687" s="260"/>
      <c r="E1687" s="104"/>
      <c r="F1687" s="104"/>
      <c r="G1687" s="35"/>
      <c r="H1687" s="104"/>
      <c r="I1687" s="35"/>
      <c r="J1687" s="74"/>
      <c r="K1687" s="74"/>
      <c r="L1687" s="74"/>
      <c r="M1687" s="74"/>
      <c r="N1687" s="74"/>
      <c r="O1687" s="74"/>
      <c r="P1687" s="74"/>
      <c r="Q1687" s="74"/>
      <c r="R1687" s="74"/>
      <c r="S1687" s="74"/>
      <c r="T1687" s="74"/>
      <c r="U1687" s="74"/>
      <c r="V1687" s="74"/>
      <c r="W1687" s="74"/>
      <c r="X1687" s="74"/>
      <c r="Y1687" s="74"/>
      <c r="Z1687" s="74"/>
      <c r="AA1687" s="74"/>
      <c r="AB1687" s="74"/>
    </row>
    <row r="1688" spans="1:28" ht="12" customHeight="1">
      <c r="A1688" s="260"/>
      <c r="B1688" s="104"/>
      <c r="C1688" s="104"/>
      <c r="D1688" s="260"/>
      <c r="E1688" s="104"/>
      <c r="F1688" s="104"/>
      <c r="G1688" s="35"/>
      <c r="H1688" s="104"/>
      <c r="I1688" s="35"/>
      <c r="J1688" s="74"/>
      <c r="K1688" s="74"/>
      <c r="L1688" s="74"/>
      <c r="M1688" s="74"/>
      <c r="N1688" s="74"/>
      <c r="O1688" s="74"/>
      <c r="P1688" s="74"/>
      <c r="Q1688" s="74"/>
      <c r="R1688" s="74"/>
      <c r="S1688" s="74"/>
      <c r="T1688" s="74"/>
      <c r="U1688" s="74"/>
      <c r="V1688" s="74"/>
      <c r="W1688" s="74"/>
      <c r="X1688" s="74"/>
      <c r="Y1688" s="74"/>
      <c r="Z1688" s="74"/>
      <c r="AA1688" s="74"/>
      <c r="AB1688" s="74"/>
    </row>
    <row r="1689" spans="1:28" ht="12" customHeight="1">
      <c r="A1689" s="260"/>
      <c r="B1689" s="104"/>
      <c r="C1689" s="104"/>
      <c r="D1689" s="260"/>
      <c r="E1689" s="104"/>
      <c r="F1689" s="104"/>
      <c r="G1689" s="35"/>
      <c r="H1689" s="104"/>
      <c r="I1689" s="35"/>
      <c r="J1689" s="74"/>
      <c r="K1689" s="74"/>
      <c r="L1689" s="74"/>
      <c r="M1689" s="74"/>
      <c r="N1689" s="74"/>
      <c r="O1689" s="74"/>
      <c r="P1689" s="74"/>
      <c r="Q1689" s="74"/>
      <c r="R1689" s="74"/>
      <c r="S1689" s="74"/>
      <c r="T1689" s="74"/>
      <c r="U1689" s="74"/>
      <c r="V1689" s="74"/>
      <c r="W1689" s="74"/>
      <c r="X1689" s="74"/>
      <c r="Y1689" s="74"/>
      <c r="Z1689" s="74"/>
      <c r="AA1689" s="74"/>
      <c r="AB1689" s="74"/>
    </row>
    <row r="1690" spans="1:28" ht="12" customHeight="1">
      <c r="A1690" s="260"/>
      <c r="B1690" s="104"/>
      <c r="C1690" s="104"/>
      <c r="D1690" s="260"/>
      <c r="E1690" s="104"/>
      <c r="F1690" s="104"/>
      <c r="G1690" s="35"/>
      <c r="H1690" s="104"/>
      <c r="I1690" s="35"/>
      <c r="J1690" s="74"/>
      <c r="K1690" s="74"/>
      <c r="L1690" s="74"/>
      <c r="M1690" s="74"/>
      <c r="N1690" s="74"/>
      <c r="O1690" s="74"/>
      <c r="P1690" s="74"/>
      <c r="Q1690" s="74"/>
      <c r="R1690" s="74"/>
      <c r="S1690" s="74"/>
      <c r="T1690" s="74"/>
      <c r="U1690" s="74"/>
      <c r="V1690" s="74"/>
      <c r="W1690" s="74"/>
      <c r="X1690" s="74"/>
      <c r="Y1690" s="74"/>
      <c r="Z1690" s="74"/>
      <c r="AA1690" s="74"/>
      <c r="AB1690" s="74"/>
    </row>
    <row r="1691" spans="1:28" ht="12" customHeight="1">
      <c r="A1691" s="260"/>
      <c r="B1691" s="104"/>
      <c r="C1691" s="104"/>
      <c r="D1691" s="260"/>
      <c r="E1691" s="104"/>
      <c r="F1691" s="104"/>
      <c r="G1691" s="35"/>
      <c r="H1691" s="104"/>
      <c r="I1691" s="35"/>
      <c r="J1691" s="74"/>
      <c r="K1691" s="74"/>
      <c r="L1691" s="74"/>
      <c r="M1691" s="74"/>
      <c r="N1691" s="74"/>
      <c r="O1691" s="74"/>
      <c r="P1691" s="74"/>
      <c r="Q1691" s="74"/>
      <c r="R1691" s="74"/>
      <c r="S1691" s="74"/>
      <c r="T1691" s="74"/>
      <c r="U1691" s="74"/>
      <c r="V1691" s="74"/>
      <c r="W1691" s="74"/>
      <c r="X1691" s="74"/>
      <c r="Y1691" s="74"/>
      <c r="Z1691" s="74"/>
      <c r="AA1691" s="74"/>
      <c r="AB1691" s="74"/>
    </row>
    <row r="1692" spans="1:28" ht="12" customHeight="1">
      <c r="A1692" s="260"/>
      <c r="B1692" s="104"/>
      <c r="C1692" s="104"/>
      <c r="D1692" s="260"/>
      <c r="E1692" s="104"/>
      <c r="F1692" s="104"/>
      <c r="G1692" s="35"/>
      <c r="H1692" s="104"/>
      <c r="I1692" s="35"/>
      <c r="J1692" s="74"/>
      <c r="K1692" s="74"/>
      <c r="L1692" s="74"/>
      <c r="M1692" s="74"/>
      <c r="N1692" s="74"/>
      <c r="O1692" s="74"/>
      <c r="P1692" s="74"/>
      <c r="Q1692" s="74"/>
      <c r="R1692" s="74"/>
      <c r="S1692" s="74"/>
      <c r="T1692" s="74"/>
      <c r="U1692" s="74"/>
      <c r="V1692" s="74"/>
      <c r="W1692" s="74"/>
      <c r="X1692" s="74"/>
      <c r="Y1692" s="74"/>
      <c r="Z1692" s="74"/>
      <c r="AA1692" s="74"/>
      <c r="AB1692" s="74"/>
    </row>
    <row r="1693" spans="1:28" ht="12" customHeight="1">
      <c r="A1693" s="260"/>
      <c r="B1693" s="104"/>
      <c r="C1693" s="104"/>
      <c r="D1693" s="260"/>
      <c r="E1693" s="104"/>
      <c r="F1693" s="104"/>
      <c r="G1693" s="35"/>
      <c r="H1693" s="104"/>
      <c r="I1693" s="35"/>
      <c r="J1693" s="74"/>
      <c r="K1693" s="74"/>
      <c r="L1693" s="74"/>
      <c r="M1693" s="74"/>
      <c r="N1693" s="74"/>
      <c r="O1693" s="74"/>
      <c r="P1693" s="74"/>
      <c r="Q1693" s="74"/>
      <c r="R1693" s="74"/>
      <c r="S1693" s="74"/>
      <c r="T1693" s="74"/>
      <c r="U1693" s="74"/>
      <c r="V1693" s="74"/>
      <c r="W1693" s="74"/>
      <c r="X1693" s="74"/>
      <c r="Y1693" s="74"/>
      <c r="Z1693" s="74"/>
      <c r="AA1693" s="74"/>
      <c r="AB1693" s="74"/>
    </row>
    <row r="1694" spans="1:28" ht="12" customHeight="1">
      <c r="A1694" s="260"/>
      <c r="B1694" s="104"/>
      <c r="C1694" s="104"/>
      <c r="D1694" s="260"/>
      <c r="E1694" s="104"/>
      <c r="F1694" s="104"/>
      <c r="G1694" s="35"/>
      <c r="H1694" s="104"/>
      <c r="I1694" s="35"/>
      <c r="J1694" s="74"/>
      <c r="K1694" s="74"/>
      <c r="L1694" s="74"/>
      <c r="M1694" s="74"/>
      <c r="N1694" s="74"/>
      <c r="O1694" s="74"/>
      <c r="P1694" s="74"/>
      <c r="Q1694" s="74"/>
      <c r="R1694" s="74"/>
      <c r="S1694" s="74"/>
      <c r="T1694" s="74"/>
      <c r="U1694" s="74"/>
      <c r="V1694" s="74"/>
      <c r="W1694" s="74"/>
      <c r="X1694" s="74"/>
      <c r="Y1694" s="74"/>
      <c r="Z1694" s="74"/>
      <c r="AA1694" s="74"/>
      <c r="AB1694" s="74"/>
    </row>
    <row r="1695" spans="1:28" ht="12" customHeight="1">
      <c r="A1695" s="260"/>
      <c r="B1695" s="104"/>
      <c r="C1695" s="104"/>
      <c r="D1695" s="260"/>
      <c r="E1695" s="104"/>
      <c r="F1695" s="104"/>
      <c r="G1695" s="35"/>
      <c r="H1695" s="104"/>
      <c r="I1695" s="35"/>
      <c r="J1695" s="74"/>
      <c r="K1695" s="74"/>
      <c r="L1695" s="74"/>
      <c r="M1695" s="74"/>
      <c r="N1695" s="74"/>
      <c r="O1695" s="74"/>
      <c r="P1695" s="74"/>
      <c r="Q1695" s="74"/>
      <c r="R1695" s="74"/>
      <c r="S1695" s="74"/>
      <c r="T1695" s="74"/>
      <c r="U1695" s="74"/>
      <c r="V1695" s="74"/>
      <c r="W1695" s="74"/>
      <c r="X1695" s="74"/>
      <c r="Y1695" s="74"/>
      <c r="Z1695" s="74"/>
      <c r="AA1695" s="74"/>
      <c r="AB1695" s="74"/>
    </row>
    <row r="1696" spans="1:28" ht="12" customHeight="1">
      <c r="A1696" s="260"/>
      <c r="B1696" s="104"/>
      <c r="C1696" s="104"/>
      <c r="D1696" s="260"/>
      <c r="E1696" s="104"/>
      <c r="F1696" s="104"/>
      <c r="G1696" s="35"/>
      <c r="H1696" s="104"/>
      <c r="I1696" s="35"/>
      <c r="J1696" s="74"/>
      <c r="K1696" s="74"/>
      <c r="L1696" s="74"/>
      <c r="M1696" s="74"/>
      <c r="N1696" s="74"/>
      <c r="O1696" s="74"/>
      <c r="P1696" s="74"/>
      <c r="Q1696" s="74"/>
      <c r="R1696" s="74"/>
      <c r="S1696" s="74"/>
      <c r="T1696" s="74"/>
      <c r="U1696" s="74"/>
      <c r="V1696" s="74"/>
      <c r="W1696" s="74"/>
      <c r="X1696" s="74"/>
      <c r="Y1696" s="74"/>
      <c r="Z1696" s="74"/>
      <c r="AA1696" s="74"/>
      <c r="AB1696" s="74"/>
    </row>
    <row r="1697" spans="1:28" ht="12" customHeight="1">
      <c r="A1697" s="260"/>
      <c r="B1697" s="104"/>
      <c r="C1697" s="104"/>
      <c r="D1697" s="260"/>
      <c r="E1697" s="104"/>
      <c r="F1697" s="104"/>
      <c r="G1697" s="35"/>
      <c r="H1697" s="104"/>
      <c r="I1697" s="35"/>
      <c r="J1697" s="74"/>
      <c r="K1697" s="74"/>
      <c r="L1697" s="74"/>
      <c r="M1697" s="74"/>
      <c r="N1697" s="74"/>
      <c r="O1697" s="74"/>
      <c r="P1697" s="74"/>
      <c r="Q1697" s="74"/>
      <c r="R1697" s="74"/>
      <c r="S1697" s="74"/>
      <c r="T1697" s="74"/>
      <c r="U1697" s="74"/>
      <c r="V1697" s="74"/>
      <c r="W1697" s="74"/>
      <c r="X1697" s="74"/>
      <c r="Y1697" s="74"/>
      <c r="Z1697" s="74"/>
      <c r="AA1697" s="74"/>
      <c r="AB1697" s="74"/>
    </row>
    <row r="1698" spans="1:28" ht="12" customHeight="1">
      <c r="A1698" s="260"/>
      <c r="B1698" s="104"/>
      <c r="C1698" s="104"/>
      <c r="D1698" s="260"/>
      <c r="E1698" s="104"/>
      <c r="F1698" s="104"/>
      <c r="G1698" s="35"/>
      <c r="H1698" s="104"/>
      <c r="I1698" s="35"/>
      <c r="J1698" s="74"/>
      <c r="K1698" s="74"/>
      <c r="L1698" s="74"/>
      <c r="M1698" s="74"/>
      <c r="N1698" s="74"/>
      <c r="O1698" s="74"/>
      <c r="P1698" s="74"/>
      <c r="Q1698" s="74"/>
      <c r="R1698" s="74"/>
      <c r="S1698" s="74"/>
      <c r="T1698" s="74"/>
      <c r="U1698" s="74"/>
      <c r="V1698" s="74"/>
      <c r="W1698" s="74"/>
      <c r="X1698" s="74"/>
      <c r="Y1698" s="74"/>
      <c r="Z1698" s="74"/>
      <c r="AA1698" s="74"/>
      <c r="AB1698" s="74"/>
    </row>
    <row r="1699" spans="1:28" ht="12" customHeight="1">
      <c r="A1699" s="260"/>
      <c r="B1699" s="104"/>
      <c r="C1699" s="104"/>
      <c r="D1699" s="260"/>
      <c r="E1699" s="104"/>
      <c r="F1699" s="104"/>
      <c r="G1699" s="35"/>
      <c r="H1699" s="104"/>
      <c r="I1699" s="35"/>
      <c r="J1699" s="74"/>
      <c r="K1699" s="74"/>
      <c r="L1699" s="74"/>
      <c r="M1699" s="74"/>
      <c r="N1699" s="74"/>
      <c r="O1699" s="74"/>
      <c r="P1699" s="74"/>
      <c r="Q1699" s="74"/>
      <c r="R1699" s="74"/>
      <c r="S1699" s="74"/>
      <c r="T1699" s="74"/>
      <c r="U1699" s="74"/>
      <c r="V1699" s="74"/>
      <c r="W1699" s="74"/>
      <c r="X1699" s="74"/>
      <c r="Y1699" s="74"/>
      <c r="Z1699" s="74"/>
      <c r="AA1699" s="74"/>
      <c r="AB1699" s="74"/>
    </row>
    <row r="1700" spans="1:28" ht="12" customHeight="1">
      <c r="A1700" s="260"/>
      <c r="B1700" s="104"/>
      <c r="C1700" s="104"/>
      <c r="D1700" s="260"/>
      <c r="E1700" s="104"/>
      <c r="F1700" s="104"/>
      <c r="G1700" s="35"/>
      <c r="H1700" s="104"/>
      <c r="I1700" s="35"/>
      <c r="J1700" s="74"/>
      <c r="K1700" s="74"/>
      <c r="L1700" s="74"/>
      <c r="M1700" s="74"/>
      <c r="N1700" s="74"/>
      <c r="O1700" s="74"/>
      <c r="P1700" s="74"/>
      <c r="Q1700" s="74"/>
      <c r="R1700" s="74"/>
      <c r="S1700" s="74"/>
      <c r="T1700" s="74"/>
      <c r="U1700" s="74"/>
      <c r="V1700" s="74"/>
      <c r="W1700" s="74"/>
      <c r="X1700" s="74"/>
      <c r="Y1700" s="74"/>
      <c r="Z1700" s="74"/>
      <c r="AA1700" s="74"/>
      <c r="AB1700" s="74"/>
    </row>
    <row r="1701" spans="1:28" ht="12" customHeight="1">
      <c r="A1701" s="260"/>
      <c r="B1701" s="104"/>
      <c r="C1701" s="104"/>
      <c r="D1701" s="260"/>
      <c r="E1701" s="104"/>
      <c r="F1701" s="104"/>
      <c r="G1701" s="35"/>
      <c r="H1701" s="104"/>
      <c r="I1701" s="35"/>
      <c r="J1701" s="74"/>
      <c r="K1701" s="74"/>
      <c r="L1701" s="74"/>
      <c r="M1701" s="74"/>
      <c r="N1701" s="74"/>
      <c r="O1701" s="74"/>
      <c r="P1701" s="74"/>
      <c r="Q1701" s="74"/>
      <c r="R1701" s="74"/>
      <c r="S1701" s="74"/>
      <c r="T1701" s="74"/>
      <c r="U1701" s="74"/>
      <c r="V1701" s="74"/>
      <c r="W1701" s="74"/>
      <c r="X1701" s="74"/>
      <c r="Y1701" s="74"/>
      <c r="Z1701" s="74"/>
      <c r="AA1701" s="74"/>
      <c r="AB1701" s="74"/>
    </row>
    <row r="1702" spans="1:28" ht="12" customHeight="1">
      <c r="A1702" s="260"/>
      <c r="B1702" s="104"/>
      <c r="C1702" s="104"/>
      <c r="D1702" s="260"/>
      <c r="E1702" s="104"/>
      <c r="F1702" s="104"/>
      <c r="G1702" s="35"/>
      <c r="H1702" s="104"/>
      <c r="I1702" s="35"/>
      <c r="J1702" s="74"/>
      <c r="K1702" s="74"/>
      <c r="L1702" s="74"/>
      <c r="M1702" s="74"/>
      <c r="N1702" s="74"/>
      <c r="O1702" s="74"/>
      <c r="P1702" s="74"/>
      <c r="Q1702" s="74"/>
      <c r="R1702" s="74"/>
      <c r="S1702" s="74"/>
      <c r="T1702" s="74"/>
      <c r="U1702" s="74"/>
      <c r="V1702" s="74"/>
      <c r="W1702" s="74"/>
      <c r="X1702" s="74"/>
      <c r="Y1702" s="74"/>
      <c r="Z1702" s="74"/>
      <c r="AA1702" s="74"/>
      <c r="AB1702" s="74"/>
    </row>
    <row r="1703" spans="1:28" ht="12" customHeight="1">
      <c r="A1703" s="260"/>
      <c r="B1703" s="104"/>
      <c r="C1703" s="104"/>
      <c r="D1703" s="260"/>
      <c r="E1703" s="104"/>
      <c r="F1703" s="104"/>
      <c r="G1703" s="35"/>
      <c r="H1703" s="104"/>
      <c r="I1703" s="35"/>
      <c r="J1703" s="74"/>
      <c r="K1703" s="74"/>
      <c r="L1703" s="74"/>
      <c r="M1703" s="74"/>
      <c r="N1703" s="74"/>
      <c r="O1703" s="74"/>
      <c r="P1703" s="74"/>
      <c r="Q1703" s="74"/>
      <c r="R1703" s="74"/>
      <c r="S1703" s="74"/>
      <c r="T1703" s="74"/>
      <c r="U1703" s="74"/>
      <c r="V1703" s="74"/>
      <c r="W1703" s="74"/>
      <c r="X1703" s="74"/>
      <c r="Y1703" s="74"/>
      <c r="Z1703" s="74"/>
      <c r="AA1703" s="74"/>
      <c r="AB1703" s="74"/>
    </row>
    <row r="1704" spans="1:28" ht="12" customHeight="1">
      <c r="A1704" s="260"/>
      <c r="B1704" s="104"/>
      <c r="C1704" s="104"/>
      <c r="D1704" s="260"/>
      <c r="E1704" s="104"/>
      <c r="F1704" s="104"/>
      <c r="G1704" s="35"/>
      <c r="H1704" s="104"/>
      <c r="I1704" s="35"/>
      <c r="J1704" s="74"/>
      <c r="K1704" s="74"/>
      <c r="L1704" s="74"/>
      <c r="M1704" s="74"/>
      <c r="N1704" s="74"/>
      <c r="O1704" s="74"/>
      <c r="P1704" s="74"/>
      <c r="Q1704" s="74"/>
      <c r="R1704" s="74"/>
      <c r="S1704" s="74"/>
      <c r="T1704" s="74"/>
      <c r="U1704" s="74"/>
      <c r="V1704" s="74"/>
      <c r="W1704" s="74"/>
      <c r="X1704" s="74"/>
      <c r="Y1704" s="74"/>
      <c r="Z1704" s="74"/>
      <c r="AA1704" s="74"/>
      <c r="AB1704" s="74"/>
    </row>
    <row r="1705" spans="1:28" ht="12" customHeight="1">
      <c r="A1705" s="260"/>
      <c r="B1705" s="104"/>
      <c r="C1705" s="104"/>
      <c r="D1705" s="260"/>
      <c r="E1705" s="104"/>
      <c r="F1705" s="104"/>
      <c r="G1705" s="35"/>
      <c r="H1705" s="104"/>
      <c r="I1705" s="35"/>
      <c r="J1705" s="74"/>
      <c r="K1705" s="74"/>
      <c r="L1705" s="74"/>
      <c r="M1705" s="74"/>
      <c r="N1705" s="74"/>
      <c r="O1705" s="74"/>
      <c r="P1705" s="74"/>
      <c r="Q1705" s="74"/>
      <c r="R1705" s="74"/>
      <c r="S1705" s="74"/>
      <c r="T1705" s="74"/>
      <c r="U1705" s="74"/>
      <c r="V1705" s="74"/>
      <c r="W1705" s="74"/>
      <c r="X1705" s="74"/>
      <c r="Y1705" s="74"/>
      <c r="Z1705" s="74"/>
      <c r="AA1705" s="74"/>
      <c r="AB1705" s="74"/>
    </row>
    <row r="1706" spans="1:28" ht="12" customHeight="1">
      <c r="A1706" s="260"/>
      <c r="B1706" s="104"/>
      <c r="C1706" s="104"/>
      <c r="D1706" s="260"/>
      <c r="E1706" s="104"/>
      <c r="F1706" s="104"/>
      <c r="G1706" s="35"/>
      <c r="H1706" s="104"/>
      <c r="I1706" s="35"/>
      <c r="J1706" s="74"/>
      <c r="K1706" s="74"/>
      <c r="L1706" s="74"/>
      <c r="M1706" s="74"/>
      <c r="N1706" s="74"/>
      <c r="O1706" s="74"/>
      <c r="P1706" s="74"/>
      <c r="Q1706" s="74"/>
      <c r="R1706" s="74"/>
      <c r="S1706" s="74"/>
      <c r="T1706" s="74"/>
      <c r="U1706" s="74"/>
      <c r="V1706" s="74"/>
      <c r="W1706" s="74"/>
      <c r="X1706" s="74"/>
      <c r="Y1706" s="74"/>
      <c r="Z1706" s="74"/>
      <c r="AA1706" s="74"/>
      <c r="AB1706" s="74"/>
    </row>
    <row r="1707" spans="1:28" ht="12" customHeight="1">
      <c r="A1707" s="260"/>
      <c r="B1707" s="104"/>
      <c r="C1707" s="104"/>
      <c r="D1707" s="260"/>
      <c r="E1707" s="104"/>
      <c r="F1707" s="104"/>
      <c r="G1707" s="35"/>
      <c r="H1707" s="104"/>
      <c r="I1707" s="35"/>
      <c r="J1707" s="74"/>
      <c r="K1707" s="74"/>
      <c r="L1707" s="74"/>
      <c r="M1707" s="74"/>
      <c r="N1707" s="74"/>
      <c r="O1707" s="74"/>
      <c r="P1707" s="74"/>
      <c r="Q1707" s="74"/>
      <c r="R1707" s="74"/>
      <c r="S1707" s="74"/>
      <c r="T1707" s="74"/>
      <c r="U1707" s="74"/>
      <c r="V1707" s="74"/>
      <c r="W1707" s="74"/>
      <c r="X1707" s="74"/>
      <c r="Y1707" s="74"/>
      <c r="Z1707" s="74"/>
      <c r="AA1707" s="74"/>
      <c r="AB1707" s="74"/>
    </row>
    <row r="1708" spans="1:28" ht="12" customHeight="1">
      <c r="A1708" s="260"/>
      <c r="B1708" s="104"/>
      <c r="C1708" s="104"/>
      <c r="D1708" s="260"/>
      <c r="E1708" s="104"/>
      <c r="F1708" s="104"/>
      <c r="G1708" s="35"/>
      <c r="H1708" s="104"/>
      <c r="I1708" s="35"/>
      <c r="J1708" s="74"/>
      <c r="K1708" s="74"/>
      <c r="L1708" s="74"/>
      <c r="M1708" s="74"/>
      <c r="N1708" s="74"/>
      <c r="O1708" s="74"/>
      <c r="P1708" s="74"/>
      <c r="Q1708" s="74"/>
      <c r="R1708" s="74"/>
      <c r="S1708" s="74"/>
      <c r="T1708" s="74"/>
      <c r="U1708" s="74"/>
      <c r="V1708" s="74"/>
      <c r="W1708" s="74"/>
      <c r="X1708" s="74"/>
      <c r="Y1708" s="74"/>
      <c r="Z1708" s="74"/>
      <c r="AA1708" s="74"/>
      <c r="AB1708" s="74"/>
    </row>
    <row r="1709" spans="1:28" ht="12" customHeight="1">
      <c r="A1709" s="260"/>
      <c r="B1709" s="104"/>
      <c r="C1709" s="104"/>
      <c r="D1709" s="260"/>
      <c r="E1709" s="104"/>
      <c r="F1709" s="104"/>
      <c r="G1709" s="35"/>
      <c r="H1709" s="104"/>
      <c r="I1709" s="35"/>
      <c r="J1709" s="74"/>
      <c r="K1709" s="74"/>
      <c r="L1709" s="74"/>
      <c r="M1709" s="74"/>
      <c r="N1709" s="74"/>
      <c r="O1709" s="74"/>
      <c r="P1709" s="74"/>
      <c r="Q1709" s="74"/>
      <c r="R1709" s="74"/>
      <c r="S1709" s="74"/>
      <c r="T1709" s="74"/>
      <c r="U1709" s="74"/>
      <c r="V1709" s="74"/>
      <c r="W1709" s="74"/>
      <c r="X1709" s="74"/>
      <c r="Y1709" s="74"/>
      <c r="Z1709" s="74"/>
      <c r="AA1709" s="74"/>
      <c r="AB1709" s="74"/>
    </row>
    <row r="1710" spans="1:28" ht="12" customHeight="1">
      <c r="A1710" s="260"/>
      <c r="B1710" s="104"/>
      <c r="C1710" s="104"/>
      <c r="D1710" s="260"/>
      <c r="E1710" s="104"/>
      <c r="F1710" s="104"/>
      <c r="G1710" s="35"/>
      <c r="H1710" s="104"/>
      <c r="I1710" s="35"/>
      <c r="J1710" s="74"/>
      <c r="K1710" s="74"/>
      <c r="L1710" s="74"/>
      <c r="M1710" s="74"/>
      <c r="N1710" s="74"/>
      <c r="O1710" s="74"/>
      <c r="P1710" s="74"/>
      <c r="Q1710" s="74"/>
      <c r="R1710" s="74"/>
      <c r="S1710" s="74"/>
      <c r="T1710" s="74"/>
      <c r="U1710" s="74"/>
      <c r="V1710" s="74"/>
      <c r="W1710" s="74"/>
      <c r="X1710" s="74"/>
      <c r="Y1710" s="74"/>
      <c r="Z1710" s="74"/>
      <c r="AA1710" s="74"/>
      <c r="AB1710" s="74"/>
    </row>
    <row r="1711" spans="1:28" ht="12" customHeight="1">
      <c r="A1711" s="260"/>
      <c r="B1711" s="104"/>
      <c r="C1711" s="104"/>
      <c r="D1711" s="260"/>
      <c r="E1711" s="104"/>
      <c r="F1711" s="104"/>
      <c r="G1711" s="35"/>
      <c r="H1711" s="104"/>
      <c r="I1711" s="35"/>
      <c r="J1711" s="74"/>
      <c r="K1711" s="74"/>
      <c r="L1711" s="74"/>
      <c r="M1711" s="74"/>
      <c r="N1711" s="74"/>
      <c r="O1711" s="74"/>
      <c r="P1711" s="74"/>
      <c r="Q1711" s="74"/>
      <c r="R1711" s="74"/>
      <c r="S1711" s="74"/>
      <c r="T1711" s="74"/>
      <c r="U1711" s="74"/>
      <c r="V1711" s="74"/>
      <c r="W1711" s="74"/>
      <c r="X1711" s="74"/>
      <c r="Y1711" s="74"/>
      <c r="Z1711" s="74"/>
      <c r="AA1711" s="74"/>
      <c r="AB1711" s="74"/>
    </row>
    <row r="1712" spans="1:28" ht="12" customHeight="1">
      <c r="A1712" s="260"/>
      <c r="B1712" s="104"/>
      <c r="C1712" s="104"/>
      <c r="D1712" s="260"/>
      <c r="E1712" s="104"/>
      <c r="F1712" s="104"/>
      <c r="G1712" s="35"/>
      <c r="H1712" s="104"/>
      <c r="I1712" s="35"/>
      <c r="J1712" s="74"/>
      <c r="K1712" s="74"/>
      <c r="L1712" s="74"/>
      <c r="M1712" s="74"/>
      <c r="N1712" s="74"/>
      <c r="O1712" s="74"/>
      <c r="P1712" s="74"/>
      <c r="Q1712" s="74"/>
      <c r="R1712" s="74"/>
      <c r="S1712" s="74"/>
      <c r="T1712" s="74"/>
      <c r="U1712" s="74"/>
      <c r="V1712" s="74"/>
      <c r="W1712" s="74"/>
      <c r="X1712" s="74"/>
      <c r="Y1712" s="74"/>
      <c r="Z1712" s="74"/>
      <c r="AA1712" s="74"/>
      <c r="AB1712" s="74"/>
    </row>
    <row r="1713" spans="1:28" ht="12" customHeight="1">
      <c r="A1713" s="260"/>
      <c r="B1713" s="104"/>
      <c r="C1713" s="104"/>
      <c r="D1713" s="260"/>
      <c r="E1713" s="104"/>
      <c r="F1713" s="104"/>
      <c r="G1713" s="35"/>
      <c r="H1713" s="104"/>
      <c r="I1713" s="35"/>
      <c r="J1713" s="74"/>
      <c r="K1713" s="74"/>
      <c r="L1713" s="74"/>
      <c r="M1713" s="74"/>
      <c r="N1713" s="74"/>
      <c r="O1713" s="74"/>
      <c r="P1713" s="74"/>
      <c r="Q1713" s="74"/>
      <c r="R1713" s="74"/>
      <c r="S1713" s="74"/>
      <c r="T1713" s="74"/>
      <c r="U1713" s="74"/>
      <c r="V1713" s="74"/>
      <c r="W1713" s="74"/>
      <c r="X1713" s="74"/>
      <c r="Y1713" s="74"/>
      <c r="Z1713" s="74"/>
      <c r="AA1713" s="74"/>
      <c r="AB1713" s="74"/>
    </row>
    <row r="1714" spans="1:28" ht="12" customHeight="1">
      <c r="A1714" s="260"/>
      <c r="B1714" s="104"/>
      <c r="C1714" s="104"/>
      <c r="D1714" s="260"/>
      <c r="E1714" s="104"/>
      <c r="F1714" s="104"/>
      <c r="G1714" s="35"/>
      <c r="H1714" s="104"/>
      <c r="I1714" s="35"/>
      <c r="J1714" s="74"/>
      <c r="K1714" s="74"/>
      <c r="L1714" s="74"/>
      <c r="M1714" s="74"/>
      <c r="N1714" s="74"/>
      <c r="O1714" s="74"/>
      <c r="P1714" s="74"/>
      <c r="Q1714" s="74"/>
      <c r="R1714" s="74"/>
      <c r="S1714" s="74"/>
      <c r="T1714" s="74"/>
      <c r="U1714" s="74"/>
      <c r="V1714" s="74"/>
      <c r="W1714" s="74"/>
      <c r="X1714" s="74"/>
      <c r="Y1714" s="74"/>
      <c r="Z1714" s="74"/>
      <c r="AA1714" s="74"/>
      <c r="AB1714" s="74"/>
    </row>
    <row r="1715" spans="1:28" ht="12" customHeight="1">
      <c r="A1715" s="260"/>
      <c r="B1715" s="104"/>
      <c r="C1715" s="104"/>
      <c r="D1715" s="260"/>
      <c r="E1715" s="104"/>
      <c r="F1715" s="104"/>
      <c r="G1715" s="35"/>
      <c r="H1715" s="104"/>
      <c r="I1715" s="35"/>
      <c r="J1715" s="74"/>
      <c r="K1715" s="74"/>
      <c r="L1715" s="74"/>
      <c r="M1715" s="74"/>
      <c r="N1715" s="74"/>
      <c r="O1715" s="74"/>
      <c r="P1715" s="74"/>
      <c r="Q1715" s="74"/>
      <c r="R1715" s="74"/>
      <c r="S1715" s="74"/>
      <c r="T1715" s="74"/>
      <c r="U1715" s="74"/>
      <c r="V1715" s="74"/>
      <c r="W1715" s="74"/>
      <c r="X1715" s="74"/>
      <c r="Y1715" s="74"/>
      <c r="Z1715" s="74"/>
      <c r="AA1715" s="74"/>
      <c r="AB1715" s="74"/>
    </row>
    <row r="1716" spans="1:28" ht="12" customHeight="1">
      <c r="A1716" s="260"/>
      <c r="B1716" s="104"/>
      <c r="C1716" s="104"/>
      <c r="D1716" s="260"/>
      <c r="E1716" s="104"/>
      <c r="F1716" s="104"/>
      <c r="G1716" s="35"/>
      <c r="H1716" s="104"/>
      <c r="I1716" s="35"/>
      <c r="J1716" s="74"/>
      <c r="K1716" s="74"/>
      <c r="L1716" s="74"/>
      <c r="M1716" s="74"/>
      <c r="N1716" s="74"/>
      <c r="O1716" s="74"/>
      <c r="P1716" s="74"/>
      <c r="Q1716" s="74"/>
      <c r="R1716" s="74"/>
      <c r="S1716" s="74"/>
      <c r="T1716" s="74"/>
      <c r="U1716" s="74"/>
      <c r="V1716" s="74"/>
      <c r="W1716" s="74"/>
      <c r="X1716" s="74"/>
      <c r="Y1716" s="74"/>
      <c r="Z1716" s="74"/>
      <c r="AA1716" s="74"/>
      <c r="AB1716" s="74"/>
    </row>
    <row r="1717" spans="1:28" ht="12" customHeight="1">
      <c r="A1717" s="260"/>
      <c r="B1717" s="104"/>
      <c r="C1717" s="104"/>
      <c r="D1717" s="260"/>
      <c r="E1717" s="104"/>
      <c r="F1717" s="104"/>
      <c r="G1717" s="35"/>
      <c r="H1717" s="104"/>
      <c r="I1717" s="35"/>
      <c r="J1717" s="74"/>
      <c r="K1717" s="74"/>
      <c r="L1717" s="74"/>
      <c r="M1717" s="74"/>
      <c r="N1717" s="74"/>
      <c r="O1717" s="74"/>
      <c r="P1717" s="74"/>
      <c r="Q1717" s="74"/>
      <c r="R1717" s="74"/>
      <c r="S1717" s="74"/>
      <c r="T1717" s="74"/>
      <c r="U1717" s="74"/>
      <c r="V1717" s="74"/>
      <c r="W1717" s="74"/>
      <c r="X1717" s="74"/>
      <c r="Y1717" s="74"/>
      <c r="Z1717" s="74"/>
      <c r="AA1717" s="74"/>
      <c r="AB1717" s="74"/>
    </row>
    <row r="1718" spans="1:28" ht="12" customHeight="1">
      <c r="A1718" s="260"/>
      <c r="B1718" s="104"/>
      <c r="C1718" s="104"/>
      <c r="D1718" s="260"/>
      <c r="E1718" s="104"/>
      <c r="F1718" s="104"/>
      <c r="G1718" s="35"/>
      <c r="H1718" s="104"/>
      <c r="I1718" s="35"/>
      <c r="J1718" s="74"/>
      <c r="K1718" s="74"/>
      <c r="L1718" s="74"/>
      <c r="M1718" s="74"/>
      <c r="N1718" s="74"/>
      <c r="O1718" s="74"/>
      <c r="P1718" s="74"/>
      <c r="Q1718" s="74"/>
      <c r="R1718" s="74"/>
      <c r="S1718" s="74"/>
      <c r="T1718" s="74"/>
      <c r="U1718" s="74"/>
      <c r="V1718" s="74"/>
      <c r="W1718" s="74"/>
      <c r="X1718" s="74"/>
      <c r="Y1718" s="74"/>
      <c r="Z1718" s="74"/>
      <c r="AA1718" s="74"/>
      <c r="AB1718" s="74"/>
    </row>
    <row r="1719" spans="1:28" ht="12" customHeight="1">
      <c r="A1719" s="260"/>
      <c r="B1719" s="104"/>
      <c r="C1719" s="104"/>
      <c r="D1719" s="260"/>
      <c r="E1719" s="104"/>
      <c r="F1719" s="104"/>
      <c r="G1719" s="35"/>
      <c r="H1719" s="104"/>
      <c r="I1719" s="35"/>
      <c r="J1719" s="74"/>
      <c r="K1719" s="74"/>
      <c r="L1719" s="74"/>
      <c r="M1719" s="74"/>
      <c r="N1719" s="74"/>
      <c r="O1719" s="74"/>
      <c r="P1719" s="74"/>
      <c r="Q1719" s="74"/>
      <c r="R1719" s="74"/>
      <c r="S1719" s="74"/>
      <c r="T1719" s="74"/>
      <c r="U1719" s="74"/>
      <c r="V1719" s="74"/>
      <c r="W1719" s="74"/>
      <c r="X1719" s="74"/>
      <c r="Y1719" s="74"/>
      <c r="Z1719" s="74"/>
      <c r="AA1719" s="74"/>
      <c r="AB1719" s="74"/>
    </row>
    <row r="1720" spans="1:28" ht="12" customHeight="1">
      <c r="A1720" s="260"/>
      <c r="B1720" s="104"/>
      <c r="C1720" s="104"/>
      <c r="D1720" s="260"/>
      <c r="E1720" s="104"/>
      <c r="F1720" s="104"/>
      <c r="G1720" s="35"/>
      <c r="H1720" s="104"/>
      <c r="I1720" s="35"/>
      <c r="J1720" s="74"/>
      <c r="K1720" s="74"/>
      <c r="L1720" s="74"/>
      <c r="M1720" s="74"/>
      <c r="N1720" s="74"/>
      <c r="O1720" s="74"/>
      <c r="P1720" s="74"/>
      <c r="Q1720" s="74"/>
      <c r="R1720" s="74"/>
      <c r="S1720" s="74"/>
      <c r="T1720" s="74"/>
      <c r="U1720" s="74"/>
      <c r="V1720" s="74"/>
      <c r="W1720" s="74"/>
      <c r="X1720" s="74"/>
      <c r="Y1720" s="74"/>
      <c r="Z1720" s="74"/>
      <c r="AA1720" s="74"/>
      <c r="AB1720" s="74"/>
    </row>
    <row r="1721" spans="1:28" ht="12" customHeight="1">
      <c r="A1721" s="260"/>
      <c r="B1721" s="104"/>
      <c r="C1721" s="104"/>
      <c r="D1721" s="260"/>
      <c r="E1721" s="104"/>
      <c r="F1721" s="104"/>
      <c r="G1721" s="35"/>
      <c r="H1721" s="104"/>
      <c r="I1721" s="35"/>
      <c r="J1721" s="74"/>
      <c r="K1721" s="74"/>
      <c r="L1721" s="74"/>
      <c r="M1721" s="74"/>
      <c r="N1721" s="74"/>
      <c r="O1721" s="74"/>
      <c r="P1721" s="74"/>
      <c r="Q1721" s="74"/>
      <c r="R1721" s="74"/>
      <c r="S1721" s="74"/>
      <c r="T1721" s="74"/>
      <c r="U1721" s="74"/>
      <c r="V1721" s="74"/>
      <c r="W1721" s="74"/>
      <c r="X1721" s="74"/>
      <c r="Y1721" s="74"/>
      <c r="Z1721" s="74"/>
      <c r="AA1721" s="74"/>
      <c r="AB1721" s="74"/>
    </row>
    <row r="1722" spans="1:28" ht="12" customHeight="1">
      <c r="A1722" s="260"/>
      <c r="B1722" s="104"/>
      <c r="C1722" s="104"/>
      <c r="D1722" s="260"/>
      <c r="E1722" s="104"/>
      <c r="F1722" s="104"/>
      <c r="G1722" s="35"/>
      <c r="H1722" s="104"/>
      <c r="I1722" s="35"/>
      <c r="J1722" s="74"/>
      <c r="K1722" s="74"/>
      <c r="L1722" s="74"/>
      <c r="M1722" s="74"/>
      <c r="N1722" s="74"/>
      <c r="O1722" s="74"/>
      <c r="P1722" s="74"/>
      <c r="Q1722" s="74"/>
      <c r="R1722" s="74"/>
      <c r="S1722" s="74"/>
      <c r="T1722" s="74"/>
      <c r="U1722" s="74"/>
      <c r="V1722" s="74"/>
      <c r="W1722" s="74"/>
      <c r="X1722" s="74"/>
      <c r="Y1722" s="74"/>
      <c r="Z1722" s="74"/>
      <c r="AA1722" s="74"/>
      <c r="AB1722" s="74"/>
    </row>
    <row r="1723" spans="1:28" ht="12" customHeight="1">
      <c r="A1723" s="260"/>
      <c r="B1723" s="104"/>
      <c r="C1723" s="104"/>
      <c r="D1723" s="260"/>
      <c r="E1723" s="104"/>
      <c r="F1723" s="104"/>
      <c r="G1723" s="35"/>
      <c r="H1723" s="104"/>
      <c r="I1723" s="35"/>
      <c r="J1723" s="74"/>
      <c r="K1723" s="74"/>
      <c r="L1723" s="74"/>
      <c r="M1723" s="74"/>
      <c r="N1723" s="74"/>
      <c r="O1723" s="74"/>
      <c r="P1723" s="74"/>
      <c r="Q1723" s="74"/>
      <c r="R1723" s="74"/>
      <c r="S1723" s="74"/>
      <c r="T1723" s="74"/>
      <c r="U1723" s="74"/>
      <c r="V1723" s="74"/>
      <c r="W1723" s="74"/>
      <c r="X1723" s="74"/>
      <c r="Y1723" s="74"/>
      <c r="Z1723" s="74"/>
      <c r="AA1723" s="74"/>
      <c r="AB1723" s="74"/>
    </row>
    <row r="1724" spans="1:28" ht="12" customHeight="1">
      <c r="A1724" s="260"/>
      <c r="B1724" s="104"/>
      <c r="C1724" s="104"/>
      <c r="D1724" s="260"/>
      <c r="E1724" s="104"/>
      <c r="F1724" s="104"/>
      <c r="G1724" s="35"/>
      <c r="H1724" s="104"/>
      <c r="I1724" s="35"/>
      <c r="J1724" s="74"/>
      <c r="K1724" s="74"/>
      <c r="L1724" s="74"/>
      <c r="M1724" s="74"/>
      <c r="N1724" s="74"/>
      <c r="O1724" s="74"/>
      <c r="P1724" s="74"/>
      <c r="Q1724" s="74"/>
      <c r="R1724" s="74"/>
      <c r="S1724" s="74"/>
      <c r="T1724" s="74"/>
      <c r="U1724" s="74"/>
      <c r="V1724" s="74"/>
      <c r="W1724" s="74"/>
      <c r="X1724" s="74"/>
      <c r="Y1724" s="74"/>
      <c r="Z1724" s="74"/>
      <c r="AA1724" s="74"/>
      <c r="AB1724" s="74"/>
    </row>
    <row r="1725" spans="1:28" ht="12" customHeight="1">
      <c r="A1725" s="260"/>
      <c r="B1725" s="104"/>
      <c r="C1725" s="104"/>
      <c r="D1725" s="260"/>
      <c r="E1725" s="104"/>
      <c r="F1725" s="104"/>
      <c r="G1725" s="35"/>
      <c r="H1725" s="104"/>
      <c r="I1725" s="35"/>
      <c r="J1725" s="74"/>
      <c r="K1725" s="74"/>
      <c r="L1725" s="74"/>
      <c r="M1725" s="74"/>
      <c r="N1725" s="74"/>
      <c r="O1725" s="74"/>
      <c r="P1725" s="74"/>
      <c r="Q1725" s="74"/>
      <c r="R1725" s="74"/>
      <c r="S1725" s="74"/>
      <c r="T1725" s="74"/>
      <c r="U1725" s="74"/>
      <c r="V1725" s="74"/>
      <c r="W1725" s="74"/>
      <c r="X1725" s="74"/>
      <c r="Y1725" s="74"/>
      <c r="Z1725" s="74"/>
      <c r="AA1725" s="74"/>
      <c r="AB1725" s="74"/>
    </row>
    <row r="1726" spans="1:28" ht="12" customHeight="1">
      <c r="A1726" s="260"/>
      <c r="B1726" s="104"/>
      <c r="C1726" s="104"/>
      <c r="D1726" s="260"/>
      <c r="E1726" s="104"/>
      <c r="F1726" s="104"/>
      <c r="G1726" s="35"/>
      <c r="H1726" s="104"/>
      <c r="I1726" s="35"/>
      <c r="J1726" s="74"/>
      <c r="K1726" s="74"/>
      <c r="L1726" s="74"/>
      <c r="M1726" s="74"/>
      <c r="N1726" s="74"/>
      <c r="O1726" s="74"/>
      <c r="P1726" s="74"/>
      <c r="Q1726" s="74"/>
      <c r="R1726" s="74"/>
      <c r="S1726" s="74"/>
      <c r="T1726" s="74"/>
      <c r="U1726" s="74"/>
      <c r="V1726" s="74"/>
      <c r="W1726" s="74"/>
      <c r="X1726" s="74"/>
      <c r="Y1726" s="74"/>
      <c r="Z1726" s="74"/>
      <c r="AA1726" s="74"/>
      <c r="AB1726" s="74"/>
    </row>
    <row r="1727" spans="1:28" ht="12" customHeight="1">
      <c r="A1727" s="260"/>
      <c r="B1727" s="104"/>
      <c r="C1727" s="104"/>
      <c r="D1727" s="260"/>
      <c r="E1727" s="104"/>
      <c r="F1727" s="104"/>
      <c r="G1727" s="35"/>
      <c r="H1727" s="104"/>
      <c r="I1727" s="35"/>
      <c r="J1727" s="74"/>
      <c r="K1727" s="74"/>
      <c r="L1727" s="74"/>
      <c r="M1727" s="74"/>
      <c r="N1727" s="74"/>
      <c r="O1727" s="74"/>
      <c r="P1727" s="74"/>
      <c r="Q1727" s="74"/>
      <c r="R1727" s="74"/>
      <c r="S1727" s="74"/>
      <c r="T1727" s="74"/>
      <c r="U1727" s="74"/>
      <c r="V1727" s="74"/>
      <c r="W1727" s="74"/>
      <c r="X1727" s="74"/>
      <c r="Y1727" s="74"/>
      <c r="Z1727" s="74"/>
      <c r="AA1727" s="74"/>
      <c r="AB1727" s="74"/>
    </row>
    <row r="1728" spans="1:28" ht="12" customHeight="1">
      <c r="A1728" s="260"/>
      <c r="B1728" s="104"/>
      <c r="C1728" s="104"/>
      <c r="D1728" s="260"/>
      <c r="E1728" s="104"/>
      <c r="F1728" s="104"/>
      <c r="G1728" s="35"/>
      <c r="H1728" s="104"/>
      <c r="I1728" s="35"/>
      <c r="J1728" s="74"/>
      <c r="K1728" s="74"/>
      <c r="L1728" s="74"/>
      <c r="M1728" s="74"/>
      <c r="N1728" s="74"/>
      <c r="O1728" s="74"/>
      <c r="P1728" s="74"/>
      <c r="Q1728" s="74"/>
      <c r="R1728" s="74"/>
      <c r="S1728" s="74"/>
      <c r="T1728" s="74"/>
      <c r="U1728" s="74"/>
      <c r="V1728" s="74"/>
      <c r="W1728" s="74"/>
      <c r="X1728" s="74"/>
      <c r="Y1728" s="74"/>
      <c r="Z1728" s="74"/>
      <c r="AA1728" s="74"/>
      <c r="AB1728" s="74"/>
    </row>
    <row r="1729" spans="1:28" ht="12" customHeight="1">
      <c r="A1729" s="260"/>
      <c r="B1729" s="104"/>
      <c r="C1729" s="104"/>
      <c r="D1729" s="260"/>
      <c r="E1729" s="104"/>
      <c r="F1729" s="104"/>
      <c r="G1729" s="35"/>
      <c r="H1729" s="104"/>
      <c r="I1729" s="35"/>
      <c r="J1729" s="74"/>
      <c r="K1729" s="74"/>
      <c r="L1729" s="74"/>
      <c r="M1729" s="74"/>
      <c r="N1729" s="74"/>
      <c r="O1729" s="74"/>
      <c r="P1729" s="74"/>
      <c r="Q1729" s="74"/>
      <c r="R1729" s="74"/>
      <c r="S1729" s="74"/>
      <c r="T1729" s="74"/>
      <c r="U1729" s="74"/>
      <c r="V1729" s="74"/>
      <c r="W1729" s="74"/>
      <c r="X1729" s="74"/>
      <c r="Y1729" s="74"/>
      <c r="Z1729" s="74"/>
      <c r="AA1729" s="74"/>
      <c r="AB1729" s="74"/>
    </row>
    <row r="1730" spans="1:28" ht="12" customHeight="1">
      <c r="A1730" s="260"/>
      <c r="B1730" s="104"/>
      <c r="C1730" s="104"/>
      <c r="D1730" s="260"/>
      <c r="E1730" s="104"/>
      <c r="F1730" s="104"/>
      <c r="G1730" s="35"/>
      <c r="H1730" s="104"/>
      <c r="I1730" s="35"/>
      <c r="J1730" s="74"/>
      <c r="K1730" s="74"/>
      <c r="L1730" s="74"/>
      <c r="M1730" s="74"/>
      <c r="N1730" s="74"/>
      <c r="O1730" s="74"/>
      <c r="P1730" s="74"/>
      <c r="Q1730" s="74"/>
      <c r="R1730" s="74"/>
      <c r="S1730" s="74"/>
      <c r="T1730" s="74"/>
      <c r="U1730" s="74"/>
      <c r="V1730" s="74"/>
      <c r="W1730" s="74"/>
      <c r="X1730" s="74"/>
      <c r="Y1730" s="74"/>
      <c r="Z1730" s="74"/>
      <c r="AA1730" s="74"/>
      <c r="AB1730" s="74"/>
    </row>
    <row r="1731" spans="1:28" ht="12" customHeight="1">
      <c r="A1731" s="260"/>
      <c r="B1731" s="104"/>
      <c r="C1731" s="104"/>
      <c r="D1731" s="260"/>
      <c r="E1731" s="104"/>
      <c r="F1731" s="104"/>
      <c r="G1731" s="35"/>
      <c r="H1731" s="104"/>
      <c r="I1731" s="35"/>
      <c r="J1731" s="74"/>
      <c r="K1731" s="74"/>
      <c r="L1731" s="74"/>
      <c r="M1731" s="74"/>
      <c r="N1731" s="74"/>
      <c r="O1731" s="74"/>
      <c r="P1731" s="74"/>
      <c r="Q1731" s="74"/>
      <c r="R1731" s="74"/>
      <c r="S1731" s="74"/>
      <c r="T1731" s="74"/>
      <c r="U1731" s="74"/>
      <c r="V1731" s="74"/>
      <c r="W1731" s="74"/>
      <c r="X1731" s="74"/>
      <c r="Y1731" s="74"/>
      <c r="Z1731" s="74"/>
      <c r="AA1731" s="74"/>
      <c r="AB1731" s="74"/>
    </row>
    <row r="1732" spans="1:28" ht="12" customHeight="1">
      <c r="A1732" s="260"/>
      <c r="B1732" s="104"/>
      <c r="C1732" s="104"/>
      <c r="D1732" s="260"/>
      <c r="E1732" s="104"/>
      <c r="F1732" s="104"/>
      <c r="G1732" s="35"/>
      <c r="H1732" s="104"/>
      <c r="I1732" s="35"/>
      <c r="J1732" s="74"/>
      <c r="K1732" s="74"/>
      <c r="L1732" s="74"/>
      <c r="M1732" s="74"/>
      <c r="N1732" s="74"/>
      <c r="O1732" s="74"/>
      <c r="P1732" s="74"/>
      <c r="Q1732" s="74"/>
      <c r="R1732" s="74"/>
      <c r="S1732" s="74"/>
      <c r="T1732" s="74"/>
      <c r="U1732" s="74"/>
      <c r="V1732" s="74"/>
      <c r="W1732" s="74"/>
      <c r="X1732" s="74"/>
      <c r="Y1732" s="74"/>
      <c r="Z1732" s="74"/>
      <c r="AA1732" s="74"/>
      <c r="AB1732" s="74"/>
    </row>
    <row r="1733" spans="1:28" ht="12" customHeight="1">
      <c r="A1733" s="260"/>
      <c r="B1733" s="104"/>
      <c r="C1733" s="104"/>
      <c r="D1733" s="260"/>
      <c r="E1733" s="104"/>
      <c r="F1733" s="104"/>
      <c r="G1733" s="35"/>
      <c r="H1733" s="104"/>
      <c r="I1733" s="35"/>
      <c r="J1733" s="74"/>
      <c r="K1733" s="74"/>
      <c r="L1733" s="74"/>
      <c r="M1733" s="74"/>
      <c r="N1733" s="74"/>
      <c r="O1733" s="74"/>
      <c r="P1733" s="74"/>
      <c r="Q1733" s="74"/>
      <c r="R1733" s="74"/>
      <c r="S1733" s="74"/>
      <c r="T1733" s="74"/>
      <c r="U1733" s="74"/>
      <c r="V1733" s="74"/>
      <c r="W1733" s="74"/>
      <c r="X1733" s="74"/>
      <c r="Y1733" s="74"/>
      <c r="Z1733" s="74"/>
      <c r="AA1733" s="74"/>
      <c r="AB1733" s="74"/>
    </row>
    <row r="1734" spans="1:28" ht="12" customHeight="1">
      <c r="A1734" s="260"/>
      <c r="B1734" s="104"/>
      <c r="C1734" s="104"/>
      <c r="D1734" s="260"/>
      <c r="E1734" s="104"/>
      <c r="F1734" s="104"/>
      <c r="G1734" s="35"/>
      <c r="H1734" s="104"/>
      <c r="I1734" s="35"/>
      <c r="J1734" s="74"/>
      <c r="K1734" s="74"/>
      <c r="L1734" s="74"/>
      <c r="M1734" s="74"/>
      <c r="N1734" s="74"/>
      <c r="O1734" s="74"/>
      <c r="P1734" s="74"/>
      <c r="Q1734" s="74"/>
      <c r="R1734" s="74"/>
      <c r="S1734" s="74"/>
      <c r="T1734" s="74"/>
      <c r="U1734" s="74"/>
      <c r="V1734" s="74"/>
      <c r="W1734" s="74"/>
      <c r="X1734" s="74"/>
      <c r="Y1734" s="74"/>
      <c r="Z1734" s="74"/>
      <c r="AA1734" s="74"/>
      <c r="AB1734" s="74"/>
    </row>
    <row r="1735" spans="1:28" ht="12" customHeight="1">
      <c r="A1735" s="260"/>
      <c r="B1735" s="104"/>
      <c r="C1735" s="104"/>
      <c r="D1735" s="260"/>
      <c r="E1735" s="104"/>
      <c r="F1735" s="104"/>
      <c r="G1735" s="35"/>
      <c r="H1735" s="104"/>
      <c r="I1735" s="35"/>
      <c r="J1735" s="74"/>
      <c r="K1735" s="74"/>
      <c r="L1735" s="74"/>
      <c r="M1735" s="74"/>
      <c r="N1735" s="74"/>
      <c r="O1735" s="74"/>
      <c r="P1735" s="74"/>
      <c r="Q1735" s="74"/>
      <c r="R1735" s="74"/>
      <c r="S1735" s="74"/>
      <c r="T1735" s="74"/>
      <c r="U1735" s="74"/>
      <c r="V1735" s="74"/>
      <c r="W1735" s="74"/>
      <c r="X1735" s="74"/>
      <c r="Y1735" s="74"/>
      <c r="Z1735" s="74"/>
      <c r="AA1735" s="74"/>
      <c r="AB1735" s="74"/>
    </row>
    <row r="1736" spans="1:28" ht="12" customHeight="1">
      <c r="A1736" s="260"/>
      <c r="B1736" s="104"/>
      <c r="C1736" s="104"/>
      <c r="D1736" s="260"/>
      <c r="E1736" s="104"/>
      <c r="F1736" s="104"/>
      <c r="G1736" s="35"/>
      <c r="H1736" s="104"/>
      <c r="I1736" s="35"/>
      <c r="J1736" s="74"/>
      <c r="K1736" s="74"/>
      <c r="L1736" s="74"/>
      <c r="M1736" s="74"/>
      <c r="N1736" s="74"/>
      <c r="O1736" s="74"/>
      <c r="P1736" s="74"/>
      <c r="Q1736" s="74"/>
      <c r="R1736" s="74"/>
      <c r="S1736" s="74"/>
      <c r="T1736" s="74"/>
      <c r="U1736" s="74"/>
      <c r="V1736" s="74"/>
      <c r="W1736" s="74"/>
      <c r="X1736" s="74"/>
      <c r="Y1736" s="74"/>
      <c r="Z1736" s="74"/>
      <c r="AA1736" s="74"/>
      <c r="AB1736" s="74"/>
    </row>
    <row r="1737" spans="1:28" ht="12" customHeight="1">
      <c r="A1737" s="260"/>
      <c r="B1737" s="104"/>
      <c r="C1737" s="104"/>
      <c r="D1737" s="260"/>
      <c r="E1737" s="104"/>
      <c r="F1737" s="104"/>
      <c r="G1737" s="35"/>
      <c r="H1737" s="104"/>
      <c r="I1737" s="35"/>
      <c r="J1737" s="74"/>
      <c r="K1737" s="74"/>
      <c r="L1737" s="74"/>
      <c r="M1737" s="74"/>
      <c r="N1737" s="74"/>
      <c r="O1737" s="74"/>
      <c r="P1737" s="74"/>
      <c r="Q1737" s="74"/>
      <c r="R1737" s="74"/>
      <c r="S1737" s="74"/>
      <c r="T1737" s="74"/>
      <c r="U1737" s="74"/>
      <c r="V1737" s="74"/>
      <c r="W1737" s="74"/>
      <c r="X1737" s="74"/>
      <c r="Y1737" s="74"/>
      <c r="Z1737" s="74"/>
      <c r="AA1737" s="74"/>
      <c r="AB1737" s="74"/>
    </row>
    <row r="1738" spans="1:28" ht="12" customHeight="1">
      <c r="A1738" s="260"/>
      <c r="B1738" s="104"/>
      <c r="C1738" s="104"/>
      <c r="D1738" s="260"/>
      <c r="E1738" s="104"/>
      <c r="F1738" s="104"/>
      <c r="G1738" s="35"/>
      <c r="H1738" s="104"/>
      <c r="I1738" s="35"/>
      <c r="J1738" s="74"/>
      <c r="K1738" s="74"/>
      <c r="L1738" s="74"/>
      <c r="M1738" s="74"/>
      <c r="N1738" s="74"/>
      <c r="O1738" s="74"/>
      <c r="P1738" s="74"/>
      <c r="Q1738" s="74"/>
      <c r="R1738" s="74"/>
      <c r="S1738" s="74"/>
      <c r="T1738" s="74"/>
      <c r="U1738" s="74"/>
      <c r="V1738" s="74"/>
      <c r="W1738" s="74"/>
      <c r="X1738" s="74"/>
      <c r="Y1738" s="74"/>
      <c r="Z1738" s="74"/>
      <c r="AA1738" s="74"/>
      <c r="AB1738" s="74"/>
    </row>
    <row r="1739" spans="1:28" ht="12" customHeight="1">
      <c r="A1739" s="260"/>
      <c r="B1739" s="104"/>
      <c r="C1739" s="104"/>
      <c r="D1739" s="260"/>
      <c r="E1739" s="104"/>
      <c r="F1739" s="104"/>
      <c r="G1739" s="35"/>
      <c r="H1739" s="104"/>
      <c r="I1739" s="35"/>
      <c r="J1739" s="74"/>
      <c r="K1739" s="74"/>
      <c r="L1739" s="74"/>
      <c r="M1739" s="74"/>
      <c r="N1739" s="74"/>
      <c r="O1739" s="74"/>
      <c r="P1739" s="74"/>
      <c r="Q1739" s="74"/>
      <c r="R1739" s="74"/>
      <c r="S1739" s="74"/>
      <c r="T1739" s="74"/>
      <c r="U1739" s="74"/>
      <c r="V1739" s="74"/>
      <c r="W1739" s="74"/>
      <c r="X1739" s="74"/>
      <c r="Y1739" s="74"/>
      <c r="Z1739" s="74"/>
      <c r="AA1739" s="74"/>
      <c r="AB1739" s="74"/>
    </row>
    <row r="1740" spans="1:28" ht="12" customHeight="1">
      <c r="A1740" s="260"/>
      <c r="B1740" s="104"/>
      <c r="C1740" s="104"/>
      <c r="D1740" s="260"/>
      <c r="E1740" s="104"/>
      <c r="F1740" s="104"/>
      <c r="G1740" s="35"/>
      <c r="H1740" s="104"/>
      <c r="I1740" s="35"/>
      <c r="J1740" s="74"/>
      <c r="K1740" s="74"/>
      <c r="L1740" s="74"/>
      <c r="M1740" s="74"/>
      <c r="N1740" s="74"/>
      <c r="O1740" s="74"/>
      <c r="P1740" s="74"/>
      <c r="Q1740" s="74"/>
      <c r="R1740" s="74"/>
      <c r="S1740" s="74"/>
      <c r="T1740" s="74"/>
      <c r="U1740" s="74"/>
      <c r="V1740" s="74"/>
      <c r="W1740" s="74"/>
      <c r="X1740" s="74"/>
      <c r="Y1740" s="74"/>
      <c r="Z1740" s="74"/>
      <c r="AA1740" s="74"/>
      <c r="AB1740" s="74"/>
    </row>
    <row r="1741" spans="1:28" ht="12" customHeight="1">
      <c r="A1741" s="260"/>
      <c r="B1741" s="104"/>
      <c r="C1741" s="104"/>
      <c r="D1741" s="260"/>
      <c r="E1741" s="104"/>
      <c r="F1741" s="104"/>
      <c r="G1741" s="35"/>
      <c r="H1741" s="104"/>
      <c r="I1741" s="35"/>
      <c r="J1741" s="74"/>
      <c r="K1741" s="74"/>
      <c r="L1741" s="74"/>
      <c r="M1741" s="74"/>
      <c r="N1741" s="74"/>
      <c r="O1741" s="74"/>
      <c r="P1741" s="74"/>
      <c r="Q1741" s="74"/>
      <c r="R1741" s="74"/>
      <c r="S1741" s="74"/>
      <c r="T1741" s="74"/>
      <c r="U1741" s="74"/>
      <c r="V1741" s="74"/>
      <c r="W1741" s="74"/>
      <c r="X1741" s="74"/>
      <c r="Y1741" s="74"/>
      <c r="Z1741" s="74"/>
      <c r="AA1741" s="74"/>
      <c r="AB1741" s="74"/>
    </row>
    <row r="1742" spans="1:28" ht="12" customHeight="1">
      <c r="A1742" s="260"/>
      <c r="B1742" s="104"/>
      <c r="C1742" s="104"/>
      <c r="D1742" s="260"/>
      <c r="E1742" s="104"/>
      <c r="F1742" s="104"/>
      <c r="G1742" s="35"/>
      <c r="H1742" s="104"/>
      <c r="I1742" s="35"/>
      <c r="J1742" s="74"/>
      <c r="K1742" s="74"/>
      <c r="L1742" s="74"/>
      <c r="M1742" s="74"/>
      <c r="N1742" s="74"/>
      <c r="O1742" s="74"/>
      <c r="P1742" s="74"/>
      <c r="Q1742" s="74"/>
      <c r="R1742" s="74"/>
      <c r="S1742" s="74"/>
      <c r="T1742" s="74"/>
      <c r="U1742" s="74"/>
      <c r="V1742" s="74"/>
      <c r="W1742" s="74"/>
      <c r="X1742" s="74"/>
      <c r="Y1742" s="74"/>
      <c r="Z1742" s="74"/>
      <c r="AA1742" s="74"/>
      <c r="AB1742" s="74"/>
    </row>
    <row r="1743" spans="1:28" ht="12" customHeight="1">
      <c r="A1743" s="260"/>
      <c r="B1743" s="104"/>
      <c r="C1743" s="104"/>
      <c r="D1743" s="260"/>
      <c r="E1743" s="104"/>
      <c r="F1743" s="104"/>
      <c r="G1743" s="35"/>
      <c r="H1743" s="104"/>
      <c r="I1743" s="35"/>
      <c r="J1743" s="74"/>
      <c r="K1743" s="74"/>
      <c r="L1743" s="74"/>
      <c r="M1743" s="74"/>
      <c r="N1743" s="74"/>
      <c r="O1743" s="74"/>
      <c r="P1743" s="74"/>
      <c r="Q1743" s="74"/>
      <c r="R1743" s="74"/>
      <c r="S1743" s="74"/>
      <c r="T1743" s="74"/>
      <c r="U1743" s="74"/>
      <c r="V1743" s="74"/>
      <c r="W1743" s="74"/>
      <c r="X1743" s="74"/>
      <c r="Y1743" s="74"/>
      <c r="Z1743" s="74"/>
      <c r="AA1743" s="74"/>
      <c r="AB1743" s="74"/>
    </row>
    <row r="1744" spans="1:28" ht="12" customHeight="1">
      <c r="A1744" s="260"/>
      <c r="B1744" s="104"/>
      <c r="C1744" s="104"/>
      <c r="D1744" s="260"/>
      <c r="E1744" s="104"/>
      <c r="F1744" s="104"/>
      <c r="G1744" s="35"/>
      <c r="H1744" s="104"/>
      <c r="I1744" s="35"/>
      <c r="J1744" s="74"/>
      <c r="K1744" s="74"/>
      <c r="L1744" s="74"/>
      <c r="M1744" s="74"/>
      <c r="N1744" s="74"/>
      <c r="O1744" s="74"/>
      <c r="P1744" s="74"/>
      <c r="Q1744" s="74"/>
      <c r="R1744" s="74"/>
      <c r="S1744" s="74"/>
      <c r="T1744" s="74"/>
      <c r="U1744" s="74"/>
      <c r="V1744" s="74"/>
      <c r="W1744" s="74"/>
      <c r="X1744" s="74"/>
      <c r="Y1744" s="74"/>
      <c r="Z1744" s="74"/>
      <c r="AA1744" s="74"/>
      <c r="AB1744" s="74"/>
    </row>
    <row r="1745" spans="1:28" ht="12" customHeight="1">
      <c r="A1745" s="260"/>
      <c r="B1745" s="104"/>
      <c r="C1745" s="104"/>
      <c r="D1745" s="260"/>
      <c r="E1745" s="104"/>
      <c r="F1745" s="104"/>
      <c r="G1745" s="35"/>
      <c r="H1745" s="104"/>
      <c r="I1745" s="35"/>
      <c r="J1745" s="74"/>
      <c r="K1745" s="74"/>
      <c r="L1745" s="74"/>
      <c r="M1745" s="74"/>
      <c r="N1745" s="74"/>
      <c r="O1745" s="74"/>
      <c r="P1745" s="74"/>
      <c r="Q1745" s="74"/>
      <c r="R1745" s="74"/>
      <c r="S1745" s="74"/>
      <c r="T1745" s="74"/>
      <c r="U1745" s="74"/>
      <c r="V1745" s="74"/>
      <c r="W1745" s="74"/>
      <c r="X1745" s="74"/>
      <c r="Y1745" s="74"/>
      <c r="Z1745" s="74"/>
      <c r="AA1745" s="74"/>
      <c r="AB1745" s="74"/>
    </row>
    <row r="1746" spans="1:28" ht="12" customHeight="1">
      <c r="A1746" s="260"/>
      <c r="B1746" s="104"/>
      <c r="C1746" s="104"/>
      <c r="D1746" s="260"/>
      <c r="E1746" s="104"/>
      <c r="F1746" s="104"/>
      <c r="G1746" s="35"/>
      <c r="H1746" s="104"/>
      <c r="I1746" s="35"/>
      <c r="J1746" s="74"/>
      <c r="K1746" s="74"/>
      <c r="L1746" s="74"/>
      <c r="M1746" s="74"/>
      <c r="N1746" s="74"/>
      <c r="O1746" s="74"/>
      <c r="P1746" s="74"/>
      <c r="Q1746" s="74"/>
      <c r="R1746" s="74"/>
      <c r="S1746" s="74"/>
      <c r="T1746" s="74"/>
      <c r="U1746" s="74"/>
      <c r="V1746" s="74"/>
      <c r="W1746" s="74"/>
      <c r="X1746" s="74"/>
      <c r="Y1746" s="74"/>
      <c r="Z1746" s="74"/>
      <c r="AA1746" s="74"/>
      <c r="AB1746" s="74"/>
    </row>
    <row r="1747" spans="1:28" ht="12" customHeight="1">
      <c r="A1747" s="260"/>
      <c r="B1747" s="104"/>
      <c r="C1747" s="104"/>
      <c r="D1747" s="260"/>
      <c r="E1747" s="104"/>
      <c r="F1747" s="104"/>
      <c r="G1747" s="35"/>
      <c r="H1747" s="104"/>
      <c r="I1747" s="35"/>
      <c r="J1747" s="74"/>
      <c r="K1747" s="74"/>
      <c r="L1747" s="74"/>
      <c r="M1747" s="74"/>
      <c r="N1747" s="74"/>
      <c r="O1747" s="74"/>
      <c r="P1747" s="74"/>
      <c r="Q1747" s="74"/>
      <c r="R1747" s="74"/>
      <c r="S1747" s="74"/>
      <c r="T1747" s="74"/>
      <c r="U1747" s="74"/>
      <c r="V1747" s="74"/>
      <c r="W1747" s="74"/>
      <c r="X1747" s="74"/>
      <c r="Y1747" s="74"/>
      <c r="Z1747" s="74"/>
      <c r="AA1747" s="74"/>
      <c r="AB1747" s="74"/>
    </row>
    <row r="1748" spans="1:28" ht="12" customHeight="1">
      <c r="A1748" s="260"/>
      <c r="B1748" s="104"/>
      <c r="C1748" s="104"/>
      <c r="D1748" s="260"/>
      <c r="E1748" s="104"/>
      <c r="F1748" s="104"/>
      <c r="G1748" s="35"/>
      <c r="H1748" s="104"/>
      <c r="I1748" s="35"/>
      <c r="J1748" s="74"/>
      <c r="K1748" s="74"/>
      <c r="L1748" s="74"/>
      <c r="M1748" s="74"/>
      <c r="N1748" s="74"/>
      <c r="O1748" s="74"/>
      <c r="P1748" s="74"/>
      <c r="Q1748" s="74"/>
      <c r="R1748" s="74"/>
      <c r="S1748" s="74"/>
      <c r="T1748" s="74"/>
      <c r="U1748" s="74"/>
      <c r="V1748" s="74"/>
      <c r="W1748" s="74"/>
      <c r="X1748" s="74"/>
      <c r="Y1748" s="74"/>
      <c r="Z1748" s="74"/>
      <c r="AA1748" s="74"/>
      <c r="AB1748" s="74"/>
    </row>
    <row r="1749" spans="1:28" ht="12" customHeight="1">
      <c r="A1749" s="260"/>
      <c r="B1749" s="104"/>
      <c r="C1749" s="104"/>
      <c r="D1749" s="260"/>
      <c r="E1749" s="104"/>
      <c r="F1749" s="104"/>
      <c r="G1749" s="35"/>
      <c r="H1749" s="104"/>
      <c r="I1749" s="35"/>
      <c r="J1749" s="74"/>
      <c r="K1749" s="74"/>
      <c r="L1749" s="74"/>
      <c r="M1749" s="74"/>
      <c r="N1749" s="74"/>
      <c r="O1749" s="74"/>
      <c r="P1749" s="74"/>
      <c r="Q1749" s="74"/>
      <c r="R1749" s="74"/>
      <c r="S1749" s="74"/>
      <c r="T1749" s="74"/>
      <c r="U1749" s="74"/>
      <c r="V1749" s="74"/>
      <c r="W1749" s="74"/>
      <c r="X1749" s="74"/>
      <c r="Y1749" s="74"/>
      <c r="Z1749" s="74"/>
      <c r="AA1749" s="74"/>
      <c r="AB1749" s="74"/>
    </row>
    <row r="1750" spans="1:28" ht="12" customHeight="1">
      <c r="A1750" s="260"/>
      <c r="B1750" s="104"/>
      <c r="C1750" s="104"/>
      <c r="D1750" s="260"/>
      <c r="E1750" s="104"/>
      <c r="F1750" s="104"/>
      <c r="G1750" s="35"/>
      <c r="H1750" s="104"/>
      <c r="I1750" s="35"/>
      <c r="J1750" s="74"/>
      <c r="K1750" s="74"/>
      <c r="L1750" s="74"/>
      <c r="M1750" s="74"/>
      <c r="N1750" s="74"/>
      <c r="O1750" s="74"/>
      <c r="P1750" s="74"/>
      <c r="Q1750" s="74"/>
      <c r="R1750" s="74"/>
      <c r="S1750" s="74"/>
      <c r="T1750" s="74"/>
      <c r="U1750" s="74"/>
      <c r="V1750" s="74"/>
      <c r="W1750" s="74"/>
      <c r="X1750" s="74"/>
      <c r="Y1750" s="74"/>
      <c r="Z1750" s="74"/>
      <c r="AA1750" s="74"/>
      <c r="AB1750" s="74"/>
    </row>
    <row r="1751" spans="1:28" ht="12" customHeight="1">
      <c r="A1751" s="260"/>
      <c r="B1751" s="104"/>
      <c r="C1751" s="104"/>
      <c r="D1751" s="260"/>
      <c r="E1751" s="104"/>
      <c r="F1751" s="104"/>
      <c r="G1751" s="35"/>
      <c r="H1751" s="104"/>
      <c r="I1751" s="35"/>
      <c r="J1751" s="74"/>
      <c r="K1751" s="74"/>
      <c r="L1751" s="74"/>
      <c r="M1751" s="74"/>
      <c r="N1751" s="74"/>
      <c r="O1751" s="74"/>
      <c r="P1751" s="74"/>
      <c r="Q1751" s="74"/>
      <c r="R1751" s="74"/>
      <c r="S1751" s="74"/>
      <c r="T1751" s="74"/>
      <c r="U1751" s="74"/>
      <c r="V1751" s="74"/>
      <c r="W1751" s="74"/>
      <c r="X1751" s="74"/>
      <c r="Y1751" s="74"/>
      <c r="Z1751" s="74"/>
      <c r="AA1751" s="74"/>
      <c r="AB1751" s="74"/>
    </row>
    <row r="1752" spans="1:28" ht="12" customHeight="1">
      <c r="A1752" s="260"/>
      <c r="B1752" s="104"/>
      <c r="C1752" s="104"/>
      <c r="D1752" s="260"/>
      <c r="E1752" s="104"/>
      <c r="F1752" s="104"/>
      <c r="G1752" s="35"/>
      <c r="H1752" s="104"/>
      <c r="I1752" s="35"/>
      <c r="J1752" s="74"/>
      <c r="K1752" s="74"/>
      <c r="L1752" s="74"/>
      <c r="M1752" s="74"/>
      <c r="N1752" s="74"/>
      <c r="O1752" s="74"/>
      <c r="P1752" s="74"/>
      <c r="Q1752" s="74"/>
      <c r="R1752" s="74"/>
      <c r="S1752" s="74"/>
      <c r="T1752" s="74"/>
      <c r="U1752" s="74"/>
      <c r="V1752" s="74"/>
      <c r="W1752" s="74"/>
      <c r="X1752" s="74"/>
      <c r="Y1752" s="74"/>
      <c r="Z1752" s="74"/>
      <c r="AA1752" s="74"/>
      <c r="AB1752" s="74"/>
    </row>
    <row r="1753" spans="1:28" ht="12" customHeight="1">
      <c r="A1753" s="260"/>
      <c r="B1753" s="104"/>
      <c r="C1753" s="104"/>
      <c r="D1753" s="260"/>
      <c r="E1753" s="104"/>
      <c r="F1753" s="104"/>
      <c r="G1753" s="35"/>
      <c r="H1753" s="104"/>
      <c r="I1753" s="35"/>
      <c r="J1753" s="74"/>
      <c r="K1753" s="74"/>
      <c r="L1753" s="74"/>
      <c r="M1753" s="74"/>
      <c r="N1753" s="74"/>
      <c r="O1753" s="74"/>
      <c r="P1753" s="74"/>
      <c r="Q1753" s="74"/>
      <c r="R1753" s="74"/>
      <c r="S1753" s="74"/>
      <c r="T1753" s="74"/>
      <c r="U1753" s="74"/>
      <c r="V1753" s="74"/>
      <c r="W1753" s="74"/>
      <c r="X1753" s="74"/>
      <c r="Y1753" s="74"/>
      <c r="Z1753" s="74"/>
      <c r="AA1753" s="74"/>
      <c r="AB1753" s="74"/>
    </row>
    <row r="1754" spans="1:28" ht="12" customHeight="1">
      <c r="A1754" s="260"/>
      <c r="B1754" s="104"/>
      <c r="C1754" s="104"/>
      <c r="D1754" s="260"/>
      <c r="E1754" s="104"/>
      <c r="F1754" s="104"/>
      <c r="G1754" s="35"/>
      <c r="H1754" s="104"/>
      <c r="I1754" s="35"/>
      <c r="J1754" s="74"/>
      <c r="K1754" s="74"/>
      <c r="L1754" s="74"/>
      <c r="M1754" s="74"/>
      <c r="N1754" s="74"/>
      <c r="O1754" s="74"/>
      <c r="P1754" s="74"/>
      <c r="Q1754" s="74"/>
      <c r="R1754" s="74"/>
      <c r="S1754" s="74"/>
      <c r="T1754" s="74"/>
      <c r="U1754" s="74"/>
      <c r="V1754" s="74"/>
      <c r="W1754" s="74"/>
      <c r="X1754" s="74"/>
      <c r="Y1754" s="74"/>
      <c r="Z1754" s="74"/>
      <c r="AA1754" s="74"/>
      <c r="AB1754" s="74"/>
    </row>
    <row r="1755" spans="1:28" ht="12" customHeight="1">
      <c r="A1755" s="260"/>
      <c r="B1755" s="104"/>
      <c r="C1755" s="104"/>
      <c r="D1755" s="260"/>
      <c r="E1755" s="104"/>
      <c r="F1755" s="104"/>
      <c r="G1755" s="35"/>
      <c r="H1755" s="104"/>
      <c r="I1755" s="35"/>
      <c r="J1755" s="74"/>
      <c r="K1755" s="74"/>
      <c r="L1755" s="74"/>
      <c r="M1755" s="74"/>
      <c r="N1755" s="74"/>
      <c r="O1755" s="74"/>
      <c r="P1755" s="74"/>
      <c r="Q1755" s="74"/>
      <c r="R1755" s="74"/>
      <c r="S1755" s="74"/>
      <c r="T1755" s="74"/>
      <c r="U1755" s="74"/>
      <c r="V1755" s="74"/>
      <c r="W1755" s="74"/>
      <c r="X1755" s="74"/>
      <c r="Y1755" s="74"/>
      <c r="Z1755" s="74"/>
      <c r="AA1755" s="74"/>
      <c r="AB1755" s="74"/>
    </row>
    <row r="1756" spans="1:28" ht="12" customHeight="1">
      <c r="A1756" s="260"/>
      <c r="B1756" s="104"/>
      <c r="C1756" s="104"/>
      <c r="D1756" s="260"/>
      <c r="E1756" s="104"/>
      <c r="F1756" s="104"/>
      <c r="G1756" s="35"/>
      <c r="H1756" s="104"/>
      <c r="I1756" s="35"/>
      <c r="J1756" s="74"/>
      <c r="K1756" s="74"/>
      <c r="L1756" s="74"/>
      <c r="M1756" s="74"/>
      <c r="N1756" s="74"/>
      <c r="O1756" s="74"/>
      <c r="P1756" s="74"/>
      <c r="Q1756" s="74"/>
      <c r="R1756" s="74"/>
      <c r="S1756" s="74"/>
      <c r="T1756" s="74"/>
      <c r="U1756" s="74"/>
      <c r="V1756" s="74"/>
      <c r="W1756" s="74"/>
      <c r="X1756" s="74"/>
      <c r="Y1756" s="74"/>
      <c r="Z1756" s="74"/>
      <c r="AA1756" s="74"/>
      <c r="AB1756" s="74"/>
    </row>
    <row r="1757" spans="1:28" ht="12" customHeight="1">
      <c r="A1757" s="260"/>
      <c r="B1757" s="104"/>
      <c r="C1757" s="104"/>
      <c r="D1757" s="260"/>
      <c r="E1757" s="104"/>
      <c r="F1757" s="104"/>
      <c r="G1757" s="35"/>
      <c r="H1757" s="104"/>
      <c r="I1757" s="35"/>
      <c r="J1757" s="74"/>
      <c r="K1757" s="74"/>
      <c r="L1757" s="74"/>
      <c r="M1757" s="74"/>
      <c r="N1757" s="74"/>
      <c r="O1757" s="74"/>
      <c r="P1757" s="74"/>
      <c r="Q1757" s="74"/>
      <c r="R1757" s="74"/>
      <c r="S1757" s="74"/>
      <c r="T1757" s="74"/>
      <c r="U1757" s="74"/>
      <c r="V1757" s="74"/>
      <c r="W1757" s="74"/>
      <c r="X1757" s="74"/>
      <c r="Y1757" s="74"/>
      <c r="Z1757" s="74"/>
      <c r="AA1757" s="74"/>
      <c r="AB1757" s="74"/>
    </row>
    <row r="1758" spans="1:28" ht="12" customHeight="1">
      <c r="A1758" s="260"/>
      <c r="B1758" s="104"/>
      <c r="C1758" s="104"/>
      <c r="D1758" s="260"/>
      <c r="E1758" s="104"/>
      <c r="F1758" s="104"/>
      <c r="G1758" s="35"/>
      <c r="H1758" s="104"/>
      <c r="I1758" s="35"/>
      <c r="J1758" s="74"/>
      <c r="K1758" s="74"/>
      <c r="L1758" s="74"/>
      <c r="M1758" s="74"/>
      <c r="N1758" s="74"/>
      <c r="O1758" s="74"/>
      <c r="P1758" s="74"/>
      <c r="Q1758" s="74"/>
      <c r="R1758" s="74"/>
      <c r="S1758" s="74"/>
      <c r="T1758" s="74"/>
      <c r="U1758" s="74"/>
      <c r="V1758" s="74"/>
      <c r="W1758" s="74"/>
      <c r="X1758" s="74"/>
      <c r="Y1758" s="74"/>
      <c r="Z1758" s="74"/>
      <c r="AA1758" s="74"/>
      <c r="AB1758" s="74"/>
    </row>
    <row r="1759" spans="1:28" ht="12" customHeight="1">
      <c r="A1759" s="260"/>
      <c r="B1759" s="104"/>
      <c r="C1759" s="104"/>
      <c r="D1759" s="260"/>
      <c r="E1759" s="104"/>
      <c r="F1759" s="104"/>
      <c r="G1759" s="35"/>
      <c r="H1759" s="104"/>
      <c r="I1759" s="35"/>
      <c r="J1759" s="74"/>
      <c r="K1759" s="74"/>
      <c r="L1759" s="74"/>
      <c r="M1759" s="74"/>
      <c r="N1759" s="74"/>
      <c r="O1759" s="74"/>
      <c r="P1759" s="74"/>
      <c r="Q1759" s="74"/>
      <c r="R1759" s="74"/>
      <c r="S1759" s="74"/>
      <c r="T1759" s="74"/>
      <c r="U1759" s="74"/>
      <c r="V1759" s="74"/>
      <c r="W1759" s="74"/>
      <c r="X1759" s="74"/>
      <c r="Y1759" s="74"/>
      <c r="Z1759" s="74"/>
      <c r="AA1759" s="74"/>
      <c r="AB1759" s="74"/>
    </row>
    <row r="1760" spans="1:28" ht="12" customHeight="1">
      <c r="A1760" s="260"/>
      <c r="B1760" s="104"/>
      <c r="C1760" s="104"/>
      <c r="D1760" s="260"/>
      <c r="E1760" s="104"/>
      <c r="F1760" s="104"/>
      <c r="G1760" s="35"/>
      <c r="H1760" s="104"/>
      <c r="I1760" s="35"/>
      <c r="J1760" s="74"/>
      <c r="K1760" s="74"/>
      <c r="L1760" s="74"/>
      <c r="M1760" s="74"/>
      <c r="N1760" s="74"/>
      <c r="O1760" s="74"/>
      <c r="P1760" s="74"/>
      <c r="Q1760" s="74"/>
      <c r="R1760" s="74"/>
      <c r="S1760" s="74"/>
      <c r="T1760" s="74"/>
      <c r="U1760" s="74"/>
      <c r="V1760" s="74"/>
      <c r="W1760" s="74"/>
      <c r="X1760" s="74"/>
      <c r="Y1760" s="74"/>
      <c r="Z1760" s="74"/>
      <c r="AA1760" s="74"/>
      <c r="AB1760" s="74"/>
    </row>
    <row r="1761" spans="1:28" ht="12" customHeight="1">
      <c r="A1761" s="260"/>
      <c r="B1761" s="104"/>
      <c r="C1761" s="104"/>
      <c r="D1761" s="260"/>
      <c r="E1761" s="104"/>
      <c r="F1761" s="104"/>
      <c r="G1761" s="35"/>
      <c r="H1761" s="104"/>
      <c r="I1761" s="35"/>
      <c r="J1761" s="74"/>
      <c r="K1761" s="74"/>
      <c r="L1761" s="74"/>
      <c r="M1761" s="74"/>
      <c r="N1761" s="74"/>
      <c r="O1761" s="74"/>
      <c r="P1761" s="74"/>
      <c r="Q1761" s="74"/>
      <c r="R1761" s="74"/>
      <c r="S1761" s="74"/>
      <c r="T1761" s="74"/>
      <c r="U1761" s="74"/>
      <c r="V1761" s="74"/>
      <c r="W1761" s="74"/>
      <c r="X1761" s="74"/>
      <c r="Y1761" s="74"/>
      <c r="Z1761" s="74"/>
      <c r="AA1761" s="74"/>
      <c r="AB1761" s="74"/>
    </row>
    <row r="1762" spans="1:28" ht="12" customHeight="1">
      <c r="A1762" s="260"/>
      <c r="B1762" s="104"/>
      <c r="C1762" s="104"/>
      <c r="D1762" s="260"/>
      <c r="E1762" s="104"/>
      <c r="F1762" s="104"/>
      <c r="G1762" s="35"/>
      <c r="H1762" s="104"/>
      <c r="I1762" s="35"/>
      <c r="J1762" s="74"/>
      <c r="K1762" s="74"/>
      <c r="L1762" s="74"/>
      <c r="M1762" s="74"/>
      <c r="N1762" s="74"/>
      <c r="O1762" s="74"/>
      <c r="P1762" s="74"/>
      <c r="Q1762" s="74"/>
      <c r="R1762" s="74"/>
      <c r="S1762" s="74"/>
      <c r="T1762" s="74"/>
      <c r="U1762" s="74"/>
      <c r="V1762" s="74"/>
      <c r="W1762" s="74"/>
      <c r="X1762" s="74"/>
      <c r="Y1762" s="74"/>
      <c r="Z1762" s="74"/>
      <c r="AA1762" s="74"/>
      <c r="AB1762" s="74"/>
    </row>
    <row r="1763" spans="1:28" ht="12" customHeight="1">
      <c r="A1763" s="260"/>
      <c r="B1763" s="104"/>
      <c r="C1763" s="104"/>
      <c r="D1763" s="260"/>
      <c r="E1763" s="104"/>
      <c r="F1763" s="104"/>
      <c r="G1763" s="35"/>
      <c r="H1763" s="104"/>
      <c r="I1763" s="35"/>
      <c r="J1763" s="74"/>
      <c r="K1763" s="74"/>
      <c r="L1763" s="74"/>
      <c r="M1763" s="74"/>
      <c r="N1763" s="74"/>
      <c r="O1763" s="74"/>
      <c r="P1763" s="74"/>
      <c r="Q1763" s="74"/>
      <c r="R1763" s="74"/>
      <c r="S1763" s="74"/>
      <c r="T1763" s="74"/>
      <c r="U1763" s="74"/>
      <c r="V1763" s="74"/>
      <c r="W1763" s="74"/>
      <c r="X1763" s="74"/>
      <c r="Y1763" s="74"/>
      <c r="Z1763" s="74"/>
      <c r="AA1763" s="74"/>
      <c r="AB1763" s="74"/>
    </row>
    <row r="1764" spans="1:28" ht="12" customHeight="1">
      <c r="A1764" s="260"/>
      <c r="B1764" s="104"/>
      <c r="C1764" s="104"/>
      <c r="D1764" s="260"/>
      <c r="E1764" s="104"/>
      <c r="F1764" s="104"/>
      <c r="G1764" s="35"/>
      <c r="H1764" s="104"/>
      <c r="I1764" s="35"/>
      <c r="J1764" s="74"/>
      <c r="K1764" s="74"/>
      <c r="L1764" s="74"/>
      <c r="M1764" s="74"/>
      <c r="N1764" s="74"/>
      <c r="O1764" s="74"/>
      <c r="P1764" s="74"/>
      <c r="Q1764" s="74"/>
      <c r="R1764" s="74"/>
      <c r="S1764" s="74"/>
      <c r="T1764" s="74"/>
      <c r="U1764" s="74"/>
      <c r="V1764" s="74"/>
      <c r="W1764" s="74"/>
      <c r="X1764" s="74"/>
      <c r="Y1764" s="74"/>
      <c r="Z1764" s="74"/>
      <c r="AA1764" s="74"/>
      <c r="AB1764" s="74"/>
    </row>
    <row r="1765" spans="1:28" ht="12" customHeight="1">
      <c r="A1765" s="260"/>
      <c r="B1765" s="104"/>
      <c r="C1765" s="104"/>
      <c r="D1765" s="260"/>
      <c r="E1765" s="104"/>
      <c r="F1765" s="104"/>
      <c r="G1765" s="35"/>
      <c r="H1765" s="104"/>
      <c r="I1765" s="35"/>
      <c r="J1765" s="74"/>
      <c r="K1765" s="74"/>
      <c r="L1765" s="74"/>
      <c r="M1765" s="74"/>
      <c r="N1765" s="74"/>
      <c r="O1765" s="74"/>
      <c r="P1765" s="74"/>
      <c r="Q1765" s="74"/>
      <c r="R1765" s="74"/>
      <c r="S1765" s="74"/>
      <c r="T1765" s="74"/>
      <c r="U1765" s="74"/>
      <c r="V1765" s="74"/>
      <c r="W1765" s="74"/>
      <c r="X1765" s="74"/>
      <c r="Y1765" s="74"/>
      <c r="Z1765" s="74"/>
      <c r="AA1765" s="74"/>
      <c r="AB1765" s="74"/>
    </row>
    <row r="1766" spans="1:28" ht="12" customHeight="1">
      <c r="A1766" s="260"/>
      <c r="B1766" s="104"/>
      <c r="C1766" s="104"/>
      <c r="D1766" s="260"/>
      <c r="E1766" s="104"/>
      <c r="F1766" s="104"/>
      <c r="G1766" s="35"/>
      <c r="H1766" s="104"/>
      <c r="I1766" s="35"/>
      <c r="J1766" s="74"/>
      <c r="K1766" s="74"/>
      <c r="L1766" s="74"/>
      <c r="M1766" s="74"/>
      <c r="N1766" s="74"/>
      <c r="O1766" s="74"/>
      <c r="P1766" s="74"/>
      <c r="Q1766" s="74"/>
      <c r="R1766" s="74"/>
      <c r="S1766" s="74"/>
      <c r="T1766" s="74"/>
      <c r="U1766" s="74"/>
      <c r="V1766" s="74"/>
      <c r="W1766" s="74"/>
      <c r="X1766" s="74"/>
      <c r="Y1766" s="74"/>
      <c r="Z1766" s="74"/>
      <c r="AA1766" s="74"/>
      <c r="AB1766" s="74"/>
    </row>
    <row r="1767" spans="1:28" ht="12" customHeight="1">
      <c r="A1767" s="260"/>
      <c r="B1767" s="104"/>
      <c r="C1767" s="104"/>
      <c r="D1767" s="260"/>
      <c r="E1767" s="104"/>
      <c r="F1767" s="104"/>
      <c r="G1767" s="35"/>
      <c r="H1767" s="104"/>
      <c r="I1767" s="35"/>
      <c r="J1767" s="74"/>
      <c r="K1767" s="74"/>
      <c r="L1767" s="74"/>
      <c r="M1767" s="74"/>
      <c r="N1767" s="74"/>
      <c r="O1767" s="74"/>
      <c r="P1767" s="74"/>
      <c r="Q1767" s="74"/>
      <c r="R1767" s="74"/>
      <c r="S1767" s="74"/>
      <c r="T1767" s="74"/>
      <c r="U1767" s="74"/>
      <c r="V1767" s="74"/>
      <c r="W1767" s="74"/>
      <c r="X1767" s="74"/>
      <c r="Y1767" s="74"/>
      <c r="Z1767" s="74"/>
      <c r="AA1767" s="74"/>
      <c r="AB1767" s="74"/>
    </row>
    <row r="1768" spans="1:28" ht="12" customHeight="1">
      <c r="A1768" s="260"/>
      <c r="B1768" s="104"/>
      <c r="C1768" s="104"/>
      <c r="D1768" s="260"/>
      <c r="E1768" s="104"/>
      <c r="F1768" s="104"/>
      <c r="G1768" s="35"/>
      <c r="H1768" s="104"/>
      <c r="I1768" s="35"/>
      <c r="J1768" s="74"/>
      <c r="K1768" s="74"/>
      <c r="L1768" s="74"/>
      <c r="M1768" s="74"/>
      <c r="N1768" s="74"/>
      <c r="O1768" s="74"/>
      <c r="P1768" s="74"/>
      <c r="Q1768" s="74"/>
      <c r="R1768" s="74"/>
      <c r="S1768" s="74"/>
      <c r="T1768" s="74"/>
      <c r="U1768" s="74"/>
      <c r="V1768" s="74"/>
      <c r="W1768" s="74"/>
      <c r="X1768" s="74"/>
      <c r="Y1768" s="74"/>
      <c r="Z1768" s="74"/>
      <c r="AA1768" s="74"/>
      <c r="AB1768" s="74"/>
    </row>
    <row r="1769" spans="1:28" ht="12" customHeight="1">
      <c r="A1769" s="260"/>
      <c r="B1769" s="104"/>
      <c r="C1769" s="104"/>
      <c r="D1769" s="260"/>
      <c r="E1769" s="104"/>
      <c r="F1769" s="104"/>
      <c r="G1769" s="35"/>
      <c r="H1769" s="104"/>
      <c r="I1769" s="35"/>
      <c r="J1769" s="74"/>
      <c r="K1769" s="74"/>
      <c r="L1769" s="74"/>
      <c r="M1769" s="74"/>
      <c r="N1769" s="74"/>
      <c r="O1769" s="74"/>
      <c r="P1769" s="74"/>
      <c r="Q1769" s="74"/>
      <c r="R1769" s="74"/>
      <c r="S1769" s="74"/>
      <c r="T1769" s="74"/>
      <c r="U1769" s="74"/>
      <c r="V1769" s="74"/>
      <c r="W1769" s="74"/>
      <c r="X1769" s="74"/>
      <c r="Y1769" s="74"/>
      <c r="Z1769" s="74"/>
      <c r="AA1769" s="74"/>
      <c r="AB1769" s="74"/>
    </row>
    <row r="1770" spans="1:28" ht="12" customHeight="1">
      <c r="A1770" s="260"/>
      <c r="B1770" s="104"/>
      <c r="C1770" s="104"/>
      <c r="D1770" s="260"/>
      <c r="E1770" s="104"/>
      <c r="F1770" s="104"/>
      <c r="G1770" s="35"/>
      <c r="H1770" s="104"/>
      <c r="I1770" s="35"/>
      <c r="J1770" s="74"/>
      <c r="K1770" s="74"/>
      <c r="L1770" s="74"/>
      <c r="M1770" s="74"/>
      <c r="N1770" s="74"/>
      <c r="O1770" s="74"/>
      <c r="P1770" s="74"/>
      <c r="Q1770" s="74"/>
      <c r="R1770" s="74"/>
      <c r="S1770" s="74"/>
      <c r="T1770" s="74"/>
      <c r="U1770" s="74"/>
      <c r="V1770" s="74"/>
      <c r="W1770" s="74"/>
      <c r="X1770" s="74"/>
      <c r="Y1770" s="74"/>
      <c r="Z1770" s="74"/>
      <c r="AA1770" s="74"/>
      <c r="AB1770" s="74"/>
    </row>
    <row r="1771" spans="1:28" ht="12" customHeight="1">
      <c r="A1771" s="260"/>
      <c r="B1771" s="104"/>
      <c r="C1771" s="104"/>
      <c r="D1771" s="260"/>
      <c r="E1771" s="104"/>
      <c r="F1771" s="104"/>
      <c r="G1771" s="35"/>
      <c r="H1771" s="104"/>
      <c r="I1771" s="35"/>
      <c r="J1771" s="74"/>
      <c r="K1771" s="74"/>
      <c r="L1771" s="74"/>
      <c r="M1771" s="74"/>
      <c r="N1771" s="74"/>
      <c r="O1771" s="74"/>
      <c r="P1771" s="74"/>
      <c r="Q1771" s="74"/>
      <c r="R1771" s="74"/>
      <c r="S1771" s="74"/>
      <c r="T1771" s="74"/>
      <c r="U1771" s="74"/>
      <c r="V1771" s="74"/>
      <c r="W1771" s="74"/>
      <c r="X1771" s="74"/>
      <c r="Y1771" s="74"/>
      <c r="Z1771" s="74"/>
      <c r="AA1771" s="74"/>
      <c r="AB1771" s="74"/>
    </row>
    <row r="1772" spans="1:28" ht="12" customHeight="1">
      <c r="A1772" s="260"/>
      <c r="B1772" s="104"/>
      <c r="C1772" s="104"/>
      <c r="D1772" s="260"/>
      <c r="E1772" s="104"/>
      <c r="F1772" s="104"/>
      <c r="G1772" s="35"/>
      <c r="H1772" s="104"/>
      <c r="I1772" s="35"/>
      <c r="J1772" s="74"/>
      <c r="K1772" s="74"/>
      <c r="L1772" s="74"/>
      <c r="M1772" s="74"/>
      <c r="N1772" s="74"/>
      <c r="O1772" s="74"/>
      <c r="P1772" s="74"/>
      <c r="Q1772" s="74"/>
      <c r="R1772" s="74"/>
      <c r="S1772" s="74"/>
      <c r="T1772" s="74"/>
      <c r="U1772" s="74"/>
      <c r="V1772" s="74"/>
      <c r="W1772" s="74"/>
      <c r="X1772" s="74"/>
      <c r="Y1772" s="74"/>
      <c r="Z1772" s="74"/>
      <c r="AA1772" s="74"/>
      <c r="AB1772" s="74"/>
    </row>
    <row r="1773" spans="1:28" ht="12" customHeight="1">
      <c r="A1773" s="260"/>
      <c r="B1773" s="104"/>
      <c r="C1773" s="104"/>
      <c r="D1773" s="260"/>
      <c r="E1773" s="104"/>
      <c r="F1773" s="104"/>
      <c r="G1773" s="35"/>
      <c r="H1773" s="104"/>
      <c r="I1773" s="35"/>
      <c r="J1773" s="74"/>
      <c r="K1773" s="74"/>
      <c r="L1773" s="74"/>
      <c r="M1773" s="74"/>
      <c r="N1773" s="74"/>
      <c r="O1773" s="74"/>
      <c r="P1773" s="74"/>
      <c r="Q1773" s="74"/>
      <c r="R1773" s="74"/>
      <c r="S1773" s="74"/>
      <c r="T1773" s="74"/>
      <c r="U1773" s="74"/>
      <c r="V1773" s="74"/>
      <c r="W1773" s="74"/>
      <c r="X1773" s="74"/>
      <c r="Y1773" s="74"/>
      <c r="Z1773" s="74"/>
      <c r="AA1773" s="74"/>
      <c r="AB1773" s="74"/>
    </row>
    <row r="1774" spans="1:28" ht="12" customHeight="1">
      <c r="A1774" s="260"/>
      <c r="B1774" s="104"/>
      <c r="C1774" s="104"/>
      <c r="D1774" s="260"/>
      <c r="E1774" s="104"/>
      <c r="F1774" s="104"/>
      <c r="G1774" s="35"/>
      <c r="H1774" s="104"/>
      <c r="I1774" s="35"/>
      <c r="J1774" s="74"/>
      <c r="K1774" s="74"/>
      <c r="L1774" s="74"/>
      <c r="M1774" s="74"/>
      <c r="N1774" s="74"/>
      <c r="O1774" s="74"/>
      <c r="P1774" s="74"/>
      <c r="Q1774" s="74"/>
      <c r="R1774" s="74"/>
      <c r="S1774" s="74"/>
      <c r="T1774" s="74"/>
      <c r="U1774" s="74"/>
      <c r="V1774" s="74"/>
      <c r="W1774" s="74"/>
      <c r="X1774" s="74"/>
      <c r="Y1774" s="74"/>
      <c r="Z1774" s="74"/>
      <c r="AA1774" s="74"/>
      <c r="AB1774" s="74"/>
    </row>
    <row r="1775" spans="1:28" ht="12" customHeight="1">
      <c r="A1775" s="260"/>
      <c r="B1775" s="104"/>
      <c r="C1775" s="104"/>
      <c r="D1775" s="260"/>
      <c r="E1775" s="104"/>
      <c r="F1775" s="104"/>
      <c r="G1775" s="35"/>
      <c r="H1775" s="104"/>
      <c r="I1775" s="35"/>
      <c r="J1775" s="74"/>
      <c r="K1775" s="74"/>
      <c r="L1775" s="74"/>
      <c r="M1775" s="74"/>
      <c r="N1775" s="74"/>
      <c r="O1775" s="74"/>
      <c r="P1775" s="74"/>
      <c r="Q1775" s="74"/>
      <c r="R1775" s="74"/>
      <c r="S1775" s="74"/>
      <c r="T1775" s="74"/>
      <c r="U1775" s="74"/>
      <c r="V1775" s="74"/>
      <c r="W1775" s="74"/>
      <c r="X1775" s="74"/>
      <c r="Y1775" s="74"/>
      <c r="Z1775" s="74"/>
      <c r="AA1775" s="74"/>
      <c r="AB1775" s="74"/>
    </row>
    <row r="1776" spans="1:28" ht="12" customHeight="1">
      <c r="A1776" s="260"/>
      <c r="B1776" s="104"/>
      <c r="C1776" s="104"/>
      <c r="D1776" s="260"/>
      <c r="E1776" s="104"/>
      <c r="F1776" s="104"/>
      <c r="G1776" s="35"/>
      <c r="H1776" s="104"/>
      <c r="I1776" s="35"/>
      <c r="J1776" s="74"/>
      <c r="K1776" s="74"/>
      <c r="L1776" s="74"/>
      <c r="M1776" s="74"/>
      <c r="N1776" s="74"/>
      <c r="O1776" s="74"/>
      <c r="P1776" s="74"/>
      <c r="Q1776" s="74"/>
      <c r="R1776" s="74"/>
      <c r="S1776" s="74"/>
      <c r="T1776" s="74"/>
      <c r="U1776" s="74"/>
      <c r="V1776" s="74"/>
      <c r="W1776" s="74"/>
      <c r="X1776" s="74"/>
      <c r="Y1776" s="74"/>
      <c r="Z1776" s="74"/>
      <c r="AA1776" s="74"/>
      <c r="AB1776" s="74"/>
    </row>
    <row r="1777" spans="1:28" ht="12" customHeight="1">
      <c r="A1777" s="260"/>
      <c r="B1777" s="104"/>
      <c r="C1777" s="104"/>
      <c r="D1777" s="260"/>
      <c r="E1777" s="104"/>
      <c r="F1777" s="104"/>
      <c r="G1777" s="35"/>
      <c r="H1777" s="104"/>
      <c r="I1777" s="35"/>
      <c r="J1777" s="74"/>
      <c r="K1777" s="74"/>
      <c r="L1777" s="74"/>
      <c r="M1777" s="74"/>
      <c r="N1777" s="74"/>
      <c r="O1777" s="74"/>
      <c r="P1777" s="74"/>
      <c r="Q1777" s="74"/>
      <c r="R1777" s="74"/>
      <c r="S1777" s="74"/>
      <c r="T1777" s="74"/>
      <c r="U1777" s="74"/>
      <c r="V1777" s="74"/>
      <c r="W1777" s="74"/>
      <c r="X1777" s="74"/>
      <c r="Y1777" s="74"/>
      <c r="Z1777" s="74"/>
      <c r="AA1777" s="74"/>
      <c r="AB1777" s="74"/>
    </row>
    <row r="1778" spans="1:28" ht="12" customHeight="1">
      <c r="A1778" s="260"/>
      <c r="B1778" s="104"/>
      <c r="C1778" s="104"/>
      <c r="D1778" s="260"/>
      <c r="E1778" s="104"/>
      <c r="F1778" s="104"/>
      <c r="G1778" s="35"/>
      <c r="H1778" s="104"/>
      <c r="I1778" s="35"/>
      <c r="J1778" s="74"/>
      <c r="K1778" s="74"/>
      <c r="L1778" s="74"/>
      <c r="M1778" s="74"/>
      <c r="N1778" s="74"/>
      <c r="O1778" s="74"/>
      <c r="P1778" s="74"/>
      <c r="Q1778" s="74"/>
      <c r="R1778" s="74"/>
      <c r="S1778" s="74"/>
      <c r="T1778" s="74"/>
      <c r="U1778" s="74"/>
      <c r="V1778" s="74"/>
      <c r="W1778" s="74"/>
      <c r="X1778" s="74"/>
      <c r="Y1778" s="74"/>
      <c r="Z1778" s="74"/>
      <c r="AA1778" s="74"/>
      <c r="AB1778" s="74"/>
    </row>
    <row r="1779" spans="1:28" ht="12" customHeight="1">
      <c r="A1779" s="260"/>
      <c r="B1779" s="104"/>
      <c r="C1779" s="104"/>
      <c r="D1779" s="260"/>
      <c r="E1779" s="104"/>
      <c r="F1779" s="104"/>
      <c r="G1779" s="35"/>
      <c r="H1779" s="104"/>
      <c r="I1779" s="35"/>
      <c r="J1779" s="74"/>
      <c r="K1779" s="74"/>
      <c r="L1779" s="74"/>
      <c r="M1779" s="74"/>
      <c r="N1779" s="74"/>
      <c r="O1779" s="74"/>
      <c r="P1779" s="74"/>
      <c r="Q1779" s="74"/>
      <c r="R1779" s="74"/>
      <c r="S1779" s="74"/>
      <c r="T1779" s="74"/>
      <c r="U1779" s="74"/>
      <c r="V1779" s="74"/>
      <c r="W1779" s="74"/>
      <c r="X1779" s="74"/>
      <c r="Y1779" s="74"/>
      <c r="Z1779" s="74"/>
      <c r="AA1779" s="74"/>
      <c r="AB1779" s="74"/>
    </row>
    <row r="1780" spans="1:28" ht="12" customHeight="1">
      <c r="A1780" s="260"/>
      <c r="B1780" s="104"/>
      <c r="C1780" s="104"/>
      <c r="D1780" s="260"/>
      <c r="E1780" s="104"/>
      <c r="F1780" s="104"/>
      <c r="G1780" s="35"/>
      <c r="H1780" s="104"/>
      <c r="I1780" s="35"/>
      <c r="J1780" s="74"/>
      <c r="K1780" s="74"/>
      <c r="L1780" s="74"/>
      <c r="M1780" s="74"/>
      <c r="N1780" s="74"/>
      <c r="O1780" s="74"/>
      <c r="P1780" s="74"/>
      <c r="Q1780" s="74"/>
      <c r="R1780" s="74"/>
      <c r="S1780" s="74"/>
      <c r="T1780" s="74"/>
      <c r="U1780" s="74"/>
      <c r="V1780" s="74"/>
      <c r="W1780" s="74"/>
      <c r="X1780" s="74"/>
      <c r="Y1780" s="74"/>
      <c r="Z1780" s="74"/>
      <c r="AA1780" s="74"/>
      <c r="AB1780" s="74"/>
    </row>
    <row r="1781" spans="1:28" ht="12" customHeight="1">
      <c r="A1781" s="260"/>
      <c r="B1781" s="104"/>
      <c r="C1781" s="104"/>
      <c r="D1781" s="260"/>
      <c r="E1781" s="104"/>
      <c r="F1781" s="104"/>
      <c r="G1781" s="35"/>
      <c r="H1781" s="104"/>
      <c r="I1781" s="35"/>
      <c r="J1781" s="74"/>
      <c r="K1781" s="74"/>
      <c r="L1781" s="74"/>
      <c r="M1781" s="74"/>
      <c r="N1781" s="74"/>
      <c r="O1781" s="74"/>
      <c r="P1781" s="74"/>
      <c r="Q1781" s="74"/>
      <c r="R1781" s="74"/>
      <c r="S1781" s="74"/>
      <c r="T1781" s="74"/>
      <c r="U1781" s="74"/>
      <c r="V1781" s="74"/>
      <c r="W1781" s="74"/>
      <c r="X1781" s="74"/>
      <c r="Y1781" s="74"/>
      <c r="Z1781" s="74"/>
      <c r="AA1781" s="74"/>
      <c r="AB1781" s="74"/>
    </row>
    <row r="1782" spans="1:28" ht="12" customHeight="1">
      <c r="A1782" s="260"/>
      <c r="B1782" s="104"/>
      <c r="C1782" s="104"/>
      <c r="D1782" s="260"/>
      <c r="E1782" s="104"/>
      <c r="F1782" s="104"/>
      <c r="G1782" s="35"/>
      <c r="H1782" s="104"/>
      <c r="I1782" s="35"/>
      <c r="J1782" s="74"/>
      <c r="K1782" s="74"/>
      <c r="L1782" s="74"/>
      <c r="M1782" s="74"/>
      <c r="N1782" s="74"/>
      <c r="O1782" s="74"/>
      <c r="P1782" s="74"/>
      <c r="Q1782" s="74"/>
      <c r="R1782" s="74"/>
      <c r="S1782" s="74"/>
      <c r="T1782" s="74"/>
      <c r="U1782" s="74"/>
      <c r="V1782" s="74"/>
      <c r="W1782" s="74"/>
      <c r="X1782" s="74"/>
      <c r="Y1782" s="74"/>
      <c r="Z1782" s="74"/>
      <c r="AA1782" s="74"/>
      <c r="AB1782" s="74"/>
    </row>
    <row r="1783" spans="1:28" ht="12" customHeight="1">
      <c r="A1783" s="260"/>
      <c r="B1783" s="104"/>
      <c r="C1783" s="104"/>
      <c r="D1783" s="260"/>
      <c r="E1783" s="104"/>
      <c r="F1783" s="104"/>
      <c r="G1783" s="35"/>
      <c r="H1783" s="104"/>
      <c r="I1783" s="35"/>
      <c r="J1783" s="74"/>
      <c r="K1783" s="74"/>
      <c r="L1783" s="74"/>
      <c r="M1783" s="74"/>
      <c r="N1783" s="74"/>
      <c r="O1783" s="74"/>
      <c r="P1783" s="74"/>
      <c r="Q1783" s="74"/>
      <c r="R1783" s="74"/>
      <c r="S1783" s="74"/>
      <c r="T1783" s="74"/>
      <c r="U1783" s="74"/>
      <c r="V1783" s="74"/>
      <c r="W1783" s="74"/>
      <c r="X1783" s="74"/>
      <c r="Y1783" s="74"/>
      <c r="Z1783" s="74"/>
      <c r="AA1783" s="74"/>
      <c r="AB1783" s="74"/>
    </row>
    <row r="1784" spans="1:28" ht="12" customHeight="1">
      <c r="A1784" s="260"/>
      <c r="B1784" s="104"/>
      <c r="C1784" s="104"/>
      <c r="D1784" s="260"/>
      <c r="E1784" s="104"/>
      <c r="F1784" s="104"/>
      <c r="G1784" s="35"/>
      <c r="H1784" s="104"/>
      <c r="I1784" s="35"/>
      <c r="J1784" s="74"/>
      <c r="K1784" s="74"/>
      <c r="L1784" s="74"/>
      <c r="M1784" s="74"/>
      <c r="N1784" s="74"/>
      <c r="O1784" s="74"/>
      <c r="P1784" s="74"/>
      <c r="Q1784" s="74"/>
      <c r="R1784" s="74"/>
      <c r="S1784" s="74"/>
      <c r="T1784" s="74"/>
      <c r="U1784" s="74"/>
      <c r="V1784" s="74"/>
      <c r="W1784" s="74"/>
      <c r="X1784" s="74"/>
      <c r="Y1784" s="74"/>
      <c r="Z1784" s="74"/>
      <c r="AA1784" s="74"/>
      <c r="AB1784" s="74"/>
    </row>
    <row r="1785" spans="1:28" ht="12" customHeight="1">
      <c r="A1785" s="260"/>
      <c r="B1785" s="104"/>
      <c r="C1785" s="104"/>
      <c r="D1785" s="260"/>
      <c r="E1785" s="104"/>
      <c r="F1785" s="104"/>
      <c r="G1785" s="35"/>
      <c r="H1785" s="104"/>
      <c r="I1785" s="35"/>
      <c r="J1785" s="74"/>
      <c r="K1785" s="74"/>
      <c r="L1785" s="74"/>
      <c r="M1785" s="74"/>
      <c r="N1785" s="74"/>
      <c r="O1785" s="74"/>
      <c r="P1785" s="74"/>
      <c r="Q1785" s="74"/>
      <c r="R1785" s="74"/>
      <c r="S1785" s="74"/>
      <c r="T1785" s="74"/>
      <c r="U1785" s="74"/>
      <c r="V1785" s="74"/>
      <c r="W1785" s="74"/>
      <c r="X1785" s="74"/>
      <c r="Y1785" s="74"/>
      <c r="Z1785" s="74"/>
      <c r="AA1785" s="74"/>
      <c r="AB1785" s="74"/>
    </row>
    <row r="1786" spans="1:28" ht="12" customHeight="1">
      <c r="A1786" s="260"/>
      <c r="B1786" s="104"/>
      <c r="C1786" s="104"/>
      <c r="D1786" s="260"/>
      <c r="E1786" s="104"/>
      <c r="F1786" s="104"/>
      <c r="G1786" s="35"/>
      <c r="H1786" s="104"/>
      <c r="I1786" s="35"/>
      <c r="J1786" s="74"/>
      <c r="K1786" s="74"/>
      <c r="L1786" s="74"/>
      <c r="M1786" s="74"/>
      <c r="N1786" s="74"/>
      <c r="O1786" s="74"/>
      <c r="P1786" s="74"/>
      <c r="Q1786" s="74"/>
      <c r="R1786" s="74"/>
      <c r="S1786" s="74"/>
      <c r="T1786" s="74"/>
      <c r="U1786" s="74"/>
      <c r="V1786" s="74"/>
      <c r="W1786" s="74"/>
      <c r="X1786" s="74"/>
      <c r="Y1786" s="74"/>
      <c r="Z1786" s="74"/>
      <c r="AA1786" s="74"/>
      <c r="AB1786" s="74"/>
    </row>
    <row r="1787" spans="1:28" ht="12" customHeight="1">
      <c r="A1787" s="260"/>
      <c r="B1787" s="104"/>
      <c r="C1787" s="104"/>
      <c r="D1787" s="260"/>
      <c r="E1787" s="104"/>
      <c r="F1787" s="104"/>
      <c r="G1787" s="35"/>
      <c r="H1787" s="104"/>
      <c r="I1787" s="35"/>
      <c r="J1787" s="74"/>
      <c r="K1787" s="74"/>
      <c r="L1787" s="74"/>
      <c r="M1787" s="74"/>
      <c r="N1787" s="74"/>
      <c r="O1787" s="74"/>
      <c r="P1787" s="74"/>
      <c r="Q1787" s="74"/>
      <c r="R1787" s="74"/>
      <c r="S1787" s="74"/>
      <c r="T1787" s="74"/>
      <c r="U1787" s="74"/>
      <c r="V1787" s="74"/>
      <c r="W1787" s="74"/>
      <c r="X1787" s="74"/>
      <c r="Y1787" s="74"/>
      <c r="Z1787" s="74"/>
      <c r="AA1787" s="74"/>
      <c r="AB1787" s="74"/>
    </row>
    <row r="1788" spans="1:28" ht="12" customHeight="1">
      <c r="A1788" s="260"/>
      <c r="B1788" s="104"/>
      <c r="C1788" s="104"/>
      <c r="D1788" s="260"/>
      <c r="E1788" s="104"/>
      <c r="F1788" s="104"/>
      <c r="G1788" s="35"/>
      <c r="H1788" s="104"/>
      <c r="I1788" s="35"/>
      <c r="J1788" s="74"/>
      <c r="K1788" s="74"/>
      <c r="L1788" s="74"/>
      <c r="M1788" s="74"/>
      <c r="N1788" s="74"/>
      <c r="O1788" s="74"/>
      <c r="P1788" s="74"/>
      <c r="Q1788" s="74"/>
      <c r="R1788" s="74"/>
      <c r="S1788" s="74"/>
      <c r="T1788" s="74"/>
      <c r="U1788" s="74"/>
      <c r="V1788" s="74"/>
      <c r="W1788" s="74"/>
      <c r="X1788" s="74"/>
      <c r="Y1788" s="74"/>
      <c r="Z1788" s="74"/>
      <c r="AA1788" s="74"/>
      <c r="AB1788" s="74"/>
    </row>
    <row r="1789" spans="1:28" ht="12" customHeight="1">
      <c r="A1789" s="260"/>
      <c r="B1789" s="104"/>
      <c r="C1789" s="104"/>
      <c r="D1789" s="260"/>
      <c r="E1789" s="104"/>
      <c r="F1789" s="104"/>
      <c r="G1789" s="35"/>
      <c r="H1789" s="104"/>
      <c r="I1789" s="35"/>
      <c r="J1789" s="74"/>
      <c r="K1789" s="74"/>
      <c r="L1789" s="74"/>
      <c r="M1789" s="74"/>
      <c r="N1789" s="74"/>
      <c r="O1789" s="74"/>
      <c r="P1789" s="74"/>
      <c r="Q1789" s="74"/>
      <c r="R1789" s="74"/>
      <c r="S1789" s="74"/>
      <c r="T1789" s="74"/>
      <c r="U1789" s="74"/>
      <c r="V1789" s="74"/>
      <c r="W1789" s="74"/>
      <c r="X1789" s="74"/>
      <c r="Y1789" s="74"/>
      <c r="Z1789" s="74"/>
      <c r="AA1789" s="74"/>
      <c r="AB1789" s="74"/>
    </row>
    <row r="1790" spans="1:28" ht="12" customHeight="1">
      <c r="A1790" s="260"/>
      <c r="B1790" s="104"/>
      <c r="C1790" s="104"/>
      <c r="D1790" s="260"/>
      <c r="E1790" s="104"/>
      <c r="F1790" s="104"/>
      <c r="G1790" s="35"/>
      <c r="H1790" s="104"/>
      <c r="I1790" s="35"/>
      <c r="J1790" s="74"/>
      <c r="K1790" s="74"/>
      <c r="L1790" s="74"/>
      <c r="M1790" s="74"/>
      <c r="N1790" s="74"/>
      <c r="O1790" s="74"/>
      <c r="P1790" s="74"/>
      <c r="Q1790" s="74"/>
      <c r="R1790" s="74"/>
      <c r="S1790" s="74"/>
      <c r="T1790" s="74"/>
      <c r="U1790" s="74"/>
      <c r="V1790" s="74"/>
      <c r="W1790" s="74"/>
      <c r="X1790" s="74"/>
      <c r="Y1790" s="74"/>
      <c r="Z1790" s="74"/>
      <c r="AA1790" s="74"/>
      <c r="AB1790" s="74"/>
    </row>
    <row r="1791" spans="1:28" ht="12" customHeight="1">
      <c r="A1791" s="260"/>
      <c r="B1791" s="104"/>
      <c r="C1791" s="104"/>
      <c r="D1791" s="260"/>
      <c r="E1791" s="104"/>
      <c r="F1791" s="104"/>
      <c r="G1791" s="35"/>
      <c r="H1791" s="104"/>
      <c r="I1791" s="35"/>
      <c r="J1791" s="74"/>
      <c r="K1791" s="74"/>
      <c r="L1791" s="74"/>
      <c r="M1791" s="74"/>
      <c r="N1791" s="74"/>
      <c r="O1791" s="74"/>
      <c r="P1791" s="74"/>
      <c r="Q1791" s="74"/>
      <c r="R1791" s="74"/>
      <c r="S1791" s="74"/>
      <c r="T1791" s="74"/>
      <c r="U1791" s="74"/>
      <c r="V1791" s="74"/>
      <c r="W1791" s="74"/>
      <c r="X1791" s="74"/>
      <c r="Y1791" s="74"/>
      <c r="Z1791" s="74"/>
      <c r="AA1791" s="74"/>
      <c r="AB1791" s="74"/>
    </row>
    <row r="1792" spans="1:28" ht="12" customHeight="1">
      <c r="A1792" s="260"/>
      <c r="B1792" s="104"/>
      <c r="C1792" s="104"/>
      <c r="D1792" s="260"/>
      <c r="E1792" s="104"/>
      <c r="F1792" s="104"/>
      <c r="G1792" s="35"/>
      <c r="H1792" s="104"/>
      <c r="I1792" s="35"/>
      <c r="J1792" s="74"/>
      <c r="K1792" s="74"/>
      <c r="L1792" s="74"/>
      <c r="M1792" s="74"/>
      <c r="N1792" s="74"/>
      <c r="O1792" s="74"/>
      <c r="P1792" s="74"/>
      <c r="Q1792" s="74"/>
      <c r="R1792" s="74"/>
      <c r="S1792" s="74"/>
      <c r="T1792" s="74"/>
      <c r="U1792" s="74"/>
      <c r="V1792" s="74"/>
      <c r="W1792" s="74"/>
      <c r="X1792" s="74"/>
      <c r="Y1792" s="74"/>
      <c r="Z1792" s="74"/>
      <c r="AA1792" s="74"/>
      <c r="AB1792" s="74"/>
    </row>
    <row r="1793" spans="1:28" ht="12" customHeight="1">
      <c r="A1793" s="260"/>
      <c r="B1793" s="104"/>
      <c r="C1793" s="104"/>
      <c r="D1793" s="260"/>
      <c r="E1793" s="104"/>
      <c r="F1793" s="104"/>
      <c r="G1793" s="35"/>
      <c r="H1793" s="104"/>
      <c r="I1793" s="35"/>
      <c r="J1793" s="74"/>
      <c r="K1793" s="74"/>
      <c r="L1793" s="74"/>
      <c r="M1793" s="74"/>
      <c r="N1793" s="74"/>
      <c r="O1793" s="74"/>
      <c r="P1793" s="74"/>
      <c r="Q1793" s="74"/>
      <c r="R1793" s="74"/>
      <c r="S1793" s="74"/>
      <c r="T1793" s="74"/>
      <c r="U1793" s="74"/>
      <c r="V1793" s="74"/>
      <c r="W1793" s="74"/>
      <c r="X1793" s="74"/>
      <c r="Y1793" s="74"/>
      <c r="Z1793" s="74"/>
      <c r="AA1793" s="74"/>
      <c r="AB1793" s="74"/>
    </row>
    <row r="1794" spans="1:28" ht="12" customHeight="1">
      <c r="A1794" s="260"/>
      <c r="B1794" s="104"/>
      <c r="C1794" s="104"/>
      <c r="D1794" s="260"/>
      <c r="E1794" s="104"/>
      <c r="F1794" s="104"/>
      <c r="G1794" s="35"/>
      <c r="H1794" s="104"/>
      <c r="I1794" s="35"/>
      <c r="J1794" s="74"/>
      <c r="K1794" s="74"/>
      <c r="L1794" s="74"/>
      <c r="M1794" s="74"/>
      <c r="N1794" s="74"/>
      <c r="O1794" s="74"/>
      <c r="P1794" s="74"/>
      <c r="Q1794" s="74"/>
      <c r="R1794" s="74"/>
      <c r="S1794" s="74"/>
      <c r="T1794" s="74"/>
      <c r="U1794" s="74"/>
      <c r="V1794" s="74"/>
      <c r="W1794" s="74"/>
      <c r="X1794" s="74"/>
      <c r="Y1794" s="74"/>
      <c r="Z1794" s="74"/>
      <c r="AA1794" s="74"/>
      <c r="AB1794" s="74"/>
    </row>
    <row r="1795" spans="1:28" ht="12" customHeight="1">
      <c r="A1795" s="260"/>
      <c r="B1795" s="104"/>
      <c r="C1795" s="104"/>
      <c r="D1795" s="260"/>
      <c r="E1795" s="104"/>
      <c r="F1795" s="104"/>
      <c r="G1795" s="35"/>
      <c r="H1795" s="104"/>
      <c r="I1795" s="35"/>
      <c r="J1795" s="74"/>
      <c r="K1795" s="74"/>
      <c r="L1795" s="74"/>
      <c r="M1795" s="74"/>
      <c r="N1795" s="74"/>
      <c r="O1795" s="74"/>
      <c r="P1795" s="74"/>
      <c r="Q1795" s="74"/>
      <c r="R1795" s="74"/>
      <c r="S1795" s="74"/>
      <c r="T1795" s="74"/>
      <c r="U1795" s="74"/>
      <c r="V1795" s="74"/>
      <c r="W1795" s="74"/>
      <c r="X1795" s="74"/>
      <c r="Y1795" s="74"/>
      <c r="Z1795" s="74"/>
      <c r="AA1795" s="74"/>
      <c r="AB1795" s="74"/>
    </row>
    <row r="1796" spans="1:28" ht="12" customHeight="1">
      <c r="A1796" s="260"/>
      <c r="B1796" s="104"/>
      <c r="C1796" s="104"/>
      <c r="D1796" s="260"/>
      <c r="E1796" s="104"/>
      <c r="F1796" s="104"/>
      <c r="G1796" s="35"/>
      <c r="H1796" s="104"/>
      <c r="I1796" s="35"/>
      <c r="J1796" s="74"/>
      <c r="K1796" s="74"/>
      <c r="L1796" s="74"/>
      <c r="M1796" s="74"/>
      <c r="N1796" s="74"/>
      <c r="O1796" s="74"/>
      <c r="P1796" s="74"/>
      <c r="Q1796" s="74"/>
      <c r="R1796" s="74"/>
      <c r="S1796" s="74"/>
      <c r="T1796" s="74"/>
      <c r="U1796" s="74"/>
      <c r="V1796" s="74"/>
      <c r="W1796" s="74"/>
      <c r="X1796" s="74"/>
      <c r="Y1796" s="74"/>
      <c r="Z1796" s="74"/>
      <c r="AA1796" s="74"/>
      <c r="AB1796" s="74"/>
    </row>
    <row r="1797" spans="1:28" ht="12" customHeight="1">
      <c r="A1797" s="260"/>
      <c r="B1797" s="104"/>
      <c r="C1797" s="104"/>
      <c r="D1797" s="260"/>
      <c r="E1797" s="104"/>
      <c r="F1797" s="104"/>
      <c r="G1797" s="35"/>
      <c r="H1797" s="104"/>
      <c r="I1797" s="35"/>
      <c r="J1797" s="74"/>
      <c r="K1797" s="74"/>
      <c r="L1797" s="74"/>
      <c r="M1797" s="74"/>
      <c r="N1797" s="74"/>
      <c r="O1797" s="74"/>
      <c r="P1797" s="74"/>
      <c r="Q1797" s="74"/>
      <c r="R1797" s="74"/>
      <c r="S1797" s="74"/>
      <c r="T1797" s="74"/>
      <c r="U1797" s="74"/>
      <c r="V1797" s="74"/>
      <c r="W1797" s="74"/>
      <c r="X1797" s="74"/>
      <c r="Y1797" s="74"/>
      <c r="Z1797" s="74"/>
      <c r="AA1797" s="74"/>
      <c r="AB1797" s="74"/>
    </row>
    <row r="1798" spans="1:28" ht="12" customHeight="1">
      <c r="A1798" s="260"/>
      <c r="B1798" s="104"/>
      <c r="C1798" s="104"/>
      <c r="D1798" s="260"/>
      <c r="E1798" s="104"/>
      <c r="F1798" s="104"/>
      <c r="G1798" s="35"/>
      <c r="H1798" s="104"/>
      <c r="I1798" s="35"/>
      <c r="J1798" s="74"/>
      <c r="K1798" s="74"/>
      <c r="L1798" s="74"/>
      <c r="M1798" s="74"/>
      <c r="N1798" s="74"/>
      <c r="O1798" s="74"/>
      <c r="P1798" s="74"/>
      <c r="Q1798" s="74"/>
      <c r="R1798" s="74"/>
      <c r="S1798" s="74"/>
      <c r="T1798" s="74"/>
      <c r="U1798" s="74"/>
      <c r="V1798" s="74"/>
      <c r="W1798" s="74"/>
      <c r="X1798" s="74"/>
      <c r="Y1798" s="74"/>
      <c r="Z1798" s="74"/>
      <c r="AA1798" s="74"/>
      <c r="AB1798" s="74"/>
    </row>
    <row r="1799" spans="1:28" ht="12" customHeight="1">
      <c r="A1799" s="260"/>
      <c r="B1799" s="104"/>
      <c r="C1799" s="104"/>
      <c r="D1799" s="260"/>
      <c r="E1799" s="104"/>
      <c r="F1799" s="104"/>
      <c r="G1799" s="35"/>
      <c r="H1799" s="104"/>
      <c r="I1799" s="35"/>
      <c r="J1799" s="74"/>
      <c r="K1799" s="74"/>
      <c r="L1799" s="74"/>
      <c r="M1799" s="74"/>
      <c r="N1799" s="74"/>
      <c r="O1799" s="74"/>
      <c r="P1799" s="74"/>
      <c r="Q1799" s="74"/>
      <c r="R1799" s="74"/>
      <c r="S1799" s="74"/>
      <c r="T1799" s="74"/>
      <c r="U1799" s="74"/>
      <c r="V1799" s="74"/>
      <c r="W1799" s="74"/>
      <c r="X1799" s="74"/>
      <c r="Y1799" s="74"/>
      <c r="Z1799" s="74"/>
      <c r="AA1799" s="74"/>
      <c r="AB1799" s="74"/>
    </row>
    <row r="1800" spans="1:28" ht="12" customHeight="1">
      <c r="A1800" s="260"/>
      <c r="B1800" s="104"/>
      <c r="C1800" s="104"/>
      <c r="D1800" s="260"/>
      <c r="E1800" s="104"/>
      <c r="F1800" s="104"/>
      <c r="G1800" s="35"/>
      <c r="H1800" s="104"/>
      <c r="I1800" s="35"/>
      <c r="J1800" s="74"/>
      <c r="K1800" s="74"/>
      <c r="L1800" s="74"/>
      <c r="M1800" s="74"/>
      <c r="N1800" s="74"/>
      <c r="O1800" s="74"/>
      <c r="P1800" s="74"/>
      <c r="Q1800" s="74"/>
      <c r="R1800" s="74"/>
      <c r="S1800" s="74"/>
      <c r="T1800" s="74"/>
      <c r="U1800" s="74"/>
      <c r="V1800" s="74"/>
      <c r="W1800" s="74"/>
      <c r="X1800" s="74"/>
      <c r="Y1800" s="74"/>
      <c r="Z1800" s="74"/>
      <c r="AA1800" s="74"/>
      <c r="AB1800" s="74"/>
    </row>
    <row r="1801" spans="1:28" ht="12" customHeight="1">
      <c r="A1801" s="260"/>
      <c r="B1801" s="104"/>
      <c r="C1801" s="104"/>
      <c r="D1801" s="260"/>
      <c r="E1801" s="104"/>
      <c r="F1801" s="104"/>
      <c r="G1801" s="35"/>
      <c r="H1801" s="104"/>
      <c r="I1801" s="35"/>
      <c r="J1801" s="74"/>
      <c r="K1801" s="74"/>
      <c r="L1801" s="74"/>
      <c r="M1801" s="74"/>
      <c r="N1801" s="74"/>
      <c r="O1801" s="74"/>
      <c r="P1801" s="74"/>
      <c r="Q1801" s="74"/>
      <c r="R1801" s="74"/>
      <c r="S1801" s="74"/>
      <c r="T1801" s="74"/>
      <c r="U1801" s="74"/>
      <c r="V1801" s="74"/>
      <c r="W1801" s="74"/>
      <c r="X1801" s="74"/>
      <c r="Y1801" s="74"/>
      <c r="Z1801" s="74"/>
      <c r="AA1801" s="74"/>
      <c r="AB1801" s="74"/>
    </row>
    <row r="1802" spans="1:28" ht="12" customHeight="1">
      <c r="A1802" s="260"/>
      <c r="B1802" s="104"/>
      <c r="C1802" s="104"/>
      <c r="D1802" s="260"/>
      <c r="E1802" s="104"/>
      <c r="F1802" s="104"/>
      <c r="G1802" s="35"/>
      <c r="H1802" s="104"/>
      <c r="I1802" s="35"/>
      <c r="J1802" s="74"/>
      <c r="K1802" s="74"/>
      <c r="L1802" s="74"/>
      <c r="M1802" s="74"/>
      <c r="N1802" s="74"/>
      <c r="O1802" s="74"/>
      <c r="P1802" s="74"/>
      <c r="Q1802" s="74"/>
      <c r="R1802" s="74"/>
      <c r="S1802" s="74"/>
      <c r="T1802" s="74"/>
      <c r="U1802" s="74"/>
      <c r="V1802" s="74"/>
      <c r="W1802" s="74"/>
      <c r="X1802" s="74"/>
      <c r="Y1802" s="74"/>
      <c r="Z1802" s="74"/>
      <c r="AA1802" s="74"/>
      <c r="AB1802" s="74"/>
    </row>
    <row r="1803" spans="1:28" ht="12" customHeight="1">
      <c r="A1803" s="260"/>
      <c r="B1803" s="104"/>
      <c r="C1803" s="104"/>
      <c r="D1803" s="260"/>
      <c r="E1803" s="104"/>
      <c r="F1803" s="104"/>
      <c r="G1803" s="35"/>
      <c r="H1803" s="104"/>
      <c r="I1803" s="35"/>
      <c r="J1803" s="74"/>
      <c r="K1803" s="74"/>
      <c r="L1803" s="74"/>
      <c r="M1803" s="74"/>
      <c r="N1803" s="74"/>
      <c r="O1803" s="74"/>
      <c r="P1803" s="74"/>
      <c r="Q1803" s="74"/>
      <c r="R1803" s="74"/>
      <c r="S1803" s="74"/>
      <c r="T1803" s="74"/>
      <c r="U1803" s="74"/>
      <c r="V1803" s="74"/>
      <c r="W1803" s="74"/>
      <c r="X1803" s="74"/>
      <c r="Y1803" s="74"/>
      <c r="Z1803" s="74"/>
      <c r="AA1803" s="74"/>
      <c r="AB1803" s="74"/>
    </row>
    <row r="1804" spans="1:28" ht="12" customHeight="1">
      <c r="A1804" s="260"/>
      <c r="B1804" s="104"/>
      <c r="C1804" s="104"/>
      <c r="D1804" s="260"/>
      <c r="E1804" s="104"/>
      <c r="F1804" s="104"/>
      <c r="G1804" s="35"/>
      <c r="H1804" s="104"/>
      <c r="I1804" s="35"/>
      <c r="J1804" s="74"/>
      <c r="K1804" s="74"/>
      <c r="L1804" s="74"/>
      <c r="M1804" s="74"/>
      <c r="N1804" s="74"/>
      <c r="O1804" s="74"/>
      <c r="P1804" s="74"/>
      <c r="Q1804" s="74"/>
      <c r="R1804" s="74"/>
      <c r="S1804" s="74"/>
      <c r="T1804" s="74"/>
      <c r="U1804" s="74"/>
      <c r="V1804" s="74"/>
      <c r="W1804" s="74"/>
      <c r="X1804" s="74"/>
      <c r="Y1804" s="74"/>
      <c r="Z1804" s="74"/>
      <c r="AA1804" s="74"/>
      <c r="AB1804" s="74"/>
    </row>
    <row r="1805" spans="1:28" ht="12" customHeight="1">
      <c r="A1805" s="260"/>
      <c r="B1805" s="104"/>
      <c r="C1805" s="104"/>
      <c r="D1805" s="260"/>
      <c r="E1805" s="104"/>
      <c r="F1805" s="104"/>
      <c r="G1805" s="35"/>
      <c r="H1805" s="104"/>
      <c r="I1805" s="35"/>
      <c r="J1805" s="74"/>
      <c r="K1805" s="74"/>
      <c r="L1805" s="74"/>
      <c r="M1805" s="74"/>
      <c r="N1805" s="74"/>
      <c r="O1805" s="74"/>
      <c r="P1805" s="74"/>
      <c r="Q1805" s="74"/>
      <c r="R1805" s="74"/>
      <c r="S1805" s="74"/>
      <c r="T1805" s="74"/>
      <c r="U1805" s="74"/>
      <c r="V1805" s="74"/>
      <c r="W1805" s="74"/>
      <c r="X1805" s="74"/>
      <c r="Y1805" s="74"/>
      <c r="Z1805" s="74"/>
      <c r="AA1805" s="74"/>
      <c r="AB1805" s="74"/>
    </row>
    <row r="1806" spans="1:28" ht="12" customHeight="1">
      <c r="A1806" s="260"/>
      <c r="B1806" s="104"/>
      <c r="C1806" s="104"/>
      <c r="D1806" s="260"/>
      <c r="E1806" s="104"/>
      <c r="F1806" s="104"/>
      <c r="G1806" s="35"/>
      <c r="H1806" s="104"/>
      <c r="I1806" s="35"/>
      <c r="J1806" s="74"/>
      <c r="K1806" s="74"/>
      <c r="L1806" s="74"/>
      <c r="M1806" s="74"/>
      <c r="N1806" s="74"/>
      <c r="O1806" s="74"/>
      <c r="P1806" s="74"/>
      <c r="Q1806" s="74"/>
      <c r="R1806" s="74"/>
      <c r="S1806" s="74"/>
      <c r="T1806" s="74"/>
      <c r="U1806" s="74"/>
      <c r="V1806" s="74"/>
      <c r="W1806" s="74"/>
      <c r="X1806" s="74"/>
      <c r="Y1806" s="74"/>
      <c r="Z1806" s="74"/>
      <c r="AA1806" s="74"/>
      <c r="AB1806" s="74"/>
    </row>
    <row r="1807" spans="1:28" ht="12" customHeight="1">
      <c r="A1807" s="260"/>
      <c r="B1807" s="104"/>
      <c r="C1807" s="104"/>
      <c r="D1807" s="260"/>
      <c r="E1807" s="104"/>
      <c r="F1807" s="104"/>
      <c r="G1807" s="35"/>
      <c r="H1807" s="104"/>
      <c r="I1807" s="35"/>
      <c r="J1807" s="74"/>
      <c r="K1807" s="74"/>
      <c r="L1807" s="74"/>
      <c r="M1807" s="74"/>
      <c r="N1807" s="74"/>
      <c r="O1807" s="74"/>
      <c r="P1807" s="74"/>
      <c r="Q1807" s="74"/>
      <c r="R1807" s="74"/>
      <c r="S1807" s="74"/>
      <c r="T1807" s="74"/>
      <c r="U1807" s="74"/>
      <c r="V1807" s="74"/>
      <c r="W1807" s="74"/>
      <c r="X1807" s="74"/>
      <c r="Y1807" s="74"/>
      <c r="Z1807" s="74"/>
      <c r="AA1807" s="74"/>
      <c r="AB1807" s="74"/>
    </row>
    <row r="1808" spans="1:28" ht="12" customHeight="1">
      <c r="A1808" s="260"/>
      <c r="B1808" s="104"/>
      <c r="C1808" s="104"/>
      <c r="D1808" s="260"/>
      <c r="E1808" s="104"/>
      <c r="F1808" s="104"/>
      <c r="G1808" s="35"/>
      <c r="H1808" s="104"/>
      <c r="I1808" s="35"/>
      <c r="J1808" s="74"/>
      <c r="K1808" s="74"/>
      <c r="L1808" s="74"/>
      <c r="M1808" s="74"/>
      <c r="N1808" s="74"/>
      <c r="O1808" s="74"/>
      <c r="P1808" s="74"/>
      <c r="Q1808" s="74"/>
      <c r="R1808" s="74"/>
      <c r="S1808" s="74"/>
      <c r="T1808" s="74"/>
      <c r="U1808" s="74"/>
      <c r="V1808" s="74"/>
      <c r="W1808" s="74"/>
      <c r="X1808" s="74"/>
      <c r="Y1808" s="74"/>
      <c r="Z1808" s="74"/>
      <c r="AA1808" s="74"/>
      <c r="AB1808" s="74"/>
    </row>
    <row r="1809" spans="1:28" ht="12" customHeight="1">
      <c r="A1809" s="260"/>
      <c r="B1809" s="104"/>
      <c r="C1809" s="104"/>
      <c r="D1809" s="260"/>
      <c r="E1809" s="104"/>
      <c r="F1809" s="104"/>
      <c r="G1809" s="35"/>
      <c r="H1809" s="104"/>
      <c r="I1809" s="35"/>
      <c r="J1809" s="74"/>
      <c r="K1809" s="74"/>
      <c r="L1809" s="74"/>
      <c r="M1809" s="74"/>
      <c r="N1809" s="74"/>
      <c r="O1809" s="74"/>
      <c r="P1809" s="74"/>
      <c r="Q1809" s="74"/>
      <c r="R1809" s="74"/>
      <c r="S1809" s="74"/>
      <c r="T1809" s="74"/>
      <c r="U1809" s="74"/>
      <c r="V1809" s="74"/>
      <c r="W1809" s="74"/>
      <c r="X1809" s="74"/>
      <c r="Y1809" s="74"/>
      <c r="Z1809" s="74"/>
      <c r="AA1809" s="74"/>
      <c r="AB1809" s="74"/>
    </row>
    <row r="1810" spans="1:28" ht="12" customHeight="1">
      <c r="A1810" s="260"/>
      <c r="B1810" s="104"/>
      <c r="C1810" s="104"/>
      <c r="D1810" s="260"/>
      <c r="E1810" s="104"/>
      <c r="F1810" s="104"/>
      <c r="G1810" s="35"/>
      <c r="H1810" s="104"/>
      <c r="I1810" s="35"/>
      <c r="J1810" s="74"/>
      <c r="K1810" s="74"/>
      <c r="L1810" s="74"/>
      <c r="M1810" s="74"/>
      <c r="N1810" s="74"/>
      <c r="O1810" s="74"/>
      <c r="P1810" s="74"/>
      <c r="Q1810" s="74"/>
      <c r="R1810" s="74"/>
      <c r="S1810" s="74"/>
      <c r="T1810" s="74"/>
      <c r="U1810" s="74"/>
      <c r="V1810" s="74"/>
      <c r="W1810" s="74"/>
      <c r="X1810" s="74"/>
      <c r="Y1810" s="74"/>
      <c r="Z1810" s="74"/>
      <c r="AA1810" s="74"/>
      <c r="AB1810" s="74"/>
    </row>
    <row r="1811" spans="1:28" ht="12" customHeight="1">
      <c r="A1811" s="260"/>
      <c r="B1811" s="104"/>
      <c r="C1811" s="104"/>
      <c r="D1811" s="260"/>
      <c r="E1811" s="104"/>
      <c r="F1811" s="104"/>
      <c r="G1811" s="35"/>
      <c r="H1811" s="104"/>
      <c r="I1811" s="35"/>
      <c r="J1811" s="74"/>
      <c r="K1811" s="74"/>
      <c r="L1811" s="74"/>
      <c r="M1811" s="74"/>
      <c r="N1811" s="74"/>
      <c r="O1811" s="74"/>
      <c r="P1811" s="74"/>
      <c r="Q1811" s="74"/>
      <c r="R1811" s="74"/>
      <c r="S1811" s="74"/>
      <c r="T1811" s="74"/>
      <c r="U1811" s="74"/>
      <c r="V1811" s="74"/>
      <c r="W1811" s="74"/>
      <c r="X1811" s="74"/>
      <c r="Y1811" s="74"/>
      <c r="Z1811" s="74"/>
      <c r="AA1811" s="74"/>
      <c r="AB1811" s="74"/>
    </row>
    <row r="1812" spans="1:28" ht="12" customHeight="1">
      <c r="A1812" s="260"/>
      <c r="B1812" s="104"/>
      <c r="C1812" s="104"/>
      <c r="D1812" s="260"/>
      <c r="E1812" s="104"/>
      <c r="F1812" s="104"/>
      <c r="G1812" s="35"/>
      <c r="H1812" s="104"/>
      <c r="I1812" s="35"/>
      <c r="J1812" s="74"/>
      <c r="K1812" s="74"/>
      <c r="L1812" s="74"/>
      <c r="M1812" s="74"/>
      <c r="N1812" s="74"/>
      <c r="O1812" s="74"/>
      <c r="P1812" s="74"/>
      <c r="Q1812" s="74"/>
      <c r="R1812" s="74"/>
      <c r="S1812" s="74"/>
      <c r="T1812" s="74"/>
      <c r="U1812" s="74"/>
      <c r="V1812" s="74"/>
      <c r="W1812" s="74"/>
      <c r="X1812" s="74"/>
      <c r="Y1812" s="74"/>
      <c r="Z1812" s="74"/>
      <c r="AA1812" s="74"/>
      <c r="AB1812" s="74"/>
    </row>
    <row r="1813" spans="1:28" ht="12" customHeight="1">
      <c r="A1813" s="260"/>
      <c r="B1813" s="104"/>
      <c r="C1813" s="104"/>
      <c r="D1813" s="260"/>
      <c r="E1813" s="104"/>
      <c r="F1813" s="104"/>
      <c r="G1813" s="35"/>
      <c r="H1813" s="104"/>
      <c r="I1813" s="35"/>
      <c r="J1813" s="74"/>
      <c r="K1813" s="74"/>
      <c r="L1813" s="74"/>
      <c r="M1813" s="74"/>
      <c r="N1813" s="74"/>
      <c r="O1813" s="74"/>
      <c r="P1813" s="74"/>
      <c r="Q1813" s="74"/>
      <c r="R1813" s="74"/>
      <c r="S1813" s="74"/>
      <c r="T1813" s="74"/>
      <c r="U1813" s="74"/>
      <c r="V1813" s="74"/>
      <c r="W1813" s="74"/>
      <c r="X1813" s="74"/>
      <c r="Y1813" s="74"/>
      <c r="Z1813" s="74"/>
      <c r="AA1813" s="74"/>
      <c r="AB1813" s="74"/>
    </row>
    <row r="1814" spans="1:28" ht="12" customHeight="1">
      <c r="A1814" s="260"/>
      <c r="B1814" s="104"/>
      <c r="C1814" s="104"/>
      <c r="D1814" s="260"/>
      <c r="E1814" s="104"/>
      <c r="F1814" s="104"/>
      <c r="G1814" s="35"/>
      <c r="H1814" s="104"/>
      <c r="I1814" s="35"/>
      <c r="J1814" s="74"/>
      <c r="K1814" s="74"/>
      <c r="L1814" s="74"/>
      <c r="M1814" s="74"/>
      <c r="N1814" s="74"/>
      <c r="O1814" s="74"/>
      <c r="P1814" s="74"/>
      <c r="Q1814" s="74"/>
      <c r="R1814" s="74"/>
      <c r="S1814" s="74"/>
      <c r="T1814" s="74"/>
      <c r="U1814" s="74"/>
      <c r="V1814" s="74"/>
      <c r="W1814" s="74"/>
      <c r="X1814" s="74"/>
      <c r="Y1814" s="74"/>
      <c r="Z1814" s="74"/>
      <c r="AA1814" s="74"/>
      <c r="AB1814" s="74"/>
    </row>
    <row r="1815" spans="1:28" ht="12" customHeight="1">
      <c r="A1815" s="260"/>
      <c r="B1815" s="104"/>
      <c r="C1815" s="104"/>
      <c r="D1815" s="260"/>
      <c r="E1815" s="104"/>
      <c r="F1815" s="104"/>
      <c r="G1815" s="35"/>
      <c r="H1815" s="104"/>
      <c r="I1815" s="35"/>
      <c r="J1815" s="74"/>
      <c r="K1815" s="74"/>
      <c r="L1815" s="74"/>
      <c r="M1815" s="74"/>
      <c r="N1815" s="74"/>
      <c r="O1815" s="74"/>
      <c r="P1815" s="74"/>
      <c r="Q1815" s="74"/>
      <c r="R1815" s="74"/>
      <c r="S1815" s="74"/>
      <c r="T1815" s="74"/>
      <c r="U1815" s="74"/>
      <c r="V1815" s="74"/>
      <c r="W1815" s="74"/>
      <c r="X1815" s="74"/>
      <c r="Y1815" s="74"/>
      <c r="Z1815" s="74"/>
      <c r="AA1815" s="74"/>
      <c r="AB1815" s="74"/>
    </row>
    <row r="1816" spans="1:28" ht="12" customHeight="1">
      <c r="A1816" s="260"/>
      <c r="B1816" s="104"/>
      <c r="C1816" s="104"/>
      <c r="D1816" s="260"/>
      <c r="E1816" s="104"/>
      <c r="F1816" s="104"/>
      <c r="G1816" s="35"/>
      <c r="H1816" s="104"/>
      <c r="I1816" s="35"/>
      <c r="J1816" s="74"/>
      <c r="K1816" s="74"/>
      <c r="L1816" s="74"/>
      <c r="M1816" s="74"/>
      <c r="N1816" s="74"/>
      <c r="O1816" s="74"/>
      <c r="P1816" s="74"/>
      <c r="Q1816" s="74"/>
      <c r="R1816" s="74"/>
      <c r="S1816" s="74"/>
      <c r="T1816" s="74"/>
      <c r="U1816" s="74"/>
      <c r="V1816" s="74"/>
      <c r="W1816" s="74"/>
      <c r="X1816" s="74"/>
      <c r="Y1816" s="74"/>
      <c r="Z1816" s="74"/>
      <c r="AA1816" s="74"/>
      <c r="AB1816" s="74"/>
    </row>
    <row r="1817" spans="1:28" ht="12" customHeight="1">
      <c r="A1817" s="260"/>
      <c r="B1817" s="104"/>
      <c r="C1817" s="104"/>
      <c r="D1817" s="260"/>
      <c r="E1817" s="104"/>
      <c r="F1817" s="104"/>
      <c r="G1817" s="35"/>
      <c r="H1817" s="104"/>
      <c r="I1817" s="35"/>
      <c r="J1817" s="74"/>
      <c r="K1817" s="74"/>
      <c r="L1817" s="74"/>
      <c r="M1817" s="74"/>
      <c r="N1817" s="74"/>
      <c r="O1817" s="74"/>
      <c r="P1817" s="74"/>
      <c r="Q1817" s="74"/>
      <c r="R1817" s="74"/>
      <c r="S1817" s="74"/>
      <c r="T1817" s="74"/>
      <c r="U1817" s="74"/>
      <c r="V1817" s="74"/>
      <c r="W1817" s="74"/>
      <c r="X1817" s="74"/>
      <c r="Y1817" s="74"/>
      <c r="Z1817" s="74"/>
      <c r="AA1817" s="74"/>
      <c r="AB1817" s="74"/>
    </row>
    <row r="1818" spans="1:28" ht="12" customHeight="1">
      <c r="A1818" s="260"/>
      <c r="B1818" s="104"/>
      <c r="C1818" s="104"/>
      <c r="D1818" s="260"/>
      <c r="E1818" s="104"/>
      <c r="F1818" s="104"/>
      <c r="G1818" s="35"/>
      <c r="H1818" s="104"/>
      <c r="I1818" s="35"/>
      <c r="J1818" s="74"/>
      <c r="K1818" s="74"/>
      <c r="L1818" s="74"/>
      <c r="M1818" s="74"/>
      <c r="N1818" s="74"/>
      <c r="O1818" s="74"/>
      <c r="P1818" s="74"/>
      <c r="Q1818" s="74"/>
      <c r="R1818" s="74"/>
      <c r="S1818" s="74"/>
      <c r="T1818" s="74"/>
      <c r="U1818" s="74"/>
      <c r="V1818" s="74"/>
      <c r="W1818" s="74"/>
      <c r="X1818" s="74"/>
      <c r="Y1818" s="74"/>
      <c r="Z1818" s="74"/>
      <c r="AA1818" s="74"/>
      <c r="AB1818" s="74"/>
    </row>
    <row r="1819" spans="1:28" ht="12" customHeight="1">
      <c r="A1819" s="260"/>
      <c r="B1819" s="104"/>
      <c r="C1819" s="104"/>
      <c r="D1819" s="260"/>
      <c r="E1819" s="104"/>
      <c r="F1819" s="104"/>
      <c r="G1819" s="35"/>
      <c r="H1819" s="104"/>
      <c r="I1819" s="35"/>
      <c r="J1819" s="74"/>
      <c r="K1819" s="74"/>
      <c r="L1819" s="74"/>
      <c r="M1819" s="74"/>
      <c r="N1819" s="74"/>
      <c r="O1819" s="74"/>
      <c r="P1819" s="74"/>
      <c r="Q1819" s="74"/>
      <c r="R1819" s="74"/>
      <c r="S1819" s="74"/>
      <c r="T1819" s="74"/>
      <c r="U1819" s="74"/>
      <c r="V1819" s="74"/>
      <c r="W1819" s="74"/>
      <c r="X1819" s="74"/>
      <c r="Y1819" s="74"/>
      <c r="Z1819" s="74"/>
      <c r="AA1819" s="74"/>
      <c r="AB1819" s="74"/>
    </row>
    <row r="1820" spans="1:28" ht="12" customHeight="1">
      <c r="A1820" s="260"/>
      <c r="B1820" s="104"/>
      <c r="C1820" s="104"/>
      <c r="D1820" s="260"/>
      <c r="E1820" s="104"/>
      <c r="F1820" s="104"/>
      <c r="G1820" s="35"/>
      <c r="H1820" s="104"/>
      <c r="I1820" s="35"/>
      <c r="J1820" s="74"/>
      <c r="K1820" s="74"/>
      <c r="L1820" s="74"/>
      <c r="M1820" s="74"/>
      <c r="N1820" s="74"/>
      <c r="O1820" s="74"/>
      <c r="P1820" s="74"/>
      <c r="Q1820" s="74"/>
      <c r="R1820" s="74"/>
      <c r="S1820" s="74"/>
      <c r="T1820" s="74"/>
      <c r="U1820" s="74"/>
      <c r="V1820" s="74"/>
      <c r="W1820" s="74"/>
      <c r="X1820" s="74"/>
      <c r="Y1820" s="74"/>
      <c r="Z1820" s="74"/>
      <c r="AA1820" s="74"/>
      <c r="AB1820" s="74"/>
    </row>
    <row r="1821" spans="1:28" ht="12" customHeight="1">
      <c r="A1821" s="260"/>
      <c r="B1821" s="104"/>
      <c r="C1821" s="104"/>
      <c r="D1821" s="260"/>
      <c r="E1821" s="104"/>
      <c r="F1821" s="104"/>
      <c r="G1821" s="35"/>
      <c r="H1821" s="104"/>
      <c r="I1821" s="35"/>
      <c r="J1821" s="74"/>
      <c r="K1821" s="74"/>
      <c r="L1821" s="74"/>
      <c r="M1821" s="74"/>
      <c r="N1821" s="74"/>
      <c r="O1821" s="74"/>
      <c r="P1821" s="74"/>
      <c r="Q1821" s="74"/>
      <c r="R1821" s="74"/>
      <c r="S1821" s="74"/>
      <c r="T1821" s="74"/>
      <c r="U1821" s="74"/>
      <c r="V1821" s="74"/>
      <c r="W1821" s="74"/>
      <c r="X1821" s="74"/>
      <c r="Y1821" s="74"/>
      <c r="Z1821" s="74"/>
      <c r="AA1821" s="74"/>
      <c r="AB1821" s="74"/>
    </row>
    <row r="1822" spans="1:28" ht="12" customHeight="1">
      <c r="A1822" s="260"/>
      <c r="B1822" s="104"/>
      <c r="C1822" s="104"/>
      <c r="D1822" s="260"/>
      <c r="E1822" s="104"/>
      <c r="F1822" s="104"/>
      <c r="G1822" s="35"/>
      <c r="H1822" s="104"/>
      <c r="I1822" s="35"/>
      <c r="J1822" s="74"/>
      <c r="K1822" s="74"/>
      <c r="L1822" s="74"/>
      <c r="M1822" s="74"/>
      <c r="N1822" s="74"/>
      <c r="O1822" s="74"/>
      <c r="P1822" s="74"/>
      <c r="Q1822" s="74"/>
      <c r="R1822" s="74"/>
      <c r="S1822" s="74"/>
      <c r="T1822" s="74"/>
      <c r="U1822" s="74"/>
      <c r="V1822" s="74"/>
      <c r="W1822" s="74"/>
      <c r="X1822" s="74"/>
      <c r="Y1822" s="74"/>
      <c r="Z1822" s="74"/>
      <c r="AA1822" s="74"/>
      <c r="AB1822" s="74"/>
    </row>
    <row r="1823" spans="1:28" ht="12" customHeight="1">
      <c r="A1823" s="260"/>
      <c r="B1823" s="104"/>
      <c r="C1823" s="104"/>
      <c r="D1823" s="260"/>
      <c r="E1823" s="104"/>
      <c r="F1823" s="104"/>
      <c r="G1823" s="35"/>
      <c r="H1823" s="104"/>
      <c r="I1823" s="35"/>
      <c r="J1823" s="74"/>
      <c r="K1823" s="74"/>
      <c r="L1823" s="74"/>
      <c r="M1823" s="74"/>
      <c r="N1823" s="74"/>
      <c r="O1823" s="74"/>
      <c r="P1823" s="74"/>
      <c r="Q1823" s="74"/>
      <c r="R1823" s="74"/>
      <c r="S1823" s="74"/>
      <c r="T1823" s="74"/>
      <c r="U1823" s="74"/>
      <c r="V1823" s="74"/>
      <c r="W1823" s="74"/>
      <c r="X1823" s="74"/>
      <c r="Y1823" s="74"/>
      <c r="Z1823" s="74"/>
      <c r="AA1823" s="74"/>
      <c r="AB1823" s="74"/>
    </row>
    <row r="1824" spans="1:28" ht="12" customHeight="1">
      <c r="A1824" s="260"/>
      <c r="B1824" s="104"/>
      <c r="C1824" s="104"/>
      <c r="D1824" s="260"/>
      <c r="E1824" s="104"/>
      <c r="F1824" s="104"/>
      <c r="G1824" s="35"/>
      <c r="H1824" s="104"/>
      <c r="I1824" s="35"/>
      <c r="J1824" s="74"/>
      <c r="K1824" s="74"/>
      <c r="L1824" s="74"/>
      <c r="M1824" s="74"/>
      <c r="N1824" s="74"/>
      <c r="O1824" s="74"/>
      <c r="P1824" s="74"/>
      <c r="Q1824" s="74"/>
      <c r="R1824" s="74"/>
      <c r="S1824" s="74"/>
      <c r="T1824" s="74"/>
      <c r="U1824" s="74"/>
      <c r="V1824" s="74"/>
      <c r="W1824" s="74"/>
      <c r="X1824" s="74"/>
      <c r="Y1824" s="74"/>
      <c r="Z1824" s="74"/>
      <c r="AA1824" s="74"/>
      <c r="AB1824" s="74"/>
    </row>
    <row r="1825" spans="1:28" ht="12" customHeight="1">
      <c r="A1825" s="260"/>
      <c r="B1825" s="104"/>
      <c r="C1825" s="104"/>
      <c r="D1825" s="260"/>
      <c r="E1825" s="104"/>
      <c r="F1825" s="104"/>
      <c r="G1825" s="35"/>
      <c r="H1825" s="104"/>
      <c r="I1825" s="35"/>
      <c r="J1825" s="74"/>
      <c r="K1825" s="74"/>
      <c r="L1825" s="74"/>
      <c r="M1825" s="74"/>
      <c r="N1825" s="74"/>
      <c r="O1825" s="74"/>
      <c r="P1825" s="74"/>
      <c r="Q1825" s="74"/>
      <c r="R1825" s="74"/>
      <c r="S1825" s="74"/>
      <c r="T1825" s="74"/>
      <c r="U1825" s="74"/>
      <c r="V1825" s="74"/>
      <c r="W1825" s="74"/>
      <c r="X1825" s="74"/>
      <c r="Y1825" s="74"/>
      <c r="Z1825" s="74"/>
      <c r="AA1825" s="74"/>
      <c r="AB1825" s="74"/>
    </row>
    <row r="1826" spans="1:28" ht="12" customHeight="1">
      <c r="A1826" s="260"/>
      <c r="B1826" s="104"/>
      <c r="C1826" s="104"/>
      <c r="D1826" s="260"/>
      <c r="E1826" s="104"/>
      <c r="F1826" s="104"/>
      <c r="G1826" s="35"/>
      <c r="H1826" s="104"/>
      <c r="I1826" s="35"/>
      <c r="J1826" s="74"/>
      <c r="K1826" s="74"/>
      <c r="L1826" s="74"/>
      <c r="M1826" s="74"/>
      <c r="N1826" s="74"/>
      <c r="O1826" s="74"/>
      <c r="P1826" s="74"/>
      <c r="Q1826" s="74"/>
      <c r="R1826" s="74"/>
      <c r="S1826" s="74"/>
      <c r="T1826" s="74"/>
      <c r="U1826" s="74"/>
      <c r="V1826" s="74"/>
      <c r="W1826" s="74"/>
      <c r="X1826" s="74"/>
      <c r="Y1826" s="74"/>
      <c r="Z1826" s="74"/>
      <c r="AA1826" s="74"/>
      <c r="AB1826" s="74"/>
    </row>
    <row r="1827" spans="1:28" ht="12" customHeight="1">
      <c r="A1827" s="260"/>
      <c r="B1827" s="104"/>
      <c r="C1827" s="104"/>
      <c r="D1827" s="260"/>
      <c r="E1827" s="104"/>
      <c r="F1827" s="104"/>
      <c r="G1827" s="35"/>
      <c r="H1827" s="104"/>
      <c r="I1827" s="35"/>
      <c r="J1827" s="74"/>
      <c r="K1827" s="74"/>
      <c r="L1827" s="74"/>
      <c r="M1827" s="74"/>
      <c r="N1827" s="74"/>
      <c r="O1827" s="74"/>
      <c r="P1827" s="74"/>
      <c r="Q1827" s="74"/>
      <c r="R1827" s="74"/>
      <c r="S1827" s="74"/>
      <c r="T1827" s="74"/>
      <c r="U1827" s="74"/>
      <c r="V1827" s="74"/>
      <c r="W1827" s="74"/>
      <c r="X1827" s="74"/>
      <c r="Y1827" s="74"/>
      <c r="Z1827" s="74"/>
      <c r="AA1827" s="74"/>
      <c r="AB1827" s="74"/>
    </row>
    <row r="1828" spans="1:28" ht="12" customHeight="1">
      <c r="A1828" s="260"/>
      <c r="B1828" s="104"/>
      <c r="C1828" s="104"/>
      <c r="D1828" s="260"/>
      <c r="E1828" s="104"/>
      <c r="F1828" s="104"/>
      <c r="G1828" s="35"/>
      <c r="H1828" s="104"/>
      <c r="I1828" s="35"/>
      <c r="J1828" s="74"/>
      <c r="K1828" s="74"/>
      <c r="L1828" s="74"/>
      <c r="M1828" s="74"/>
      <c r="N1828" s="74"/>
      <c r="O1828" s="74"/>
      <c r="P1828" s="74"/>
      <c r="Q1828" s="74"/>
      <c r="R1828" s="74"/>
      <c r="S1828" s="74"/>
      <c r="T1828" s="74"/>
      <c r="U1828" s="74"/>
      <c r="V1828" s="74"/>
      <c r="W1828" s="74"/>
      <c r="X1828" s="74"/>
      <c r="Y1828" s="74"/>
      <c r="Z1828" s="74"/>
      <c r="AA1828" s="74"/>
      <c r="AB1828" s="74"/>
    </row>
    <row r="1829" spans="1:28" ht="12" customHeight="1">
      <c r="A1829" s="260"/>
      <c r="B1829" s="104"/>
      <c r="C1829" s="104"/>
      <c r="D1829" s="260"/>
      <c r="E1829" s="104"/>
      <c r="F1829" s="104"/>
      <c r="G1829" s="35"/>
      <c r="H1829" s="104"/>
      <c r="I1829" s="35"/>
      <c r="J1829" s="74"/>
      <c r="K1829" s="74"/>
      <c r="L1829" s="74"/>
      <c r="M1829" s="74"/>
      <c r="N1829" s="74"/>
      <c r="O1829" s="74"/>
      <c r="P1829" s="74"/>
      <c r="Q1829" s="74"/>
      <c r="R1829" s="74"/>
      <c r="S1829" s="74"/>
      <c r="T1829" s="74"/>
      <c r="U1829" s="74"/>
      <c r="V1829" s="74"/>
      <c r="W1829" s="74"/>
      <c r="X1829" s="74"/>
      <c r="Y1829" s="74"/>
      <c r="Z1829" s="74"/>
      <c r="AA1829" s="74"/>
      <c r="AB1829" s="74"/>
    </row>
    <row r="1830" spans="1:28" ht="12" customHeight="1">
      <c r="A1830" s="260"/>
      <c r="B1830" s="104"/>
      <c r="C1830" s="104"/>
      <c r="D1830" s="260"/>
      <c r="E1830" s="104"/>
      <c r="F1830" s="104"/>
      <c r="G1830" s="35"/>
      <c r="H1830" s="104"/>
      <c r="I1830" s="35"/>
      <c r="J1830" s="74"/>
      <c r="K1830" s="74"/>
      <c r="L1830" s="74"/>
      <c r="M1830" s="74"/>
      <c r="N1830" s="74"/>
      <c r="O1830" s="74"/>
      <c r="P1830" s="74"/>
      <c r="Q1830" s="74"/>
      <c r="R1830" s="74"/>
      <c r="S1830" s="74"/>
      <c r="T1830" s="74"/>
      <c r="U1830" s="74"/>
      <c r="V1830" s="74"/>
      <c r="W1830" s="74"/>
      <c r="X1830" s="74"/>
      <c r="Y1830" s="74"/>
      <c r="Z1830" s="74"/>
      <c r="AA1830" s="74"/>
      <c r="AB1830" s="74"/>
    </row>
    <row r="1831" spans="1:28" ht="12" customHeight="1">
      <c r="A1831" s="260"/>
      <c r="B1831" s="104"/>
      <c r="C1831" s="104"/>
      <c r="D1831" s="260"/>
      <c r="E1831" s="104"/>
      <c r="F1831" s="104"/>
      <c r="G1831" s="35"/>
      <c r="H1831" s="104"/>
      <c r="I1831" s="35"/>
      <c r="J1831" s="74"/>
      <c r="K1831" s="74"/>
      <c r="L1831" s="74"/>
      <c r="M1831" s="74"/>
      <c r="N1831" s="74"/>
      <c r="O1831" s="74"/>
      <c r="P1831" s="74"/>
      <c r="Q1831" s="74"/>
      <c r="R1831" s="74"/>
      <c r="S1831" s="74"/>
      <c r="T1831" s="74"/>
      <c r="U1831" s="74"/>
      <c r="V1831" s="74"/>
      <c r="W1831" s="74"/>
      <c r="X1831" s="74"/>
      <c r="Y1831" s="74"/>
      <c r="Z1831" s="74"/>
      <c r="AA1831" s="74"/>
      <c r="AB1831" s="74"/>
    </row>
    <row r="1832" spans="1:28" ht="12" customHeight="1">
      <c r="A1832" s="260"/>
      <c r="B1832" s="104"/>
      <c r="C1832" s="104"/>
      <c r="D1832" s="260"/>
      <c r="E1832" s="104"/>
      <c r="F1832" s="104"/>
      <c r="G1832" s="35"/>
      <c r="H1832" s="104"/>
      <c r="I1832" s="35"/>
      <c r="J1832" s="74"/>
      <c r="K1832" s="74"/>
      <c r="L1832" s="74"/>
      <c r="M1832" s="74"/>
      <c r="N1832" s="74"/>
      <c r="O1832" s="74"/>
      <c r="P1832" s="74"/>
      <c r="Q1832" s="74"/>
      <c r="R1832" s="74"/>
      <c r="S1832" s="74"/>
      <c r="T1832" s="74"/>
      <c r="U1832" s="74"/>
      <c r="V1832" s="74"/>
      <c r="W1832" s="74"/>
      <c r="X1832" s="74"/>
      <c r="Y1832" s="74"/>
      <c r="Z1832" s="74"/>
      <c r="AA1832" s="74"/>
      <c r="AB1832" s="74"/>
    </row>
    <row r="1833" spans="1:28" ht="12" customHeight="1">
      <c r="A1833" s="260"/>
      <c r="B1833" s="104"/>
      <c r="C1833" s="104"/>
      <c r="D1833" s="260"/>
      <c r="E1833" s="104"/>
      <c r="F1833" s="104"/>
      <c r="G1833" s="35"/>
      <c r="H1833" s="104"/>
      <c r="I1833" s="35"/>
      <c r="J1833" s="74"/>
      <c r="K1833" s="74"/>
      <c r="L1833" s="74"/>
      <c r="M1833" s="74"/>
      <c r="N1833" s="74"/>
      <c r="O1833" s="74"/>
      <c r="P1833" s="74"/>
      <c r="Q1833" s="74"/>
      <c r="R1833" s="74"/>
      <c r="S1833" s="74"/>
      <c r="T1833" s="74"/>
      <c r="U1833" s="74"/>
      <c r="V1833" s="74"/>
      <c r="W1833" s="74"/>
      <c r="X1833" s="74"/>
      <c r="Y1833" s="74"/>
      <c r="Z1833" s="74"/>
      <c r="AA1833" s="74"/>
      <c r="AB1833" s="74"/>
    </row>
    <row r="1834" spans="1:28" ht="12" customHeight="1">
      <c r="A1834" s="260"/>
      <c r="B1834" s="104"/>
      <c r="C1834" s="104"/>
      <c r="D1834" s="260"/>
      <c r="E1834" s="104"/>
      <c r="F1834" s="104"/>
      <c r="G1834" s="35"/>
      <c r="H1834" s="104"/>
      <c r="I1834" s="35"/>
      <c r="J1834" s="74"/>
      <c r="K1834" s="74"/>
      <c r="L1834" s="74"/>
      <c r="M1834" s="74"/>
      <c r="N1834" s="74"/>
      <c r="O1834" s="74"/>
      <c r="P1834" s="74"/>
      <c r="Q1834" s="74"/>
      <c r="R1834" s="74"/>
      <c r="S1834" s="74"/>
      <c r="T1834" s="74"/>
      <c r="U1834" s="74"/>
      <c r="V1834" s="74"/>
      <c r="W1834" s="74"/>
      <c r="X1834" s="74"/>
      <c r="Y1834" s="74"/>
      <c r="Z1834" s="74"/>
      <c r="AA1834" s="74"/>
      <c r="AB1834" s="74"/>
    </row>
    <row r="1835" spans="1:28" ht="12" customHeight="1">
      <c r="A1835" s="260"/>
      <c r="B1835" s="104"/>
      <c r="C1835" s="104"/>
      <c r="D1835" s="260"/>
      <c r="E1835" s="104"/>
      <c r="F1835" s="104"/>
      <c r="G1835" s="35"/>
      <c r="H1835" s="104"/>
      <c r="I1835" s="35"/>
      <c r="J1835" s="74"/>
      <c r="K1835" s="74"/>
      <c r="L1835" s="74"/>
      <c r="M1835" s="74"/>
      <c r="N1835" s="74"/>
      <c r="O1835" s="74"/>
      <c r="P1835" s="74"/>
      <c r="Q1835" s="74"/>
      <c r="R1835" s="74"/>
      <c r="S1835" s="74"/>
      <c r="T1835" s="74"/>
      <c r="U1835" s="74"/>
      <c r="V1835" s="74"/>
      <c r="W1835" s="74"/>
      <c r="X1835" s="74"/>
      <c r="Y1835" s="74"/>
      <c r="Z1835" s="74"/>
      <c r="AA1835" s="74"/>
      <c r="AB1835" s="74"/>
    </row>
    <row r="1836" spans="1:28" ht="12" customHeight="1">
      <c r="A1836" s="260"/>
      <c r="B1836" s="104"/>
      <c r="C1836" s="104"/>
      <c r="D1836" s="260"/>
      <c r="E1836" s="104"/>
      <c r="F1836" s="104"/>
      <c r="G1836" s="35"/>
      <c r="H1836" s="104"/>
      <c r="I1836" s="35"/>
      <c r="J1836" s="74"/>
      <c r="K1836" s="74"/>
      <c r="L1836" s="74"/>
      <c r="M1836" s="74"/>
      <c r="N1836" s="74"/>
      <c r="O1836" s="74"/>
      <c r="P1836" s="74"/>
      <c r="Q1836" s="74"/>
      <c r="R1836" s="74"/>
      <c r="S1836" s="74"/>
      <c r="T1836" s="74"/>
      <c r="U1836" s="74"/>
      <c r="V1836" s="74"/>
      <c r="W1836" s="74"/>
      <c r="X1836" s="74"/>
      <c r="Y1836" s="74"/>
      <c r="Z1836" s="74"/>
      <c r="AA1836" s="74"/>
      <c r="AB1836" s="74"/>
    </row>
    <row r="1837" spans="1:28" ht="12" customHeight="1">
      <c r="A1837" s="260"/>
      <c r="B1837" s="104"/>
      <c r="C1837" s="104"/>
      <c r="D1837" s="260"/>
      <c r="E1837" s="104"/>
      <c r="F1837" s="104"/>
      <c r="G1837" s="35"/>
      <c r="H1837" s="104"/>
      <c r="I1837" s="35"/>
      <c r="J1837" s="74"/>
      <c r="K1837" s="74"/>
      <c r="L1837" s="74"/>
      <c r="M1837" s="74"/>
      <c r="N1837" s="74"/>
      <c r="O1837" s="74"/>
      <c r="P1837" s="74"/>
      <c r="Q1837" s="74"/>
      <c r="R1837" s="74"/>
      <c r="S1837" s="74"/>
      <c r="T1837" s="74"/>
      <c r="U1837" s="74"/>
      <c r="V1837" s="74"/>
      <c r="W1837" s="74"/>
      <c r="X1837" s="74"/>
      <c r="Y1837" s="74"/>
      <c r="Z1837" s="74"/>
      <c r="AA1837" s="74"/>
      <c r="AB1837" s="74"/>
    </row>
    <row r="1838" spans="1:28" ht="12" customHeight="1">
      <c r="A1838" s="260"/>
      <c r="B1838" s="104"/>
      <c r="C1838" s="104"/>
      <c r="D1838" s="260"/>
      <c r="E1838" s="104"/>
      <c r="F1838" s="104"/>
      <c r="G1838" s="35"/>
      <c r="H1838" s="104"/>
      <c r="I1838" s="35"/>
      <c r="J1838" s="74"/>
      <c r="K1838" s="74"/>
      <c r="L1838" s="74"/>
      <c r="M1838" s="74"/>
      <c r="N1838" s="74"/>
      <c r="O1838" s="74"/>
      <c r="P1838" s="74"/>
      <c r="Q1838" s="74"/>
      <c r="R1838" s="74"/>
      <c r="S1838" s="74"/>
      <c r="T1838" s="74"/>
      <c r="U1838" s="74"/>
      <c r="V1838" s="74"/>
      <c r="W1838" s="74"/>
      <c r="X1838" s="74"/>
      <c r="Y1838" s="74"/>
      <c r="Z1838" s="74"/>
      <c r="AA1838" s="74"/>
      <c r="AB1838" s="74"/>
    </row>
    <row r="1839" spans="1:28" ht="12" customHeight="1">
      <c r="A1839" s="260"/>
      <c r="B1839" s="104"/>
      <c r="C1839" s="104"/>
      <c r="D1839" s="260"/>
      <c r="E1839" s="104"/>
      <c r="F1839" s="104"/>
      <c r="G1839" s="35"/>
      <c r="H1839" s="104"/>
      <c r="I1839" s="35"/>
      <c r="J1839" s="74"/>
      <c r="K1839" s="74"/>
      <c r="L1839" s="74"/>
      <c r="M1839" s="74"/>
      <c r="N1839" s="74"/>
      <c r="O1839" s="74"/>
      <c r="P1839" s="74"/>
      <c r="Q1839" s="74"/>
      <c r="R1839" s="74"/>
      <c r="S1839" s="74"/>
      <c r="T1839" s="74"/>
      <c r="U1839" s="74"/>
      <c r="V1839" s="74"/>
      <c r="W1839" s="74"/>
      <c r="X1839" s="74"/>
      <c r="Y1839" s="74"/>
      <c r="Z1839" s="74"/>
      <c r="AA1839" s="74"/>
      <c r="AB1839" s="74"/>
    </row>
    <row r="1840" spans="1:28" ht="12" customHeight="1">
      <c r="A1840" s="260"/>
      <c r="B1840" s="104"/>
      <c r="C1840" s="104"/>
      <c r="D1840" s="260"/>
      <c r="E1840" s="104"/>
      <c r="F1840" s="104"/>
      <c r="G1840" s="35"/>
      <c r="H1840" s="104"/>
      <c r="I1840" s="35"/>
      <c r="J1840" s="74"/>
      <c r="K1840" s="74"/>
      <c r="L1840" s="74"/>
      <c r="M1840" s="74"/>
      <c r="N1840" s="74"/>
      <c r="O1840" s="74"/>
      <c r="P1840" s="74"/>
      <c r="Q1840" s="74"/>
      <c r="R1840" s="74"/>
      <c r="S1840" s="74"/>
      <c r="T1840" s="74"/>
      <c r="U1840" s="74"/>
      <c r="V1840" s="74"/>
      <c r="W1840" s="74"/>
      <c r="X1840" s="74"/>
      <c r="Y1840" s="74"/>
      <c r="Z1840" s="74"/>
      <c r="AA1840" s="74"/>
      <c r="AB1840" s="74"/>
    </row>
    <row r="1841" spans="1:28" ht="12" customHeight="1">
      <c r="A1841" s="260"/>
      <c r="B1841" s="104"/>
      <c r="C1841" s="104"/>
      <c r="D1841" s="260"/>
      <c r="E1841" s="104"/>
      <c r="F1841" s="104"/>
      <c r="G1841" s="35"/>
      <c r="H1841" s="104"/>
      <c r="I1841" s="35"/>
      <c r="J1841" s="74"/>
      <c r="K1841" s="74"/>
      <c r="L1841" s="74"/>
      <c r="M1841" s="74"/>
      <c r="N1841" s="74"/>
      <c r="O1841" s="74"/>
      <c r="P1841" s="74"/>
      <c r="Q1841" s="74"/>
      <c r="R1841" s="74"/>
      <c r="S1841" s="74"/>
      <c r="T1841" s="74"/>
      <c r="U1841" s="74"/>
      <c r="V1841" s="74"/>
      <c r="W1841" s="74"/>
      <c r="X1841" s="74"/>
      <c r="Y1841" s="74"/>
      <c r="Z1841" s="74"/>
      <c r="AA1841" s="74"/>
      <c r="AB1841" s="74"/>
    </row>
    <row r="1842" spans="1:28" ht="12" customHeight="1">
      <c r="A1842" s="260"/>
      <c r="B1842" s="104"/>
      <c r="C1842" s="104"/>
      <c r="D1842" s="260"/>
      <c r="E1842" s="104"/>
      <c r="F1842" s="104"/>
      <c r="G1842" s="35"/>
      <c r="H1842" s="104"/>
      <c r="I1842" s="35"/>
      <c r="J1842" s="74"/>
      <c r="K1842" s="74"/>
      <c r="L1842" s="74"/>
      <c r="M1842" s="74"/>
      <c r="N1842" s="74"/>
      <c r="O1842" s="74"/>
      <c r="P1842" s="74"/>
      <c r="Q1842" s="74"/>
      <c r="R1842" s="74"/>
      <c r="S1842" s="74"/>
      <c r="T1842" s="74"/>
      <c r="U1842" s="74"/>
      <c r="V1842" s="74"/>
      <c r="W1842" s="74"/>
      <c r="X1842" s="74"/>
      <c r="Y1842" s="74"/>
      <c r="Z1842" s="74"/>
      <c r="AA1842" s="74"/>
      <c r="AB1842" s="74"/>
    </row>
    <row r="1843" spans="1:28" ht="12" customHeight="1">
      <c r="A1843" s="260"/>
      <c r="B1843" s="104"/>
      <c r="C1843" s="104"/>
      <c r="D1843" s="260"/>
      <c r="E1843" s="104"/>
      <c r="F1843" s="104"/>
      <c r="G1843" s="35"/>
      <c r="H1843" s="104"/>
      <c r="I1843" s="35"/>
      <c r="J1843" s="74"/>
      <c r="K1843" s="74"/>
      <c r="L1843" s="74"/>
      <c r="M1843" s="74"/>
      <c r="N1843" s="74"/>
      <c r="O1843" s="74"/>
      <c r="P1843" s="74"/>
      <c r="Q1843" s="74"/>
      <c r="R1843" s="74"/>
      <c r="S1843" s="74"/>
      <c r="T1843" s="74"/>
      <c r="U1843" s="74"/>
      <c r="V1843" s="74"/>
      <c r="W1843" s="74"/>
      <c r="X1843" s="74"/>
      <c r="Y1843" s="74"/>
      <c r="Z1843" s="74"/>
      <c r="AA1843" s="74"/>
      <c r="AB1843" s="74"/>
    </row>
    <row r="1844" spans="1:28" ht="12" customHeight="1">
      <c r="A1844" s="260"/>
      <c r="B1844" s="104"/>
      <c r="C1844" s="104"/>
      <c r="D1844" s="260"/>
      <c r="E1844" s="104"/>
      <c r="F1844" s="104"/>
      <c r="G1844" s="35"/>
      <c r="H1844" s="104"/>
      <c r="I1844" s="35"/>
      <c r="J1844" s="74"/>
      <c r="K1844" s="74"/>
      <c r="L1844" s="74"/>
      <c r="M1844" s="74"/>
      <c r="N1844" s="74"/>
      <c r="O1844" s="74"/>
      <c r="P1844" s="74"/>
      <c r="Q1844" s="74"/>
      <c r="R1844" s="74"/>
      <c r="S1844" s="74"/>
      <c r="T1844" s="74"/>
      <c r="U1844" s="74"/>
      <c r="V1844" s="74"/>
      <c r="W1844" s="74"/>
      <c r="X1844" s="74"/>
      <c r="Y1844" s="74"/>
      <c r="Z1844" s="74"/>
      <c r="AA1844" s="74"/>
      <c r="AB1844" s="74"/>
    </row>
    <row r="1845" spans="1:28" ht="12" customHeight="1">
      <c r="A1845" s="260"/>
      <c r="B1845" s="104"/>
      <c r="C1845" s="104"/>
      <c r="D1845" s="260"/>
      <c r="E1845" s="104"/>
      <c r="F1845" s="104"/>
      <c r="G1845" s="35"/>
      <c r="H1845" s="104"/>
      <c r="I1845" s="35"/>
      <c r="J1845" s="74"/>
      <c r="K1845" s="74"/>
      <c r="L1845" s="74"/>
      <c r="M1845" s="74"/>
      <c r="N1845" s="74"/>
      <c r="O1845" s="74"/>
      <c r="P1845" s="74"/>
      <c r="Q1845" s="74"/>
      <c r="R1845" s="74"/>
      <c r="S1845" s="74"/>
      <c r="T1845" s="74"/>
      <c r="U1845" s="74"/>
      <c r="V1845" s="74"/>
      <c r="W1845" s="74"/>
      <c r="X1845" s="74"/>
      <c r="Y1845" s="74"/>
      <c r="Z1845" s="74"/>
      <c r="AA1845" s="74"/>
      <c r="AB1845" s="74"/>
    </row>
    <row r="1846" spans="1:28" ht="12" customHeight="1">
      <c r="A1846" s="260"/>
      <c r="B1846" s="104"/>
      <c r="C1846" s="104"/>
      <c r="D1846" s="260"/>
      <c r="E1846" s="104"/>
      <c r="F1846" s="104"/>
      <c r="G1846" s="35"/>
      <c r="H1846" s="104"/>
      <c r="I1846" s="35"/>
      <c r="J1846" s="74"/>
      <c r="K1846" s="74"/>
      <c r="L1846" s="74"/>
      <c r="M1846" s="74"/>
      <c r="N1846" s="74"/>
      <c r="O1846" s="74"/>
      <c r="P1846" s="74"/>
      <c r="Q1846" s="74"/>
      <c r="R1846" s="74"/>
      <c r="S1846" s="74"/>
      <c r="T1846" s="74"/>
      <c r="U1846" s="74"/>
      <c r="V1846" s="74"/>
      <c r="W1846" s="74"/>
      <c r="X1846" s="74"/>
      <c r="Y1846" s="74"/>
      <c r="Z1846" s="74"/>
      <c r="AA1846" s="74"/>
      <c r="AB1846" s="74"/>
    </row>
    <row r="1847" spans="1:28" ht="12" customHeight="1">
      <c r="A1847" s="260"/>
      <c r="B1847" s="104"/>
      <c r="C1847" s="104"/>
      <c r="D1847" s="260"/>
      <c r="E1847" s="104"/>
      <c r="F1847" s="104"/>
      <c r="G1847" s="35"/>
      <c r="H1847" s="104"/>
      <c r="I1847" s="35"/>
      <c r="J1847" s="74"/>
      <c r="K1847" s="74"/>
      <c r="L1847" s="74"/>
      <c r="M1847" s="74"/>
      <c r="N1847" s="74"/>
      <c r="O1847" s="74"/>
      <c r="P1847" s="74"/>
      <c r="Q1847" s="74"/>
      <c r="R1847" s="74"/>
      <c r="S1847" s="74"/>
      <c r="T1847" s="74"/>
      <c r="U1847" s="74"/>
      <c r="V1847" s="74"/>
      <c r="W1847" s="74"/>
      <c r="X1847" s="74"/>
      <c r="Y1847" s="74"/>
      <c r="Z1847" s="74"/>
      <c r="AA1847" s="74"/>
      <c r="AB1847" s="74"/>
    </row>
    <row r="1848" spans="1:28" ht="12" customHeight="1">
      <c r="A1848" s="260"/>
      <c r="B1848" s="104"/>
      <c r="C1848" s="104"/>
      <c r="D1848" s="260"/>
      <c r="E1848" s="104"/>
      <c r="F1848" s="104"/>
      <c r="G1848" s="35"/>
      <c r="H1848" s="104"/>
      <c r="I1848" s="35"/>
      <c r="J1848" s="74"/>
      <c r="K1848" s="74"/>
      <c r="L1848" s="74"/>
      <c r="M1848" s="74"/>
      <c r="N1848" s="74"/>
      <c r="O1848" s="74"/>
      <c r="P1848" s="74"/>
      <c r="Q1848" s="74"/>
      <c r="R1848" s="74"/>
      <c r="S1848" s="74"/>
      <c r="T1848" s="74"/>
      <c r="U1848" s="74"/>
      <c r="V1848" s="74"/>
      <c r="W1848" s="74"/>
      <c r="X1848" s="74"/>
      <c r="Y1848" s="74"/>
      <c r="Z1848" s="74"/>
      <c r="AA1848" s="74"/>
      <c r="AB1848" s="74"/>
    </row>
    <row r="1849" spans="1:28" ht="12" customHeight="1">
      <c r="A1849" s="260"/>
      <c r="B1849" s="104"/>
      <c r="C1849" s="104"/>
      <c r="D1849" s="260"/>
      <c r="E1849" s="104"/>
      <c r="F1849" s="104"/>
      <c r="G1849" s="35"/>
      <c r="H1849" s="104"/>
      <c r="I1849" s="35"/>
      <c r="J1849" s="74"/>
      <c r="K1849" s="74"/>
      <c r="L1849" s="74"/>
      <c r="M1849" s="74"/>
      <c r="N1849" s="74"/>
      <c r="O1849" s="74"/>
      <c r="P1849" s="74"/>
      <c r="Q1849" s="74"/>
      <c r="R1849" s="74"/>
      <c r="S1849" s="74"/>
      <c r="T1849" s="74"/>
      <c r="U1849" s="74"/>
      <c r="V1849" s="74"/>
      <c r="W1849" s="74"/>
      <c r="X1849" s="74"/>
      <c r="Y1849" s="74"/>
      <c r="Z1849" s="74"/>
      <c r="AA1849" s="74"/>
      <c r="AB1849" s="74"/>
    </row>
    <row r="1850" spans="1:28" ht="12" customHeight="1">
      <c r="A1850" s="260"/>
      <c r="B1850" s="104"/>
      <c r="C1850" s="104"/>
      <c r="D1850" s="260"/>
      <c r="E1850" s="104"/>
      <c r="F1850" s="104"/>
      <c r="G1850" s="35"/>
      <c r="H1850" s="104"/>
      <c r="I1850" s="35"/>
      <c r="J1850" s="74"/>
      <c r="K1850" s="74"/>
      <c r="L1850" s="74"/>
      <c r="M1850" s="74"/>
      <c r="N1850" s="74"/>
      <c r="O1850" s="74"/>
      <c r="P1850" s="74"/>
      <c r="Q1850" s="74"/>
      <c r="R1850" s="74"/>
      <c r="S1850" s="74"/>
      <c r="T1850" s="74"/>
      <c r="U1850" s="74"/>
      <c r="V1850" s="74"/>
      <c r="W1850" s="74"/>
      <c r="X1850" s="74"/>
      <c r="Y1850" s="74"/>
      <c r="Z1850" s="74"/>
      <c r="AA1850" s="74"/>
      <c r="AB1850" s="74"/>
    </row>
    <row r="1851" spans="1:28" ht="12" customHeight="1">
      <c r="A1851" s="260"/>
      <c r="B1851" s="104"/>
      <c r="C1851" s="104"/>
      <c r="D1851" s="260"/>
      <c r="E1851" s="104"/>
      <c r="F1851" s="104"/>
      <c r="G1851" s="35"/>
      <c r="H1851" s="104"/>
      <c r="I1851" s="35"/>
      <c r="J1851" s="74"/>
      <c r="K1851" s="74"/>
      <c r="L1851" s="74"/>
      <c r="M1851" s="74"/>
      <c r="N1851" s="74"/>
      <c r="O1851" s="74"/>
      <c r="P1851" s="74"/>
      <c r="Q1851" s="74"/>
      <c r="R1851" s="74"/>
      <c r="S1851" s="74"/>
      <c r="T1851" s="74"/>
      <c r="U1851" s="74"/>
      <c r="V1851" s="74"/>
      <c r="W1851" s="74"/>
      <c r="X1851" s="74"/>
      <c r="Y1851" s="74"/>
      <c r="Z1851" s="74"/>
      <c r="AA1851" s="74"/>
      <c r="AB1851" s="74"/>
    </row>
    <row r="1852" spans="1:28" ht="12" customHeight="1">
      <c r="A1852" s="260"/>
      <c r="B1852" s="104"/>
      <c r="C1852" s="104"/>
      <c r="D1852" s="260"/>
      <c r="E1852" s="104"/>
      <c r="F1852" s="104"/>
      <c r="G1852" s="35"/>
      <c r="H1852" s="104"/>
      <c r="I1852" s="35"/>
      <c r="J1852" s="74"/>
      <c r="K1852" s="74"/>
      <c r="L1852" s="74"/>
      <c r="M1852" s="74"/>
      <c r="N1852" s="74"/>
      <c r="O1852" s="74"/>
      <c r="P1852" s="74"/>
      <c r="Q1852" s="74"/>
      <c r="R1852" s="74"/>
      <c r="S1852" s="74"/>
      <c r="T1852" s="74"/>
      <c r="U1852" s="74"/>
      <c r="V1852" s="74"/>
      <c r="W1852" s="74"/>
      <c r="X1852" s="74"/>
      <c r="Y1852" s="74"/>
      <c r="Z1852" s="74"/>
      <c r="AA1852" s="74"/>
      <c r="AB1852" s="74"/>
    </row>
    <row r="1853" spans="1:28" ht="12" customHeight="1">
      <c r="A1853" s="260"/>
      <c r="B1853" s="104"/>
      <c r="C1853" s="104"/>
      <c r="D1853" s="260"/>
      <c r="E1853" s="104"/>
      <c r="F1853" s="104"/>
      <c r="G1853" s="35"/>
      <c r="H1853" s="104"/>
      <c r="I1853" s="35"/>
      <c r="J1853" s="74"/>
      <c r="K1853" s="74"/>
      <c r="L1853" s="74"/>
      <c r="M1853" s="74"/>
      <c r="N1853" s="74"/>
      <c r="O1853" s="74"/>
      <c r="P1853" s="74"/>
      <c r="Q1853" s="74"/>
      <c r="R1853" s="74"/>
      <c r="S1853" s="74"/>
      <c r="T1853" s="74"/>
      <c r="U1853" s="74"/>
      <c r="V1853" s="74"/>
      <c r="W1853" s="74"/>
      <c r="X1853" s="74"/>
      <c r="Y1853" s="74"/>
      <c r="Z1853" s="74"/>
      <c r="AA1853" s="74"/>
      <c r="AB1853" s="74"/>
    </row>
    <row r="1854" spans="1:28" ht="12" customHeight="1">
      <c r="A1854" s="260"/>
      <c r="B1854" s="104"/>
      <c r="C1854" s="104"/>
      <c r="D1854" s="260"/>
      <c r="E1854" s="104"/>
      <c r="F1854" s="104"/>
      <c r="G1854" s="35"/>
      <c r="H1854" s="104"/>
      <c r="I1854" s="35"/>
      <c r="J1854" s="74"/>
      <c r="K1854" s="74"/>
      <c r="L1854" s="74"/>
      <c r="M1854" s="74"/>
      <c r="N1854" s="74"/>
      <c r="O1854" s="74"/>
      <c r="P1854" s="74"/>
      <c r="Q1854" s="74"/>
      <c r="R1854" s="74"/>
      <c r="S1854" s="74"/>
      <c r="T1854" s="74"/>
      <c r="U1854" s="74"/>
      <c r="V1854" s="74"/>
      <c r="W1854" s="74"/>
      <c r="X1854" s="74"/>
      <c r="Y1854" s="74"/>
      <c r="Z1854" s="74"/>
      <c r="AA1854" s="74"/>
      <c r="AB1854" s="74"/>
    </row>
    <row r="1855" spans="1:28" ht="12" customHeight="1">
      <c r="A1855" s="260"/>
      <c r="B1855" s="104"/>
      <c r="C1855" s="104"/>
      <c r="D1855" s="260"/>
      <c r="E1855" s="104"/>
      <c r="F1855" s="104"/>
      <c r="G1855" s="35"/>
      <c r="H1855" s="104"/>
      <c r="I1855" s="35"/>
      <c r="J1855" s="74"/>
      <c r="K1855" s="74"/>
      <c r="L1855" s="74"/>
      <c r="M1855" s="74"/>
      <c r="N1855" s="74"/>
      <c r="O1855" s="74"/>
      <c r="P1855" s="74"/>
      <c r="Q1855" s="74"/>
      <c r="R1855" s="74"/>
      <c r="S1855" s="74"/>
      <c r="T1855" s="74"/>
      <c r="U1855" s="74"/>
      <c r="V1855" s="74"/>
      <c r="W1855" s="74"/>
      <c r="X1855" s="74"/>
      <c r="Y1855" s="74"/>
      <c r="Z1855" s="74"/>
      <c r="AA1855" s="74"/>
      <c r="AB1855" s="74"/>
    </row>
    <row r="1856" spans="1:28" ht="12" customHeight="1">
      <c r="A1856" s="260"/>
      <c r="B1856" s="104"/>
      <c r="C1856" s="104"/>
      <c r="D1856" s="260"/>
      <c r="E1856" s="104"/>
      <c r="F1856" s="104"/>
      <c r="G1856" s="35"/>
      <c r="H1856" s="104"/>
      <c r="I1856" s="35"/>
      <c r="J1856" s="74"/>
      <c r="K1856" s="74"/>
      <c r="L1856" s="74"/>
      <c r="M1856" s="74"/>
      <c r="N1856" s="74"/>
      <c r="O1856" s="74"/>
      <c r="P1856" s="74"/>
      <c r="Q1856" s="74"/>
      <c r="R1856" s="74"/>
      <c r="S1856" s="74"/>
      <c r="T1856" s="74"/>
      <c r="U1856" s="74"/>
      <c r="V1856" s="74"/>
      <c r="W1856" s="74"/>
      <c r="X1856" s="74"/>
      <c r="Y1856" s="74"/>
      <c r="Z1856" s="74"/>
      <c r="AA1856" s="74"/>
      <c r="AB1856" s="74"/>
    </row>
    <row r="1857" spans="1:28" ht="12" customHeight="1">
      <c r="A1857" s="260"/>
      <c r="B1857" s="104"/>
      <c r="C1857" s="104"/>
      <c r="D1857" s="260"/>
      <c r="E1857" s="104"/>
      <c r="F1857" s="104"/>
      <c r="G1857" s="35"/>
      <c r="H1857" s="104"/>
      <c r="I1857" s="35"/>
      <c r="J1857" s="74"/>
      <c r="K1857" s="74"/>
      <c r="L1857" s="74"/>
      <c r="M1857" s="74"/>
      <c r="N1857" s="74"/>
      <c r="O1857" s="74"/>
      <c r="P1857" s="74"/>
      <c r="Q1857" s="74"/>
      <c r="R1857" s="74"/>
      <c r="S1857" s="74"/>
      <c r="T1857" s="74"/>
      <c r="U1857" s="74"/>
      <c r="V1857" s="74"/>
      <c r="W1857" s="74"/>
      <c r="X1857" s="74"/>
      <c r="Y1857" s="74"/>
      <c r="Z1857" s="74"/>
      <c r="AA1857" s="74"/>
      <c r="AB1857" s="74"/>
    </row>
    <row r="1858" spans="1:28" ht="12" customHeight="1">
      <c r="A1858" s="260"/>
      <c r="B1858" s="104"/>
      <c r="C1858" s="104"/>
      <c r="D1858" s="260"/>
      <c r="E1858" s="104"/>
      <c r="F1858" s="104"/>
      <c r="G1858" s="35"/>
      <c r="H1858" s="104"/>
      <c r="I1858" s="35"/>
      <c r="J1858" s="74"/>
      <c r="K1858" s="74"/>
      <c r="L1858" s="74"/>
      <c r="M1858" s="74"/>
      <c r="N1858" s="74"/>
      <c r="O1858" s="74"/>
      <c r="P1858" s="74"/>
      <c r="Q1858" s="74"/>
      <c r="R1858" s="74"/>
      <c r="S1858" s="74"/>
      <c r="T1858" s="74"/>
      <c r="U1858" s="74"/>
      <c r="V1858" s="74"/>
      <c r="W1858" s="74"/>
      <c r="X1858" s="74"/>
      <c r="Y1858" s="74"/>
      <c r="Z1858" s="74"/>
      <c r="AA1858" s="74"/>
      <c r="AB1858" s="74"/>
    </row>
    <row r="1859" spans="1:28" ht="12" customHeight="1">
      <c r="A1859" s="260"/>
      <c r="B1859" s="104"/>
      <c r="C1859" s="104"/>
      <c r="D1859" s="260"/>
      <c r="E1859" s="104"/>
      <c r="F1859" s="104"/>
      <c r="G1859" s="35"/>
      <c r="H1859" s="104"/>
      <c r="I1859" s="35"/>
      <c r="J1859" s="74"/>
      <c r="K1859" s="74"/>
      <c r="L1859" s="74"/>
      <c r="M1859" s="74"/>
      <c r="N1859" s="74"/>
      <c r="O1859" s="74"/>
      <c r="P1859" s="74"/>
      <c r="Q1859" s="74"/>
      <c r="R1859" s="74"/>
      <c r="S1859" s="74"/>
      <c r="T1859" s="74"/>
      <c r="U1859" s="74"/>
      <c r="V1859" s="74"/>
      <c r="W1859" s="74"/>
      <c r="X1859" s="74"/>
      <c r="Y1859" s="74"/>
      <c r="Z1859" s="74"/>
      <c r="AA1859" s="74"/>
      <c r="AB1859" s="74"/>
    </row>
    <row r="1860" spans="1:28" ht="12" customHeight="1">
      <c r="A1860" s="260"/>
      <c r="B1860" s="104"/>
      <c r="C1860" s="104"/>
      <c r="D1860" s="260"/>
      <c r="E1860" s="104"/>
      <c r="F1860" s="104"/>
      <c r="G1860" s="35"/>
      <c r="H1860" s="104"/>
      <c r="I1860" s="35"/>
      <c r="J1860" s="74"/>
      <c r="K1860" s="74"/>
      <c r="L1860" s="74"/>
      <c r="M1860" s="74"/>
      <c r="N1860" s="74"/>
      <c r="O1860" s="74"/>
      <c r="P1860" s="74"/>
      <c r="Q1860" s="74"/>
      <c r="R1860" s="74"/>
      <c r="S1860" s="74"/>
      <c r="T1860" s="74"/>
      <c r="U1860" s="74"/>
      <c r="V1860" s="74"/>
      <c r="W1860" s="74"/>
      <c r="X1860" s="74"/>
      <c r="Y1860" s="74"/>
      <c r="Z1860" s="74"/>
      <c r="AA1860" s="74"/>
      <c r="AB1860" s="74"/>
    </row>
    <row r="1861" spans="1:28" ht="12" customHeight="1">
      <c r="A1861" s="260"/>
      <c r="B1861" s="104"/>
      <c r="C1861" s="104"/>
      <c r="D1861" s="260"/>
      <c r="E1861" s="104"/>
      <c r="F1861" s="104"/>
      <c r="G1861" s="35"/>
      <c r="H1861" s="104"/>
      <c r="I1861" s="35"/>
      <c r="J1861" s="74"/>
      <c r="K1861" s="74"/>
      <c r="L1861" s="74"/>
      <c r="M1861" s="74"/>
      <c r="N1861" s="74"/>
      <c r="O1861" s="74"/>
      <c r="P1861" s="74"/>
      <c r="Q1861" s="74"/>
      <c r="R1861" s="74"/>
      <c r="S1861" s="74"/>
      <c r="T1861" s="74"/>
      <c r="U1861" s="74"/>
      <c r="V1861" s="74"/>
      <c r="W1861" s="74"/>
      <c r="X1861" s="74"/>
      <c r="Y1861" s="74"/>
      <c r="Z1861" s="74"/>
      <c r="AA1861" s="74"/>
      <c r="AB1861" s="74"/>
    </row>
    <row r="1862" spans="1:28" ht="12" customHeight="1">
      <c r="A1862" s="260"/>
      <c r="B1862" s="104"/>
      <c r="C1862" s="104"/>
      <c r="D1862" s="260"/>
      <c r="E1862" s="104"/>
      <c r="F1862" s="104"/>
      <c r="G1862" s="35"/>
      <c r="H1862" s="104"/>
      <c r="I1862" s="35"/>
      <c r="J1862" s="74"/>
      <c r="K1862" s="74"/>
      <c r="L1862" s="74"/>
      <c r="M1862" s="74"/>
      <c r="N1862" s="74"/>
      <c r="O1862" s="74"/>
      <c r="P1862" s="74"/>
      <c r="Q1862" s="74"/>
      <c r="R1862" s="74"/>
      <c r="S1862" s="74"/>
      <c r="T1862" s="74"/>
      <c r="U1862" s="74"/>
      <c r="V1862" s="74"/>
      <c r="W1862" s="74"/>
      <c r="X1862" s="74"/>
      <c r="Y1862" s="74"/>
      <c r="Z1862" s="74"/>
      <c r="AA1862" s="74"/>
      <c r="AB1862" s="74"/>
    </row>
    <row r="1863" spans="1:28" ht="12" customHeight="1">
      <c r="A1863" s="260"/>
      <c r="B1863" s="104"/>
      <c r="C1863" s="104"/>
      <c r="D1863" s="260"/>
      <c r="E1863" s="104"/>
      <c r="F1863" s="104"/>
      <c r="G1863" s="35"/>
      <c r="H1863" s="104"/>
      <c r="I1863" s="35"/>
      <c r="J1863" s="74"/>
      <c r="K1863" s="74"/>
      <c r="L1863" s="74"/>
      <c r="M1863" s="74"/>
      <c r="N1863" s="74"/>
      <c r="O1863" s="74"/>
      <c r="P1863" s="74"/>
      <c r="Q1863" s="74"/>
      <c r="R1863" s="74"/>
      <c r="S1863" s="74"/>
      <c r="T1863" s="74"/>
      <c r="U1863" s="74"/>
      <c r="V1863" s="74"/>
      <c r="W1863" s="74"/>
      <c r="X1863" s="74"/>
      <c r="Y1863" s="74"/>
      <c r="Z1863" s="74"/>
      <c r="AA1863" s="74"/>
      <c r="AB1863" s="74"/>
    </row>
    <row r="1864" spans="1:28" ht="12" customHeight="1">
      <c r="A1864" s="260"/>
      <c r="B1864" s="104"/>
      <c r="C1864" s="104"/>
      <c r="D1864" s="260"/>
      <c r="E1864" s="104"/>
      <c r="F1864" s="104"/>
      <c r="G1864" s="35"/>
      <c r="H1864" s="104"/>
      <c r="I1864" s="35"/>
      <c r="J1864" s="74"/>
      <c r="K1864" s="74"/>
      <c r="L1864" s="74"/>
      <c r="M1864" s="74"/>
      <c r="N1864" s="74"/>
      <c r="O1864" s="74"/>
      <c r="P1864" s="74"/>
      <c r="Q1864" s="74"/>
      <c r="R1864" s="74"/>
      <c r="S1864" s="74"/>
      <c r="T1864" s="74"/>
      <c r="U1864" s="74"/>
      <c r="V1864" s="74"/>
      <c r="W1864" s="74"/>
      <c r="X1864" s="74"/>
      <c r="Y1864" s="74"/>
      <c r="Z1864" s="74"/>
      <c r="AA1864" s="74"/>
      <c r="AB1864" s="74"/>
    </row>
    <row r="1865" spans="1:28" ht="12" customHeight="1">
      <c r="A1865" s="260"/>
      <c r="B1865" s="104"/>
      <c r="C1865" s="104"/>
      <c r="D1865" s="260"/>
      <c r="E1865" s="104"/>
      <c r="F1865" s="104"/>
      <c r="G1865" s="35"/>
      <c r="H1865" s="104"/>
      <c r="I1865" s="35"/>
      <c r="J1865" s="74"/>
      <c r="K1865" s="74"/>
      <c r="L1865" s="74"/>
      <c r="M1865" s="74"/>
      <c r="N1865" s="74"/>
      <c r="O1865" s="74"/>
      <c r="P1865" s="74"/>
      <c r="Q1865" s="74"/>
      <c r="R1865" s="74"/>
      <c r="S1865" s="74"/>
      <c r="T1865" s="74"/>
      <c r="U1865" s="74"/>
      <c r="V1865" s="74"/>
      <c r="W1865" s="74"/>
      <c r="X1865" s="74"/>
      <c r="Y1865" s="74"/>
      <c r="Z1865" s="74"/>
      <c r="AA1865" s="74"/>
      <c r="AB1865" s="74"/>
    </row>
    <row r="1866" spans="1:28" ht="12" customHeight="1">
      <c r="A1866" s="260"/>
      <c r="B1866" s="104"/>
      <c r="C1866" s="104"/>
      <c r="D1866" s="260"/>
      <c r="E1866" s="104"/>
      <c r="F1866" s="104"/>
      <c r="G1866" s="35"/>
      <c r="H1866" s="104"/>
      <c r="I1866" s="35"/>
      <c r="J1866" s="74"/>
      <c r="K1866" s="74"/>
      <c r="L1866" s="74"/>
      <c r="M1866" s="74"/>
      <c r="N1866" s="74"/>
      <c r="O1866" s="74"/>
      <c r="P1866" s="74"/>
      <c r="Q1866" s="74"/>
      <c r="R1866" s="74"/>
      <c r="S1866" s="74"/>
      <c r="T1866" s="74"/>
      <c r="U1866" s="74"/>
      <c r="V1866" s="74"/>
      <c r="W1866" s="74"/>
      <c r="X1866" s="74"/>
      <c r="Y1866" s="74"/>
      <c r="Z1866" s="74"/>
      <c r="AA1866" s="74"/>
      <c r="AB1866" s="74"/>
    </row>
    <row r="1867" spans="1:28" ht="12" customHeight="1">
      <c r="A1867" s="260"/>
      <c r="B1867" s="104"/>
      <c r="C1867" s="104"/>
      <c r="D1867" s="260"/>
      <c r="E1867" s="104"/>
      <c r="F1867" s="104"/>
      <c r="G1867" s="35"/>
      <c r="H1867" s="104"/>
      <c r="I1867" s="35"/>
      <c r="J1867" s="74"/>
      <c r="K1867" s="74"/>
      <c r="L1867" s="74"/>
      <c r="M1867" s="74"/>
      <c r="N1867" s="74"/>
      <c r="O1867" s="74"/>
      <c r="P1867" s="74"/>
      <c r="Q1867" s="74"/>
      <c r="R1867" s="74"/>
      <c r="S1867" s="74"/>
      <c r="T1867" s="74"/>
      <c r="U1867" s="74"/>
      <c r="V1867" s="74"/>
      <c r="W1867" s="74"/>
      <c r="X1867" s="74"/>
      <c r="Y1867" s="74"/>
      <c r="Z1867" s="74"/>
      <c r="AA1867" s="74"/>
      <c r="AB1867" s="74"/>
    </row>
    <row r="1868" spans="1:28" ht="12" customHeight="1">
      <c r="A1868" s="260"/>
      <c r="B1868" s="104"/>
      <c r="C1868" s="104"/>
      <c r="D1868" s="260"/>
      <c r="E1868" s="104"/>
      <c r="F1868" s="104"/>
      <c r="G1868" s="35"/>
      <c r="H1868" s="104"/>
      <c r="I1868" s="35"/>
      <c r="J1868" s="74"/>
      <c r="K1868" s="74"/>
      <c r="L1868" s="74"/>
      <c r="M1868" s="74"/>
      <c r="N1868" s="74"/>
      <c r="O1868" s="74"/>
      <c r="P1868" s="74"/>
      <c r="Q1868" s="74"/>
      <c r="R1868" s="74"/>
      <c r="S1868" s="74"/>
      <c r="T1868" s="74"/>
      <c r="U1868" s="74"/>
      <c r="V1868" s="74"/>
      <c r="W1868" s="74"/>
      <c r="X1868" s="74"/>
      <c r="Y1868" s="74"/>
      <c r="Z1868" s="74"/>
      <c r="AA1868" s="74"/>
      <c r="AB1868" s="74"/>
    </row>
    <row r="1869" spans="1:28" ht="12" customHeight="1">
      <c r="A1869" s="260"/>
      <c r="B1869" s="104"/>
      <c r="C1869" s="104"/>
      <c r="D1869" s="260"/>
      <c r="E1869" s="104"/>
      <c r="F1869" s="104"/>
      <c r="G1869" s="35"/>
      <c r="H1869" s="104"/>
      <c r="I1869" s="35"/>
      <c r="J1869" s="74"/>
      <c r="K1869" s="74"/>
      <c r="L1869" s="74"/>
      <c r="M1869" s="74"/>
      <c r="N1869" s="74"/>
      <c r="O1869" s="74"/>
      <c r="P1869" s="74"/>
      <c r="Q1869" s="74"/>
      <c r="R1869" s="74"/>
      <c r="S1869" s="74"/>
      <c r="T1869" s="74"/>
      <c r="U1869" s="74"/>
      <c r="V1869" s="74"/>
      <c r="W1869" s="74"/>
      <c r="X1869" s="74"/>
      <c r="Y1869" s="74"/>
      <c r="Z1869" s="74"/>
      <c r="AA1869" s="74"/>
      <c r="AB1869" s="74"/>
    </row>
    <row r="1870" spans="1:28" ht="12" customHeight="1">
      <c r="A1870" s="260"/>
      <c r="B1870" s="104"/>
      <c r="C1870" s="104"/>
      <c r="D1870" s="260"/>
      <c r="E1870" s="104"/>
      <c r="F1870" s="104"/>
      <c r="G1870" s="35"/>
      <c r="H1870" s="104"/>
      <c r="I1870" s="35"/>
      <c r="J1870" s="74"/>
      <c r="K1870" s="74"/>
      <c r="L1870" s="74"/>
      <c r="M1870" s="74"/>
      <c r="N1870" s="74"/>
      <c r="O1870" s="74"/>
      <c r="P1870" s="74"/>
      <c r="Q1870" s="74"/>
      <c r="R1870" s="74"/>
      <c r="S1870" s="74"/>
      <c r="T1870" s="74"/>
      <c r="U1870" s="74"/>
      <c r="V1870" s="74"/>
      <c r="W1870" s="74"/>
      <c r="X1870" s="74"/>
      <c r="Y1870" s="74"/>
      <c r="Z1870" s="74"/>
      <c r="AA1870" s="74"/>
      <c r="AB1870" s="74"/>
    </row>
    <row r="1871" spans="1:28" ht="12" customHeight="1">
      <c r="A1871" s="260"/>
      <c r="B1871" s="104"/>
      <c r="C1871" s="104"/>
      <c r="D1871" s="260"/>
      <c r="E1871" s="104"/>
      <c r="F1871" s="104"/>
      <c r="G1871" s="35"/>
      <c r="H1871" s="104"/>
      <c r="I1871" s="35"/>
      <c r="J1871" s="74"/>
      <c r="K1871" s="74"/>
      <c r="L1871" s="74"/>
      <c r="M1871" s="74"/>
      <c r="N1871" s="74"/>
      <c r="O1871" s="74"/>
      <c r="P1871" s="74"/>
      <c r="Q1871" s="74"/>
      <c r="R1871" s="74"/>
      <c r="S1871" s="74"/>
      <c r="T1871" s="74"/>
      <c r="U1871" s="74"/>
      <c r="V1871" s="74"/>
      <c r="W1871" s="74"/>
      <c r="X1871" s="74"/>
      <c r="Y1871" s="74"/>
      <c r="Z1871" s="74"/>
      <c r="AA1871" s="74"/>
      <c r="AB1871" s="74"/>
    </row>
    <row r="1872" spans="1:28" ht="12" customHeight="1">
      <c r="A1872" s="260"/>
      <c r="B1872" s="104"/>
      <c r="C1872" s="104"/>
      <c r="D1872" s="260"/>
      <c r="E1872" s="104"/>
      <c r="F1872" s="104"/>
      <c r="G1872" s="35"/>
      <c r="H1872" s="104"/>
      <c r="I1872" s="35"/>
      <c r="J1872" s="74"/>
      <c r="K1872" s="74"/>
      <c r="L1872" s="74"/>
      <c r="M1872" s="74"/>
      <c r="N1872" s="74"/>
      <c r="O1872" s="74"/>
      <c r="P1872" s="74"/>
      <c r="Q1872" s="74"/>
      <c r="R1872" s="74"/>
      <c r="S1872" s="74"/>
      <c r="T1872" s="74"/>
      <c r="U1872" s="74"/>
      <c r="V1872" s="74"/>
      <c r="W1872" s="74"/>
      <c r="X1872" s="74"/>
      <c r="Y1872" s="74"/>
      <c r="Z1872" s="74"/>
      <c r="AA1872" s="74"/>
      <c r="AB1872" s="74"/>
    </row>
    <row r="1873" spans="1:28" ht="12" customHeight="1">
      <c r="A1873" s="260"/>
      <c r="B1873" s="104"/>
      <c r="C1873" s="104"/>
      <c r="D1873" s="260"/>
      <c r="E1873" s="104"/>
      <c r="F1873" s="104"/>
      <c r="G1873" s="35"/>
      <c r="H1873" s="104"/>
      <c r="I1873" s="35"/>
      <c r="J1873" s="74"/>
      <c r="K1873" s="74"/>
      <c r="L1873" s="74"/>
      <c r="M1873" s="74"/>
      <c r="N1873" s="74"/>
      <c r="O1873" s="74"/>
      <c r="P1873" s="74"/>
      <c r="Q1873" s="74"/>
      <c r="R1873" s="74"/>
      <c r="S1873" s="74"/>
      <c r="T1873" s="74"/>
      <c r="U1873" s="74"/>
      <c r="V1873" s="74"/>
      <c r="W1873" s="74"/>
      <c r="X1873" s="74"/>
      <c r="Y1873" s="74"/>
      <c r="Z1873" s="74"/>
      <c r="AA1873" s="74"/>
      <c r="AB1873" s="74"/>
    </row>
    <row r="1874" spans="1:28" ht="12" customHeight="1">
      <c r="A1874" s="260"/>
      <c r="B1874" s="104"/>
      <c r="C1874" s="104"/>
      <c r="D1874" s="260"/>
      <c r="E1874" s="104"/>
      <c r="F1874" s="104"/>
      <c r="G1874" s="35"/>
      <c r="H1874" s="104"/>
      <c r="I1874" s="35"/>
      <c r="J1874" s="74"/>
      <c r="K1874" s="74"/>
      <c r="L1874" s="74"/>
      <c r="M1874" s="74"/>
      <c r="N1874" s="74"/>
      <c r="O1874" s="74"/>
      <c r="P1874" s="74"/>
      <c r="Q1874" s="74"/>
      <c r="R1874" s="74"/>
      <c r="S1874" s="74"/>
      <c r="T1874" s="74"/>
      <c r="U1874" s="74"/>
      <c r="V1874" s="74"/>
      <c r="W1874" s="74"/>
      <c r="X1874" s="74"/>
      <c r="Y1874" s="74"/>
      <c r="Z1874" s="74"/>
      <c r="AA1874" s="74"/>
      <c r="AB1874" s="74"/>
    </row>
    <row r="1875" spans="1:28" ht="12" customHeight="1">
      <c r="A1875" s="260"/>
      <c r="B1875" s="104"/>
      <c r="C1875" s="104"/>
      <c r="D1875" s="260"/>
      <c r="E1875" s="104"/>
      <c r="F1875" s="104"/>
      <c r="G1875" s="35"/>
      <c r="H1875" s="104"/>
      <c r="I1875" s="35"/>
      <c r="J1875" s="74"/>
      <c r="K1875" s="74"/>
      <c r="L1875" s="74"/>
      <c r="M1875" s="74"/>
      <c r="N1875" s="74"/>
      <c r="O1875" s="74"/>
      <c r="P1875" s="74"/>
      <c r="Q1875" s="74"/>
      <c r="R1875" s="74"/>
      <c r="S1875" s="74"/>
      <c r="T1875" s="74"/>
      <c r="U1875" s="74"/>
      <c r="V1875" s="74"/>
      <c r="W1875" s="74"/>
      <c r="X1875" s="74"/>
      <c r="Y1875" s="74"/>
      <c r="Z1875" s="74"/>
      <c r="AA1875" s="74"/>
      <c r="AB1875" s="74"/>
    </row>
    <row r="1876" spans="1:28" ht="12" customHeight="1">
      <c r="A1876" s="260"/>
      <c r="B1876" s="104"/>
      <c r="C1876" s="104"/>
      <c r="D1876" s="260"/>
      <c r="E1876" s="104"/>
      <c r="F1876" s="104"/>
      <c r="G1876" s="35"/>
      <c r="H1876" s="104"/>
      <c r="I1876" s="35"/>
      <c r="J1876" s="74"/>
      <c r="K1876" s="74"/>
      <c r="L1876" s="74"/>
      <c r="M1876" s="74"/>
      <c r="N1876" s="74"/>
      <c r="O1876" s="74"/>
      <c r="P1876" s="74"/>
      <c r="Q1876" s="74"/>
      <c r="R1876" s="74"/>
      <c r="S1876" s="74"/>
      <c r="T1876" s="74"/>
      <c r="U1876" s="74"/>
      <c r="V1876" s="74"/>
      <c r="W1876" s="74"/>
      <c r="X1876" s="74"/>
      <c r="Y1876" s="74"/>
      <c r="Z1876" s="74"/>
      <c r="AA1876" s="74"/>
      <c r="AB1876" s="74"/>
    </row>
    <row r="1877" spans="1:28" ht="12" customHeight="1">
      <c r="A1877" s="260"/>
      <c r="B1877" s="104"/>
      <c r="C1877" s="104"/>
      <c r="D1877" s="260"/>
      <c r="E1877" s="104"/>
      <c r="F1877" s="104"/>
      <c r="G1877" s="35"/>
      <c r="H1877" s="104"/>
      <c r="I1877" s="35"/>
      <c r="J1877" s="74"/>
      <c r="K1877" s="74"/>
      <c r="L1877" s="74"/>
      <c r="M1877" s="74"/>
      <c r="N1877" s="74"/>
      <c r="O1877" s="74"/>
      <c r="P1877" s="74"/>
      <c r="Q1877" s="74"/>
      <c r="R1877" s="74"/>
      <c r="S1877" s="74"/>
      <c r="T1877" s="74"/>
      <c r="U1877" s="74"/>
      <c r="V1877" s="74"/>
      <c r="W1877" s="74"/>
      <c r="X1877" s="74"/>
      <c r="Y1877" s="74"/>
      <c r="Z1877" s="74"/>
      <c r="AA1877" s="74"/>
      <c r="AB1877" s="74"/>
    </row>
    <row r="1878" spans="1:28" ht="12" customHeight="1">
      <c r="A1878" s="260"/>
      <c r="B1878" s="104"/>
      <c r="C1878" s="104"/>
      <c r="D1878" s="260"/>
      <c r="E1878" s="104"/>
      <c r="F1878" s="104"/>
      <c r="G1878" s="35"/>
      <c r="H1878" s="104"/>
      <c r="I1878" s="35"/>
      <c r="J1878" s="74"/>
      <c r="K1878" s="74"/>
      <c r="L1878" s="74"/>
      <c r="M1878" s="74"/>
      <c r="N1878" s="74"/>
      <c r="O1878" s="74"/>
      <c r="P1878" s="74"/>
      <c r="Q1878" s="74"/>
      <c r="R1878" s="74"/>
      <c r="S1878" s="74"/>
      <c r="T1878" s="74"/>
      <c r="U1878" s="74"/>
      <c r="V1878" s="74"/>
      <c r="W1878" s="74"/>
      <c r="X1878" s="74"/>
      <c r="Y1878" s="74"/>
      <c r="Z1878" s="74"/>
      <c r="AA1878" s="74"/>
      <c r="AB1878" s="74"/>
    </row>
    <row r="1879" spans="1:28" ht="12" customHeight="1">
      <c r="A1879" s="260"/>
      <c r="B1879" s="104"/>
      <c r="C1879" s="104"/>
      <c r="D1879" s="260"/>
      <c r="E1879" s="104"/>
      <c r="F1879" s="104"/>
      <c r="G1879" s="35"/>
      <c r="H1879" s="104"/>
      <c r="I1879" s="35"/>
      <c r="J1879" s="74"/>
      <c r="K1879" s="74"/>
      <c r="L1879" s="74"/>
      <c r="M1879" s="74"/>
      <c r="N1879" s="74"/>
      <c r="O1879" s="74"/>
      <c r="P1879" s="74"/>
      <c r="Q1879" s="74"/>
      <c r="R1879" s="74"/>
      <c r="S1879" s="74"/>
      <c r="T1879" s="74"/>
      <c r="U1879" s="74"/>
      <c r="V1879" s="74"/>
      <c r="W1879" s="74"/>
      <c r="X1879" s="74"/>
      <c r="Y1879" s="74"/>
      <c r="Z1879" s="74"/>
      <c r="AA1879" s="74"/>
      <c r="AB1879" s="74"/>
    </row>
    <row r="1880" spans="1:28" ht="12" customHeight="1">
      <c r="A1880" s="260"/>
      <c r="B1880" s="104"/>
      <c r="C1880" s="104"/>
      <c r="D1880" s="260"/>
      <c r="E1880" s="104"/>
      <c r="F1880" s="104"/>
      <c r="G1880" s="35"/>
      <c r="H1880" s="104"/>
      <c r="I1880" s="35"/>
      <c r="J1880" s="74"/>
      <c r="K1880" s="74"/>
      <c r="L1880" s="74"/>
      <c r="M1880" s="74"/>
      <c r="N1880" s="74"/>
      <c r="O1880" s="74"/>
      <c r="P1880" s="74"/>
      <c r="Q1880" s="74"/>
      <c r="R1880" s="74"/>
      <c r="S1880" s="74"/>
      <c r="T1880" s="74"/>
      <c r="U1880" s="74"/>
      <c r="V1880" s="74"/>
      <c r="W1880" s="74"/>
      <c r="X1880" s="74"/>
      <c r="Y1880" s="74"/>
      <c r="Z1880" s="74"/>
      <c r="AA1880" s="74"/>
      <c r="AB1880" s="74"/>
    </row>
    <row r="1881" spans="1:28" ht="12" customHeight="1">
      <c r="A1881" s="260"/>
      <c r="B1881" s="104"/>
      <c r="C1881" s="104"/>
      <c r="D1881" s="260"/>
      <c r="E1881" s="104"/>
      <c r="F1881" s="104"/>
      <c r="G1881" s="35"/>
      <c r="H1881" s="104"/>
      <c r="I1881" s="35"/>
      <c r="J1881" s="74"/>
      <c r="K1881" s="74"/>
      <c r="L1881" s="74"/>
      <c r="M1881" s="74"/>
      <c r="N1881" s="74"/>
      <c r="O1881" s="74"/>
      <c r="P1881" s="74"/>
      <c r="Q1881" s="74"/>
      <c r="R1881" s="74"/>
      <c r="S1881" s="74"/>
      <c r="T1881" s="74"/>
      <c r="U1881" s="74"/>
      <c r="V1881" s="74"/>
      <c r="W1881" s="74"/>
      <c r="X1881" s="74"/>
      <c r="Y1881" s="74"/>
      <c r="Z1881" s="74"/>
      <c r="AA1881" s="74"/>
      <c r="AB1881" s="74"/>
    </row>
    <row r="1882" spans="1:28" ht="12" customHeight="1">
      <c r="A1882" s="260"/>
      <c r="B1882" s="104"/>
      <c r="C1882" s="104"/>
      <c r="D1882" s="260"/>
      <c r="E1882" s="104"/>
      <c r="F1882" s="104"/>
      <c r="G1882" s="35"/>
      <c r="H1882" s="104"/>
      <c r="I1882" s="35"/>
      <c r="J1882" s="74"/>
      <c r="K1882" s="74"/>
      <c r="L1882" s="74"/>
      <c r="M1882" s="74"/>
      <c r="N1882" s="74"/>
      <c r="O1882" s="74"/>
      <c r="P1882" s="74"/>
      <c r="Q1882" s="74"/>
      <c r="R1882" s="74"/>
      <c r="S1882" s="74"/>
      <c r="T1882" s="74"/>
      <c r="U1882" s="74"/>
      <c r="V1882" s="74"/>
      <c r="W1882" s="74"/>
      <c r="X1882" s="74"/>
      <c r="Y1882" s="74"/>
      <c r="Z1882" s="74"/>
      <c r="AA1882" s="74"/>
      <c r="AB1882" s="74"/>
    </row>
    <row r="1883" spans="1:28" ht="12" customHeight="1">
      <c r="A1883" s="260"/>
      <c r="B1883" s="104"/>
      <c r="C1883" s="104"/>
      <c r="D1883" s="260"/>
      <c r="E1883" s="104"/>
      <c r="F1883" s="104"/>
      <c r="G1883" s="35"/>
      <c r="H1883" s="104"/>
      <c r="I1883" s="35"/>
      <c r="J1883" s="74"/>
      <c r="K1883" s="74"/>
      <c r="L1883" s="74"/>
      <c r="M1883" s="74"/>
      <c r="N1883" s="74"/>
      <c r="O1883" s="74"/>
      <c r="P1883" s="74"/>
      <c r="Q1883" s="74"/>
      <c r="R1883" s="74"/>
      <c r="S1883" s="74"/>
      <c r="T1883" s="74"/>
      <c r="U1883" s="74"/>
      <c r="V1883" s="74"/>
      <c r="W1883" s="74"/>
      <c r="X1883" s="74"/>
      <c r="Y1883" s="74"/>
      <c r="Z1883" s="74"/>
      <c r="AA1883" s="74"/>
      <c r="AB1883" s="74"/>
    </row>
    <row r="1884" spans="1:28" ht="12" customHeight="1">
      <c r="A1884" s="260"/>
      <c r="B1884" s="104"/>
      <c r="C1884" s="104"/>
      <c r="D1884" s="260"/>
      <c r="E1884" s="104"/>
      <c r="F1884" s="104"/>
      <c r="G1884" s="35"/>
      <c r="H1884" s="104"/>
      <c r="I1884" s="35"/>
      <c r="J1884" s="74"/>
      <c r="K1884" s="74"/>
      <c r="L1884" s="74"/>
      <c r="M1884" s="74"/>
      <c r="N1884" s="74"/>
      <c r="O1884" s="74"/>
      <c r="P1884" s="74"/>
      <c r="Q1884" s="74"/>
      <c r="R1884" s="74"/>
      <c r="S1884" s="74"/>
      <c r="T1884" s="74"/>
      <c r="U1884" s="74"/>
      <c r="V1884" s="74"/>
      <c r="W1884" s="74"/>
      <c r="X1884" s="74"/>
      <c r="Y1884" s="74"/>
      <c r="Z1884" s="74"/>
      <c r="AA1884" s="74"/>
      <c r="AB1884" s="74"/>
    </row>
    <row r="1885" spans="1:28" ht="12" customHeight="1">
      <c r="A1885" s="260"/>
      <c r="B1885" s="104"/>
      <c r="C1885" s="104"/>
      <c r="D1885" s="260"/>
      <c r="E1885" s="104"/>
      <c r="F1885" s="104"/>
      <c r="G1885" s="35"/>
      <c r="H1885" s="104"/>
      <c r="I1885" s="35"/>
      <c r="J1885" s="74"/>
      <c r="K1885" s="74"/>
      <c r="L1885" s="74"/>
      <c r="M1885" s="74"/>
      <c r="N1885" s="74"/>
      <c r="O1885" s="74"/>
      <c r="P1885" s="74"/>
      <c r="Q1885" s="74"/>
      <c r="R1885" s="74"/>
      <c r="S1885" s="74"/>
      <c r="T1885" s="74"/>
      <c r="U1885" s="74"/>
      <c r="V1885" s="74"/>
      <c r="W1885" s="74"/>
      <c r="X1885" s="74"/>
      <c r="Y1885" s="74"/>
      <c r="Z1885" s="74"/>
      <c r="AA1885" s="74"/>
      <c r="AB1885" s="74"/>
    </row>
    <row r="1886" spans="1:28" ht="12" customHeight="1">
      <c r="A1886" s="260"/>
      <c r="B1886" s="104"/>
      <c r="C1886" s="104"/>
      <c r="D1886" s="260"/>
      <c r="E1886" s="104"/>
      <c r="F1886" s="104"/>
      <c r="G1886" s="35"/>
      <c r="H1886" s="104"/>
      <c r="I1886" s="35"/>
      <c r="J1886" s="74"/>
      <c r="K1886" s="74"/>
      <c r="L1886" s="74"/>
      <c r="M1886" s="74"/>
      <c r="N1886" s="74"/>
      <c r="O1886" s="74"/>
      <c r="P1886" s="74"/>
      <c r="Q1886" s="74"/>
      <c r="R1886" s="74"/>
      <c r="S1886" s="74"/>
      <c r="T1886" s="74"/>
      <c r="U1886" s="74"/>
      <c r="V1886" s="74"/>
      <c r="W1886" s="74"/>
      <c r="X1886" s="74"/>
      <c r="Y1886" s="74"/>
      <c r="Z1886" s="74"/>
      <c r="AA1886" s="74"/>
      <c r="AB1886" s="74"/>
    </row>
    <row r="1887" spans="1:28" ht="12" customHeight="1">
      <c r="A1887" s="260"/>
      <c r="B1887" s="104"/>
      <c r="C1887" s="104"/>
      <c r="D1887" s="260"/>
      <c r="E1887" s="104"/>
      <c r="F1887" s="104"/>
      <c r="G1887" s="35"/>
      <c r="H1887" s="104"/>
      <c r="I1887" s="35"/>
      <c r="J1887" s="74"/>
      <c r="K1887" s="74"/>
      <c r="L1887" s="74"/>
      <c r="M1887" s="74"/>
      <c r="N1887" s="74"/>
      <c r="O1887" s="74"/>
      <c r="P1887" s="74"/>
      <c r="Q1887" s="74"/>
      <c r="R1887" s="74"/>
      <c r="S1887" s="74"/>
      <c r="T1887" s="74"/>
      <c r="U1887" s="74"/>
      <c r="V1887" s="74"/>
      <c r="W1887" s="74"/>
      <c r="X1887" s="74"/>
      <c r="Y1887" s="74"/>
      <c r="Z1887" s="74"/>
      <c r="AA1887" s="74"/>
      <c r="AB1887" s="74"/>
    </row>
    <row r="1888" spans="1:28" ht="12" customHeight="1">
      <c r="A1888" s="260"/>
      <c r="B1888" s="104"/>
      <c r="C1888" s="104"/>
      <c r="D1888" s="260"/>
      <c r="E1888" s="104"/>
      <c r="F1888" s="104"/>
      <c r="G1888" s="35"/>
      <c r="H1888" s="104"/>
      <c r="I1888" s="35"/>
      <c r="J1888" s="74"/>
      <c r="K1888" s="74"/>
      <c r="L1888" s="74"/>
      <c r="M1888" s="74"/>
      <c r="N1888" s="74"/>
      <c r="O1888" s="74"/>
      <c r="P1888" s="74"/>
      <c r="Q1888" s="74"/>
      <c r="R1888" s="74"/>
      <c r="S1888" s="74"/>
      <c r="T1888" s="74"/>
      <c r="U1888" s="74"/>
      <c r="V1888" s="74"/>
      <c r="W1888" s="74"/>
      <c r="X1888" s="74"/>
      <c r="Y1888" s="74"/>
      <c r="Z1888" s="74"/>
      <c r="AA1888" s="74"/>
      <c r="AB1888" s="74"/>
    </row>
    <row r="1889" spans="1:28" ht="12" customHeight="1">
      <c r="A1889" s="260"/>
      <c r="B1889" s="104"/>
      <c r="C1889" s="104"/>
      <c r="D1889" s="260"/>
      <c r="E1889" s="104"/>
      <c r="F1889" s="104"/>
      <c r="G1889" s="35"/>
      <c r="H1889" s="104"/>
      <c r="I1889" s="35"/>
      <c r="J1889" s="74"/>
      <c r="K1889" s="74"/>
      <c r="L1889" s="74"/>
      <c r="M1889" s="74"/>
      <c r="N1889" s="74"/>
      <c r="O1889" s="74"/>
      <c r="P1889" s="74"/>
      <c r="Q1889" s="74"/>
      <c r="R1889" s="74"/>
      <c r="S1889" s="74"/>
      <c r="T1889" s="74"/>
      <c r="U1889" s="74"/>
      <c r="V1889" s="74"/>
      <c r="W1889" s="74"/>
      <c r="X1889" s="74"/>
      <c r="Y1889" s="74"/>
      <c r="Z1889" s="74"/>
      <c r="AA1889" s="74"/>
      <c r="AB1889" s="74"/>
    </row>
    <row r="1890" spans="1:28" ht="12" customHeight="1">
      <c r="A1890" s="260"/>
      <c r="B1890" s="104"/>
      <c r="C1890" s="104"/>
      <c r="D1890" s="260"/>
      <c r="E1890" s="104"/>
      <c r="F1890" s="104"/>
      <c r="G1890" s="35"/>
      <c r="H1890" s="104"/>
      <c r="I1890" s="35"/>
      <c r="J1890" s="74"/>
      <c r="K1890" s="74"/>
      <c r="L1890" s="74"/>
      <c r="M1890" s="74"/>
      <c r="N1890" s="74"/>
      <c r="O1890" s="74"/>
      <c r="P1890" s="74"/>
      <c r="Q1890" s="74"/>
      <c r="R1890" s="74"/>
      <c r="S1890" s="74"/>
      <c r="T1890" s="74"/>
      <c r="U1890" s="74"/>
      <c r="V1890" s="74"/>
      <c r="W1890" s="74"/>
      <c r="X1890" s="74"/>
      <c r="Y1890" s="74"/>
      <c r="Z1890" s="74"/>
      <c r="AA1890" s="74"/>
      <c r="AB1890" s="74"/>
    </row>
    <row r="1891" spans="1:28" ht="12" customHeight="1">
      <c r="A1891" s="260"/>
      <c r="B1891" s="104"/>
      <c r="C1891" s="104"/>
      <c r="D1891" s="260"/>
      <c r="E1891" s="104"/>
      <c r="F1891" s="104"/>
      <c r="G1891" s="35"/>
      <c r="H1891" s="104"/>
      <c r="I1891" s="35"/>
      <c r="J1891" s="74"/>
      <c r="K1891" s="74"/>
      <c r="L1891" s="74"/>
      <c r="M1891" s="74"/>
      <c r="N1891" s="74"/>
      <c r="O1891" s="74"/>
      <c r="P1891" s="74"/>
      <c r="Q1891" s="74"/>
      <c r="R1891" s="74"/>
      <c r="S1891" s="74"/>
      <c r="T1891" s="74"/>
      <c r="U1891" s="74"/>
      <c r="V1891" s="74"/>
      <c r="W1891" s="74"/>
      <c r="X1891" s="74"/>
      <c r="Y1891" s="74"/>
      <c r="Z1891" s="74"/>
      <c r="AA1891" s="74"/>
      <c r="AB1891" s="74"/>
    </row>
    <row r="1892" spans="1:28" ht="12" customHeight="1">
      <c r="A1892" s="260"/>
      <c r="B1892" s="104"/>
      <c r="C1892" s="104"/>
      <c r="D1892" s="260"/>
      <c r="E1892" s="104"/>
      <c r="F1892" s="104"/>
      <c r="G1892" s="35"/>
      <c r="H1892" s="104"/>
      <c r="I1892" s="35"/>
      <c r="J1892" s="74"/>
      <c r="K1892" s="74"/>
      <c r="L1892" s="74"/>
      <c r="M1892" s="74"/>
      <c r="N1892" s="74"/>
      <c r="O1892" s="74"/>
      <c r="P1892" s="74"/>
      <c r="Q1892" s="74"/>
      <c r="R1892" s="74"/>
      <c r="S1892" s="74"/>
      <c r="T1892" s="74"/>
      <c r="U1892" s="74"/>
      <c r="V1892" s="74"/>
      <c r="W1892" s="74"/>
      <c r="X1892" s="74"/>
      <c r="Y1892" s="74"/>
      <c r="Z1892" s="74"/>
      <c r="AA1892" s="74"/>
      <c r="AB1892" s="74"/>
    </row>
    <row r="1893" spans="1:28" ht="12" customHeight="1">
      <c r="A1893" s="260"/>
      <c r="B1893" s="104"/>
      <c r="C1893" s="104"/>
      <c r="D1893" s="260"/>
      <c r="E1893" s="104"/>
      <c r="F1893" s="104"/>
      <c r="G1893" s="35"/>
      <c r="H1893" s="104"/>
      <c r="I1893" s="35"/>
      <c r="J1893" s="74"/>
      <c r="K1893" s="74"/>
      <c r="L1893" s="74"/>
      <c r="M1893" s="74"/>
      <c r="N1893" s="74"/>
      <c r="O1893" s="74"/>
      <c r="P1893" s="74"/>
      <c r="Q1893" s="74"/>
      <c r="R1893" s="74"/>
      <c r="S1893" s="74"/>
      <c r="T1893" s="74"/>
      <c r="U1893" s="74"/>
      <c r="V1893" s="74"/>
      <c r="W1893" s="74"/>
      <c r="X1893" s="74"/>
      <c r="Y1893" s="74"/>
      <c r="Z1893" s="74"/>
      <c r="AA1893" s="74"/>
      <c r="AB1893" s="74"/>
    </row>
    <row r="1894" spans="1:28" ht="12" customHeight="1">
      <c r="A1894" s="260"/>
      <c r="B1894" s="104"/>
      <c r="C1894" s="104"/>
      <c r="D1894" s="260"/>
      <c r="E1894" s="104"/>
      <c r="F1894" s="104"/>
      <c r="G1894" s="35"/>
      <c r="H1894" s="104"/>
      <c r="I1894" s="35"/>
      <c r="J1894" s="74"/>
      <c r="K1894" s="74"/>
      <c r="L1894" s="74"/>
      <c r="M1894" s="74"/>
      <c r="N1894" s="74"/>
      <c r="O1894" s="74"/>
      <c r="P1894" s="74"/>
      <c r="Q1894" s="74"/>
      <c r="R1894" s="74"/>
      <c r="S1894" s="74"/>
      <c r="T1894" s="74"/>
      <c r="U1894" s="74"/>
      <c r="V1894" s="74"/>
      <c r="W1894" s="74"/>
      <c r="X1894" s="74"/>
      <c r="Y1894" s="74"/>
      <c r="Z1894" s="74"/>
      <c r="AA1894" s="74"/>
      <c r="AB1894" s="74"/>
    </row>
    <row r="1895" spans="1:28" ht="12" customHeight="1">
      <c r="A1895" s="260"/>
      <c r="B1895" s="104"/>
      <c r="C1895" s="104"/>
      <c r="D1895" s="260"/>
      <c r="E1895" s="104"/>
      <c r="F1895" s="104"/>
      <c r="G1895" s="35"/>
      <c r="H1895" s="104"/>
      <c r="I1895" s="35"/>
      <c r="J1895" s="74"/>
      <c r="K1895" s="74"/>
      <c r="L1895" s="74"/>
      <c r="M1895" s="74"/>
      <c r="N1895" s="74"/>
      <c r="O1895" s="74"/>
      <c r="P1895" s="74"/>
      <c r="Q1895" s="74"/>
      <c r="R1895" s="74"/>
      <c r="S1895" s="74"/>
      <c r="T1895" s="74"/>
      <c r="U1895" s="74"/>
      <c r="V1895" s="74"/>
      <c r="W1895" s="74"/>
      <c r="X1895" s="74"/>
      <c r="Y1895" s="74"/>
      <c r="Z1895" s="74"/>
      <c r="AA1895" s="74"/>
      <c r="AB1895" s="74"/>
    </row>
    <row r="1896" spans="1:28" ht="12" customHeight="1">
      <c r="A1896" s="260"/>
      <c r="B1896" s="104"/>
      <c r="C1896" s="104"/>
      <c r="D1896" s="260"/>
      <c r="E1896" s="104"/>
      <c r="F1896" s="104"/>
      <c r="G1896" s="35"/>
      <c r="H1896" s="104"/>
      <c r="I1896" s="35"/>
      <c r="J1896" s="74"/>
      <c r="K1896" s="74"/>
      <c r="L1896" s="74"/>
      <c r="M1896" s="74"/>
      <c r="N1896" s="74"/>
      <c r="O1896" s="74"/>
      <c r="P1896" s="74"/>
      <c r="Q1896" s="74"/>
      <c r="R1896" s="74"/>
      <c r="S1896" s="74"/>
      <c r="T1896" s="74"/>
      <c r="U1896" s="74"/>
      <c r="V1896" s="74"/>
      <c r="W1896" s="74"/>
      <c r="X1896" s="74"/>
      <c r="Y1896" s="74"/>
      <c r="Z1896" s="74"/>
      <c r="AA1896" s="74"/>
      <c r="AB1896" s="74"/>
    </row>
    <row r="1897" spans="1:28" ht="12" customHeight="1">
      <c r="A1897" s="260"/>
      <c r="B1897" s="104"/>
      <c r="C1897" s="104"/>
      <c r="D1897" s="260"/>
      <c r="E1897" s="104"/>
      <c r="F1897" s="104"/>
      <c r="G1897" s="35"/>
      <c r="H1897" s="104"/>
      <c r="I1897" s="35"/>
      <c r="J1897" s="74"/>
      <c r="K1897" s="74"/>
      <c r="L1897" s="74"/>
      <c r="M1897" s="74"/>
      <c r="N1897" s="74"/>
      <c r="O1897" s="74"/>
      <c r="P1897" s="74"/>
      <c r="Q1897" s="74"/>
      <c r="R1897" s="74"/>
      <c r="S1897" s="74"/>
      <c r="T1897" s="74"/>
      <c r="U1897" s="74"/>
      <c r="V1897" s="74"/>
      <c r="W1897" s="74"/>
      <c r="X1897" s="74"/>
      <c r="Y1897" s="74"/>
      <c r="Z1897" s="74"/>
      <c r="AA1897" s="74"/>
      <c r="AB1897" s="74"/>
    </row>
    <row r="1898" spans="1:28" ht="12" customHeight="1">
      <c r="A1898" s="260"/>
      <c r="B1898" s="104"/>
      <c r="C1898" s="104"/>
      <c r="D1898" s="260"/>
      <c r="E1898" s="104"/>
      <c r="F1898" s="104"/>
      <c r="G1898" s="35"/>
      <c r="H1898" s="104"/>
      <c r="I1898" s="35"/>
      <c r="J1898" s="74"/>
      <c r="K1898" s="74"/>
      <c r="L1898" s="74"/>
      <c r="M1898" s="74"/>
      <c r="N1898" s="74"/>
      <c r="O1898" s="74"/>
      <c r="P1898" s="74"/>
      <c r="Q1898" s="74"/>
      <c r="R1898" s="74"/>
      <c r="S1898" s="74"/>
      <c r="T1898" s="74"/>
      <c r="U1898" s="74"/>
      <c r="V1898" s="74"/>
      <c r="W1898" s="74"/>
      <c r="X1898" s="74"/>
      <c r="Y1898" s="74"/>
      <c r="Z1898" s="74"/>
      <c r="AA1898" s="74"/>
      <c r="AB1898" s="74"/>
    </row>
    <row r="1899" spans="1:28" ht="12" customHeight="1">
      <c r="A1899" s="260"/>
      <c r="B1899" s="104"/>
      <c r="C1899" s="104"/>
      <c r="D1899" s="260"/>
      <c r="E1899" s="104"/>
      <c r="F1899" s="104"/>
      <c r="G1899" s="35"/>
      <c r="H1899" s="104"/>
      <c r="I1899" s="35"/>
      <c r="J1899" s="74"/>
      <c r="K1899" s="74"/>
      <c r="L1899" s="74"/>
      <c r="M1899" s="74"/>
      <c r="N1899" s="74"/>
      <c r="O1899" s="74"/>
      <c r="P1899" s="74"/>
      <c r="Q1899" s="74"/>
      <c r="R1899" s="74"/>
      <c r="S1899" s="74"/>
      <c r="T1899" s="74"/>
      <c r="U1899" s="74"/>
      <c r="V1899" s="74"/>
      <c r="W1899" s="74"/>
      <c r="X1899" s="74"/>
      <c r="Y1899" s="74"/>
      <c r="Z1899" s="74"/>
      <c r="AA1899" s="74"/>
      <c r="AB1899" s="74"/>
    </row>
    <row r="1900" spans="1:28" ht="12" customHeight="1">
      <c r="A1900" s="260"/>
      <c r="B1900" s="104"/>
      <c r="C1900" s="104"/>
      <c r="D1900" s="260"/>
      <c r="E1900" s="104"/>
      <c r="F1900" s="104"/>
      <c r="G1900" s="35"/>
      <c r="H1900" s="104"/>
      <c r="I1900" s="35"/>
      <c r="J1900" s="74"/>
      <c r="K1900" s="74"/>
      <c r="L1900" s="74"/>
      <c r="M1900" s="74"/>
      <c r="N1900" s="74"/>
      <c r="O1900" s="74"/>
      <c r="P1900" s="74"/>
      <c r="Q1900" s="74"/>
      <c r="R1900" s="74"/>
      <c r="S1900" s="74"/>
      <c r="T1900" s="74"/>
      <c r="U1900" s="74"/>
      <c r="V1900" s="74"/>
      <c r="W1900" s="74"/>
      <c r="X1900" s="74"/>
      <c r="Y1900" s="74"/>
      <c r="Z1900" s="74"/>
      <c r="AA1900" s="74"/>
      <c r="AB1900" s="74"/>
    </row>
    <row r="1901" spans="1:28" ht="12" customHeight="1">
      <c r="A1901" s="260"/>
      <c r="B1901" s="104"/>
      <c r="C1901" s="104"/>
      <c r="D1901" s="260"/>
      <c r="E1901" s="104"/>
      <c r="F1901" s="104"/>
      <c r="G1901" s="35"/>
      <c r="H1901" s="104"/>
      <c r="I1901" s="35"/>
      <c r="J1901" s="74"/>
      <c r="K1901" s="74"/>
      <c r="L1901" s="74"/>
      <c r="M1901" s="74"/>
      <c r="N1901" s="74"/>
      <c r="O1901" s="74"/>
      <c r="P1901" s="74"/>
      <c r="Q1901" s="74"/>
      <c r="R1901" s="74"/>
      <c r="S1901" s="74"/>
      <c r="T1901" s="74"/>
      <c r="U1901" s="74"/>
      <c r="V1901" s="74"/>
      <c r="W1901" s="74"/>
      <c r="X1901" s="74"/>
      <c r="Y1901" s="74"/>
      <c r="Z1901" s="74"/>
      <c r="AA1901" s="74"/>
      <c r="AB1901" s="74"/>
    </row>
    <row r="1902" spans="1:28" ht="12" customHeight="1">
      <c r="A1902" s="260"/>
      <c r="B1902" s="104"/>
      <c r="C1902" s="104"/>
      <c r="D1902" s="260"/>
      <c r="E1902" s="104"/>
      <c r="F1902" s="104"/>
      <c r="G1902" s="35"/>
      <c r="H1902" s="104"/>
      <c r="I1902" s="35"/>
      <c r="J1902" s="74"/>
      <c r="K1902" s="74"/>
      <c r="L1902" s="74"/>
      <c r="M1902" s="74"/>
      <c r="N1902" s="74"/>
      <c r="O1902" s="74"/>
      <c r="P1902" s="74"/>
      <c r="Q1902" s="74"/>
      <c r="R1902" s="74"/>
      <c r="S1902" s="74"/>
      <c r="T1902" s="74"/>
      <c r="U1902" s="74"/>
      <c r="V1902" s="74"/>
      <c r="W1902" s="74"/>
      <c r="X1902" s="74"/>
      <c r="Y1902" s="74"/>
      <c r="Z1902" s="74"/>
      <c r="AA1902" s="74"/>
      <c r="AB1902" s="74"/>
    </row>
    <row r="1903" spans="1:28" ht="12" customHeight="1">
      <c r="A1903" s="260"/>
      <c r="B1903" s="104"/>
      <c r="C1903" s="104"/>
      <c r="D1903" s="260"/>
      <c r="E1903" s="104"/>
      <c r="F1903" s="104"/>
      <c r="G1903" s="35"/>
      <c r="H1903" s="104"/>
      <c r="I1903" s="35"/>
      <c r="J1903" s="74"/>
      <c r="K1903" s="74"/>
      <c r="L1903" s="74"/>
      <c r="M1903" s="74"/>
      <c r="N1903" s="74"/>
      <c r="O1903" s="74"/>
      <c r="P1903" s="74"/>
      <c r="Q1903" s="74"/>
      <c r="R1903" s="74"/>
      <c r="S1903" s="74"/>
      <c r="T1903" s="74"/>
      <c r="U1903" s="74"/>
      <c r="V1903" s="74"/>
      <c r="W1903" s="74"/>
      <c r="X1903" s="74"/>
      <c r="Y1903" s="74"/>
      <c r="Z1903" s="74"/>
      <c r="AA1903" s="74"/>
      <c r="AB1903" s="74"/>
    </row>
    <row r="1904" spans="1:28" ht="12" customHeight="1">
      <c r="A1904" s="260"/>
      <c r="B1904" s="104"/>
      <c r="C1904" s="104"/>
      <c r="D1904" s="260"/>
      <c r="E1904" s="104"/>
      <c r="F1904" s="104"/>
      <c r="G1904" s="35"/>
      <c r="H1904" s="104"/>
      <c r="I1904" s="35"/>
      <c r="J1904" s="74"/>
      <c r="K1904" s="74"/>
      <c r="L1904" s="74"/>
      <c r="M1904" s="74"/>
      <c r="N1904" s="74"/>
      <c r="O1904" s="74"/>
      <c r="P1904" s="74"/>
      <c r="Q1904" s="74"/>
      <c r="R1904" s="74"/>
      <c r="S1904" s="74"/>
      <c r="T1904" s="74"/>
      <c r="U1904" s="74"/>
      <c r="V1904" s="74"/>
      <c r="W1904" s="74"/>
      <c r="X1904" s="74"/>
      <c r="Y1904" s="74"/>
      <c r="Z1904" s="74"/>
      <c r="AA1904" s="74"/>
      <c r="AB1904" s="74"/>
    </row>
    <row r="1905" spans="1:28" ht="12" customHeight="1">
      <c r="A1905" s="260"/>
      <c r="B1905" s="104"/>
      <c r="C1905" s="104"/>
      <c r="D1905" s="260"/>
      <c r="E1905" s="104"/>
      <c r="F1905" s="104"/>
      <c r="G1905" s="35"/>
      <c r="H1905" s="104"/>
      <c r="I1905" s="35"/>
      <c r="J1905" s="74"/>
      <c r="K1905" s="74"/>
      <c r="L1905" s="74"/>
      <c r="M1905" s="74"/>
      <c r="N1905" s="74"/>
      <c r="O1905" s="74"/>
      <c r="P1905" s="74"/>
      <c r="Q1905" s="74"/>
      <c r="R1905" s="74"/>
      <c r="S1905" s="74"/>
      <c r="T1905" s="74"/>
      <c r="U1905" s="74"/>
      <c r="V1905" s="74"/>
      <c r="W1905" s="74"/>
      <c r="X1905" s="74"/>
      <c r="Y1905" s="74"/>
      <c r="Z1905" s="74"/>
      <c r="AA1905" s="74"/>
      <c r="AB1905" s="74"/>
    </row>
    <row r="1906" spans="1:28" ht="12" customHeight="1">
      <c r="A1906" s="260"/>
      <c r="B1906" s="104"/>
      <c r="C1906" s="104"/>
      <c r="D1906" s="260"/>
      <c r="E1906" s="104"/>
      <c r="F1906" s="104"/>
      <c r="G1906" s="35"/>
      <c r="H1906" s="104"/>
      <c r="I1906" s="35"/>
      <c r="J1906" s="74"/>
      <c r="K1906" s="74"/>
      <c r="L1906" s="74"/>
      <c r="M1906" s="74"/>
      <c r="N1906" s="74"/>
      <c r="O1906" s="74"/>
      <c r="P1906" s="74"/>
      <c r="Q1906" s="74"/>
      <c r="R1906" s="74"/>
      <c r="S1906" s="74"/>
      <c r="T1906" s="74"/>
      <c r="U1906" s="74"/>
      <c r="V1906" s="74"/>
      <c r="W1906" s="74"/>
      <c r="X1906" s="74"/>
      <c r="Y1906" s="74"/>
      <c r="Z1906" s="74"/>
      <c r="AA1906" s="74"/>
      <c r="AB1906" s="74"/>
    </row>
    <row r="1907" spans="1:28" ht="12" customHeight="1">
      <c r="A1907" s="260"/>
      <c r="B1907" s="104"/>
      <c r="C1907" s="104"/>
      <c r="D1907" s="260"/>
      <c r="E1907" s="104"/>
      <c r="F1907" s="104"/>
      <c r="G1907" s="35"/>
      <c r="H1907" s="104"/>
      <c r="I1907" s="35"/>
      <c r="J1907" s="74"/>
      <c r="K1907" s="74"/>
      <c r="L1907" s="74"/>
      <c r="M1907" s="74"/>
      <c r="N1907" s="74"/>
      <c r="O1907" s="74"/>
      <c r="P1907" s="74"/>
      <c r="Q1907" s="74"/>
      <c r="R1907" s="74"/>
      <c r="S1907" s="74"/>
      <c r="T1907" s="74"/>
      <c r="U1907" s="74"/>
      <c r="V1907" s="74"/>
      <c r="W1907" s="74"/>
      <c r="X1907" s="74"/>
      <c r="Y1907" s="74"/>
      <c r="Z1907" s="74"/>
      <c r="AA1907" s="74"/>
      <c r="AB1907" s="74"/>
    </row>
    <row r="1908" spans="1:28" ht="12" customHeight="1">
      <c r="A1908" s="260"/>
      <c r="B1908" s="104"/>
      <c r="C1908" s="104"/>
      <c r="D1908" s="260"/>
      <c r="E1908" s="104"/>
      <c r="F1908" s="104"/>
      <c r="G1908" s="35"/>
      <c r="H1908" s="104"/>
      <c r="I1908" s="35"/>
      <c r="J1908" s="74"/>
      <c r="K1908" s="74"/>
      <c r="L1908" s="74"/>
      <c r="M1908" s="74"/>
      <c r="N1908" s="74"/>
      <c r="O1908" s="74"/>
      <c r="P1908" s="74"/>
      <c r="Q1908" s="74"/>
      <c r="R1908" s="74"/>
      <c r="S1908" s="74"/>
      <c r="T1908" s="74"/>
      <c r="U1908" s="74"/>
      <c r="V1908" s="74"/>
      <c r="W1908" s="74"/>
      <c r="X1908" s="74"/>
      <c r="Y1908" s="74"/>
      <c r="Z1908" s="74"/>
      <c r="AA1908" s="74"/>
      <c r="AB1908" s="74"/>
    </row>
    <row r="1909" spans="1:28" ht="12" customHeight="1">
      <c r="A1909" s="260"/>
      <c r="B1909" s="104"/>
      <c r="C1909" s="104"/>
      <c r="D1909" s="260"/>
      <c r="E1909" s="104"/>
      <c r="F1909" s="104"/>
      <c r="G1909" s="35"/>
      <c r="H1909" s="104"/>
      <c r="I1909" s="35"/>
      <c r="J1909" s="74"/>
      <c r="K1909" s="74"/>
      <c r="L1909" s="74"/>
      <c r="M1909" s="74"/>
      <c r="N1909" s="74"/>
      <c r="O1909" s="74"/>
      <c r="P1909" s="74"/>
      <c r="Q1909" s="74"/>
      <c r="R1909" s="74"/>
      <c r="S1909" s="74"/>
      <c r="T1909" s="74"/>
      <c r="U1909" s="74"/>
      <c r="V1909" s="74"/>
      <c r="W1909" s="74"/>
      <c r="X1909" s="74"/>
      <c r="Y1909" s="74"/>
      <c r="Z1909" s="74"/>
      <c r="AA1909" s="74"/>
      <c r="AB1909" s="74"/>
    </row>
    <row r="1910" spans="1:28" ht="12" customHeight="1">
      <c r="A1910" s="260"/>
      <c r="B1910" s="104"/>
      <c r="C1910" s="104"/>
      <c r="D1910" s="260"/>
      <c r="E1910" s="104"/>
      <c r="F1910" s="104"/>
      <c r="G1910" s="35"/>
      <c r="H1910" s="104"/>
      <c r="I1910" s="35"/>
      <c r="J1910" s="74"/>
      <c r="K1910" s="74"/>
      <c r="L1910" s="74"/>
      <c r="M1910" s="74"/>
      <c r="N1910" s="74"/>
      <c r="O1910" s="74"/>
      <c r="P1910" s="74"/>
      <c r="Q1910" s="74"/>
      <c r="R1910" s="74"/>
      <c r="S1910" s="74"/>
      <c r="T1910" s="74"/>
      <c r="U1910" s="74"/>
      <c r="V1910" s="74"/>
      <c r="W1910" s="74"/>
      <c r="X1910" s="74"/>
      <c r="Y1910" s="74"/>
      <c r="Z1910" s="74"/>
      <c r="AA1910" s="74"/>
      <c r="AB1910" s="74"/>
    </row>
    <row r="1911" spans="1:28" ht="12" customHeight="1">
      <c r="A1911" s="260"/>
      <c r="B1911" s="104"/>
      <c r="C1911" s="104"/>
      <c r="D1911" s="260"/>
      <c r="E1911" s="104"/>
      <c r="F1911" s="104"/>
      <c r="G1911" s="35"/>
      <c r="H1911" s="104"/>
      <c r="I1911" s="35"/>
      <c r="J1911" s="74"/>
      <c r="K1911" s="74"/>
      <c r="L1911" s="74"/>
      <c r="M1911" s="74"/>
      <c r="N1911" s="74"/>
      <c r="O1911" s="74"/>
      <c r="P1911" s="74"/>
      <c r="Q1911" s="74"/>
      <c r="R1911" s="74"/>
      <c r="S1911" s="74"/>
      <c r="T1911" s="74"/>
      <c r="U1911" s="74"/>
      <c r="V1911" s="74"/>
      <c r="W1911" s="74"/>
      <c r="X1911" s="74"/>
      <c r="Y1911" s="74"/>
      <c r="Z1911" s="74"/>
      <c r="AA1911" s="74"/>
      <c r="AB1911" s="74"/>
    </row>
    <row r="1912" spans="1:28" ht="12" customHeight="1">
      <c r="A1912" s="260"/>
      <c r="B1912" s="104"/>
      <c r="C1912" s="104"/>
      <c r="D1912" s="260"/>
      <c r="E1912" s="104"/>
      <c r="F1912" s="104"/>
      <c r="G1912" s="35"/>
      <c r="H1912" s="104"/>
      <c r="I1912" s="35"/>
      <c r="J1912" s="74"/>
      <c r="K1912" s="74"/>
      <c r="L1912" s="74"/>
      <c r="M1912" s="74"/>
      <c r="N1912" s="74"/>
      <c r="O1912" s="74"/>
      <c r="P1912" s="74"/>
      <c r="Q1912" s="74"/>
      <c r="R1912" s="74"/>
      <c r="S1912" s="74"/>
      <c r="T1912" s="74"/>
      <c r="U1912" s="74"/>
      <c r="V1912" s="74"/>
      <c r="W1912" s="74"/>
      <c r="X1912" s="74"/>
      <c r="Y1912" s="74"/>
      <c r="Z1912" s="74"/>
      <c r="AA1912" s="74"/>
      <c r="AB1912" s="74"/>
    </row>
    <row r="1913" spans="1:28" ht="12" customHeight="1">
      <c r="A1913" s="260"/>
      <c r="B1913" s="104"/>
      <c r="C1913" s="104"/>
      <c r="D1913" s="260"/>
      <c r="E1913" s="104"/>
      <c r="F1913" s="104"/>
      <c r="G1913" s="35"/>
      <c r="H1913" s="104"/>
      <c r="I1913" s="35"/>
      <c r="J1913" s="74"/>
      <c r="K1913" s="74"/>
      <c r="L1913" s="74"/>
      <c r="M1913" s="74"/>
      <c r="N1913" s="74"/>
      <c r="O1913" s="74"/>
      <c r="P1913" s="74"/>
      <c r="Q1913" s="74"/>
      <c r="R1913" s="74"/>
      <c r="S1913" s="74"/>
      <c r="T1913" s="74"/>
      <c r="U1913" s="74"/>
      <c r="V1913" s="74"/>
      <c r="W1913" s="74"/>
      <c r="X1913" s="74"/>
      <c r="Y1913" s="74"/>
      <c r="Z1913" s="74"/>
      <c r="AA1913" s="74"/>
      <c r="AB1913" s="74"/>
    </row>
    <row r="1914" spans="1:28" ht="12" customHeight="1">
      <c r="A1914" s="260"/>
      <c r="B1914" s="104"/>
      <c r="C1914" s="104"/>
      <c r="D1914" s="260"/>
      <c r="E1914" s="104"/>
      <c r="F1914" s="104"/>
      <c r="G1914" s="35"/>
      <c r="H1914" s="104"/>
      <c r="I1914" s="35"/>
      <c r="J1914" s="74"/>
      <c r="K1914" s="74"/>
      <c r="L1914" s="74"/>
      <c r="M1914" s="74"/>
      <c r="N1914" s="74"/>
      <c r="O1914" s="74"/>
      <c r="P1914" s="74"/>
      <c r="Q1914" s="74"/>
      <c r="R1914" s="74"/>
      <c r="S1914" s="74"/>
      <c r="T1914" s="74"/>
      <c r="U1914" s="74"/>
      <c r="V1914" s="74"/>
      <c r="W1914" s="74"/>
      <c r="X1914" s="74"/>
      <c r="Y1914" s="74"/>
      <c r="Z1914" s="74"/>
      <c r="AA1914" s="74"/>
      <c r="AB1914" s="74"/>
    </row>
    <row r="1915" spans="1:28" ht="12" customHeight="1">
      <c r="A1915" s="260"/>
      <c r="B1915" s="104"/>
      <c r="C1915" s="104"/>
      <c r="D1915" s="260"/>
      <c r="E1915" s="104"/>
      <c r="F1915" s="104"/>
      <c r="G1915" s="35"/>
      <c r="H1915" s="104"/>
      <c r="I1915" s="35"/>
      <c r="J1915" s="74"/>
      <c r="K1915" s="74"/>
      <c r="L1915" s="74"/>
      <c r="M1915" s="74"/>
      <c r="N1915" s="74"/>
      <c r="O1915" s="74"/>
      <c r="P1915" s="74"/>
      <c r="Q1915" s="74"/>
      <c r="R1915" s="74"/>
      <c r="S1915" s="74"/>
      <c r="T1915" s="74"/>
      <c r="U1915" s="74"/>
      <c r="V1915" s="74"/>
      <c r="W1915" s="74"/>
      <c r="X1915" s="74"/>
      <c r="Y1915" s="74"/>
      <c r="Z1915" s="74"/>
      <c r="AA1915" s="74"/>
      <c r="AB1915" s="74"/>
    </row>
    <row r="1916" spans="1:28" ht="12" customHeight="1">
      <c r="A1916" s="260"/>
      <c r="B1916" s="104"/>
      <c r="C1916" s="104"/>
      <c r="D1916" s="260"/>
      <c r="E1916" s="104"/>
      <c r="F1916" s="104"/>
      <c r="G1916" s="35"/>
      <c r="H1916" s="104"/>
      <c r="I1916" s="35"/>
      <c r="J1916" s="74"/>
      <c r="K1916" s="74"/>
      <c r="L1916" s="74"/>
      <c r="M1916" s="74"/>
      <c r="N1916" s="74"/>
      <c r="O1916" s="74"/>
      <c r="P1916" s="74"/>
      <c r="Q1916" s="74"/>
      <c r="R1916" s="74"/>
      <c r="S1916" s="74"/>
      <c r="T1916" s="74"/>
      <c r="U1916" s="74"/>
      <c r="V1916" s="74"/>
      <c r="W1916" s="74"/>
      <c r="X1916" s="74"/>
      <c r="Y1916" s="74"/>
      <c r="Z1916" s="74"/>
      <c r="AA1916" s="74"/>
      <c r="AB1916" s="74"/>
    </row>
    <row r="1917" spans="1:28" ht="12" customHeight="1">
      <c r="A1917" s="260"/>
      <c r="B1917" s="104"/>
      <c r="C1917" s="104"/>
      <c r="D1917" s="260"/>
      <c r="E1917" s="104"/>
      <c r="F1917" s="104"/>
      <c r="G1917" s="35"/>
      <c r="H1917" s="104"/>
      <c r="I1917" s="35"/>
      <c r="J1917" s="74"/>
      <c r="K1917" s="74"/>
      <c r="L1917" s="74"/>
      <c r="M1917" s="74"/>
      <c r="N1917" s="74"/>
      <c r="O1917" s="74"/>
      <c r="P1917" s="74"/>
      <c r="Q1917" s="74"/>
      <c r="R1917" s="74"/>
      <c r="S1917" s="74"/>
      <c r="T1917" s="74"/>
      <c r="U1917" s="74"/>
      <c r="V1917" s="74"/>
      <c r="W1917" s="74"/>
      <c r="X1917" s="74"/>
      <c r="Y1917" s="74"/>
      <c r="Z1917" s="74"/>
      <c r="AA1917" s="74"/>
      <c r="AB1917" s="74"/>
    </row>
    <row r="1918" spans="1:28" ht="12" customHeight="1">
      <c r="A1918" s="260"/>
      <c r="B1918" s="104"/>
      <c r="C1918" s="104"/>
      <c r="D1918" s="260"/>
      <c r="E1918" s="104"/>
      <c r="F1918" s="104"/>
      <c r="G1918" s="35"/>
      <c r="H1918" s="104"/>
      <c r="I1918" s="35"/>
      <c r="J1918" s="74"/>
      <c r="K1918" s="74"/>
      <c r="L1918" s="74"/>
      <c r="M1918" s="74"/>
      <c r="N1918" s="74"/>
      <c r="O1918" s="74"/>
      <c r="P1918" s="74"/>
      <c r="Q1918" s="74"/>
      <c r="R1918" s="74"/>
      <c r="S1918" s="74"/>
      <c r="T1918" s="74"/>
      <c r="U1918" s="74"/>
      <c r="V1918" s="74"/>
      <c r="W1918" s="74"/>
      <c r="X1918" s="74"/>
      <c r="Y1918" s="74"/>
      <c r="Z1918" s="74"/>
      <c r="AA1918" s="74"/>
      <c r="AB1918" s="74"/>
    </row>
    <row r="1919" spans="1:28" ht="12" customHeight="1">
      <c r="A1919" s="260"/>
      <c r="B1919" s="104"/>
      <c r="C1919" s="104"/>
      <c r="D1919" s="260"/>
      <c r="E1919" s="104"/>
      <c r="F1919" s="104"/>
      <c r="G1919" s="35"/>
      <c r="H1919" s="104"/>
      <c r="I1919" s="35"/>
      <c r="J1919" s="74"/>
      <c r="K1919" s="74"/>
      <c r="L1919" s="74"/>
      <c r="M1919" s="74"/>
      <c r="N1919" s="74"/>
      <c r="O1919" s="74"/>
      <c r="P1919" s="74"/>
      <c r="Q1919" s="74"/>
      <c r="R1919" s="74"/>
      <c r="S1919" s="74"/>
      <c r="T1919" s="74"/>
      <c r="U1919" s="74"/>
      <c r="V1919" s="74"/>
      <c r="W1919" s="74"/>
      <c r="X1919" s="74"/>
      <c r="Y1919" s="74"/>
      <c r="Z1919" s="74"/>
      <c r="AA1919" s="74"/>
      <c r="AB1919" s="74"/>
    </row>
    <row r="1920" spans="1:28" ht="12" customHeight="1">
      <c r="A1920" s="260"/>
      <c r="B1920" s="104"/>
      <c r="C1920" s="104"/>
      <c r="D1920" s="260"/>
      <c r="E1920" s="104"/>
      <c r="F1920" s="104"/>
      <c r="G1920" s="35"/>
      <c r="H1920" s="104"/>
      <c r="I1920" s="35"/>
      <c r="J1920" s="74"/>
      <c r="K1920" s="74"/>
      <c r="L1920" s="74"/>
      <c r="M1920" s="74"/>
      <c r="N1920" s="74"/>
      <c r="O1920" s="74"/>
      <c r="P1920" s="74"/>
      <c r="Q1920" s="74"/>
      <c r="R1920" s="74"/>
      <c r="S1920" s="74"/>
      <c r="T1920" s="74"/>
      <c r="U1920" s="74"/>
      <c r="V1920" s="74"/>
      <c r="W1920" s="74"/>
      <c r="X1920" s="74"/>
      <c r="Y1920" s="74"/>
      <c r="Z1920" s="74"/>
      <c r="AA1920" s="74"/>
      <c r="AB1920" s="74"/>
    </row>
    <row r="1921" spans="1:28" ht="12" customHeight="1">
      <c r="A1921" s="260"/>
      <c r="B1921" s="104"/>
      <c r="C1921" s="104"/>
      <c r="D1921" s="260"/>
      <c r="E1921" s="104"/>
      <c r="F1921" s="104"/>
      <c r="G1921" s="35"/>
      <c r="H1921" s="104"/>
      <c r="I1921" s="35"/>
      <c r="J1921" s="74"/>
      <c r="K1921" s="74"/>
      <c r="L1921" s="74"/>
      <c r="M1921" s="74"/>
      <c r="N1921" s="74"/>
      <c r="O1921" s="74"/>
      <c r="P1921" s="74"/>
      <c r="Q1921" s="74"/>
      <c r="R1921" s="74"/>
      <c r="S1921" s="74"/>
      <c r="T1921" s="74"/>
      <c r="U1921" s="74"/>
      <c r="V1921" s="74"/>
      <c r="W1921" s="74"/>
      <c r="X1921" s="74"/>
      <c r="Y1921" s="74"/>
      <c r="Z1921" s="74"/>
      <c r="AA1921" s="74"/>
      <c r="AB1921" s="74"/>
    </row>
    <row r="1922" spans="1:28" ht="12" customHeight="1">
      <c r="A1922" s="260"/>
      <c r="B1922" s="104"/>
      <c r="C1922" s="104"/>
      <c r="D1922" s="260"/>
      <c r="E1922" s="104"/>
      <c r="F1922" s="104"/>
      <c r="G1922" s="35"/>
      <c r="H1922" s="104"/>
      <c r="I1922" s="35"/>
      <c r="J1922" s="74"/>
      <c r="K1922" s="74"/>
      <c r="L1922" s="74"/>
      <c r="M1922" s="74"/>
      <c r="N1922" s="74"/>
      <c r="O1922" s="74"/>
      <c r="P1922" s="74"/>
      <c r="Q1922" s="74"/>
      <c r="R1922" s="74"/>
      <c r="S1922" s="74"/>
      <c r="T1922" s="74"/>
      <c r="U1922" s="74"/>
      <c r="V1922" s="74"/>
      <c r="W1922" s="74"/>
      <c r="X1922" s="74"/>
      <c r="Y1922" s="74"/>
      <c r="Z1922" s="74"/>
      <c r="AA1922" s="74"/>
      <c r="AB1922" s="74"/>
    </row>
    <row r="1923" spans="1:28" ht="12" customHeight="1">
      <c r="A1923" s="260"/>
      <c r="B1923" s="104"/>
      <c r="C1923" s="104"/>
      <c r="D1923" s="260"/>
      <c r="E1923" s="104"/>
      <c r="F1923" s="104"/>
      <c r="G1923" s="35"/>
      <c r="H1923" s="104"/>
      <c r="I1923" s="35"/>
      <c r="J1923" s="74"/>
      <c r="K1923" s="74"/>
      <c r="L1923" s="74"/>
      <c r="M1923" s="74"/>
      <c r="N1923" s="74"/>
      <c r="O1923" s="74"/>
      <c r="P1923" s="74"/>
      <c r="Q1923" s="74"/>
      <c r="R1923" s="74"/>
      <c r="S1923" s="74"/>
      <c r="T1923" s="74"/>
      <c r="U1923" s="74"/>
      <c r="V1923" s="74"/>
      <c r="W1923" s="74"/>
      <c r="X1923" s="74"/>
      <c r="Y1923" s="74"/>
      <c r="Z1923" s="74"/>
      <c r="AA1923" s="74"/>
      <c r="AB1923" s="74"/>
    </row>
    <row r="1924" spans="1:28" ht="12" customHeight="1">
      <c r="A1924" s="260"/>
      <c r="B1924" s="104"/>
      <c r="C1924" s="104"/>
      <c r="D1924" s="260"/>
      <c r="E1924" s="104"/>
      <c r="F1924" s="104"/>
      <c r="G1924" s="35"/>
      <c r="H1924" s="104"/>
      <c r="I1924" s="35"/>
      <c r="J1924" s="74"/>
      <c r="K1924" s="74"/>
      <c r="L1924" s="74"/>
      <c r="M1924" s="74"/>
      <c r="N1924" s="74"/>
      <c r="O1924" s="74"/>
      <c r="P1924" s="74"/>
      <c r="Q1924" s="74"/>
      <c r="R1924" s="74"/>
      <c r="S1924" s="74"/>
      <c r="T1924" s="74"/>
      <c r="U1924" s="74"/>
      <c r="V1924" s="74"/>
      <c r="W1924" s="74"/>
      <c r="X1924" s="74"/>
      <c r="Y1924" s="74"/>
      <c r="Z1924" s="74"/>
      <c r="AA1924" s="74"/>
      <c r="AB1924" s="74"/>
    </row>
    <row r="1925" spans="1:28" ht="12" customHeight="1">
      <c r="A1925" s="260"/>
      <c r="B1925" s="104"/>
      <c r="C1925" s="104"/>
      <c r="D1925" s="260"/>
      <c r="E1925" s="104"/>
      <c r="F1925" s="104"/>
      <c r="G1925" s="35"/>
      <c r="H1925" s="104"/>
      <c r="I1925" s="35"/>
      <c r="J1925" s="74"/>
      <c r="K1925" s="74"/>
      <c r="L1925" s="74"/>
      <c r="M1925" s="74"/>
      <c r="N1925" s="74"/>
      <c r="O1925" s="74"/>
      <c r="P1925" s="74"/>
      <c r="Q1925" s="74"/>
      <c r="R1925" s="74"/>
      <c r="S1925" s="74"/>
      <c r="T1925" s="74"/>
      <c r="U1925" s="74"/>
      <c r="V1925" s="74"/>
      <c r="W1925" s="74"/>
      <c r="X1925" s="74"/>
      <c r="Y1925" s="74"/>
      <c r="Z1925" s="74"/>
      <c r="AA1925" s="74"/>
      <c r="AB1925" s="74"/>
    </row>
    <row r="1926" spans="1:28" ht="12" customHeight="1">
      <c r="A1926" s="260"/>
      <c r="B1926" s="104"/>
      <c r="C1926" s="104"/>
      <c r="D1926" s="260"/>
      <c r="E1926" s="104"/>
      <c r="F1926" s="104"/>
      <c r="G1926" s="35"/>
      <c r="H1926" s="104"/>
      <c r="I1926" s="35"/>
      <c r="J1926" s="74"/>
      <c r="K1926" s="74"/>
      <c r="L1926" s="74"/>
      <c r="M1926" s="74"/>
      <c r="N1926" s="74"/>
      <c r="O1926" s="74"/>
      <c r="P1926" s="74"/>
      <c r="Q1926" s="74"/>
      <c r="R1926" s="74"/>
      <c r="S1926" s="74"/>
      <c r="T1926" s="74"/>
      <c r="U1926" s="74"/>
      <c r="V1926" s="74"/>
      <c r="W1926" s="74"/>
      <c r="X1926" s="74"/>
      <c r="Y1926" s="74"/>
      <c r="Z1926" s="74"/>
      <c r="AA1926" s="74"/>
      <c r="AB1926" s="74"/>
    </row>
    <row r="1927" spans="1:28" ht="12" customHeight="1">
      <c r="A1927" s="260"/>
      <c r="B1927" s="104"/>
      <c r="C1927" s="104"/>
      <c r="D1927" s="260"/>
      <c r="E1927" s="104"/>
      <c r="F1927" s="104"/>
      <c r="G1927" s="35"/>
      <c r="H1927" s="104"/>
      <c r="I1927" s="35"/>
      <c r="J1927" s="74"/>
      <c r="K1927" s="74"/>
      <c r="L1927" s="74"/>
      <c r="M1927" s="74"/>
      <c r="N1927" s="74"/>
      <c r="O1927" s="74"/>
      <c r="P1927" s="74"/>
      <c r="Q1927" s="74"/>
      <c r="R1927" s="74"/>
      <c r="S1927" s="74"/>
      <c r="T1927" s="74"/>
      <c r="U1927" s="74"/>
      <c r="V1927" s="74"/>
      <c r="W1927" s="74"/>
      <c r="X1927" s="74"/>
      <c r="Y1927" s="74"/>
      <c r="Z1927" s="74"/>
      <c r="AA1927" s="74"/>
      <c r="AB1927" s="74"/>
    </row>
    <row r="1928" spans="1:28" ht="12" customHeight="1">
      <c r="A1928" s="260"/>
      <c r="B1928" s="104"/>
      <c r="C1928" s="104"/>
      <c r="D1928" s="260"/>
      <c r="E1928" s="104"/>
      <c r="F1928" s="104"/>
      <c r="G1928" s="35"/>
      <c r="H1928" s="104"/>
      <c r="I1928" s="35"/>
      <c r="J1928" s="74"/>
      <c r="K1928" s="74"/>
      <c r="L1928" s="74"/>
      <c r="M1928" s="74"/>
      <c r="N1928" s="74"/>
      <c r="O1928" s="74"/>
      <c r="P1928" s="74"/>
      <c r="Q1928" s="74"/>
      <c r="R1928" s="74"/>
      <c r="S1928" s="74"/>
      <c r="T1928" s="74"/>
      <c r="U1928" s="74"/>
      <c r="V1928" s="74"/>
      <c r="W1928" s="74"/>
      <c r="X1928" s="74"/>
      <c r="Y1928" s="74"/>
      <c r="Z1928" s="74"/>
      <c r="AA1928" s="74"/>
      <c r="AB1928" s="74"/>
    </row>
    <row r="1929" spans="1:28" ht="12" customHeight="1">
      <c r="A1929" s="260"/>
      <c r="B1929" s="104"/>
      <c r="C1929" s="104"/>
      <c r="D1929" s="260"/>
      <c r="E1929" s="104"/>
      <c r="F1929" s="104"/>
      <c r="G1929" s="35"/>
      <c r="H1929" s="104"/>
      <c r="I1929" s="35"/>
      <c r="J1929" s="74"/>
      <c r="K1929" s="74"/>
      <c r="L1929" s="74"/>
      <c r="M1929" s="74"/>
      <c r="N1929" s="74"/>
      <c r="O1929" s="74"/>
      <c r="P1929" s="74"/>
      <c r="Q1929" s="74"/>
      <c r="R1929" s="74"/>
      <c r="S1929" s="74"/>
      <c r="T1929" s="74"/>
      <c r="U1929" s="74"/>
      <c r="V1929" s="74"/>
      <c r="W1929" s="74"/>
      <c r="X1929" s="74"/>
      <c r="Y1929" s="74"/>
      <c r="Z1929" s="74"/>
      <c r="AA1929" s="74"/>
      <c r="AB1929" s="74"/>
    </row>
    <row r="1930" spans="1:28" ht="12" customHeight="1">
      <c r="A1930" s="260"/>
      <c r="B1930" s="104"/>
      <c r="C1930" s="104"/>
      <c r="D1930" s="260"/>
      <c r="E1930" s="104"/>
      <c r="F1930" s="104"/>
      <c r="G1930" s="35"/>
      <c r="H1930" s="104"/>
      <c r="I1930" s="35"/>
      <c r="J1930" s="74"/>
      <c r="K1930" s="74"/>
      <c r="L1930" s="74"/>
      <c r="M1930" s="74"/>
      <c r="N1930" s="74"/>
      <c r="O1930" s="74"/>
      <c r="P1930" s="74"/>
      <c r="Q1930" s="74"/>
      <c r="R1930" s="74"/>
      <c r="S1930" s="74"/>
      <c r="T1930" s="74"/>
      <c r="U1930" s="74"/>
      <c r="V1930" s="74"/>
      <c r="W1930" s="74"/>
      <c r="X1930" s="74"/>
      <c r="Y1930" s="74"/>
      <c r="Z1930" s="74"/>
      <c r="AA1930" s="74"/>
      <c r="AB1930" s="74"/>
    </row>
    <row r="1931" spans="1:28" ht="12" customHeight="1">
      <c r="A1931" s="260"/>
      <c r="B1931" s="104"/>
      <c r="C1931" s="104"/>
      <c r="D1931" s="260"/>
      <c r="E1931" s="104"/>
      <c r="F1931" s="104"/>
      <c r="G1931" s="35"/>
      <c r="H1931" s="104"/>
      <c r="I1931" s="35"/>
      <c r="J1931" s="74"/>
      <c r="K1931" s="74"/>
      <c r="L1931" s="74"/>
      <c r="M1931" s="74"/>
      <c r="N1931" s="74"/>
      <c r="O1931" s="74"/>
      <c r="P1931" s="74"/>
      <c r="Q1931" s="74"/>
      <c r="R1931" s="74"/>
      <c r="S1931" s="74"/>
      <c r="T1931" s="74"/>
      <c r="U1931" s="74"/>
      <c r="V1931" s="74"/>
      <c r="W1931" s="74"/>
      <c r="X1931" s="74"/>
      <c r="Y1931" s="74"/>
      <c r="Z1931" s="74"/>
      <c r="AA1931" s="74"/>
      <c r="AB1931" s="74"/>
    </row>
    <row r="1932" spans="1:28" ht="12" customHeight="1">
      <c r="A1932" s="260"/>
      <c r="B1932" s="104"/>
      <c r="C1932" s="104"/>
      <c r="D1932" s="260"/>
      <c r="E1932" s="104"/>
      <c r="F1932" s="104"/>
      <c r="G1932" s="35"/>
      <c r="H1932" s="104"/>
      <c r="I1932" s="35"/>
      <c r="J1932" s="74"/>
      <c r="K1932" s="74"/>
      <c r="L1932" s="74"/>
      <c r="M1932" s="74"/>
      <c r="N1932" s="74"/>
      <c r="O1932" s="74"/>
      <c r="P1932" s="74"/>
      <c r="Q1932" s="74"/>
      <c r="R1932" s="74"/>
      <c r="S1932" s="74"/>
      <c r="T1932" s="74"/>
      <c r="U1932" s="74"/>
      <c r="V1932" s="74"/>
      <c r="W1932" s="74"/>
      <c r="X1932" s="74"/>
      <c r="Y1932" s="74"/>
      <c r="Z1932" s="74"/>
      <c r="AA1932" s="74"/>
      <c r="AB1932" s="74"/>
    </row>
    <row r="1933" spans="1:28" ht="12" customHeight="1">
      <c r="A1933" s="260"/>
      <c r="B1933" s="104"/>
      <c r="C1933" s="104"/>
      <c r="D1933" s="260"/>
      <c r="E1933" s="104"/>
      <c r="F1933" s="104"/>
      <c r="G1933" s="35"/>
      <c r="H1933" s="104"/>
      <c r="I1933" s="35"/>
      <c r="J1933" s="74"/>
      <c r="K1933" s="74"/>
      <c r="L1933" s="74"/>
      <c r="M1933" s="74"/>
      <c r="N1933" s="74"/>
      <c r="O1933" s="74"/>
      <c r="P1933" s="74"/>
      <c r="Q1933" s="74"/>
      <c r="R1933" s="74"/>
      <c r="S1933" s="74"/>
      <c r="T1933" s="74"/>
      <c r="U1933" s="74"/>
      <c r="V1933" s="74"/>
      <c r="W1933" s="74"/>
      <c r="X1933" s="74"/>
      <c r="Y1933" s="74"/>
      <c r="Z1933" s="74"/>
      <c r="AA1933" s="74"/>
      <c r="AB1933" s="74"/>
    </row>
    <row r="1934" spans="1:28" ht="12" customHeight="1">
      <c r="A1934" s="260"/>
      <c r="B1934" s="104"/>
      <c r="C1934" s="104"/>
      <c r="D1934" s="260"/>
      <c r="E1934" s="104"/>
      <c r="F1934" s="104"/>
      <c r="G1934" s="35"/>
      <c r="H1934" s="104"/>
      <c r="I1934" s="35"/>
      <c r="J1934" s="74"/>
      <c r="K1934" s="74"/>
      <c r="L1934" s="74"/>
      <c r="M1934" s="74"/>
      <c r="N1934" s="74"/>
      <c r="O1934" s="74"/>
      <c r="P1934" s="74"/>
      <c r="Q1934" s="74"/>
      <c r="R1934" s="74"/>
      <c r="S1934" s="74"/>
      <c r="T1934" s="74"/>
      <c r="U1934" s="74"/>
      <c r="V1934" s="74"/>
      <c r="W1934" s="74"/>
      <c r="X1934" s="74"/>
      <c r="Y1934" s="74"/>
      <c r="Z1934" s="74"/>
      <c r="AA1934" s="74"/>
      <c r="AB1934" s="74"/>
    </row>
    <row r="1935" spans="1:28" ht="12" customHeight="1">
      <c r="A1935" s="260"/>
      <c r="B1935" s="104"/>
      <c r="C1935" s="104"/>
      <c r="D1935" s="260"/>
      <c r="E1935" s="104"/>
      <c r="F1935" s="104"/>
      <c r="G1935" s="35"/>
      <c r="H1935" s="104"/>
      <c r="I1935" s="35"/>
      <c r="J1935" s="74"/>
      <c r="K1935" s="74"/>
      <c r="L1935" s="74"/>
      <c r="M1935" s="74"/>
      <c r="N1935" s="74"/>
      <c r="O1935" s="74"/>
      <c r="P1935" s="74"/>
      <c r="Q1935" s="74"/>
      <c r="R1935" s="74"/>
      <c r="S1935" s="74"/>
      <c r="T1935" s="74"/>
      <c r="U1935" s="74"/>
      <c r="V1935" s="74"/>
      <c r="W1935" s="74"/>
      <c r="X1935" s="74"/>
      <c r="Y1935" s="74"/>
      <c r="Z1935" s="74"/>
      <c r="AA1935" s="74"/>
      <c r="AB1935" s="74"/>
    </row>
    <row r="1936" spans="1:28" ht="12" customHeight="1">
      <c r="A1936" s="260"/>
      <c r="B1936" s="104"/>
      <c r="C1936" s="104"/>
      <c r="D1936" s="260"/>
      <c r="E1936" s="104"/>
      <c r="F1936" s="104"/>
      <c r="G1936" s="35"/>
      <c r="H1936" s="104"/>
      <c r="I1936" s="35"/>
      <c r="J1936" s="74"/>
      <c r="K1936" s="74"/>
      <c r="L1936" s="74"/>
      <c r="M1936" s="74"/>
      <c r="N1936" s="74"/>
      <c r="O1936" s="74"/>
      <c r="P1936" s="74"/>
      <c r="Q1936" s="74"/>
      <c r="R1936" s="74"/>
      <c r="S1936" s="74"/>
      <c r="T1936" s="74"/>
      <c r="U1936" s="74"/>
      <c r="V1936" s="74"/>
      <c r="W1936" s="74"/>
      <c r="X1936" s="74"/>
      <c r="Y1936" s="74"/>
      <c r="Z1936" s="74"/>
      <c r="AA1936" s="74"/>
      <c r="AB1936" s="74"/>
    </row>
    <row r="1937" spans="1:28" ht="12" customHeight="1">
      <c r="A1937" s="260"/>
      <c r="B1937" s="104"/>
      <c r="C1937" s="104"/>
      <c r="D1937" s="260"/>
      <c r="E1937" s="104"/>
      <c r="F1937" s="104"/>
      <c r="G1937" s="35"/>
      <c r="H1937" s="104"/>
      <c r="I1937" s="35"/>
      <c r="J1937" s="74"/>
      <c r="K1937" s="74"/>
      <c r="L1937" s="74"/>
      <c r="M1937" s="74"/>
      <c r="N1937" s="74"/>
      <c r="O1937" s="74"/>
      <c r="P1937" s="74"/>
      <c r="Q1937" s="74"/>
      <c r="R1937" s="74"/>
      <c r="S1937" s="74"/>
      <c r="T1937" s="74"/>
      <c r="U1937" s="74"/>
      <c r="V1937" s="74"/>
      <c r="W1937" s="74"/>
      <c r="X1937" s="74"/>
      <c r="Y1937" s="74"/>
      <c r="Z1937" s="74"/>
      <c r="AA1937" s="74"/>
      <c r="AB1937" s="74"/>
    </row>
    <row r="1938" spans="1:28" ht="12" customHeight="1">
      <c r="A1938" s="260"/>
      <c r="B1938" s="104"/>
      <c r="C1938" s="104"/>
      <c r="D1938" s="260"/>
      <c r="E1938" s="104"/>
      <c r="F1938" s="104"/>
      <c r="G1938" s="35"/>
      <c r="H1938" s="104"/>
      <c r="I1938" s="35"/>
      <c r="J1938" s="74"/>
      <c r="K1938" s="74"/>
      <c r="L1938" s="74"/>
      <c r="M1938" s="74"/>
      <c r="N1938" s="74"/>
      <c r="O1938" s="74"/>
      <c r="P1938" s="74"/>
      <c r="Q1938" s="74"/>
      <c r="R1938" s="74"/>
      <c r="S1938" s="74"/>
      <c r="T1938" s="74"/>
      <c r="U1938" s="74"/>
      <c r="V1938" s="74"/>
      <c r="W1938" s="74"/>
      <c r="X1938" s="74"/>
      <c r="Y1938" s="74"/>
      <c r="Z1938" s="74"/>
      <c r="AA1938" s="74"/>
      <c r="AB1938" s="74"/>
    </row>
    <row r="1939" spans="1:28" ht="12" customHeight="1">
      <c r="A1939" s="260"/>
      <c r="B1939" s="104"/>
      <c r="C1939" s="104"/>
      <c r="D1939" s="260"/>
      <c r="E1939" s="104"/>
      <c r="F1939" s="104"/>
      <c r="G1939" s="35"/>
      <c r="H1939" s="104"/>
      <c r="I1939" s="35"/>
      <c r="J1939" s="74"/>
      <c r="K1939" s="74"/>
      <c r="L1939" s="74"/>
      <c r="M1939" s="74"/>
      <c r="N1939" s="74"/>
      <c r="O1939" s="74"/>
      <c r="P1939" s="74"/>
      <c r="Q1939" s="74"/>
      <c r="R1939" s="74"/>
      <c r="S1939" s="74"/>
      <c r="T1939" s="74"/>
      <c r="U1939" s="74"/>
      <c r="V1939" s="74"/>
      <c r="W1939" s="74"/>
      <c r="X1939" s="74"/>
      <c r="Y1939" s="74"/>
      <c r="Z1939" s="74"/>
      <c r="AA1939" s="74"/>
      <c r="AB1939" s="74"/>
    </row>
    <row r="1940" spans="1:28" ht="12" customHeight="1">
      <c r="A1940" s="260"/>
      <c r="B1940" s="104"/>
      <c r="C1940" s="104"/>
      <c r="D1940" s="260"/>
      <c r="E1940" s="104"/>
      <c r="F1940" s="104"/>
      <c r="G1940" s="35"/>
      <c r="H1940" s="104"/>
      <c r="I1940" s="35"/>
      <c r="J1940" s="74"/>
      <c r="K1940" s="74"/>
      <c r="L1940" s="74"/>
      <c r="M1940" s="74"/>
      <c r="N1940" s="74"/>
      <c r="O1940" s="74"/>
      <c r="P1940" s="74"/>
      <c r="Q1940" s="74"/>
      <c r="R1940" s="74"/>
      <c r="S1940" s="74"/>
      <c r="T1940" s="74"/>
      <c r="U1940" s="74"/>
      <c r="V1940" s="74"/>
      <c r="W1940" s="74"/>
      <c r="X1940" s="74"/>
      <c r="Y1940" s="74"/>
      <c r="Z1940" s="74"/>
      <c r="AA1940" s="74"/>
      <c r="AB1940" s="74"/>
    </row>
    <row r="1941" spans="1:28" ht="12" customHeight="1">
      <c r="A1941" s="260"/>
      <c r="B1941" s="104"/>
      <c r="C1941" s="104"/>
      <c r="D1941" s="260"/>
      <c r="E1941" s="104"/>
      <c r="F1941" s="104"/>
      <c r="G1941" s="35"/>
      <c r="H1941" s="104"/>
      <c r="I1941" s="35"/>
      <c r="J1941" s="74"/>
      <c r="K1941" s="74"/>
      <c r="L1941" s="74"/>
      <c r="M1941" s="74"/>
      <c r="N1941" s="74"/>
      <c r="O1941" s="74"/>
      <c r="P1941" s="74"/>
      <c r="Q1941" s="74"/>
      <c r="R1941" s="74"/>
      <c r="S1941" s="74"/>
      <c r="T1941" s="74"/>
      <c r="U1941" s="74"/>
      <c r="V1941" s="74"/>
      <c r="W1941" s="74"/>
      <c r="X1941" s="74"/>
      <c r="Y1941" s="74"/>
      <c r="Z1941" s="74"/>
      <c r="AA1941" s="74"/>
      <c r="AB1941" s="74"/>
    </row>
    <row r="1942" spans="1:28" ht="12" customHeight="1">
      <c r="A1942" s="260"/>
      <c r="B1942" s="104"/>
      <c r="C1942" s="104"/>
      <c r="D1942" s="260"/>
      <c r="E1942" s="104"/>
      <c r="F1942" s="104"/>
      <c r="G1942" s="35"/>
      <c r="H1942" s="104"/>
      <c r="I1942" s="35"/>
      <c r="J1942" s="74"/>
      <c r="K1942" s="74"/>
      <c r="L1942" s="74"/>
      <c r="M1942" s="74"/>
      <c r="N1942" s="74"/>
      <c r="O1942" s="74"/>
      <c r="P1942" s="74"/>
      <c r="Q1942" s="74"/>
      <c r="R1942" s="74"/>
      <c r="S1942" s="74"/>
      <c r="T1942" s="74"/>
      <c r="U1942" s="74"/>
      <c r="V1942" s="74"/>
      <c r="W1942" s="74"/>
      <c r="X1942" s="74"/>
      <c r="Y1942" s="74"/>
      <c r="Z1942" s="74"/>
      <c r="AA1942" s="74"/>
      <c r="AB1942" s="74"/>
    </row>
    <row r="1943" spans="1:28" ht="12" customHeight="1">
      <c r="A1943" s="260"/>
      <c r="B1943" s="104"/>
      <c r="C1943" s="104"/>
      <c r="D1943" s="260"/>
      <c r="E1943" s="104"/>
      <c r="F1943" s="104"/>
      <c r="G1943" s="35"/>
      <c r="H1943" s="104"/>
      <c r="I1943" s="35"/>
      <c r="J1943" s="74"/>
      <c r="K1943" s="74"/>
      <c r="L1943" s="74"/>
      <c r="M1943" s="74"/>
      <c r="N1943" s="74"/>
      <c r="O1943" s="74"/>
      <c r="P1943" s="74"/>
      <c r="Q1943" s="74"/>
      <c r="R1943" s="74"/>
      <c r="S1943" s="74"/>
      <c r="T1943" s="74"/>
      <c r="U1943" s="74"/>
      <c r="V1943" s="74"/>
      <c r="W1943" s="74"/>
      <c r="X1943" s="74"/>
      <c r="Y1943" s="74"/>
      <c r="Z1943" s="74"/>
      <c r="AA1943" s="74"/>
      <c r="AB1943" s="74"/>
    </row>
    <row r="1944" spans="1:28" ht="12" customHeight="1">
      <c r="A1944" s="260"/>
      <c r="B1944" s="104"/>
      <c r="C1944" s="104"/>
      <c r="D1944" s="260"/>
      <c r="E1944" s="104"/>
      <c r="F1944" s="104"/>
      <c r="G1944" s="35"/>
      <c r="H1944" s="104"/>
      <c r="I1944" s="35"/>
      <c r="J1944" s="74"/>
      <c r="K1944" s="74"/>
      <c r="L1944" s="74"/>
      <c r="M1944" s="74"/>
      <c r="N1944" s="74"/>
      <c r="O1944" s="74"/>
      <c r="P1944" s="74"/>
      <c r="Q1944" s="74"/>
      <c r="R1944" s="74"/>
      <c r="S1944" s="74"/>
      <c r="T1944" s="74"/>
      <c r="U1944" s="74"/>
      <c r="V1944" s="74"/>
      <c r="W1944" s="74"/>
      <c r="X1944" s="74"/>
      <c r="Y1944" s="74"/>
      <c r="Z1944" s="74"/>
      <c r="AA1944" s="74"/>
      <c r="AB1944" s="74"/>
    </row>
    <row r="1945" spans="1:28" ht="12" customHeight="1">
      <c r="A1945" s="260"/>
      <c r="B1945" s="104"/>
      <c r="C1945" s="104"/>
      <c r="D1945" s="260"/>
      <c r="E1945" s="104"/>
      <c r="F1945" s="104"/>
      <c r="G1945" s="35"/>
      <c r="H1945" s="104"/>
      <c r="I1945" s="35"/>
      <c r="J1945" s="74"/>
      <c r="K1945" s="74"/>
      <c r="L1945" s="74"/>
      <c r="M1945" s="74"/>
      <c r="N1945" s="74"/>
      <c r="O1945" s="74"/>
      <c r="P1945" s="74"/>
      <c r="Q1945" s="74"/>
      <c r="R1945" s="74"/>
      <c r="S1945" s="74"/>
      <c r="T1945" s="74"/>
      <c r="U1945" s="74"/>
      <c r="V1945" s="74"/>
      <c r="W1945" s="74"/>
      <c r="X1945" s="74"/>
      <c r="Y1945" s="74"/>
      <c r="Z1945" s="74"/>
      <c r="AA1945" s="74"/>
      <c r="AB1945" s="74"/>
    </row>
    <row r="1946" spans="1:28" ht="12" customHeight="1">
      <c r="A1946" s="260"/>
      <c r="B1946" s="104"/>
      <c r="C1946" s="104"/>
      <c r="D1946" s="260"/>
      <c r="E1946" s="104"/>
      <c r="F1946" s="104"/>
      <c r="G1946" s="35"/>
      <c r="H1946" s="104"/>
      <c r="I1946" s="35"/>
      <c r="J1946" s="74"/>
      <c r="K1946" s="74"/>
      <c r="L1946" s="74"/>
      <c r="M1946" s="74"/>
      <c r="N1946" s="74"/>
      <c r="O1946" s="74"/>
      <c r="P1946" s="74"/>
      <c r="Q1946" s="74"/>
      <c r="R1946" s="74"/>
      <c r="S1946" s="74"/>
      <c r="T1946" s="74"/>
      <c r="U1946" s="74"/>
      <c r="V1946" s="74"/>
      <c r="W1946" s="74"/>
      <c r="X1946" s="74"/>
      <c r="Y1946" s="74"/>
      <c r="Z1946" s="74"/>
      <c r="AA1946" s="74"/>
      <c r="AB1946" s="74"/>
    </row>
    <row r="1947" spans="1:28" ht="12" customHeight="1">
      <c r="A1947" s="260"/>
      <c r="B1947" s="104"/>
      <c r="C1947" s="104"/>
      <c r="D1947" s="260"/>
      <c r="E1947" s="104"/>
      <c r="F1947" s="104"/>
      <c r="G1947" s="35"/>
      <c r="H1947" s="104"/>
      <c r="I1947" s="35"/>
      <c r="J1947" s="74"/>
      <c r="K1947" s="74"/>
      <c r="L1947" s="74"/>
      <c r="M1947" s="74"/>
      <c r="N1947" s="74"/>
      <c r="O1947" s="74"/>
      <c r="P1947" s="74"/>
      <c r="Q1947" s="74"/>
      <c r="R1947" s="74"/>
      <c r="S1947" s="74"/>
      <c r="T1947" s="74"/>
      <c r="U1947" s="74"/>
      <c r="V1947" s="74"/>
      <c r="W1947" s="74"/>
      <c r="X1947" s="74"/>
      <c r="Y1947" s="74"/>
      <c r="Z1947" s="74"/>
      <c r="AA1947" s="74"/>
      <c r="AB1947" s="74"/>
    </row>
    <row r="1948" spans="1:28" ht="12" customHeight="1">
      <c r="A1948" s="260"/>
      <c r="B1948" s="104"/>
      <c r="C1948" s="104"/>
      <c r="D1948" s="260"/>
      <c r="E1948" s="104"/>
      <c r="F1948" s="104"/>
      <c r="G1948" s="35"/>
      <c r="H1948" s="104"/>
      <c r="I1948" s="35"/>
      <c r="J1948" s="74"/>
      <c r="K1948" s="74"/>
      <c r="L1948" s="74"/>
      <c r="M1948" s="74"/>
      <c r="N1948" s="74"/>
      <c r="O1948" s="74"/>
      <c r="P1948" s="74"/>
      <c r="Q1948" s="74"/>
      <c r="R1948" s="74"/>
      <c r="S1948" s="74"/>
      <c r="T1948" s="74"/>
      <c r="U1948" s="74"/>
      <c r="V1948" s="74"/>
      <c r="W1948" s="74"/>
      <c r="X1948" s="74"/>
      <c r="Y1948" s="74"/>
      <c r="Z1948" s="74"/>
      <c r="AA1948" s="74"/>
      <c r="AB1948" s="74"/>
    </row>
    <row r="1949" spans="1:28" ht="12" customHeight="1">
      <c r="A1949" s="260"/>
      <c r="B1949" s="104"/>
      <c r="C1949" s="104"/>
      <c r="D1949" s="260"/>
      <c r="E1949" s="104"/>
      <c r="F1949" s="104"/>
      <c r="G1949" s="35"/>
      <c r="H1949" s="104"/>
      <c r="I1949" s="35"/>
      <c r="J1949" s="74"/>
      <c r="K1949" s="74"/>
      <c r="L1949" s="74"/>
      <c r="M1949" s="74"/>
      <c r="N1949" s="74"/>
      <c r="O1949" s="74"/>
      <c r="P1949" s="74"/>
      <c r="Q1949" s="74"/>
      <c r="R1949" s="74"/>
      <c r="S1949" s="74"/>
      <c r="T1949" s="74"/>
      <c r="U1949" s="74"/>
      <c r="V1949" s="74"/>
      <c r="W1949" s="74"/>
      <c r="X1949" s="74"/>
      <c r="Y1949" s="74"/>
      <c r="Z1949" s="74"/>
      <c r="AA1949" s="74"/>
      <c r="AB1949" s="74"/>
    </row>
    <row r="1950" spans="1:28" ht="12" customHeight="1">
      <c r="A1950" s="260"/>
      <c r="B1950" s="104"/>
      <c r="C1950" s="104"/>
      <c r="D1950" s="260"/>
      <c r="E1950" s="104"/>
      <c r="F1950" s="104"/>
      <c r="G1950" s="35"/>
      <c r="H1950" s="104"/>
      <c r="I1950" s="35"/>
      <c r="J1950" s="74"/>
      <c r="K1950" s="74"/>
      <c r="L1950" s="74"/>
      <c r="M1950" s="74"/>
      <c r="N1950" s="74"/>
      <c r="O1950" s="74"/>
      <c r="P1950" s="74"/>
      <c r="Q1950" s="74"/>
      <c r="R1950" s="74"/>
      <c r="S1950" s="74"/>
      <c r="T1950" s="74"/>
      <c r="U1950" s="74"/>
      <c r="V1950" s="74"/>
      <c r="W1950" s="74"/>
      <c r="X1950" s="74"/>
      <c r="Y1950" s="74"/>
      <c r="Z1950" s="74"/>
      <c r="AA1950" s="74"/>
      <c r="AB1950" s="74"/>
    </row>
    <row r="1951" spans="1:28" ht="12" customHeight="1">
      <c r="A1951" s="260"/>
      <c r="B1951" s="104"/>
      <c r="C1951" s="104"/>
      <c r="D1951" s="260"/>
      <c r="E1951" s="104"/>
      <c r="F1951" s="104"/>
      <c r="G1951" s="35"/>
      <c r="H1951" s="104"/>
      <c r="I1951" s="35"/>
      <c r="J1951" s="74"/>
      <c r="K1951" s="74"/>
      <c r="L1951" s="74"/>
      <c r="M1951" s="74"/>
      <c r="N1951" s="74"/>
      <c r="O1951" s="74"/>
      <c r="P1951" s="74"/>
      <c r="Q1951" s="74"/>
      <c r="R1951" s="74"/>
      <c r="S1951" s="74"/>
      <c r="T1951" s="74"/>
      <c r="U1951" s="74"/>
      <c r="V1951" s="74"/>
      <c r="W1951" s="74"/>
      <c r="X1951" s="74"/>
      <c r="Y1951" s="74"/>
      <c r="Z1951" s="74"/>
      <c r="AA1951" s="74"/>
      <c r="AB1951" s="74"/>
    </row>
    <row r="1952" spans="1:28" ht="12" customHeight="1">
      <c r="A1952" s="260"/>
      <c r="B1952" s="104"/>
      <c r="C1952" s="104"/>
      <c r="D1952" s="260"/>
      <c r="E1952" s="104"/>
      <c r="F1952" s="104"/>
      <c r="G1952" s="35"/>
      <c r="H1952" s="104"/>
      <c r="I1952" s="35"/>
      <c r="J1952" s="74"/>
      <c r="K1952" s="74"/>
      <c r="L1952" s="74"/>
      <c r="M1952" s="74"/>
      <c r="N1952" s="74"/>
      <c r="O1952" s="74"/>
      <c r="P1952" s="74"/>
      <c r="Q1952" s="74"/>
      <c r="R1952" s="74"/>
      <c r="S1952" s="74"/>
      <c r="T1952" s="74"/>
      <c r="U1952" s="74"/>
      <c r="V1952" s="74"/>
      <c r="W1952" s="74"/>
      <c r="X1952" s="74"/>
      <c r="Y1952" s="74"/>
      <c r="Z1952" s="74"/>
      <c r="AA1952" s="74"/>
      <c r="AB1952" s="74"/>
    </row>
    <row r="1953" spans="1:28" ht="12" customHeight="1">
      <c r="A1953" s="260"/>
      <c r="B1953" s="104"/>
      <c r="C1953" s="104"/>
      <c r="D1953" s="260"/>
      <c r="E1953" s="104"/>
      <c r="F1953" s="104"/>
      <c r="G1953" s="35"/>
      <c r="H1953" s="104"/>
      <c r="I1953" s="35"/>
      <c r="J1953" s="74"/>
      <c r="K1953" s="74"/>
      <c r="L1953" s="74"/>
      <c r="M1953" s="74"/>
      <c r="N1953" s="74"/>
      <c r="O1953" s="74"/>
      <c r="P1953" s="74"/>
      <c r="Q1953" s="74"/>
      <c r="R1953" s="74"/>
      <c r="S1953" s="74"/>
      <c r="T1953" s="74"/>
      <c r="U1953" s="74"/>
      <c r="V1953" s="74"/>
      <c r="W1953" s="74"/>
      <c r="X1953" s="74"/>
      <c r="Y1953" s="74"/>
      <c r="Z1953" s="74"/>
      <c r="AA1953" s="74"/>
      <c r="AB1953" s="74"/>
    </row>
    <row r="1954" spans="1:28" ht="12" customHeight="1">
      <c r="A1954" s="260"/>
      <c r="B1954" s="104"/>
      <c r="C1954" s="104"/>
      <c r="D1954" s="260"/>
      <c r="E1954" s="104"/>
      <c r="F1954" s="104"/>
      <c r="G1954" s="35"/>
      <c r="H1954" s="104"/>
      <c r="I1954" s="35"/>
      <c r="J1954" s="74"/>
      <c r="K1954" s="74"/>
      <c r="L1954" s="74"/>
      <c r="M1954" s="74"/>
      <c r="N1954" s="74"/>
      <c r="O1954" s="74"/>
      <c r="P1954" s="74"/>
      <c r="Q1954" s="74"/>
      <c r="R1954" s="74"/>
      <c r="S1954" s="74"/>
      <c r="T1954" s="74"/>
      <c r="U1954" s="74"/>
      <c r="V1954" s="74"/>
      <c r="W1954" s="74"/>
      <c r="X1954" s="74"/>
      <c r="Y1954" s="74"/>
      <c r="Z1954" s="74"/>
      <c r="AA1954" s="74"/>
      <c r="AB1954" s="74"/>
    </row>
    <row r="1955" spans="1:28" ht="12" customHeight="1">
      <c r="A1955" s="260"/>
      <c r="B1955" s="104"/>
      <c r="C1955" s="104"/>
      <c r="D1955" s="260"/>
      <c r="E1955" s="104"/>
      <c r="F1955" s="104"/>
      <c r="G1955" s="35"/>
      <c r="H1955" s="104"/>
      <c r="I1955" s="35"/>
      <c r="J1955" s="74"/>
      <c r="K1955" s="74"/>
      <c r="L1955" s="74"/>
      <c r="M1955" s="74"/>
      <c r="N1955" s="74"/>
      <c r="O1955" s="74"/>
      <c r="P1955" s="74"/>
      <c r="Q1955" s="74"/>
      <c r="R1955" s="74"/>
      <c r="S1955" s="74"/>
      <c r="T1955" s="74"/>
      <c r="U1955" s="74"/>
      <c r="V1955" s="74"/>
      <c r="W1955" s="74"/>
      <c r="X1955" s="74"/>
      <c r="Y1955" s="74"/>
      <c r="Z1955" s="74"/>
      <c r="AA1955" s="74"/>
      <c r="AB1955" s="74"/>
    </row>
    <row r="1956" spans="1:28" ht="12" customHeight="1">
      <c r="A1956" s="260"/>
      <c r="B1956" s="104"/>
      <c r="C1956" s="104"/>
      <c r="D1956" s="260"/>
      <c r="E1956" s="104"/>
      <c r="F1956" s="104"/>
      <c r="G1956" s="35"/>
      <c r="H1956" s="104"/>
      <c r="I1956" s="35"/>
      <c r="J1956" s="74"/>
      <c r="K1956" s="74"/>
      <c r="L1956" s="74"/>
      <c r="M1956" s="74"/>
      <c r="N1956" s="74"/>
      <c r="O1956" s="74"/>
      <c r="P1956" s="74"/>
      <c r="Q1956" s="74"/>
      <c r="R1956" s="74"/>
      <c r="S1956" s="74"/>
      <c r="T1956" s="74"/>
      <c r="U1956" s="74"/>
      <c r="V1956" s="74"/>
      <c r="W1956" s="74"/>
      <c r="X1956" s="74"/>
      <c r="Y1956" s="74"/>
      <c r="Z1956" s="74"/>
      <c r="AA1956" s="74"/>
      <c r="AB1956" s="74"/>
    </row>
    <row r="1957" spans="1:28" ht="12" customHeight="1">
      <c r="A1957" s="260"/>
      <c r="B1957" s="104"/>
      <c r="C1957" s="104"/>
      <c r="D1957" s="260"/>
      <c r="E1957" s="104"/>
      <c r="F1957" s="104"/>
      <c r="G1957" s="35"/>
      <c r="H1957" s="104"/>
      <c r="I1957" s="35"/>
      <c r="J1957" s="74"/>
      <c r="K1957" s="74"/>
      <c r="L1957" s="74"/>
      <c r="M1957" s="74"/>
      <c r="N1957" s="74"/>
      <c r="O1957" s="74"/>
      <c r="P1957" s="74"/>
      <c r="Q1957" s="74"/>
      <c r="R1957" s="74"/>
      <c r="S1957" s="74"/>
      <c r="T1957" s="74"/>
      <c r="U1957" s="74"/>
      <c r="V1957" s="74"/>
      <c r="W1957" s="74"/>
      <c r="X1957" s="74"/>
      <c r="Y1957" s="74"/>
      <c r="Z1957" s="74"/>
      <c r="AA1957" s="74"/>
      <c r="AB1957" s="74"/>
    </row>
    <row r="1958" spans="1:28" ht="12" customHeight="1">
      <c r="A1958" s="260"/>
      <c r="B1958" s="104"/>
      <c r="C1958" s="104"/>
      <c r="D1958" s="260"/>
      <c r="E1958" s="104"/>
      <c r="F1958" s="104"/>
      <c r="G1958" s="35"/>
      <c r="H1958" s="104"/>
      <c r="I1958" s="35"/>
      <c r="J1958" s="74"/>
      <c r="K1958" s="74"/>
      <c r="L1958" s="74"/>
      <c r="M1958" s="74"/>
      <c r="N1958" s="74"/>
      <c r="O1958" s="74"/>
      <c r="P1958" s="74"/>
      <c r="Q1958" s="74"/>
      <c r="R1958" s="74"/>
      <c r="S1958" s="74"/>
      <c r="T1958" s="74"/>
      <c r="U1958" s="74"/>
      <c r="V1958" s="74"/>
      <c r="W1958" s="74"/>
      <c r="X1958" s="74"/>
      <c r="Y1958" s="74"/>
      <c r="Z1958" s="74"/>
      <c r="AA1958" s="74"/>
      <c r="AB1958" s="74"/>
    </row>
    <row r="1959" spans="1:28" ht="12" customHeight="1">
      <c r="A1959" s="260"/>
      <c r="B1959" s="104"/>
      <c r="C1959" s="104"/>
      <c r="D1959" s="260"/>
      <c r="E1959" s="104"/>
      <c r="F1959" s="104"/>
      <c r="G1959" s="35"/>
      <c r="H1959" s="104"/>
      <c r="I1959" s="35"/>
      <c r="J1959" s="74"/>
      <c r="K1959" s="74"/>
      <c r="L1959" s="74"/>
      <c r="M1959" s="74"/>
      <c r="N1959" s="74"/>
      <c r="O1959" s="74"/>
      <c r="P1959" s="74"/>
      <c r="Q1959" s="74"/>
      <c r="R1959" s="74"/>
      <c r="S1959" s="74"/>
      <c r="T1959" s="74"/>
      <c r="U1959" s="74"/>
      <c r="V1959" s="74"/>
      <c r="W1959" s="74"/>
      <c r="X1959" s="74"/>
      <c r="Y1959" s="74"/>
      <c r="Z1959" s="74"/>
      <c r="AA1959" s="74"/>
      <c r="AB1959" s="74"/>
    </row>
    <row r="1960" spans="1:28" ht="12" customHeight="1">
      <c r="A1960" s="260"/>
      <c r="B1960" s="104"/>
      <c r="C1960" s="104"/>
      <c r="D1960" s="260"/>
      <c r="E1960" s="104"/>
      <c r="F1960" s="104"/>
      <c r="G1960" s="35"/>
      <c r="H1960" s="104"/>
      <c r="I1960" s="35"/>
      <c r="J1960" s="74"/>
      <c r="K1960" s="74"/>
      <c r="L1960" s="74"/>
      <c r="M1960" s="74"/>
      <c r="N1960" s="74"/>
      <c r="O1960" s="74"/>
      <c r="P1960" s="74"/>
      <c r="Q1960" s="74"/>
      <c r="R1960" s="74"/>
      <c r="S1960" s="74"/>
      <c r="T1960" s="74"/>
      <c r="U1960" s="74"/>
      <c r="V1960" s="74"/>
      <c r="W1960" s="74"/>
      <c r="X1960" s="74"/>
      <c r="Y1960" s="74"/>
      <c r="Z1960" s="74"/>
      <c r="AA1960" s="74"/>
      <c r="AB1960" s="74"/>
    </row>
    <row r="1961" spans="1:28" ht="12" customHeight="1">
      <c r="A1961" s="260"/>
      <c r="B1961" s="104"/>
      <c r="C1961" s="104"/>
      <c r="D1961" s="260"/>
      <c r="E1961" s="104"/>
      <c r="F1961" s="104"/>
      <c r="G1961" s="35"/>
      <c r="H1961" s="104"/>
      <c r="I1961" s="35"/>
      <c r="J1961" s="74"/>
      <c r="K1961" s="74"/>
      <c r="L1961" s="74"/>
      <c r="M1961" s="74"/>
      <c r="N1961" s="74"/>
      <c r="O1961" s="74"/>
      <c r="P1961" s="74"/>
      <c r="Q1961" s="74"/>
      <c r="R1961" s="74"/>
      <c r="S1961" s="74"/>
      <c r="T1961" s="74"/>
      <c r="U1961" s="74"/>
      <c r="V1961" s="74"/>
      <c r="W1961" s="74"/>
      <c r="X1961" s="74"/>
      <c r="Y1961" s="74"/>
      <c r="Z1961" s="74"/>
      <c r="AA1961" s="74"/>
      <c r="AB1961" s="74"/>
    </row>
    <row r="1962" spans="1:28" ht="12" customHeight="1">
      <c r="A1962" s="260"/>
      <c r="B1962" s="104"/>
      <c r="C1962" s="104"/>
      <c r="D1962" s="260"/>
      <c r="E1962" s="104"/>
      <c r="F1962" s="104"/>
      <c r="G1962" s="35"/>
      <c r="H1962" s="104"/>
      <c r="I1962" s="35"/>
      <c r="J1962" s="74"/>
      <c r="K1962" s="74"/>
      <c r="L1962" s="74"/>
      <c r="M1962" s="74"/>
      <c r="N1962" s="74"/>
      <c r="O1962" s="74"/>
      <c r="P1962" s="74"/>
      <c r="Q1962" s="74"/>
      <c r="R1962" s="74"/>
      <c r="S1962" s="74"/>
      <c r="T1962" s="74"/>
      <c r="U1962" s="74"/>
      <c r="V1962" s="74"/>
      <c r="W1962" s="74"/>
      <c r="X1962" s="74"/>
      <c r="Y1962" s="74"/>
      <c r="Z1962" s="74"/>
      <c r="AA1962" s="74"/>
      <c r="AB1962" s="74"/>
    </row>
    <row r="1963" spans="1:28" ht="12" customHeight="1">
      <c r="A1963" s="260"/>
      <c r="B1963" s="104"/>
      <c r="C1963" s="104"/>
      <c r="D1963" s="260"/>
      <c r="E1963" s="104"/>
      <c r="F1963" s="104"/>
      <c r="G1963" s="35"/>
      <c r="H1963" s="104"/>
      <c r="I1963" s="35"/>
      <c r="J1963" s="74"/>
      <c r="K1963" s="74"/>
      <c r="L1963" s="74"/>
      <c r="M1963" s="74"/>
      <c r="N1963" s="74"/>
      <c r="O1963" s="74"/>
      <c r="P1963" s="74"/>
      <c r="Q1963" s="74"/>
      <c r="R1963" s="74"/>
      <c r="S1963" s="74"/>
      <c r="T1963" s="74"/>
      <c r="U1963" s="74"/>
      <c r="V1963" s="74"/>
      <c r="W1963" s="74"/>
      <c r="X1963" s="74"/>
      <c r="Y1963" s="74"/>
      <c r="Z1963" s="74"/>
      <c r="AA1963" s="74"/>
      <c r="AB1963" s="74"/>
    </row>
    <row r="1964" spans="1:28" ht="12" customHeight="1">
      <c r="A1964" s="260"/>
      <c r="B1964" s="104"/>
      <c r="C1964" s="104"/>
      <c r="D1964" s="260"/>
      <c r="E1964" s="104"/>
      <c r="F1964" s="104"/>
      <c r="G1964" s="35"/>
      <c r="H1964" s="104"/>
      <c r="I1964" s="35"/>
      <c r="J1964" s="74"/>
      <c r="K1964" s="74"/>
      <c r="L1964" s="74"/>
      <c r="M1964" s="74"/>
      <c r="N1964" s="74"/>
      <c r="O1964" s="74"/>
      <c r="P1964" s="74"/>
      <c r="Q1964" s="74"/>
      <c r="R1964" s="74"/>
      <c r="S1964" s="74"/>
      <c r="T1964" s="74"/>
      <c r="U1964" s="74"/>
      <c r="V1964" s="74"/>
      <c r="W1964" s="74"/>
      <c r="X1964" s="74"/>
      <c r="Y1964" s="74"/>
      <c r="Z1964" s="74"/>
      <c r="AA1964" s="74"/>
      <c r="AB1964" s="74"/>
    </row>
    <row r="1965" spans="1:28" ht="12" customHeight="1">
      <c r="A1965" s="260"/>
      <c r="B1965" s="104"/>
      <c r="C1965" s="104"/>
      <c r="D1965" s="260"/>
      <c r="E1965" s="104"/>
      <c r="F1965" s="104"/>
      <c r="G1965" s="35"/>
      <c r="H1965" s="104"/>
      <c r="I1965" s="35"/>
      <c r="J1965" s="74"/>
      <c r="K1965" s="74"/>
      <c r="L1965" s="74"/>
      <c r="M1965" s="74"/>
      <c r="N1965" s="74"/>
      <c r="O1965" s="74"/>
      <c r="P1965" s="74"/>
      <c r="Q1965" s="74"/>
      <c r="R1965" s="74"/>
      <c r="S1965" s="74"/>
      <c r="T1965" s="74"/>
      <c r="U1965" s="74"/>
      <c r="V1965" s="74"/>
      <c r="W1965" s="74"/>
      <c r="X1965" s="74"/>
      <c r="Y1965" s="74"/>
      <c r="Z1965" s="74"/>
      <c r="AA1965" s="74"/>
      <c r="AB1965" s="74"/>
    </row>
    <row r="1966" spans="1:28" ht="12" customHeight="1">
      <c r="A1966" s="260"/>
      <c r="B1966" s="104"/>
      <c r="C1966" s="104"/>
      <c r="D1966" s="260"/>
      <c r="E1966" s="104"/>
      <c r="F1966" s="104"/>
      <c r="G1966" s="35"/>
      <c r="H1966" s="104"/>
      <c r="I1966" s="35"/>
      <c r="J1966" s="74"/>
      <c r="K1966" s="74"/>
      <c r="L1966" s="74"/>
      <c r="M1966" s="74"/>
      <c r="N1966" s="74"/>
      <c r="O1966" s="74"/>
      <c r="P1966" s="74"/>
      <c r="Q1966" s="74"/>
      <c r="R1966" s="74"/>
      <c r="S1966" s="74"/>
      <c r="T1966" s="74"/>
      <c r="U1966" s="74"/>
      <c r="V1966" s="74"/>
      <c r="W1966" s="74"/>
      <c r="X1966" s="74"/>
      <c r="Y1966" s="74"/>
      <c r="Z1966" s="74"/>
      <c r="AA1966" s="74"/>
      <c r="AB1966" s="74"/>
    </row>
    <row r="1967" spans="1:28" ht="12" customHeight="1">
      <c r="A1967" s="260"/>
      <c r="B1967" s="104"/>
      <c r="C1967" s="104"/>
      <c r="D1967" s="260"/>
      <c r="E1967" s="104"/>
      <c r="F1967" s="104"/>
      <c r="G1967" s="35"/>
      <c r="H1967" s="104"/>
      <c r="I1967" s="35"/>
      <c r="J1967" s="74"/>
      <c r="K1967" s="74"/>
      <c r="L1967" s="74"/>
      <c r="M1967" s="74"/>
      <c r="N1967" s="74"/>
      <c r="O1967" s="74"/>
      <c r="P1967" s="74"/>
      <c r="Q1967" s="74"/>
      <c r="R1967" s="74"/>
      <c r="S1967" s="74"/>
      <c r="T1967" s="74"/>
      <c r="U1967" s="74"/>
      <c r="V1967" s="74"/>
      <c r="W1967" s="74"/>
      <c r="X1967" s="74"/>
      <c r="Y1967" s="74"/>
      <c r="Z1967" s="74"/>
      <c r="AA1967" s="74"/>
      <c r="AB1967" s="74"/>
    </row>
    <row r="1968" spans="1:28" ht="12" customHeight="1">
      <c r="A1968" s="260"/>
      <c r="B1968" s="104"/>
      <c r="C1968" s="104"/>
      <c r="D1968" s="260"/>
      <c r="E1968" s="104"/>
      <c r="F1968" s="104"/>
      <c r="G1968" s="35"/>
      <c r="H1968" s="104"/>
      <c r="I1968" s="35"/>
      <c r="J1968" s="74"/>
      <c r="K1968" s="74"/>
      <c r="L1968" s="74"/>
      <c r="M1968" s="74"/>
      <c r="N1968" s="74"/>
      <c r="O1968" s="74"/>
      <c r="P1968" s="74"/>
      <c r="Q1968" s="74"/>
      <c r="R1968" s="74"/>
      <c r="S1968" s="74"/>
      <c r="T1968" s="74"/>
      <c r="U1968" s="74"/>
      <c r="V1968" s="74"/>
      <c r="W1968" s="74"/>
      <c r="X1968" s="74"/>
      <c r="Y1968" s="74"/>
      <c r="Z1968" s="74"/>
      <c r="AA1968" s="74"/>
      <c r="AB1968" s="74"/>
    </row>
    <row r="1969" spans="1:28" ht="12" customHeight="1">
      <c r="A1969" s="260"/>
      <c r="B1969" s="104"/>
      <c r="C1969" s="104"/>
      <c r="D1969" s="260"/>
      <c r="E1969" s="104"/>
      <c r="F1969" s="104"/>
      <c r="G1969" s="35"/>
      <c r="H1969" s="104"/>
      <c r="I1969" s="35"/>
      <c r="J1969" s="74"/>
      <c r="K1969" s="74"/>
      <c r="L1969" s="74"/>
      <c r="M1969" s="74"/>
      <c r="N1969" s="74"/>
      <c r="O1969" s="74"/>
      <c r="P1969" s="74"/>
      <c r="Q1969" s="74"/>
      <c r="R1969" s="74"/>
      <c r="S1969" s="74"/>
      <c r="T1969" s="74"/>
      <c r="U1969" s="74"/>
      <c r="V1969" s="74"/>
      <c r="W1969" s="74"/>
      <c r="X1969" s="74"/>
      <c r="Y1969" s="74"/>
      <c r="Z1969" s="74"/>
      <c r="AA1969" s="74"/>
      <c r="AB1969" s="74"/>
    </row>
    <row r="1970" spans="1:28" ht="12" customHeight="1">
      <c r="A1970" s="260"/>
      <c r="B1970" s="104"/>
      <c r="C1970" s="104"/>
      <c r="D1970" s="260"/>
      <c r="E1970" s="104"/>
      <c r="F1970" s="104"/>
      <c r="G1970" s="35"/>
      <c r="H1970" s="104"/>
      <c r="I1970" s="35"/>
      <c r="J1970" s="74"/>
      <c r="K1970" s="74"/>
      <c r="L1970" s="74"/>
      <c r="M1970" s="74"/>
      <c r="N1970" s="74"/>
      <c r="O1970" s="74"/>
      <c r="P1970" s="74"/>
      <c r="Q1970" s="74"/>
      <c r="R1970" s="74"/>
      <c r="S1970" s="74"/>
      <c r="T1970" s="74"/>
      <c r="U1970" s="74"/>
      <c r="V1970" s="74"/>
      <c r="W1970" s="74"/>
      <c r="X1970" s="74"/>
      <c r="Y1970" s="74"/>
      <c r="Z1970" s="74"/>
      <c r="AA1970" s="74"/>
      <c r="AB1970" s="74"/>
    </row>
    <row r="1971" spans="1:28" ht="12" customHeight="1">
      <c r="A1971" s="260"/>
      <c r="B1971" s="104"/>
      <c r="C1971" s="104"/>
      <c r="D1971" s="260"/>
      <c r="E1971" s="104"/>
      <c r="F1971" s="104"/>
      <c r="G1971" s="35"/>
      <c r="H1971" s="104"/>
      <c r="I1971" s="35"/>
      <c r="J1971" s="74"/>
      <c r="K1971" s="74"/>
      <c r="L1971" s="74"/>
      <c r="M1971" s="74"/>
      <c r="N1971" s="74"/>
      <c r="O1971" s="74"/>
      <c r="P1971" s="74"/>
      <c r="Q1971" s="74"/>
      <c r="R1971" s="74"/>
      <c r="S1971" s="74"/>
      <c r="T1971" s="74"/>
      <c r="U1971" s="74"/>
      <c r="V1971" s="74"/>
      <c r="W1971" s="74"/>
      <c r="X1971" s="74"/>
      <c r="Y1971" s="74"/>
      <c r="Z1971" s="74"/>
      <c r="AA1971" s="74"/>
      <c r="AB1971" s="74"/>
    </row>
    <row r="1972" spans="1:28" ht="12" customHeight="1">
      <c r="A1972" s="260"/>
      <c r="B1972" s="104"/>
      <c r="C1972" s="104"/>
      <c r="D1972" s="260"/>
      <c r="E1972" s="104"/>
      <c r="F1972" s="104"/>
      <c r="G1972" s="35"/>
      <c r="H1972" s="104"/>
      <c r="I1972" s="35"/>
      <c r="J1972" s="74"/>
      <c r="K1972" s="74"/>
      <c r="L1972" s="74"/>
      <c r="M1972" s="74"/>
      <c r="N1972" s="74"/>
      <c r="O1972" s="74"/>
      <c r="P1972" s="74"/>
      <c r="Q1972" s="74"/>
      <c r="R1972" s="74"/>
      <c r="S1972" s="74"/>
      <c r="T1972" s="74"/>
      <c r="U1972" s="74"/>
      <c r="V1972" s="74"/>
      <c r="W1972" s="74"/>
      <c r="X1972" s="74"/>
      <c r="Y1972" s="74"/>
      <c r="Z1972" s="74"/>
      <c r="AA1972" s="74"/>
      <c r="AB1972" s="74"/>
    </row>
    <row r="1973" spans="1:28" ht="12" customHeight="1">
      <c r="A1973" s="260"/>
      <c r="B1973" s="104"/>
      <c r="C1973" s="104"/>
      <c r="D1973" s="260"/>
      <c r="E1973" s="104"/>
      <c r="F1973" s="104"/>
      <c r="G1973" s="35"/>
      <c r="H1973" s="104"/>
      <c r="I1973" s="35"/>
      <c r="J1973" s="74"/>
      <c r="K1973" s="74"/>
      <c r="L1973" s="74"/>
      <c r="M1973" s="74"/>
      <c r="N1973" s="74"/>
      <c r="O1973" s="74"/>
      <c r="P1973" s="74"/>
      <c r="Q1973" s="74"/>
      <c r="R1973" s="74"/>
      <c r="S1973" s="74"/>
      <c r="T1973" s="74"/>
      <c r="U1973" s="74"/>
      <c r="V1973" s="74"/>
      <c r="W1973" s="74"/>
      <c r="X1973" s="74"/>
      <c r="Y1973" s="74"/>
      <c r="Z1973" s="74"/>
      <c r="AA1973" s="74"/>
      <c r="AB1973" s="74"/>
    </row>
    <row r="1974" spans="1:28" ht="12" customHeight="1">
      <c r="A1974" s="260"/>
      <c r="B1974" s="104"/>
      <c r="C1974" s="104"/>
      <c r="D1974" s="260"/>
      <c r="E1974" s="104"/>
      <c r="F1974" s="104"/>
      <c r="G1974" s="35"/>
      <c r="H1974" s="104"/>
      <c r="I1974" s="35"/>
      <c r="J1974" s="74"/>
      <c r="K1974" s="74"/>
      <c r="L1974" s="74"/>
      <c r="M1974" s="74"/>
      <c r="N1974" s="74"/>
      <c r="O1974" s="74"/>
      <c r="P1974" s="74"/>
      <c r="Q1974" s="74"/>
      <c r="R1974" s="74"/>
      <c r="S1974" s="74"/>
      <c r="T1974" s="74"/>
      <c r="U1974" s="74"/>
      <c r="V1974" s="74"/>
      <c r="W1974" s="74"/>
      <c r="X1974" s="74"/>
      <c r="Y1974" s="74"/>
      <c r="Z1974" s="74"/>
      <c r="AA1974" s="74"/>
      <c r="AB1974" s="74"/>
    </row>
    <row r="1975" spans="1:28" ht="12" customHeight="1">
      <c r="A1975" s="260"/>
      <c r="B1975" s="104"/>
      <c r="C1975" s="104"/>
      <c r="D1975" s="260"/>
      <c r="E1975" s="104"/>
      <c r="F1975" s="104"/>
      <c r="G1975" s="35"/>
      <c r="H1975" s="104"/>
      <c r="I1975" s="35"/>
      <c r="J1975" s="74"/>
      <c r="K1975" s="74"/>
      <c r="L1975" s="74"/>
      <c r="M1975" s="74"/>
      <c r="N1975" s="74"/>
      <c r="O1975" s="74"/>
      <c r="P1975" s="74"/>
      <c r="Q1975" s="74"/>
      <c r="R1975" s="74"/>
      <c r="S1975" s="74"/>
      <c r="T1975" s="74"/>
      <c r="U1975" s="74"/>
      <c r="V1975" s="74"/>
      <c r="W1975" s="74"/>
      <c r="X1975" s="74"/>
      <c r="Y1975" s="74"/>
      <c r="Z1975" s="74"/>
      <c r="AA1975" s="74"/>
      <c r="AB1975" s="74"/>
    </row>
    <row r="1976" spans="1:28" ht="12" customHeight="1">
      <c r="A1976" s="260"/>
      <c r="B1976" s="104"/>
      <c r="C1976" s="104"/>
      <c r="D1976" s="260"/>
      <c r="E1976" s="104"/>
      <c r="F1976" s="104"/>
      <c r="G1976" s="35"/>
      <c r="H1976" s="104"/>
      <c r="I1976" s="35"/>
      <c r="J1976" s="74"/>
      <c r="K1976" s="74"/>
      <c r="L1976" s="74"/>
      <c r="M1976" s="74"/>
      <c r="N1976" s="74"/>
      <c r="O1976" s="74"/>
      <c r="P1976" s="74"/>
      <c r="Q1976" s="74"/>
      <c r="R1976" s="74"/>
      <c r="S1976" s="74"/>
      <c r="T1976" s="74"/>
      <c r="U1976" s="74"/>
      <c r="V1976" s="74"/>
      <c r="W1976" s="74"/>
      <c r="X1976" s="74"/>
      <c r="Y1976" s="74"/>
      <c r="Z1976" s="74"/>
      <c r="AA1976" s="74"/>
      <c r="AB1976" s="74"/>
    </row>
    <row r="1977" spans="1:28" ht="12" customHeight="1">
      <c r="A1977" s="260"/>
      <c r="B1977" s="104"/>
      <c r="C1977" s="104"/>
      <c r="D1977" s="260"/>
      <c r="E1977" s="104"/>
      <c r="F1977" s="104"/>
      <c r="G1977" s="35"/>
      <c r="H1977" s="104"/>
      <c r="I1977" s="35"/>
      <c r="J1977" s="74"/>
      <c r="K1977" s="74"/>
      <c r="L1977" s="74"/>
      <c r="M1977" s="74"/>
      <c r="N1977" s="74"/>
      <c r="O1977" s="74"/>
      <c r="P1977" s="74"/>
      <c r="Q1977" s="74"/>
      <c r="R1977" s="74"/>
      <c r="S1977" s="74"/>
      <c r="T1977" s="74"/>
      <c r="U1977" s="74"/>
      <c r="V1977" s="74"/>
      <c r="W1977" s="74"/>
      <c r="X1977" s="74"/>
      <c r="Y1977" s="74"/>
      <c r="Z1977" s="74"/>
      <c r="AA1977" s="74"/>
      <c r="AB1977" s="74"/>
    </row>
    <row r="1978" spans="1:28" ht="12" customHeight="1">
      <c r="A1978" s="260"/>
      <c r="B1978" s="104"/>
      <c r="C1978" s="104"/>
      <c r="D1978" s="260"/>
      <c r="E1978" s="104"/>
      <c r="F1978" s="104"/>
      <c r="G1978" s="35"/>
      <c r="H1978" s="104"/>
      <c r="I1978" s="35"/>
      <c r="J1978" s="74"/>
      <c r="K1978" s="74"/>
      <c r="L1978" s="74"/>
      <c r="M1978" s="74"/>
      <c r="N1978" s="74"/>
      <c r="O1978" s="74"/>
      <c r="P1978" s="74"/>
      <c r="Q1978" s="74"/>
      <c r="R1978" s="74"/>
      <c r="S1978" s="74"/>
      <c r="T1978" s="74"/>
      <c r="U1978" s="74"/>
      <c r="V1978" s="74"/>
      <c r="W1978" s="74"/>
      <c r="X1978" s="74"/>
      <c r="Y1978" s="74"/>
      <c r="Z1978" s="74"/>
      <c r="AA1978" s="74"/>
      <c r="AB1978" s="74"/>
    </row>
    <row r="1979" spans="1:28" ht="12" customHeight="1">
      <c r="A1979" s="260"/>
      <c r="B1979" s="104"/>
      <c r="C1979" s="104"/>
      <c r="D1979" s="260"/>
      <c r="E1979" s="104"/>
      <c r="F1979" s="104"/>
      <c r="G1979" s="35"/>
      <c r="H1979" s="104"/>
      <c r="I1979" s="35"/>
      <c r="J1979" s="74"/>
      <c r="K1979" s="74"/>
      <c r="L1979" s="74"/>
      <c r="M1979" s="74"/>
      <c r="N1979" s="74"/>
      <c r="O1979" s="74"/>
      <c r="P1979" s="74"/>
      <c r="Q1979" s="74"/>
      <c r="R1979" s="74"/>
      <c r="S1979" s="74"/>
      <c r="T1979" s="74"/>
      <c r="U1979" s="74"/>
      <c r="V1979" s="74"/>
      <c r="W1979" s="74"/>
      <c r="X1979" s="74"/>
      <c r="Y1979" s="74"/>
      <c r="Z1979" s="74"/>
      <c r="AA1979" s="74"/>
      <c r="AB1979" s="74"/>
    </row>
    <row r="1980" spans="1:28" ht="12" customHeight="1">
      <c r="A1980" s="260"/>
      <c r="B1980" s="104"/>
      <c r="C1980" s="104"/>
      <c r="D1980" s="260"/>
      <c r="E1980" s="104"/>
      <c r="F1980" s="104"/>
      <c r="G1980" s="35"/>
      <c r="H1980" s="104"/>
      <c r="I1980" s="35"/>
      <c r="J1980" s="74"/>
      <c r="K1980" s="74"/>
      <c r="L1980" s="74"/>
      <c r="M1980" s="74"/>
      <c r="N1980" s="74"/>
      <c r="O1980" s="74"/>
      <c r="P1980" s="74"/>
      <c r="Q1980" s="74"/>
      <c r="R1980" s="74"/>
      <c r="S1980" s="74"/>
      <c r="T1980" s="74"/>
      <c r="U1980" s="74"/>
      <c r="V1980" s="74"/>
      <c r="W1980" s="74"/>
      <c r="X1980" s="74"/>
      <c r="Y1980" s="74"/>
      <c r="Z1980" s="74"/>
      <c r="AA1980" s="74"/>
      <c r="AB1980" s="74"/>
    </row>
    <row r="1981" spans="1:28" ht="12" customHeight="1">
      <c r="A1981" s="260"/>
      <c r="B1981" s="104"/>
      <c r="C1981" s="104"/>
      <c r="D1981" s="260"/>
      <c r="E1981" s="104"/>
      <c r="F1981" s="104"/>
      <c r="G1981" s="35"/>
      <c r="H1981" s="104"/>
      <c r="I1981" s="35"/>
      <c r="J1981" s="74"/>
      <c r="K1981" s="74"/>
      <c r="L1981" s="74"/>
      <c r="M1981" s="74"/>
      <c r="N1981" s="74"/>
      <c r="O1981" s="74"/>
      <c r="P1981" s="74"/>
      <c r="Q1981" s="74"/>
      <c r="R1981" s="74"/>
      <c r="S1981" s="74"/>
      <c r="T1981" s="74"/>
      <c r="U1981" s="74"/>
      <c r="V1981" s="74"/>
      <c r="W1981" s="74"/>
      <c r="X1981" s="74"/>
      <c r="Y1981" s="74"/>
      <c r="Z1981" s="74"/>
      <c r="AA1981" s="74"/>
      <c r="AB1981" s="74"/>
    </row>
    <row r="1982" spans="1:28" ht="12" customHeight="1">
      <c r="A1982" s="260"/>
      <c r="B1982" s="104"/>
      <c r="C1982" s="104"/>
      <c r="D1982" s="260"/>
      <c r="E1982" s="104"/>
      <c r="F1982" s="104"/>
      <c r="G1982" s="35"/>
      <c r="H1982" s="104"/>
      <c r="I1982" s="35"/>
      <c r="J1982" s="74"/>
      <c r="K1982" s="74"/>
      <c r="L1982" s="74"/>
      <c r="M1982" s="74"/>
      <c r="N1982" s="74"/>
      <c r="O1982" s="74"/>
      <c r="P1982" s="74"/>
      <c r="Q1982" s="74"/>
      <c r="R1982" s="74"/>
      <c r="S1982" s="74"/>
      <c r="T1982" s="74"/>
      <c r="U1982" s="74"/>
      <c r="V1982" s="74"/>
      <c r="W1982" s="74"/>
      <c r="X1982" s="74"/>
      <c r="Y1982" s="74"/>
      <c r="Z1982" s="74"/>
      <c r="AA1982" s="74"/>
      <c r="AB1982" s="74"/>
    </row>
    <row r="1983" spans="1:28" ht="12" customHeight="1">
      <c r="A1983" s="260"/>
      <c r="B1983" s="104"/>
      <c r="C1983" s="104"/>
      <c r="D1983" s="260"/>
      <c r="E1983" s="104"/>
      <c r="F1983" s="104"/>
      <c r="G1983" s="35"/>
      <c r="H1983" s="104"/>
      <c r="I1983" s="35"/>
      <c r="J1983" s="74"/>
      <c r="K1983" s="74"/>
      <c r="L1983" s="74"/>
      <c r="M1983" s="74"/>
      <c r="N1983" s="74"/>
      <c r="O1983" s="74"/>
      <c r="P1983" s="74"/>
      <c r="Q1983" s="74"/>
      <c r="R1983" s="74"/>
      <c r="S1983" s="74"/>
      <c r="T1983" s="74"/>
      <c r="U1983" s="74"/>
      <c r="V1983" s="74"/>
      <c r="W1983" s="74"/>
      <c r="X1983" s="74"/>
      <c r="Y1983" s="74"/>
      <c r="Z1983" s="74"/>
      <c r="AA1983" s="74"/>
      <c r="AB1983" s="74"/>
    </row>
    <row r="1984" spans="1:28" ht="12" customHeight="1">
      <c r="A1984" s="260"/>
      <c r="B1984" s="104"/>
      <c r="C1984" s="104"/>
      <c r="D1984" s="260"/>
      <c r="E1984" s="104"/>
      <c r="F1984" s="104"/>
      <c r="G1984" s="35"/>
      <c r="H1984" s="104"/>
      <c r="I1984" s="35"/>
      <c r="J1984" s="74"/>
      <c r="K1984" s="74"/>
      <c r="L1984" s="74"/>
      <c r="M1984" s="74"/>
      <c r="N1984" s="74"/>
      <c r="O1984" s="74"/>
      <c r="P1984" s="74"/>
      <c r="Q1984" s="74"/>
      <c r="R1984" s="74"/>
      <c r="S1984" s="74"/>
      <c r="T1984" s="74"/>
      <c r="U1984" s="74"/>
      <c r="V1984" s="74"/>
      <c r="W1984" s="74"/>
      <c r="X1984" s="74"/>
      <c r="Y1984" s="74"/>
      <c r="Z1984" s="74"/>
      <c r="AA1984" s="74"/>
      <c r="AB1984" s="74"/>
    </row>
    <row r="1985" spans="1:28" ht="12" customHeight="1">
      <c r="A1985" s="260"/>
      <c r="B1985" s="104"/>
      <c r="C1985" s="104"/>
      <c r="D1985" s="260"/>
      <c r="E1985" s="104"/>
      <c r="F1985" s="104"/>
      <c r="G1985" s="35"/>
      <c r="H1985" s="104"/>
      <c r="I1985" s="35"/>
      <c r="J1985" s="74"/>
      <c r="K1985" s="74"/>
      <c r="L1985" s="74"/>
      <c r="M1985" s="74"/>
      <c r="N1985" s="74"/>
      <c r="O1985" s="74"/>
      <c r="P1985" s="74"/>
      <c r="Q1985" s="74"/>
      <c r="R1985" s="74"/>
      <c r="S1985" s="74"/>
      <c r="T1985" s="74"/>
      <c r="U1985" s="74"/>
      <c r="V1985" s="74"/>
      <c r="W1985" s="74"/>
      <c r="X1985" s="74"/>
      <c r="Y1985" s="74"/>
      <c r="Z1985" s="74"/>
      <c r="AA1985" s="74"/>
      <c r="AB1985" s="74"/>
    </row>
    <row r="1986" spans="1:28" ht="12" customHeight="1">
      <c r="A1986" s="260"/>
      <c r="B1986" s="104"/>
      <c r="C1986" s="104"/>
      <c r="D1986" s="260"/>
      <c r="E1986" s="104"/>
      <c r="F1986" s="104"/>
      <c r="G1986" s="35"/>
      <c r="H1986" s="104"/>
      <c r="I1986" s="35"/>
      <c r="J1986" s="74"/>
      <c r="K1986" s="74"/>
      <c r="L1986" s="74"/>
      <c r="M1986" s="74"/>
      <c r="N1986" s="74"/>
      <c r="O1986" s="74"/>
      <c r="P1986" s="74"/>
      <c r="Q1986" s="74"/>
      <c r="R1986" s="74"/>
      <c r="S1986" s="74"/>
      <c r="T1986" s="74"/>
      <c r="U1986" s="74"/>
      <c r="V1986" s="74"/>
      <c r="W1986" s="74"/>
      <c r="X1986" s="74"/>
      <c r="Y1986" s="74"/>
      <c r="Z1986" s="74"/>
      <c r="AA1986" s="74"/>
      <c r="AB1986" s="74"/>
    </row>
    <row r="1987" spans="1:28" ht="12" customHeight="1">
      <c r="A1987" s="260"/>
      <c r="B1987" s="104"/>
      <c r="C1987" s="104"/>
      <c r="D1987" s="260"/>
      <c r="E1987" s="104"/>
      <c r="F1987" s="104"/>
      <c r="G1987" s="35"/>
      <c r="H1987" s="104"/>
      <c r="I1987" s="35"/>
      <c r="J1987" s="74"/>
      <c r="K1987" s="74"/>
      <c r="L1987" s="74"/>
      <c r="M1987" s="74"/>
      <c r="N1987" s="74"/>
      <c r="O1987" s="74"/>
      <c r="P1987" s="74"/>
      <c r="Q1987" s="74"/>
      <c r="R1987" s="74"/>
      <c r="S1987" s="74"/>
      <c r="T1987" s="74"/>
      <c r="U1987" s="74"/>
      <c r="V1987" s="74"/>
      <c r="W1987" s="74"/>
      <c r="X1987" s="74"/>
      <c r="Y1987" s="74"/>
      <c r="Z1987" s="74"/>
      <c r="AA1987" s="74"/>
      <c r="AB1987" s="74"/>
    </row>
    <row r="1988" spans="1:28" ht="12" customHeight="1">
      <c r="A1988" s="260"/>
      <c r="B1988" s="104"/>
      <c r="C1988" s="104"/>
      <c r="D1988" s="260"/>
      <c r="E1988" s="104"/>
      <c r="F1988" s="104"/>
      <c r="G1988" s="35"/>
      <c r="H1988" s="104"/>
      <c r="I1988" s="35"/>
      <c r="J1988" s="74"/>
      <c r="K1988" s="74"/>
      <c r="L1988" s="74"/>
      <c r="M1988" s="74"/>
      <c r="N1988" s="74"/>
      <c r="O1988" s="74"/>
      <c r="P1988" s="74"/>
      <c r="Q1988" s="74"/>
      <c r="R1988" s="74"/>
      <c r="S1988" s="74"/>
      <c r="T1988" s="74"/>
      <c r="U1988" s="74"/>
      <c r="V1988" s="74"/>
      <c r="W1988" s="74"/>
      <c r="X1988" s="74"/>
      <c r="Y1988" s="74"/>
      <c r="Z1988" s="74"/>
      <c r="AA1988" s="74"/>
      <c r="AB1988" s="74"/>
    </row>
    <row r="1989" spans="1:28" ht="12" customHeight="1">
      <c r="A1989" s="260"/>
      <c r="B1989" s="104"/>
      <c r="C1989" s="104"/>
      <c r="D1989" s="260"/>
      <c r="E1989" s="104"/>
      <c r="F1989" s="104"/>
      <c r="G1989" s="35"/>
      <c r="H1989" s="104"/>
      <c r="I1989" s="35"/>
      <c r="J1989" s="74"/>
      <c r="K1989" s="74"/>
      <c r="L1989" s="74"/>
      <c r="M1989" s="74"/>
      <c r="N1989" s="74"/>
      <c r="O1989" s="74"/>
      <c r="P1989" s="74"/>
      <c r="Q1989" s="74"/>
      <c r="R1989" s="74"/>
      <c r="S1989" s="74"/>
      <c r="T1989" s="74"/>
      <c r="U1989" s="74"/>
      <c r="V1989" s="74"/>
      <c r="W1989" s="74"/>
      <c r="X1989" s="74"/>
      <c r="Y1989" s="74"/>
      <c r="Z1989" s="74"/>
      <c r="AA1989" s="74"/>
      <c r="AB1989" s="74"/>
    </row>
    <row r="1990" spans="1:28" ht="12" customHeight="1">
      <c r="A1990" s="260"/>
      <c r="B1990" s="104"/>
      <c r="C1990" s="104"/>
      <c r="D1990" s="260"/>
      <c r="E1990" s="104"/>
      <c r="F1990" s="104"/>
      <c r="G1990" s="35"/>
      <c r="H1990" s="104"/>
      <c r="I1990" s="35"/>
      <c r="J1990" s="74"/>
      <c r="K1990" s="74"/>
      <c r="L1990" s="74"/>
      <c r="M1990" s="74"/>
      <c r="N1990" s="74"/>
      <c r="O1990" s="74"/>
      <c r="P1990" s="74"/>
      <c r="Q1990" s="74"/>
      <c r="R1990" s="74"/>
      <c r="S1990" s="74"/>
      <c r="T1990" s="74"/>
      <c r="U1990" s="74"/>
      <c r="V1990" s="74"/>
      <c r="W1990" s="74"/>
      <c r="X1990" s="74"/>
      <c r="Y1990" s="74"/>
      <c r="Z1990" s="74"/>
      <c r="AA1990" s="74"/>
      <c r="AB1990" s="74"/>
    </row>
    <row r="1991" spans="1:28" ht="12" customHeight="1">
      <c r="A1991" s="260"/>
      <c r="B1991" s="104"/>
      <c r="C1991" s="104"/>
      <c r="D1991" s="260"/>
      <c r="E1991" s="104"/>
      <c r="F1991" s="104"/>
      <c r="G1991" s="35"/>
      <c r="H1991" s="104"/>
      <c r="I1991" s="35"/>
      <c r="J1991" s="74"/>
      <c r="K1991" s="74"/>
      <c r="L1991" s="74"/>
      <c r="M1991" s="74"/>
      <c r="N1991" s="74"/>
      <c r="O1991" s="74"/>
      <c r="P1991" s="74"/>
      <c r="Q1991" s="74"/>
      <c r="R1991" s="74"/>
      <c r="S1991" s="74"/>
      <c r="T1991" s="74"/>
      <c r="U1991" s="74"/>
      <c r="V1991" s="74"/>
      <c r="W1991" s="74"/>
      <c r="X1991" s="74"/>
      <c r="Y1991" s="74"/>
      <c r="Z1991" s="74"/>
      <c r="AA1991" s="74"/>
      <c r="AB1991" s="74"/>
    </row>
    <row r="1992" spans="1:28" ht="12" customHeight="1">
      <c r="A1992" s="260"/>
      <c r="B1992" s="104"/>
      <c r="C1992" s="104"/>
      <c r="D1992" s="260"/>
      <c r="E1992" s="104"/>
      <c r="F1992" s="104"/>
      <c r="G1992" s="35"/>
      <c r="H1992" s="104"/>
      <c r="I1992" s="35"/>
      <c r="J1992" s="74"/>
      <c r="K1992" s="74"/>
      <c r="L1992" s="74"/>
      <c r="M1992" s="74"/>
      <c r="N1992" s="74"/>
      <c r="O1992" s="74"/>
      <c r="P1992" s="74"/>
      <c r="Q1992" s="74"/>
      <c r="R1992" s="74"/>
      <c r="S1992" s="74"/>
      <c r="T1992" s="74"/>
      <c r="U1992" s="74"/>
      <c r="V1992" s="74"/>
      <c r="W1992" s="74"/>
      <c r="X1992" s="74"/>
      <c r="Y1992" s="74"/>
      <c r="Z1992" s="74"/>
      <c r="AA1992" s="74"/>
      <c r="AB1992" s="74"/>
    </row>
    <row r="1993" spans="1:28" ht="12" customHeight="1">
      <c r="A1993" s="260"/>
      <c r="B1993" s="104"/>
      <c r="C1993" s="104"/>
      <c r="D1993" s="260"/>
      <c r="E1993" s="104"/>
      <c r="F1993" s="104"/>
      <c r="G1993" s="35"/>
      <c r="H1993" s="104"/>
      <c r="I1993" s="35"/>
      <c r="J1993" s="74"/>
      <c r="K1993" s="74"/>
      <c r="L1993" s="74"/>
      <c r="M1993" s="74"/>
      <c r="N1993" s="74"/>
      <c r="O1993" s="74"/>
      <c r="P1993" s="74"/>
      <c r="Q1993" s="74"/>
      <c r="R1993" s="74"/>
      <c r="S1993" s="74"/>
      <c r="T1993" s="74"/>
      <c r="U1993" s="74"/>
      <c r="V1993" s="74"/>
      <c r="W1993" s="74"/>
      <c r="X1993" s="74"/>
      <c r="Y1993" s="74"/>
      <c r="Z1993" s="74"/>
      <c r="AA1993" s="74"/>
      <c r="AB1993" s="74"/>
    </row>
    <row r="1994" spans="1:28" ht="12" customHeight="1">
      <c r="A1994" s="260"/>
      <c r="B1994" s="104"/>
      <c r="C1994" s="104"/>
      <c r="D1994" s="260"/>
      <c r="E1994" s="104"/>
      <c r="F1994" s="104"/>
      <c r="G1994" s="35"/>
      <c r="H1994" s="104"/>
      <c r="I1994" s="35"/>
      <c r="J1994" s="74"/>
      <c r="K1994" s="74"/>
      <c r="L1994" s="74"/>
      <c r="M1994" s="74"/>
      <c r="N1994" s="74"/>
      <c r="O1994" s="74"/>
      <c r="P1994" s="74"/>
      <c r="Q1994" s="74"/>
      <c r="R1994" s="74"/>
      <c r="S1994" s="74"/>
      <c r="T1994" s="74"/>
      <c r="U1994" s="74"/>
      <c r="V1994" s="74"/>
      <c r="W1994" s="74"/>
      <c r="X1994" s="74"/>
      <c r="Y1994" s="74"/>
      <c r="Z1994" s="74"/>
      <c r="AA1994" s="74"/>
      <c r="AB1994" s="74"/>
    </row>
    <row r="1995" spans="1:28" ht="12" customHeight="1">
      <c r="A1995" s="260"/>
      <c r="B1995" s="104"/>
      <c r="C1995" s="104"/>
      <c r="D1995" s="260"/>
      <c r="E1995" s="104"/>
      <c r="F1995" s="104"/>
      <c r="G1995" s="35"/>
      <c r="H1995" s="104"/>
      <c r="I1995" s="35"/>
      <c r="J1995" s="74"/>
      <c r="K1995" s="74"/>
      <c r="L1995" s="74"/>
      <c r="M1995" s="74"/>
      <c r="N1995" s="74"/>
      <c r="O1995" s="74"/>
      <c r="P1995" s="74"/>
      <c r="Q1995" s="74"/>
      <c r="R1995" s="74"/>
      <c r="S1995" s="74"/>
      <c r="T1995" s="74"/>
      <c r="U1995" s="74"/>
      <c r="V1995" s="74"/>
      <c r="W1995" s="74"/>
      <c r="X1995" s="74"/>
      <c r="Y1995" s="74"/>
      <c r="Z1995" s="74"/>
      <c r="AA1995" s="74"/>
      <c r="AB1995" s="74"/>
    </row>
    <row r="1996" spans="1:28" ht="12" customHeight="1">
      <c r="A1996" s="260"/>
      <c r="B1996" s="104"/>
      <c r="C1996" s="104"/>
      <c r="D1996" s="260"/>
      <c r="E1996" s="104"/>
      <c r="F1996" s="104"/>
      <c r="G1996" s="35"/>
      <c r="H1996" s="104"/>
      <c r="I1996" s="35"/>
      <c r="J1996" s="74"/>
      <c r="K1996" s="74"/>
      <c r="L1996" s="74"/>
      <c r="M1996" s="74"/>
      <c r="N1996" s="74"/>
      <c r="O1996" s="74"/>
      <c r="P1996" s="74"/>
      <c r="Q1996" s="74"/>
      <c r="R1996" s="74"/>
      <c r="S1996" s="74"/>
      <c r="T1996" s="74"/>
      <c r="U1996" s="74"/>
      <c r="V1996" s="74"/>
      <c r="W1996" s="74"/>
      <c r="X1996" s="74"/>
      <c r="Y1996" s="74"/>
      <c r="Z1996" s="74"/>
      <c r="AA1996" s="74"/>
      <c r="AB1996" s="74"/>
    </row>
    <row r="1997" spans="1:28" ht="12" customHeight="1">
      <c r="A1997" s="260"/>
      <c r="B1997" s="104"/>
      <c r="C1997" s="104"/>
      <c r="D1997" s="260"/>
      <c r="E1997" s="104"/>
      <c r="F1997" s="104"/>
      <c r="G1997" s="35"/>
      <c r="H1997" s="104"/>
      <c r="I1997" s="35"/>
      <c r="J1997" s="74"/>
      <c r="K1997" s="74"/>
      <c r="L1997" s="74"/>
      <c r="M1997" s="74"/>
      <c r="N1997" s="74"/>
      <c r="O1997" s="74"/>
      <c r="P1997" s="74"/>
      <c r="Q1997" s="74"/>
      <c r="R1997" s="74"/>
      <c r="S1997" s="74"/>
      <c r="T1997" s="74"/>
      <c r="U1997" s="74"/>
      <c r="V1997" s="74"/>
      <c r="W1997" s="74"/>
      <c r="X1997" s="74"/>
      <c r="Y1997" s="74"/>
      <c r="Z1997" s="74"/>
      <c r="AA1997" s="74"/>
      <c r="AB1997" s="74"/>
    </row>
    <row r="1998" spans="1:28" ht="12" customHeight="1">
      <c r="A1998" s="260"/>
      <c r="B1998" s="104"/>
      <c r="C1998" s="104"/>
      <c r="D1998" s="260"/>
      <c r="E1998" s="104"/>
      <c r="F1998" s="104"/>
      <c r="G1998" s="35"/>
      <c r="H1998" s="104"/>
      <c r="I1998" s="35"/>
      <c r="J1998" s="74"/>
      <c r="K1998" s="74"/>
      <c r="L1998" s="74"/>
      <c r="M1998" s="74"/>
      <c r="N1998" s="74"/>
      <c r="O1998" s="74"/>
      <c r="P1998" s="74"/>
      <c r="Q1998" s="74"/>
      <c r="R1998" s="74"/>
      <c r="S1998" s="74"/>
      <c r="T1998" s="74"/>
      <c r="U1998" s="74"/>
      <c r="V1998" s="74"/>
      <c r="W1998" s="74"/>
      <c r="X1998" s="74"/>
      <c r="Y1998" s="74"/>
      <c r="Z1998" s="74"/>
      <c r="AA1998" s="74"/>
      <c r="AB1998" s="74"/>
    </row>
    <row r="1999" spans="1:28" ht="12" customHeight="1">
      <c r="A1999" s="260"/>
      <c r="B1999" s="104"/>
      <c r="C1999" s="104"/>
      <c r="D1999" s="260"/>
      <c r="E1999" s="104"/>
      <c r="F1999" s="104"/>
      <c r="G1999" s="35"/>
      <c r="H1999" s="104"/>
      <c r="I1999" s="35"/>
      <c r="J1999" s="74"/>
      <c r="K1999" s="74"/>
      <c r="L1999" s="74"/>
      <c r="M1999" s="74"/>
      <c r="N1999" s="74"/>
      <c r="O1999" s="74"/>
      <c r="P1999" s="74"/>
      <c r="Q1999" s="74"/>
      <c r="R1999" s="74"/>
      <c r="S1999" s="74"/>
      <c r="T1999" s="74"/>
      <c r="U1999" s="74"/>
      <c r="V1999" s="74"/>
      <c r="W1999" s="74"/>
      <c r="X1999" s="74"/>
      <c r="Y1999" s="74"/>
      <c r="Z1999" s="74"/>
      <c r="AA1999" s="74"/>
      <c r="AB1999" s="74"/>
    </row>
    <row r="2000" spans="1:28" ht="12" customHeight="1">
      <c r="A2000" s="260"/>
      <c r="B2000" s="104"/>
      <c r="C2000" s="104"/>
      <c r="D2000" s="260"/>
      <c r="E2000" s="104"/>
      <c r="F2000" s="104"/>
      <c r="G2000" s="35"/>
      <c r="H2000" s="104"/>
      <c r="I2000" s="35"/>
      <c r="J2000" s="74"/>
      <c r="K2000" s="74"/>
      <c r="L2000" s="74"/>
      <c r="M2000" s="74"/>
      <c r="N2000" s="74"/>
      <c r="O2000" s="74"/>
      <c r="P2000" s="74"/>
      <c r="Q2000" s="74"/>
      <c r="R2000" s="74"/>
      <c r="S2000" s="74"/>
      <c r="T2000" s="74"/>
      <c r="U2000" s="74"/>
      <c r="V2000" s="74"/>
      <c r="W2000" s="74"/>
      <c r="X2000" s="74"/>
      <c r="Y2000" s="74"/>
      <c r="Z2000" s="74"/>
      <c r="AA2000" s="74"/>
      <c r="AB2000" s="74"/>
    </row>
    <row r="2001" spans="1:28" ht="12" customHeight="1">
      <c r="A2001" s="260"/>
      <c r="B2001" s="104"/>
      <c r="C2001" s="104"/>
      <c r="D2001" s="260"/>
      <c r="E2001" s="104"/>
      <c r="F2001" s="104"/>
      <c r="G2001" s="35"/>
      <c r="H2001" s="104"/>
      <c r="I2001" s="35"/>
      <c r="J2001" s="74"/>
      <c r="K2001" s="74"/>
      <c r="L2001" s="74"/>
      <c r="M2001" s="74"/>
      <c r="N2001" s="74"/>
      <c r="O2001" s="74"/>
      <c r="P2001" s="74"/>
      <c r="Q2001" s="74"/>
      <c r="R2001" s="74"/>
      <c r="S2001" s="74"/>
      <c r="T2001" s="74"/>
      <c r="U2001" s="74"/>
      <c r="V2001" s="74"/>
      <c r="W2001" s="74"/>
      <c r="X2001" s="74"/>
      <c r="Y2001" s="74"/>
      <c r="Z2001" s="74"/>
      <c r="AA2001" s="74"/>
      <c r="AB2001" s="74"/>
    </row>
    <row r="2002" spans="1:28" ht="12" customHeight="1">
      <c r="A2002" s="260"/>
      <c r="B2002" s="104"/>
      <c r="C2002" s="104"/>
      <c r="D2002" s="260"/>
      <c r="E2002" s="104"/>
      <c r="F2002" s="104"/>
      <c r="G2002" s="35"/>
      <c r="H2002" s="104"/>
      <c r="I2002" s="35"/>
      <c r="J2002" s="74"/>
      <c r="K2002" s="74"/>
      <c r="L2002" s="74"/>
      <c r="M2002" s="74"/>
      <c r="N2002" s="74"/>
      <c r="O2002" s="74"/>
      <c r="P2002" s="74"/>
      <c r="Q2002" s="74"/>
      <c r="R2002" s="74"/>
      <c r="S2002" s="74"/>
      <c r="T2002" s="74"/>
      <c r="U2002" s="74"/>
      <c r="V2002" s="74"/>
      <c r="W2002" s="74"/>
      <c r="X2002" s="74"/>
      <c r="Y2002" s="74"/>
      <c r="Z2002" s="74"/>
      <c r="AA2002" s="74"/>
      <c r="AB2002" s="74"/>
    </row>
    <row r="2003" spans="1:28" ht="12" customHeight="1">
      <c r="A2003" s="260"/>
      <c r="B2003" s="104"/>
      <c r="C2003" s="104"/>
      <c r="D2003" s="260"/>
      <c r="E2003" s="104"/>
      <c r="F2003" s="104"/>
      <c r="G2003" s="35"/>
      <c r="H2003" s="104"/>
      <c r="I2003" s="35"/>
      <c r="J2003" s="74"/>
      <c r="K2003" s="74"/>
      <c r="L2003" s="74"/>
      <c r="M2003" s="74"/>
      <c r="N2003" s="74"/>
      <c r="O2003" s="74"/>
      <c r="P2003" s="74"/>
      <c r="Q2003" s="74"/>
      <c r="R2003" s="74"/>
      <c r="S2003" s="74"/>
      <c r="T2003" s="74"/>
      <c r="U2003" s="74"/>
      <c r="V2003" s="74"/>
      <c r="W2003" s="74"/>
      <c r="X2003" s="74"/>
      <c r="Y2003" s="74"/>
      <c r="Z2003" s="74"/>
      <c r="AA2003" s="74"/>
      <c r="AB2003" s="74"/>
    </row>
    <row r="2004" spans="1:28" ht="12" customHeight="1">
      <c r="A2004" s="260"/>
      <c r="B2004" s="104"/>
      <c r="C2004" s="104"/>
      <c r="D2004" s="260"/>
      <c r="E2004" s="104"/>
      <c r="F2004" s="104"/>
      <c r="G2004" s="35"/>
      <c r="H2004" s="104"/>
      <c r="I2004" s="35"/>
      <c r="J2004" s="74"/>
      <c r="K2004" s="74"/>
      <c r="L2004" s="74"/>
      <c r="M2004" s="74"/>
      <c r="N2004" s="74"/>
      <c r="O2004" s="74"/>
      <c r="P2004" s="74"/>
      <c r="Q2004" s="74"/>
      <c r="R2004" s="74"/>
      <c r="S2004" s="74"/>
      <c r="T2004" s="74"/>
      <c r="U2004" s="74"/>
      <c r="V2004" s="74"/>
      <c r="W2004" s="74"/>
      <c r="X2004" s="74"/>
      <c r="Y2004" s="74"/>
      <c r="Z2004" s="74"/>
      <c r="AA2004" s="74"/>
      <c r="AB2004" s="74"/>
    </row>
    <row r="2005" spans="1:28" ht="12" customHeight="1">
      <c r="A2005" s="260"/>
      <c r="B2005" s="104"/>
      <c r="C2005" s="104"/>
      <c r="D2005" s="260"/>
      <c r="E2005" s="104"/>
      <c r="F2005" s="104"/>
      <c r="G2005" s="35"/>
      <c r="H2005" s="104"/>
      <c r="I2005" s="35"/>
      <c r="J2005" s="74"/>
      <c r="K2005" s="74"/>
      <c r="L2005" s="74"/>
      <c r="M2005" s="74"/>
      <c r="N2005" s="74"/>
      <c r="O2005" s="74"/>
      <c r="P2005" s="74"/>
      <c r="Q2005" s="74"/>
      <c r="R2005" s="74"/>
      <c r="S2005" s="74"/>
      <c r="T2005" s="74"/>
      <c r="U2005" s="74"/>
      <c r="V2005" s="74"/>
      <c r="W2005" s="74"/>
      <c r="X2005" s="74"/>
      <c r="Y2005" s="74"/>
      <c r="Z2005" s="74"/>
      <c r="AA2005" s="74"/>
      <c r="AB2005" s="74"/>
    </row>
    <row r="2006" spans="1:28" ht="12" customHeight="1">
      <c r="A2006" s="260"/>
      <c r="B2006" s="104"/>
      <c r="C2006" s="104"/>
      <c r="D2006" s="260"/>
      <c r="E2006" s="104"/>
      <c r="F2006" s="104"/>
      <c r="G2006" s="35"/>
      <c r="H2006" s="104"/>
      <c r="I2006" s="35"/>
      <c r="J2006" s="74"/>
      <c r="K2006" s="74"/>
      <c r="L2006" s="74"/>
      <c r="M2006" s="74"/>
      <c r="N2006" s="74"/>
      <c r="O2006" s="74"/>
      <c r="P2006" s="74"/>
      <c r="Q2006" s="74"/>
      <c r="R2006" s="74"/>
      <c r="S2006" s="74"/>
      <c r="T2006" s="74"/>
      <c r="U2006" s="74"/>
      <c r="V2006" s="74"/>
      <c r="W2006" s="74"/>
      <c r="X2006" s="74"/>
      <c r="Y2006" s="74"/>
      <c r="Z2006" s="74"/>
      <c r="AA2006" s="74"/>
      <c r="AB2006" s="74"/>
    </row>
    <row r="2007" spans="1:28" ht="12" customHeight="1">
      <c r="A2007" s="260"/>
      <c r="B2007" s="104"/>
      <c r="C2007" s="104"/>
      <c r="D2007" s="260"/>
      <c r="E2007" s="104"/>
      <c r="F2007" s="104"/>
      <c r="G2007" s="35"/>
      <c r="H2007" s="104"/>
      <c r="I2007" s="35"/>
      <c r="J2007" s="74"/>
      <c r="K2007" s="74"/>
      <c r="L2007" s="74"/>
      <c r="M2007" s="74"/>
      <c r="N2007" s="74"/>
      <c r="O2007" s="74"/>
      <c r="P2007" s="74"/>
      <c r="Q2007" s="74"/>
      <c r="R2007" s="74"/>
      <c r="S2007" s="74"/>
      <c r="T2007" s="74"/>
      <c r="U2007" s="74"/>
      <c r="V2007" s="74"/>
      <c r="W2007" s="74"/>
      <c r="X2007" s="74"/>
      <c r="Y2007" s="74"/>
      <c r="Z2007" s="74"/>
      <c r="AA2007" s="74"/>
      <c r="AB2007" s="74"/>
    </row>
    <row r="2008" spans="1:28" ht="12" customHeight="1">
      <c r="A2008" s="260"/>
      <c r="B2008" s="104"/>
      <c r="C2008" s="104"/>
      <c r="D2008" s="260"/>
      <c r="E2008" s="104"/>
      <c r="F2008" s="104"/>
      <c r="G2008" s="35"/>
      <c r="H2008" s="104"/>
      <c r="I2008" s="35"/>
      <c r="J2008" s="74"/>
      <c r="K2008" s="74"/>
      <c r="L2008" s="74"/>
      <c r="M2008" s="74"/>
      <c r="N2008" s="74"/>
      <c r="O2008" s="74"/>
      <c r="P2008" s="74"/>
      <c r="Q2008" s="74"/>
      <c r="R2008" s="74"/>
      <c r="S2008" s="74"/>
      <c r="T2008" s="74"/>
      <c r="U2008" s="74"/>
      <c r="V2008" s="74"/>
      <c r="W2008" s="74"/>
      <c r="X2008" s="74"/>
      <c r="Y2008" s="74"/>
      <c r="Z2008" s="74"/>
      <c r="AA2008" s="74"/>
      <c r="AB2008" s="74"/>
    </row>
    <row r="2009" spans="1:28" ht="12" customHeight="1">
      <c r="A2009" s="260"/>
      <c r="B2009" s="104"/>
      <c r="C2009" s="104"/>
      <c r="D2009" s="260"/>
      <c r="E2009" s="104"/>
      <c r="F2009" s="104"/>
      <c r="G2009" s="35"/>
      <c r="H2009" s="104"/>
      <c r="I2009" s="35"/>
      <c r="J2009" s="74"/>
      <c r="K2009" s="74"/>
      <c r="L2009" s="74"/>
      <c r="M2009" s="74"/>
      <c r="N2009" s="74"/>
      <c r="O2009" s="74"/>
      <c r="P2009" s="74"/>
      <c r="Q2009" s="74"/>
      <c r="R2009" s="74"/>
      <c r="S2009" s="74"/>
      <c r="T2009" s="74"/>
      <c r="U2009" s="74"/>
      <c r="V2009" s="74"/>
      <c r="W2009" s="74"/>
      <c r="X2009" s="74"/>
      <c r="Y2009" s="74"/>
      <c r="Z2009" s="74"/>
      <c r="AA2009" s="74"/>
      <c r="AB2009" s="74"/>
    </row>
    <row r="2010" spans="1:28" ht="12" customHeight="1">
      <c r="A2010" s="260"/>
      <c r="B2010" s="104"/>
      <c r="C2010" s="104"/>
      <c r="D2010" s="260"/>
      <c r="E2010" s="104"/>
      <c r="F2010" s="104"/>
      <c r="G2010" s="35"/>
      <c r="H2010" s="104"/>
      <c r="I2010" s="35"/>
      <c r="J2010" s="74"/>
      <c r="K2010" s="74"/>
      <c r="L2010" s="74"/>
      <c r="M2010" s="74"/>
      <c r="N2010" s="74"/>
      <c r="O2010" s="74"/>
      <c r="P2010" s="74"/>
      <c r="Q2010" s="74"/>
      <c r="R2010" s="74"/>
      <c r="S2010" s="74"/>
      <c r="T2010" s="74"/>
      <c r="U2010" s="74"/>
      <c r="V2010" s="74"/>
      <c r="W2010" s="74"/>
      <c r="X2010" s="74"/>
      <c r="Y2010" s="74"/>
      <c r="Z2010" s="74"/>
      <c r="AA2010" s="74"/>
      <c r="AB2010" s="74"/>
    </row>
    <row r="2011" spans="1:28" ht="12" customHeight="1">
      <c r="A2011" s="260"/>
      <c r="B2011" s="104"/>
      <c r="C2011" s="104"/>
      <c r="D2011" s="260"/>
      <c r="E2011" s="104"/>
      <c r="F2011" s="104"/>
      <c r="G2011" s="35"/>
      <c r="H2011" s="104"/>
      <c r="I2011" s="35"/>
      <c r="J2011" s="74"/>
      <c r="K2011" s="74"/>
      <c r="L2011" s="74"/>
      <c r="M2011" s="74"/>
      <c r="N2011" s="74"/>
      <c r="O2011" s="74"/>
      <c r="P2011" s="74"/>
      <c r="Q2011" s="74"/>
      <c r="R2011" s="74"/>
      <c r="S2011" s="74"/>
      <c r="T2011" s="74"/>
      <c r="U2011" s="74"/>
      <c r="V2011" s="74"/>
      <c r="W2011" s="74"/>
      <c r="X2011" s="74"/>
      <c r="Y2011" s="74"/>
      <c r="Z2011" s="74"/>
      <c r="AA2011" s="74"/>
      <c r="AB2011" s="74"/>
    </row>
    <row r="2012" spans="1:28" ht="12" customHeight="1">
      <c r="A2012" s="260"/>
      <c r="B2012" s="104"/>
      <c r="C2012" s="104"/>
      <c r="D2012" s="260"/>
      <c r="E2012" s="104"/>
      <c r="F2012" s="104"/>
      <c r="G2012" s="35"/>
      <c r="H2012" s="104"/>
      <c r="I2012" s="35"/>
      <c r="J2012" s="74"/>
      <c r="K2012" s="74"/>
      <c r="L2012" s="74"/>
      <c r="M2012" s="74"/>
      <c r="N2012" s="74"/>
      <c r="O2012" s="74"/>
      <c r="P2012" s="74"/>
      <c r="Q2012" s="74"/>
      <c r="R2012" s="74"/>
      <c r="S2012" s="74"/>
      <c r="T2012" s="74"/>
      <c r="U2012" s="74"/>
      <c r="V2012" s="74"/>
      <c r="W2012" s="74"/>
      <c r="X2012" s="74"/>
      <c r="Y2012" s="74"/>
      <c r="Z2012" s="74"/>
      <c r="AA2012" s="74"/>
      <c r="AB2012" s="74"/>
    </row>
    <row r="2013" spans="1:28" ht="12" customHeight="1">
      <c r="A2013" s="260"/>
      <c r="B2013" s="104"/>
      <c r="C2013" s="104"/>
      <c r="D2013" s="260"/>
      <c r="E2013" s="104"/>
      <c r="F2013" s="104"/>
      <c r="G2013" s="35"/>
      <c r="H2013" s="104"/>
      <c r="I2013" s="35"/>
      <c r="J2013" s="74"/>
      <c r="K2013" s="74"/>
      <c r="L2013" s="74"/>
      <c r="M2013" s="74"/>
      <c r="N2013" s="74"/>
      <c r="O2013" s="74"/>
      <c r="P2013" s="74"/>
      <c r="Q2013" s="74"/>
      <c r="R2013" s="74"/>
      <c r="S2013" s="74"/>
      <c r="T2013" s="74"/>
      <c r="U2013" s="74"/>
      <c r="V2013" s="74"/>
      <c r="W2013" s="74"/>
      <c r="X2013" s="74"/>
      <c r="Y2013" s="74"/>
      <c r="Z2013" s="74"/>
      <c r="AA2013" s="74"/>
      <c r="AB2013" s="74"/>
    </row>
    <row r="2014" spans="1:28" ht="12" customHeight="1">
      <c r="A2014" s="260"/>
      <c r="B2014" s="104"/>
      <c r="C2014" s="104"/>
      <c r="D2014" s="260"/>
      <c r="E2014" s="104"/>
      <c r="F2014" s="104"/>
      <c r="G2014" s="35"/>
      <c r="H2014" s="104"/>
      <c r="I2014" s="35"/>
      <c r="J2014" s="74"/>
      <c r="K2014" s="74"/>
      <c r="L2014" s="74"/>
      <c r="M2014" s="74"/>
      <c r="N2014" s="74"/>
      <c r="O2014" s="74"/>
      <c r="P2014" s="74"/>
      <c r="Q2014" s="74"/>
      <c r="R2014" s="74"/>
      <c r="S2014" s="74"/>
      <c r="T2014" s="74"/>
      <c r="U2014" s="74"/>
      <c r="V2014" s="74"/>
      <c r="W2014" s="74"/>
      <c r="X2014" s="74"/>
      <c r="Y2014" s="74"/>
      <c r="Z2014" s="74"/>
      <c r="AA2014" s="74"/>
      <c r="AB2014" s="74"/>
    </row>
    <row r="2015" spans="1:28" ht="12" customHeight="1">
      <c r="A2015" s="260"/>
      <c r="B2015" s="104"/>
      <c r="C2015" s="104"/>
      <c r="D2015" s="260"/>
      <c r="E2015" s="104"/>
      <c r="F2015" s="104"/>
      <c r="G2015" s="35"/>
      <c r="H2015" s="104"/>
      <c r="I2015" s="35"/>
      <c r="J2015" s="74"/>
      <c r="K2015" s="74"/>
      <c r="L2015" s="74"/>
      <c r="M2015" s="74"/>
      <c r="N2015" s="74"/>
      <c r="O2015" s="74"/>
      <c r="P2015" s="74"/>
      <c r="Q2015" s="74"/>
      <c r="R2015" s="74"/>
      <c r="S2015" s="74"/>
      <c r="T2015" s="74"/>
      <c r="U2015" s="74"/>
      <c r="V2015" s="74"/>
      <c r="W2015" s="74"/>
      <c r="X2015" s="74"/>
      <c r="Y2015" s="74"/>
      <c r="Z2015" s="74"/>
      <c r="AA2015" s="74"/>
      <c r="AB2015" s="74"/>
    </row>
    <row r="2016" spans="1:28" ht="12" customHeight="1">
      <c r="A2016" s="260"/>
      <c r="B2016" s="104"/>
      <c r="C2016" s="104"/>
      <c r="D2016" s="260"/>
      <c r="E2016" s="104"/>
      <c r="F2016" s="104"/>
      <c r="G2016" s="35"/>
      <c r="H2016" s="104"/>
      <c r="I2016" s="35"/>
      <c r="J2016" s="74"/>
      <c r="K2016" s="74"/>
      <c r="L2016" s="74"/>
      <c r="M2016" s="74"/>
      <c r="N2016" s="74"/>
      <c r="O2016" s="74"/>
      <c r="P2016" s="74"/>
      <c r="Q2016" s="74"/>
      <c r="R2016" s="74"/>
      <c r="S2016" s="74"/>
      <c r="T2016" s="74"/>
      <c r="U2016" s="74"/>
      <c r="V2016" s="74"/>
      <c r="W2016" s="74"/>
      <c r="X2016" s="74"/>
      <c r="Y2016" s="74"/>
      <c r="Z2016" s="74"/>
      <c r="AA2016" s="74"/>
      <c r="AB2016" s="74"/>
    </row>
    <row r="2017" spans="1:28" ht="12" customHeight="1">
      <c r="A2017" s="260"/>
      <c r="B2017" s="104"/>
      <c r="C2017" s="104"/>
      <c r="D2017" s="260"/>
      <c r="E2017" s="104"/>
      <c r="F2017" s="104"/>
      <c r="G2017" s="35"/>
      <c r="H2017" s="104"/>
      <c r="I2017" s="35"/>
      <c r="J2017" s="74"/>
      <c r="K2017" s="74"/>
      <c r="L2017" s="74"/>
      <c r="M2017" s="74"/>
      <c r="N2017" s="74"/>
      <c r="O2017" s="74"/>
      <c r="P2017" s="74"/>
      <c r="Q2017" s="74"/>
      <c r="R2017" s="74"/>
      <c r="S2017" s="74"/>
      <c r="T2017" s="74"/>
      <c r="U2017" s="74"/>
      <c r="V2017" s="74"/>
      <c r="W2017" s="74"/>
      <c r="X2017" s="74"/>
      <c r="Y2017" s="74"/>
      <c r="Z2017" s="74"/>
      <c r="AA2017" s="74"/>
      <c r="AB2017" s="74"/>
    </row>
    <row r="2018" spans="1:28" ht="12" customHeight="1">
      <c r="A2018" s="260"/>
      <c r="B2018" s="104"/>
      <c r="C2018" s="104"/>
      <c r="D2018" s="260"/>
      <c r="E2018" s="104"/>
      <c r="F2018" s="104"/>
      <c r="G2018" s="35"/>
      <c r="H2018" s="104"/>
      <c r="I2018" s="35"/>
      <c r="J2018" s="74"/>
      <c r="K2018" s="74"/>
      <c r="L2018" s="74"/>
      <c r="M2018" s="74"/>
      <c r="N2018" s="74"/>
      <c r="O2018" s="74"/>
      <c r="P2018" s="74"/>
      <c r="Q2018" s="74"/>
      <c r="R2018" s="74"/>
      <c r="S2018" s="74"/>
      <c r="T2018" s="74"/>
      <c r="U2018" s="74"/>
      <c r="V2018" s="74"/>
      <c r="W2018" s="74"/>
      <c r="X2018" s="74"/>
      <c r="Y2018" s="74"/>
      <c r="Z2018" s="74"/>
      <c r="AA2018" s="74"/>
      <c r="AB2018" s="74"/>
    </row>
    <row r="2019" spans="1:28" ht="12" customHeight="1">
      <c r="A2019" s="260"/>
      <c r="B2019" s="104"/>
      <c r="C2019" s="104"/>
      <c r="D2019" s="260"/>
      <c r="E2019" s="104"/>
      <c r="F2019" s="104"/>
      <c r="G2019" s="35"/>
      <c r="H2019" s="104"/>
      <c r="I2019" s="35"/>
      <c r="J2019" s="74"/>
      <c r="K2019" s="74"/>
      <c r="L2019" s="74"/>
      <c r="M2019" s="74"/>
      <c r="N2019" s="74"/>
      <c r="O2019" s="74"/>
      <c r="P2019" s="74"/>
      <c r="Q2019" s="74"/>
      <c r="R2019" s="74"/>
      <c r="S2019" s="74"/>
      <c r="T2019" s="74"/>
      <c r="U2019" s="74"/>
      <c r="V2019" s="74"/>
      <c r="W2019" s="74"/>
      <c r="X2019" s="74"/>
      <c r="Y2019" s="74"/>
      <c r="Z2019" s="74"/>
      <c r="AA2019" s="74"/>
      <c r="AB2019" s="74"/>
    </row>
    <row r="2020" spans="1:28" ht="12" customHeight="1">
      <c r="A2020" s="260"/>
      <c r="B2020" s="104"/>
      <c r="C2020" s="104"/>
      <c r="D2020" s="260"/>
      <c r="E2020" s="104"/>
      <c r="F2020" s="104"/>
      <c r="G2020" s="35"/>
      <c r="H2020" s="104"/>
      <c r="I2020" s="35"/>
      <c r="J2020" s="74"/>
      <c r="K2020" s="74"/>
      <c r="L2020" s="74"/>
      <c r="M2020" s="74"/>
      <c r="N2020" s="74"/>
      <c r="O2020" s="74"/>
      <c r="P2020" s="74"/>
      <c r="Q2020" s="74"/>
      <c r="R2020" s="74"/>
      <c r="S2020" s="74"/>
      <c r="T2020" s="74"/>
      <c r="U2020" s="74"/>
      <c r="V2020" s="74"/>
      <c r="W2020" s="74"/>
      <c r="X2020" s="74"/>
      <c r="Y2020" s="74"/>
      <c r="Z2020" s="74"/>
      <c r="AA2020" s="74"/>
      <c r="AB2020" s="74"/>
    </row>
    <row r="2021" spans="1:28" ht="12" customHeight="1">
      <c r="A2021" s="260"/>
      <c r="B2021" s="104"/>
      <c r="C2021" s="104"/>
      <c r="D2021" s="260"/>
      <c r="E2021" s="104"/>
      <c r="F2021" s="104"/>
      <c r="G2021" s="35"/>
      <c r="H2021" s="104"/>
      <c r="I2021" s="35"/>
      <c r="J2021" s="74"/>
      <c r="K2021" s="74"/>
      <c r="L2021" s="74"/>
      <c r="M2021" s="74"/>
      <c r="N2021" s="74"/>
      <c r="O2021" s="74"/>
      <c r="P2021" s="74"/>
      <c r="Q2021" s="74"/>
      <c r="R2021" s="74"/>
      <c r="S2021" s="74"/>
      <c r="T2021" s="74"/>
      <c r="U2021" s="74"/>
      <c r="V2021" s="74"/>
      <c r="W2021" s="74"/>
      <c r="X2021" s="74"/>
      <c r="Y2021" s="74"/>
      <c r="Z2021" s="74"/>
      <c r="AA2021" s="74"/>
      <c r="AB2021" s="74"/>
    </row>
    <row r="2022" spans="1:28" ht="12" customHeight="1">
      <c r="A2022" s="260"/>
      <c r="B2022" s="104"/>
      <c r="C2022" s="104"/>
      <c r="D2022" s="260"/>
      <c r="E2022" s="104"/>
      <c r="F2022" s="104"/>
      <c r="G2022" s="35"/>
      <c r="H2022" s="104"/>
      <c r="I2022" s="35"/>
      <c r="J2022" s="74"/>
      <c r="K2022" s="74"/>
      <c r="L2022" s="74"/>
      <c r="M2022" s="74"/>
      <c r="N2022" s="74"/>
      <c r="O2022" s="74"/>
      <c r="P2022" s="74"/>
      <c r="Q2022" s="74"/>
      <c r="R2022" s="74"/>
      <c r="S2022" s="74"/>
      <c r="T2022" s="74"/>
      <c r="U2022" s="74"/>
      <c r="V2022" s="74"/>
      <c r="W2022" s="74"/>
      <c r="X2022" s="74"/>
      <c r="Y2022" s="74"/>
      <c r="Z2022" s="74"/>
      <c r="AA2022" s="74"/>
      <c r="AB2022" s="74"/>
    </row>
    <row r="2023" spans="1:28" ht="12" customHeight="1">
      <c r="A2023" s="260"/>
      <c r="B2023" s="104"/>
      <c r="C2023" s="104"/>
      <c r="D2023" s="260"/>
      <c r="E2023" s="104"/>
      <c r="F2023" s="104"/>
      <c r="G2023" s="35"/>
      <c r="H2023" s="104"/>
      <c r="I2023" s="35"/>
      <c r="J2023" s="74"/>
      <c r="K2023" s="74"/>
      <c r="L2023" s="74"/>
      <c r="M2023" s="74"/>
      <c r="N2023" s="74"/>
      <c r="O2023" s="74"/>
      <c r="P2023" s="74"/>
      <c r="Q2023" s="74"/>
      <c r="R2023" s="74"/>
      <c r="S2023" s="74"/>
      <c r="T2023" s="74"/>
      <c r="U2023" s="74"/>
      <c r="V2023" s="74"/>
      <c r="W2023" s="74"/>
      <c r="X2023" s="74"/>
      <c r="Y2023" s="74"/>
      <c r="Z2023" s="74"/>
      <c r="AA2023" s="74"/>
      <c r="AB2023" s="74"/>
    </row>
    <row r="2024" spans="1:28" ht="12" customHeight="1">
      <c r="A2024" s="260"/>
      <c r="B2024" s="104"/>
      <c r="C2024" s="104"/>
      <c r="D2024" s="260"/>
      <c r="E2024" s="104"/>
      <c r="F2024" s="104"/>
      <c r="G2024" s="35"/>
      <c r="H2024" s="104"/>
      <c r="I2024" s="35"/>
      <c r="J2024" s="74"/>
      <c r="K2024" s="74"/>
      <c r="L2024" s="74"/>
      <c r="M2024" s="74"/>
      <c r="N2024" s="74"/>
      <c r="O2024" s="74"/>
      <c r="P2024" s="74"/>
      <c r="Q2024" s="74"/>
      <c r="R2024" s="74"/>
      <c r="S2024" s="74"/>
      <c r="T2024" s="74"/>
      <c r="U2024" s="74"/>
      <c r="V2024" s="74"/>
      <c r="W2024" s="74"/>
      <c r="X2024" s="74"/>
      <c r="Y2024" s="74"/>
      <c r="Z2024" s="74"/>
      <c r="AA2024" s="74"/>
      <c r="AB2024" s="74"/>
    </row>
    <row r="2025" spans="1:28" ht="12" customHeight="1">
      <c r="A2025" s="260"/>
      <c r="B2025" s="104"/>
      <c r="C2025" s="104"/>
      <c r="D2025" s="260"/>
      <c r="E2025" s="104"/>
      <c r="F2025" s="104"/>
      <c r="G2025" s="35"/>
      <c r="H2025" s="104"/>
      <c r="I2025" s="35"/>
      <c r="J2025" s="74"/>
      <c r="K2025" s="74"/>
      <c r="L2025" s="74"/>
      <c r="M2025" s="74"/>
      <c r="N2025" s="74"/>
      <c r="O2025" s="74"/>
      <c r="P2025" s="74"/>
      <c r="Q2025" s="74"/>
      <c r="R2025" s="74"/>
      <c r="S2025" s="74"/>
      <c r="T2025" s="74"/>
      <c r="U2025" s="74"/>
      <c r="V2025" s="74"/>
      <c r="W2025" s="74"/>
      <c r="X2025" s="74"/>
      <c r="Y2025" s="74"/>
      <c r="Z2025" s="74"/>
      <c r="AA2025" s="74"/>
      <c r="AB2025" s="74"/>
    </row>
    <row r="2026" spans="1:28" ht="12" customHeight="1">
      <c r="A2026" s="260"/>
      <c r="B2026" s="104"/>
      <c r="C2026" s="104"/>
      <c r="D2026" s="260"/>
      <c r="E2026" s="104"/>
      <c r="F2026" s="104"/>
      <c r="G2026" s="35"/>
      <c r="H2026" s="104"/>
      <c r="I2026" s="35"/>
      <c r="J2026" s="74"/>
      <c r="K2026" s="74"/>
      <c r="L2026" s="74"/>
      <c r="M2026" s="74"/>
      <c r="N2026" s="74"/>
      <c r="O2026" s="74"/>
      <c r="P2026" s="74"/>
      <c r="Q2026" s="74"/>
      <c r="R2026" s="74"/>
      <c r="S2026" s="74"/>
      <c r="T2026" s="74"/>
      <c r="U2026" s="74"/>
      <c r="V2026" s="74"/>
      <c r="W2026" s="74"/>
      <c r="X2026" s="74"/>
      <c r="Y2026" s="74"/>
      <c r="Z2026" s="74"/>
      <c r="AA2026" s="74"/>
      <c r="AB2026" s="74"/>
    </row>
    <row r="2027" spans="1:28" ht="12" customHeight="1">
      <c r="A2027" s="260"/>
      <c r="B2027" s="104"/>
      <c r="C2027" s="104"/>
      <c r="D2027" s="260"/>
      <c r="E2027" s="104"/>
      <c r="F2027" s="104"/>
      <c r="G2027" s="35"/>
      <c r="H2027" s="104"/>
      <c r="I2027" s="35"/>
      <c r="J2027" s="74"/>
      <c r="K2027" s="74"/>
      <c r="L2027" s="74"/>
      <c r="M2027" s="74"/>
      <c r="N2027" s="74"/>
      <c r="O2027" s="74"/>
      <c r="P2027" s="74"/>
      <c r="Q2027" s="74"/>
      <c r="R2027" s="74"/>
      <c r="S2027" s="74"/>
      <c r="T2027" s="74"/>
      <c r="U2027" s="74"/>
      <c r="V2027" s="74"/>
      <c r="W2027" s="74"/>
      <c r="X2027" s="74"/>
      <c r="Y2027" s="74"/>
      <c r="Z2027" s="74"/>
      <c r="AA2027" s="74"/>
      <c r="AB2027" s="74"/>
    </row>
    <row r="2028" spans="1:28" ht="12" customHeight="1">
      <c r="A2028" s="260"/>
      <c r="B2028" s="104"/>
      <c r="C2028" s="104"/>
      <c r="D2028" s="260"/>
      <c r="E2028" s="104"/>
      <c r="F2028" s="104"/>
      <c r="G2028" s="35"/>
      <c r="H2028" s="104"/>
      <c r="I2028" s="35"/>
      <c r="J2028" s="74"/>
      <c r="K2028" s="74"/>
      <c r="L2028" s="74"/>
      <c r="M2028" s="74"/>
      <c r="N2028" s="74"/>
      <c r="O2028" s="74"/>
      <c r="P2028" s="74"/>
      <c r="Q2028" s="74"/>
      <c r="R2028" s="74"/>
      <c r="S2028" s="74"/>
      <c r="T2028" s="74"/>
      <c r="U2028" s="74"/>
      <c r="V2028" s="74"/>
      <c r="W2028" s="74"/>
      <c r="X2028" s="74"/>
      <c r="Y2028" s="74"/>
      <c r="Z2028" s="74"/>
      <c r="AA2028" s="74"/>
      <c r="AB2028" s="74"/>
    </row>
    <row r="2029" spans="1:28" ht="12" customHeight="1">
      <c r="A2029" s="260"/>
      <c r="B2029" s="104"/>
      <c r="C2029" s="104"/>
      <c r="D2029" s="260"/>
      <c r="E2029" s="104"/>
      <c r="F2029" s="104"/>
      <c r="G2029" s="35"/>
      <c r="H2029" s="104"/>
      <c r="I2029" s="35"/>
      <c r="J2029" s="74"/>
      <c r="K2029" s="74"/>
      <c r="L2029" s="74"/>
      <c r="M2029" s="74"/>
      <c r="N2029" s="74"/>
      <c r="O2029" s="74"/>
      <c r="P2029" s="74"/>
      <c r="Q2029" s="74"/>
      <c r="R2029" s="74"/>
      <c r="S2029" s="74"/>
      <c r="T2029" s="74"/>
      <c r="U2029" s="74"/>
      <c r="V2029" s="74"/>
      <c r="W2029" s="74"/>
      <c r="X2029" s="74"/>
      <c r="Y2029" s="74"/>
      <c r="Z2029" s="74"/>
      <c r="AA2029" s="74"/>
      <c r="AB2029" s="74"/>
    </row>
    <row r="2030" spans="1:28" ht="12" customHeight="1">
      <c r="A2030" s="260"/>
      <c r="B2030" s="104"/>
      <c r="C2030" s="104"/>
      <c r="D2030" s="260"/>
      <c r="E2030" s="104"/>
      <c r="F2030" s="104"/>
      <c r="G2030" s="35"/>
      <c r="H2030" s="104"/>
      <c r="I2030" s="35"/>
      <c r="J2030" s="74"/>
      <c r="K2030" s="74"/>
      <c r="L2030" s="74"/>
      <c r="M2030" s="74"/>
      <c r="N2030" s="74"/>
      <c r="O2030" s="74"/>
      <c r="P2030" s="74"/>
      <c r="Q2030" s="74"/>
      <c r="R2030" s="74"/>
      <c r="S2030" s="74"/>
      <c r="T2030" s="74"/>
      <c r="U2030" s="74"/>
      <c r="V2030" s="74"/>
      <c r="W2030" s="74"/>
      <c r="X2030" s="74"/>
      <c r="Y2030" s="74"/>
      <c r="Z2030" s="74"/>
      <c r="AA2030" s="74"/>
      <c r="AB2030" s="74"/>
    </row>
    <row r="2031" spans="1:28" ht="12" customHeight="1">
      <c r="A2031" s="260"/>
      <c r="B2031" s="104"/>
      <c r="C2031" s="104"/>
      <c r="D2031" s="260"/>
      <c r="E2031" s="104"/>
      <c r="F2031" s="104"/>
      <c r="G2031" s="35"/>
      <c r="H2031" s="104"/>
      <c r="I2031" s="35"/>
      <c r="J2031" s="74"/>
      <c r="K2031" s="74"/>
      <c r="L2031" s="74"/>
      <c r="M2031" s="74"/>
      <c r="N2031" s="74"/>
      <c r="O2031" s="74"/>
      <c r="P2031" s="74"/>
      <c r="Q2031" s="74"/>
      <c r="R2031" s="74"/>
      <c r="S2031" s="74"/>
      <c r="T2031" s="74"/>
      <c r="U2031" s="74"/>
      <c r="V2031" s="74"/>
      <c r="W2031" s="74"/>
      <c r="X2031" s="74"/>
      <c r="Y2031" s="74"/>
      <c r="Z2031" s="74"/>
      <c r="AA2031" s="74"/>
      <c r="AB2031" s="74"/>
    </row>
    <row r="2032" spans="1:28" ht="12" customHeight="1">
      <c r="A2032" s="260"/>
      <c r="B2032" s="104"/>
      <c r="C2032" s="104"/>
      <c r="D2032" s="260"/>
      <c r="E2032" s="104"/>
      <c r="F2032" s="104"/>
      <c r="G2032" s="35"/>
      <c r="H2032" s="104"/>
      <c r="I2032" s="35"/>
      <c r="J2032" s="74"/>
      <c r="K2032" s="74"/>
      <c r="L2032" s="74"/>
      <c r="M2032" s="74"/>
      <c r="N2032" s="74"/>
      <c r="O2032" s="74"/>
      <c r="P2032" s="74"/>
      <c r="Q2032" s="74"/>
      <c r="R2032" s="74"/>
      <c r="S2032" s="74"/>
      <c r="T2032" s="74"/>
      <c r="U2032" s="74"/>
      <c r="V2032" s="74"/>
      <c r="W2032" s="74"/>
      <c r="X2032" s="74"/>
      <c r="Y2032" s="74"/>
      <c r="Z2032" s="74"/>
      <c r="AA2032" s="74"/>
      <c r="AB2032" s="74"/>
    </row>
    <row r="2033" spans="1:28" ht="12" customHeight="1">
      <c r="A2033" s="260"/>
      <c r="B2033" s="104"/>
      <c r="C2033" s="104"/>
      <c r="D2033" s="260"/>
      <c r="E2033" s="104"/>
      <c r="F2033" s="104"/>
      <c r="G2033" s="35"/>
      <c r="H2033" s="104"/>
      <c r="I2033" s="35"/>
      <c r="J2033" s="74"/>
      <c r="K2033" s="74"/>
      <c r="L2033" s="74"/>
      <c r="M2033" s="74"/>
      <c r="N2033" s="74"/>
      <c r="O2033" s="74"/>
      <c r="P2033" s="74"/>
      <c r="Q2033" s="74"/>
      <c r="R2033" s="74"/>
      <c r="S2033" s="74"/>
      <c r="T2033" s="74"/>
      <c r="U2033" s="74"/>
      <c r="V2033" s="74"/>
      <c r="W2033" s="74"/>
      <c r="X2033" s="74"/>
      <c r="Y2033" s="74"/>
      <c r="Z2033" s="74"/>
      <c r="AA2033" s="74"/>
      <c r="AB2033" s="74"/>
    </row>
    <row r="2034" spans="1:28" ht="12" customHeight="1">
      <c r="A2034" s="260"/>
      <c r="B2034" s="104"/>
      <c r="C2034" s="104"/>
      <c r="D2034" s="260"/>
      <c r="E2034" s="104"/>
      <c r="F2034" s="104"/>
      <c r="G2034" s="35"/>
      <c r="H2034" s="104"/>
      <c r="I2034" s="35"/>
      <c r="J2034" s="74"/>
      <c r="K2034" s="74"/>
      <c r="L2034" s="74"/>
      <c r="M2034" s="74"/>
      <c r="N2034" s="74"/>
      <c r="O2034" s="74"/>
      <c r="P2034" s="74"/>
      <c r="Q2034" s="74"/>
      <c r="R2034" s="74"/>
      <c r="S2034" s="74"/>
      <c r="T2034" s="74"/>
      <c r="U2034" s="74"/>
      <c r="V2034" s="74"/>
      <c r="W2034" s="74"/>
      <c r="X2034" s="74"/>
      <c r="Y2034" s="74"/>
      <c r="Z2034" s="74"/>
      <c r="AA2034" s="74"/>
      <c r="AB2034" s="74"/>
    </row>
    <row r="2035" spans="1:28" ht="12" customHeight="1">
      <c r="A2035" s="260"/>
      <c r="B2035" s="104"/>
      <c r="C2035" s="104"/>
      <c r="D2035" s="260"/>
      <c r="E2035" s="104"/>
      <c r="F2035" s="104"/>
      <c r="G2035" s="35"/>
      <c r="H2035" s="104"/>
      <c r="I2035" s="35"/>
      <c r="J2035" s="74"/>
      <c r="K2035" s="74"/>
      <c r="L2035" s="74"/>
      <c r="M2035" s="74"/>
      <c r="N2035" s="74"/>
      <c r="O2035" s="74"/>
      <c r="P2035" s="74"/>
      <c r="Q2035" s="74"/>
      <c r="R2035" s="74"/>
      <c r="S2035" s="74"/>
      <c r="T2035" s="74"/>
      <c r="U2035" s="74"/>
      <c r="V2035" s="74"/>
      <c r="W2035" s="74"/>
      <c r="X2035" s="74"/>
      <c r="Y2035" s="74"/>
      <c r="Z2035" s="74"/>
      <c r="AA2035" s="74"/>
      <c r="AB2035" s="74"/>
    </row>
    <row r="2036" spans="1:28" ht="12" customHeight="1">
      <c r="A2036" s="260"/>
      <c r="B2036" s="104"/>
      <c r="C2036" s="104"/>
      <c r="D2036" s="260"/>
      <c r="E2036" s="104"/>
      <c r="F2036" s="104"/>
      <c r="G2036" s="35"/>
      <c r="H2036" s="104"/>
      <c r="I2036" s="35"/>
      <c r="J2036" s="74"/>
      <c r="K2036" s="74"/>
      <c r="L2036" s="74"/>
      <c r="M2036" s="74"/>
      <c r="N2036" s="74"/>
      <c r="O2036" s="74"/>
      <c r="P2036" s="74"/>
      <c r="Q2036" s="74"/>
      <c r="R2036" s="74"/>
      <c r="S2036" s="74"/>
      <c r="T2036" s="74"/>
      <c r="U2036" s="74"/>
      <c r="V2036" s="74"/>
      <c r="W2036" s="74"/>
      <c r="X2036" s="74"/>
      <c r="Y2036" s="74"/>
      <c r="Z2036" s="74"/>
      <c r="AA2036" s="74"/>
      <c r="AB2036" s="74"/>
    </row>
    <row r="2037" spans="1:28" ht="12" customHeight="1">
      <c r="A2037" s="260"/>
      <c r="B2037" s="104"/>
      <c r="C2037" s="104"/>
      <c r="D2037" s="260"/>
      <c r="E2037" s="104"/>
      <c r="F2037" s="104"/>
      <c r="G2037" s="35"/>
      <c r="H2037" s="104"/>
      <c r="I2037" s="35"/>
      <c r="J2037" s="74"/>
      <c r="K2037" s="74"/>
      <c r="L2037" s="74"/>
      <c r="M2037" s="74"/>
      <c r="N2037" s="74"/>
      <c r="O2037" s="74"/>
      <c r="P2037" s="74"/>
      <c r="Q2037" s="74"/>
      <c r="R2037" s="74"/>
      <c r="S2037" s="74"/>
      <c r="T2037" s="74"/>
      <c r="U2037" s="74"/>
      <c r="V2037" s="74"/>
      <c r="W2037" s="74"/>
      <c r="X2037" s="74"/>
      <c r="Y2037" s="74"/>
      <c r="Z2037" s="74"/>
      <c r="AA2037" s="74"/>
      <c r="AB2037" s="74"/>
    </row>
    <row r="2038" spans="1:28" ht="12" customHeight="1">
      <c r="A2038" s="260"/>
      <c r="B2038" s="104"/>
      <c r="C2038" s="104"/>
      <c r="D2038" s="260"/>
      <c r="E2038" s="104"/>
      <c r="F2038" s="104"/>
      <c r="G2038" s="35"/>
      <c r="H2038" s="104"/>
      <c r="I2038" s="35"/>
      <c r="J2038" s="74"/>
      <c r="K2038" s="74"/>
      <c r="L2038" s="74"/>
      <c r="M2038" s="74"/>
      <c r="N2038" s="74"/>
      <c r="O2038" s="74"/>
      <c r="P2038" s="74"/>
      <c r="Q2038" s="74"/>
      <c r="R2038" s="74"/>
      <c r="S2038" s="74"/>
      <c r="T2038" s="74"/>
      <c r="U2038" s="74"/>
      <c r="V2038" s="74"/>
      <c r="W2038" s="74"/>
      <c r="X2038" s="74"/>
      <c r="Y2038" s="74"/>
      <c r="Z2038" s="74"/>
      <c r="AA2038" s="74"/>
      <c r="AB2038" s="74"/>
    </row>
    <row r="2039" spans="1:28" ht="12" customHeight="1">
      <c r="A2039" s="260"/>
      <c r="B2039" s="104"/>
      <c r="C2039" s="104"/>
      <c r="D2039" s="260"/>
      <c r="E2039" s="104"/>
      <c r="F2039" s="104"/>
      <c r="G2039" s="35"/>
      <c r="H2039" s="104"/>
      <c r="I2039" s="35"/>
      <c r="J2039" s="74"/>
      <c r="K2039" s="74"/>
      <c r="L2039" s="74"/>
      <c r="M2039" s="74"/>
      <c r="N2039" s="74"/>
      <c r="O2039" s="74"/>
      <c r="P2039" s="74"/>
      <c r="Q2039" s="74"/>
      <c r="R2039" s="74"/>
      <c r="S2039" s="74"/>
      <c r="T2039" s="74"/>
      <c r="U2039" s="74"/>
      <c r="V2039" s="74"/>
      <c r="W2039" s="74"/>
      <c r="X2039" s="74"/>
      <c r="Y2039" s="74"/>
      <c r="Z2039" s="74"/>
      <c r="AA2039" s="74"/>
      <c r="AB2039" s="74"/>
    </row>
    <row r="2040" spans="1:28" ht="12" customHeight="1">
      <c r="A2040" s="260"/>
      <c r="B2040" s="104"/>
      <c r="C2040" s="104"/>
      <c r="D2040" s="260"/>
      <c r="E2040" s="104"/>
      <c r="F2040" s="104"/>
      <c r="G2040" s="35"/>
      <c r="H2040" s="104"/>
      <c r="I2040" s="35"/>
      <c r="J2040" s="74"/>
      <c r="K2040" s="74"/>
      <c r="L2040" s="74"/>
      <c r="M2040" s="74"/>
      <c r="N2040" s="74"/>
      <c r="O2040" s="74"/>
      <c r="P2040" s="74"/>
      <c r="Q2040" s="74"/>
      <c r="R2040" s="74"/>
      <c r="S2040" s="74"/>
      <c r="T2040" s="74"/>
      <c r="U2040" s="74"/>
      <c r="V2040" s="74"/>
      <c r="W2040" s="74"/>
      <c r="X2040" s="74"/>
      <c r="Y2040" s="74"/>
      <c r="Z2040" s="74"/>
      <c r="AA2040" s="74"/>
      <c r="AB2040" s="74"/>
    </row>
    <row r="2041" spans="1:28" ht="12" customHeight="1">
      <c r="A2041" s="260"/>
      <c r="B2041" s="104"/>
      <c r="C2041" s="104"/>
      <c r="D2041" s="260"/>
      <c r="E2041" s="104"/>
      <c r="F2041" s="104"/>
      <c r="G2041" s="35"/>
      <c r="H2041" s="104"/>
      <c r="I2041" s="35"/>
      <c r="J2041" s="74"/>
      <c r="K2041" s="74"/>
      <c r="L2041" s="74"/>
      <c r="M2041" s="74"/>
      <c r="N2041" s="74"/>
      <c r="O2041" s="74"/>
      <c r="P2041" s="74"/>
      <c r="Q2041" s="74"/>
      <c r="R2041" s="74"/>
      <c r="S2041" s="74"/>
      <c r="T2041" s="74"/>
      <c r="U2041" s="74"/>
      <c r="V2041" s="74"/>
      <c r="W2041" s="74"/>
      <c r="X2041" s="74"/>
      <c r="Y2041" s="74"/>
      <c r="Z2041" s="74"/>
      <c r="AA2041" s="74"/>
      <c r="AB2041" s="74"/>
    </row>
    <row r="2042" spans="1:28" ht="12" customHeight="1">
      <c r="A2042" s="260"/>
      <c r="B2042" s="104"/>
      <c r="C2042" s="104"/>
      <c r="D2042" s="260"/>
      <c r="E2042" s="104"/>
      <c r="F2042" s="104"/>
      <c r="G2042" s="35"/>
      <c r="H2042" s="104"/>
      <c r="I2042" s="35"/>
      <c r="J2042" s="74"/>
      <c r="K2042" s="74"/>
      <c r="L2042" s="74"/>
      <c r="M2042" s="74"/>
      <c r="N2042" s="74"/>
      <c r="O2042" s="74"/>
      <c r="P2042" s="74"/>
      <c r="Q2042" s="74"/>
      <c r="R2042" s="74"/>
      <c r="S2042" s="74"/>
      <c r="T2042" s="74"/>
      <c r="U2042" s="74"/>
      <c r="V2042" s="74"/>
      <c r="W2042" s="74"/>
      <c r="X2042" s="74"/>
      <c r="Y2042" s="74"/>
      <c r="Z2042" s="74"/>
      <c r="AA2042" s="74"/>
      <c r="AB2042" s="74"/>
    </row>
    <row r="2043" spans="1:28" ht="12" customHeight="1">
      <c r="A2043" s="260"/>
      <c r="B2043" s="104"/>
      <c r="C2043" s="104"/>
      <c r="D2043" s="260"/>
      <c r="E2043" s="104"/>
      <c r="F2043" s="104"/>
      <c r="G2043" s="35"/>
      <c r="H2043" s="104"/>
      <c r="I2043" s="35"/>
      <c r="J2043" s="74"/>
      <c r="K2043" s="74"/>
      <c r="L2043" s="74"/>
      <c r="M2043" s="74"/>
      <c r="N2043" s="74"/>
      <c r="O2043" s="74"/>
      <c r="P2043" s="74"/>
      <c r="Q2043" s="74"/>
      <c r="R2043" s="74"/>
      <c r="S2043" s="74"/>
      <c r="T2043" s="74"/>
      <c r="U2043" s="74"/>
      <c r="V2043" s="74"/>
      <c r="W2043" s="74"/>
      <c r="X2043" s="74"/>
      <c r="Y2043" s="74"/>
      <c r="Z2043" s="74"/>
      <c r="AA2043" s="74"/>
      <c r="AB2043" s="74"/>
    </row>
    <row r="2044" spans="1:28" ht="12" customHeight="1">
      <c r="A2044" s="260"/>
      <c r="B2044" s="104"/>
      <c r="C2044" s="104"/>
      <c r="D2044" s="260"/>
      <c r="E2044" s="104"/>
      <c r="F2044" s="104"/>
      <c r="G2044" s="35"/>
      <c r="H2044" s="104"/>
      <c r="I2044" s="35"/>
      <c r="J2044" s="74"/>
      <c r="K2044" s="74"/>
      <c r="L2044" s="74"/>
      <c r="M2044" s="74"/>
      <c r="N2044" s="74"/>
      <c r="O2044" s="74"/>
      <c r="P2044" s="74"/>
      <c r="Q2044" s="74"/>
      <c r="R2044" s="74"/>
      <c r="S2044" s="74"/>
      <c r="T2044" s="74"/>
      <c r="U2044" s="74"/>
      <c r="V2044" s="74"/>
      <c r="W2044" s="74"/>
      <c r="X2044" s="74"/>
      <c r="Y2044" s="74"/>
      <c r="Z2044" s="74"/>
      <c r="AA2044" s="74"/>
      <c r="AB2044" s="74"/>
    </row>
    <row r="2045" spans="1:28" ht="12" customHeight="1">
      <c r="A2045" s="260"/>
      <c r="B2045" s="104"/>
      <c r="C2045" s="104"/>
      <c r="D2045" s="260"/>
      <c r="E2045" s="104"/>
      <c r="F2045" s="104"/>
      <c r="G2045" s="35"/>
      <c r="H2045" s="104"/>
      <c r="I2045" s="35"/>
      <c r="J2045" s="74"/>
      <c r="K2045" s="74"/>
      <c r="L2045" s="74"/>
      <c r="M2045" s="74"/>
      <c r="N2045" s="74"/>
      <c r="O2045" s="74"/>
      <c r="P2045" s="74"/>
      <c r="Q2045" s="74"/>
      <c r="R2045" s="74"/>
      <c r="S2045" s="74"/>
      <c r="T2045" s="74"/>
      <c r="U2045" s="74"/>
      <c r="V2045" s="74"/>
      <c r="W2045" s="74"/>
      <c r="X2045" s="74"/>
      <c r="Y2045" s="74"/>
      <c r="Z2045" s="74"/>
      <c r="AA2045" s="74"/>
      <c r="AB2045" s="74"/>
    </row>
    <row r="2046" spans="1:28" ht="12" customHeight="1">
      <c r="A2046" s="260"/>
      <c r="B2046" s="104"/>
      <c r="C2046" s="104"/>
      <c r="D2046" s="260"/>
      <c r="E2046" s="104"/>
      <c r="F2046" s="104"/>
      <c r="G2046" s="35"/>
      <c r="H2046" s="104"/>
      <c r="I2046" s="35"/>
      <c r="J2046" s="74"/>
      <c r="K2046" s="74"/>
      <c r="L2046" s="74"/>
      <c r="M2046" s="74"/>
      <c r="N2046" s="74"/>
      <c r="O2046" s="74"/>
      <c r="P2046" s="74"/>
      <c r="Q2046" s="74"/>
      <c r="R2046" s="74"/>
      <c r="S2046" s="74"/>
      <c r="T2046" s="74"/>
      <c r="U2046" s="74"/>
      <c r="V2046" s="74"/>
      <c r="W2046" s="74"/>
      <c r="X2046" s="74"/>
      <c r="Y2046" s="74"/>
      <c r="Z2046" s="74"/>
      <c r="AA2046" s="74"/>
      <c r="AB2046" s="74"/>
    </row>
    <row r="2047" spans="1:28" ht="12" customHeight="1">
      <c r="A2047" s="260"/>
      <c r="B2047" s="104"/>
      <c r="C2047" s="104"/>
      <c r="D2047" s="260"/>
      <c r="E2047" s="104"/>
      <c r="F2047" s="104"/>
      <c r="G2047" s="35"/>
      <c r="H2047" s="104"/>
      <c r="I2047" s="35"/>
      <c r="J2047" s="74"/>
      <c r="K2047" s="74"/>
      <c r="L2047" s="74"/>
      <c r="M2047" s="74"/>
      <c r="N2047" s="74"/>
      <c r="O2047" s="74"/>
      <c r="P2047" s="74"/>
      <c r="Q2047" s="74"/>
      <c r="R2047" s="74"/>
      <c r="S2047" s="74"/>
      <c r="T2047" s="74"/>
      <c r="U2047" s="74"/>
      <c r="V2047" s="74"/>
      <c r="W2047" s="74"/>
      <c r="X2047" s="74"/>
      <c r="Y2047" s="74"/>
      <c r="Z2047" s="74"/>
      <c r="AA2047" s="74"/>
      <c r="AB2047" s="74"/>
    </row>
    <row r="2048" spans="1:28" ht="12" customHeight="1">
      <c r="A2048" s="260"/>
      <c r="B2048" s="104"/>
      <c r="C2048" s="104"/>
      <c r="D2048" s="260"/>
      <c r="E2048" s="104"/>
      <c r="F2048" s="104"/>
      <c r="G2048" s="35"/>
      <c r="H2048" s="104"/>
      <c r="I2048" s="35"/>
      <c r="J2048" s="74"/>
      <c r="K2048" s="74"/>
      <c r="L2048" s="74"/>
      <c r="M2048" s="74"/>
      <c r="N2048" s="74"/>
      <c r="O2048" s="74"/>
      <c r="P2048" s="74"/>
      <c r="Q2048" s="74"/>
      <c r="R2048" s="74"/>
      <c r="S2048" s="74"/>
      <c r="T2048" s="74"/>
      <c r="U2048" s="74"/>
      <c r="V2048" s="74"/>
      <c r="W2048" s="74"/>
      <c r="X2048" s="74"/>
      <c r="Y2048" s="74"/>
      <c r="Z2048" s="74"/>
      <c r="AA2048" s="74"/>
      <c r="AB2048" s="74"/>
    </row>
    <row r="2049" spans="1:28" ht="12" customHeight="1">
      <c r="A2049" s="260"/>
      <c r="B2049" s="104"/>
      <c r="C2049" s="104"/>
      <c r="D2049" s="260"/>
      <c r="E2049" s="104"/>
      <c r="F2049" s="104"/>
      <c r="G2049" s="35"/>
      <c r="H2049" s="104"/>
      <c r="I2049" s="35"/>
      <c r="J2049" s="74"/>
      <c r="K2049" s="74"/>
      <c r="L2049" s="74"/>
      <c r="M2049" s="74"/>
      <c r="N2049" s="74"/>
      <c r="O2049" s="74"/>
      <c r="P2049" s="74"/>
      <c r="Q2049" s="74"/>
      <c r="R2049" s="74"/>
      <c r="S2049" s="74"/>
      <c r="T2049" s="74"/>
      <c r="U2049" s="74"/>
      <c r="V2049" s="74"/>
      <c r="W2049" s="74"/>
      <c r="X2049" s="74"/>
      <c r="Y2049" s="74"/>
      <c r="Z2049" s="74"/>
      <c r="AA2049" s="74"/>
      <c r="AB2049" s="74"/>
    </row>
    <row r="2050" spans="1:28" ht="12" customHeight="1">
      <c r="A2050" s="260"/>
      <c r="B2050" s="104"/>
      <c r="C2050" s="104"/>
      <c r="D2050" s="260"/>
      <c r="E2050" s="104"/>
      <c r="F2050" s="104"/>
      <c r="G2050" s="35"/>
      <c r="H2050" s="104"/>
      <c r="I2050" s="35"/>
      <c r="J2050" s="74"/>
      <c r="K2050" s="74"/>
      <c r="L2050" s="74"/>
      <c r="M2050" s="74"/>
      <c r="N2050" s="74"/>
      <c r="O2050" s="74"/>
      <c r="P2050" s="74"/>
      <c r="Q2050" s="74"/>
      <c r="R2050" s="74"/>
      <c r="S2050" s="74"/>
      <c r="T2050" s="74"/>
      <c r="U2050" s="74"/>
      <c r="V2050" s="74"/>
      <c r="W2050" s="74"/>
      <c r="X2050" s="74"/>
      <c r="Y2050" s="74"/>
      <c r="Z2050" s="74"/>
      <c r="AA2050" s="74"/>
      <c r="AB2050" s="74"/>
    </row>
    <row r="2051" spans="1:28" ht="12" customHeight="1">
      <c r="A2051" s="260"/>
      <c r="B2051" s="104"/>
      <c r="C2051" s="104"/>
      <c r="D2051" s="260"/>
      <c r="E2051" s="104"/>
      <c r="F2051" s="104"/>
      <c r="G2051" s="35"/>
      <c r="H2051" s="104"/>
      <c r="I2051" s="35"/>
      <c r="J2051" s="74"/>
      <c r="K2051" s="74"/>
      <c r="L2051" s="74"/>
      <c r="M2051" s="74"/>
      <c r="N2051" s="74"/>
      <c r="O2051" s="74"/>
      <c r="P2051" s="74"/>
      <c r="Q2051" s="74"/>
      <c r="R2051" s="74"/>
      <c r="S2051" s="74"/>
      <c r="T2051" s="74"/>
      <c r="U2051" s="74"/>
      <c r="V2051" s="74"/>
      <c r="W2051" s="74"/>
      <c r="X2051" s="74"/>
      <c r="Y2051" s="74"/>
      <c r="Z2051" s="74"/>
      <c r="AA2051" s="74"/>
      <c r="AB2051" s="74"/>
    </row>
    <row r="2052" spans="1:28" ht="12" customHeight="1">
      <c r="A2052" s="260"/>
      <c r="B2052" s="104"/>
      <c r="C2052" s="104"/>
      <c r="D2052" s="260"/>
      <c r="E2052" s="104"/>
      <c r="F2052" s="104"/>
      <c r="G2052" s="35"/>
      <c r="H2052" s="104"/>
      <c r="I2052" s="35"/>
      <c r="J2052" s="74"/>
      <c r="K2052" s="74"/>
      <c r="L2052" s="74"/>
      <c r="M2052" s="74"/>
      <c r="N2052" s="74"/>
      <c r="O2052" s="74"/>
      <c r="P2052" s="74"/>
      <c r="Q2052" s="74"/>
      <c r="R2052" s="74"/>
      <c r="S2052" s="74"/>
      <c r="T2052" s="74"/>
      <c r="U2052" s="74"/>
      <c r="V2052" s="74"/>
      <c r="W2052" s="74"/>
      <c r="X2052" s="74"/>
      <c r="Y2052" s="74"/>
      <c r="Z2052" s="74"/>
      <c r="AA2052" s="74"/>
      <c r="AB2052" s="74"/>
    </row>
    <row r="2053" spans="1:28" ht="12" customHeight="1">
      <c r="A2053" s="260"/>
      <c r="B2053" s="104"/>
      <c r="C2053" s="104"/>
      <c r="D2053" s="260"/>
      <c r="E2053" s="104"/>
      <c r="F2053" s="104"/>
      <c r="G2053" s="35"/>
      <c r="H2053" s="104"/>
      <c r="I2053" s="35"/>
      <c r="J2053" s="74"/>
      <c r="K2053" s="74"/>
      <c r="L2053" s="74"/>
      <c r="M2053" s="74"/>
      <c r="N2053" s="74"/>
      <c r="O2053" s="74"/>
      <c r="P2053" s="74"/>
      <c r="Q2053" s="74"/>
      <c r="R2053" s="74"/>
      <c r="S2053" s="74"/>
      <c r="T2053" s="74"/>
      <c r="U2053" s="74"/>
      <c r="V2053" s="74"/>
      <c r="W2053" s="74"/>
      <c r="X2053" s="74"/>
      <c r="Y2053" s="74"/>
      <c r="Z2053" s="74"/>
      <c r="AA2053" s="74"/>
      <c r="AB2053" s="74"/>
    </row>
    <row r="2054" spans="1:28" ht="12" customHeight="1">
      <c r="A2054" s="260"/>
      <c r="B2054" s="104"/>
      <c r="C2054" s="104"/>
      <c r="D2054" s="260"/>
      <c r="E2054" s="104"/>
      <c r="F2054" s="104"/>
      <c r="G2054" s="35"/>
      <c r="H2054" s="104"/>
      <c r="I2054" s="35"/>
      <c r="J2054" s="74"/>
      <c r="K2054" s="74"/>
      <c r="L2054" s="74"/>
      <c r="M2054" s="74"/>
      <c r="N2054" s="74"/>
      <c r="O2054" s="74"/>
      <c r="P2054" s="74"/>
      <c r="Q2054" s="74"/>
      <c r="R2054" s="74"/>
      <c r="S2054" s="74"/>
      <c r="T2054" s="74"/>
      <c r="U2054" s="74"/>
      <c r="V2054" s="74"/>
      <c r="W2054" s="74"/>
      <c r="X2054" s="74"/>
      <c r="Y2054" s="74"/>
      <c r="Z2054" s="74"/>
      <c r="AA2054" s="74"/>
      <c r="AB2054" s="74"/>
    </row>
    <row r="2055" spans="1:28" ht="12" customHeight="1">
      <c r="A2055" s="260"/>
      <c r="B2055" s="104"/>
      <c r="C2055" s="104"/>
      <c r="D2055" s="260"/>
      <c r="E2055" s="104"/>
      <c r="F2055" s="104"/>
      <c r="G2055" s="35"/>
      <c r="H2055" s="104"/>
      <c r="I2055" s="35"/>
      <c r="J2055" s="74"/>
      <c r="K2055" s="74"/>
      <c r="L2055" s="74"/>
      <c r="M2055" s="74"/>
      <c r="N2055" s="74"/>
      <c r="O2055" s="74"/>
      <c r="P2055" s="74"/>
      <c r="Q2055" s="74"/>
      <c r="R2055" s="74"/>
      <c r="S2055" s="74"/>
      <c r="T2055" s="74"/>
      <c r="U2055" s="74"/>
      <c r="V2055" s="74"/>
      <c r="W2055" s="74"/>
      <c r="X2055" s="74"/>
      <c r="Y2055" s="74"/>
      <c r="Z2055" s="74"/>
      <c r="AA2055" s="74"/>
      <c r="AB2055" s="74"/>
    </row>
    <row r="2056" spans="1:28" ht="12" customHeight="1">
      <c r="A2056" s="260"/>
      <c r="B2056" s="104"/>
      <c r="C2056" s="104"/>
      <c r="D2056" s="260"/>
      <c r="E2056" s="104"/>
      <c r="F2056" s="104"/>
      <c r="G2056" s="35"/>
      <c r="H2056" s="104"/>
      <c r="I2056" s="35"/>
      <c r="J2056" s="74"/>
      <c r="K2056" s="74"/>
      <c r="L2056" s="74"/>
      <c r="M2056" s="74"/>
      <c r="N2056" s="74"/>
      <c r="O2056" s="74"/>
      <c r="P2056" s="74"/>
      <c r="Q2056" s="74"/>
      <c r="R2056" s="74"/>
      <c r="S2056" s="74"/>
      <c r="T2056" s="74"/>
      <c r="U2056" s="74"/>
      <c r="V2056" s="74"/>
      <c r="W2056" s="74"/>
      <c r="X2056" s="74"/>
      <c r="Y2056" s="74"/>
      <c r="Z2056" s="74"/>
      <c r="AA2056" s="74"/>
      <c r="AB2056" s="74"/>
    </row>
    <row r="2057" spans="1:28" ht="12" customHeight="1">
      <c r="A2057" s="260"/>
      <c r="B2057" s="104"/>
      <c r="C2057" s="104"/>
      <c r="D2057" s="260"/>
      <c r="E2057" s="104"/>
      <c r="F2057" s="104"/>
      <c r="G2057" s="35"/>
      <c r="H2057" s="104"/>
      <c r="I2057" s="35"/>
      <c r="J2057" s="74"/>
      <c r="K2057" s="74"/>
      <c r="L2057" s="74"/>
      <c r="M2057" s="74"/>
      <c r="N2057" s="74"/>
      <c r="O2057" s="74"/>
      <c r="P2057" s="74"/>
      <c r="Q2057" s="74"/>
      <c r="R2057" s="74"/>
      <c r="S2057" s="74"/>
      <c r="T2057" s="74"/>
      <c r="U2057" s="74"/>
      <c r="V2057" s="74"/>
      <c r="W2057" s="74"/>
      <c r="X2057" s="74"/>
      <c r="Y2057" s="74"/>
      <c r="Z2057" s="74"/>
      <c r="AA2057" s="74"/>
      <c r="AB2057" s="74"/>
    </row>
    <row r="2058" spans="1:28" ht="12" customHeight="1">
      <c r="A2058" s="260"/>
      <c r="B2058" s="104"/>
      <c r="C2058" s="104"/>
      <c r="D2058" s="260"/>
      <c r="E2058" s="104"/>
      <c r="F2058" s="104"/>
      <c r="G2058" s="35"/>
      <c r="H2058" s="104"/>
      <c r="I2058" s="35"/>
      <c r="J2058" s="74"/>
      <c r="K2058" s="74"/>
      <c r="L2058" s="74"/>
      <c r="M2058" s="74"/>
      <c r="N2058" s="74"/>
      <c r="O2058" s="74"/>
      <c r="P2058" s="74"/>
      <c r="Q2058" s="74"/>
      <c r="R2058" s="74"/>
      <c r="S2058" s="74"/>
      <c r="T2058" s="74"/>
      <c r="U2058" s="74"/>
      <c r="V2058" s="74"/>
      <c r="W2058" s="74"/>
      <c r="X2058" s="74"/>
      <c r="Y2058" s="74"/>
      <c r="Z2058" s="74"/>
      <c r="AA2058" s="74"/>
      <c r="AB2058" s="74"/>
    </row>
    <row r="2059" spans="1:28" ht="12" customHeight="1">
      <c r="A2059" s="260"/>
      <c r="B2059" s="104"/>
      <c r="C2059" s="104"/>
      <c r="D2059" s="260"/>
      <c r="E2059" s="104"/>
      <c r="F2059" s="104"/>
      <c r="G2059" s="35"/>
      <c r="H2059" s="104"/>
      <c r="I2059" s="35"/>
      <c r="J2059" s="74"/>
      <c r="K2059" s="74"/>
      <c r="L2059" s="74"/>
      <c r="M2059" s="74"/>
      <c r="N2059" s="74"/>
      <c r="O2059" s="74"/>
      <c r="P2059" s="74"/>
      <c r="Q2059" s="74"/>
      <c r="R2059" s="74"/>
      <c r="S2059" s="74"/>
      <c r="T2059" s="74"/>
      <c r="U2059" s="74"/>
      <c r="V2059" s="74"/>
      <c r="W2059" s="74"/>
      <c r="X2059" s="74"/>
      <c r="Y2059" s="74"/>
      <c r="Z2059" s="74"/>
      <c r="AA2059" s="74"/>
      <c r="AB2059" s="74"/>
    </row>
    <row r="2060" spans="1:28" ht="12" customHeight="1">
      <c r="A2060" s="260"/>
      <c r="B2060" s="104"/>
      <c r="C2060" s="104"/>
      <c r="D2060" s="260"/>
      <c r="E2060" s="104"/>
      <c r="F2060" s="104"/>
      <c r="G2060" s="35"/>
      <c r="H2060" s="104"/>
      <c r="I2060" s="35"/>
      <c r="J2060" s="74"/>
      <c r="K2060" s="74"/>
      <c r="L2060" s="74"/>
      <c r="M2060" s="74"/>
      <c r="N2060" s="74"/>
      <c r="O2060" s="74"/>
      <c r="P2060" s="74"/>
      <c r="Q2060" s="74"/>
      <c r="R2060" s="74"/>
      <c r="S2060" s="74"/>
      <c r="T2060" s="74"/>
      <c r="U2060" s="74"/>
      <c r="V2060" s="74"/>
      <c r="W2060" s="74"/>
      <c r="X2060" s="74"/>
      <c r="Y2060" s="74"/>
      <c r="Z2060" s="74"/>
      <c r="AA2060" s="74"/>
      <c r="AB2060" s="74"/>
    </row>
    <row r="2061" spans="1:28" ht="12" customHeight="1">
      <c r="A2061" s="260"/>
      <c r="B2061" s="104"/>
      <c r="C2061" s="104"/>
      <c r="D2061" s="260"/>
      <c r="E2061" s="104"/>
      <c r="F2061" s="104"/>
      <c r="G2061" s="35"/>
      <c r="H2061" s="104"/>
      <c r="I2061" s="35"/>
      <c r="J2061" s="74"/>
      <c r="K2061" s="74"/>
      <c r="L2061" s="74"/>
      <c r="M2061" s="74"/>
      <c r="N2061" s="74"/>
      <c r="O2061" s="74"/>
      <c r="P2061" s="74"/>
      <c r="Q2061" s="74"/>
      <c r="R2061" s="74"/>
      <c r="S2061" s="74"/>
      <c r="T2061" s="74"/>
      <c r="U2061" s="74"/>
      <c r="V2061" s="74"/>
      <c r="W2061" s="74"/>
      <c r="X2061" s="74"/>
      <c r="Y2061" s="74"/>
      <c r="Z2061" s="74"/>
      <c r="AA2061" s="74"/>
      <c r="AB2061" s="74"/>
    </row>
    <row r="2062" spans="1:28" ht="12" customHeight="1">
      <c r="A2062" s="260"/>
      <c r="B2062" s="104"/>
      <c r="C2062" s="104"/>
      <c r="D2062" s="260"/>
      <c r="E2062" s="104"/>
      <c r="F2062" s="104"/>
      <c r="G2062" s="35"/>
      <c r="H2062" s="104"/>
      <c r="I2062" s="35"/>
      <c r="J2062" s="74"/>
      <c r="K2062" s="74"/>
      <c r="L2062" s="74"/>
      <c r="M2062" s="74"/>
      <c r="N2062" s="74"/>
      <c r="O2062" s="74"/>
      <c r="P2062" s="74"/>
      <c r="Q2062" s="74"/>
      <c r="R2062" s="74"/>
      <c r="S2062" s="74"/>
      <c r="T2062" s="74"/>
      <c r="U2062" s="74"/>
      <c r="V2062" s="74"/>
      <c r="W2062" s="74"/>
      <c r="X2062" s="74"/>
      <c r="Y2062" s="74"/>
      <c r="Z2062" s="74"/>
      <c r="AA2062" s="74"/>
      <c r="AB2062" s="74"/>
    </row>
    <row r="2063" spans="1:28" ht="12" customHeight="1">
      <c r="A2063" s="260"/>
      <c r="B2063" s="104"/>
      <c r="C2063" s="104"/>
      <c r="D2063" s="260"/>
      <c r="E2063" s="104"/>
      <c r="F2063" s="104"/>
      <c r="G2063" s="35"/>
      <c r="H2063" s="104"/>
      <c r="I2063" s="35"/>
      <c r="J2063" s="74"/>
      <c r="K2063" s="74"/>
      <c r="L2063" s="74"/>
      <c r="M2063" s="74"/>
      <c r="N2063" s="74"/>
      <c r="O2063" s="74"/>
      <c r="P2063" s="74"/>
      <c r="Q2063" s="74"/>
      <c r="R2063" s="74"/>
      <c r="S2063" s="74"/>
      <c r="T2063" s="74"/>
      <c r="U2063" s="74"/>
      <c r="V2063" s="74"/>
      <c r="W2063" s="74"/>
      <c r="X2063" s="74"/>
      <c r="Y2063" s="74"/>
      <c r="Z2063" s="74"/>
      <c r="AA2063" s="74"/>
      <c r="AB2063" s="74"/>
    </row>
    <row r="2064" spans="1:28" ht="12" customHeight="1">
      <c r="A2064" s="260"/>
      <c r="B2064" s="104"/>
      <c r="C2064" s="104"/>
      <c r="D2064" s="260"/>
      <c r="E2064" s="104"/>
      <c r="F2064" s="104"/>
      <c r="G2064" s="35"/>
      <c r="H2064" s="104"/>
      <c r="I2064" s="35"/>
      <c r="J2064" s="74"/>
      <c r="K2064" s="74"/>
      <c r="L2064" s="74"/>
      <c r="M2064" s="74"/>
      <c r="N2064" s="74"/>
      <c r="O2064" s="74"/>
      <c r="P2064" s="74"/>
      <c r="Q2064" s="74"/>
      <c r="R2064" s="74"/>
      <c r="S2064" s="74"/>
      <c r="T2064" s="74"/>
      <c r="U2064" s="74"/>
      <c r="V2064" s="74"/>
      <c r="W2064" s="74"/>
      <c r="X2064" s="74"/>
      <c r="Y2064" s="74"/>
      <c r="Z2064" s="74"/>
      <c r="AA2064" s="74"/>
      <c r="AB2064" s="74"/>
    </row>
    <row r="2065" spans="1:28" ht="12" customHeight="1">
      <c r="A2065" s="260"/>
      <c r="B2065" s="104"/>
      <c r="C2065" s="104"/>
      <c r="D2065" s="260"/>
      <c r="E2065" s="104"/>
      <c r="F2065" s="104"/>
      <c r="G2065" s="35"/>
      <c r="H2065" s="104"/>
      <c r="I2065" s="35"/>
      <c r="J2065" s="74"/>
      <c r="K2065" s="74"/>
      <c r="L2065" s="74"/>
      <c r="M2065" s="74"/>
      <c r="N2065" s="74"/>
      <c r="O2065" s="74"/>
      <c r="P2065" s="74"/>
      <c r="Q2065" s="74"/>
      <c r="R2065" s="74"/>
      <c r="S2065" s="74"/>
      <c r="T2065" s="74"/>
      <c r="U2065" s="74"/>
      <c r="V2065" s="74"/>
      <c r="W2065" s="74"/>
      <c r="X2065" s="74"/>
      <c r="Y2065" s="74"/>
      <c r="Z2065" s="74"/>
      <c r="AA2065" s="74"/>
      <c r="AB2065" s="74"/>
    </row>
    <row r="2066" spans="1:28" ht="12" customHeight="1">
      <c r="A2066" s="260"/>
      <c r="B2066" s="104"/>
      <c r="C2066" s="104"/>
      <c r="D2066" s="260"/>
      <c r="E2066" s="104"/>
      <c r="F2066" s="104"/>
      <c r="G2066" s="35"/>
      <c r="H2066" s="104"/>
      <c r="I2066" s="35"/>
      <c r="J2066" s="74"/>
      <c r="K2066" s="74"/>
      <c r="L2066" s="74"/>
      <c r="M2066" s="74"/>
      <c r="N2066" s="74"/>
      <c r="O2066" s="74"/>
      <c r="P2066" s="74"/>
      <c r="Q2066" s="74"/>
      <c r="R2066" s="74"/>
      <c r="S2066" s="74"/>
      <c r="T2066" s="74"/>
      <c r="U2066" s="74"/>
      <c r="V2066" s="74"/>
      <c r="W2066" s="74"/>
      <c r="X2066" s="74"/>
      <c r="Y2066" s="74"/>
      <c r="Z2066" s="74"/>
      <c r="AA2066" s="74"/>
      <c r="AB2066" s="74"/>
    </row>
    <row r="2067" spans="1:28" ht="12" customHeight="1">
      <c r="A2067" s="260"/>
      <c r="B2067" s="104"/>
      <c r="C2067" s="104"/>
      <c r="D2067" s="260"/>
      <c r="E2067" s="104"/>
      <c r="F2067" s="104"/>
      <c r="G2067" s="35"/>
      <c r="H2067" s="104"/>
      <c r="I2067" s="35"/>
      <c r="J2067" s="74"/>
      <c r="K2067" s="74"/>
      <c r="L2067" s="74"/>
      <c r="M2067" s="74"/>
      <c r="N2067" s="74"/>
      <c r="O2067" s="74"/>
      <c r="P2067" s="74"/>
      <c r="Q2067" s="74"/>
      <c r="R2067" s="74"/>
      <c r="S2067" s="74"/>
      <c r="T2067" s="74"/>
      <c r="U2067" s="74"/>
      <c r="V2067" s="74"/>
      <c r="W2067" s="74"/>
      <c r="X2067" s="74"/>
      <c r="Y2067" s="74"/>
      <c r="Z2067" s="74"/>
      <c r="AA2067" s="74"/>
      <c r="AB2067" s="74"/>
    </row>
    <row r="2068" spans="1:28" ht="12" customHeight="1">
      <c r="A2068" s="260"/>
      <c r="B2068" s="104"/>
      <c r="C2068" s="104"/>
      <c r="D2068" s="260"/>
      <c r="E2068" s="104"/>
      <c r="F2068" s="104"/>
      <c r="G2068" s="35"/>
      <c r="H2068" s="104"/>
      <c r="I2068" s="35"/>
      <c r="J2068" s="74"/>
      <c r="K2068" s="74"/>
      <c r="L2068" s="74"/>
      <c r="M2068" s="74"/>
      <c r="N2068" s="74"/>
      <c r="O2068" s="74"/>
      <c r="P2068" s="74"/>
      <c r="Q2068" s="74"/>
      <c r="R2068" s="74"/>
      <c r="S2068" s="74"/>
      <c r="T2068" s="74"/>
      <c r="U2068" s="74"/>
      <c r="V2068" s="74"/>
      <c r="W2068" s="74"/>
      <c r="X2068" s="74"/>
      <c r="Y2068" s="74"/>
      <c r="Z2068" s="74"/>
      <c r="AA2068" s="74"/>
      <c r="AB2068" s="74"/>
    </row>
    <row r="2069" spans="1:28" ht="12" customHeight="1">
      <c r="A2069" s="260"/>
      <c r="B2069" s="104"/>
      <c r="C2069" s="104"/>
      <c r="D2069" s="260"/>
      <c r="E2069" s="104"/>
      <c r="F2069" s="104"/>
      <c r="G2069" s="35"/>
      <c r="H2069" s="104"/>
      <c r="I2069" s="35"/>
      <c r="J2069" s="74"/>
      <c r="K2069" s="74"/>
      <c r="L2069" s="74"/>
      <c r="M2069" s="74"/>
      <c r="N2069" s="74"/>
      <c r="O2069" s="74"/>
      <c r="P2069" s="74"/>
      <c r="Q2069" s="74"/>
      <c r="R2069" s="74"/>
      <c r="S2069" s="74"/>
      <c r="T2069" s="74"/>
      <c r="U2069" s="74"/>
      <c r="V2069" s="74"/>
      <c r="W2069" s="74"/>
      <c r="X2069" s="74"/>
      <c r="Y2069" s="74"/>
      <c r="Z2069" s="74"/>
      <c r="AA2069" s="74"/>
      <c r="AB2069" s="74"/>
    </row>
    <row r="2070" spans="1:28" ht="12" customHeight="1">
      <c r="A2070" s="260"/>
      <c r="B2070" s="104"/>
      <c r="C2070" s="104"/>
      <c r="D2070" s="260"/>
      <c r="E2070" s="104"/>
      <c r="F2070" s="104"/>
      <c r="G2070" s="35"/>
      <c r="H2070" s="104"/>
      <c r="I2070" s="35"/>
      <c r="J2070" s="74"/>
      <c r="K2070" s="74"/>
      <c r="L2070" s="74"/>
      <c r="M2070" s="74"/>
      <c r="N2070" s="74"/>
      <c r="O2070" s="74"/>
      <c r="P2070" s="74"/>
      <c r="Q2070" s="74"/>
      <c r="R2070" s="74"/>
      <c r="S2070" s="74"/>
      <c r="T2070" s="74"/>
      <c r="U2070" s="74"/>
      <c r="V2070" s="74"/>
      <c r="W2070" s="74"/>
      <c r="X2070" s="74"/>
      <c r="Y2070" s="74"/>
      <c r="Z2070" s="74"/>
      <c r="AA2070" s="74"/>
      <c r="AB2070" s="74"/>
    </row>
    <row r="2071" spans="1:28" ht="12" customHeight="1">
      <c r="A2071" s="260"/>
      <c r="B2071" s="104"/>
      <c r="C2071" s="104"/>
      <c r="D2071" s="260"/>
      <c r="E2071" s="104"/>
      <c r="F2071" s="104"/>
      <c r="G2071" s="35"/>
      <c r="H2071" s="104"/>
      <c r="I2071" s="35"/>
      <c r="J2071" s="74"/>
      <c r="K2071" s="74"/>
      <c r="L2071" s="74"/>
      <c r="M2071" s="74"/>
      <c r="N2071" s="74"/>
      <c r="O2071" s="74"/>
      <c r="P2071" s="74"/>
      <c r="Q2071" s="74"/>
      <c r="R2071" s="74"/>
      <c r="S2071" s="74"/>
      <c r="T2071" s="74"/>
      <c r="U2071" s="74"/>
      <c r="V2071" s="74"/>
      <c r="W2071" s="74"/>
      <c r="X2071" s="74"/>
      <c r="Y2071" s="74"/>
      <c r="Z2071" s="74"/>
      <c r="AA2071" s="74"/>
      <c r="AB2071" s="74"/>
    </row>
    <row r="2072" spans="1:28" ht="12" customHeight="1">
      <c r="A2072" s="260"/>
      <c r="B2072" s="104"/>
      <c r="C2072" s="104"/>
      <c r="D2072" s="260"/>
      <c r="E2072" s="104"/>
      <c r="F2072" s="104"/>
      <c r="G2072" s="35"/>
      <c r="H2072" s="104"/>
      <c r="I2072" s="35"/>
      <c r="J2072" s="74"/>
      <c r="K2072" s="74"/>
      <c r="L2072" s="74"/>
      <c r="M2072" s="74"/>
      <c r="N2072" s="74"/>
      <c r="O2072" s="74"/>
      <c r="P2072" s="74"/>
      <c r="Q2072" s="74"/>
      <c r="R2072" s="74"/>
      <c r="S2072" s="74"/>
      <c r="T2072" s="74"/>
      <c r="U2072" s="74"/>
      <c r="V2072" s="74"/>
      <c r="W2072" s="74"/>
      <c r="X2072" s="74"/>
      <c r="Y2072" s="74"/>
      <c r="Z2072" s="74"/>
      <c r="AA2072" s="74"/>
      <c r="AB2072" s="74"/>
    </row>
    <row r="2073" spans="1:28" ht="12" customHeight="1">
      <c r="A2073" s="260"/>
      <c r="B2073" s="104"/>
      <c r="C2073" s="104"/>
      <c r="D2073" s="260"/>
      <c r="E2073" s="104"/>
      <c r="F2073" s="104"/>
      <c r="G2073" s="35"/>
      <c r="H2073" s="104"/>
      <c r="I2073" s="35"/>
      <c r="J2073" s="74"/>
      <c r="K2073" s="74"/>
      <c r="L2073" s="74"/>
      <c r="M2073" s="74"/>
      <c r="N2073" s="74"/>
      <c r="O2073" s="74"/>
      <c r="P2073" s="74"/>
      <c r="Q2073" s="74"/>
      <c r="R2073" s="74"/>
      <c r="S2073" s="74"/>
      <c r="T2073" s="74"/>
      <c r="U2073" s="74"/>
      <c r="V2073" s="74"/>
      <c r="W2073" s="74"/>
      <c r="X2073" s="74"/>
      <c r="Y2073" s="74"/>
      <c r="Z2073" s="74"/>
      <c r="AA2073" s="74"/>
      <c r="AB2073" s="74"/>
    </row>
    <row r="2074" spans="1:28" ht="12" customHeight="1">
      <c r="A2074" s="260"/>
      <c r="B2074" s="104"/>
      <c r="C2074" s="104"/>
      <c r="D2074" s="260"/>
      <c r="E2074" s="104"/>
      <c r="F2074" s="104"/>
      <c r="G2074" s="35"/>
      <c r="H2074" s="104"/>
      <c r="I2074" s="35"/>
      <c r="J2074" s="74"/>
      <c r="K2074" s="74"/>
      <c r="L2074" s="74"/>
      <c r="M2074" s="74"/>
      <c r="N2074" s="74"/>
      <c r="O2074" s="74"/>
      <c r="P2074" s="74"/>
      <c r="Q2074" s="74"/>
      <c r="R2074" s="74"/>
      <c r="S2074" s="74"/>
      <c r="T2074" s="74"/>
      <c r="U2074" s="74"/>
      <c r="V2074" s="74"/>
      <c r="W2074" s="74"/>
      <c r="X2074" s="74"/>
      <c r="Y2074" s="74"/>
      <c r="Z2074" s="74"/>
      <c r="AA2074" s="74"/>
      <c r="AB2074" s="74"/>
    </row>
    <row r="2075" spans="1:28" ht="12" customHeight="1">
      <c r="A2075" s="260"/>
      <c r="B2075" s="104"/>
      <c r="C2075" s="104"/>
      <c r="D2075" s="260"/>
      <c r="E2075" s="104"/>
      <c r="F2075" s="104"/>
      <c r="G2075" s="35"/>
      <c r="H2075" s="104"/>
      <c r="I2075" s="35"/>
      <c r="J2075" s="74"/>
      <c r="K2075" s="74"/>
      <c r="L2075" s="74"/>
      <c r="M2075" s="74"/>
      <c r="N2075" s="74"/>
      <c r="O2075" s="74"/>
      <c r="P2075" s="74"/>
      <c r="Q2075" s="74"/>
      <c r="R2075" s="74"/>
      <c r="S2075" s="74"/>
      <c r="T2075" s="74"/>
      <c r="U2075" s="74"/>
      <c r="V2075" s="74"/>
      <c r="W2075" s="74"/>
      <c r="X2075" s="74"/>
      <c r="Y2075" s="74"/>
      <c r="Z2075" s="74"/>
      <c r="AA2075" s="74"/>
      <c r="AB2075" s="74"/>
    </row>
    <row r="2076" spans="1:28" ht="12" customHeight="1">
      <c r="A2076" s="260"/>
      <c r="B2076" s="104"/>
      <c r="C2076" s="104"/>
      <c r="D2076" s="260"/>
      <c r="E2076" s="104"/>
      <c r="F2076" s="104"/>
      <c r="G2076" s="35"/>
      <c r="H2076" s="104"/>
      <c r="I2076" s="35"/>
      <c r="J2076" s="74"/>
      <c r="K2076" s="74"/>
      <c r="L2076" s="74"/>
      <c r="M2076" s="74"/>
      <c r="N2076" s="74"/>
      <c r="O2076" s="74"/>
      <c r="P2076" s="74"/>
      <c r="Q2076" s="74"/>
      <c r="R2076" s="74"/>
      <c r="S2076" s="74"/>
      <c r="T2076" s="74"/>
      <c r="U2076" s="74"/>
      <c r="V2076" s="74"/>
      <c r="W2076" s="74"/>
      <c r="X2076" s="74"/>
      <c r="Y2076" s="74"/>
      <c r="Z2076" s="74"/>
      <c r="AA2076" s="74"/>
      <c r="AB2076" s="74"/>
    </row>
    <row r="2077" spans="1:28" ht="12" customHeight="1">
      <c r="A2077" s="260"/>
      <c r="B2077" s="104"/>
      <c r="C2077" s="104"/>
      <c r="D2077" s="260"/>
      <c r="E2077" s="104"/>
      <c r="F2077" s="104"/>
      <c r="G2077" s="35"/>
      <c r="H2077" s="104"/>
      <c r="I2077" s="35"/>
      <c r="J2077" s="74"/>
      <c r="K2077" s="74"/>
      <c r="L2077" s="74"/>
      <c r="M2077" s="74"/>
      <c r="N2077" s="74"/>
      <c r="O2077" s="74"/>
      <c r="P2077" s="74"/>
      <c r="Q2077" s="74"/>
      <c r="R2077" s="74"/>
      <c r="S2077" s="74"/>
      <c r="T2077" s="74"/>
      <c r="U2077" s="74"/>
      <c r="V2077" s="74"/>
      <c r="W2077" s="74"/>
      <c r="X2077" s="74"/>
      <c r="Y2077" s="74"/>
      <c r="Z2077" s="74"/>
      <c r="AA2077" s="74"/>
      <c r="AB2077" s="74"/>
    </row>
    <row r="2078" spans="1:28" ht="12" customHeight="1">
      <c r="A2078" s="260"/>
      <c r="B2078" s="104"/>
      <c r="C2078" s="104"/>
      <c r="D2078" s="260"/>
      <c r="E2078" s="104"/>
      <c r="F2078" s="104"/>
      <c r="G2078" s="35"/>
      <c r="H2078" s="104"/>
      <c r="I2078" s="35"/>
      <c r="J2078" s="74"/>
      <c r="K2078" s="74"/>
      <c r="L2078" s="74"/>
      <c r="M2078" s="74"/>
      <c r="N2078" s="74"/>
      <c r="O2078" s="74"/>
      <c r="P2078" s="74"/>
      <c r="Q2078" s="74"/>
      <c r="R2078" s="74"/>
      <c r="S2078" s="74"/>
      <c r="T2078" s="74"/>
      <c r="U2078" s="74"/>
      <c r="V2078" s="74"/>
      <c r="W2078" s="74"/>
      <c r="X2078" s="74"/>
      <c r="Y2078" s="74"/>
      <c r="Z2078" s="74"/>
      <c r="AA2078" s="74"/>
      <c r="AB2078" s="74"/>
    </row>
    <row r="2079" spans="1:28" ht="12" customHeight="1">
      <c r="A2079" s="260"/>
      <c r="B2079" s="104"/>
      <c r="C2079" s="104"/>
      <c r="D2079" s="260"/>
      <c r="E2079" s="104"/>
      <c r="F2079" s="104"/>
      <c r="G2079" s="35"/>
      <c r="H2079" s="104"/>
      <c r="I2079" s="35"/>
      <c r="J2079" s="74"/>
      <c r="K2079" s="74"/>
      <c r="L2079" s="74"/>
      <c r="M2079" s="74"/>
      <c r="N2079" s="74"/>
      <c r="O2079" s="74"/>
      <c r="P2079" s="74"/>
      <c r="Q2079" s="74"/>
      <c r="R2079" s="74"/>
      <c r="S2079" s="74"/>
      <c r="T2079" s="74"/>
      <c r="U2079" s="74"/>
      <c r="V2079" s="74"/>
      <c r="W2079" s="74"/>
      <c r="X2079" s="74"/>
      <c r="Y2079" s="74"/>
      <c r="Z2079" s="74"/>
      <c r="AA2079" s="74"/>
      <c r="AB2079" s="74"/>
    </row>
    <row r="2080" spans="1:28" ht="12" customHeight="1">
      <c r="A2080" s="260"/>
      <c r="B2080" s="104"/>
      <c r="C2080" s="104"/>
      <c r="D2080" s="260"/>
      <c r="E2080" s="104"/>
      <c r="F2080" s="104"/>
      <c r="G2080" s="35"/>
      <c r="H2080" s="104"/>
      <c r="I2080" s="35"/>
      <c r="J2080" s="74"/>
      <c r="K2080" s="74"/>
      <c r="L2080" s="74"/>
      <c r="M2080" s="74"/>
      <c r="N2080" s="74"/>
      <c r="O2080" s="74"/>
      <c r="P2080" s="74"/>
      <c r="Q2080" s="74"/>
      <c r="R2080" s="74"/>
      <c r="S2080" s="74"/>
      <c r="T2080" s="74"/>
      <c r="U2080" s="74"/>
      <c r="V2080" s="74"/>
      <c r="W2080" s="74"/>
      <c r="X2080" s="74"/>
      <c r="Y2080" s="74"/>
      <c r="Z2080" s="74"/>
      <c r="AA2080" s="74"/>
      <c r="AB2080" s="74"/>
    </row>
    <row r="2081" spans="1:28" ht="12" customHeight="1">
      <c r="A2081" s="260"/>
      <c r="B2081" s="104"/>
      <c r="C2081" s="104"/>
      <c r="D2081" s="260"/>
      <c r="E2081" s="104"/>
      <c r="F2081" s="104"/>
      <c r="G2081" s="35"/>
      <c r="H2081" s="104"/>
      <c r="I2081" s="35"/>
      <c r="J2081" s="74"/>
      <c r="K2081" s="74"/>
      <c r="L2081" s="74"/>
      <c r="M2081" s="74"/>
      <c r="N2081" s="74"/>
      <c r="O2081" s="74"/>
      <c r="P2081" s="74"/>
      <c r="Q2081" s="74"/>
      <c r="R2081" s="74"/>
      <c r="S2081" s="74"/>
      <c r="T2081" s="74"/>
      <c r="U2081" s="74"/>
      <c r="V2081" s="74"/>
      <c r="W2081" s="74"/>
      <c r="X2081" s="74"/>
      <c r="Y2081" s="74"/>
      <c r="Z2081" s="74"/>
      <c r="AA2081" s="74"/>
      <c r="AB2081" s="74"/>
    </row>
    <row r="2082" spans="1:28" ht="12" customHeight="1">
      <c r="A2082" s="260"/>
      <c r="B2082" s="104"/>
      <c r="C2082" s="104"/>
      <c r="D2082" s="260"/>
      <c r="E2082" s="104"/>
      <c r="F2082" s="104"/>
      <c r="G2082" s="35"/>
      <c r="H2082" s="104"/>
      <c r="I2082" s="35"/>
      <c r="J2082" s="74"/>
      <c r="K2082" s="74"/>
      <c r="L2082" s="74"/>
      <c r="M2082" s="74"/>
      <c r="N2082" s="74"/>
      <c r="O2082" s="74"/>
      <c r="P2082" s="74"/>
      <c r="Q2082" s="74"/>
      <c r="R2082" s="74"/>
      <c r="S2082" s="74"/>
      <c r="T2082" s="74"/>
      <c r="U2082" s="74"/>
      <c r="V2082" s="74"/>
      <c r="W2082" s="74"/>
      <c r="X2082" s="74"/>
      <c r="Y2082" s="74"/>
      <c r="Z2082" s="74"/>
      <c r="AA2082" s="74"/>
      <c r="AB2082" s="74"/>
    </row>
    <row r="2083" spans="1:28" ht="12" customHeight="1">
      <c r="A2083" s="260"/>
      <c r="B2083" s="104"/>
      <c r="C2083" s="104"/>
      <c r="D2083" s="260"/>
      <c r="E2083" s="104"/>
      <c r="F2083" s="104"/>
      <c r="G2083" s="35"/>
      <c r="H2083" s="104"/>
      <c r="I2083" s="35"/>
      <c r="J2083" s="74"/>
      <c r="K2083" s="74"/>
      <c r="L2083" s="74"/>
      <c r="M2083" s="74"/>
      <c r="N2083" s="74"/>
      <c r="O2083" s="74"/>
      <c r="P2083" s="74"/>
      <c r="Q2083" s="74"/>
      <c r="R2083" s="74"/>
      <c r="S2083" s="74"/>
      <c r="T2083" s="74"/>
      <c r="U2083" s="74"/>
      <c r="V2083" s="74"/>
      <c r="W2083" s="74"/>
      <c r="X2083" s="74"/>
      <c r="Y2083" s="74"/>
      <c r="Z2083" s="74"/>
      <c r="AA2083" s="74"/>
      <c r="AB2083" s="74"/>
    </row>
    <row r="2084" spans="1:28" ht="12" customHeight="1">
      <c r="A2084" s="260"/>
      <c r="B2084" s="104"/>
      <c r="C2084" s="104"/>
      <c r="D2084" s="260"/>
      <c r="E2084" s="104"/>
      <c r="F2084" s="104"/>
      <c r="G2084" s="35"/>
      <c r="H2084" s="104"/>
      <c r="I2084" s="35"/>
      <c r="J2084" s="74"/>
      <c r="K2084" s="74"/>
      <c r="L2084" s="74"/>
      <c r="M2084" s="74"/>
      <c r="N2084" s="74"/>
      <c r="O2084" s="74"/>
      <c r="P2084" s="74"/>
      <c r="Q2084" s="74"/>
      <c r="R2084" s="74"/>
      <c r="S2084" s="74"/>
      <c r="T2084" s="74"/>
      <c r="U2084" s="74"/>
      <c r="V2084" s="74"/>
      <c r="W2084" s="74"/>
      <c r="X2084" s="74"/>
      <c r="Y2084" s="74"/>
      <c r="Z2084" s="74"/>
      <c r="AA2084" s="74"/>
      <c r="AB2084" s="74"/>
    </row>
    <row r="2085" spans="1:28" ht="12" customHeight="1">
      <c r="A2085" s="260"/>
      <c r="B2085" s="104"/>
      <c r="C2085" s="104"/>
      <c r="D2085" s="260"/>
      <c r="E2085" s="104"/>
      <c r="F2085" s="104"/>
      <c r="G2085" s="35"/>
      <c r="H2085" s="104"/>
      <c r="I2085" s="35"/>
      <c r="J2085" s="74"/>
      <c r="K2085" s="74"/>
      <c r="L2085" s="74"/>
      <c r="M2085" s="74"/>
      <c r="N2085" s="74"/>
      <c r="O2085" s="74"/>
      <c r="P2085" s="74"/>
      <c r="Q2085" s="74"/>
      <c r="R2085" s="74"/>
      <c r="S2085" s="74"/>
      <c r="T2085" s="74"/>
      <c r="U2085" s="74"/>
      <c r="V2085" s="74"/>
      <c r="W2085" s="74"/>
      <c r="X2085" s="74"/>
      <c r="Y2085" s="74"/>
      <c r="Z2085" s="74"/>
      <c r="AA2085" s="74"/>
      <c r="AB2085" s="74"/>
    </row>
    <row r="2086" spans="1:28" ht="12" customHeight="1">
      <c r="A2086" s="260"/>
      <c r="B2086" s="104"/>
      <c r="C2086" s="104"/>
      <c r="D2086" s="260"/>
      <c r="E2086" s="104"/>
      <c r="F2086" s="104"/>
      <c r="G2086" s="35"/>
      <c r="H2086" s="104"/>
      <c r="I2086" s="35"/>
      <c r="J2086" s="74"/>
      <c r="K2086" s="74"/>
      <c r="L2086" s="74"/>
      <c r="M2086" s="74"/>
      <c r="N2086" s="74"/>
      <c r="O2086" s="74"/>
      <c r="P2086" s="74"/>
      <c r="Q2086" s="74"/>
      <c r="R2086" s="74"/>
      <c r="S2086" s="74"/>
      <c r="T2086" s="74"/>
      <c r="U2086" s="74"/>
      <c r="V2086" s="74"/>
      <c r="W2086" s="74"/>
      <c r="X2086" s="74"/>
      <c r="Y2086" s="74"/>
      <c r="Z2086" s="74"/>
      <c r="AA2086" s="74"/>
      <c r="AB2086" s="74"/>
    </row>
    <row r="2087" spans="1:28" ht="12" customHeight="1">
      <c r="A2087" s="260"/>
      <c r="B2087" s="104"/>
      <c r="C2087" s="104"/>
      <c r="D2087" s="260"/>
      <c r="E2087" s="104"/>
      <c r="F2087" s="104"/>
      <c r="G2087" s="35"/>
      <c r="H2087" s="104"/>
      <c r="I2087" s="35"/>
      <c r="J2087" s="74"/>
      <c r="K2087" s="74"/>
      <c r="L2087" s="74"/>
      <c r="M2087" s="74"/>
      <c r="N2087" s="74"/>
      <c r="O2087" s="74"/>
      <c r="P2087" s="74"/>
      <c r="Q2087" s="74"/>
      <c r="R2087" s="74"/>
      <c r="S2087" s="74"/>
      <c r="T2087" s="74"/>
      <c r="U2087" s="74"/>
      <c r="V2087" s="74"/>
      <c r="W2087" s="74"/>
      <c r="X2087" s="74"/>
      <c r="Y2087" s="74"/>
      <c r="Z2087" s="74"/>
      <c r="AA2087" s="74"/>
      <c r="AB2087" s="74"/>
    </row>
    <row r="2088" spans="1:28" ht="12" customHeight="1">
      <c r="A2088" s="260"/>
      <c r="B2088" s="104"/>
      <c r="C2088" s="104"/>
      <c r="D2088" s="260"/>
      <c r="E2088" s="104"/>
      <c r="F2088" s="104"/>
      <c r="G2088" s="35"/>
      <c r="H2088" s="104"/>
      <c r="I2088" s="35"/>
      <c r="J2088" s="74"/>
      <c r="K2088" s="74"/>
      <c r="L2088" s="74"/>
      <c r="M2088" s="74"/>
      <c r="N2088" s="74"/>
      <c r="O2088" s="74"/>
      <c r="P2088" s="74"/>
      <c r="Q2088" s="74"/>
      <c r="R2088" s="74"/>
      <c r="S2088" s="74"/>
      <c r="T2088" s="74"/>
      <c r="U2088" s="74"/>
      <c r="V2088" s="74"/>
      <c r="W2088" s="74"/>
      <c r="X2088" s="74"/>
      <c r="Y2088" s="74"/>
      <c r="Z2088" s="74"/>
      <c r="AA2088" s="74"/>
      <c r="AB2088" s="74"/>
    </row>
    <row r="2089" spans="1:28" ht="12" customHeight="1">
      <c r="A2089" s="260"/>
      <c r="B2089" s="104"/>
      <c r="C2089" s="104"/>
      <c r="D2089" s="260"/>
      <c r="E2089" s="104"/>
      <c r="F2089" s="104"/>
      <c r="G2089" s="35"/>
      <c r="H2089" s="104"/>
      <c r="I2089" s="35"/>
      <c r="J2089" s="74"/>
      <c r="K2089" s="74"/>
      <c r="L2089" s="74"/>
      <c r="M2089" s="74"/>
      <c r="N2089" s="74"/>
      <c r="O2089" s="74"/>
      <c r="P2089" s="74"/>
      <c r="Q2089" s="74"/>
      <c r="R2089" s="74"/>
      <c r="S2089" s="74"/>
      <c r="T2089" s="74"/>
      <c r="U2089" s="74"/>
      <c r="V2089" s="74"/>
      <c r="W2089" s="74"/>
      <c r="X2089" s="74"/>
      <c r="Y2089" s="74"/>
      <c r="Z2089" s="74"/>
      <c r="AA2089" s="74"/>
      <c r="AB2089" s="74"/>
    </row>
    <row r="2090" spans="1:28" ht="12" customHeight="1">
      <c r="A2090" s="260"/>
      <c r="B2090" s="104"/>
      <c r="C2090" s="104"/>
      <c r="D2090" s="260"/>
      <c r="E2090" s="104"/>
      <c r="F2090" s="104"/>
      <c r="G2090" s="35"/>
      <c r="H2090" s="104"/>
      <c r="I2090" s="35"/>
      <c r="J2090" s="74"/>
      <c r="K2090" s="74"/>
      <c r="L2090" s="74"/>
      <c r="M2090" s="74"/>
      <c r="N2090" s="74"/>
      <c r="O2090" s="74"/>
      <c r="P2090" s="74"/>
      <c r="Q2090" s="74"/>
      <c r="R2090" s="74"/>
      <c r="S2090" s="74"/>
      <c r="T2090" s="74"/>
      <c r="U2090" s="74"/>
      <c r="V2090" s="74"/>
      <c r="W2090" s="74"/>
      <c r="X2090" s="74"/>
      <c r="Y2090" s="74"/>
      <c r="Z2090" s="74"/>
      <c r="AA2090" s="74"/>
      <c r="AB2090" s="74"/>
    </row>
    <row r="2091" spans="1:28" ht="12" customHeight="1">
      <c r="A2091" s="260"/>
      <c r="B2091" s="104"/>
      <c r="C2091" s="104"/>
      <c r="D2091" s="260"/>
      <c r="E2091" s="104"/>
      <c r="F2091" s="104"/>
      <c r="G2091" s="35"/>
      <c r="H2091" s="104"/>
      <c r="I2091" s="35"/>
      <c r="J2091" s="74"/>
      <c r="K2091" s="74"/>
      <c r="L2091" s="74"/>
      <c r="M2091" s="74"/>
      <c r="N2091" s="74"/>
      <c r="O2091" s="74"/>
      <c r="P2091" s="74"/>
      <c r="Q2091" s="74"/>
      <c r="R2091" s="74"/>
      <c r="S2091" s="74"/>
      <c r="T2091" s="74"/>
      <c r="U2091" s="74"/>
      <c r="V2091" s="74"/>
      <c r="W2091" s="74"/>
      <c r="X2091" s="74"/>
      <c r="Y2091" s="74"/>
      <c r="Z2091" s="74"/>
      <c r="AA2091" s="74"/>
      <c r="AB2091" s="74"/>
    </row>
    <row r="2092" spans="1:28" ht="12" customHeight="1">
      <c r="A2092" s="260"/>
      <c r="B2092" s="104"/>
      <c r="C2092" s="104"/>
      <c r="D2092" s="260"/>
      <c r="E2092" s="104"/>
      <c r="F2092" s="104"/>
      <c r="G2092" s="35"/>
      <c r="H2092" s="104"/>
      <c r="I2092" s="35"/>
      <c r="J2092" s="74"/>
      <c r="K2092" s="74"/>
      <c r="L2092" s="74"/>
      <c r="M2092" s="74"/>
      <c r="N2092" s="74"/>
      <c r="O2092" s="74"/>
      <c r="P2092" s="74"/>
      <c r="Q2092" s="74"/>
      <c r="R2092" s="74"/>
      <c r="S2092" s="74"/>
      <c r="T2092" s="74"/>
      <c r="U2092" s="74"/>
      <c r="V2092" s="74"/>
      <c r="W2092" s="74"/>
      <c r="X2092" s="74"/>
      <c r="Y2092" s="74"/>
      <c r="Z2092" s="74"/>
      <c r="AA2092" s="74"/>
      <c r="AB2092" s="74"/>
    </row>
    <row r="2093" spans="1:28" ht="12" customHeight="1">
      <c r="A2093" s="260"/>
      <c r="B2093" s="104"/>
      <c r="C2093" s="104"/>
      <c r="D2093" s="260"/>
      <c r="E2093" s="104"/>
      <c r="F2093" s="104"/>
      <c r="G2093" s="35"/>
      <c r="H2093" s="104"/>
      <c r="I2093" s="35"/>
      <c r="J2093" s="74"/>
      <c r="K2093" s="74"/>
      <c r="L2093" s="74"/>
      <c r="M2093" s="74"/>
      <c r="N2093" s="74"/>
      <c r="O2093" s="74"/>
      <c r="P2093" s="74"/>
      <c r="Q2093" s="74"/>
      <c r="R2093" s="74"/>
      <c r="S2093" s="74"/>
      <c r="T2093" s="74"/>
      <c r="U2093" s="74"/>
      <c r="V2093" s="74"/>
      <c r="W2093" s="74"/>
      <c r="X2093" s="74"/>
      <c r="Y2093" s="74"/>
      <c r="Z2093" s="74"/>
      <c r="AA2093" s="74"/>
      <c r="AB2093" s="74"/>
    </row>
    <row r="2094" spans="1:28" ht="12" customHeight="1">
      <c r="A2094" s="260"/>
      <c r="B2094" s="104"/>
      <c r="C2094" s="104"/>
      <c r="D2094" s="260"/>
      <c r="E2094" s="104"/>
      <c r="F2094" s="104"/>
      <c r="G2094" s="35"/>
      <c r="H2094" s="104"/>
      <c r="I2094" s="35"/>
      <c r="J2094" s="74"/>
      <c r="K2094" s="74"/>
      <c r="L2094" s="74"/>
      <c r="M2094" s="74"/>
      <c r="N2094" s="74"/>
      <c r="O2094" s="74"/>
      <c r="P2094" s="74"/>
      <c r="Q2094" s="74"/>
      <c r="R2094" s="74"/>
      <c r="S2094" s="74"/>
      <c r="T2094" s="74"/>
      <c r="U2094" s="74"/>
      <c r="V2094" s="74"/>
      <c r="W2094" s="74"/>
      <c r="X2094" s="74"/>
      <c r="Y2094" s="74"/>
      <c r="Z2094" s="74"/>
      <c r="AA2094" s="74"/>
      <c r="AB2094" s="74"/>
    </row>
    <row r="2095" spans="1:28" ht="12" customHeight="1">
      <c r="A2095" s="260"/>
      <c r="B2095" s="104"/>
      <c r="C2095" s="104"/>
      <c r="D2095" s="260"/>
      <c r="E2095" s="104"/>
      <c r="F2095" s="104"/>
      <c r="G2095" s="35"/>
      <c r="H2095" s="104"/>
      <c r="I2095" s="35"/>
      <c r="J2095" s="74"/>
      <c r="K2095" s="74"/>
      <c r="L2095" s="74"/>
      <c r="M2095" s="74"/>
      <c r="N2095" s="74"/>
      <c r="O2095" s="74"/>
      <c r="P2095" s="74"/>
      <c r="Q2095" s="74"/>
      <c r="R2095" s="74"/>
      <c r="S2095" s="74"/>
      <c r="T2095" s="74"/>
      <c r="U2095" s="74"/>
      <c r="V2095" s="74"/>
      <c r="W2095" s="74"/>
      <c r="X2095" s="74"/>
      <c r="Y2095" s="74"/>
      <c r="Z2095" s="74"/>
      <c r="AA2095" s="74"/>
      <c r="AB2095" s="74"/>
    </row>
    <row r="2096" spans="1:28" ht="12" customHeight="1">
      <c r="A2096" s="260"/>
      <c r="B2096" s="104"/>
      <c r="C2096" s="104"/>
      <c r="D2096" s="260"/>
      <c r="E2096" s="104"/>
      <c r="F2096" s="104"/>
      <c r="G2096" s="35"/>
      <c r="H2096" s="104"/>
      <c r="I2096" s="35"/>
      <c r="J2096" s="74"/>
      <c r="K2096" s="74"/>
      <c r="L2096" s="74"/>
      <c r="M2096" s="74"/>
      <c r="N2096" s="74"/>
      <c r="O2096" s="74"/>
      <c r="P2096" s="74"/>
      <c r="Q2096" s="74"/>
      <c r="R2096" s="74"/>
      <c r="S2096" s="74"/>
      <c r="T2096" s="74"/>
      <c r="U2096" s="74"/>
      <c r="V2096" s="74"/>
      <c r="W2096" s="74"/>
      <c r="X2096" s="74"/>
      <c r="Y2096" s="74"/>
      <c r="Z2096" s="74"/>
      <c r="AA2096" s="74"/>
      <c r="AB2096" s="74"/>
    </row>
    <row r="2097" spans="1:28" ht="12" customHeight="1">
      <c r="A2097" s="260"/>
      <c r="B2097" s="104"/>
      <c r="C2097" s="104"/>
      <c r="D2097" s="260"/>
      <c r="E2097" s="104"/>
      <c r="F2097" s="104"/>
      <c r="G2097" s="35"/>
      <c r="H2097" s="104"/>
      <c r="I2097" s="35"/>
      <c r="J2097" s="74"/>
      <c r="K2097" s="74"/>
      <c r="L2097" s="74"/>
      <c r="M2097" s="74"/>
      <c r="N2097" s="74"/>
      <c r="O2097" s="74"/>
      <c r="P2097" s="74"/>
      <c r="Q2097" s="74"/>
      <c r="R2097" s="74"/>
      <c r="S2097" s="74"/>
      <c r="T2097" s="74"/>
      <c r="U2097" s="74"/>
      <c r="V2097" s="74"/>
      <c r="W2097" s="74"/>
      <c r="X2097" s="74"/>
      <c r="Y2097" s="74"/>
      <c r="Z2097" s="74"/>
      <c r="AA2097" s="74"/>
      <c r="AB2097" s="74"/>
    </row>
    <row r="2098" spans="1:28" ht="12" customHeight="1">
      <c r="A2098" s="260"/>
      <c r="B2098" s="104"/>
      <c r="C2098" s="104"/>
      <c r="D2098" s="260"/>
      <c r="E2098" s="104"/>
      <c r="F2098" s="104"/>
      <c r="G2098" s="35"/>
      <c r="H2098" s="104"/>
      <c r="I2098" s="35"/>
      <c r="J2098" s="74"/>
      <c r="K2098" s="74"/>
      <c r="L2098" s="74"/>
      <c r="M2098" s="74"/>
      <c r="N2098" s="74"/>
      <c r="O2098" s="74"/>
      <c r="P2098" s="74"/>
      <c r="Q2098" s="74"/>
      <c r="R2098" s="74"/>
      <c r="S2098" s="74"/>
      <c r="T2098" s="74"/>
      <c r="U2098" s="74"/>
      <c r="V2098" s="74"/>
      <c r="W2098" s="74"/>
      <c r="X2098" s="74"/>
      <c r="Y2098" s="74"/>
      <c r="Z2098" s="74"/>
      <c r="AA2098" s="74"/>
      <c r="AB2098" s="74"/>
    </row>
    <row r="2099" spans="1:28" ht="12" customHeight="1">
      <c r="A2099" s="260"/>
      <c r="B2099" s="104"/>
      <c r="C2099" s="104"/>
      <c r="D2099" s="260"/>
      <c r="E2099" s="104"/>
      <c r="F2099" s="104"/>
      <c r="G2099" s="35"/>
      <c r="H2099" s="104"/>
      <c r="I2099" s="35"/>
      <c r="J2099" s="74"/>
      <c r="K2099" s="74"/>
      <c r="L2099" s="74"/>
      <c r="M2099" s="74"/>
      <c r="N2099" s="74"/>
      <c r="O2099" s="74"/>
      <c r="P2099" s="74"/>
      <c r="Q2099" s="74"/>
      <c r="R2099" s="74"/>
      <c r="S2099" s="74"/>
      <c r="T2099" s="74"/>
      <c r="U2099" s="74"/>
      <c r="V2099" s="74"/>
      <c r="W2099" s="74"/>
      <c r="X2099" s="74"/>
      <c r="Y2099" s="74"/>
      <c r="Z2099" s="74"/>
      <c r="AA2099" s="74"/>
      <c r="AB2099" s="74"/>
    </row>
    <row r="2100" spans="1:28" ht="12" customHeight="1">
      <c r="A2100" s="260"/>
      <c r="B2100" s="104"/>
      <c r="C2100" s="104"/>
      <c r="D2100" s="260"/>
      <c r="E2100" s="104"/>
      <c r="F2100" s="104"/>
      <c r="G2100" s="35"/>
      <c r="H2100" s="104"/>
      <c r="I2100" s="35"/>
      <c r="J2100" s="74"/>
      <c r="K2100" s="74"/>
      <c r="L2100" s="74"/>
      <c r="M2100" s="74"/>
      <c r="N2100" s="74"/>
      <c r="O2100" s="74"/>
      <c r="P2100" s="74"/>
      <c r="Q2100" s="74"/>
      <c r="R2100" s="74"/>
      <c r="S2100" s="74"/>
      <c r="T2100" s="74"/>
      <c r="U2100" s="74"/>
      <c r="V2100" s="74"/>
      <c r="W2100" s="74"/>
      <c r="X2100" s="74"/>
      <c r="Y2100" s="74"/>
      <c r="Z2100" s="74"/>
      <c r="AA2100" s="74"/>
      <c r="AB2100" s="74"/>
    </row>
    <row r="2101" spans="1:28" ht="12" customHeight="1">
      <c r="A2101" s="260"/>
      <c r="B2101" s="104"/>
      <c r="C2101" s="104"/>
      <c r="D2101" s="260"/>
      <c r="E2101" s="104"/>
      <c r="F2101" s="104"/>
      <c r="G2101" s="35"/>
      <c r="H2101" s="104"/>
      <c r="I2101" s="35"/>
      <c r="J2101" s="74"/>
      <c r="K2101" s="74"/>
      <c r="L2101" s="74"/>
      <c r="M2101" s="74"/>
      <c r="N2101" s="74"/>
      <c r="O2101" s="74"/>
      <c r="P2101" s="74"/>
      <c r="Q2101" s="74"/>
      <c r="R2101" s="74"/>
      <c r="S2101" s="74"/>
      <c r="T2101" s="74"/>
      <c r="U2101" s="74"/>
      <c r="V2101" s="74"/>
      <c r="W2101" s="74"/>
      <c r="X2101" s="74"/>
      <c r="Y2101" s="74"/>
      <c r="Z2101" s="74"/>
      <c r="AA2101" s="74"/>
      <c r="AB2101" s="74"/>
    </row>
    <row r="2102" spans="1:28" ht="12" customHeight="1">
      <c r="A2102" s="260"/>
      <c r="B2102" s="104"/>
      <c r="C2102" s="104"/>
      <c r="D2102" s="260"/>
      <c r="E2102" s="104"/>
      <c r="F2102" s="104"/>
      <c r="G2102" s="35"/>
      <c r="H2102" s="104"/>
      <c r="I2102" s="35"/>
      <c r="J2102" s="74"/>
      <c r="K2102" s="74"/>
      <c r="L2102" s="74"/>
      <c r="M2102" s="74"/>
      <c r="N2102" s="74"/>
      <c r="O2102" s="74"/>
      <c r="P2102" s="74"/>
      <c r="Q2102" s="74"/>
      <c r="R2102" s="74"/>
      <c r="S2102" s="74"/>
      <c r="T2102" s="74"/>
      <c r="U2102" s="74"/>
      <c r="V2102" s="74"/>
      <c r="W2102" s="74"/>
      <c r="X2102" s="74"/>
      <c r="Y2102" s="74"/>
      <c r="Z2102" s="74"/>
      <c r="AA2102" s="74"/>
      <c r="AB2102" s="74"/>
    </row>
    <row r="2103" spans="1:28" ht="12" customHeight="1">
      <c r="A2103" s="260"/>
      <c r="B2103" s="104"/>
      <c r="C2103" s="104"/>
      <c r="D2103" s="260"/>
      <c r="E2103" s="104"/>
      <c r="F2103" s="104"/>
      <c r="G2103" s="35"/>
      <c r="H2103" s="104"/>
      <c r="I2103" s="35"/>
      <c r="J2103" s="74"/>
      <c r="K2103" s="74"/>
      <c r="L2103" s="74"/>
      <c r="M2103" s="74"/>
      <c r="N2103" s="74"/>
      <c r="O2103" s="74"/>
      <c r="P2103" s="74"/>
      <c r="Q2103" s="74"/>
      <c r="R2103" s="74"/>
      <c r="S2103" s="74"/>
      <c r="T2103" s="74"/>
      <c r="U2103" s="74"/>
      <c r="V2103" s="74"/>
      <c r="W2103" s="74"/>
      <c r="X2103" s="74"/>
      <c r="Y2103" s="74"/>
      <c r="Z2103" s="74"/>
      <c r="AA2103" s="74"/>
      <c r="AB2103" s="74"/>
    </row>
    <row r="2104" spans="1:28" ht="12" customHeight="1">
      <c r="A2104" s="260"/>
      <c r="B2104" s="104"/>
      <c r="C2104" s="104"/>
      <c r="D2104" s="260"/>
      <c r="E2104" s="104"/>
      <c r="F2104" s="104"/>
      <c r="G2104" s="35"/>
      <c r="H2104" s="104"/>
      <c r="I2104" s="35"/>
      <c r="J2104" s="74"/>
      <c r="K2104" s="74"/>
      <c r="L2104" s="74"/>
      <c r="M2104" s="74"/>
      <c r="N2104" s="74"/>
      <c r="O2104" s="74"/>
      <c r="P2104" s="74"/>
      <c r="Q2104" s="74"/>
      <c r="R2104" s="74"/>
      <c r="S2104" s="74"/>
      <c r="T2104" s="74"/>
      <c r="U2104" s="74"/>
      <c r="V2104" s="74"/>
      <c r="W2104" s="74"/>
      <c r="X2104" s="74"/>
      <c r="Y2104" s="74"/>
      <c r="Z2104" s="74"/>
      <c r="AA2104" s="74"/>
      <c r="AB2104" s="74"/>
    </row>
    <row r="2105" spans="1:28" ht="12" customHeight="1">
      <c r="A2105" s="260"/>
      <c r="B2105" s="104"/>
      <c r="C2105" s="104"/>
      <c r="D2105" s="260"/>
      <c r="E2105" s="104"/>
      <c r="F2105" s="104"/>
      <c r="G2105" s="35"/>
      <c r="H2105" s="104"/>
      <c r="I2105" s="35"/>
      <c r="J2105" s="74"/>
      <c r="K2105" s="74"/>
      <c r="L2105" s="74"/>
      <c r="M2105" s="74"/>
      <c r="N2105" s="74"/>
      <c r="O2105" s="74"/>
      <c r="P2105" s="74"/>
      <c r="Q2105" s="74"/>
      <c r="R2105" s="74"/>
      <c r="S2105" s="74"/>
      <c r="T2105" s="74"/>
      <c r="U2105" s="74"/>
      <c r="V2105" s="74"/>
      <c r="W2105" s="74"/>
      <c r="X2105" s="74"/>
      <c r="Y2105" s="74"/>
      <c r="Z2105" s="74"/>
      <c r="AA2105" s="74"/>
      <c r="AB2105" s="74"/>
    </row>
    <row r="2106" spans="1:28" ht="12" customHeight="1">
      <c r="A2106" s="260"/>
      <c r="B2106" s="104"/>
      <c r="C2106" s="104"/>
      <c r="D2106" s="260"/>
      <c r="E2106" s="104"/>
      <c r="F2106" s="104"/>
      <c r="G2106" s="35"/>
      <c r="H2106" s="104"/>
      <c r="I2106" s="35"/>
      <c r="J2106" s="74"/>
      <c r="K2106" s="74"/>
      <c r="L2106" s="74"/>
      <c r="M2106" s="74"/>
      <c r="N2106" s="74"/>
      <c r="O2106" s="74"/>
      <c r="P2106" s="74"/>
      <c r="Q2106" s="74"/>
      <c r="R2106" s="74"/>
      <c r="S2106" s="74"/>
      <c r="T2106" s="74"/>
      <c r="U2106" s="74"/>
      <c r="V2106" s="74"/>
      <c r="W2106" s="74"/>
      <c r="X2106" s="74"/>
      <c r="Y2106" s="74"/>
      <c r="Z2106" s="74"/>
      <c r="AA2106" s="74"/>
      <c r="AB2106" s="74"/>
    </row>
    <row r="2107" spans="1:28" ht="12" customHeight="1">
      <c r="A2107" s="260"/>
      <c r="B2107" s="104"/>
      <c r="C2107" s="104"/>
      <c r="D2107" s="260"/>
      <c r="E2107" s="104"/>
      <c r="F2107" s="104"/>
      <c r="G2107" s="35"/>
      <c r="H2107" s="104"/>
      <c r="I2107" s="35"/>
      <c r="J2107" s="74"/>
      <c r="K2107" s="74"/>
      <c r="L2107" s="74"/>
      <c r="M2107" s="74"/>
      <c r="N2107" s="74"/>
      <c r="O2107" s="74"/>
      <c r="P2107" s="74"/>
      <c r="Q2107" s="74"/>
      <c r="R2107" s="74"/>
      <c r="S2107" s="74"/>
      <c r="T2107" s="74"/>
      <c r="U2107" s="74"/>
      <c r="V2107" s="74"/>
      <c r="W2107" s="74"/>
      <c r="X2107" s="74"/>
      <c r="Y2107" s="74"/>
      <c r="Z2107" s="74"/>
      <c r="AA2107" s="74"/>
      <c r="AB2107" s="74"/>
    </row>
    <row r="2108" spans="1:28" ht="12" customHeight="1">
      <c r="A2108" s="260"/>
      <c r="B2108" s="104"/>
      <c r="C2108" s="104"/>
      <c r="D2108" s="260"/>
      <c r="E2108" s="104"/>
      <c r="F2108" s="104"/>
      <c r="G2108" s="35"/>
      <c r="H2108" s="104"/>
      <c r="I2108" s="35"/>
      <c r="J2108" s="74"/>
      <c r="K2108" s="74"/>
      <c r="L2108" s="74"/>
      <c r="M2108" s="74"/>
      <c r="N2108" s="74"/>
      <c r="O2108" s="74"/>
      <c r="P2108" s="74"/>
      <c r="Q2108" s="74"/>
      <c r="R2108" s="74"/>
      <c r="S2108" s="74"/>
      <c r="T2108" s="74"/>
      <c r="U2108" s="74"/>
      <c r="V2108" s="74"/>
      <c r="W2108" s="74"/>
      <c r="X2108" s="74"/>
      <c r="Y2108" s="74"/>
      <c r="Z2108" s="74"/>
      <c r="AA2108" s="74"/>
      <c r="AB2108" s="74"/>
    </row>
    <row r="2109" spans="1:28" ht="12" customHeight="1">
      <c r="A2109" s="260"/>
      <c r="B2109" s="104"/>
      <c r="C2109" s="104"/>
      <c r="D2109" s="260"/>
      <c r="E2109" s="104"/>
      <c r="F2109" s="104"/>
      <c r="G2109" s="35"/>
      <c r="H2109" s="104"/>
      <c r="I2109" s="35"/>
      <c r="J2109" s="74"/>
      <c r="K2109" s="74"/>
      <c r="L2109" s="74"/>
      <c r="M2109" s="74"/>
      <c r="N2109" s="74"/>
      <c r="O2109" s="74"/>
      <c r="P2109" s="74"/>
      <c r="Q2109" s="74"/>
      <c r="R2109" s="74"/>
      <c r="S2109" s="74"/>
      <c r="T2109" s="74"/>
      <c r="U2109" s="74"/>
      <c r="V2109" s="74"/>
      <c r="W2109" s="74"/>
      <c r="X2109" s="74"/>
      <c r="Y2109" s="74"/>
      <c r="Z2109" s="74"/>
      <c r="AA2109" s="74"/>
      <c r="AB2109" s="74"/>
    </row>
    <row r="2110" spans="1:28" ht="12" customHeight="1">
      <c r="A2110" s="260"/>
      <c r="B2110" s="104"/>
      <c r="C2110" s="104"/>
      <c r="D2110" s="260"/>
      <c r="E2110" s="104"/>
      <c r="F2110" s="104"/>
      <c r="G2110" s="35"/>
      <c r="H2110" s="104"/>
      <c r="I2110" s="35"/>
      <c r="J2110" s="74"/>
      <c r="K2110" s="74"/>
      <c r="L2110" s="74"/>
      <c r="M2110" s="74"/>
      <c r="N2110" s="74"/>
      <c r="O2110" s="74"/>
      <c r="P2110" s="74"/>
      <c r="Q2110" s="74"/>
      <c r="R2110" s="74"/>
      <c r="S2110" s="74"/>
      <c r="T2110" s="74"/>
      <c r="U2110" s="74"/>
      <c r="V2110" s="74"/>
      <c r="W2110" s="74"/>
      <c r="X2110" s="74"/>
      <c r="Y2110" s="74"/>
      <c r="Z2110" s="74"/>
      <c r="AA2110" s="74"/>
      <c r="AB2110" s="74"/>
    </row>
    <row r="2111" spans="1:28" ht="12" customHeight="1">
      <c r="A2111" s="260"/>
      <c r="B2111" s="104"/>
      <c r="C2111" s="104"/>
      <c r="D2111" s="260"/>
      <c r="E2111" s="104"/>
      <c r="F2111" s="104"/>
      <c r="G2111" s="35"/>
      <c r="H2111" s="104"/>
      <c r="I2111" s="35"/>
      <c r="J2111" s="74"/>
      <c r="K2111" s="74"/>
      <c r="L2111" s="74"/>
      <c r="M2111" s="74"/>
      <c r="N2111" s="74"/>
      <c r="O2111" s="74"/>
      <c r="P2111" s="74"/>
      <c r="Q2111" s="74"/>
      <c r="R2111" s="74"/>
      <c r="S2111" s="74"/>
      <c r="T2111" s="74"/>
      <c r="U2111" s="74"/>
      <c r="V2111" s="74"/>
      <c r="W2111" s="74"/>
      <c r="X2111" s="74"/>
      <c r="Y2111" s="74"/>
      <c r="Z2111" s="74"/>
      <c r="AA2111" s="74"/>
      <c r="AB2111" s="74"/>
    </row>
    <row r="2112" spans="1:28" ht="12" customHeight="1">
      <c r="A2112" s="260"/>
      <c r="B2112" s="104"/>
      <c r="C2112" s="104"/>
      <c r="D2112" s="260"/>
      <c r="E2112" s="104"/>
      <c r="F2112" s="104"/>
      <c r="G2112" s="35"/>
      <c r="H2112" s="104"/>
      <c r="I2112" s="35"/>
      <c r="J2112" s="74"/>
      <c r="K2112" s="74"/>
      <c r="L2112" s="74"/>
      <c r="M2112" s="74"/>
      <c r="N2112" s="74"/>
      <c r="O2112" s="74"/>
      <c r="P2112" s="74"/>
      <c r="Q2112" s="74"/>
      <c r="R2112" s="74"/>
      <c r="S2112" s="74"/>
      <c r="T2112" s="74"/>
      <c r="U2112" s="74"/>
      <c r="V2112" s="74"/>
      <c r="W2112" s="74"/>
      <c r="X2112" s="74"/>
      <c r="Y2112" s="74"/>
      <c r="Z2112" s="74"/>
      <c r="AA2112" s="74"/>
      <c r="AB2112" s="74"/>
    </row>
    <row r="2113" spans="1:28" ht="12" customHeight="1">
      <c r="A2113" s="260"/>
      <c r="B2113" s="104"/>
      <c r="C2113" s="104"/>
      <c r="D2113" s="260"/>
      <c r="E2113" s="104"/>
      <c r="F2113" s="104"/>
      <c r="G2113" s="35"/>
      <c r="H2113" s="104"/>
      <c r="I2113" s="35"/>
      <c r="J2113" s="74"/>
      <c r="K2113" s="74"/>
      <c r="L2113" s="74"/>
      <c r="M2113" s="74"/>
      <c r="N2113" s="74"/>
      <c r="O2113" s="74"/>
      <c r="P2113" s="74"/>
      <c r="Q2113" s="74"/>
      <c r="R2113" s="74"/>
      <c r="S2113" s="74"/>
      <c r="T2113" s="74"/>
      <c r="U2113" s="74"/>
      <c r="V2113" s="74"/>
      <c r="W2113" s="74"/>
      <c r="X2113" s="74"/>
      <c r="Y2113" s="74"/>
      <c r="Z2113" s="74"/>
      <c r="AA2113" s="74"/>
      <c r="AB2113" s="74"/>
    </row>
    <row r="2114" spans="1:28" ht="12" customHeight="1">
      <c r="A2114" s="260"/>
      <c r="B2114" s="104"/>
      <c r="C2114" s="104"/>
      <c r="D2114" s="260"/>
      <c r="E2114" s="104"/>
      <c r="F2114" s="104"/>
      <c r="G2114" s="35"/>
      <c r="H2114" s="104"/>
      <c r="I2114" s="35"/>
      <c r="J2114" s="74"/>
      <c r="K2114" s="74"/>
      <c r="L2114" s="74"/>
      <c r="M2114" s="74"/>
      <c r="N2114" s="74"/>
      <c r="O2114" s="74"/>
      <c r="P2114" s="74"/>
      <c r="Q2114" s="74"/>
      <c r="R2114" s="74"/>
      <c r="S2114" s="74"/>
      <c r="T2114" s="74"/>
      <c r="U2114" s="74"/>
      <c r="V2114" s="74"/>
      <c r="W2114" s="74"/>
      <c r="X2114" s="74"/>
      <c r="Y2114" s="74"/>
      <c r="Z2114" s="74"/>
      <c r="AA2114" s="74"/>
      <c r="AB2114" s="74"/>
    </row>
    <row r="2115" spans="1:28" ht="12" customHeight="1">
      <c r="A2115" s="260"/>
      <c r="B2115" s="104"/>
      <c r="C2115" s="104"/>
      <c r="D2115" s="260"/>
      <c r="E2115" s="104"/>
      <c r="F2115" s="104"/>
      <c r="G2115" s="35"/>
      <c r="H2115" s="104"/>
      <c r="I2115" s="35"/>
      <c r="J2115" s="74"/>
      <c r="K2115" s="74"/>
      <c r="L2115" s="74"/>
      <c r="M2115" s="74"/>
      <c r="N2115" s="74"/>
      <c r="O2115" s="74"/>
      <c r="P2115" s="74"/>
      <c r="Q2115" s="74"/>
      <c r="R2115" s="74"/>
      <c r="S2115" s="74"/>
      <c r="T2115" s="74"/>
      <c r="U2115" s="74"/>
      <c r="V2115" s="74"/>
      <c r="W2115" s="74"/>
      <c r="X2115" s="74"/>
      <c r="Y2115" s="74"/>
      <c r="Z2115" s="74"/>
      <c r="AA2115" s="74"/>
      <c r="AB2115" s="74"/>
    </row>
    <row r="2116" spans="1:28" ht="12" customHeight="1">
      <c r="A2116" s="260"/>
      <c r="B2116" s="104"/>
      <c r="C2116" s="104"/>
      <c r="D2116" s="260"/>
      <c r="E2116" s="104"/>
      <c r="F2116" s="104"/>
      <c r="G2116" s="35"/>
      <c r="H2116" s="104"/>
      <c r="I2116" s="35"/>
      <c r="J2116" s="74"/>
      <c r="K2116" s="74"/>
      <c r="L2116" s="74"/>
      <c r="M2116" s="74"/>
      <c r="N2116" s="74"/>
      <c r="O2116" s="74"/>
      <c r="P2116" s="74"/>
      <c r="Q2116" s="74"/>
      <c r="R2116" s="74"/>
      <c r="S2116" s="74"/>
      <c r="T2116" s="74"/>
      <c r="U2116" s="74"/>
      <c r="V2116" s="74"/>
      <c r="W2116" s="74"/>
      <c r="X2116" s="74"/>
      <c r="Y2116" s="74"/>
      <c r="Z2116" s="74"/>
      <c r="AA2116" s="74"/>
      <c r="AB2116" s="74"/>
    </row>
    <row r="2117" spans="1:28" ht="12" customHeight="1">
      <c r="A2117" s="260"/>
      <c r="B2117" s="104"/>
      <c r="C2117" s="104"/>
      <c r="D2117" s="260"/>
      <c r="E2117" s="104"/>
      <c r="F2117" s="104"/>
      <c r="G2117" s="35"/>
      <c r="H2117" s="104"/>
      <c r="I2117" s="35"/>
      <c r="J2117" s="74"/>
      <c r="K2117" s="74"/>
      <c r="L2117" s="74"/>
      <c r="M2117" s="74"/>
      <c r="N2117" s="74"/>
      <c r="O2117" s="74"/>
      <c r="P2117" s="74"/>
      <c r="Q2117" s="74"/>
      <c r="R2117" s="74"/>
      <c r="S2117" s="74"/>
      <c r="T2117" s="74"/>
      <c r="U2117" s="74"/>
      <c r="V2117" s="74"/>
      <c r="W2117" s="74"/>
      <c r="X2117" s="74"/>
      <c r="Y2117" s="74"/>
      <c r="Z2117" s="74"/>
      <c r="AA2117" s="74"/>
      <c r="AB2117" s="74"/>
    </row>
    <row r="2118" spans="1:28" ht="12" customHeight="1">
      <c r="A2118" s="260"/>
      <c r="B2118" s="104"/>
      <c r="C2118" s="104"/>
      <c r="D2118" s="260"/>
      <c r="E2118" s="104"/>
      <c r="F2118" s="104"/>
      <c r="G2118" s="35"/>
      <c r="H2118" s="104"/>
      <c r="I2118" s="35"/>
      <c r="J2118" s="74"/>
      <c r="K2118" s="74"/>
      <c r="L2118" s="74"/>
      <c r="M2118" s="74"/>
      <c r="N2118" s="74"/>
      <c r="O2118" s="74"/>
      <c r="P2118" s="74"/>
      <c r="Q2118" s="74"/>
      <c r="R2118" s="74"/>
      <c r="S2118" s="74"/>
      <c r="T2118" s="74"/>
      <c r="U2118" s="74"/>
      <c r="V2118" s="74"/>
      <c r="W2118" s="74"/>
      <c r="X2118" s="74"/>
      <c r="Y2118" s="74"/>
      <c r="Z2118" s="74"/>
      <c r="AA2118" s="74"/>
      <c r="AB2118" s="74"/>
    </row>
    <row r="2119" spans="1:28" ht="12" customHeight="1">
      <c r="A2119" s="260"/>
      <c r="B2119" s="104"/>
      <c r="C2119" s="104"/>
      <c r="D2119" s="260"/>
      <c r="E2119" s="104"/>
      <c r="F2119" s="104"/>
      <c r="G2119" s="35"/>
      <c r="H2119" s="104"/>
      <c r="I2119" s="35"/>
      <c r="J2119" s="74"/>
      <c r="K2119" s="74"/>
      <c r="L2119" s="74"/>
      <c r="M2119" s="74"/>
      <c r="N2119" s="74"/>
      <c r="O2119" s="74"/>
      <c r="P2119" s="74"/>
      <c r="Q2119" s="74"/>
      <c r="R2119" s="74"/>
      <c r="S2119" s="74"/>
      <c r="T2119" s="74"/>
      <c r="U2119" s="74"/>
      <c r="V2119" s="74"/>
      <c r="W2119" s="74"/>
      <c r="X2119" s="74"/>
      <c r="Y2119" s="74"/>
      <c r="Z2119" s="74"/>
      <c r="AA2119" s="74"/>
      <c r="AB2119" s="74"/>
    </row>
    <row r="2120" spans="1:28" ht="12" customHeight="1">
      <c r="A2120" s="260"/>
      <c r="B2120" s="104"/>
      <c r="C2120" s="104"/>
      <c r="D2120" s="260"/>
      <c r="E2120" s="104"/>
      <c r="F2120" s="104"/>
      <c r="G2120" s="35"/>
      <c r="H2120" s="104"/>
      <c r="I2120" s="35"/>
      <c r="J2120" s="74"/>
      <c r="K2120" s="74"/>
      <c r="L2120" s="74"/>
      <c r="M2120" s="74"/>
      <c r="N2120" s="74"/>
      <c r="O2120" s="74"/>
      <c r="P2120" s="74"/>
      <c r="Q2120" s="74"/>
      <c r="R2120" s="74"/>
      <c r="S2120" s="74"/>
      <c r="T2120" s="74"/>
      <c r="U2120" s="74"/>
      <c r="V2120" s="74"/>
      <c r="W2120" s="74"/>
      <c r="X2120" s="74"/>
      <c r="Y2120" s="74"/>
      <c r="Z2120" s="74"/>
      <c r="AA2120" s="74"/>
      <c r="AB2120" s="74"/>
    </row>
    <row r="2121" spans="1:28" ht="12" customHeight="1">
      <c r="A2121" s="260"/>
      <c r="B2121" s="104"/>
      <c r="C2121" s="104"/>
      <c r="D2121" s="260"/>
      <c r="E2121" s="104"/>
      <c r="F2121" s="104"/>
      <c r="G2121" s="35"/>
      <c r="H2121" s="104"/>
      <c r="I2121" s="35"/>
      <c r="J2121" s="74"/>
      <c r="K2121" s="74"/>
      <c r="L2121" s="74"/>
      <c r="M2121" s="74"/>
      <c r="N2121" s="74"/>
      <c r="O2121" s="74"/>
      <c r="P2121" s="74"/>
      <c r="Q2121" s="74"/>
      <c r="R2121" s="74"/>
      <c r="S2121" s="74"/>
      <c r="T2121" s="74"/>
      <c r="U2121" s="74"/>
      <c r="V2121" s="74"/>
      <c r="W2121" s="74"/>
      <c r="X2121" s="74"/>
      <c r="Y2121" s="74"/>
      <c r="Z2121" s="74"/>
      <c r="AA2121" s="74"/>
      <c r="AB2121" s="74"/>
    </row>
    <row r="2122" spans="1:28" ht="12" customHeight="1">
      <c r="A2122" s="260"/>
      <c r="B2122" s="104"/>
      <c r="C2122" s="104"/>
      <c r="D2122" s="260"/>
      <c r="E2122" s="104"/>
      <c r="F2122" s="104"/>
      <c r="G2122" s="35"/>
      <c r="H2122" s="104"/>
      <c r="I2122" s="35"/>
      <c r="J2122" s="74"/>
      <c r="K2122" s="74"/>
      <c r="L2122" s="74"/>
      <c r="M2122" s="74"/>
      <c r="N2122" s="74"/>
      <c r="O2122" s="74"/>
      <c r="P2122" s="74"/>
      <c r="Q2122" s="74"/>
      <c r="R2122" s="74"/>
      <c r="S2122" s="74"/>
      <c r="T2122" s="74"/>
      <c r="U2122" s="74"/>
      <c r="V2122" s="74"/>
      <c r="W2122" s="74"/>
      <c r="X2122" s="74"/>
      <c r="Y2122" s="74"/>
      <c r="Z2122" s="74"/>
      <c r="AA2122" s="74"/>
      <c r="AB2122" s="74"/>
    </row>
    <row r="2123" spans="1:28" ht="12" customHeight="1">
      <c r="A2123" s="260"/>
      <c r="B2123" s="104"/>
      <c r="C2123" s="104"/>
      <c r="D2123" s="260"/>
      <c r="E2123" s="104"/>
      <c r="F2123" s="104"/>
      <c r="G2123" s="35"/>
      <c r="H2123" s="104"/>
      <c r="I2123" s="35"/>
      <c r="J2123" s="74"/>
      <c r="K2123" s="74"/>
      <c r="L2123" s="74"/>
      <c r="M2123" s="74"/>
      <c r="N2123" s="74"/>
      <c r="O2123" s="74"/>
      <c r="P2123" s="74"/>
      <c r="Q2123" s="74"/>
      <c r="R2123" s="74"/>
      <c r="S2123" s="74"/>
      <c r="T2123" s="74"/>
      <c r="U2123" s="74"/>
      <c r="V2123" s="74"/>
      <c r="W2123" s="74"/>
      <c r="X2123" s="74"/>
      <c r="Y2123" s="74"/>
      <c r="Z2123" s="74"/>
      <c r="AA2123" s="74"/>
      <c r="AB2123" s="74"/>
    </row>
    <row r="2124" spans="1:28" ht="12" customHeight="1">
      <c r="A2124" s="260"/>
      <c r="B2124" s="104"/>
      <c r="C2124" s="104"/>
      <c r="D2124" s="260"/>
      <c r="E2124" s="104"/>
      <c r="F2124" s="104"/>
      <c r="G2124" s="35"/>
      <c r="H2124" s="104"/>
      <c r="I2124" s="35"/>
      <c r="J2124" s="74"/>
      <c r="K2124" s="74"/>
      <c r="L2124" s="74"/>
      <c r="M2124" s="74"/>
      <c r="N2124" s="74"/>
      <c r="O2124" s="74"/>
      <c r="P2124" s="74"/>
      <c r="Q2124" s="74"/>
      <c r="R2124" s="74"/>
      <c r="S2124" s="74"/>
      <c r="T2124" s="74"/>
      <c r="U2124" s="74"/>
      <c r="V2124" s="74"/>
      <c r="W2124" s="74"/>
      <c r="X2124" s="74"/>
      <c r="Y2124" s="74"/>
      <c r="Z2124" s="74"/>
      <c r="AA2124" s="74"/>
      <c r="AB2124" s="74"/>
    </row>
    <row r="2125" spans="1:28" ht="12" customHeight="1">
      <c r="A2125" s="260"/>
      <c r="B2125" s="104"/>
      <c r="C2125" s="104"/>
      <c r="D2125" s="260"/>
      <c r="E2125" s="104"/>
      <c r="F2125" s="104"/>
      <c r="G2125" s="35"/>
      <c r="H2125" s="104"/>
      <c r="I2125" s="35"/>
      <c r="J2125" s="74"/>
      <c r="K2125" s="74"/>
      <c r="L2125" s="74"/>
      <c r="M2125" s="74"/>
      <c r="N2125" s="74"/>
      <c r="O2125" s="74"/>
      <c r="P2125" s="74"/>
      <c r="Q2125" s="74"/>
      <c r="R2125" s="74"/>
      <c r="S2125" s="74"/>
      <c r="T2125" s="74"/>
      <c r="U2125" s="74"/>
      <c r="V2125" s="74"/>
      <c r="W2125" s="74"/>
      <c r="X2125" s="74"/>
      <c r="Y2125" s="74"/>
      <c r="Z2125" s="74"/>
      <c r="AA2125" s="74"/>
      <c r="AB2125" s="74"/>
    </row>
    <row r="2126" spans="1:28" ht="12" customHeight="1">
      <c r="A2126" s="260"/>
      <c r="B2126" s="104"/>
      <c r="C2126" s="104"/>
      <c r="D2126" s="260"/>
      <c r="E2126" s="104"/>
      <c r="F2126" s="104"/>
      <c r="G2126" s="35"/>
      <c r="H2126" s="104"/>
      <c r="I2126" s="35"/>
      <c r="J2126" s="74"/>
      <c r="K2126" s="74"/>
      <c r="L2126" s="74"/>
      <c r="M2126" s="74"/>
      <c r="N2126" s="74"/>
      <c r="O2126" s="74"/>
      <c r="P2126" s="74"/>
      <c r="Q2126" s="74"/>
      <c r="R2126" s="74"/>
      <c r="S2126" s="74"/>
      <c r="T2126" s="74"/>
      <c r="U2126" s="74"/>
      <c r="V2126" s="74"/>
      <c r="W2126" s="74"/>
      <c r="X2126" s="74"/>
      <c r="Y2126" s="74"/>
      <c r="Z2126" s="74"/>
      <c r="AA2126" s="74"/>
      <c r="AB2126" s="74"/>
    </row>
    <row r="2127" spans="1:28" ht="12" customHeight="1">
      <c r="A2127" s="260"/>
      <c r="B2127" s="104"/>
      <c r="C2127" s="104"/>
      <c r="D2127" s="260"/>
      <c r="E2127" s="104"/>
      <c r="F2127" s="104"/>
      <c r="G2127" s="35"/>
      <c r="H2127" s="104"/>
      <c r="I2127" s="35"/>
      <c r="J2127" s="74"/>
      <c r="K2127" s="74"/>
      <c r="L2127" s="74"/>
      <c r="M2127" s="74"/>
      <c r="N2127" s="74"/>
      <c r="O2127" s="74"/>
      <c r="P2127" s="74"/>
      <c r="Q2127" s="74"/>
      <c r="R2127" s="74"/>
      <c r="S2127" s="74"/>
      <c r="T2127" s="74"/>
      <c r="U2127" s="74"/>
      <c r="V2127" s="74"/>
      <c r="W2127" s="74"/>
      <c r="X2127" s="74"/>
      <c r="Y2127" s="74"/>
      <c r="Z2127" s="74"/>
      <c r="AA2127" s="74"/>
      <c r="AB2127" s="74"/>
    </row>
    <row r="2128" spans="1:28" ht="12" customHeight="1">
      <c r="A2128" s="260"/>
      <c r="B2128" s="104"/>
      <c r="C2128" s="104"/>
      <c r="D2128" s="260"/>
      <c r="E2128" s="104"/>
      <c r="F2128" s="104"/>
      <c r="G2128" s="35"/>
      <c r="H2128" s="104"/>
      <c r="I2128" s="35"/>
      <c r="J2128" s="74"/>
      <c r="K2128" s="74"/>
      <c r="L2128" s="74"/>
      <c r="M2128" s="74"/>
      <c r="N2128" s="74"/>
      <c r="O2128" s="74"/>
      <c r="P2128" s="74"/>
      <c r="Q2128" s="74"/>
      <c r="R2128" s="74"/>
      <c r="S2128" s="74"/>
      <c r="T2128" s="74"/>
      <c r="U2128" s="74"/>
      <c r="V2128" s="74"/>
      <c r="W2128" s="74"/>
      <c r="X2128" s="74"/>
      <c r="Y2128" s="74"/>
      <c r="Z2128" s="74"/>
      <c r="AA2128" s="74"/>
      <c r="AB2128" s="74"/>
    </row>
    <row r="2129" spans="1:28" ht="12" customHeight="1">
      <c r="A2129" s="260"/>
      <c r="B2129" s="104"/>
      <c r="C2129" s="104"/>
      <c r="D2129" s="260"/>
      <c r="E2129" s="104"/>
      <c r="F2129" s="104"/>
      <c r="G2129" s="35"/>
      <c r="H2129" s="104"/>
      <c r="I2129" s="35"/>
      <c r="J2129" s="74"/>
      <c r="K2129" s="74"/>
      <c r="L2129" s="74"/>
      <c r="M2129" s="74"/>
      <c r="N2129" s="74"/>
      <c r="O2129" s="74"/>
      <c r="P2129" s="74"/>
      <c r="Q2129" s="74"/>
      <c r="R2129" s="74"/>
      <c r="S2129" s="74"/>
      <c r="T2129" s="74"/>
      <c r="U2129" s="74"/>
      <c r="V2129" s="74"/>
      <c r="W2129" s="74"/>
      <c r="X2129" s="74"/>
      <c r="Y2129" s="74"/>
      <c r="Z2129" s="74"/>
      <c r="AA2129" s="74"/>
      <c r="AB2129" s="74"/>
    </row>
    <row r="2130" spans="1:28" ht="12" customHeight="1">
      <c r="A2130" s="260"/>
      <c r="B2130" s="104"/>
      <c r="C2130" s="104"/>
      <c r="D2130" s="260"/>
      <c r="E2130" s="104"/>
      <c r="F2130" s="104"/>
      <c r="G2130" s="35"/>
      <c r="H2130" s="104"/>
      <c r="I2130" s="35"/>
      <c r="J2130" s="74"/>
      <c r="K2130" s="74"/>
      <c r="L2130" s="74"/>
      <c r="M2130" s="74"/>
      <c r="N2130" s="74"/>
      <c r="O2130" s="74"/>
      <c r="P2130" s="74"/>
      <c r="Q2130" s="74"/>
      <c r="R2130" s="74"/>
      <c r="S2130" s="74"/>
      <c r="T2130" s="74"/>
      <c r="U2130" s="74"/>
      <c r="V2130" s="74"/>
      <c r="W2130" s="74"/>
      <c r="X2130" s="74"/>
      <c r="Y2130" s="74"/>
      <c r="Z2130" s="74"/>
      <c r="AA2130" s="74"/>
      <c r="AB2130" s="74"/>
    </row>
    <row r="2131" spans="1:28" ht="12" customHeight="1">
      <c r="A2131" s="260"/>
      <c r="B2131" s="104"/>
      <c r="C2131" s="104"/>
      <c r="D2131" s="260"/>
      <c r="E2131" s="104"/>
      <c r="F2131" s="104"/>
      <c r="G2131" s="35"/>
      <c r="H2131" s="104"/>
      <c r="I2131" s="35"/>
      <c r="J2131" s="74"/>
      <c r="K2131" s="74"/>
      <c r="L2131" s="74"/>
      <c r="M2131" s="74"/>
      <c r="N2131" s="74"/>
      <c r="O2131" s="74"/>
      <c r="P2131" s="74"/>
      <c r="Q2131" s="74"/>
      <c r="R2131" s="74"/>
      <c r="S2131" s="74"/>
      <c r="T2131" s="74"/>
      <c r="U2131" s="74"/>
      <c r="V2131" s="74"/>
      <c r="W2131" s="74"/>
      <c r="X2131" s="74"/>
      <c r="Y2131" s="74"/>
      <c r="Z2131" s="74"/>
      <c r="AA2131" s="74"/>
      <c r="AB2131" s="74"/>
    </row>
    <row r="2132" spans="1:28" ht="12" customHeight="1">
      <c r="A2132" s="260"/>
      <c r="B2132" s="104"/>
      <c r="C2132" s="104"/>
      <c r="D2132" s="260"/>
      <c r="E2132" s="104"/>
      <c r="F2132" s="104"/>
      <c r="G2132" s="35"/>
      <c r="H2132" s="104"/>
      <c r="I2132" s="35"/>
      <c r="J2132" s="74"/>
      <c r="K2132" s="74"/>
      <c r="L2132" s="74"/>
      <c r="M2132" s="74"/>
      <c r="N2132" s="74"/>
      <c r="O2132" s="74"/>
      <c r="P2132" s="74"/>
      <c r="Q2132" s="74"/>
      <c r="R2132" s="74"/>
      <c r="S2132" s="74"/>
      <c r="T2132" s="74"/>
      <c r="U2132" s="74"/>
      <c r="V2132" s="74"/>
      <c r="W2132" s="74"/>
      <c r="X2132" s="74"/>
      <c r="Y2132" s="74"/>
      <c r="Z2132" s="74"/>
      <c r="AA2132" s="74"/>
      <c r="AB2132" s="74"/>
    </row>
    <row r="2133" spans="1:28" ht="12" customHeight="1">
      <c r="A2133" s="260"/>
      <c r="B2133" s="104"/>
      <c r="C2133" s="104"/>
      <c r="D2133" s="260"/>
      <c r="E2133" s="104"/>
      <c r="F2133" s="104"/>
      <c r="G2133" s="35"/>
      <c r="H2133" s="104"/>
      <c r="I2133" s="35"/>
      <c r="J2133" s="74"/>
      <c r="K2133" s="74"/>
      <c r="L2133" s="74"/>
      <c r="M2133" s="74"/>
      <c r="N2133" s="74"/>
      <c r="O2133" s="74"/>
      <c r="P2133" s="74"/>
      <c r="Q2133" s="74"/>
      <c r="R2133" s="74"/>
      <c r="S2133" s="74"/>
      <c r="T2133" s="74"/>
      <c r="U2133" s="74"/>
      <c r="V2133" s="74"/>
      <c r="W2133" s="74"/>
      <c r="X2133" s="74"/>
      <c r="Y2133" s="74"/>
      <c r="Z2133" s="74"/>
      <c r="AA2133" s="74"/>
      <c r="AB2133" s="74"/>
    </row>
    <row r="2134" spans="1:28" ht="12" customHeight="1">
      <c r="A2134" s="260"/>
      <c r="B2134" s="104"/>
      <c r="C2134" s="104"/>
      <c r="D2134" s="260"/>
      <c r="E2134" s="104"/>
      <c r="F2134" s="104"/>
      <c r="G2134" s="35"/>
      <c r="H2134" s="104"/>
      <c r="I2134" s="35"/>
      <c r="J2134" s="74"/>
      <c r="K2134" s="74"/>
      <c r="L2134" s="74"/>
      <c r="M2134" s="74"/>
      <c r="N2134" s="74"/>
      <c r="O2134" s="74"/>
      <c r="P2134" s="74"/>
      <c r="Q2134" s="74"/>
      <c r="R2134" s="74"/>
      <c r="S2134" s="74"/>
      <c r="T2134" s="74"/>
      <c r="U2134" s="74"/>
      <c r="V2134" s="74"/>
      <c r="W2134" s="74"/>
      <c r="X2134" s="74"/>
      <c r="Y2134" s="74"/>
      <c r="Z2134" s="74"/>
      <c r="AA2134" s="74"/>
      <c r="AB2134" s="74"/>
    </row>
    <row r="2135" spans="1:28" ht="12" customHeight="1">
      <c r="A2135" s="260"/>
      <c r="B2135" s="104"/>
      <c r="C2135" s="104"/>
      <c r="D2135" s="260"/>
      <c r="E2135" s="104"/>
      <c r="F2135" s="104"/>
      <c r="G2135" s="35"/>
      <c r="H2135" s="104"/>
      <c r="I2135" s="35"/>
      <c r="J2135" s="74"/>
      <c r="K2135" s="74"/>
      <c r="L2135" s="74"/>
      <c r="M2135" s="74"/>
      <c r="N2135" s="74"/>
      <c r="O2135" s="74"/>
      <c r="P2135" s="74"/>
      <c r="Q2135" s="74"/>
      <c r="R2135" s="74"/>
      <c r="S2135" s="74"/>
      <c r="T2135" s="74"/>
      <c r="U2135" s="74"/>
      <c r="V2135" s="74"/>
      <c r="W2135" s="74"/>
      <c r="X2135" s="74"/>
      <c r="Y2135" s="74"/>
      <c r="Z2135" s="74"/>
      <c r="AA2135" s="74"/>
      <c r="AB2135" s="74"/>
    </row>
    <row r="2136" spans="1:28" ht="12" customHeight="1">
      <c r="A2136" s="260"/>
      <c r="B2136" s="104"/>
      <c r="C2136" s="104"/>
      <c r="D2136" s="260"/>
      <c r="E2136" s="104"/>
      <c r="F2136" s="104"/>
      <c r="G2136" s="35"/>
      <c r="H2136" s="104"/>
      <c r="I2136" s="35"/>
      <c r="J2136" s="74"/>
      <c r="K2136" s="74"/>
      <c r="L2136" s="74"/>
      <c r="M2136" s="74"/>
      <c r="N2136" s="74"/>
      <c r="O2136" s="74"/>
      <c r="P2136" s="74"/>
      <c r="Q2136" s="74"/>
      <c r="R2136" s="74"/>
      <c r="S2136" s="74"/>
      <c r="T2136" s="74"/>
      <c r="U2136" s="74"/>
      <c r="V2136" s="74"/>
      <c r="W2136" s="74"/>
      <c r="X2136" s="74"/>
      <c r="Y2136" s="74"/>
      <c r="Z2136" s="74"/>
      <c r="AA2136" s="74"/>
      <c r="AB2136" s="74"/>
    </row>
    <row r="2137" spans="1:28" ht="12" customHeight="1">
      <c r="A2137" s="260"/>
      <c r="B2137" s="104"/>
      <c r="C2137" s="104"/>
      <c r="D2137" s="260"/>
      <c r="E2137" s="104"/>
      <c r="F2137" s="104"/>
      <c r="G2137" s="35"/>
      <c r="H2137" s="104"/>
      <c r="I2137" s="35"/>
      <c r="J2137" s="74"/>
      <c r="K2137" s="74"/>
      <c r="L2137" s="74"/>
      <c r="M2137" s="74"/>
      <c r="N2137" s="74"/>
      <c r="O2137" s="74"/>
      <c r="P2137" s="74"/>
      <c r="Q2137" s="74"/>
      <c r="R2137" s="74"/>
      <c r="S2137" s="74"/>
      <c r="T2137" s="74"/>
      <c r="U2137" s="74"/>
      <c r="V2137" s="74"/>
      <c r="W2137" s="74"/>
      <c r="X2137" s="74"/>
      <c r="Y2137" s="74"/>
      <c r="Z2137" s="74"/>
      <c r="AA2137" s="74"/>
      <c r="AB2137" s="74"/>
    </row>
    <row r="2138" spans="1:28" ht="12" customHeight="1">
      <c r="A2138" s="260"/>
      <c r="B2138" s="104"/>
      <c r="C2138" s="104"/>
      <c r="D2138" s="260"/>
      <c r="E2138" s="104"/>
      <c r="F2138" s="104"/>
      <c r="G2138" s="35"/>
      <c r="H2138" s="104"/>
      <c r="I2138" s="35"/>
      <c r="J2138" s="74"/>
      <c r="K2138" s="74"/>
      <c r="L2138" s="74"/>
      <c r="M2138" s="74"/>
      <c r="N2138" s="74"/>
      <c r="O2138" s="74"/>
      <c r="P2138" s="74"/>
      <c r="Q2138" s="74"/>
      <c r="R2138" s="74"/>
      <c r="S2138" s="74"/>
      <c r="T2138" s="74"/>
      <c r="U2138" s="74"/>
      <c r="V2138" s="74"/>
      <c r="W2138" s="74"/>
      <c r="X2138" s="74"/>
      <c r="Y2138" s="74"/>
      <c r="Z2138" s="74"/>
      <c r="AA2138" s="74"/>
      <c r="AB2138" s="74"/>
    </row>
    <row r="2139" spans="1:28" ht="12" customHeight="1">
      <c r="A2139" s="260"/>
      <c r="B2139" s="104"/>
      <c r="C2139" s="104"/>
      <c r="D2139" s="260"/>
      <c r="E2139" s="104"/>
      <c r="F2139" s="104"/>
      <c r="G2139" s="35"/>
      <c r="H2139" s="104"/>
      <c r="I2139" s="35"/>
      <c r="J2139" s="74"/>
      <c r="K2139" s="74"/>
      <c r="L2139" s="74"/>
      <c r="M2139" s="74"/>
      <c r="N2139" s="74"/>
      <c r="O2139" s="74"/>
      <c r="P2139" s="74"/>
      <c r="Q2139" s="74"/>
      <c r="R2139" s="74"/>
      <c r="S2139" s="74"/>
      <c r="T2139" s="74"/>
      <c r="U2139" s="74"/>
      <c r="V2139" s="74"/>
      <c r="W2139" s="74"/>
      <c r="X2139" s="74"/>
      <c r="Y2139" s="74"/>
      <c r="Z2139" s="74"/>
      <c r="AA2139" s="74"/>
      <c r="AB2139" s="74"/>
    </row>
    <row r="2140" spans="1:28" ht="12" customHeight="1">
      <c r="A2140" s="260"/>
      <c r="B2140" s="104"/>
      <c r="C2140" s="104"/>
      <c r="D2140" s="260"/>
      <c r="E2140" s="104"/>
      <c r="F2140" s="104"/>
      <c r="G2140" s="35"/>
      <c r="H2140" s="104"/>
      <c r="I2140" s="35"/>
      <c r="J2140" s="74"/>
      <c r="K2140" s="74"/>
      <c r="L2140" s="74"/>
      <c r="M2140" s="74"/>
      <c r="N2140" s="74"/>
      <c r="O2140" s="74"/>
      <c r="P2140" s="74"/>
      <c r="Q2140" s="74"/>
      <c r="R2140" s="74"/>
      <c r="S2140" s="74"/>
      <c r="T2140" s="74"/>
      <c r="U2140" s="74"/>
      <c r="V2140" s="74"/>
      <c r="W2140" s="74"/>
      <c r="X2140" s="74"/>
      <c r="Y2140" s="74"/>
      <c r="Z2140" s="74"/>
      <c r="AA2140" s="74"/>
      <c r="AB2140" s="74"/>
    </row>
    <row r="2141" spans="1:28" ht="12" customHeight="1">
      <c r="A2141" s="260"/>
      <c r="B2141" s="104"/>
      <c r="C2141" s="104"/>
      <c r="D2141" s="260"/>
      <c r="E2141" s="104"/>
      <c r="F2141" s="104"/>
      <c r="G2141" s="35"/>
      <c r="H2141" s="104"/>
      <c r="I2141" s="35"/>
      <c r="J2141" s="74"/>
      <c r="K2141" s="74"/>
      <c r="L2141" s="74"/>
      <c r="M2141" s="74"/>
      <c r="N2141" s="74"/>
      <c r="O2141" s="74"/>
      <c r="P2141" s="74"/>
      <c r="Q2141" s="74"/>
      <c r="R2141" s="74"/>
      <c r="S2141" s="74"/>
      <c r="T2141" s="74"/>
      <c r="U2141" s="74"/>
      <c r="V2141" s="74"/>
      <c r="W2141" s="74"/>
      <c r="X2141" s="74"/>
      <c r="Y2141" s="74"/>
      <c r="Z2141" s="74"/>
      <c r="AA2141" s="74"/>
      <c r="AB2141" s="74"/>
    </row>
    <row r="2142" spans="1:28" ht="12" customHeight="1">
      <c r="A2142" s="260"/>
      <c r="B2142" s="104"/>
      <c r="C2142" s="104"/>
      <c r="D2142" s="260"/>
      <c r="E2142" s="104"/>
      <c r="F2142" s="104"/>
      <c r="G2142" s="35"/>
      <c r="H2142" s="104"/>
      <c r="I2142" s="35"/>
      <c r="J2142" s="74"/>
      <c r="K2142" s="74"/>
      <c r="L2142" s="74"/>
      <c r="M2142" s="74"/>
      <c r="N2142" s="74"/>
      <c r="O2142" s="74"/>
      <c r="P2142" s="74"/>
      <c r="Q2142" s="74"/>
      <c r="R2142" s="74"/>
      <c r="S2142" s="74"/>
      <c r="T2142" s="74"/>
      <c r="U2142" s="74"/>
      <c r="V2142" s="74"/>
      <c r="W2142" s="74"/>
      <c r="X2142" s="74"/>
      <c r="Y2142" s="74"/>
      <c r="Z2142" s="74"/>
      <c r="AA2142" s="74"/>
      <c r="AB2142" s="74"/>
    </row>
    <row r="2143" spans="1:28" ht="12" customHeight="1">
      <c r="A2143" s="260"/>
      <c r="B2143" s="104"/>
      <c r="C2143" s="104"/>
      <c r="D2143" s="260"/>
      <c r="E2143" s="104"/>
      <c r="F2143" s="104"/>
      <c r="G2143" s="35"/>
      <c r="H2143" s="104"/>
      <c r="I2143" s="35"/>
      <c r="J2143" s="74"/>
      <c r="K2143" s="74"/>
      <c r="L2143" s="74"/>
      <c r="M2143" s="74"/>
      <c r="N2143" s="74"/>
      <c r="O2143" s="74"/>
      <c r="P2143" s="74"/>
      <c r="Q2143" s="74"/>
      <c r="R2143" s="74"/>
      <c r="S2143" s="74"/>
      <c r="T2143" s="74"/>
      <c r="U2143" s="74"/>
      <c r="V2143" s="74"/>
      <c r="W2143" s="74"/>
      <c r="X2143" s="74"/>
      <c r="Y2143" s="74"/>
      <c r="Z2143" s="74"/>
      <c r="AA2143" s="74"/>
      <c r="AB2143" s="74"/>
    </row>
    <row r="2144" spans="1:28" ht="12" customHeight="1">
      <c r="A2144" s="260"/>
      <c r="B2144" s="104"/>
      <c r="C2144" s="104"/>
      <c r="D2144" s="260"/>
      <c r="E2144" s="104"/>
      <c r="F2144" s="104"/>
      <c r="G2144" s="35"/>
      <c r="H2144" s="104"/>
      <c r="I2144" s="35"/>
      <c r="J2144" s="74"/>
      <c r="K2144" s="74"/>
      <c r="L2144" s="74"/>
      <c r="M2144" s="74"/>
      <c r="N2144" s="74"/>
      <c r="O2144" s="74"/>
      <c r="P2144" s="74"/>
      <c r="Q2144" s="74"/>
      <c r="R2144" s="74"/>
      <c r="S2144" s="74"/>
      <c r="T2144" s="74"/>
      <c r="U2144" s="74"/>
      <c r="V2144" s="74"/>
      <c r="W2144" s="74"/>
      <c r="X2144" s="74"/>
      <c r="Y2144" s="74"/>
      <c r="Z2144" s="74"/>
      <c r="AA2144" s="74"/>
      <c r="AB2144" s="74"/>
    </row>
    <row r="2145" spans="1:28" ht="12" customHeight="1">
      <c r="A2145" s="260"/>
      <c r="B2145" s="104"/>
      <c r="C2145" s="104"/>
      <c r="D2145" s="260"/>
      <c r="E2145" s="104"/>
      <c r="F2145" s="104"/>
      <c r="G2145" s="35"/>
      <c r="H2145" s="104"/>
      <c r="I2145" s="35"/>
      <c r="J2145" s="74"/>
      <c r="K2145" s="74"/>
      <c r="L2145" s="74"/>
      <c r="M2145" s="74"/>
      <c r="N2145" s="74"/>
      <c r="O2145" s="74"/>
      <c r="P2145" s="74"/>
      <c r="Q2145" s="74"/>
      <c r="R2145" s="74"/>
      <c r="S2145" s="74"/>
      <c r="T2145" s="74"/>
      <c r="U2145" s="74"/>
      <c r="V2145" s="74"/>
      <c r="W2145" s="74"/>
      <c r="X2145" s="74"/>
      <c r="Y2145" s="74"/>
      <c r="Z2145" s="74"/>
      <c r="AA2145" s="74"/>
      <c r="AB2145" s="74"/>
    </row>
    <row r="2146" spans="1:28" ht="12" customHeight="1">
      <c r="A2146" s="260"/>
      <c r="B2146" s="104"/>
      <c r="C2146" s="104"/>
      <c r="D2146" s="260"/>
      <c r="E2146" s="104"/>
      <c r="F2146" s="104"/>
      <c r="G2146" s="35"/>
      <c r="H2146" s="104"/>
      <c r="I2146" s="35"/>
      <c r="J2146" s="74"/>
      <c r="K2146" s="74"/>
      <c r="L2146" s="74"/>
      <c r="M2146" s="74"/>
      <c r="N2146" s="74"/>
      <c r="O2146" s="74"/>
      <c r="P2146" s="74"/>
      <c r="Q2146" s="74"/>
      <c r="R2146" s="74"/>
      <c r="S2146" s="74"/>
      <c r="T2146" s="74"/>
      <c r="U2146" s="74"/>
      <c r="V2146" s="74"/>
      <c r="W2146" s="74"/>
      <c r="X2146" s="74"/>
      <c r="Y2146" s="74"/>
      <c r="Z2146" s="74"/>
      <c r="AA2146" s="74"/>
      <c r="AB2146" s="74"/>
    </row>
    <row r="2147" spans="1:28" ht="12" customHeight="1">
      <c r="A2147" s="260"/>
      <c r="B2147" s="104"/>
      <c r="C2147" s="104"/>
      <c r="D2147" s="260"/>
      <c r="E2147" s="104"/>
      <c r="F2147" s="104"/>
      <c r="G2147" s="35"/>
      <c r="H2147" s="104"/>
      <c r="I2147" s="35"/>
      <c r="J2147" s="74"/>
      <c r="K2147" s="74"/>
      <c r="L2147" s="74"/>
      <c r="M2147" s="74"/>
      <c r="N2147" s="74"/>
      <c r="O2147" s="74"/>
      <c r="P2147" s="74"/>
      <c r="Q2147" s="74"/>
      <c r="R2147" s="74"/>
      <c r="S2147" s="74"/>
      <c r="T2147" s="74"/>
      <c r="U2147" s="74"/>
      <c r="V2147" s="74"/>
      <c r="W2147" s="74"/>
      <c r="X2147" s="74"/>
      <c r="Y2147" s="74"/>
      <c r="Z2147" s="74"/>
      <c r="AA2147" s="74"/>
      <c r="AB2147" s="74"/>
    </row>
    <row r="2148" spans="1:28" ht="12" customHeight="1">
      <c r="A2148" s="260"/>
      <c r="B2148" s="104"/>
      <c r="C2148" s="104"/>
      <c r="D2148" s="260"/>
      <c r="E2148" s="104"/>
      <c r="F2148" s="104"/>
      <c r="G2148" s="35"/>
      <c r="H2148" s="104"/>
      <c r="I2148" s="35"/>
      <c r="J2148" s="74"/>
      <c r="K2148" s="74"/>
      <c r="L2148" s="74"/>
      <c r="M2148" s="74"/>
      <c r="N2148" s="74"/>
      <c r="O2148" s="74"/>
      <c r="P2148" s="74"/>
      <c r="Q2148" s="74"/>
      <c r="R2148" s="74"/>
      <c r="S2148" s="74"/>
      <c r="T2148" s="74"/>
      <c r="U2148" s="74"/>
      <c r="V2148" s="74"/>
      <c r="W2148" s="74"/>
      <c r="X2148" s="74"/>
      <c r="Y2148" s="74"/>
      <c r="Z2148" s="74"/>
      <c r="AA2148" s="74"/>
      <c r="AB2148" s="74"/>
    </row>
    <row r="2149" spans="1:28" ht="12" customHeight="1">
      <c r="A2149" s="260"/>
      <c r="B2149" s="104"/>
      <c r="C2149" s="104"/>
      <c r="D2149" s="260"/>
      <c r="E2149" s="104"/>
      <c r="F2149" s="104"/>
      <c r="G2149" s="35"/>
      <c r="H2149" s="104"/>
      <c r="I2149" s="35"/>
      <c r="J2149" s="74"/>
      <c r="K2149" s="74"/>
      <c r="L2149" s="74"/>
      <c r="M2149" s="74"/>
      <c r="N2149" s="74"/>
      <c r="O2149" s="74"/>
      <c r="P2149" s="74"/>
      <c r="Q2149" s="74"/>
      <c r="R2149" s="74"/>
      <c r="S2149" s="74"/>
      <c r="T2149" s="74"/>
      <c r="U2149" s="74"/>
      <c r="V2149" s="74"/>
      <c r="W2149" s="74"/>
      <c r="X2149" s="74"/>
      <c r="Y2149" s="74"/>
      <c r="Z2149" s="74"/>
      <c r="AA2149" s="74"/>
      <c r="AB2149" s="74"/>
    </row>
    <row r="2150" spans="1:28" ht="12" customHeight="1">
      <c r="A2150" s="260"/>
      <c r="B2150" s="104"/>
      <c r="C2150" s="104"/>
      <c r="D2150" s="260"/>
      <c r="E2150" s="104"/>
      <c r="F2150" s="104"/>
      <c r="G2150" s="35"/>
      <c r="H2150" s="104"/>
      <c r="I2150" s="35"/>
      <c r="J2150" s="74"/>
      <c r="K2150" s="74"/>
      <c r="L2150" s="74"/>
      <c r="M2150" s="74"/>
      <c r="N2150" s="74"/>
      <c r="O2150" s="74"/>
      <c r="P2150" s="74"/>
      <c r="Q2150" s="74"/>
      <c r="R2150" s="74"/>
      <c r="S2150" s="74"/>
      <c r="T2150" s="74"/>
      <c r="U2150" s="74"/>
      <c r="V2150" s="74"/>
      <c r="W2150" s="74"/>
      <c r="X2150" s="74"/>
      <c r="Y2150" s="74"/>
      <c r="Z2150" s="74"/>
      <c r="AA2150" s="74"/>
      <c r="AB2150" s="74"/>
    </row>
    <row r="2151" spans="1:28" ht="12" customHeight="1">
      <c r="A2151" s="260"/>
      <c r="B2151" s="104"/>
      <c r="C2151" s="104"/>
      <c r="D2151" s="260"/>
      <c r="E2151" s="104"/>
      <c r="F2151" s="104"/>
      <c r="G2151" s="35"/>
      <c r="H2151" s="104"/>
      <c r="I2151" s="35"/>
      <c r="J2151" s="74"/>
      <c r="K2151" s="74"/>
      <c r="L2151" s="74"/>
      <c r="M2151" s="74"/>
      <c r="N2151" s="74"/>
      <c r="O2151" s="74"/>
      <c r="P2151" s="74"/>
      <c r="Q2151" s="74"/>
      <c r="R2151" s="74"/>
      <c r="S2151" s="74"/>
      <c r="T2151" s="74"/>
      <c r="U2151" s="74"/>
      <c r="V2151" s="74"/>
      <c r="W2151" s="74"/>
      <c r="X2151" s="74"/>
      <c r="Y2151" s="74"/>
      <c r="Z2151" s="74"/>
      <c r="AA2151" s="74"/>
      <c r="AB2151" s="74"/>
    </row>
    <row r="2152" spans="1:28" ht="12" customHeight="1">
      <c r="A2152" s="260"/>
      <c r="B2152" s="104"/>
      <c r="C2152" s="104"/>
      <c r="D2152" s="260"/>
      <c r="E2152" s="104"/>
      <c r="F2152" s="104"/>
      <c r="G2152" s="35"/>
      <c r="H2152" s="104"/>
      <c r="I2152" s="35"/>
      <c r="J2152" s="74"/>
      <c r="K2152" s="74"/>
      <c r="L2152" s="74"/>
      <c r="M2152" s="74"/>
      <c r="N2152" s="74"/>
      <c r="O2152" s="74"/>
      <c r="P2152" s="74"/>
      <c r="Q2152" s="74"/>
      <c r="R2152" s="74"/>
      <c r="S2152" s="74"/>
      <c r="T2152" s="74"/>
      <c r="U2152" s="74"/>
      <c r="V2152" s="74"/>
      <c r="W2152" s="74"/>
      <c r="X2152" s="74"/>
      <c r="Y2152" s="74"/>
      <c r="Z2152" s="74"/>
      <c r="AA2152" s="74"/>
      <c r="AB2152" s="74"/>
    </row>
    <row r="2153" spans="1:28" ht="12" customHeight="1">
      <c r="A2153" s="260"/>
      <c r="B2153" s="104"/>
      <c r="C2153" s="104"/>
      <c r="D2153" s="260"/>
      <c r="E2153" s="104"/>
      <c r="F2153" s="104"/>
      <c r="G2153" s="35"/>
      <c r="H2153" s="104"/>
      <c r="I2153" s="35"/>
      <c r="J2153" s="74"/>
      <c r="K2153" s="74"/>
      <c r="L2153" s="74"/>
      <c r="M2153" s="74"/>
      <c r="N2153" s="74"/>
      <c r="O2153" s="74"/>
      <c r="P2153" s="74"/>
      <c r="Q2153" s="74"/>
      <c r="R2153" s="74"/>
      <c r="S2153" s="74"/>
      <c r="T2153" s="74"/>
      <c r="U2153" s="74"/>
      <c r="V2153" s="74"/>
      <c r="W2153" s="74"/>
      <c r="X2153" s="74"/>
      <c r="Y2153" s="74"/>
      <c r="Z2153" s="74"/>
      <c r="AA2153" s="74"/>
      <c r="AB2153" s="74"/>
    </row>
    <row r="2154" spans="1:28" ht="12" customHeight="1">
      <c r="A2154" s="260"/>
      <c r="B2154" s="104"/>
      <c r="C2154" s="104"/>
      <c r="D2154" s="260"/>
      <c r="E2154" s="104"/>
      <c r="F2154" s="104"/>
      <c r="G2154" s="35"/>
      <c r="H2154" s="104"/>
      <c r="I2154" s="35"/>
      <c r="J2154" s="74"/>
      <c r="K2154" s="74"/>
      <c r="L2154" s="74"/>
      <c r="M2154" s="74"/>
      <c r="N2154" s="74"/>
      <c r="O2154" s="74"/>
      <c r="P2154" s="74"/>
      <c r="Q2154" s="74"/>
      <c r="R2154" s="74"/>
      <c r="S2154" s="74"/>
      <c r="T2154" s="74"/>
      <c r="U2154" s="74"/>
      <c r="V2154" s="74"/>
      <c r="W2154" s="74"/>
      <c r="X2154" s="74"/>
      <c r="Y2154" s="74"/>
      <c r="Z2154" s="74"/>
      <c r="AA2154" s="74"/>
      <c r="AB2154" s="74"/>
    </row>
    <row r="2155" spans="1:28" ht="12" customHeight="1">
      <c r="A2155" s="260"/>
      <c r="B2155" s="104"/>
      <c r="C2155" s="104"/>
      <c r="D2155" s="260"/>
      <c r="E2155" s="104"/>
      <c r="F2155" s="104"/>
      <c r="G2155" s="35"/>
      <c r="H2155" s="104"/>
      <c r="I2155" s="35"/>
      <c r="J2155" s="74"/>
      <c r="K2155" s="74"/>
      <c r="L2155" s="74"/>
      <c r="M2155" s="74"/>
      <c r="N2155" s="74"/>
      <c r="O2155" s="74"/>
      <c r="P2155" s="74"/>
      <c r="Q2155" s="74"/>
      <c r="R2155" s="74"/>
      <c r="S2155" s="74"/>
      <c r="T2155" s="74"/>
      <c r="U2155" s="74"/>
      <c r="V2155" s="74"/>
      <c r="W2155" s="74"/>
      <c r="X2155" s="74"/>
      <c r="Y2155" s="74"/>
      <c r="Z2155" s="74"/>
      <c r="AA2155" s="74"/>
      <c r="AB2155" s="74"/>
    </row>
    <row r="2156" spans="1:28" ht="12" customHeight="1">
      <c r="A2156" s="260"/>
      <c r="B2156" s="104"/>
      <c r="C2156" s="104"/>
      <c r="D2156" s="260"/>
      <c r="E2156" s="104"/>
      <c r="F2156" s="104"/>
      <c r="G2156" s="35"/>
      <c r="H2156" s="104"/>
      <c r="I2156" s="35"/>
      <c r="J2156" s="74"/>
      <c r="K2156" s="74"/>
      <c r="L2156" s="74"/>
      <c r="M2156" s="74"/>
      <c r="N2156" s="74"/>
      <c r="O2156" s="74"/>
      <c r="P2156" s="74"/>
      <c r="Q2156" s="74"/>
      <c r="R2156" s="74"/>
      <c r="S2156" s="74"/>
      <c r="T2156" s="74"/>
      <c r="U2156" s="74"/>
      <c r="V2156" s="74"/>
      <c r="W2156" s="74"/>
      <c r="X2156" s="74"/>
      <c r="Y2156" s="74"/>
      <c r="Z2156" s="74"/>
      <c r="AA2156" s="74"/>
      <c r="AB2156" s="74"/>
    </row>
    <row r="2157" spans="1:28" ht="12" customHeight="1">
      <c r="A2157" s="260"/>
      <c r="B2157" s="104"/>
      <c r="C2157" s="104"/>
      <c r="D2157" s="260"/>
      <c r="E2157" s="104"/>
      <c r="F2157" s="104"/>
      <c r="G2157" s="35"/>
      <c r="H2157" s="104"/>
      <c r="I2157" s="35"/>
      <c r="J2157" s="74"/>
      <c r="K2157" s="74"/>
      <c r="L2157" s="74"/>
      <c r="M2157" s="74"/>
      <c r="N2157" s="74"/>
      <c r="O2157" s="74"/>
      <c r="P2157" s="74"/>
      <c r="Q2157" s="74"/>
      <c r="R2157" s="74"/>
      <c r="S2157" s="74"/>
      <c r="T2157" s="74"/>
      <c r="U2157" s="74"/>
      <c r="V2157" s="74"/>
      <c r="W2157" s="74"/>
      <c r="X2157" s="74"/>
      <c r="Y2157" s="74"/>
      <c r="Z2157" s="74"/>
      <c r="AA2157" s="74"/>
      <c r="AB2157" s="74"/>
    </row>
    <row r="2158" spans="1:28" ht="12" customHeight="1">
      <c r="A2158" s="260"/>
      <c r="B2158" s="104"/>
      <c r="C2158" s="104"/>
      <c r="D2158" s="260"/>
      <c r="E2158" s="104"/>
      <c r="F2158" s="104"/>
      <c r="G2158" s="35"/>
      <c r="H2158" s="104"/>
      <c r="I2158" s="35"/>
      <c r="J2158" s="74"/>
      <c r="K2158" s="74"/>
      <c r="L2158" s="74"/>
      <c r="M2158" s="74"/>
      <c r="N2158" s="74"/>
      <c r="O2158" s="74"/>
      <c r="P2158" s="74"/>
      <c r="Q2158" s="74"/>
      <c r="R2158" s="74"/>
      <c r="S2158" s="74"/>
      <c r="T2158" s="74"/>
      <c r="U2158" s="74"/>
      <c r="V2158" s="74"/>
      <c r="W2158" s="74"/>
      <c r="X2158" s="74"/>
      <c r="Y2158" s="74"/>
      <c r="Z2158" s="74"/>
      <c r="AA2158" s="74"/>
      <c r="AB2158" s="74"/>
    </row>
    <row r="2159" spans="1:28" ht="12" customHeight="1">
      <c r="A2159" s="260"/>
      <c r="B2159" s="104"/>
      <c r="C2159" s="104"/>
      <c r="D2159" s="260"/>
      <c r="E2159" s="104"/>
      <c r="F2159" s="104"/>
      <c r="G2159" s="35"/>
      <c r="H2159" s="104"/>
      <c r="I2159" s="35"/>
      <c r="J2159" s="74"/>
      <c r="K2159" s="74"/>
      <c r="L2159" s="74"/>
      <c r="M2159" s="74"/>
      <c r="N2159" s="74"/>
      <c r="O2159" s="74"/>
      <c r="P2159" s="74"/>
      <c r="Q2159" s="74"/>
      <c r="R2159" s="74"/>
      <c r="S2159" s="74"/>
      <c r="T2159" s="74"/>
      <c r="U2159" s="74"/>
      <c r="V2159" s="74"/>
      <c r="W2159" s="74"/>
      <c r="X2159" s="74"/>
      <c r="Y2159" s="74"/>
      <c r="Z2159" s="74"/>
      <c r="AA2159" s="74"/>
      <c r="AB2159" s="74"/>
    </row>
    <row r="2160" spans="1:28" ht="12" customHeight="1">
      <c r="A2160" s="260"/>
      <c r="B2160" s="104"/>
      <c r="C2160" s="104"/>
      <c r="D2160" s="260"/>
      <c r="E2160" s="104"/>
      <c r="F2160" s="104"/>
      <c r="G2160" s="35"/>
      <c r="H2160" s="104"/>
      <c r="I2160" s="35"/>
      <c r="J2160" s="74"/>
      <c r="K2160" s="74"/>
      <c r="L2160" s="74"/>
      <c r="M2160" s="74"/>
      <c r="N2160" s="74"/>
      <c r="O2160" s="74"/>
      <c r="P2160" s="74"/>
      <c r="Q2160" s="74"/>
      <c r="R2160" s="74"/>
      <c r="S2160" s="74"/>
      <c r="T2160" s="74"/>
      <c r="U2160" s="74"/>
      <c r="V2160" s="74"/>
      <c r="W2160" s="74"/>
      <c r="X2160" s="74"/>
      <c r="Y2160" s="74"/>
      <c r="Z2160" s="74"/>
      <c r="AA2160" s="74"/>
      <c r="AB2160" s="74"/>
    </row>
    <row r="2161" spans="1:28" ht="12" customHeight="1">
      <c r="A2161" s="260"/>
      <c r="B2161" s="104"/>
      <c r="C2161" s="104"/>
      <c r="D2161" s="260"/>
      <c r="E2161" s="104"/>
      <c r="F2161" s="104"/>
      <c r="G2161" s="35"/>
      <c r="H2161" s="104"/>
      <c r="I2161" s="35"/>
      <c r="J2161" s="74"/>
      <c r="K2161" s="74"/>
      <c r="L2161" s="74"/>
      <c r="M2161" s="74"/>
      <c r="N2161" s="74"/>
      <c r="O2161" s="74"/>
      <c r="P2161" s="74"/>
      <c r="Q2161" s="74"/>
      <c r="R2161" s="74"/>
      <c r="S2161" s="74"/>
      <c r="T2161" s="74"/>
      <c r="U2161" s="74"/>
      <c r="V2161" s="74"/>
      <c r="W2161" s="74"/>
      <c r="X2161" s="74"/>
      <c r="Y2161" s="74"/>
      <c r="Z2161" s="74"/>
      <c r="AA2161" s="74"/>
      <c r="AB2161" s="74"/>
    </row>
    <row r="2162" spans="1:28" ht="12" customHeight="1">
      <c r="A2162" s="260"/>
      <c r="B2162" s="104"/>
      <c r="C2162" s="104"/>
      <c r="D2162" s="260"/>
      <c r="E2162" s="104"/>
      <c r="F2162" s="104"/>
      <c r="G2162" s="35"/>
      <c r="H2162" s="104"/>
      <c r="I2162" s="35"/>
      <c r="J2162" s="74"/>
      <c r="K2162" s="74"/>
      <c r="L2162" s="74"/>
      <c r="M2162" s="74"/>
      <c r="N2162" s="74"/>
      <c r="O2162" s="74"/>
      <c r="P2162" s="74"/>
      <c r="Q2162" s="74"/>
      <c r="R2162" s="74"/>
      <c r="S2162" s="74"/>
      <c r="T2162" s="74"/>
      <c r="U2162" s="74"/>
      <c r="V2162" s="74"/>
      <c r="W2162" s="74"/>
      <c r="X2162" s="74"/>
      <c r="Y2162" s="74"/>
      <c r="Z2162" s="74"/>
      <c r="AA2162" s="74"/>
      <c r="AB2162" s="74"/>
    </row>
    <row r="2163" spans="1:28" ht="12" customHeight="1">
      <c r="A2163" s="260"/>
      <c r="B2163" s="104"/>
      <c r="C2163" s="104"/>
      <c r="D2163" s="260"/>
      <c r="E2163" s="104"/>
      <c r="F2163" s="104"/>
      <c r="G2163" s="35"/>
      <c r="H2163" s="104"/>
      <c r="I2163" s="35"/>
      <c r="J2163" s="74"/>
      <c r="K2163" s="74"/>
      <c r="L2163" s="74"/>
      <c r="M2163" s="74"/>
      <c r="N2163" s="74"/>
      <c r="O2163" s="74"/>
      <c r="P2163" s="74"/>
      <c r="Q2163" s="74"/>
      <c r="R2163" s="74"/>
      <c r="S2163" s="74"/>
      <c r="T2163" s="74"/>
      <c r="U2163" s="74"/>
      <c r="V2163" s="74"/>
      <c r="W2163" s="74"/>
      <c r="X2163" s="74"/>
      <c r="Y2163" s="74"/>
      <c r="Z2163" s="74"/>
      <c r="AA2163" s="74"/>
      <c r="AB2163" s="74"/>
    </row>
    <row r="2164" spans="1:28" ht="12" customHeight="1">
      <c r="A2164" s="260"/>
      <c r="B2164" s="104"/>
      <c r="C2164" s="104"/>
      <c r="D2164" s="260"/>
      <c r="E2164" s="104"/>
      <c r="F2164" s="104"/>
      <c r="G2164" s="35"/>
      <c r="H2164" s="104"/>
      <c r="I2164" s="35"/>
      <c r="J2164" s="74"/>
      <c r="K2164" s="74"/>
      <c r="L2164" s="74"/>
      <c r="M2164" s="74"/>
      <c r="N2164" s="74"/>
      <c r="O2164" s="74"/>
      <c r="P2164" s="74"/>
      <c r="Q2164" s="74"/>
      <c r="R2164" s="74"/>
      <c r="S2164" s="74"/>
      <c r="T2164" s="74"/>
      <c r="U2164" s="74"/>
      <c r="V2164" s="74"/>
      <c r="W2164" s="74"/>
      <c r="X2164" s="74"/>
      <c r="Y2164" s="74"/>
      <c r="Z2164" s="74"/>
      <c r="AA2164" s="74"/>
      <c r="AB2164" s="74"/>
    </row>
    <row r="2165" spans="1:28" ht="12" customHeight="1">
      <c r="A2165" s="260"/>
      <c r="B2165" s="104"/>
      <c r="C2165" s="104"/>
      <c r="D2165" s="260"/>
      <c r="E2165" s="104"/>
      <c r="F2165" s="104"/>
      <c r="G2165" s="35"/>
      <c r="H2165" s="104"/>
      <c r="I2165" s="35"/>
      <c r="J2165" s="74"/>
      <c r="K2165" s="74"/>
      <c r="L2165" s="74"/>
      <c r="M2165" s="74"/>
      <c r="N2165" s="74"/>
      <c r="O2165" s="74"/>
      <c r="P2165" s="74"/>
      <c r="Q2165" s="74"/>
      <c r="R2165" s="74"/>
      <c r="S2165" s="74"/>
      <c r="T2165" s="74"/>
      <c r="U2165" s="74"/>
      <c r="V2165" s="74"/>
      <c r="W2165" s="74"/>
      <c r="X2165" s="74"/>
      <c r="Y2165" s="74"/>
      <c r="Z2165" s="74"/>
      <c r="AA2165" s="74"/>
      <c r="AB2165" s="74"/>
    </row>
    <row r="2166" spans="1:28" ht="12" customHeight="1">
      <c r="A2166" s="260"/>
      <c r="B2166" s="104"/>
      <c r="C2166" s="104"/>
      <c r="D2166" s="260"/>
      <c r="E2166" s="104"/>
      <c r="F2166" s="104"/>
      <c r="G2166" s="35"/>
      <c r="H2166" s="104"/>
      <c r="I2166" s="35"/>
      <c r="J2166" s="74"/>
      <c r="K2166" s="74"/>
      <c r="L2166" s="74"/>
      <c r="M2166" s="74"/>
      <c r="N2166" s="74"/>
      <c r="O2166" s="74"/>
      <c r="P2166" s="74"/>
      <c r="Q2166" s="74"/>
      <c r="R2166" s="74"/>
      <c r="S2166" s="74"/>
      <c r="T2166" s="74"/>
      <c r="U2166" s="74"/>
      <c r="V2166" s="74"/>
      <c r="W2166" s="74"/>
      <c r="X2166" s="74"/>
      <c r="Y2166" s="74"/>
      <c r="Z2166" s="74"/>
      <c r="AA2166" s="74"/>
      <c r="AB2166" s="74"/>
    </row>
    <row r="2167" spans="1:28" ht="12" customHeight="1">
      <c r="A2167" s="260"/>
      <c r="B2167" s="104"/>
      <c r="C2167" s="104"/>
      <c r="D2167" s="260"/>
      <c r="E2167" s="104"/>
      <c r="F2167" s="104"/>
      <c r="G2167" s="35"/>
      <c r="H2167" s="104"/>
      <c r="I2167" s="35"/>
      <c r="J2167" s="74"/>
      <c r="K2167" s="74"/>
      <c r="L2167" s="74"/>
      <c r="M2167" s="74"/>
      <c r="N2167" s="74"/>
      <c r="O2167" s="74"/>
      <c r="P2167" s="74"/>
      <c r="Q2167" s="74"/>
      <c r="R2167" s="74"/>
      <c r="S2167" s="74"/>
      <c r="T2167" s="74"/>
      <c r="U2167" s="74"/>
      <c r="V2167" s="74"/>
      <c r="W2167" s="74"/>
      <c r="X2167" s="74"/>
      <c r="Y2167" s="74"/>
      <c r="Z2167" s="74"/>
      <c r="AA2167" s="74"/>
      <c r="AB2167" s="74"/>
    </row>
    <row r="2168" spans="1:28" ht="12" customHeight="1">
      <c r="A2168" s="260"/>
      <c r="B2168" s="104"/>
      <c r="C2168" s="104"/>
      <c r="D2168" s="260"/>
      <c r="E2168" s="104"/>
      <c r="F2168" s="104"/>
      <c r="G2168" s="35"/>
      <c r="H2168" s="104"/>
      <c r="I2168" s="35"/>
      <c r="J2168" s="74"/>
      <c r="K2168" s="74"/>
      <c r="L2168" s="74"/>
      <c r="M2168" s="74"/>
      <c r="N2168" s="74"/>
      <c r="O2168" s="74"/>
      <c r="P2168" s="74"/>
      <c r="Q2168" s="74"/>
      <c r="R2168" s="74"/>
      <c r="S2168" s="74"/>
      <c r="T2168" s="74"/>
      <c r="U2168" s="74"/>
      <c r="V2168" s="74"/>
      <c r="W2168" s="74"/>
      <c r="X2168" s="74"/>
      <c r="Y2168" s="74"/>
      <c r="Z2168" s="74"/>
      <c r="AA2168" s="74"/>
      <c r="AB2168" s="74"/>
    </row>
    <row r="2169" spans="1:28" ht="12" customHeight="1">
      <c r="A2169" s="260"/>
      <c r="B2169" s="104"/>
      <c r="C2169" s="104"/>
      <c r="D2169" s="260"/>
      <c r="E2169" s="104"/>
      <c r="F2169" s="104"/>
      <c r="G2169" s="35"/>
      <c r="H2169" s="104"/>
      <c r="I2169" s="35"/>
      <c r="J2169" s="74"/>
      <c r="K2169" s="74"/>
      <c r="L2169" s="74"/>
      <c r="M2169" s="74"/>
      <c r="N2169" s="74"/>
      <c r="O2169" s="74"/>
      <c r="P2169" s="74"/>
      <c r="Q2169" s="74"/>
      <c r="R2169" s="74"/>
      <c r="S2169" s="74"/>
      <c r="T2169" s="74"/>
      <c r="U2169" s="74"/>
      <c r="V2169" s="74"/>
      <c r="W2169" s="74"/>
      <c r="X2169" s="74"/>
      <c r="Y2169" s="74"/>
      <c r="Z2169" s="74"/>
      <c r="AA2169" s="74"/>
      <c r="AB2169" s="74"/>
    </row>
    <row r="2170" spans="1:28" ht="12" customHeight="1">
      <c r="A2170" s="260"/>
      <c r="B2170" s="104"/>
      <c r="C2170" s="104"/>
      <c r="D2170" s="260"/>
      <c r="E2170" s="104"/>
      <c r="F2170" s="104"/>
      <c r="G2170" s="35"/>
      <c r="H2170" s="104"/>
      <c r="I2170" s="35"/>
      <c r="J2170" s="74"/>
      <c r="K2170" s="74"/>
      <c r="L2170" s="74"/>
      <c r="M2170" s="74"/>
      <c r="N2170" s="74"/>
      <c r="O2170" s="74"/>
      <c r="P2170" s="74"/>
      <c r="Q2170" s="74"/>
      <c r="R2170" s="74"/>
      <c r="S2170" s="74"/>
      <c r="T2170" s="74"/>
      <c r="U2170" s="74"/>
      <c r="V2170" s="74"/>
      <c r="W2170" s="74"/>
      <c r="X2170" s="74"/>
      <c r="Y2170" s="74"/>
      <c r="Z2170" s="74"/>
      <c r="AA2170" s="74"/>
      <c r="AB2170" s="74"/>
    </row>
    <row r="2171" spans="1:28" ht="12" customHeight="1">
      <c r="A2171" s="260"/>
      <c r="B2171" s="104"/>
      <c r="C2171" s="104"/>
      <c r="D2171" s="260"/>
      <c r="E2171" s="104"/>
      <c r="F2171" s="104"/>
      <c r="G2171" s="35"/>
      <c r="H2171" s="104"/>
      <c r="I2171" s="35"/>
      <c r="J2171" s="74"/>
      <c r="K2171" s="74"/>
      <c r="L2171" s="74"/>
      <c r="M2171" s="74"/>
      <c r="N2171" s="74"/>
      <c r="O2171" s="74"/>
      <c r="P2171" s="74"/>
      <c r="Q2171" s="74"/>
      <c r="R2171" s="74"/>
      <c r="S2171" s="74"/>
      <c r="T2171" s="74"/>
      <c r="U2171" s="74"/>
      <c r="V2171" s="74"/>
      <c r="W2171" s="74"/>
      <c r="X2171" s="74"/>
      <c r="Y2171" s="74"/>
      <c r="Z2171" s="74"/>
      <c r="AA2171" s="74"/>
      <c r="AB2171" s="74"/>
    </row>
    <row r="2172" spans="1:28" ht="12" customHeight="1">
      <c r="A2172" s="260"/>
      <c r="B2172" s="104"/>
      <c r="C2172" s="104"/>
      <c r="D2172" s="260"/>
      <c r="E2172" s="104"/>
      <c r="F2172" s="104"/>
      <c r="G2172" s="35"/>
      <c r="H2172" s="104"/>
      <c r="I2172" s="35"/>
      <c r="J2172" s="74"/>
      <c r="K2172" s="74"/>
      <c r="L2172" s="74"/>
      <c r="M2172" s="74"/>
      <c r="N2172" s="74"/>
      <c r="O2172" s="74"/>
      <c r="P2172" s="74"/>
      <c r="Q2172" s="74"/>
      <c r="R2172" s="74"/>
      <c r="S2172" s="74"/>
      <c r="T2172" s="74"/>
      <c r="U2172" s="74"/>
      <c r="V2172" s="74"/>
      <c r="W2172" s="74"/>
      <c r="X2172" s="74"/>
      <c r="Y2172" s="74"/>
      <c r="Z2172" s="74"/>
      <c r="AA2172" s="74"/>
      <c r="AB2172" s="74"/>
    </row>
    <row r="2173" spans="1:28" ht="12" customHeight="1">
      <c r="A2173" s="260"/>
      <c r="B2173" s="104"/>
      <c r="C2173" s="104"/>
      <c r="D2173" s="260"/>
      <c r="E2173" s="104"/>
      <c r="F2173" s="104"/>
      <c r="G2173" s="35"/>
      <c r="H2173" s="104"/>
      <c r="I2173" s="35"/>
      <c r="J2173" s="74"/>
      <c r="K2173" s="74"/>
      <c r="L2173" s="74"/>
      <c r="M2173" s="74"/>
      <c r="N2173" s="74"/>
      <c r="O2173" s="74"/>
      <c r="P2173" s="74"/>
      <c r="Q2173" s="74"/>
      <c r="R2173" s="74"/>
      <c r="S2173" s="74"/>
      <c r="T2173" s="74"/>
      <c r="U2173" s="74"/>
      <c r="V2173" s="74"/>
      <c r="W2173" s="74"/>
      <c r="X2173" s="74"/>
      <c r="Y2173" s="74"/>
      <c r="Z2173" s="74"/>
      <c r="AA2173" s="74"/>
      <c r="AB2173" s="74"/>
    </row>
    <row r="2174" spans="1:28" ht="12" customHeight="1">
      <c r="A2174" s="260"/>
      <c r="B2174" s="104"/>
      <c r="C2174" s="104"/>
      <c r="D2174" s="260"/>
      <c r="E2174" s="104"/>
      <c r="F2174" s="104"/>
      <c r="G2174" s="35"/>
      <c r="H2174" s="104"/>
      <c r="I2174" s="35"/>
      <c r="J2174" s="74"/>
      <c r="K2174" s="74"/>
      <c r="L2174" s="74"/>
      <c r="M2174" s="74"/>
      <c r="N2174" s="74"/>
      <c r="O2174" s="74"/>
      <c r="P2174" s="74"/>
      <c r="Q2174" s="74"/>
      <c r="R2174" s="74"/>
      <c r="S2174" s="74"/>
      <c r="T2174" s="74"/>
      <c r="U2174" s="74"/>
      <c r="V2174" s="74"/>
      <c r="W2174" s="74"/>
      <c r="X2174" s="74"/>
      <c r="Y2174" s="74"/>
      <c r="Z2174" s="74"/>
      <c r="AA2174" s="74"/>
      <c r="AB2174" s="74"/>
    </row>
    <row r="2175" spans="1:28" ht="12" customHeight="1">
      <c r="A2175" s="260"/>
      <c r="B2175" s="104"/>
      <c r="C2175" s="104"/>
      <c r="D2175" s="260"/>
      <c r="E2175" s="104"/>
      <c r="F2175" s="104"/>
      <c r="G2175" s="35"/>
      <c r="H2175" s="104"/>
      <c r="I2175" s="35"/>
      <c r="J2175" s="74"/>
      <c r="K2175" s="74"/>
      <c r="L2175" s="74"/>
      <c r="M2175" s="74"/>
      <c r="N2175" s="74"/>
      <c r="O2175" s="74"/>
      <c r="P2175" s="74"/>
      <c r="Q2175" s="74"/>
      <c r="R2175" s="74"/>
      <c r="S2175" s="74"/>
      <c r="T2175" s="74"/>
      <c r="U2175" s="74"/>
      <c r="V2175" s="74"/>
      <c r="W2175" s="74"/>
      <c r="X2175" s="74"/>
      <c r="Y2175" s="74"/>
      <c r="Z2175" s="74"/>
      <c r="AA2175" s="74"/>
      <c r="AB2175" s="74"/>
    </row>
    <row r="2176" spans="1:28" ht="12" customHeight="1">
      <c r="A2176" s="260"/>
      <c r="B2176" s="104"/>
      <c r="C2176" s="104"/>
      <c r="D2176" s="260"/>
      <c r="E2176" s="104"/>
      <c r="F2176" s="104"/>
      <c r="G2176" s="35"/>
      <c r="H2176" s="104"/>
      <c r="I2176" s="35"/>
      <c r="J2176" s="74"/>
      <c r="K2176" s="74"/>
      <c r="L2176" s="74"/>
      <c r="M2176" s="74"/>
      <c r="N2176" s="74"/>
      <c r="O2176" s="74"/>
      <c r="P2176" s="74"/>
      <c r="Q2176" s="74"/>
      <c r="R2176" s="74"/>
      <c r="S2176" s="74"/>
      <c r="T2176" s="74"/>
      <c r="U2176" s="74"/>
      <c r="V2176" s="74"/>
      <c r="W2176" s="74"/>
      <c r="X2176" s="74"/>
      <c r="Y2176" s="74"/>
      <c r="Z2176" s="74"/>
      <c r="AA2176" s="74"/>
      <c r="AB2176" s="74"/>
    </row>
    <row r="2177" spans="1:28" ht="12" customHeight="1">
      <c r="A2177" s="260"/>
      <c r="B2177" s="104"/>
      <c r="C2177" s="104"/>
      <c r="D2177" s="260"/>
      <c r="E2177" s="104"/>
      <c r="F2177" s="104"/>
      <c r="G2177" s="35"/>
      <c r="H2177" s="104"/>
      <c r="I2177" s="35"/>
      <c r="J2177" s="74"/>
      <c r="K2177" s="74"/>
      <c r="L2177" s="74"/>
      <c r="M2177" s="74"/>
      <c r="N2177" s="74"/>
      <c r="O2177" s="74"/>
      <c r="P2177" s="74"/>
      <c r="Q2177" s="74"/>
      <c r="R2177" s="74"/>
      <c r="S2177" s="74"/>
      <c r="T2177" s="74"/>
      <c r="U2177" s="74"/>
      <c r="V2177" s="74"/>
      <c r="W2177" s="74"/>
      <c r="X2177" s="74"/>
      <c r="Y2177" s="74"/>
      <c r="Z2177" s="74"/>
      <c r="AA2177" s="74"/>
      <c r="AB2177" s="74"/>
    </row>
    <row r="2178" spans="1:28" ht="12" customHeight="1">
      <c r="A2178" s="260"/>
      <c r="B2178" s="104"/>
      <c r="C2178" s="104"/>
      <c r="D2178" s="260"/>
      <c r="E2178" s="104"/>
      <c r="F2178" s="104"/>
      <c r="G2178" s="35"/>
      <c r="H2178" s="104"/>
      <c r="I2178" s="35"/>
      <c r="J2178" s="74"/>
      <c r="K2178" s="74"/>
      <c r="L2178" s="74"/>
      <c r="M2178" s="74"/>
      <c r="N2178" s="74"/>
      <c r="O2178" s="74"/>
      <c r="P2178" s="74"/>
      <c r="Q2178" s="74"/>
      <c r="R2178" s="74"/>
      <c r="S2178" s="74"/>
      <c r="T2178" s="74"/>
      <c r="U2178" s="74"/>
      <c r="V2178" s="74"/>
      <c r="W2178" s="74"/>
      <c r="X2178" s="74"/>
      <c r="Y2178" s="74"/>
      <c r="Z2178" s="74"/>
      <c r="AA2178" s="74"/>
      <c r="AB2178" s="74"/>
    </row>
    <row r="2179" spans="1:28" ht="12" customHeight="1">
      <c r="A2179" s="260"/>
      <c r="B2179" s="104"/>
      <c r="C2179" s="104"/>
      <c r="D2179" s="260"/>
      <c r="E2179" s="104"/>
      <c r="F2179" s="104"/>
      <c r="G2179" s="35"/>
      <c r="H2179" s="104"/>
      <c r="I2179" s="35"/>
      <c r="J2179" s="74"/>
      <c r="K2179" s="74"/>
      <c r="L2179" s="74"/>
      <c r="M2179" s="74"/>
      <c r="N2179" s="74"/>
      <c r="O2179" s="74"/>
      <c r="P2179" s="74"/>
      <c r="Q2179" s="74"/>
      <c r="R2179" s="74"/>
      <c r="S2179" s="74"/>
      <c r="T2179" s="74"/>
      <c r="U2179" s="74"/>
      <c r="V2179" s="74"/>
      <c r="W2179" s="74"/>
      <c r="X2179" s="74"/>
      <c r="Y2179" s="74"/>
      <c r="Z2179" s="74"/>
      <c r="AA2179" s="74"/>
      <c r="AB2179" s="74"/>
    </row>
    <row r="2180" spans="1:28" ht="12" customHeight="1">
      <c r="A2180" s="260"/>
      <c r="B2180" s="104"/>
      <c r="C2180" s="104"/>
      <c r="D2180" s="260"/>
      <c r="E2180" s="104"/>
      <c r="F2180" s="104"/>
      <c r="G2180" s="35"/>
      <c r="H2180" s="104"/>
      <c r="I2180" s="35"/>
      <c r="J2180" s="74"/>
      <c r="K2180" s="74"/>
      <c r="L2180" s="74"/>
      <c r="M2180" s="74"/>
      <c r="N2180" s="74"/>
      <c r="O2180" s="74"/>
      <c r="P2180" s="74"/>
      <c r="Q2180" s="74"/>
      <c r="R2180" s="74"/>
      <c r="S2180" s="74"/>
      <c r="T2180" s="74"/>
      <c r="U2180" s="74"/>
      <c r="V2180" s="74"/>
      <c r="W2180" s="74"/>
      <c r="X2180" s="74"/>
      <c r="Y2180" s="74"/>
      <c r="Z2180" s="74"/>
      <c r="AA2180" s="74"/>
      <c r="AB2180" s="74"/>
    </row>
    <row r="2181" spans="1:28" ht="12" customHeight="1">
      <c r="A2181" s="260"/>
      <c r="B2181" s="104"/>
      <c r="C2181" s="104"/>
      <c r="D2181" s="260"/>
      <c r="E2181" s="104"/>
      <c r="F2181" s="104"/>
      <c r="G2181" s="35"/>
      <c r="H2181" s="104"/>
      <c r="I2181" s="35"/>
      <c r="J2181" s="74"/>
      <c r="K2181" s="74"/>
      <c r="L2181" s="74"/>
      <c r="M2181" s="74"/>
      <c r="N2181" s="74"/>
      <c r="O2181" s="74"/>
      <c r="P2181" s="74"/>
      <c r="Q2181" s="74"/>
      <c r="R2181" s="74"/>
      <c r="S2181" s="74"/>
      <c r="T2181" s="74"/>
      <c r="U2181" s="74"/>
      <c r="V2181" s="74"/>
      <c r="W2181" s="74"/>
      <c r="X2181" s="74"/>
      <c r="Y2181" s="74"/>
      <c r="Z2181" s="74"/>
      <c r="AA2181" s="74"/>
      <c r="AB2181" s="74"/>
    </row>
    <row r="2182" spans="1:28" ht="12" customHeight="1">
      <c r="A2182" s="260"/>
      <c r="B2182" s="104"/>
      <c r="C2182" s="104"/>
      <c r="D2182" s="260"/>
      <c r="E2182" s="104"/>
      <c r="F2182" s="104"/>
      <c r="G2182" s="35"/>
      <c r="H2182" s="104"/>
      <c r="I2182" s="35"/>
      <c r="J2182" s="74"/>
      <c r="K2182" s="74"/>
      <c r="L2182" s="74"/>
      <c r="M2182" s="74"/>
      <c r="N2182" s="74"/>
      <c r="O2182" s="74"/>
      <c r="P2182" s="74"/>
      <c r="Q2182" s="74"/>
      <c r="R2182" s="74"/>
      <c r="S2182" s="74"/>
      <c r="T2182" s="74"/>
      <c r="U2182" s="74"/>
      <c r="V2182" s="74"/>
      <c r="W2182" s="74"/>
      <c r="X2182" s="74"/>
      <c r="Y2182" s="74"/>
      <c r="Z2182" s="74"/>
      <c r="AA2182" s="74"/>
      <c r="AB2182" s="74"/>
    </row>
    <row r="2183" spans="1:28" ht="12" customHeight="1">
      <c r="A2183" s="260"/>
      <c r="B2183" s="104"/>
      <c r="C2183" s="104"/>
      <c r="D2183" s="260"/>
      <c r="E2183" s="104"/>
      <c r="F2183" s="104"/>
      <c r="G2183" s="35"/>
      <c r="H2183" s="104"/>
      <c r="I2183" s="35"/>
      <c r="J2183" s="74"/>
      <c r="K2183" s="74"/>
      <c r="L2183" s="74"/>
      <c r="M2183" s="74"/>
      <c r="N2183" s="74"/>
      <c r="O2183" s="74"/>
      <c r="P2183" s="74"/>
      <c r="Q2183" s="74"/>
      <c r="R2183" s="74"/>
      <c r="S2183" s="74"/>
      <c r="T2183" s="74"/>
      <c r="U2183" s="74"/>
      <c r="V2183" s="74"/>
      <c r="W2183" s="74"/>
      <c r="X2183" s="74"/>
      <c r="Y2183" s="74"/>
      <c r="Z2183" s="74"/>
      <c r="AA2183" s="74"/>
      <c r="AB2183" s="74"/>
    </row>
    <row r="2184" spans="1:28" ht="12" customHeight="1">
      <c r="A2184" s="260"/>
      <c r="B2184" s="104"/>
      <c r="C2184" s="104"/>
      <c r="D2184" s="260"/>
      <c r="E2184" s="104"/>
      <c r="F2184" s="104"/>
      <c r="G2184" s="35"/>
      <c r="H2184" s="104"/>
      <c r="I2184" s="35"/>
      <c r="J2184" s="74"/>
      <c r="K2184" s="74"/>
      <c r="L2184" s="74"/>
      <c r="M2184" s="74"/>
      <c r="N2184" s="74"/>
      <c r="O2184" s="74"/>
      <c r="P2184" s="74"/>
      <c r="Q2184" s="74"/>
      <c r="R2184" s="74"/>
      <c r="S2184" s="74"/>
      <c r="T2184" s="74"/>
      <c r="U2184" s="74"/>
      <c r="V2184" s="74"/>
      <c r="W2184" s="74"/>
      <c r="X2184" s="74"/>
      <c r="Y2184" s="74"/>
      <c r="Z2184" s="74"/>
      <c r="AA2184" s="74"/>
      <c r="AB2184" s="74"/>
    </row>
    <row r="2185" spans="1:28" ht="12" customHeight="1">
      <c r="A2185" s="260"/>
      <c r="B2185" s="104"/>
      <c r="C2185" s="104"/>
      <c r="D2185" s="260"/>
      <c r="E2185" s="104"/>
      <c r="F2185" s="104"/>
      <c r="G2185" s="35"/>
      <c r="H2185" s="104"/>
      <c r="I2185" s="35"/>
      <c r="J2185" s="74"/>
      <c r="K2185" s="74"/>
      <c r="L2185" s="74"/>
      <c r="M2185" s="74"/>
      <c r="N2185" s="74"/>
      <c r="O2185" s="74"/>
      <c r="P2185" s="74"/>
      <c r="Q2185" s="74"/>
      <c r="R2185" s="74"/>
      <c r="S2185" s="74"/>
      <c r="T2185" s="74"/>
      <c r="U2185" s="74"/>
      <c r="V2185" s="74"/>
      <c r="W2185" s="74"/>
      <c r="X2185" s="74"/>
      <c r="Y2185" s="74"/>
      <c r="Z2185" s="74"/>
      <c r="AA2185" s="74"/>
      <c r="AB2185" s="74"/>
    </row>
    <row r="2186" spans="1:28" ht="12" customHeight="1">
      <c r="A2186" s="260"/>
      <c r="B2186" s="104"/>
      <c r="C2186" s="104"/>
      <c r="D2186" s="260"/>
      <c r="E2186" s="104"/>
      <c r="F2186" s="104"/>
      <c r="G2186" s="35"/>
      <c r="H2186" s="104"/>
      <c r="I2186" s="35"/>
      <c r="J2186" s="74"/>
      <c r="K2186" s="74"/>
      <c r="L2186" s="74"/>
      <c r="M2186" s="74"/>
      <c r="N2186" s="74"/>
      <c r="O2186" s="74"/>
      <c r="P2186" s="74"/>
      <c r="Q2186" s="74"/>
      <c r="R2186" s="74"/>
      <c r="S2186" s="74"/>
      <c r="T2186" s="74"/>
      <c r="U2186" s="74"/>
      <c r="V2186" s="74"/>
      <c r="W2186" s="74"/>
      <c r="X2186" s="74"/>
      <c r="Y2186" s="74"/>
      <c r="Z2186" s="74"/>
      <c r="AA2186" s="74"/>
      <c r="AB2186" s="74"/>
    </row>
    <row r="2187" spans="1:28" ht="12" customHeight="1">
      <c r="A2187" s="260"/>
      <c r="B2187" s="104"/>
      <c r="C2187" s="104"/>
      <c r="D2187" s="260"/>
      <c r="E2187" s="104"/>
      <c r="F2187" s="104"/>
      <c r="G2187" s="35"/>
      <c r="H2187" s="104"/>
      <c r="I2187" s="35"/>
      <c r="J2187" s="74"/>
      <c r="K2187" s="74"/>
      <c r="L2187" s="74"/>
      <c r="M2187" s="74"/>
      <c r="N2187" s="74"/>
      <c r="O2187" s="74"/>
      <c r="P2187" s="74"/>
      <c r="Q2187" s="74"/>
      <c r="R2187" s="74"/>
      <c r="S2187" s="74"/>
      <c r="T2187" s="74"/>
      <c r="U2187" s="74"/>
      <c r="V2187" s="74"/>
      <c r="W2187" s="74"/>
      <c r="X2187" s="74"/>
      <c r="Y2187" s="74"/>
      <c r="Z2187" s="74"/>
      <c r="AA2187" s="74"/>
      <c r="AB2187" s="74"/>
    </row>
    <row r="2188" spans="1:28" ht="12" customHeight="1">
      <c r="A2188" s="260"/>
      <c r="B2188" s="104"/>
      <c r="C2188" s="104"/>
      <c r="D2188" s="260"/>
      <c r="E2188" s="104"/>
      <c r="F2188" s="104"/>
      <c r="G2188" s="35"/>
      <c r="H2188" s="104"/>
      <c r="I2188" s="35"/>
      <c r="J2188" s="74"/>
      <c r="K2188" s="74"/>
      <c r="L2188" s="74"/>
      <c r="M2188" s="74"/>
      <c r="N2188" s="74"/>
      <c r="O2188" s="74"/>
      <c r="P2188" s="74"/>
      <c r="Q2188" s="74"/>
      <c r="R2188" s="74"/>
      <c r="S2188" s="74"/>
      <c r="T2188" s="74"/>
      <c r="U2188" s="74"/>
      <c r="V2188" s="74"/>
      <c r="W2188" s="74"/>
      <c r="X2188" s="74"/>
      <c r="Y2188" s="74"/>
      <c r="Z2188" s="74"/>
      <c r="AA2188" s="74"/>
      <c r="AB2188" s="74"/>
    </row>
    <row r="2189" spans="1:28" ht="12" customHeight="1">
      <c r="A2189" s="260"/>
      <c r="B2189" s="104"/>
      <c r="C2189" s="104"/>
      <c r="D2189" s="260"/>
      <c r="E2189" s="104"/>
      <c r="F2189" s="104"/>
      <c r="G2189" s="35"/>
      <c r="H2189" s="104"/>
      <c r="I2189" s="35"/>
      <c r="J2189" s="74"/>
      <c r="K2189" s="74"/>
      <c r="L2189" s="74"/>
      <c r="M2189" s="74"/>
      <c r="N2189" s="74"/>
      <c r="O2189" s="74"/>
      <c r="P2189" s="74"/>
      <c r="Q2189" s="74"/>
      <c r="R2189" s="74"/>
      <c r="S2189" s="74"/>
      <c r="T2189" s="74"/>
      <c r="U2189" s="74"/>
      <c r="V2189" s="74"/>
      <c r="W2189" s="74"/>
      <c r="X2189" s="74"/>
      <c r="Y2189" s="74"/>
      <c r="Z2189" s="74"/>
      <c r="AA2189" s="74"/>
      <c r="AB2189" s="74"/>
    </row>
    <row r="2190" spans="1:28" ht="12" customHeight="1">
      <c r="A2190" s="260"/>
      <c r="B2190" s="104"/>
      <c r="C2190" s="104"/>
      <c r="D2190" s="260"/>
      <c r="E2190" s="104"/>
      <c r="F2190" s="104"/>
      <c r="G2190" s="35"/>
      <c r="H2190" s="104"/>
      <c r="I2190" s="35"/>
      <c r="J2190" s="74"/>
      <c r="K2190" s="74"/>
      <c r="L2190" s="74"/>
      <c r="M2190" s="74"/>
      <c r="N2190" s="74"/>
      <c r="O2190" s="74"/>
      <c r="P2190" s="74"/>
      <c r="Q2190" s="74"/>
      <c r="R2190" s="74"/>
      <c r="S2190" s="74"/>
      <c r="T2190" s="74"/>
      <c r="U2190" s="74"/>
      <c r="V2190" s="74"/>
      <c r="W2190" s="74"/>
      <c r="X2190" s="74"/>
      <c r="Y2190" s="74"/>
      <c r="Z2190" s="74"/>
      <c r="AA2190" s="74"/>
      <c r="AB2190" s="74"/>
    </row>
    <row r="2191" spans="1:28" ht="12" customHeight="1">
      <c r="A2191" s="260"/>
      <c r="B2191" s="104"/>
      <c r="C2191" s="104"/>
      <c r="D2191" s="260"/>
      <c r="E2191" s="104"/>
      <c r="F2191" s="104"/>
      <c r="G2191" s="35"/>
      <c r="H2191" s="104"/>
      <c r="I2191" s="35"/>
      <c r="J2191" s="74"/>
      <c r="K2191" s="74"/>
      <c r="L2191" s="74"/>
      <c r="M2191" s="74"/>
      <c r="N2191" s="74"/>
      <c r="O2191" s="74"/>
      <c r="P2191" s="74"/>
      <c r="Q2191" s="74"/>
      <c r="R2191" s="74"/>
      <c r="S2191" s="74"/>
      <c r="T2191" s="74"/>
      <c r="U2191" s="74"/>
      <c r="V2191" s="74"/>
      <c r="W2191" s="74"/>
      <c r="X2191" s="74"/>
      <c r="Y2191" s="74"/>
      <c r="Z2191" s="74"/>
      <c r="AA2191" s="74"/>
      <c r="AB2191" s="74"/>
    </row>
    <row r="2192" spans="1:28" ht="12" customHeight="1">
      <c r="A2192" s="260"/>
      <c r="B2192" s="104"/>
      <c r="C2192" s="104"/>
      <c r="D2192" s="260"/>
      <c r="E2192" s="104"/>
      <c r="F2192" s="104"/>
      <c r="G2192" s="35"/>
      <c r="H2192" s="104"/>
      <c r="I2192" s="35"/>
      <c r="J2192" s="74"/>
      <c r="K2192" s="74"/>
      <c r="L2192" s="74"/>
      <c r="M2192" s="74"/>
      <c r="N2192" s="74"/>
      <c r="O2192" s="74"/>
      <c r="P2192" s="74"/>
      <c r="Q2192" s="74"/>
      <c r="R2192" s="74"/>
      <c r="S2192" s="74"/>
      <c r="T2192" s="74"/>
      <c r="U2192" s="74"/>
      <c r="V2192" s="74"/>
      <c r="W2192" s="74"/>
      <c r="X2192" s="74"/>
      <c r="Y2192" s="74"/>
      <c r="Z2192" s="74"/>
      <c r="AA2192" s="74"/>
      <c r="AB2192" s="74"/>
    </row>
    <row r="2193" spans="1:28" ht="12" customHeight="1">
      <c r="A2193" s="260"/>
      <c r="B2193" s="104"/>
      <c r="C2193" s="104"/>
      <c r="D2193" s="260"/>
      <c r="E2193" s="104"/>
      <c r="F2193" s="104"/>
      <c r="G2193" s="35"/>
      <c r="H2193" s="104"/>
      <c r="I2193" s="35"/>
      <c r="J2193" s="74"/>
      <c r="K2193" s="74"/>
      <c r="L2193" s="74"/>
      <c r="M2193" s="74"/>
      <c r="N2193" s="74"/>
      <c r="O2193" s="74"/>
      <c r="P2193" s="74"/>
      <c r="Q2193" s="74"/>
      <c r="R2193" s="74"/>
      <c r="S2193" s="74"/>
      <c r="T2193" s="74"/>
      <c r="U2193" s="74"/>
      <c r="V2193" s="74"/>
      <c r="W2193" s="74"/>
      <c r="X2193" s="74"/>
      <c r="Y2193" s="74"/>
      <c r="Z2193" s="74"/>
      <c r="AA2193" s="74"/>
      <c r="AB2193" s="74"/>
    </row>
    <row r="2194" spans="1:28" ht="12" customHeight="1">
      <c r="A2194" s="260"/>
      <c r="B2194" s="104"/>
      <c r="C2194" s="104"/>
      <c r="D2194" s="260"/>
      <c r="E2194" s="104"/>
      <c r="F2194" s="104"/>
      <c r="G2194" s="35"/>
      <c r="H2194" s="104"/>
      <c r="I2194" s="35"/>
      <c r="J2194" s="74"/>
      <c r="K2194" s="74"/>
      <c r="L2194" s="74"/>
      <c r="M2194" s="74"/>
      <c r="N2194" s="74"/>
      <c r="O2194" s="74"/>
      <c r="P2194" s="74"/>
      <c r="Q2194" s="74"/>
      <c r="R2194" s="74"/>
      <c r="S2194" s="74"/>
      <c r="T2194" s="74"/>
      <c r="U2194" s="74"/>
      <c r="V2194" s="74"/>
      <c r="W2194" s="74"/>
      <c r="X2194" s="74"/>
      <c r="Y2194" s="74"/>
      <c r="Z2194" s="74"/>
      <c r="AA2194" s="74"/>
      <c r="AB2194" s="74"/>
    </row>
    <row r="2195" spans="1:28" ht="12" customHeight="1">
      <c r="A2195" s="260"/>
      <c r="B2195" s="104"/>
      <c r="C2195" s="104"/>
      <c r="D2195" s="260"/>
      <c r="E2195" s="104"/>
      <c r="F2195" s="104"/>
      <c r="G2195" s="35"/>
      <c r="H2195" s="104"/>
      <c r="I2195" s="35"/>
      <c r="J2195" s="74"/>
      <c r="K2195" s="74"/>
      <c r="L2195" s="74"/>
      <c r="M2195" s="74"/>
      <c r="N2195" s="74"/>
      <c r="O2195" s="74"/>
      <c r="P2195" s="74"/>
      <c r="Q2195" s="74"/>
      <c r="R2195" s="74"/>
      <c r="S2195" s="74"/>
      <c r="T2195" s="74"/>
      <c r="U2195" s="74"/>
      <c r="V2195" s="74"/>
      <c r="W2195" s="74"/>
      <c r="X2195" s="74"/>
      <c r="Y2195" s="74"/>
      <c r="Z2195" s="74"/>
      <c r="AA2195" s="74"/>
      <c r="AB2195" s="74"/>
    </row>
    <row r="2196" spans="1:28" ht="12" customHeight="1">
      <c r="A2196" s="260"/>
      <c r="B2196" s="104"/>
      <c r="C2196" s="104"/>
      <c r="D2196" s="260"/>
      <c r="E2196" s="104"/>
      <c r="F2196" s="104"/>
      <c r="G2196" s="35"/>
      <c r="H2196" s="104"/>
      <c r="I2196" s="35"/>
      <c r="J2196" s="74"/>
      <c r="K2196" s="74"/>
      <c r="L2196" s="74"/>
      <c r="M2196" s="74"/>
      <c r="N2196" s="74"/>
      <c r="O2196" s="74"/>
      <c r="P2196" s="74"/>
      <c r="Q2196" s="74"/>
      <c r="R2196" s="74"/>
      <c r="S2196" s="74"/>
      <c r="T2196" s="74"/>
      <c r="U2196" s="74"/>
      <c r="V2196" s="74"/>
      <c r="W2196" s="74"/>
      <c r="X2196" s="74"/>
      <c r="Y2196" s="74"/>
      <c r="Z2196" s="74"/>
      <c r="AA2196" s="74"/>
      <c r="AB2196" s="74"/>
    </row>
    <row r="2197" spans="1:28" ht="12" customHeight="1">
      <c r="A2197" s="260"/>
      <c r="B2197" s="104"/>
      <c r="C2197" s="104"/>
      <c r="D2197" s="260"/>
      <c r="E2197" s="104"/>
      <c r="F2197" s="104"/>
      <c r="G2197" s="35"/>
      <c r="H2197" s="104"/>
      <c r="I2197" s="35"/>
      <c r="J2197" s="74"/>
      <c r="K2197" s="74"/>
      <c r="L2197" s="74"/>
      <c r="M2197" s="74"/>
      <c r="N2197" s="74"/>
      <c r="O2197" s="74"/>
      <c r="P2197" s="74"/>
      <c r="Q2197" s="74"/>
      <c r="R2197" s="74"/>
      <c r="S2197" s="74"/>
      <c r="T2197" s="74"/>
      <c r="U2197" s="74"/>
      <c r="V2197" s="74"/>
      <c r="W2197" s="74"/>
      <c r="X2197" s="74"/>
      <c r="Y2197" s="74"/>
      <c r="Z2197" s="74"/>
      <c r="AA2197" s="74"/>
      <c r="AB2197" s="74"/>
    </row>
    <row r="2198" spans="1:28" ht="12" customHeight="1">
      <c r="A2198" s="260"/>
      <c r="B2198" s="104"/>
      <c r="C2198" s="104"/>
      <c r="D2198" s="260"/>
      <c r="E2198" s="104"/>
      <c r="F2198" s="104"/>
      <c r="G2198" s="35"/>
      <c r="H2198" s="104"/>
      <c r="I2198" s="35"/>
      <c r="J2198" s="74"/>
      <c r="K2198" s="74"/>
      <c r="L2198" s="74"/>
      <c r="M2198" s="74"/>
      <c r="N2198" s="74"/>
      <c r="O2198" s="74"/>
      <c r="P2198" s="74"/>
      <c r="Q2198" s="74"/>
      <c r="R2198" s="74"/>
      <c r="S2198" s="74"/>
      <c r="T2198" s="74"/>
      <c r="U2198" s="74"/>
      <c r="V2198" s="74"/>
      <c r="W2198" s="74"/>
      <c r="X2198" s="74"/>
      <c r="Y2198" s="74"/>
      <c r="Z2198" s="74"/>
      <c r="AA2198" s="74"/>
      <c r="AB2198" s="74"/>
    </row>
    <row r="2199" spans="1:28" ht="12" customHeight="1">
      <c r="A2199" s="260"/>
      <c r="B2199" s="104"/>
      <c r="C2199" s="104"/>
      <c r="D2199" s="260"/>
      <c r="E2199" s="104"/>
      <c r="F2199" s="104"/>
      <c r="G2199" s="35"/>
      <c r="H2199" s="104"/>
      <c r="I2199" s="35"/>
      <c r="J2199" s="74"/>
      <c r="K2199" s="74"/>
      <c r="L2199" s="74"/>
      <c r="M2199" s="74"/>
      <c r="N2199" s="74"/>
      <c r="O2199" s="74"/>
      <c r="P2199" s="74"/>
      <c r="Q2199" s="74"/>
      <c r="R2199" s="74"/>
      <c r="S2199" s="74"/>
      <c r="T2199" s="74"/>
      <c r="U2199" s="74"/>
      <c r="V2199" s="74"/>
      <c r="W2199" s="74"/>
      <c r="X2199" s="74"/>
      <c r="Y2199" s="74"/>
      <c r="Z2199" s="74"/>
      <c r="AA2199" s="74"/>
      <c r="AB2199" s="74"/>
    </row>
    <row r="2200" spans="1:28" ht="12" customHeight="1">
      <c r="A2200" s="260"/>
      <c r="B2200" s="104"/>
      <c r="C2200" s="104"/>
      <c r="D2200" s="260"/>
      <c r="E2200" s="104"/>
      <c r="F2200" s="104"/>
      <c r="G2200" s="35"/>
      <c r="H2200" s="104"/>
      <c r="I2200" s="35"/>
      <c r="J2200" s="74"/>
      <c r="K2200" s="74"/>
      <c r="L2200" s="74"/>
      <c r="M2200" s="74"/>
      <c r="N2200" s="74"/>
      <c r="O2200" s="74"/>
      <c r="P2200" s="74"/>
      <c r="Q2200" s="74"/>
      <c r="R2200" s="74"/>
      <c r="S2200" s="74"/>
      <c r="T2200" s="74"/>
      <c r="U2200" s="74"/>
      <c r="V2200" s="74"/>
      <c r="W2200" s="74"/>
      <c r="X2200" s="74"/>
      <c r="Y2200" s="74"/>
      <c r="Z2200" s="74"/>
      <c r="AA2200" s="74"/>
      <c r="AB2200" s="74"/>
    </row>
    <row r="2201" spans="1:28" ht="12" customHeight="1">
      <c r="A2201" s="260"/>
      <c r="B2201" s="104"/>
      <c r="C2201" s="104"/>
      <c r="D2201" s="260"/>
      <c r="E2201" s="104"/>
      <c r="F2201" s="104"/>
      <c r="G2201" s="35"/>
      <c r="H2201" s="104"/>
      <c r="I2201" s="35"/>
      <c r="J2201" s="74"/>
      <c r="K2201" s="74"/>
      <c r="L2201" s="74"/>
      <c r="M2201" s="74"/>
      <c r="N2201" s="74"/>
      <c r="O2201" s="74"/>
      <c r="P2201" s="74"/>
      <c r="Q2201" s="74"/>
      <c r="R2201" s="74"/>
      <c r="S2201" s="74"/>
      <c r="T2201" s="74"/>
      <c r="U2201" s="74"/>
      <c r="V2201" s="74"/>
      <c r="W2201" s="74"/>
      <c r="X2201" s="74"/>
      <c r="Y2201" s="74"/>
      <c r="Z2201" s="74"/>
      <c r="AA2201" s="74"/>
      <c r="AB2201" s="74"/>
    </row>
    <row r="2202" spans="1:28" ht="12" customHeight="1">
      <c r="A2202" s="260"/>
      <c r="B2202" s="104"/>
      <c r="C2202" s="104"/>
      <c r="D2202" s="260"/>
      <c r="E2202" s="104"/>
      <c r="F2202" s="104"/>
      <c r="G2202" s="35"/>
      <c r="H2202" s="104"/>
      <c r="I2202" s="35"/>
      <c r="J2202" s="74"/>
      <c r="K2202" s="74"/>
      <c r="L2202" s="74"/>
      <c r="M2202" s="74"/>
      <c r="N2202" s="74"/>
      <c r="O2202" s="74"/>
      <c r="P2202" s="74"/>
      <c r="Q2202" s="74"/>
      <c r="R2202" s="74"/>
      <c r="S2202" s="74"/>
      <c r="T2202" s="74"/>
      <c r="U2202" s="74"/>
      <c r="V2202" s="74"/>
      <c r="W2202" s="74"/>
      <c r="X2202" s="74"/>
      <c r="Y2202" s="74"/>
      <c r="Z2202" s="74"/>
      <c r="AA2202" s="74"/>
      <c r="AB2202" s="74"/>
    </row>
    <row r="2203" spans="1:28" ht="12" customHeight="1">
      <c r="A2203" s="260"/>
      <c r="B2203" s="104"/>
      <c r="C2203" s="104"/>
      <c r="D2203" s="260"/>
      <c r="E2203" s="104"/>
      <c r="F2203" s="104"/>
      <c r="G2203" s="35"/>
      <c r="H2203" s="104"/>
      <c r="I2203" s="35"/>
      <c r="J2203" s="74"/>
      <c r="K2203" s="74"/>
      <c r="L2203" s="74"/>
      <c r="M2203" s="74"/>
      <c r="N2203" s="74"/>
      <c r="O2203" s="74"/>
      <c r="P2203" s="74"/>
      <c r="Q2203" s="74"/>
      <c r="R2203" s="74"/>
      <c r="S2203" s="74"/>
      <c r="T2203" s="74"/>
      <c r="U2203" s="74"/>
      <c r="V2203" s="74"/>
      <c r="W2203" s="74"/>
      <c r="X2203" s="74"/>
      <c r="Y2203" s="74"/>
      <c r="Z2203" s="74"/>
      <c r="AA2203" s="74"/>
      <c r="AB2203" s="74"/>
    </row>
    <row r="2204" spans="1:28" ht="12" customHeight="1">
      <c r="A2204" s="260"/>
      <c r="B2204" s="104"/>
      <c r="C2204" s="104"/>
      <c r="D2204" s="260"/>
      <c r="E2204" s="104"/>
      <c r="F2204" s="104"/>
      <c r="G2204" s="35"/>
      <c r="H2204" s="104"/>
      <c r="I2204" s="35"/>
      <c r="J2204" s="74"/>
      <c r="K2204" s="74"/>
      <c r="L2204" s="74"/>
      <c r="M2204" s="74"/>
      <c r="N2204" s="74"/>
      <c r="O2204" s="74"/>
      <c r="P2204" s="74"/>
      <c r="Q2204" s="74"/>
      <c r="R2204" s="74"/>
      <c r="S2204" s="74"/>
      <c r="T2204" s="74"/>
      <c r="U2204" s="74"/>
      <c r="V2204" s="74"/>
      <c r="W2204" s="74"/>
      <c r="X2204" s="74"/>
      <c r="Y2204" s="74"/>
      <c r="Z2204" s="74"/>
      <c r="AA2204" s="74"/>
      <c r="AB2204" s="74"/>
    </row>
    <row r="2205" spans="1:28" ht="12" customHeight="1">
      <c r="A2205" s="260"/>
      <c r="B2205" s="104"/>
      <c r="C2205" s="104"/>
      <c r="D2205" s="260"/>
      <c r="E2205" s="104"/>
      <c r="F2205" s="104"/>
      <c r="G2205" s="35"/>
      <c r="H2205" s="104"/>
      <c r="I2205" s="35"/>
      <c r="J2205" s="74"/>
      <c r="K2205" s="74"/>
      <c r="L2205" s="74"/>
      <c r="M2205" s="74"/>
      <c r="N2205" s="74"/>
      <c r="O2205" s="74"/>
      <c r="P2205" s="74"/>
      <c r="Q2205" s="74"/>
      <c r="R2205" s="74"/>
      <c r="S2205" s="74"/>
      <c r="T2205" s="74"/>
      <c r="U2205" s="74"/>
      <c r="V2205" s="74"/>
      <c r="W2205" s="74"/>
      <c r="X2205" s="74"/>
      <c r="Y2205" s="74"/>
      <c r="Z2205" s="74"/>
      <c r="AA2205" s="74"/>
      <c r="AB2205" s="74"/>
    </row>
    <row r="2206" spans="1:28" ht="12" customHeight="1">
      <c r="A2206" s="260"/>
      <c r="B2206" s="104"/>
      <c r="C2206" s="104"/>
      <c r="D2206" s="260"/>
      <c r="E2206" s="104"/>
      <c r="F2206" s="104"/>
      <c r="G2206" s="35"/>
      <c r="H2206" s="104"/>
      <c r="I2206" s="35"/>
      <c r="J2206" s="74"/>
      <c r="K2206" s="74"/>
      <c r="L2206" s="74"/>
      <c r="M2206" s="74"/>
      <c r="N2206" s="74"/>
      <c r="O2206" s="74"/>
      <c r="P2206" s="74"/>
      <c r="Q2206" s="74"/>
      <c r="R2206" s="74"/>
      <c r="S2206" s="74"/>
      <c r="T2206" s="74"/>
      <c r="U2206" s="74"/>
      <c r="V2206" s="74"/>
      <c r="W2206" s="74"/>
      <c r="X2206" s="74"/>
      <c r="Y2206" s="74"/>
      <c r="Z2206" s="74"/>
      <c r="AA2206" s="74"/>
      <c r="AB2206" s="74"/>
    </row>
    <row r="2207" spans="1:28" ht="12" customHeight="1">
      <c r="A2207" s="260"/>
      <c r="B2207" s="104"/>
      <c r="C2207" s="104"/>
      <c r="D2207" s="260"/>
      <c r="E2207" s="104"/>
      <c r="F2207" s="104"/>
      <c r="G2207" s="35"/>
      <c r="H2207" s="104"/>
      <c r="I2207" s="35"/>
      <c r="J2207" s="74"/>
      <c r="K2207" s="74"/>
      <c r="L2207" s="74"/>
      <c r="M2207" s="74"/>
      <c r="N2207" s="74"/>
      <c r="O2207" s="74"/>
      <c r="P2207" s="74"/>
      <c r="Q2207" s="74"/>
      <c r="R2207" s="74"/>
      <c r="S2207" s="74"/>
      <c r="T2207" s="74"/>
      <c r="U2207" s="74"/>
      <c r="V2207" s="74"/>
      <c r="W2207" s="74"/>
      <c r="X2207" s="74"/>
      <c r="Y2207" s="74"/>
      <c r="Z2207" s="74"/>
      <c r="AA2207" s="74"/>
      <c r="AB2207" s="74"/>
    </row>
    <row r="2208" spans="1:28" ht="12" customHeight="1">
      <c r="A2208" s="260"/>
      <c r="B2208" s="104"/>
      <c r="C2208" s="104"/>
      <c r="D2208" s="260"/>
      <c r="E2208" s="104"/>
      <c r="F2208" s="104"/>
      <c r="G2208" s="35"/>
      <c r="H2208" s="104"/>
      <c r="I2208" s="35"/>
      <c r="J2208" s="74"/>
      <c r="K2208" s="74"/>
      <c r="L2208" s="74"/>
      <c r="M2208" s="74"/>
      <c r="N2208" s="74"/>
      <c r="O2208" s="74"/>
      <c r="P2208" s="74"/>
      <c r="Q2208" s="74"/>
      <c r="R2208" s="74"/>
      <c r="S2208" s="74"/>
      <c r="T2208" s="74"/>
      <c r="U2208" s="74"/>
      <c r="V2208" s="74"/>
      <c r="W2208" s="74"/>
      <c r="X2208" s="74"/>
      <c r="Y2208" s="74"/>
      <c r="Z2208" s="74"/>
      <c r="AA2208" s="74"/>
      <c r="AB2208" s="74"/>
    </row>
    <row r="2209" spans="1:28" ht="12" customHeight="1">
      <c r="A2209" s="260"/>
      <c r="B2209" s="104"/>
      <c r="C2209" s="104"/>
      <c r="D2209" s="260"/>
      <c r="E2209" s="104"/>
      <c r="F2209" s="104"/>
      <c r="G2209" s="35"/>
      <c r="H2209" s="104"/>
      <c r="I2209" s="35"/>
      <c r="J2209" s="74"/>
      <c r="K2209" s="74"/>
      <c r="L2209" s="74"/>
      <c r="M2209" s="74"/>
      <c r="N2209" s="74"/>
      <c r="O2209" s="74"/>
      <c r="P2209" s="74"/>
      <c r="Q2209" s="74"/>
      <c r="R2209" s="74"/>
      <c r="S2209" s="74"/>
      <c r="T2209" s="74"/>
      <c r="U2209" s="74"/>
      <c r="V2209" s="74"/>
      <c r="W2209" s="74"/>
      <c r="X2209" s="74"/>
      <c r="Y2209" s="74"/>
      <c r="Z2209" s="74"/>
      <c r="AA2209" s="74"/>
      <c r="AB2209" s="74"/>
    </row>
    <row r="2210" spans="1:28" ht="12" customHeight="1">
      <c r="A2210" s="260"/>
      <c r="B2210" s="104"/>
      <c r="C2210" s="104"/>
      <c r="D2210" s="260"/>
      <c r="E2210" s="104"/>
      <c r="F2210" s="104"/>
      <c r="G2210" s="35"/>
      <c r="H2210" s="104"/>
      <c r="I2210" s="35"/>
      <c r="J2210" s="74"/>
      <c r="K2210" s="74"/>
      <c r="L2210" s="74"/>
      <c r="M2210" s="74"/>
      <c r="N2210" s="74"/>
      <c r="O2210" s="74"/>
      <c r="P2210" s="74"/>
      <c r="Q2210" s="74"/>
      <c r="R2210" s="74"/>
      <c r="S2210" s="74"/>
      <c r="T2210" s="74"/>
      <c r="U2210" s="74"/>
      <c r="V2210" s="74"/>
      <c r="W2210" s="74"/>
      <c r="X2210" s="74"/>
      <c r="Y2210" s="74"/>
      <c r="Z2210" s="74"/>
      <c r="AA2210" s="74"/>
      <c r="AB2210" s="74"/>
    </row>
    <row r="2211" spans="1:28" ht="12" customHeight="1">
      <c r="A2211" s="260"/>
      <c r="B2211" s="104"/>
      <c r="C2211" s="104"/>
      <c r="D2211" s="260"/>
      <c r="E2211" s="104"/>
      <c r="F2211" s="104"/>
      <c r="G2211" s="35"/>
      <c r="H2211" s="104"/>
      <c r="I2211" s="35"/>
      <c r="J2211" s="74"/>
      <c r="K2211" s="74"/>
      <c r="L2211" s="74"/>
      <c r="M2211" s="74"/>
      <c r="N2211" s="74"/>
      <c r="O2211" s="74"/>
      <c r="P2211" s="74"/>
      <c r="Q2211" s="74"/>
      <c r="R2211" s="74"/>
      <c r="S2211" s="74"/>
      <c r="T2211" s="74"/>
      <c r="U2211" s="74"/>
      <c r="V2211" s="74"/>
      <c r="W2211" s="74"/>
      <c r="X2211" s="74"/>
      <c r="Y2211" s="74"/>
      <c r="Z2211" s="74"/>
      <c r="AA2211" s="74"/>
      <c r="AB2211" s="74"/>
    </row>
    <row r="2212" spans="1:28" ht="12" customHeight="1">
      <c r="A2212" s="260"/>
      <c r="B2212" s="104"/>
      <c r="C2212" s="104"/>
      <c r="D2212" s="260"/>
      <c r="E2212" s="104"/>
      <c r="F2212" s="104"/>
      <c r="G2212" s="35"/>
      <c r="H2212" s="104"/>
      <c r="I2212" s="35"/>
      <c r="J2212" s="74"/>
      <c r="K2212" s="74"/>
      <c r="L2212" s="74"/>
      <c r="M2212" s="74"/>
      <c r="N2212" s="74"/>
      <c r="O2212" s="74"/>
      <c r="P2212" s="74"/>
      <c r="Q2212" s="74"/>
      <c r="R2212" s="74"/>
      <c r="S2212" s="74"/>
      <c r="T2212" s="74"/>
      <c r="U2212" s="74"/>
      <c r="V2212" s="74"/>
      <c r="W2212" s="74"/>
      <c r="X2212" s="74"/>
      <c r="Y2212" s="74"/>
      <c r="Z2212" s="74"/>
      <c r="AA2212" s="74"/>
      <c r="AB2212" s="74"/>
    </row>
    <row r="2213" spans="1:28" ht="12" customHeight="1">
      <c r="A2213" s="260"/>
      <c r="B2213" s="104"/>
      <c r="C2213" s="104"/>
      <c r="D2213" s="260"/>
      <c r="E2213" s="104"/>
      <c r="F2213" s="104"/>
      <c r="G2213" s="35"/>
      <c r="H2213" s="104"/>
      <c r="I2213" s="35"/>
      <c r="J2213" s="74"/>
      <c r="K2213" s="74"/>
      <c r="L2213" s="74"/>
      <c r="M2213" s="74"/>
      <c r="N2213" s="74"/>
      <c r="O2213" s="74"/>
      <c r="P2213" s="74"/>
      <c r="Q2213" s="74"/>
      <c r="R2213" s="74"/>
      <c r="S2213" s="74"/>
      <c r="T2213" s="74"/>
      <c r="U2213" s="74"/>
      <c r="V2213" s="74"/>
      <c r="W2213" s="74"/>
      <c r="X2213" s="74"/>
      <c r="Y2213" s="74"/>
      <c r="Z2213" s="74"/>
      <c r="AA2213" s="74"/>
      <c r="AB2213" s="74"/>
    </row>
    <row r="2214" spans="1:28" ht="12" customHeight="1">
      <c r="A2214" s="260"/>
      <c r="B2214" s="104"/>
      <c r="C2214" s="104"/>
      <c r="D2214" s="260"/>
      <c r="E2214" s="104"/>
      <c r="F2214" s="104"/>
      <c r="G2214" s="35"/>
      <c r="H2214" s="104"/>
      <c r="I2214" s="35"/>
      <c r="J2214" s="74"/>
      <c r="K2214" s="74"/>
      <c r="L2214" s="74"/>
      <c r="M2214" s="74"/>
      <c r="N2214" s="74"/>
      <c r="O2214" s="74"/>
      <c r="P2214" s="74"/>
      <c r="Q2214" s="74"/>
      <c r="R2214" s="74"/>
      <c r="S2214" s="74"/>
      <c r="T2214" s="74"/>
      <c r="U2214" s="74"/>
      <c r="V2214" s="74"/>
      <c r="W2214" s="74"/>
      <c r="X2214" s="74"/>
      <c r="Y2214" s="74"/>
      <c r="Z2214" s="74"/>
      <c r="AA2214" s="74"/>
      <c r="AB2214" s="74"/>
    </row>
    <row r="2215" spans="1:28" ht="12" customHeight="1">
      <c r="A2215" s="260"/>
      <c r="B2215" s="104"/>
      <c r="C2215" s="104"/>
      <c r="D2215" s="260"/>
      <c r="E2215" s="104"/>
      <c r="F2215" s="104"/>
      <c r="G2215" s="35"/>
      <c r="H2215" s="104"/>
      <c r="I2215" s="35"/>
      <c r="J2215" s="74"/>
      <c r="K2215" s="74"/>
      <c r="L2215" s="74"/>
      <c r="M2215" s="74"/>
      <c r="N2215" s="74"/>
      <c r="O2215" s="74"/>
      <c r="P2215" s="74"/>
      <c r="Q2215" s="74"/>
      <c r="R2215" s="74"/>
      <c r="S2215" s="74"/>
      <c r="T2215" s="74"/>
      <c r="U2215" s="74"/>
      <c r="V2215" s="74"/>
      <c r="W2215" s="74"/>
      <c r="X2215" s="74"/>
      <c r="Y2215" s="74"/>
      <c r="Z2215" s="74"/>
      <c r="AA2215" s="74"/>
      <c r="AB2215" s="74"/>
    </row>
    <row r="2216" spans="1:28" ht="12" customHeight="1">
      <c r="A2216" s="260"/>
      <c r="B2216" s="104"/>
      <c r="C2216" s="104"/>
      <c r="D2216" s="260"/>
      <c r="E2216" s="104"/>
      <c r="F2216" s="104"/>
      <c r="G2216" s="35"/>
      <c r="H2216" s="104"/>
      <c r="I2216" s="35"/>
      <c r="J2216" s="74"/>
      <c r="K2216" s="74"/>
      <c r="L2216" s="74"/>
      <c r="M2216" s="74"/>
      <c r="N2216" s="74"/>
      <c r="O2216" s="74"/>
      <c r="P2216" s="74"/>
      <c r="Q2216" s="74"/>
      <c r="R2216" s="74"/>
      <c r="S2216" s="74"/>
      <c r="T2216" s="74"/>
      <c r="U2216" s="74"/>
      <c r="V2216" s="74"/>
      <c r="W2216" s="74"/>
      <c r="X2216" s="74"/>
      <c r="Y2216" s="74"/>
      <c r="Z2216" s="74"/>
      <c r="AA2216" s="74"/>
      <c r="AB2216" s="74"/>
    </row>
    <row r="2217" spans="1:28" ht="12" customHeight="1">
      <c r="A2217" s="260"/>
      <c r="B2217" s="104"/>
      <c r="C2217" s="104"/>
      <c r="D2217" s="260"/>
      <c r="E2217" s="104"/>
      <c r="F2217" s="104"/>
      <c r="G2217" s="35"/>
      <c r="H2217" s="104"/>
      <c r="I2217" s="35"/>
      <c r="J2217" s="74"/>
      <c r="K2217" s="74"/>
      <c r="L2217" s="74"/>
      <c r="M2217" s="74"/>
      <c r="N2217" s="74"/>
      <c r="O2217" s="74"/>
      <c r="P2217" s="74"/>
      <c r="Q2217" s="74"/>
      <c r="R2217" s="74"/>
      <c r="S2217" s="74"/>
      <c r="T2217" s="74"/>
      <c r="U2217" s="74"/>
      <c r="V2217" s="74"/>
      <c r="W2217" s="74"/>
      <c r="X2217" s="74"/>
      <c r="Y2217" s="74"/>
      <c r="Z2217" s="74"/>
      <c r="AA2217" s="74"/>
      <c r="AB2217" s="74"/>
    </row>
    <row r="2218" spans="1:28" ht="12" customHeight="1">
      <c r="A2218" s="260"/>
      <c r="B2218" s="104"/>
      <c r="C2218" s="104"/>
      <c r="D2218" s="260"/>
      <c r="E2218" s="104"/>
      <c r="F2218" s="104"/>
      <c r="G2218" s="35"/>
      <c r="H2218" s="104"/>
      <c r="I2218" s="35"/>
      <c r="J2218" s="74"/>
      <c r="K2218" s="74"/>
      <c r="L2218" s="74"/>
      <c r="M2218" s="74"/>
      <c r="N2218" s="74"/>
      <c r="O2218" s="74"/>
      <c r="P2218" s="74"/>
      <c r="Q2218" s="74"/>
      <c r="R2218" s="74"/>
      <c r="S2218" s="74"/>
      <c r="T2218" s="74"/>
      <c r="U2218" s="74"/>
      <c r="V2218" s="74"/>
      <c r="W2218" s="74"/>
      <c r="X2218" s="74"/>
      <c r="Y2218" s="74"/>
      <c r="Z2218" s="74"/>
      <c r="AA2218" s="74"/>
      <c r="AB2218" s="74"/>
    </row>
    <row r="2219" spans="1:28" ht="12" customHeight="1">
      <c r="A2219" s="260"/>
      <c r="B2219" s="104"/>
      <c r="C2219" s="104"/>
      <c r="D2219" s="260"/>
      <c r="E2219" s="104"/>
      <c r="F2219" s="104"/>
      <c r="G2219" s="35"/>
      <c r="H2219" s="104"/>
      <c r="I2219" s="35"/>
      <c r="J2219" s="74"/>
      <c r="K2219" s="74"/>
      <c r="L2219" s="74"/>
      <c r="M2219" s="74"/>
      <c r="N2219" s="74"/>
      <c r="O2219" s="74"/>
      <c r="P2219" s="74"/>
      <c r="Q2219" s="74"/>
      <c r="R2219" s="74"/>
      <c r="S2219" s="74"/>
      <c r="T2219" s="74"/>
      <c r="U2219" s="74"/>
      <c r="V2219" s="74"/>
      <c r="W2219" s="74"/>
      <c r="X2219" s="74"/>
      <c r="Y2219" s="74"/>
      <c r="Z2219" s="74"/>
      <c r="AA2219" s="74"/>
      <c r="AB2219" s="74"/>
    </row>
    <row r="2220" spans="1:28" ht="12" customHeight="1">
      <c r="A2220" s="260"/>
      <c r="B2220" s="104"/>
      <c r="C2220" s="104"/>
      <c r="D2220" s="260"/>
      <c r="E2220" s="104"/>
      <c r="F2220" s="104"/>
      <c r="G2220" s="35"/>
      <c r="H2220" s="104"/>
      <c r="I2220" s="35"/>
      <c r="J2220" s="74"/>
      <c r="K2220" s="74"/>
      <c r="L2220" s="74"/>
      <c r="M2220" s="74"/>
      <c r="N2220" s="74"/>
      <c r="O2220" s="74"/>
      <c r="P2220" s="74"/>
      <c r="Q2220" s="74"/>
      <c r="R2220" s="74"/>
      <c r="S2220" s="74"/>
      <c r="T2220" s="74"/>
      <c r="U2220" s="74"/>
      <c r="V2220" s="74"/>
      <c r="W2220" s="74"/>
      <c r="X2220" s="74"/>
      <c r="Y2220" s="74"/>
      <c r="Z2220" s="74"/>
      <c r="AA2220" s="74"/>
      <c r="AB2220" s="74"/>
    </row>
    <row r="2221" spans="1:28" ht="12" customHeight="1">
      <c r="A2221" s="260"/>
      <c r="B2221" s="104"/>
      <c r="C2221" s="104"/>
      <c r="D2221" s="260"/>
      <c r="E2221" s="104"/>
      <c r="F2221" s="104"/>
      <c r="G2221" s="35"/>
      <c r="H2221" s="104"/>
      <c r="I2221" s="35"/>
      <c r="J2221" s="74"/>
      <c r="K2221" s="74"/>
      <c r="L2221" s="74"/>
      <c r="M2221" s="74"/>
      <c r="N2221" s="74"/>
      <c r="O2221" s="74"/>
      <c r="P2221" s="74"/>
      <c r="Q2221" s="74"/>
      <c r="R2221" s="74"/>
      <c r="S2221" s="74"/>
      <c r="T2221" s="74"/>
      <c r="U2221" s="74"/>
      <c r="V2221" s="74"/>
      <c r="W2221" s="74"/>
      <c r="X2221" s="74"/>
      <c r="Y2221" s="74"/>
      <c r="Z2221" s="74"/>
      <c r="AA2221" s="74"/>
      <c r="AB2221" s="74"/>
    </row>
    <row r="2222" spans="1:28" ht="12" customHeight="1">
      <c r="A2222" s="260"/>
      <c r="B2222" s="104"/>
      <c r="C2222" s="104"/>
      <c r="D2222" s="260"/>
      <c r="E2222" s="104"/>
      <c r="F2222" s="104"/>
      <c r="G2222" s="35"/>
      <c r="H2222" s="104"/>
      <c r="I2222" s="35"/>
      <c r="J2222" s="74"/>
      <c r="K2222" s="74"/>
      <c r="L2222" s="74"/>
      <c r="M2222" s="74"/>
      <c r="N2222" s="74"/>
      <c r="O2222" s="74"/>
      <c r="P2222" s="74"/>
      <c r="Q2222" s="74"/>
      <c r="R2222" s="74"/>
      <c r="S2222" s="74"/>
      <c r="T2222" s="74"/>
      <c r="U2222" s="74"/>
      <c r="V2222" s="74"/>
      <c r="W2222" s="74"/>
      <c r="X2222" s="74"/>
      <c r="Y2222" s="74"/>
      <c r="Z2222" s="74"/>
      <c r="AA2222" s="74"/>
      <c r="AB2222" s="74"/>
    </row>
    <row r="2223" spans="1:28" ht="12" customHeight="1">
      <c r="A2223" s="260"/>
      <c r="B2223" s="104"/>
      <c r="C2223" s="104"/>
      <c r="D2223" s="260"/>
      <c r="E2223" s="104"/>
      <c r="F2223" s="104"/>
      <c r="G2223" s="35"/>
      <c r="H2223" s="104"/>
      <c r="I2223" s="35"/>
      <c r="J2223" s="74"/>
      <c r="K2223" s="74"/>
      <c r="L2223" s="74"/>
      <c r="M2223" s="74"/>
      <c r="N2223" s="74"/>
      <c r="O2223" s="74"/>
      <c r="P2223" s="74"/>
      <c r="Q2223" s="74"/>
      <c r="R2223" s="74"/>
      <c r="S2223" s="74"/>
      <c r="T2223" s="74"/>
      <c r="U2223" s="74"/>
      <c r="V2223" s="74"/>
      <c r="W2223" s="74"/>
      <c r="X2223" s="74"/>
      <c r="Y2223" s="74"/>
      <c r="Z2223" s="74"/>
      <c r="AA2223" s="74"/>
      <c r="AB2223" s="74"/>
    </row>
    <row r="2224" spans="1:28" ht="12" customHeight="1">
      <c r="A2224" s="260"/>
      <c r="B2224" s="104"/>
      <c r="C2224" s="104"/>
      <c r="D2224" s="260"/>
      <c r="E2224" s="104"/>
      <c r="F2224" s="104"/>
      <c r="G2224" s="35"/>
      <c r="H2224" s="104"/>
      <c r="I2224" s="35"/>
      <c r="J2224" s="74"/>
      <c r="K2224" s="74"/>
      <c r="L2224" s="74"/>
      <c r="M2224" s="74"/>
      <c r="N2224" s="74"/>
      <c r="O2224" s="74"/>
      <c r="P2224" s="74"/>
      <c r="Q2224" s="74"/>
      <c r="R2224" s="74"/>
      <c r="S2224" s="74"/>
      <c r="T2224" s="74"/>
      <c r="U2224" s="74"/>
      <c r="V2224" s="74"/>
      <c r="W2224" s="74"/>
      <c r="X2224" s="74"/>
      <c r="Y2224" s="74"/>
      <c r="Z2224" s="74"/>
      <c r="AA2224" s="74"/>
      <c r="AB2224" s="74"/>
    </row>
    <row r="2225" spans="1:28" ht="12" customHeight="1">
      <c r="A2225" s="260"/>
      <c r="B2225" s="104"/>
      <c r="C2225" s="104"/>
      <c r="D2225" s="260"/>
      <c r="E2225" s="104"/>
      <c r="F2225" s="104"/>
      <c r="G2225" s="35"/>
      <c r="H2225" s="104"/>
      <c r="I2225" s="35"/>
      <c r="J2225" s="74"/>
      <c r="K2225" s="74"/>
      <c r="L2225" s="74"/>
      <c r="M2225" s="74"/>
      <c r="N2225" s="74"/>
      <c r="O2225" s="74"/>
      <c r="P2225" s="74"/>
      <c r="Q2225" s="74"/>
      <c r="R2225" s="74"/>
      <c r="S2225" s="74"/>
      <c r="T2225" s="74"/>
      <c r="U2225" s="74"/>
      <c r="V2225" s="74"/>
      <c r="W2225" s="74"/>
      <c r="X2225" s="74"/>
      <c r="Y2225" s="74"/>
      <c r="Z2225" s="74"/>
      <c r="AA2225" s="74"/>
      <c r="AB2225" s="74"/>
    </row>
    <row r="2226" spans="1:28" ht="12" customHeight="1">
      <c r="A2226" s="260"/>
      <c r="B2226" s="104"/>
      <c r="C2226" s="104"/>
      <c r="D2226" s="260"/>
      <c r="E2226" s="104"/>
      <c r="F2226" s="104"/>
      <c r="G2226" s="35"/>
      <c r="H2226" s="104"/>
      <c r="I2226" s="35"/>
      <c r="J2226" s="74"/>
      <c r="K2226" s="74"/>
      <c r="L2226" s="74"/>
      <c r="M2226" s="74"/>
      <c r="N2226" s="74"/>
      <c r="O2226" s="74"/>
      <c r="P2226" s="74"/>
      <c r="Q2226" s="74"/>
      <c r="R2226" s="74"/>
      <c r="S2226" s="74"/>
      <c r="T2226" s="74"/>
      <c r="U2226" s="74"/>
      <c r="V2226" s="74"/>
      <c r="W2226" s="74"/>
      <c r="X2226" s="74"/>
      <c r="Y2226" s="74"/>
      <c r="Z2226" s="74"/>
      <c r="AA2226" s="74"/>
      <c r="AB2226" s="74"/>
    </row>
    <row r="2227" spans="1:28" ht="12" customHeight="1">
      <c r="A2227" s="260"/>
      <c r="B2227" s="104"/>
      <c r="C2227" s="104"/>
      <c r="D2227" s="260"/>
      <c r="E2227" s="104"/>
      <c r="F2227" s="104"/>
      <c r="G2227" s="35"/>
      <c r="H2227" s="104"/>
      <c r="I2227" s="35"/>
      <c r="J2227" s="74"/>
      <c r="K2227" s="74"/>
      <c r="L2227" s="74"/>
      <c r="M2227" s="74"/>
      <c r="N2227" s="74"/>
      <c r="O2227" s="74"/>
      <c r="P2227" s="74"/>
      <c r="Q2227" s="74"/>
      <c r="R2227" s="74"/>
      <c r="S2227" s="74"/>
      <c r="T2227" s="74"/>
      <c r="U2227" s="74"/>
      <c r="V2227" s="74"/>
      <c r="W2227" s="74"/>
      <c r="X2227" s="74"/>
      <c r="Y2227" s="74"/>
      <c r="Z2227" s="74"/>
      <c r="AA2227" s="74"/>
      <c r="AB2227" s="74"/>
    </row>
    <row r="2228" spans="1:28" ht="12" customHeight="1">
      <c r="A2228" s="260"/>
      <c r="B2228" s="104"/>
      <c r="C2228" s="104"/>
      <c r="D2228" s="260"/>
      <c r="E2228" s="104"/>
      <c r="F2228" s="104"/>
      <c r="G2228" s="35"/>
      <c r="H2228" s="104"/>
      <c r="I2228" s="35"/>
      <c r="J2228" s="74"/>
      <c r="K2228" s="74"/>
      <c r="L2228" s="74"/>
      <c r="M2228" s="74"/>
      <c r="N2228" s="74"/>
      <c r="O2228" s="74"/>
      <c r="P2228" s="74"/>
      <c r="Q2228" s="74"/>
      <c r="R2228" s="74"/>
      <c r="S2228" s="74"/>
      <c r="T2228" s="74"/>
      <c r="U2228" s="74"/>
      <c r="V2228" s="74"/>
      <c r="W2228" s="74"/>
      <c r="X2228" s="74"/>
      <c r="Y2228" s="74"/>
      <c r="Z2228" s="74"/>
      <c r="AA2228" s="74"/>
      <c r="AB2228" s="74"/>
    </row>
    <row r="2229" spans="1:28" ht="12" customHeight="1">
      <c r="A2229" s="260"/>
      <c r="B2229" s="104"/>
      <c r="C2229" s="104"/>
      <c r="D2229" s="260"/>
      <c r="E2229" s="104"/>
      <c r="F2229" s="104"/>
      <c r="G2229" s="35"/>
      <c r="H2229" s="104"/>
      <c r="I2229" s="35"/>
      <c r="J2229" s="74"/>
      <c r="K2229" s="74"/>
      <c r="L2229" s="74"/>
      <c r="M2229" s="74"/>
      <c r="N2229" s="74"/>
      <c r="O2229" s="74"/>
      <c r="P2229" s="74"/>
      <c r="Q2229" s="74"/>
      <c r="R2229" s="74"/>
      <c r="S2229" s="74"/>
      <c r="T2229" s="74"/>
      <c r="U2229" s="74"/>
      <c r="V2229" s="74"/>
      <c r="W2229" s="74"/>
      <c r="X2229" s="74"/>
      <c r="Y2229" s="74"/>
      <c r="Z2229" s="74"/>
      <c r="AA2229" s="74"/>
      <c r="AB2229" s="74"/>
    </row>
    <row r="2230" spans="1:28" ht="12" customHeight="1">
      <c r="A2230" s="260"/>
      <c r="B2230" s="104"/>
      <c r="C2230" s="104"/>
      <c r="D2230" s="260"/>
      <c r="E2230" s="104"/>
      <c r="F2230" s="104"/>
      <c r="G2230" s="35"/>
      <c r="H2230" s="104"/>
      <c r="I2230" s="35"/>
      <c r="J2230" s="74"/>
      <c r="K2230" s="74"/>
      <c r="L2230" s="74"/>
      <c r="M2230" s="74"/>
      <c r="N2230" s="74"/>
      <c r="O2230" s="74"/>
      <c r="P2230" s="74"/>
      <c r="Q2230" s="74"/>
      <c r="R2230" s="74"/>
      <c r="S2230" s="74"/>
      <c r="T2230" s="74"/>
      <c r="U2230" s="74"/>
      <c r="V2230" s="74"/>
      <c r="W2230" s="74"/>
      <c r="X2230" s="74"/>
      <c r="Y2230" s="74"/>
      <c r="Z2230" s="74"/>
      <c r="AA2230" s="74"/>
      <c r="AB2230" s="74"/>
    </row>
    <row r="2231" spans="1:28" ht="12" customHeight="1">
      <c r="A2231" s="260"/>
      <c r="B2231" s="104"/>
      <c r="C2231" s="104"/>
      <c r="D2231" s="260"/>
      <c r="E2231" s="104"/>
      <c r="F2231" s="104"/>
      <c r="G2231" s="35"/>
      <c r="H2231" s="104"/>
      <c r="I2231" s="35"/>
      <c r="J2231" s="74"/>
      <c r="K2231" s="74"/>
      <c r="L2231" s="74"/>
      <c r="M2231" s="74"/>
      <c r="N2231" s="74"/>
      <c r="O2231" s="74"/>
      <c r="P2231" s="74"/>
      <c r="Q2231" s="74"/>
      <c r="R2231" s="74"/>
      <c r="S2231" s="74"/>
      <c r="T2231" s="74"/>
      <c r="U2231" s="74"/>
      <c r="V2231" s="74"/>
      <c r="W2231" s="74"/>
      <c r="X2231" s="74"/>
      <c r="Y2231" s="74"/>
      <c r="Z2231" s="74"/>
      <c r="AA2231" s="74"/>
      <c r="AB2231" s="74"/>
    </row>
    <row r="2232" spans="1:28" ht="12" customHeight="1">
      <c r="A2232" s="260"/>
      <c r="B2232" s="104"/>
      <c r="C2232" s="104"/>
      <c r="D2232" s="260"/>
      <c r="E2232" s="104"/>
      <c r="F2232" s="104"/>
      <c r="G2232" s="35"/>
      <c r="H2232" s="104"/>
      <c r="I2232" s="35"/>
      <c r="J2232" s="74"/>
      <c r="K2232" s="74"/>
      <c r="L2232" s="74"/>
      <c r="M2232" s="74"/>
      <c r="N2232" s="74"/>
      <c r="O2232" s="74"/>
      <c r="P2232" s="74"/>
      <c r="Q2232" s="74"/>
      <c r="R2232" s="74"/>
      <c r="S2232" s="74"/>
      <c r="T2232" s="74"/>
      <c r="U2232" s="74"/>
      <c r="V2232" s="74"/>
      <c r="W2232" s="74"/>
      <c r="X2232" s="74"/>
      <c r="Y2232" s="74"/>
      <c r="Z2232" s="74"/>
      <c r="AA2232" s="74"/>
      <c r="AB2232" s="74"/>
    </row>
    <row r="2233" spans="1:28" ht="12" customHeight="1">
      <c r="A2233" s="260"/>
      <c r="B2233" s="104"/>
      <c r="C2233" s="104"/>
      <c r="D2233" s="260"/>
      <c r="E2233" s="104"/>
      <c r="F2233" s="104"/>
      <c r="G2233" s="35"/>
      <c r="H2233" s="104"/>
      <c r="I2233" s="35"/>
      <c r="J2233" s="74"/>
      <c r="K2233" s="74"/>
      <c r="L2233" s="74"/>
      <c r="M2233" s="74"/>
      <c r="N2233" s="74"/>
      <c r="O2233" s="74"/>
      <c r="P2233" s="74"/>
      <c r="Q2233" s="74"/>
      <c r="R2233" s="74"/>
      <c r="S2233" s="74"/>
      <c r="T2233" s="74"/>
      <c r="U2233" s="74"/>
      <c r="V2233" s="74"/>
      <c r="W2233" s="74"/>
      <c r="X2233" s="74"/>
      <c r="Y2233" s="74"/>
      <c r="Z2233" s="74"/>
      <c r="AA2233" s="74"/>
      <c r="AB2233" s="74"/>
    </row>
    <row r="2234" spans="1:28" ht="12" customHeight="1">
      <c r="A2234" s="260"/>
      <c r="B2234" s="104"/>
      <c r="C2234" s="104"/>
      <c r="D2234" s="260"/>
      <c r="E2234" s="104"/>
      <c r="F2234" s="104"/>
      <c r="G2234" s="35"/>
      <c r="H2234" s="104"/>
      <c r="I2234" s="35"/>
      <c r="J2234" s="74"/>
      <c r="K2234" s="74"/>
      <c r="L2234" s="74"/>
      <c r="M2234" s="74"/>
      <c r="N2234" s="74"/>
      <c r="O2234" s="74"/>
      <c r="P2234" s="74"/>
      <c r="Q2234" s="74"/>
      <c r="R2234" s="74"/>
      <c r="S2234" s="74"/>
      <c r="T2234" s="74"/>
      <c r="U2234" s="74"/>
      <c r="V2234" s="74"/>
      <c r="W2234" s="74"/>
      <c r="X2234" s="74"/>
      <c r="Y2234" s="74"/>
      <c r="Z2234" s="74"/>
      <c r="AA2234" s="74"/>
      <c r="AB2234" s="74"/>
    </row>
    <row r="2235" spans="1:28" ht="12" customHeight="1">
      <c r="A2235" s="260"/>
      <c r="B2235" s="104"/>
      <c r="C2235" s="104"/>
      <c r="D2235" s="260"/>
      <c r="E2235" s="104"/>
      <c r="F2235" s="104"/>
      <c r="G2235" s="35"/>
      <c r="H2235" s="104"/>
      <c r="I2235" s="35"/>
      <c r="J2235" s="74"/>
      <c r="K2235" s="74"/>
      <c r="L2235" s="74"/>
      <c r="M2235" s="74"/>
      <c r="N2235" s="74"/>
      <c r="O2235" s="74"/>
      <c r="P2235" s="74"/>
      <c r="Q2235" s="74"/>
      <c r="R2235" s="74"/>
      <c r="S2235" s="74"/>
      <c r="T2235" s="74"/>
      <c r="U2235" s="74"/>
      <c r="V2235" s="74"/>
      <c r="W2235" s="74"/>
      <c r="X2235" s="74"/>
      <c r="Y2235" s="74"/>
      <c r="Z2235" s="74"/>
      <c r="AA2235" s="74"/>
      <c r="AB2235" s="74"/>
    </row>
    <row r="2236" spans="1:28" ht="12" customHeight="1">
      <c r="A2236" s="260"/>
      <c r="B2236" s="104"/>
      <c r="C2236" s="104"/>
      <c r="D2236" s="260"/>
      <c r="E2236" s="104"/>
      <c r="F2236" s="104"/>
      <c r="G2236" s="35"/>
      <c r="H2236" s="104"/>
      <c r="I2236" s="35"/>
      <c r="J2236" s="74"/>
      <c r="K2236" s="74"/>
      <c r="L2236" s="74"/>
      <c r="M2236" s="74"/>
      <c r="N2236" s="74"/>
      <c r="O2236" s="74"/>
      <c r="P2236" s="74"/>
      <c r="Q2236" s="74"/>
      <c r="R2236" s="74"/>
      <c r="S2236" s="74"/>
      <c r="T2236" s="74"/>
      <c r="U2236" s="74"/>
      <c r="V2236" s="74"/>
      <c r="W2236" s="74"/>
      <c r="X2236" s="74"/>
      <c r="Y2236" s="74"/>
      <c r="Z2236" s="74"/>
      <c r="AA2236" s="74"/>
      <c r="AB2236" s="74"/>
    </row>
    <row r="2237" spans="1:28" ht="12" customHeight="1">
      <c r="A2237" s="260"/>
      <c r="B2237" s="104"/>
      <c r="C2237" s="104"/>
      <c r="D2237" s="260"/>
      <c r="E2237" s="104"/>
      <c r="F2237" s="104"/>
      <c r="G2237" s="35"/>
      <c r="H2237" s="104"/>
      <c r="I2237" s="35"/>
      <c r="J2237" s="74"/>
      <c r="K2237" s="74"/>
      <c r="L2237" s="74"/>
      <c r="M2237" s="74"/>
      <c r="N2237" s="74"/>
      <c r="O2237" s="74"/>
      <c r="P2237" s="74"/>
      <c r="Q2237" s="74"/>
      <c r="R2237" s="74"/>
      <c r="S2237" s="74"/>
      <c r="T2237" s="74"/>
      <c r="U2237" s="74"/>
      <c r="V2237" s="74"/>
      <c r="W2237" s="74"/>
      <c r="X2237" s="74"/>
      <c r="Y2237" s="74"/>
      <c r="Z2237" s="74"/>
      <c r="AA2237" s="74"/>
      <c r="AB2237" s="74"/>
    </row>
    <row r="2238" spans="1:28" ht="12" customHeight="1">
      <c r="A2238" s="260"/>
      <c r="B2238" s="104"/>
      <c r="C2238" s="104"/>
      <c r="D2238" s="260"/>
      <c r="E2238" s="104"/>
      <c r="F2238" s="104"/>
      <c r="G2238" s="35"/>
      <c r="H2238" s="104"/>
      <c r="I2238" s="35"/>
      <c r="J2238" s="74"/>
      <c r="K2238" s="74"/>
      <c r="L2238" s="74"/>
      <c r="M2238" s="74"/>
      <c r="N2238" s="74"/>
      <c r="O2238" s="74"/>
      <c r="P2238" s="74"/>
      <c r="Q2238" s="74"/>
      <c r="R2238" s="74"/>
      <c r="S2238" s="74"/>
      <c r="T2238" s="74"/>
      <c r="U2238" s="74"/>
      <c r="V2238" s="74"/>
      <c r="W2238" s="74"/>
      <c r="X2238" s="74"/>
      <c r="Y2238" s="74"/>
      <c r="Z2238" s="74"/>
      <c r="AA2238" s="74"/>
      <c r="AB2238" s="74"/>
    </row>
    <row r="2239" spans="1:28" ht="12" customHeight="1">
      <c r="A2239" s="260"/>
      <c r="B2239" s="104"/>
      <c r="C2239" s="104"/>
      <c r="D2239" s="260"/>
      <c r="E2239" s="104"/>
      <c r="F2239" s="104"/>
      <c r="G2239" s="35"/>
      <c r="H2239" s="104"/>
      <c r="I2239" s="35"/>
      <c r="J2239" s="74"/>
      <c r="K2239" s="74"/>
      <c r="L2239" s="74"/>
      <c r="M2239" s="74"/>
      <c r="N2239" s="74"/>
      <c r="O2239" s="74"/>
      <c r="P2239" s="74"/>
      <c r="Q2239" s="74"/>
      <c r="R2239" s="74"/>
      <c r="S2239" s="74"/>
      <c r="T2239" s="74"/>
      <c r="U2239" s="74"/>
      <c r="V2239" s="74"/>
      <c r="W2239" s="74"/>
      <c r="X2239" s="74"/>
      <c r="Y2239" s="74"/>
      <c r="Z2239" s="74"/>
      <c r="AA2239" s="74"/>
      <c r="AB2239" s="74"/>
    </row>
    <row r="2240" spans="1:28" ht="12" customHeight="1">
      <c r="A2240" s="260"/>
      <c r="B2240" s="104"/>
      <c r="C2240" s="104"/>
      <c r="D2240" s="260"/>
      <c r="E2240" s="104"/>
      <c r="F2240" s="104"/>
      <c r="G2240" s="35"/>
      <c r="H2240" s="104"/>
      <c r="I2240" s="35"/>
      <c r="J2240" s="74"/>
      <c r="K2240" s="74"/>
      <c r="L2240" s="74"/>
      <c r="M2240" s="74"/>
      <c r="N2240" s="74"/>
      <c r="O2240" s="74"/>
      <c r="P2240" s="74"/>
      <c r="Q2240" s="74"/>
      <c r="R2240" s="74"/>
      <c r="S2240" s="74"/>
      <c r="T2240" s="74"/>
      <c r="U2240" s="74"/>
      <c r="V2240" s="74"/>
      <c r="W2240" s="74"/>
      <c r="X2240" s="74"/>
      <c r="Y2240" s="74"/>
      <c r="Z2240" s="74"/>
      <c r="AA2240" s="74"/>
      <c r="AB2240" s="74"/>
    </row>
    <row r="2241" spans="1:28" ht="12" customHeight="1">
      <c r="A2241" s="260"/>
      <c r="B2241" s="104"/>
      <c r="C2241" s="104"/>
      <c r="D2241" s="260"/>
      <c r="E2241" s="104"/>
      <c r="F2241" s="104"/>
      <c r="G2241" s="35"/>
      <c r="H2241" s="104"/>
      <c r="I2241" s="35"/>
      <c r="J2241" s="74"/>
      <c r="K2241" s="74"/>
      <c r="L2241" s="74"/>
      <c r="M2241" s="74"/>
      <c r="N2241" s="74"/>
      <c r="O2241" s="74"/>
      <c r="P2241" s="74"/>
      <c r="Q2241" s="74"/>
      <c r="R2241" s="74"/>
      <c r="S2241" s="74"/>
      <c r="T2241" s="74"/>
      <c r="U2241" s="74"/>
      <c r="V2241" s="74"/>
      <c r="W2241" s="74"/>
      <c r="X2241" s="74"/>
      <c r="Y2241" s="74"/>
      <c r="Z2241" s="74"/>
      <c r="AA2241" s="74"/>
      <c r="AB2241" s="74"/>
    </row>
    <row r="2242" spans="1:28" ht="12" customHeight="1">
      <c r="A2242" s="260"/>
      <c r="B2242" s="104"/>
      <c r="C2242" s="104"/>
      <c r="D2242" s="260"/>
      <c r="E2242" s="104"/>
      <c r="F2242" s="104"/>
      <c r="G2242" s="35"/>
      <c r="H2242" s="104"/>
      <c r="I2242" s="35"/>
      <c r="J2242" s="74"/>
      <c r="K2242" s="74"/>
      <c r="L2242" s="74"/>
      <c r="M2242" s="74"/>
      <c r="N2242" s="74"/>
      <c r="O2242" s="74"/>
      <c r="P2242" s="74"/>
      <c r="Q2242" s="74"/>
      <c r="R2242" s="74"/>
      <c r="S2242" s="74"/>
      <c r="T2242" s="74"/>
      <c r="U2242" s="74"/>
      <c r="V2242" s="74"/>
      <c r="W2242" s="74"/>
      <c r="X2242" s="74"/>
      <c r="Y2242" s="74"/>
      <c r="Z2242" s="74"/>
      <c r="AA2242" s="74"/>
      <c r="AB2242" s="74"/>
    </row>
    <row r="2243" spans="1:28" ht="12" customHeight="1">
      <c r="A2243" s="260"/>
      <c r="B2243" s="104"/>
      <c r="C2243" s="104"/>
      <c r="D2243" s="260"/>
      <c r="E2243" s="104"/>
      <c r="F2243" s="104"/>
      <c r="G2243" s="35"/>
      <c r="H2243" s="104"/>
      <c r="I2243" s="35"/>
      <c r="J2243" s="74"/>
      <c r="K2243" s="74"/>
      <c r="L2243" s="74"/>
      <c r="M2243" s="74"/>
      <c r="N2243" s="74"/>
      <c r="O2243" s="74"/>
      <c r="P2243" s="74"/>
      <c r="Q2243" s="74"/>
      <c r="R2243" s="74"/>
      <c r="S2243" s="74"/>
      <c r="T2243" s="74"/>
      <c r="U2243" s="74"/>
      <c r="V2243" s="74"/>
      <c r="W2243" s="74"/>
      <c r="X2243" s="74"/>
      <c r="Y2243" s="74"/>
      <c r="Z2243" s="74"/>
      <c r="AA2243" s="74"/>
      <c r="AB2243" s="74"/>
    </row>
    <row r="2244" spans="1:28" ht="12" customHeight="1">
      <c r="A2244" s="260"/>
      <c r="B2244" s="104"/>
      <c r="C2244" s="104"/>
      <c r="D2244" s="260"/>
      <c r="E2244" s="104"/>
      <c r="F2244" s="104"/>
      <c r="G2244" s="35"/>
      <c r="H2244" s="104"/>
      <c r="I2244" s="35"/>
      <c r="J2244" s="74"/>
      <c r="K2244" s="74"/>
      <c r="L2244" s="74"/>
      <c r="M2244" s="74"/>
      <c r="N2244" s="74"/>
      <c r="O2244" s="74"/>
      <c r="P2244" s="74"/>
      <c r="Q2244" s="74"/>
      <c r="R2244" s="74"/>
      <c r="S2244" s="74"/>
      <c r="T2244" s="74"/>
      <c r="U2244" s="74"/>
      <c r="V2244" s="74"/>
      <c r="W2244" s="74"/>
      <c r="X2244" s="74"/>
      <c r="Y2244" s="74"/>
      <c r="Z2244" s="74"/>
      <c r="AA2244" s="74"/>
      <c r="AB2244" s="74"/>
    </row>
    <row r="2245" spans="1:28" ht="12" customHeight="1">
      <c r="A2245" s="260"/>
      <c r="B2245" s="104"/>
      <c r="C2245" s="104"/>
      <c r="D2245" s="260"/>
      <c r="E2245" s="104"/>
      <c r="F2245" s="104"/>
      <c r="G2245" s="35"/>
      <c r="H2245" s="104"/>
      <c r="I2245" s="35"/>
      <c r="J2245" s="74"/>
      <c r="K2245" s="74"/>
      <c r="L2245" s="74"/>
      <c r="M2245" s="74"/>
      <c r="N2245" s="74"/>
      <c r="O2245" s="74"/>
      <c r="P2245" s="74"/>
      <c r="Q2245" s="74"/>
      <c r="R2245" s="74"/>
      <c r="S2245" s="74"/>
      <c r="T2245" s="74"/>
      <c r="U2245" s="74"/>
      <c r="V2245" s="74"/>
      <c r="W2245" s="74"/>
      <c r="X2245" s="74"/>
      <c r="Y2245" s="74"/>
      <c r="Z2245" s="74"/>
      <c r="AA2245" s="74"/>
      <c r="AB2245" s="74"/>
    </row>
    <row r="2246" spans="1:28" ht="12" customHeight="1">
      <c r="A2246" s="260"/>
      <c r="B2246" s="104"/>
      <c r="C2246" s="104"/>
      <c r="D2246" s="260"/>
      <c r="E2246" s="104"/>
      <c r="F2246" s="104"/>
      <c r="G2246" s="35"/>
      <c r="H2246" s="104"/>
      <c r="I2246" s="35"/>
      <c r="J2246" s="74"/>
      <c r="K2246" s="74"/>
      <c r="L2246" s="74"/>
      <c r="M2246" s="74"/>
      <c r="N2246" s="74"/>
      <c r="O2246" s="74"/>
      <c r="P2246" s="74"/>
      <c r="Q2246" s="74"/>
      <c r="R2246" s="74"/>
      <c r="S2246" s="74"/>
      <c r="T2246" s="74"/>
      <c r="U2246" s="74"/>
      <c r="V2246" s="74"/>
      <c r="W2246" s="74"/>
      <c r="X2246" s="74"/>
      <c r="Y2246" s="74"/>
      <c r="Z2246" s="74"/>
      <c r="AA2246" s="74"/>
      <c r="AB2246" s="74"/>
    </row>
    <row r="2247" spans="1:28" ht="12" customHeight="1">
      <c r="A2247" s="260"/>
      <c r="B2247" s="104"/>
      <c r="C2247" s="104"/>
      <c r="D2247" s="260"/>
      <c r="E2247" s="104"/>
      <c r="F2247" s="104"/>
      <c r="G2247" s="35"/>
      <c r="H2247" s="104"/>
      <c r="I2247" s="35"/>
      <c r="J2247" s="74"/>
      <c r="K2247" s="74"/>
      <c r="L2247" s="74"/>
      <c r="M2247" s="74"/>
      <c r="N2247" s="74"/>
      <c r="O2247" s="74"/>
      <c r="P2247" s="74"/>
      <c r="Q2247" s="74"/>
      <c r="R2247" s="74"/>
      <c r="S2247" s="74"/>
      <c r="T2247" s="74"/>
      <c r="U2247" s="74"/>
      <c r="V2247" s="74"/>
      <c r="W2247" s="74"/>
      <c r="X2247" s="74"/>
      <c r="Y2247" s="74"/>
      <c r="Z2247" s="74"/>
      <c r="AA2247" s="74"/>
      <c r="AB2247" s="74"/>
    </row>
    <row r="2248" spans="1:28" ht="12" customHeight="1">
      <c r="A2248" s="260"/>
      <c r="B2248" s="104"/>
      <c r="C2248" s="104"/>
      <c r="D2248" s="260"/>
      <c r="E2248" s="104"/>
      <c r="F2248" s="104"/>
      <c r="G2248" s="35"/>
      <c r="H2248" s="104"/>
      <c r="I2248" s="35"/>
      <c r="J2248" s="74"/>
      <c r="K2248" s="74"/>
      <c r="L2248" s="74"/>
      <c r="M2248" s="74"/>
      <c r="N2248" s="74"/>
      <c r="O2248" s="74"/>
      <c r="P2248" s="74"/>
      <c r="Q2248" s="74"/>
      <c r="R2248" s="74"/>
      <c r="S2248" s="74"/>
      <c r="T2248" s="74"/>
      <c r="U2248" s="74"/>
      <c r="V2248" s="74"/>
      <c r="W2248" s="74"/>
      <c r="X2248" s="74"/>
      <c r="Y2248" s="74"/>
      <c r="Z2248" s="74"/>
      <c r="AA2248" s="74"/>
      <c r="AB2248" s="74"/>
    </row>
    <row r="2249" spans="1:28" ht="12" customHeight="1">
      <c r="A2249" s="260"/>
      <c r="B2249" s="104"/>
      <c r="C2249" s="104"/>
      <c r="D2249" s="260"/>
      <c r="E2249" s="104"/>
      <c r="F2249" s="104"/>
      <c r="G2249" s="35"/>
      <c r="H2249" s="104"/>
      <c r="I2249" s="35"/>
      <c r="J2249" s="74"/>
      <c r="K2249" s="74"/>
      <c r="L2249" s="74"/>
      <c r="M2249" s="74"/>
      <c r="N2249" s="74"/>
      <c r="O2249" s="74"/>
      <c r="P2249" s="74"/>
      <c r="Q2249" s="74"/>
      <c r="R2249" s="74"/>
      <c r="S2249" s="74"/>
      <c r="T2249" s="74"/>
      <c r="U2249" s="74"/>
      <c r="V2249" s="74"/>
      <c r="W2249" s="74"/>
      <c r="X2249" s="74"/>
      <c r="Y2249" s="74"/>
      <c r="Z2249" s="74"/>
      <c r="AA2249" s="74"/>
      <c r="AB2249" s="74"/>
    </row>
    <row r="2250" spans="1:28" ht="12" customHeight="1">
      <c r="A2250" s="260"/>
      <c r="B2250" s="104"/>
      <c r="C2250" s="104"/>
      <c r="D2250" s="260"/>
      <c r="E2250" s="104"/>
      <c r="F2250" s="104"/>
      <c r="G2250" s="35"/>
      <c r="H2250" s="104"/>
      <c r="I2250" s="35"/>
      <c r="J2250" s="74"/>
      <c r="K2250" s="74"/>
      <c r="L2250" s="74"/>
      <c r="M2250" s="74"/>
      <c r="N2250" s="74"/>
      <c r="O2250" s="74"/>
      <c r="P2250" s="74"/>
      <c r="Q2250" s="74"/>
      <c r="R2250" s="74"/>
      <c r="S2250" s="74"/>
      <c r="T2250" s="74"/>
      <c r="U2250" s="74"/>
      <c r="V2250" s="74"/>
      <c r="W2250" s="74"/>
      <c r="X2250" s="74"/>
      <c r="Y2250" s="74"/>
      <c r="Z2250" s="74"/>
      <c r="AA2250" s="74"/>
      <c r="AB2250" s="74"/>
    </row>
    <row r="2251" spans="1:28" ht="12" customHeight="1">
      <c r="A2251" s="260"/>
      <c r="B2251" s="104"/>
      <c r="C2251" s="104"/>
      <c r="D2251" s="260"/>
      <c r="E2251" s="104"/>
      <c r="F2251" s="104"/>
      <c r="G2251" s="35"/>
      <c r="H2251" s="104"/>
      <c r="I2251" s="35"/>
      <c r="J2251" s="74"/>
      <c r="K2251" s="74"/>
      <c r="L2251" s="74"/>
      <c r="M2251" s="74"/>
      <c r="N2251" s="74"/>
      <c r="O2251" s="74"/>
      <c r="P2251" s="74"/>
      <c r="Q2251" s="74"/>
      <c r="R2251" s="74"/>
      <c r="S2251" s="74"/>
      <c r="T2251" s="74"/>
      <c r="U2251" s="74"/>
      <c r="V2251" s="74"/>
      <c r="W2251" s="74"/>
      <c r="X2251" s="74"/>
      <c r="Y2251" s="74"/>
      <c r="Z2251" s="74"/>
      <c r="AA2251" s="74"/>
      <c r="AB2251" s="74"/>
    </row>
    <row r="2252" spans="1:28" ht="12" customHeight="1">
      <c r="A2252" s="260"/>
      <c r="B2252" s="104"/>
      <c r="C2252" s="104"/>
      <c r="D2252" s="260"/>
      <c r="E2252" s="104"/>
      <c r="F2252" s="104"/>
      <c r="G2252" s="35"/>
      <c r="H2252" s="104"/>
      <c r="I2252" s="35"/>
      <c r="J2252" s="74"/>
      <c r="K2252" s="74"/>
      <c r="L2252" s="74"/>
      <c r="M2252" s="74"/>
      <c r="N2252" s="74"/>
      <c r="O2252" s="74"/>
      <c r="P2252" s="74"/>
      <c r="Q2252" s="74"/>
      <c r="R2252" s="74"/>
      <c r="S2252" s="74"/>
      <c r="T2252" s="74"/>
      <c r="U2252" s="74"/>
      <c r="V2252" s="74"/>
      <c r="W2252" s="74"/>
      <c r="X2252" s="74"/>
      <c r="Y2252" s="74"/>
      <c r="Z2252" s="74"/>
      <c r="AA2252" s="74"/>
      <c r="AB2252" s="74"/>
    </row>
    <row r="2253" spans="1:28" ht="12" customHeight="1">
      <c r="A2253" s="260"/>
      <c r="B2253" s="104"/>
      <c r="C2253" s="104"/>
      <c r="D2253" s="260"/>
      <c r="E2253" s="104"/>
      <c r="F2253" s="104"/>
      <c r="G2253" s="35"/>
      <c r="H2253" s="104"/>
      <c r="I2253" s="35"/>
      <c r="J2253" s="74"/>
      <c r="K2253" s="74"/>
      <c r="L2253" s="74"/>
      <c r="M2253" s="74"/>
      <c r="N2253" s="74"/>
      <c r="O2253" s="74"/>
      <c r="P2253" s="74"/>
      <c r="Q2253" s="74"/>
      <c r="R2253" s="74"/>
      <c r="S2253" s="74"/>
      <c r="T2253" s="74"/>
      <c r="U2253" s="74"/>
      <c r="V2253" s="74"/>
      <c r="W2253" s="74"/>
      <c r="X2253" s="74"/>
      <c r="Y2253" s="74"/>
      <c r="Z2253" s="74"/>
      <c r="AA2253" s="74"/>
      <c r="AB2253" s="74"/>
    </row>
    <row r="2254" spans="1:28" ht="12" customHeight="1">
      <c r="A2254" s="260"/>
      <c r="B2254" s="104"/>
      <c r="C2254" s="104"/>
      <c r="D2254" s="260"/>
      <c r="E2254" s="104"/>
      <c r="F2254" s="104"/>
      <c r="G2254" s="35"/>
      <c r="H2254" s="104"/>
      <c r="I2254" s="35"/>
      <c r="J2254" s="74"/>
      <c r="K2254" s="74"/>
      <c r="L2254" s="74"/>
      <c r="M2254" s="74"/>
      <c r="N2254" s="74"/>
      <c r="O2254" s="74"/>
      <c r="P2254" s="74"/>
      <c r="Q2254" s="74"/>
      <c r="R2254" s="74"/>
      <c r="S2254" s="74"/>
      <c r="T2254" s="74"/>
      <c r="U2254" s="74"/>
      <c r="V2254" s="74"/>
      <c r="W2254" s="74"/>
      <c r="X2254" s="74"/>
      <c r="Y2254" s="74"/>
      <c r="Z2254" s="74"/>
      <c r="AA2254" s="74"/>
      <c r="AB2254" s="74"/>
    </row>
    <row r="2255" spans="1:28" ht="12" customHeight="1">
      <c r="A2255" s="260"/>
      <c r="B2255" s="104"/>
      <c r="C2255" s="104"/>
      <c r="D2255" s="260"/>
      <c r="E2255" s="104"/>
      <c r="F2255" s="104"/>
      <c r="G2255" s="35"/>
      <c r="H2255" s="104"/>
      <c r="I2255" s="35"/>
      <c r="J2255" s="74"/>
      <c r="K2255" s="74"/>
      <c r="L2255" s="74"/>
      <c r="M2255" s="74"/>
      <c r="N2255" s="74"/>
      <c r="O2255" s="74"/>
      <c r="P2255" s="74"/>
      <c r="Q2255" s="74"/>
      <c r="R2255" s="74"/>
      <c r="S2255" s="74"/>
      <c r="T2255" s="74"/>
      <c r="U2255" s="74"/>
      <c r="V2255" s="74"/>
      <c r="W2255" s="74"/>
      <c r="X2255" s="74"/>
      <c r="Y2255" s="74"/>
      <c r="Z2255" s="74"/>
      <c r="AA2255" s="74"/>
      <c r="AB2255" s="74"/>
    </row>
    <row r="2256" spans="1:28" ht="12" customHeight="1">
      <c r="A2256" s="260"/>
      <c r="B2256" s="104"/>
      <c r="C2256" s="104"/>
      <c r="D2256" s="260"/>
      <c r="E2256" s="104"/>
      <c r="F2256" s="104"/>
      <c r="G2256" s="35"/>
      <c r="H2256" s="104"/>
      <c r="I2256" s="35"/>
      <c r="J2256" s="74"/>
      <c r="K2256" s="74"/>
      <c r="L2256" s="74"/>
      <c r="M2256" s="74"/>
      <c r="N2256" s="74"/>
      <c r="O2256" s="74"/>
      <c r="P2256" s="74"/>
      <c r="Q2256" s="74"/>
      <c r="R2256" s="74"/>
      <c r="S2256" s="74"/>
      <c r="T2256" s="74"/>
      <c r="U2256" s="74"/>
      <c r="V2256" s="74"/>
      <c r="W2256" s="74"/>
      <c r="X2256" s="74"/>
      <c r="Y2256" s="74"/>
      <c r="Z2256" s="74"/>
      <c r="AA2256" s="74"/>
      <c r="AB2256" s="74"/>
    </row>
    <row r="2257" spans="1:28" ht="12" customHeight="1">
      <c r="A2257" s="260"/>
      <c r="B2257" s="104"/>
      <c r="C2257" s="104"/>
      <c r="D2257" s="260"/>
      <c r="E2257" s="104"/>
      <c r="F2257" s="104"/>
      <c r="G2257" s="35"/>
      <c r="H2257" s="104"/>
      <c r="I2257" s="35"/>
      <c r="J2257" s="74"/>
      <c r="K2257" s="74"/>
      <c r="L2257" s="74"/>
      <c r="M2257" s="74"/>
      <c r="N2257" s="74"/>
      <c r="O2257" s="74"/>
      <c r="P2257" s="74"/>
      <c r="Q2257" s="74"/>
      <c r="R2257" s="74"/>
      <c r="S2257" s="74"/>
      <c r="T2257" s="74"/>
      <c r="U2257" s="74"/>
      <c r="V2257" s="74"/>
      <c r="W2257" s="74"/>
      <c r="X2257" s="74"/>
      <c r="Y2257" s="74"/>
      <c r="Z2257" s="74"/>
      <c r="AA2257" s="74"/>
      <c r="AB2257" s="74"/>
    </row>
    <row r="2258" spans="1:28" ht="12" customHeight="1">
      <c r="A2258" s="260"/>
      <c r="B2258" s="104"/>
      <c r="C2258" s="104"/>
      <c r="D2258" s="260"/>
      <c r="E2258" s="104"/>
      <c r="F2258" s="104"/>
      <c r="G2258" s="35"/>
      <c r="H2258" s="104"/>
      <c r="I2258" s="35"/>
      <c r="J2258" s="74"/>
      <c r="K2258" s="74"/>
      <c r="L2258" s="74"/>
      <c r="M2258" s="74"/>
      <c r="N2258" s="74"/>
      <c r="O2258" s="74"/>
      <c r="P2258" s="74"/>
      <c r="Q2258" s="74"/>
      <c r="R2258" s="74"/>
      <c r="S2258" s="74"/>
      <c r="T2258" s="74"/>
      <c r="U2258" s="74"/>
      <c r="V2258" s="74"/>
      <c r="W2258" s="74"/>
      <c r="X2258" s="74"/>
      <c r="Y2258" s="74"/>
      <c r="Z2258" s="74"/>
      <c r="AA2258" s="74"/>
      <c r="AB2258" s="74"/>
    </row>
    <row r="2259" spans="1:28" ht="12" customHeight="1">
      <c r="A2259" s="260"/>
      <c r="B2259" s="104"/>
      <c r="C2259" s="104"/>
      <c r="D2259" s="260"/>
      <c r="E2259" s="104"/>
      <c r="F2259" s="104"/>
      <c r="G2259" s="35"/>
      <c r="H2259" s="104"/>
      <c r="I2259" s="35"/>
      <c r="J2259" s="74"/>
      <c r="K2259" s="74"/>
      <c r="L2259" s="74"/>
      <c r="M2259" s="74"/>
      <c r="N2259" s="74"/>
      <c r="O2259" s="74"/>
      <c r="P2259" s="74"/>
      <c r="Q2259" s="74"/>
      <c r="R2259" s="74"/>
      <c r="S2259" s="74"/>
      <c r="T2259" s="74"/>
      <c r="U2259" s="74"/>
      <c r="V2259" s="74"/>
      <c r="W2259" s="74"/>
      <c r="X2259" s="74"/>
      <c r="Y2259" s="74"/>
      <c r="Z2259" s="74"/>
      <c r="AA2259" s="74"/>
      <c r="AB2259" s="74"/>
    </row>
    <row r="2260" spans="1:28" ht="12" customHeight="1">
      <c r="A2260" s="260"/>
      <c r="B2260" s="104"/>
      <c r="C2260" s="104"/>
      <c r="D2260" s="260"/>
      <c r="E2260" s="104"/>
      <c r="F2260" s="104"/>
      <c r="G2260" s="35"/>
      <c r="H2260" s="104"/>
      <c r="I2260" s="35"/>
      <c r="J2260" s="74"/>
      <c r="K2260" s="74"/>
      <c r="L2260" s="74"/>
      <c r="M2260" s="74"/>
      <c r="N2260" s="74"/>
      <c r="O2260" s="74"/>
      <c r="P2260" s="74"/>
      <c r="Q2260" s="74"/>
      <c r="R2260" s="74"/>
      <c r="S2260" s="74"/>
      <c r="T2260" s="74"/>
      <c r="U2260" s="74"/>
      <c r="V2260" s="74"/>
      <c r="W2260" s="74"/>
      <c r="X2260" s="74"/>
      <c r="Y2260" s="74"/>
      <c r="Z2260" s="74"/>
      <c r="AA2260" s="74"/>
      <c r="AB2260" s="74"/>
    </row>
    <row r="2261" spans="1:28" ht="12" customHeight="1">
      <c r="A2261" s="260"/>
      <c r="B2261" s="104"/>
      <c r="C2261" s="104"/>
      <c r="D2261" s="260"/>
      <c r="E2261" s="104"/>
      <c r="F2261" s="104"/>
      <c r="G2261" s="35"/>
      <c r="H2261" s="104"/>
      <c r="I2261" s="35"/>
      <c r="J2261" s="74"/>
      <c r="K2261" s="74"/>
      <c r="L2261" s="74"/>
      <c r="M2261" s="74"/>
      <c r="N2261" s="74"/>
      <c r="O2261" s="74"/>
      <c r="P2261" s="74"/>
      <c r="Q2261" s="74"/>
      <c r="R2261" s="74"/>
      <c r="S2261" s="74"/>
      <c r="T2261" s="74"/>
      <c r="U2261" s="74"/>
      <c r="V2261" s="74"/>
      <c r="W2261" s="74"/>
      <c r="X2261" s="74"/>
      <c r="Y2261" s="74"/>
      <c r="Z2261" s="74"/>
      <c r="AA2261" s="74"/>
      <c r="AB2261" s="74"/>
    </row>
    <row r="2262" spans="1:28" ht="12" customHeight="1">
      <c r="A2262" s="260"/>
      <c r="B2262" s="104"/>
      <c r="C2262" s="104"/>
      <c r="D2262" s="260"/>
      <c r="E2262" s="104"/>
      <c r="F2262" s="104"/>
      <c r="G2262" s="35"/>
      <c r="H2262" s="104"/>
      <c r="I2262" s="35"/>
      <c r="J2262" s="74"/>
      <c r="K2262" s="74"/>
      <c r="L2262" s="74"/>
      <c r="M2262" s="74"/>
      <c r="N2262" s="74"/>
      <c r="O2262" s="74"/>
      <c r="P2262" s="74"/>
      <c r="Q2262" s="74"/>
      <c r="R2262" s="74"/>
      <c r="S2262" s="74"/>
      <c r="T2262" s="74"/>
      <c r="U2262" s="74"/>
      <c r="V2262" s="74"/>
      <c r="W2262" s="74"/>
      <c r="X2262" s="74"/>
      <c r="Y2262" s="74"/>
      <c r="Z2262" s="74"/>
      <c r="AA2262" s="74"/>
      <c r="AB2262" s="74"/>
    </row>
    <row r="2263" spans="1:28" ht="12" customHeight="1">
      <c r="A2263" s="260"/>
      <c r="B2263" s="104"/>
      <c r="C2263" s="104"/>
      <c r="D2263" s="260"/>
      <c r="E2263" s="104"/>
      <c r="F2263" s="104"/>
      <c r="G2263" s="35"/>
      <c r="H2263" s="104"/>
      <c r="I2263" s="35"/>
      <c r="J2263" s="74"/>
      <c r="K2263" s="74"/>
      <c r="L2263" s="74"/>
      <c r="M2263" s="74"/>
      <c r="N2263" s="74"/>
      <c r="O2263" s="74"/>
      <c r="P2263" s="74"/>
      <c r="Q2263" s="74"/>
      <c r="R2263" s="74"/>
      <c r="S2263" s="74"/>
      <c r="T2263" s="74"/>
      <c r="U2263" s="74"/>
      <c r="V2263" s="74"/>
      <c r="W2263" s="74"/>
      <c r="X2263" s="74"/>
      <c r="Y2263" s="74"/>
      <c r="Z2263" s="74"/>
      <c r="AA2263" s="74"/>
      <c r="AB2263" s="74"/>
    </row>
    <row r="2264" spans="1:28" ht="12" customHeight="1">
      <c r="A2264" s="260"/>
      <c r="B2264" s="104"/>
      <c r="C2264" s="104"/>
      <c r="D2264" s="260"/>
      <c r="E2264" s="104"/>
      <c r="F2264" s="104"/>
      <c r="G2264" s="35"/>
      <c r="H2264" s="104"/>
      <c r="I2264" s="35"/>
      <c r="J2264" s="74"/>
      <c r="K2264" s="74"/>
      <c r="L2264" s="74"/>
      <c r="M2264" s="74"/>
      <c r="N2264" s="74"/>
      <c r="O2264" s="74"/>
      <c r="P2264" s="74"/>
      <c r="Q2264" s="74"/>
      <c r="R2264" s="74"/>
      <c r="S2264" s="74"/>
      <c r="T2264" s="74"/>
      <c r="U2264" s="74"/>
      <c r="V2264" s="74"/>
      <c r="W2264" s="74"/>
      <c r="X2264" s="74"/>
      <c r="Y2264" s="74"/>
      <c r="Z2264" s="74"/>
      <c r="AA2264" s="74"/>
      <c r="AB2264" s="74"/>
    </row>
    <row r="2265" spans="1:28" ht="12" customHeight="1">
      <c r="A2265" s="260"/>
      <c r="B2265" s="104"/>
      <c r="C2265" s="104"/>
      <c r="D2265" s="260"/>
      <c r="E2265" s="104"/>
      <c r="F2265" s="104"/>
      <c r="G2265" s="35"/>
      <c r="H2265" s="104"/>
      <c r="I2265" s="35"/>
      <c r="J2265" s="74"/>
      <c r="K2265" s="74"/>
      <c r="L2265" s="74"/>
      <c r="M2265" s="74"/>
      <c r="N2265" s="74"/>
      <c r="O2265" s="74"/>
      <c r="P2265" s="74"/>
      <c r="Q2265" s="74"/>
      <c r="R2265" s="74"/>
      <c r="S2265" s="74"/>
      <c r="T2265" s="74"/>
      <c r="U2265" s="74"/>
      <c r="V2265" s="74"/>
      <c r="W2265" s="74"/>
      <c r="X2265" s="74"/>
      <c r="Y2265" s="74"/>
      <c r="Z2265" s="74"/>
      <c r="AA2265" s="74"/>
      <c r="AB2265" s="74"/>
    </row>
    <row r="2266" spans="1:28" ht="12" customHeight="1">
      <c r="A2266" s="260"/>
      <c r="B2266" s="104"/>
      <c r="C2266" s="104"/>
      <c r="D2266" s="260"/>
      <c r="E2266" s="104"/>
      <c r="F2266" s="104"/>
      <c r="G2266" s="35"/>
      <c r="H2266" s="104"/>
      <c r="I2266" s="35"/>
      <c r="J2266" s="74"/>
      <c r="K2266" s="74"/>
      <c r="L2266" s="74"/>
      <c r="M2266" s="74"/>
      <c r="N2266" s="74"/>
      <c r="O2266" s="74"/>
      <c r="P2266" s="74"/>
      <c r="Q2266" s="74"/>
      <c r="R2266" s="74"/>
      <c r="S2266" s="74"/>
      <c r="T2266" s="74"/>
      <c r="U2266" s="74"/>
      <c r="V2266" s="74"/>
      <c r="W2266" s="74"/>
      <c r="X2266" s="74"/>
      <c r="Y2266" s="74"/>
      <c r="Z2266" s="74"/>
      <c r="AA2266" s="74"/>
      <c r="AB2266" s="74"/>
    </row>
    <row r="2267" spans="1:28" ht="12" customHeight="1">
      <c r="A2267" s="260"/>
      <c r="B2267" s="104"/>
      <c r="C2267" s="104"/>
      <c r="D2267" s="260"/>
      <c r="E2267" s="104"/>
      <c r="F2267" s="104"/>
      <c r="G2267" s="35"/>
      <c r="H2267" s="104"/>
      <c r="I2267" s="35"/>
      <c r="J2267" s="74"/>
      <c r="K2267" s="74"/>
      <c r="L2267" s="74"/>
      <c r="M2267" s="74"/>
      <c r="N2267" s="74"/>
      <c r="O2267" s="74"/>
      <c r="P2267" s="74"/>
      <c r="Q2267" s="74"/>
      <c r="R2267" s="74"/>
      <c r="S2267" s="74"/>
      <c r="T2267" s="74"/>
      <c r="U2267" s="74"/>
      <c r="V2267" s="74"/>
      <c r="W2267" s="74"/>
      <c r="X2267" s="74"/>
      <c r="Y2267" s="74"/>
      <c r="Z2267" s="74"/>
      <c r="AA2267" s="74"/>
      <c r="AB2267" s="74"/>
    </row>
    <row r="2268" spans="1:28" ht="12" customHeight="1">
      <c r="A2268" s="260"/>
      <c r="B2268" s="104"/>
      <c r="C2268" s="104"/>
      <c r="D2268" s="260"/>
      <c r="E2268" s="104"/>
      <c r="F2268" s="104"/>
      <c r="G2268" s="35"/>
      <c r="H2268" s="104"/>
      <c r="I2268" s="35"/>
      <c r="J2268" s="74"/>
      <c r="K2268" s="74"/>
      <c r="L2268" s="74"/>
      <c r="M2268" s="74"/>
      <c r="N2268" s="74"/>
      <c r="O2268" s="74"/>
      <c r="P2268" s="74"/>
      <c r="Q2268" s="74"/>
      <c r="R2268" s="74"/>
      <c r="S2268" s="74"/>
      <c r="T2268" s="74"/>
      <c r="U2268" s="74"/>
      <c r="V2268" s="74"/>
      <c r="W2268" s="74"/>
      <c r="X2268" s="74"/>
      <c r="Y2268" s="74"/>
      <c r="Z2268" s="74"/>
      <c r="AA2268" s="74"/>
      <c r="AB2268" s="74"/>
    </row>
    <row r="2269" spans="1:28" ht="12" customHeight="1">
      <c r="A2269" s="260"/>
      <c r="B2269" s="104"/>
      <c r="C2269" s="104"/>
      <c r="D2269" s="260"/>
      <c r="E2269" s="104"/>
      <c r="F2269" s="104"/>
      <c r="G2269" s="35"/>
      <c r="H2269" s="104"/>
      <c r="I2269" s="35"/>
      <c r="J2269" s="74"/>
      <c r="K2269" s="74"/>
      <c r="L2269" s="74"/>
      <c r="M2269" s="74"/>
      <c r="N2269" s="74"/>
      <c r="O2269" s="74"/>
      <c r="P2269" s="74"/>
      <c r="Q2269" s="74"/>
      <c r="R2269" s="74"/>
      <c r="S2269" s="74"/>
      <c r="T2269" s="74"/>
      <c r="U2269" s="74"/>
      <c r="V2269" s="74"/>
      <c r="W2269" s="74"/>
      <c r="X2269" s="74"/>
      <c r="Y2269" s="74"/>
      <c r="Z2269" s="74"/>
      <c r="AA2269" s="74"/>
      <c r="AB2269" s="74"/>
    </row>
    <row r="2270" spans="1:28" ht="12" customHeight="1">
      <c r="A2270" s="260"/>
      <c r="B2270" s="104"/>
      <c r="C2270" s="104"/>
      <c r="D2270" s="260"/>
      <c r="E2270" s="104"/>
      <c r="F2270" s="104"/>
      <c r="G2270" s="35"/>
      <c r="H2270" s="104"/>
      <c r="I2270" s="35"/>
      <c r="J2270" s="74"/>
      <c r="K2270" s="74"/>
      <c r="L2270" s="74"/>
      <c r="M2270" s="74"/>
      <c r="N2270" s="74"/>
      <c r="O2270" s="74"/>
      <c r="P2270" s="74"/>
      <c r="Q2270" s="74"/>
      <c r="R2270" s="74"/>
      <c r="S2270" s="74"/>
      <c r="T2270" s="74"/>
      <c r="U2270" s="74"/>
      <c r="V2270" s="74"/>
      <c r="W2270" s="74"/>
      <c r="X2270" s="74"/>
      <c r="Y2270" s="74"/>
      <c r="Z2270" s="74"/>
      <c r="AA2270" s="74"/>
      <c r="AB2270" s="74"/>
    </row>
    <row r="2271" spans="1:28" ht="12" customHeight="1">
      <c r="A2271" s="260"/>
      <c r="B2271" s="104"/>
      <c r="C2271" s="104"/>
      <c r="D2271" s="260"/>
      <c r="E2271" s="104"/>
      <c r="F2271" s="104"/>
      <c r="G2271" s="35"/>
      <c r="H2271" s="104"/>
      <c r="I2271" s="35"/>
      <c r="J2271" s="74"/>
      <c r="K2271" s="74"/>
      <c r="L2271" s="74"/>
      <c r="M2271" s="74"/>
      <c r="N2271" s="74"/>
      <c r="O2271" s="74"/>
      <c r="P2271" s="74"/>
      <c r="Q2271" s="74"/>
      <c r="R2271" s="74"/>
      <c r="S2271" s="74"/>
      <c r="T2271" s="74"/>
      <c r="U2271" s="74"/>
      <c r="V2271" s="74"/>
      <c r="W2271" s="74"/>
      <c r="X2271" s="74"/>
      <c r="Y2271" s="74"/>
      <c r="Z2271" s="74"/>
      <c r="AA2271" s="74"/>
      <c r="AB2271" s="74"/>
    </row>
    <row r="2272" spans="1:28" ht="12" customHeight="1">
      <c r="A2272" s="260"/>
      <c r="B2272" s="104"/>
      <c r="C2272" s="104"/>
      <c r="D2272" s="260"/>
      <c r="E2272" s="104"/>
      <c r="F2272" s="104"/>
      <c r="G2272" s="35"/>
      <c r="H2272" s="104"/>
      <c r="I2272" s="35"/>
      <c r="J2272" s="74"/>
      <c r="K2272" s="74"/>
      <c r="L2272" s="74"/>
      <c r="M2272" s="74"/>
      <c r="N2272" s="74"/>
      <c r="O2272" s="74"/>
      <c r="P2272" s="74"/>
      <c r="Q2272" s="74"/>
      <c r="R2272" s="74"/>
      <c r="S2272" s="74"/>
      <c r="T2272" s="74"/>
      <c r="U2272" s="74"/>
      <c r="V2272" s="74"/>
      <c r="W2272" s="74"/>
      <c r="X2272" s="74"/>
      <c r="Y2272" s="74"/>
      <c r="Z2272" s="74"/>
      <c r="AA2272" s="74"/>
      <c r="AB2272" s="74"/>
    </row>
    <row r="2273" spans="1:28" ht="12" customHeight="1">
      <c r="A2273" s="260"/>
      <c r="B2273" s="104"/>
      <c r="C2273" s="104"/>
      <c r="D2273" s="260"/>
      <c r="E2273" s="104"/>
      <c r="F2273" s="104"/>
      <c r="G2273" s="35"/>
      <c r="H2273" s="104"/>
      <c r="I2273" s="35"/>
      <c r="J2273" s="74"/>
      <c r="K2273" s="74"/>
      <c r="L2273" s="74"/>
      <c r="M2273" s="74"/>
      <c r="N2273" s="74"/>
      <c r="O2273" s="74"/>
      <c r="P2273" s="74"/>
      <c r="Q2273" s="74"/>
      <c r="R2273" s="74"/>
      <c r="S2273" s="74"/>
      <c r="T2273" s="74"/>
      <c r="U2273" s="74"/>
      <c r="V2273" s="74"/>
      <c r="W2273" s="74"/>
      <c r="X2273" s="74"/>
      <c r="Y2273" s="74"/>
      <c r="Z2273" s="74"/>
      <c r="AA2273" s="74"/>
      <c r="AB2273" s="74"/>
    </row>
    <row r="2274" spans="1:28" ht="12" customHeight="1">
      <c r="A2274" s="260"/>
      <c r="B2274" s="104"/>
      <c r="C2274" s="104"/>
      <c r="D2274" s="260"/>
      <c r="E2274" s="104"/>
      <c r="F2274" s="104"/>
      <c r="G2274" s="35"/>
      <c r="H2274" s="104"/>
      <c r="I2274" s="35"/>
      <c r="J2274" s="74"/>
      <c r="K2274" s="74"/>
      <c r="L2274" s="74"/>
      <c r="M2274" s="74"/>
      <c r="N2274" s="74"/>
      <c r="O2274" s="74"/>
      <c r="P2274" s="74"/>
      <c r="Q2274" s="74"/>
      <c r="R2274" s="74"/>
      <c r="S2274" s="74"/>
      <c r="T2274" s="74"/>
      <c r="U2274" s="74"/>
      <c r="V2274" s="74"/>
      <c r="W2274" s="74"/>
      <c r="X2274" s="74"/>
      <c r="Y2274" s="74"/>
      <c r="Z2274" s="74"/>
      <c r="AA2274" s="74"/>
      <c r="AB2274" s="74"/>
    </row>
    <row r="2275" spans="1:28" ht="12" customHeight="1">
      <c r="A2275" s="260"/>
      <c r="B2275" s="104"/>
      <c r="C2275" s="104"/>
      <c r="D2275" s="260"/>
      <c r="E2275" s="104"/>
      <c r="F2275" s="104"/>
      <c r="G2275" s="35"/>
      <c r="H2275" s="104"/>
      <c r="I2275" s="35"/>
      <c r="J2275" s="74"/>
      <c r="K2275" s="74"/>
      <c r="L2275" s="74"/>
      <c r="M2275" s="74"/>
      <c r="N2275" s="74"/>
      <c r="O2275" s="74"/>
      <c r="P2275" s="74"/>
      <c r="Q2275" s="74"/>
      <c r="R2275" s="74"/>
      <c r="S2275" s="74"/>
      <c r="T2275" s="74"/>
      <c r="U2275" s="74"/>
      <c r="V2275" s="74"/>
      <c r="W2275" s="74"/>
      <c r="X2275" s="74"/>
      <c r="Y2275" s="74"/>
      <c r="Z2275" s="74"/>
      <c r="AA2275" s="74"/>
      <c r="AB2275" s="74"/>
    </row>
    <row r="2276" spans="1:28" ht="12" customHeight="1">
      <c r="A2276" s="260"/>
      <c r="B2276" s="104"/>
      <c r="C2276" s="104"/>
      <c r="D2276" s="260"/>
      <c r="E2276" s="104"/>
      <c r="F2276" s="104"/>
      <c r="G2276" s="35"/>
      <c r="H2276" s="104"/>
      <c r="I2276" s="35"/>
      <c r="J2276" s="74"/>
      <c r="K2276" s="74"/>
      <c r="L2276" s="74"/>
      <c r="M2276" s="74"/>
      <c r="N2276" s="74"/>
      <c r="O2276" s="74"/>
      <c r="P2276" s="74"/>
      <c r="Q2276" s="74"/>
      <c r="R2276" s="74"/>
      <c r="S2276" s="74"/>
      <c r="T2276" s="74"/>
      <c r="U2276" s="74"/>
      <c r="V2276" s="74"/>
      <c r="W2276" s="74"/>
      <c r="X2276" s="74"/>
      <c r="Y2276" s="74"/>
      <c r="Z2276" s="74"/>
      <c r="AA2276" s="74"/>
      <c r="AB2276" s="74"/>
    </row>
    <row r="2277" spans="1:28" ht="12" customHeight="1">
      <c r="A2277" s="260"/>
      <c r="B2277" s="104"/>
      <c r="C2277" s="104"/>
      <c r="D2277" s="260"/>
      <c r="E2277" s="104"/>
      <c r="F2277" s="104"/>
      <c r="G2277" s="35"/>
      <c r="H2277" s="104"/>
      <c r="I2277" s="35"/>
      <c r="J2277" s="74"/>
      <c r="K2277" s="74"/>
      <c r="L2277" s="74"/>
      <c r="M2277" s="74"/>
      <c r="N2277" s="74"/>
      <c r="O2277" s="74"/>
      <c r="P2277" s="74"/>
      <c r="Q2277" s="74"/>
      <c r="R2277" s="74"/>
      <c r="S2277" s="74"/>
      <c r="T2277" s="74"/>
      <c r="U2277" s="74"/>
      <c r="V2277" s="74"/>
      <c r="W2277" s="74"/>
      <c r="X2277" s="74"/>
      <c r="Y2277" s="74"/>
      <c r="Z2277" s="74"/>
      <c r="AA2277" s="74"/>
      <c r="AB2277" s="74"/>
    </row>
    <row r="2278" spans="1:28" ht="12" customHeight="1">
      <c r="A2278" s="260"/>
      <c r="B2278" s="104"/>
      <c r="C2278" s="104"/>
      <c r="D2278" s="260"/>
      <c r="E2278" s="104"/>
      <c r="F2278" s="104"/>
      <c r="G2278" s="35"/>
      <c r="H2278" s="104"/>
      <c r="I2278" s="35"/>
      <c r="J2278" s="74"/>
      <c r="K2278" s="74"/>
      <c r="L2278" s="74"/>
      <c r="M2278" s="74"/>
      <c r="N2278" s="74"/>
      <c r="O2278" s="74"/>
      <c r="P2278" s="74"/>
      <c r="Q2278" s="74"/>
      <c r="R2278" s="74"/>
      <c r="S2278" s="74"/>
      <c r="T2278" s="74"/>
      <c r="U2278" s="74"/>
      <c r="V2278" s="74"/>
      <c r="W2278" s="74"/>
      <c r="X2278" s="74"/>
      <c r="Y2278" s="74"/>
      <c r="Z2278" s="74"/>
      <c r="AA2278" s="74"/>
      <c r="AB2278" s="74"/>
    </row>
    <row r="2279" spans="1:28" ht="12" customHeight="1">
      <c r="A2279" s="260"/>
      <c r="B2279" s="104"/>
      <c r="C2279" s="104"/>
      <c r="D2279" s="260"/>
      <c r="E2279" s="104"/>
      <c r="F2279" s="104"/>
      <c r="G2279" s="35"/>
      <c r="H2279" s="104"/>
      <c r="I2279" s="35"/>
      <c r="J2279" s="74"/>
      <c r="K2279" s="74"/>
      <c r="L2279" s="74"/>
      <c r="M2279" s="74"/>
      <c r="N2279" s="74"/>
      <c r="O2279" s="74"/>
      <c r="P2279" s="74"/>
      <c r="Q2279" s="74"/>
      <c r="R2279" s="74"/>
      <c r="S2279" s="74"/>
      <c r="T2279" s="74"/>
      <c r="U2279" s="74"/>
      <c r="V2279" s="74"/>
      <c r="W2279" s="74"/>
      <c r="X2279" s="74"/>
      <c r="Y2279" s="74"/>
      <c r="Z2279" s="74"/>
      <c r="AA2279" s="74"/>
      <c r="AB2279" s="74"/>
    </row>
    <row r="2280" spans="1:28" ht="12" customHeight="1">
      <c r="A2280" s="260"/>
      <c r="B2280" s="104"/>
      <c r="C2280" s="104"/>
      <c r="D2280" s="260"/>
      <c r="E2280" s="104"/>
      <c r="F2280" s="104"/>
      <c r="G2280" s="35"/>
      <c r="H2280" s="104"/>
      <c r="I2280" s="35"/>
      <c r="J2280" s="74"/>
      <c r="K2280" s="74"/>
      <c r="L2280" s="74"/>
      <c r="M2280" s="74"/>
      <c r="N2280" s="74"/>
      <c r="O2280" s="74"/>
      <c r="P2280" s="74"/>
      <c r="Q2280" s="74"/>
      <c r="R2280" s="74"/>
      <c r="S2280" s="74"/>
      <c r="T2280" s="74"/>
      <c r="U2280" s="74"/>
      <c r="V2280" s="74"/>
      <c r="W2280" s="74"/>
      <c r="X2280" s="74"/>
      <c r="Y2280" s="74"/>
      <c r="Z2280" s="74"/>
      <c r="AA2280" s="74"/>
      <c r="AB2280" s="74"/>
    </row>
    <row r="2281" spans="1:28" ht="12" customHeight="1">
      <c r="A2281" s="260"/>
      <c r="B2281" s="104"/>
      <c r="C2281" s="104"/>
      <c r="D2281" s="260"/>
      <c r="E2281" s="104"/>
      <c r="F2281" s="104"/>
      <c r="G2281" s="35"/>
      <c r="H2281" s="104"/>
      <c r="I2281" s="35"/>
      <c r="J2281" s="74"/>
      <c r="K2281" s="74"/>
      <c r="L2281" s="74"/>
      <c r="M2281" s="74"/>
      <c r="N2281" s="74"/>
      <c r="O2281" s="74"/>
      <c r="P2281" s="74"/>
      <c r="Q2281" s="74"/>
      <c r="R2281" s="74"/>
      <c r="S2281" s="74"/>
      <c r="T2281" s="74"/>
      <c r="U2281" s="74"/>
      <c r="V2281" s="74"/>
      <c r="W2281" s="74"/>
      <c r="X2281" s="74"/>
      <c r="Y2281" s="74"/>
      <c r="Z2281" s="74"/>
      <c r="AA2281" s="74"/>
      <c r="AB2281" s="74"/>
    </row>
    <row r="2282" spans="1:28" ht="12" customHeight="1">
      <c r="A2282" s="260"/>
      <c r="B2282" s="104"/>
      <c r="C2282" s="104"/>
      <c r="D2282" s="260"/>
      <c r="E2282" s="104"/>
      <c r="F2282" s="104"/>
      <c r="G2282" s="35"/>
      <c r="H2282" s="104"/>
      <c r="I2282" s="35"/>
      <c r="J2282" s="74"/>
      <c r="K2282" s="74"/>
      <c r="L2282" s="74"/>
      <c r="M2282" s="74"/>
      <c r="N2282" s="74"/>
      <c r="O2282" s="74"/>
      <c r="P2282" s="74"/>
      <c r="Q2282" s="74"/>
      <c r="R2282" s="74"/>
      <c r="S2282" s="74"/>
      <c r="T2282" s="74"/>
      <c r="U2282" s="74"/>
      <c r="V2282" s="74"/>
      <c r="W2282" s="74"/>
      <c r="X2282" s="74"/>
      <c r="Y2282" s="74"/>
      <c r="Z2282" s="74"/>
      <c r="AA2282" s="74"/>
      <c r="AB2282" s="74"/>
    </row>
    <row r="2283" spans="1:28" ht="12" customHeight="1">
      <c r="A2283" s="260"/>
      <c r="B2283" s="104"/>
      <c r="C2283" s="104"/>
      <c r="D2283" s="260"/>
      <c r="E2283" s="104"/>
      <c r="F2283" s="104"/>
      <c r="G2283" s="35"/>
      <c r="H2283" s="104"/>
      <c r="I2283" s="35"/>
      <c r="J2283" s="74"/>
      <c r="K2283" s="74"/>
      <c r="L2283" s="74"/>
      <c r="M2283" s="74"/>
      <c r="N2283" s="74"/>
      <c r="O2283" s="74"/>
      <c r="P2283" s="74"/>
      <c r="Q2283" s="74"/>
      <c r="R2283" s="74"/>
      <c r="S2283" s="74"/>
      <c r="T2283" s="74"/>
      <c r="U2283" s="74"/>
      <c r="V2283" s="74"/>
      <c r="W2283" s="74"/>
      <c r="X2283" s="74"/>
      <c r="Y2283" s="74"/>
      <c r="Z2283" s="74"/>
      <c r="AA2283" s="74"/>
      <c r="AB2283" s="74"/>
    </row>
    <row r="2284" spans="1:28" ht="12" customHeight="1">
      <c r="A2284" s="260"/>
      <c r="B2284" s="104"/>
      <c r="C2284" s="104"/>
      <c r="D2284" s="260"/>
      <c r="E2284" s="104"/>
      <c r="F2284" s="104"/>
      <c r="G2284" s="35"/>
      <c r="H2284" s="104"/>
      <c r="I2284" s="35"/>
      <c r="J2284" s="74"/>
      <c r="K2284" s="74"/>
      <c r="L2284" s="74"/>
      <c r="M2284" s="74"/>
      <c r="N2284" s="74"/>
      <c r="O2284" s="74"/>
      <c r="P2284" s="74"/>
      <c r="Q2284" s="74"/>
      <c r="R2284" s="74"/>
      <c r="S2284" s="74"/>
      <c r="T2284" s="74"/>
      <c r="U2284" s="74"/>
      <c r="V2284" s="74"/>
      <c r="W2284" s="74"/>
      <c r="X2284" s="74"/>
      <c r="Y2284" s="74"/>
      <c r="Z2284" s="74"/>
      <c r="AA2284" s="74"/>
      <c r="AB2284" s="74"/>
    </row>
    <row r="2285" spans="1:28" ht="12" customHeight="1">
      <c r="A2285" s="260"/>
      <c r="B2285" s="104"/>
      <c r="C2285" s="104"/>
      <c r="D2285" s="260"/>
      <c r="E2285" s="104"/>
      <c r="F2285" s="104"/>
      <c r="G2285" s="35"/>
      <c r="H2285" s="104"/>
      <c r="I2285" s="35"/>
      <c r="J2285" s="74"/>
      <c r="K2285" s="74"/>
      <c r="L2285" s="74"/>
      <c r="M2285" s="74"/>
      <c r="N2285" s="74"/>
      <c r="O2285" s="74"/>
      <c r="P2285" s="74"/>
      <c r="Q2285" s="74"/>
      <c r="R2285" s="74"/>
      <c r="S2285" s="74"/>
      <c r="T2285" s="74"/>
      <c r="U2285" s="74"/>
      <c r="V2285" s="74"/>
      <c r="W2285" s="74"/>
      <c r="X2285" s="74"/>
      <c r="Y2285" s="74"/>
      <c r="Z2285" s="74"/>
      <c r="AA2285" s="74"/>
      <c r="AB2285" s="74"/>
    </row>
    <row r="2286" spans="1:28" ht="12" customHeight="1">
      <c r="A2286" s="260"/>
      <c r="B2286" s="104"/>
      <c r="C2286" s="104"/>
      <c r="D2286" s="260"/>
      <c r="E2286" s="104"/>
      <c r="F2286" s="104"/>
      <c r="G2286" s="35"/>
      <c r="H2286" s="104"/>
      <c r="I2286" s="35"/>
      <c r="J2286" s="74"/>
      <c r="K2286" s="74"/>
      <c r="L2286" s="74"/>
      <c r="M2286" s="74"/>
      <c r="N2286" s="74"/>
      <c r="O2286" s="74"/>
      <c r="P2286" s="74"/>
      <c r="Q2286" s="74"/>
      <c r="R2286" s="74"/>
      <c r="S2286" s="74"/>
      <c r="T2286" s="74"/>
      <c r="U2286" s="74"/>
      <c r="V2286" s="74"/>
      <c r="W2286" s="74"/>
      <c r="X2286" s="74"/>
      <c r="Y2286" s="74"/>
      <c r="Z2286" s="74"/>
      <c r="AA2286" s="74"/>
      <c r="AB2286" s="74"/>
    </row>
    <row r="2287" spans="1:28" ht="12" customHeight="1">
      <c r="A2287" s="260"/>
      <c r="B2287" s="104"/>
      <c r="C2287" s="104"/>
      <c r="D2287" s="260"/>
      <c r="E2287" s="104"/>
      <c r="F2287" s="104"/>
      <c r="G2287" s="35"/>
      <c r="H2287" s="104"/>
      <c r="I2287" s="35"/>
      <c r="J2287" s="74"/>
      <c r="K2287" s="74"/>
      <c r="L2287" s="74"/>
      <c r="M2287" s="74"/>
      <c r="N2287" s="74"/>
      <c r="O2287" s="74"/>
      <c r="P2287" s="74"/>
      <c r="Q2287" s="74"/>
      <c r="R2287" s="74"/>
      <c r="S2287" s="74"/>
      <c r="T2287" s="74"/>
      <c r="U2287" s="74"/>
      <c r="V2287" s="74"/>
      <c r="W2287" s="74"/>
      <c r="X2287" s="74"/>
      <c r="Y2287" s="74"/>
      <c r="Z2287" s="74"/>
      <c r="AA2287" s="74"/>
      <c r="AB2287" s="74"/>
    </row>
    <row r="2288" spans="1:28" ht="12" customHeight="1">
      <c r="A2288" s="260"/>
      <c r="B2288" s="104"/>
      <c r="C2288" s="104"/>
      <c r="D2288" s="260"/>
      <c r="E2288" s="104"/>
      <c r="F2288" s="104"/>
      <c r="G2288" s="35"/>
      <c r="H2288" s="104"/>
      <c r="I2288" s="35"/>
      <c r="J2288" s="74"/>
      <c r="K2288" s="74"/>
      <c r="L2288" s="74"/>
      <c r="M2288" s="74"/>
      <c r="N2288" s="74"/>
      <c r="O2288" s="74"/>
      <c r="P2288" s="74"/>
      <c r="Q2288" s="74"/>
      <c r="R2288" s="74"/>
      <c r="S2288" s="74"/>
      <c r="T2288" s="74"/>
      <c r="U2288" s="74"/>
      <c r="V2288" s="74"/>
      <c r="W2288" s="74"/>
      <c r="X2288" s="74"/>
      <c r="Y2288" s="74"/>
      <c r="Z2288" s="74"/>
      <c r="AA2288" s="74"/>
      <c r="AB2288" s="74"/>
    </row>
    <row r="2289" spans="1:28" ht="12" customHeight="1">
      <c r="A2289" s="260"/>
      <c r="B2289" s="104"/>
      <c r="C2289" s="104"/>
      <c r="D2289" s="260"/>
      <c r="E2289" s="104"/>
      <c r="F2289" s="104"/>
      <c r="G2289" s="35"/>
      <c r="H2289" s="104"/>
      <c r="I2289" s="35"/>
      <c r="J2289" s="74"/>
      <c r="K2289" s="74"/>
      <c r="L2289" s="74"/>
      <c r="M2289" s="74"/>
      <c r="N2289" s="74"/>
      <c r="O2289" s="74"/>
      <c r="P2289" s="74"/>
      <c r="Q2289" s="74"/>
      <c r="R2289" s="74"/>
      <c r="S2289" s="74"/>
      <c r="T2289" s="74"/>
      <c r="U2289" s="74"/>
      <c r="V2289" s="74"/>
      <c r="W2289" s="74"/>
      <c r="X2289" s="74"/>
      <c r="Y2289" s="74"/>
      <c r="Z2289" s="74"/>
      <c r="AA2289" s="74"/>
      <c r="AB2289" s="74"/>
    </row>
    <row r="2290" spans="1:28" ht="12" customHeight="1">
      <c r="A2290" s="260"/>
      <c r="B2290" s="104"/>
      <c r="C2290" s="104"/>
      <c r="D2290" s="260"/>
      <c r="E2290" s="104"/>
      <c r="F2290" s="104"/>
      <c r="G2290" s="35"/>
      <c r="H2290" s="104"/>
      <c r="I2290" s="35"/>
      <c r="J2290" s="74"/>
      <c r="K2290" s="74"/>
      <c r="L2290" s="74"/>
      <c r="M2290" s="74"/>
      <c r="N2290" s="74"/>
      <c r="O2290" s="74"/>
      <c r="P2290" s="74"/>
      <c r="Q2290" s="74"/>
      <c r="R2290" s="74"/>
      <c r="S2290" s="74"/>
      <c r="T2290" s="74"/>
      <c r="U2290" s="74"/>
      <c r="V2290" s="74"/>
      <c r="W2290" s="74"/>
      <c r="X2290" s="74"/>
      <c r="Y2290" s="74"/>
      <c r="Z2290" s="74"/>
      <c r="AA2290" s="74"/>
      <c r="AB2290" s="74"/>
    </row>
    <row r="2291" spans="1:28" ht="12" customHeight="1">
      <c r="A2291" s="260"/>
      <c r="B2291" s="104"/>
      <c r="C2291" s="104"/>
      <c r="D2291" s="260"/>
      <c r="E2291" s="104"/>
      <c r="F2291" s="104"/>
      <c r="G2291" s="35"/>
      <c r="H2291" s="104"/>
      <c r="I2291" s="35"/>
      <c r="J2291" s="74"/>
      <c r="K2291" s="74"/>
      <c r="L2291" s="74"/>
      <c r="M2291" s="74"/>
      <c r="N2291" s="74"/>
      <c r="O2291" s="74"/>
      <c r="P2291" s="74"/>
      <c r="Q2291" s="74"/>
      <c r="R2291" s="74"/>
      <c r="S2291" s="74"/>
      <c r="T2291" s="74"/>
      <c r="U2291" s="74"/>
      <c r="V2291" s="74"/>
      <c r="W2291" s="74"/>
      <c r="X2291" s="74"/>
      <c r="Y2291" s="74"/>
      <c r="Z2291" s="74"/>
      <c r="AA2291" s="74"/>
      <c r="AB2291" s="74"/>
    </row>
    <row r="2292" spans="1:28" ht="12" customHeight="1">
      <c r="A2292" s="260"/>
      <c r="B2292" s="104"/>
      <c r="C2292" s="104"/>
      <c r="D2292" s="260"/>
      <c r="E2292" s="104"/>
      <c r="F2292" s="104"/>
      <c r="G2292" s="35"/>
      <c r="H2292" s="104"/>
      <c r="I2292" s="35"/>
      <c r="J2292" s="74"/>
      <c r="K2292" s="74"/>
      <c r="L2292" s="74"/>
      <c r="M2292" s="74"/>
      <c r="N2292" s="74"/>
      <c r="O2292" s="74"/>
      <c r="P2292" s="74"/>
      <c r="Q2292" s="74"/>
      <c r="R2292" s="74"/>
      <c r="S2292" s="74"/>
      <c r="T2292" s="74"/>
      <c r="U2292" s="74"/>
      <c r="V2292" s="74"/>
      <c r="W2292" s="74"/>
      <c r="X2292" s="74"/>
      <c r="Y2292" s="74"/>
      <c r="Z2292" s="74"/>
      <c r="AA2292" s="74"/>
      <c r="AB2292" s="74"/>
    </row>
    <row r="2293" spans="1:28" ht="12" customHeight="1">
      <c r="A2293" s="260"/>
      <c r="B2293" s="104"/>
      <c r="C2293" s="104"/>
      <c r="D2293" s="260"/>
      <c r="E2293" s="104"/>
      <c r="F2293" s="104"/>
      <c r="G2293" s="35"/>
      <c r="H2293" s="104"/>
      <c r="I2293" s="35"/>
      <c r="J2293" s="74"/>
      <c r="K2293" s="74"/>
      <c r="L2293" s="74"/>
      <c r="M2293" s="74"/>
      <c r="N2293" s="74"/>
      <c r="O2293" s="74"/>
      <c r="P2293" s="74"/>
      <c r="Q2293" s="74"/>
      <c r="R2293" s="74"/>
      <c r="S2293" s="74"/>
      <c r="T2293" s="74"/>
      <c r="U2293" s="74"/>
      <c r="V2293" s="74"/>
      <c r="W2293" s="74"/>
      <c r="X2293" s="74"/>
      <c r="Y2293" s="74"/>
      <c r="Z2293" s="74"/>
      <c r="AA2293" s="74"/>
      <c r="AB2293" s="74"/>
    </row>
    <row r="2294" spans="1:28" ht="12" customHeight="1">
      <c r="A2294" s="260"/>
      <c r="B2294" s="104"/>
      <c r="C2294" s="104"/>
      <c r="D2294" s="260"/>
      <c r="E2294" s="104"/>
      <c r="F2294" s="104"/>
      <c r="G2294" s="35"/>
      <c r="H2294" s="104"/>
      <c r="I2294" s="35"/>
      <c r="J2294" s="74"/>
      <c r="K2294" s="74"/>
      <c r="L2294" s="74"/>
      <c r="M2294" s="74"/>
      <c r="N2294" s="74"/>
      <c r="O2294" s="74"/>
      <c r="P2294" s="74"/>
      <c r="Q2294" s="74"/>
      <c r="R2294" s="74"/>
      <c r="S2294" s="74"/>
      <c r="T2294" s="74"/>
      <c r="U2294" s="74"/>
      <c r="V2294" s="74"/>
      <c r="W2294" s="74"/>
      <c r="X2294" s="74"/>
      <c r="Y2294" s="74"/>
      <c r="Z2294" s="74"/>
      <c r="AA2294" s="74"/>
      <c r="AB2294" s="74"/>
    </row>
    <row r="2295" spans="1:28" ht="12" customHeight="1">
      <c r="A2295" s="260"/>
      <c r="B2295" s="104"/>
      <c r="C2295" s="104"/>
      <c r="D2295" s="260"/>
      <c r="E2295" s="104"/>
      <c r="F2295" s="104"/>
      <c r="G2295" s="35"/>
      <c r="H2295" s="104"/>
      <c r="I2295" s="35"/>
      <c r="J2295" s="74"/>
      <c r="K2295" s="74"/>
      <c r="L2295" s="74"/>
      <c r="M2295" s="74"/>
      <c r="N2295" s="74"/>
      <c r="O2295" s="74"/>
      <c r="P2295" s="74"/>
      <c r="Q2295" s="74"/>
      <c r="R2295" s="74"/>
      <c r="S2295" s="74"/>
      <c r="T2295" s="74"/>
      <c r="U2295" s="74"/>
      <c r="V2295" s="74"/>
      <c r="W2295" s="74"/>
      <c r="X2295" s="74"/>
      <c r="Y2295" s="74"/>
      <c r="Z2295" s="74"/>
      <c r="AA2295" s="74"/>
      <c r="AB2295" s="74"/>
    </row>
    <row r="2296" spans="1:28" ht="12" customHeight="1">
      <c r="A2296" s="260"/>
      <c r="B2296" s="104"/>
      <c r="C2296" s="104"/>
      <c r="D2296" s="260"/>
      <c r="E2296" s="104"/>
      <c r="F2296" s="104"/>
      <c r="G2296" s="35"/>
      <c r="H2296" s="104"/>
      <c r="I2296" s="35"/>
      <c r="J2296" s="74"/>
      <c r="K2296" s="74"/>
      <c r="L2296" s="74"/>
      <c r="M2296" s="74"/>
      <c r="N2296" s="74"/>
      <c r="O2296" s="74"/>
      <c r="P2296" s="74"/>
      <c r="Q2296" s="74"/>
      <c r="R2296" s="74"/>
      <c r="S2296" s="74"/>
      <c r="T2296" s="74"/>
      <c r="U2296" s="74"/>
      <c r="V2296" s="74"/>
      <c r="W2296" s="74"/>
      <c r="X2296" s="74"/>
      <c r="Y2296" s="74"/>
      <c r="Z2296" s="74"/>
      <c r="AA2296" s="74"/>
      <c r="AB2296" s="74"/>
    </row>
    <row r="2297" spans="1:28" ht="12" customHeight="1">
      <c r="A2297" s="260"/>
      <c r="B2297" s="104"/>
      <c r="C2297" s="104"/>
      <c r="D2297" s="260"/>
      <c r="E2297" s="104"/>
      <c r="F2297" s="104"/>
      <c r="G2297" s="35"/>
      <c r="H2297" s="104"/>
      <c r="I2297" s="35"/>
      <c r="J2297" s="74"/>
      <c r="K2297" s="74"/>
      <c r="L2297" s="74"/>
      <c r="M2297" s="74"/>
      <c r="N2297" s="74"/>
      <c r="O2297" s="74"/>
      <c r="P2297" s="74"/>
      <c r="Q2297" s="74"/>
      <c r="R2297" s="74"/>
      <c r="S2297" s="74"/>
      <c r="T2297" s="74"/>
      <c r="U2297" s="74"/>
      <c r="V2297" s="74"/>
      <c r="W2297" s="74"/>
      <c r="X2297" s="74"/>
      <c r="Y2297" s="74"/>
      <c r="Z2297" s="74"/>
      <c r="AA2297" s="74"/>
      <c r="AB2297" s="74"/>
    </row>
    <row r="2298" spans="1:28" ht="12" customHeight="1">
      <c r="A2298" s="260"/>
      <c r="B2298" s="104"/>
      <c r="C2298" s="104"/>
      <c r="D2298" s="260"/>
      <c r="E2298" s="104"/>
      <c r="F2298" s="104"/>
      <c r="G2298" s="35"/>
      <c r="H2298" s="104"/>
      <c r="I2298" s="35"/>
      <c r="J2298" s="74"/>
      <c r="K2298" s="74"/>
      <c r="L2298" s="74"/>
      <c r="M2298" s="74"/>
      <c r="N2298" s="74"/>
      <c r="O2298" s="74"/>
      <c r="P2298" s="74"/>
      <c r="Q2298" s="74"/>
      <c r="R2298" s="74"/>
      <c r="S2298" s="74"/>
      <c r="T2298" s="74"/>
      <c r="U2298" s="74"/>
      <c r="V2298" s="74"/>
      <c r="W2298" s="74"/>
      <c r="X2298" s="74"/>
      <c r="Y2298" s="74"/>
      <c r="Z2298" s="74"/>
      <c r="AA2298" s="74"/>
      <c r="AB2298" s="74"/>
    </row>
    <row r="2299" spans="1:28" ht="12" customHeight="1">
      <c r="A2299" s="260"/>
      <c r="B2299" s="104"/>
      <c r="C2299" s="104"/>
      <c r="D2299" s="260"/>
      <c r="E2299" s="104"/>
      <c r="F2299" s="104"/>
      <c r="G2299" s="35"/>
      <c r="H2299" s="104"/>
      <c r="I2299" s="35"/>
      <c r="J2299" s="74"/>
      <c r="K2299" s="74"/>
      <c r="L2299" s="74"/>
      <c r="M2299" s="74"/>
      <c r="N2299" s="74"/>
      <c r="O2299" s="74"/>
      <c r="P2299" s="74"/>
      <c r="Q2299" s="74"/>
      <c r="R2299" s="74"/>
      <c r="S2299" s="74"/>
      <c r="T2299" s="74"/>
      <c r="U2299" s="74"/>
      <c r="V2299" s="74"/>
      <c r="W2299" s="74"/>
      <c r="X2299" s="74"/>
      <c r="Y2299" s="74"/>
      <c r="Z2299" s="74"/>
      <c r="AA2299" s="74"/>
      <c r="AB2299" s="74"/>
    </row>
    <row r="2300" spans="1:28" ht="12" customHeight="1">
      <c r="A2300" s="260"/>
      <c r="B2300" s="104"/>
      <c r="C2300" s="104"/>
      <c r="D2300" s="260"/>
      <c r="E2300" s="104"/>
      <c r="F2300" s="104"/>
      <c r="G2300" s="35"/>
      <c r="H2300" s="104"/>
      <c r="I2300" s="35"/>
      <c r="J2300" s="74"/>
      <c r="K2300" s="74"/>
      <c r="L2300" s="74"/>
      <c r="M2300" s="74"/>
      <c r="N2300" s="74"/>
      <c r="O2300" s="74"/>
      <c r="P2300" s="74"/>
      <c r="Q2300" s="74"/>
      <c r="R2300" s="74"/>
      <c r="S2300" s="74"/>
      <c r="T2300" s="74"/>
      <c r="U2300" s="74"/>
      <c r="V2300" s="74"/>
      <c r="W2300" s="74"/>
      <c r="X2300" s="74"/>
      <c r="Y2300" s="74"/>
      <c r="Z2300" s="74"/>
      <c r="AA2300" s="74"/>
      <c r="AB2300" s="74"/>
    </row>
    <row r="2301" spans="1:28" ht="12" customHeight="1">
      <c r="A2301" s="260"/>
      <c r="B2301" s="104"/>
      <c r="C2301" s="104"/>
      <c r="D2301" s="260"/>
      <c r="E2301" s="104"/>
      <c r="F2301" s="104"/>
      <c r="G2301" s="35"/>
      <c r="H2301" s="104"/>
      <c r="I2301" s="35"/>
      <c r="J2301" s="74"/>
      <c r="K2301" s="74"/>
      <c r="L2301" s="74"/>
      <c r="M2301" s="74"/>
      <c r="N2301" s="74"/>
      <c r="O2301" s="74"/>
      <c r="P2301" s="74"/>
      <c r="Q2301" s="74"/>
      <c r="R2301" s="74"/>
      <c r="S2301" s="74"/>
      <c r="T2301" s="74"/>
      <c r="U2301" s="74"/>
      <c r="V2301" s="74"/>
      <c r="W2301" s="74"/>
      <c r="X2301" s="74"/>
      <c r="Y2301" s="74"/>
      <c r="Z2301" s="74"/>
      <c r="AA2301" s="74"/>
      <c r="AB2301" s="74"/>
    </row>
    <row r="2302" spans="1:28" ht="12" customHeight="1">
      <c r="A2302" s="260"/>
      <c r="B2302" s="104"/>
      <c r="C2302" s="104"/>
      <c r="D2302" s="260"/>
      <c r="E2302" s="104"/>
      <c r="F2302" s="104"/>
      <c r="G2302" s="35"/>
      <c r="H2302" s="104"/>
      <c r="I2302" s="35"/>
      <c r="J2302" s="74"/>
      <c r="K2302" s="74"/>
      <c r="L2302" s="74"/>
      <c r="M2302" s="74"/>
      <c r="N2302" s="74"/>
      <c r="O2302" s="74"/>
      <c r="P2302" s="74"/>
      <c r="Q2302" s="74"/>
      <c r="R2302" s="74"/>
      <c r="S2302" s="74"/>
      <c r="T2302" s="74"/>
      <c r="U2302" s="74"/>
      <c r="V2302" s="74"/>
      <c r="W2302" s="74"/>
      <c r="X2302" s="74"/>
      <c r="Y2302" s="74"/>
      <c r="Z2302" s="74"/>
      <c r="AA2302" s="74"/>
      <c r="AB2302" s="74"/>
    </row>
    <row r="2303" spans="1:28" ht="12" customHeight="1">
      <c r="A2303" s="260"/>
      <c r="B2303" s="104"/>
      <c r="C2303" s="104"/>
      <c r="D2303" s="260"/>
      <c r="E2303" s="104"/>
      <c r="F2303" s="104"/>
      <c r="G2303" s="35"/>
      <c r="H2303" s="104"/>
      <c r="I2303" s="35"/>
      <c r="J2303" s="74"/>
      <c r="K2303" s="74"/>
      <c r="L2303" s="74"/>
      <c r="M2303" s="74"/>
      <c r="N2303" s="74"/>
      <c r="O2303" s="74"/>
      <c r="P2303" s="74"/>
      <c r="Q2303" s="74"/>
      <c r="R2303" s="74"/>
      <c r="S2303" s="74"/>
      <c r="T2303" s="74"/>
      <c r="U2303" s="74"/>
      <c r="V2303" s="74"/>
      <c r="W2303" s="74"/>
      <c r="X2303" s="74"/>
      <c r="Y2303" s="74"/>
      <c r="Z2303" s="74"/>
      <c r="AA2303" s="74"/>
      <c r="AB2303" s="74"/>
    </row>
    <row r="2304" spans="1:28" ht="12" customHeight="1">
      <c r="A2304" s="260"/>
      <c r="B2304" s="104"/>
      <c r="C2304" s="104"/>
      <c r="D2304" s="260"/>
      <c r="E2304" s="104"/>
      <c r="F2304" s="104"/>
      <c r="G2304" s="35"/>
      <c r="H2304" s="104"/>
      <c r="I2304" s="35"/>
      <c r="J2304" s="74"/>
      <c r="K2304" s="74"/>
      <c r="L2304" s="74"/>
      <c r="M2304" s="74"/>
      <c r="N2304" s="74"/>
      <c r="O2304" s="74"/>
      <c r="P2304" s="74"/>
      <c r="Q2304" s="74"/>
      <c r="R2304" s="74"/>
      <c r="S2304" s="74"/>
      <c r="T2304" s="74"/>
      <c r="U2304" s="74"/>
      <c r="V2304" s="74"/>
      <c r="W2304" s="74"/>
      <c r="X2304" s="74"/>
      <c r="Y2304" s="74"/>
      <c r="Z2304" s="74"/>
      <c r="AA2304" s="74"/>
      <c r="AB2304" s="74"/>
    </row>
    <row r="2305" spans="1:28" ht="12" customHeight="1">
      <c r="A2305" s="260"/>
      <c r="B2305" s="104"/>
      <c r="C2305" s="104"/>
      <c r="D2305" s="260"/>
      <c r="E2305" s="104"/>
      <c r="F2305" s="104"/>
      <c r="G2305" s="35"/>
      <c r="H2305" s="104"/>
      <c r="I2305" s="35"/>
      <c r="J2305" s="74"/>
      <c r="K2305" s="74"/>
      <c r="L2305" s="74"/>
      <c r="M2305" s="74"/>
      <c r="N2305" s="74"/>
      <c r="O2305" s="74"/>
      <c r="P2305" s="74"/>
      <c r="Q2305" s="74"/>
      <c r="R2305" s="74"/>
      <c r="S2305" s="74"/>
      <c r="T2305" s="74"/>
      <c r="U2305" s="74"/>
      <c r="V2305" s="74"/>
      <c r="W2305" s="74"/>
      <c r="X2305" s="74"/>
      <c r="Y2305" s="74"/>
      <c r="Z2305" s="74"/>
      <c r="AA2305" s="74"/>
      <c r="AB2305" s="74"/>
    </row>
    <row r="2306" spans="1:28" ht="12" customHeight="1">
      <c r="A2306" s="260"/>
      <c r="B2306" s="104"/>
      <c r="C2306" s="104"/>
      <c r="D2306" s="260"/>
      <c r="E2306" s="104"/>
      <c r="F2306" s="104"/>
      <c r="G2306" s="35"/>
      <c r="H2306" s="104"/>
      <c r="I2306" s="35"/>
      <c r="J2306" s="74"/>
      <c r="K2306" s="74"/>
      <c r="L2306" s="74"/>
      <c r="M2306" s="74"/>
      <c r="N2306" s="74"/>
      <c r="O2306" s="74"/>
      <c r="P2306" s="74"/>
      <c r="Q2306" s="74"/>
      <c r="R2306" s="74"/>
      <c r="S2306" s="74"/>
      <c r="T2306" s="74"/>
      <c r="U2306" s="74"/>
      <c r="V2306" s="74"/>
      <c r="W2306" s="74"/>
      <c r="X2306" s="74"/>
      <c r="Y2306" s="74"/>
      <c r="Z2306" s="74"/>
      <c r="AA2306" s="74"/>
      <c r="AB2306" s="74"/>
    </row>
    <row r="2307" spans="1:28" ht="12" customHeight="1">
      <c r="A2307" s="260"/>
      <c r="B2307" s="104"/>
      <c r="C2307" s="104"/>
      <c r="D2307" s="260"/>
      <c r="E2307" s="104"/>
      <c r="F2307" s="104"/>
      <c r="G2307" s="35"/>
      <c r="H2307" s="104"/>
      <c r="I2307" s="35"/>
      <c r="J2307" s="74"/>
      <c r="K2307" s="74"/>
      <c r="L2307" s="74"/>
      <c r="M2307" s="74"/>
      <c r="N2307" s="74"/>
      <c r="O2307" s="74"/>
      <c r="P2307" s="74"/>
      <c r="Q2307" s="74"/>
      <c r="R2307" s="74"/>
      <c r="S2307" s="74"/>
      <c r="T2307" s="74"/>
      <c r="U2307" s="74"/>
      <c r="V2307" s="74"/>
      <c r="W2307" s="74"/>
      <c r="X2307" s="74"/>
      <c r="Y2307" s="74"/>
      <c r="Z2307" s="74"/>
      <c r="AA2307" s="74"/>
      <c r="AB2307" s="74"/>
    </row>
    <row r="2308" spans="1:28" ht="12" customHeight="1">
      <c r="A2308" s="260"/>
      <c r="B2308" s="104"/>
      <c r="C2308" s="104"/>
      <c r="D2308" s="260"/>
      <c r="E2308" s="104"/>
      <c r="F2308" s="104"/>
      <c r="G2308" s="35"/>
      <c r="H2308" s="104"/>
      <c r="I2308" s="35"/>
      <c r="J2308" s="74"/>
      <c r="K2308" s="74"/>
      <c r="L2308" s="74"/>
      <c r="M2308" s="74"/>
      <c r="N2308" s="74"/>
      <c r="O2308" s="74"/>
      <c r="P2308" s="74"/>
      <c r="Q2308" s="74"/>
      <c r="R2308" s="74"/>
      <c r="S2308" s="74"/>
      <c r="T2308" s="74"/>
      <c r="U2308" s="74"/>
      <c r="V2308" s="74"/>
      <c r="W2308" s="74"/>
      <c r="X2308" s="74"/>
      <c r="Y2308" s="74"/>
      <c r="Z2308" s="74"/>
      <c r="AA2308" s="74"/>
      <c r="AB2308" s="74"/>
    </row>
    <row r="2309" spans="1:28" ht="12" customHeight="1">
      <c r="A2309" s="260"/>
      <c r="B2309" s="104"/>
      <c r="C2309" s="104"/>
      <c r="D2309" s="260"/>
      <c r="E2309" s="104"/>
      <c r="F2309" s="104"/>
      <c r="G2309" s="35"/>
      <c r="H2309" s="104"/>
      <c r="I2309" s="35"/>
      <c r="J2309" s="74"/>
      <c r="K2309" s="74"/>
      <c r="L2309" s="74"/>
      <c r="M2309" s="74"/>
      <c r="N2309" s="74"/>
      <c r="O2309" s="74"/>
      <c r="P2309" s="74"/>
      <c r="Q2309" s="74"/>
      <c r="R2309" s="74"/>
      <c r="S2309" s="74"/>
      <c r="T2309" s="74"/>
      <c r="U2309" s="74"/>
      <c r="V2309" s="74"/>
      <c r="W2309" s="74"/>
      <c r="X2309" s="74"/>
      <c r="Y2309" s="74"/>
      <c r="Z2309" s="74"/>
      <c r="AA2309" s="74"/>
      <c r="AB2309" s="74"/>
    </row>
    <row r="2310" spans="1:28" ht="12" customHeight="1">
      <c r="A2310" s="260"/>
      <c r="B2310" s="104"/>
      <c r="C2310" s="104"/>
      <c r="D2310" s="260"/>
      <c r="E2310" s="104"/>
      <c r="F2310" s="104"/>
      <c r="G2310" s="35"/>
      <c r="H2310" s="104"/>
      <c r="I2310" s="35"/>
      <c r="J2310" s="74"/>
      <c r="K2310" s="74"/>
      <c r="L2310" s="74"/>
      <c r="M2310" s="74"/>
      <c r="N2310" s="74"/>
      <c r="O2310" s="74"/>
      <c r="P2310" s="74"/>
      <c r="Q2310" s="74"/>
      <c r="R2310" s="74"/>
      <c r="S2310" s="74"/>
      <c r="T2310" s="74"/>
      <c r="U2310" s="74"/>
      <c r="V2310" s="74"/>
      <c r="W2310" s="74"/>
      <c r="X2310" s="74"/>
      <c r="Y2310" s="74"/>
      <c r="Z2310" s="74"/>
      <c r="AA2310" s="74"/>
      <c r="AB2310" s="74"/>
    </row>
    <row r="2311" spans="1:28" ht="12" customHeight="1">
      <c r="A2311" s="260"/>
      <c r="B2311" s="104"/>
      <c r="C2311" s="104"/>
      <c r="D2311" s="260"/>
      <c r="E2311" s="104"/>
      <c r="F2311" s="104"/>
      <c r="G2311" s="35"/>
      <c r="H2311" s="104"/>
      <c r="I2311" s="35"/>
      <c r="J2311" s="74"/>
      <c r="K2311" s="74"/>
      <c r="L2311" s="74"/>
      <c r="M2311" s="74"/>
      <c r="N2311" s="74"/>
      <c r="O2311" s="74"/>
      <c r="P2311" s="74"/>
      <c r="Q2311" s="74"/>
      <c r="R2311" s="74"/>
      <c r="S2311" s="74"/>
      <c r="T2311" s="74"/>
      <c r="U2311" s="74"/>
      <c r="V2311" s="74"/>
      <c r="W2311" s="74"/>
      <c r="X2311" s="74"/>
      <c r="Y2311" s="74"/>
      <c r="Z2311" s="74"/>
      <c r="AA2311" s="74"/>
      <c r="AB2311" s="74"/>
    </row>
    <row r="2312" spans="1:28" ht="12" customHeight="1">
      <c r="A2312" s="260"/>
      <c r="B2312" s="104"/>
      <c r="C2312" s="104"/>
      <c r="D2312" s="260"/>
      <c r="E2312" s="104"/>
      <c r="F2312" s="104"/>
      <c r="G2312" s="35"/>
      <c r="H2312" s="104"/>
      <c r="I2312" s="35"/>
      <c r="J2312" s="74"/>
      <c r="K2312" s="74"/>
      <c r="L2312" s="74"/>
      <c r="M2312" s="74"/>
      <c r="N2312" s="74"/>
      <c r="O2312" s="74"/>
      <c r="P2312" s="74"/>
      <c r="Q2312" s="74"/>
      <c r="R2312" s="74"/>
      <c r="S2312" s="74"/>
      <c r="T2312" s="74"/>
      <c r="U2312" s="74"/>
      <c r="V2312" s="74"/>
      <c r="W2312" s="74"/>
      <c r="X2312" s="74"/>
      <c r="Y2312" s="74"/>
      <c r="Z2312" s="74"/>
      <c r="AA2312" s="74"/>
      <c r="AB2312" s="74"/>
    </row>
    <row r="2313" spans="1:28" ht="12" customHeight="1">
      <c r="A2313" s="260"/>
      <c r="B2313" s="104"/>
      <c r="C2313" s="104"/>
      <c r="D2313" s="260"/>
      <c r="E2313" s="104"/>
      <c r="F2313" s="104"/>
      <c r="G2313" s="35"/>
      <c r="H2313" s="104"/>
      <c r="I2313" s="35"/>
      <c r="J2313" s="74"/>
      <c r="K2313" s="74"/>
      <c r="L2313" s="74"/>
      <c r="M2313" s="74"/>
      <c r="N2313" s="74"/>
      <c r="O2313" s="74"/>
      <c r="P2313" s="74"/>
      <c r="Q2313" s="74"/>
      <c r="R2313" s="74"/>
      <c r="S2313" s="74"/>
      <c r="T2313" s="74"/>
      <c r="U2313" s="74"/>
      <c r="V2313" s="74"/>
      <c r="W2313" s="74"/>
      <c r="X2313" s="74"/>
      <c r="Y2313" s="74"/>
      <c r="Z2313" s="74"/>
      <c r="AA2313" s="74"/>
      <c r="AB2313" s="74"/>
    </row>
    <row r="2314" spans="1:28" ht="12" customHeight="1">
      <c r="A2314" s="260"/>
      <c r="B2314" s="104"/>
      <c r="C2314" s="104"/>
      <c r="D2314" s="260"/>
      <c r="E2314" s="104"/>
      <c r="F2314" s="104"/>
      <c r="G2314" s="35"/>
      <c r="H2314" s="104"/>
      <c r="I2314" s="35"/>
      <c r="J2314" s="74"/>
      <c r="K2314" s="74"/>
      <c r="L2314" s="74"/>
      <c r="M2314" s="74"/>
      <c r="N2314" s="74"/>
      <c r="O2314" s="74"/>
      <c r="P2314" s="74"/>
      <c r="Q2314" s="74"/>
      <c r="R2314" s="74"/>
      <c r="S2314" s="74"/>
      <c r="T2314" s="74"/>
      <c r="U2314" s="74"/>
      <c r="V2314" s="74"/>
      <c r="W2314" s="74"/>
      <c r="X2314" s="74"/>
      <c r="Y2314" s="74"/>
      <c r="Z2314" s="74"/>
      <c r="AA2314" s="74"/>
      <c r="AB2314" s="74"/>
    </row>
    <row r="2315" spans="1:28" ht="12" customHeight="1">
      <c r="A2315" s="260"/>
      <c r="B2315" s="104"/>
      <c r="C2315" s="104"/>
      <c r="D2315" s="260"/>
      <c r="E2315" s="104"/>
      <c r="F2315" s="104"/>
      <c r="G2315" s="35"/>
      <c r="H2315" s="104"/>
      <c r="I2315" s="35"/>
      <c r="J2315" s="74"/>
      <c r="K2315" s="74"/>
      <c r="L2315" s="74"/>
      <c r="M2315" s="74"/>
      <c r="N2315" s="74"/>
      <c r="O2315" s="74"/>
      <c r="P2315" s="74"/>
      <c r="Q2315" s="74"/>
      <c r="R2315" s="74"/>
      <c r="S2315" s="74"/>
      <c r="T2315" s="74"/>
      <c r="U2315" s="74"/>
      <c r="V2315" s="74"/>
      <c r="W2315" s="74"/>
      <c r="X2315" s="74"/>
      <c r="Y2315" s="74"/>
      <c r="Z2315" s="74"/>
      <c r="AA2315" s="74"/>
      <c r="AB2315" s="74"/>
    </row>
    <row r="2316" spans="1:28" ht="12" customHeight="1">
      <c r="A2316" s="260"/>
      <c r="B2316" s="104"/>
      <c r="C2316" s="104"/>
      <c r="D2316" s="260"/>
      <c r="E2316" s="104"/>
      <c r="F2316" s="104"/>
      <c r="G2316" s="35"/>
      <c r="H2316" s="104"/>
      <c r="I2316" s="35"/>
      <c r="J2316" s="74"/>
      <c r="K2316" s="74"/>
      <c r="L2316" s="74"/>
      <c r="M2316" s="74"/>
      <c r="N2316" s="74"/>
      <c r="O2316" s="74"/>
      <c r="P2316" s="74"/>
      <c r="Q2316" s="74"/>
      <c r="R2316" s="74"/>
      <c r="S2316" s="74"/>
      <c r="T2316" s="74"/>
      <c r="U2316" s="74"/>
      <c r="V2316" s="74"/>
      <c r="W2316" s="74"/>
      <c r="X2316" s="74"/>
      <c r="Y2316" s="74"/>
      <c r="Z2316" s="74"/>
      <c r="AA2316" s="74"/>
      <c r="AB2316" s="74"/>
    </row>
    <row r="2317" spans="1:28" ht="12" customHeight="1">
      <c r="A2317" s="260"/>
      <c r="B2317" s="104"/>
      <c r="C2317" s="104"/>
      <c r="D2317" s="260"/>
      <c r="E2317" s="104"/>
      <c r="F2317" s="104"/>
      <c r="G2317" s="35"/>
      <c r="H2317" s="104"/>
      <c r="I2317" s="35"/>
      <c r="J2317" s="74"/>
      <c r="K2317" s="74"/>
      <c r="L2317" s="74"/>
      <c r="M2317" s="74"/>
      <c r="N2317" s="74"/>
      <c r="O2317" s="74"/>
      <c r="P2317" s="74"/>
      <c r="Q2317" s="74"/>
      <c r="R2317" s="74"/>
      <c r="S2317" s="74"/>
      <c r="T2317" s="74"/>
      <c r="U2317" s="74"/>
      <c r="V2317" s="74"/>
      <c r="W2317" s="74"/>
      <c r="X2317" s="74"/>
      <c r="Y2317" s="74"/>
      <c r="Z2317" s="74"/>
      <c r="AA2317" s="74"/>
      <c r="AB2317" s="74"/>
    </row>
    <row r="2318" spans="1:28" ht="12" customHeight="1">
      <c r="A2318" s="260"/>
      <c r="B2318" s="104"/>
      <c r="C2318" s="104"/>
      <c r="D2318" s="260"/>
      <c r="E2318" s="104"/>
      <c r="F2318" s="104"/>
      <c r="G2318" s="35"/>
      <c r="H2318" s="104"/>
      <c r="I2318" s="35"/>
      <c r="J2318" s="74"/>
      <c r="K2318" s="74"/>
      <c r="L2318" s="74"/>
      <c r="M2318" s="74"/>
      <c r="N2318" s="74"/>
      <c r="O2318" s="74"/>
      <c r="P2318" s="74"/>
      <c r="Q2318" s="74"/>
      <c r="R2318" s="74"/>
      <c r="S2318" s="74"/>
      <c r="T2318" s="74"/>
      <c r="U2318" s="74"/>
      <c r="V2318" s="74"/>
      <c r="W2318" s="74"/>
      <c r="X2318" s="74"/>
      <c r="Y2318" s="74"/>
      <c r="Z2318" s="74"/>
      <c r="AA2318" s="74"/>
      <c r="AB2318" s="74"/>
    </row>
    <row r="2319" spans="1:28" ht="12" customHeight="1">
      <c r="A2319" s="260"/>
      <c r="B2319" s="104"/>
      <c r="C2319" s="104"/>
      <c r="D2319" s="260"/>
      <c r="E2319" s="104"/>
      <c r="F2319" s="104"/>
      <c r="G2319" s="35"/>
      <c r="H2319" s="104"/>
      <c r="I2319" s="35"/>
      <c r="J2319" s="74"/>
      <c r="K2319" s="74"/>
      <c r="L2319" s="74"/>
      <c r="M2319" s="74"/>
      <c r="N2319" s="74"/>
      <c r="O2319" s="74"/>
      <c r="P2319" s="74"/>
      <c r="Q2319" s="74"/>
      <c r="R2319" s="74"/>
      <c r="S2319" s="74"/>
      <c r="T2319" s="74"/>
      <c r="U2319" s="74"/>
      <c r="V2319" s="74"/>
      <c r="W2319" s="74"/>
      <c r="X2319" s="74"/>
      <c r="Y2319" s="74"/>
      <c r="Z2319" s="74"/>
      <c r="AA2319" s="74"/>
      <c r="AB2319" s="74"/>
    </row>
    <row r="2320" spans="1:28" ht="12" customHeight="1">
      <c r="A2320" s="260"/>
      <c r="B2320" s="104"/>
      <c r="C2320" s="104"/>
      <c r="D2320" s="260"/>
      <c r="E2320" s="104"/>
      <c r="F2320" s="104"/>
      <c r="G2320" s="35"/>
      <c r="H2320" s="104"/>
      <c r="I2320" s="35"/>
      <c r="J2320" s="74"/>
      <c r="K2320" s="74"/>
      <c r="L2320" s="74"/>
      <c r="M2320" s="74"/>
      <c r="N2320" s="74"/>
      <c r="O2320" s="74"/>
      <c r="P2320" s="74"/>
      <c r="Q2320" s="74"/>
      <c r="R2320" s="74"/>
      <c r="S2320" s="74"/>
      <c r="T2320" s="74"/>
      <c r="U2320" s="74"/>
      <c r="V2320" s="74"/>
      <c r="W2320" s="74"/>
      <c r="X2320" s="74"/>
      <c r="Y2320" s="74"/>
      <c r="Z2320" s="74"/>
      <c r="AA2320" s="74"/>
      <c r="AB2320" s="74"/>
    </row>
    <row r="2321" spans="1:28" ht="12" customHeight="1">
      <c r="A2321" s="260"/>
      <c r="B2321" s="104"/>
      <c r="C2321" s="104"/>
      <c r="D2321" s="260"/>
      <c r="E2321" s="104"/>
      <c r="F2321" s="104"/>
      <c r="G2321" s="35"/>
      <c r="H2321" s="104"/>
      <c r="I2321" s="35"/>
      <c r="J2321" s="74"/>
      <c r="K2321" s="74"/>
      <c r="L2321" s="74"/>
      <c r="M2321" s="74"/>
      <c r="N2321" s="74"/>
      <c r="O2321" s="74"/>
      <c r="P2321" s="74"/>
      <c r="Q2321" s="74"/>
      <c r="R2321" s="74"/>
      <c r="S2321" s="74"/>
      <c r="T2321" s="74"/>
      <c r="U2321" s="74"/>
      <c r="V2321" s="74"/>
      <c r="W2321" s="74"/>
      <c r="X2321" s="74"/>
      <c r="Y2321" s="74"/>
      <c r="Z2321" s="74"/>
      <c r="AA2321" s="74"/>
      <c r="AB2321" s="74"/>
    </row>
    <row r="2322" spans="1:28" ht="12" customHeight="1">
      <c r="A2322" s="260"/>
      <c r="B2322" s="104"/>
      <c r="C2322" s="104"/>
      <c r="D2322" s="260"/>
      <c r="E2322" s="104"/>
      <c r="F2322" s="104"/>
      <c r="G2322" s="35"/>
      <c r="H2322" s="104"/>
      <c r="I2322" s="35"/>
      <c r="J2322" s="74"/>
      <c r="K2322" s="74"/>
      <c r="L2322" s="74"/>
      <c r="M2322" s="74"/>
      <c r="N2322" s="74"/>
      <c r="O2322" s="74"/>
      <c r="P2322" s="74"/>
      <c r="Q2322" s="74"/>
      <c r="R2322" s="74"/>
      <c r="S2322" s="74"/>
      <c r="T2322" s="74"/>
      <c r="U2322" s="74"/>
      <c r="V2322" s="74"/>
      <c r="W2322" s="74"/>
      <c r="X2322" s="74"/>
      <c r="Y2322" s="74"/>
      <c r="Z2322" s="74"/>
      <c r="AA2322" s="74"/>
      <c r="AB2322" s="74"/>
    </row>
    <row r="2323" spans="1:28" ht="12" customHeight="1">
      <c r="A2323" s="260"/>
      <c r="B2323" s="104"/>
      <c r="C2323" s="104"/>
      <c r="D2323" s="260"/>
      <c r="E2323" s="104"/>
      <c r="F2323" s="104"/>
      <c r="G2323" s="35"/>
      <c r="H2323" s="104"/>
      <c r="I2323" s="35"/>
      <c r="J2323" s="74"/>
      <c r="K2323" s="74"/>
      <c r="L2323" s="74"/>
      <c r="M2323" s="74"/>
      <c r="N2323" s="74"/>
      <c r="O2323" s="74"/>
      <c r="P2323" s="74"/>
      <c r="Q2323" s="74"/>
      <c r="R2323" s="74"/>
      <c r="S2323" s="74"/>
      <c r="T2323" s="74"/>
      <c r="U2323" s="74"/>
      <c r="V2323" s="74"/>
      <c r="W2323" s="74"/>
      <c r="X2323" s="74"/>
      <c r="Y2323" s="74"/>
      <c r="Z2323" s="74"/>
      <c r="AA2323" s="74"/>
      <c r="AB2323" s="74"/>
    </row>
    <row r="2324" spans="1:28" ht="12" customHeight="1">
      <c r="A2324" s="260"/>
      <c r="B2324" s="104"/>
      <c r="C2324" s="104"/>
      <c r="D2324" s="260"/>
      <c r="E2324" s="104"/>
      <c r="F2324" s="104"/>
      <c r="G2324" s="35"/>
      <c r="H2324" s="104"/>
      <c r="I2324" s="35"/>
      <c r="J2324" s="74"/>
      <c r="K2324" s="74"/>
      <c r="L2324" s="74"/>
      <c r="M2324" s="74"/>
      <c r="N2324" s="74"/>
      <c r="O2324" s="74"/>
      <c r="P2324" s="74"/>
      <c r="Q2324" s="74"/>
      <c r="R2324" s="74"/>
      <c r="S2324" s="74"/>
      <c r="T2324" s="74"/>
      <c r="U2324" s="74"/>
      <c r="V2324" s="74"/>
      <c r="W2324" s="74"/>
      <c r="X2324" s="74"/>
      <c r="Y2324" s="74"/>
      <c r="Z2324" s="74"/>
      <c r="AA2324" s="74"/>
      <c r="AB2324" s="74"/>
    </row>
    <row r="2325" spans="1:28" ht="12" customHeight="1">
      <c r="A2325" s="260"/>
      <c r="B2325" s="104"/>
      <c r="C2325" s="104"/>
      <c r="D2325" s="260"/>
      <c r="E2325" s="104"/>
      <c r="F2325" s="104"/>
      <c r="G2325" s="35"/>
      <c r="H2325" s="104"/>
      <c r="I2325" s="35"/>
      <c r="J2325" s="74"/>
      <c r="K2325" s="74"/>
      <c r="L2325" s="74"/>
      <c r="M2325" s="74"/>
      <c r="N2325" s="74"/>
      <c r="O2325" s="74"/>
      <c r="P2325" s="74"/>
      <c r="Q2325" s="74"/>
      <c r="R2325" s="74"/>
      <c r="S2325" s="74"/>
      <c r="T2325" s="74"/>
      <c r="U2325" s="74"/>
      <c r="V2325" s="74"/>
      <c r="W2325" s="74"/>
      <c r="X2325" s="74"/>
      <c r="Y2325" s="74"/>
      <c r="Z2325" s="74"/>
      <c r="AA2325" s="74"/>
      <c r="AB2325" s="74"/>
    </row>
    <row r="2326" spans="1:28" ht="12" customHeight="1">
      <c r="A2326" s="260"/>
      <c r="B2326" s="104"/>
      <c r="C2326" s="104"/>
      <c r="D2326" s="260"/>
      <c r="E2326" s="104"/>
      <c r="F2326" s="104"/>
      <c r="G2326" s="35"/>
      <c r="H2326" s="104"/>
      <c r="I2326" s="35"/>
      <c r="J2326" s="74"/>
      <c r="K2326" s="74"/>
      <c r="L2326" s="74"/>
      <c r="M2326" s="74"/>
      <c r="N2326" s="74"/>
      <c r="O2326" s="74"/>
      <c r="P2326" s="74"/>
      <c r="Q2326" s="74"/>
      <c r="R2326" s="74"/>
      <c r="S2326" s="74"/>
      <c r="T2326" s="74"/>
      <c r="U2326" s="74"/>
      <c r="V2326" s="74"/>
      <c r="W2326" s="74"/>
      <c r="X2326" s="74"/>
      <c r="Y2326" s="74"/>
      <c r="Z2326" s="74"/>
      <c r="AA2326" s="74"/>
      <c r="AB2326" s="74"/>
    </row>
    <row r="2327" spans="1:28" ht="12" customHeight="1">
      <c r="A2327" s="260"/>
      <c r="B2327" s="104"/>
      <c r="C2327" s="104"/>
      <c r="D2327" s="260"/>
      <c r="E2327" s="104"/>
      <c r="F2327" s="104"/>
      <c r="G2327" s="35"/>
      <c r="H2327" s="104"/>
      <c r="I2327" s="35"/>
      <c r="J2327" s="74"/>
      <c r="K2327" s="74"/>
      <c r="L2327" s="74"/>
      <c r="M2327" s="74"/>
      <c r="N2327" s="74"/>
      <c r="O2327" s="74"/>
      <c r="P2327" s="74"/>
      <c r="Q2327" s="74"/>
      <c r="R2327" s="74"/>
      <c r="S2327" s="74"/>
      <c r="T2327" s="74"/>
      <c r="U2327" s="74"/>
      <c r="V2327" s="74"/>
      <c r="W2327" s="74"/>
      <c r="X2327" s="74"/>
      <c r="Y2327" s="74"/>
      <c r="Z2327" s="74"/>
      <c r="AA2327" s="74"/>
      <c r="AB2327" s="74"/>
    </row>
    <row r="2328" spans="1:28" ht="12" customHeight="1">
      <c r="A2328" s="260"/>
      <c r="B2328" s="104"/>
      <c r="C2328" s="104"/>
      <c r="D2328" s="260"/>
      <c r="E2328" s="104"/>
      <c r="F2328" s="104"/>
      <c r="G2328" s="35"/>
      <c r="H2328" s="104"/>
      <c r="I2328" s="35"/>
      <c r="J2328" s="74"/>
      <c r="K2328" s="74"/>
      <c r="L2328" s="74"/>
      <c r="M2328" s="74"/>
      <c r="N2328" s="74"/>
      <c r="O2328" s="74"/>
      <c r="P2328" s="74"/>
      <c r="Q2328" s="74"/>
      <c r="R2328" s="74"/>
      <c r="S2328" s="74"/>
      <c r="T2328" s="74"/>
      <c r="U2328" s="74"/>
      <c r="V2328" s="74"/>
      <c r="W2328" s="74"/>
      <c r="X2328" s="74"/>
      <c r="Y2328" s="74"/>
      <c r="Z2328" s="74"/>
      <c r="AA2328" s="74"/>
      <c r="AB2328" s="74"/>
    </row>
    <row r="2329" spans="1:28" ht="12" customHeight="1">
      <c r="A2329" s="260"/>
      <c r="B2329" s="104"/>
      <c r="C2329" s="104"/>
      <c r="D2329" s="260"/>
      <c r="E2329" s="104"/>
      <c r="F2329" s="104"/>
      <c r="G2329" s="35"/>
      <c r="H2329" s="104"/>
      <c r="I2329" s="35"/>
      <c r="J2329" s="74"/>
      <c r="K2329" s="74"/>
      <c r="L2329" s="74"/>
      <c r="M2329" s="74"/>
      <c r="N2329" s="74"/>
      <c r="O2329" s="74"/>
      <c r="P2329" s="74"/>
      <c r="Q2329" s="74"/>
      <c r="R2329" s="74"/>
      <c r="S2329" s="74"/>
      <c r="T2329" s="74"/>
      <c r="U2329" s="74"/>
      <c r="V2329" s="74"/>
      <c r="W2329" s="74"/>
      <c r="X2329" s="74"/>
      <c r="Y2329" s="74"/>
      <c r="Z2329" s="74"/>
      <c r="AA2329" s="74"/>
      <c r="AB2329" s="74"/>
    </row>
    <row r="2330" spans="1:28" ht="12" customHeight="1">
      <c r="A2330" s="260"/>
      <c r="B2330" s="104"/>
      <c r="C2330" s="104"/>
      <c r="D2330" s="260"/>
      <c r="E2330" s="104"/>
      <c r="F2330" s="104"/>
      <c r="G2330" s="35"/>
      <c r="H2330" s="104"/>
      <c r="I2330" s="35"/>
      <c r="J2330" s="74"/>
      <c r="K2330" s="74"/>
      <c r="L2330" s="74"/>
      <c r="M2330" s="74"/>
      <c r="N2330" s="74"/>
      <c r="O2330" s="74"/>
      <c r="P2330" s="74"/>
      <c r="Q2330" s="74"/>
      <c r="R2330" s="74"/>
      <c r="S2330" s="74"/>
      <c r="T2330" s="74"/>
      <c r="U2330" s="74"/>
      <c r="V2330" s="74"/>
      <c r="W2330" s="74"/>
      <c r="X2330" s="74"/>
      <c r="Y2330" s="74"/>
      <c r="Z2330" s="74"/>
      <c r="AA2330" s="74"/>
      <c r="AB2330" s="74"/>
    </row>
    <row r="2331" spans="1:28" ht="12" customHeight="1">
      <c r="A2331" s="260"/>
      <c r="B2331" s="104"/>
      <c r="C2331" s="104"/>
      <c r="D2331" s="260"/>
      <c r="E2331" s="104"/>
      <c r="F2331" s="104"/>
      <c r="G2331" s="35"/>
      <c r="H2331" s="104"/>
      <c r="I2331" s="35"/>
      <c r="J2331" s="74"/>
      <c r="K2331" s="74"/>
      <c r="L2331" s="74"/>
      <c r="M2331" s="74"/>
      <c r="N2331" s="74"/>
      <c r="O2331" s="74"/>
      <c r="P2331" s="74"/>
      <c r="Q2331" s="74"/>
      <c r="R2331" s="74"/>
      <c r="S2331" s="74"/>
      <c r="T2331" s="74"/>
      <c r="U2331" s="74"/>
      <c r="V2331" s="74"/>
      <c r="W2331" s="74"/>
      <c r="X2331" s="74"/>
      <c r="Y2331" s="74"/>
      <c r="Z2331" s="74"/>
      <c r="AA2331" s="74"/>
      <c r="AB2331" s="74"/>
    </row>
    <row r="2332" spans="1:28" ht="12" customHeight="1">
      <c r="A2332" s="260"/>
      <c r="B2332" s="104"/>
      <c r="C2332" s="104"/>
      <c r="D2332" s="260"/>
      <c r="E2332" s="104"/>
      <c r="F2332" s="104"/>
      <c r="G2332" s="35"/>
      <c r="H2332" s="104"/>
      <c r="I2332" s="35"/>
      <c r="J2332" s="74"/>
      <c r="K2332" s="74"/>
      <c r="L2332" s="74"/>
      <c r="M2332" s="74"/>
      <c r="N2332" s="74"/>
      <c r="O2332" s="74"/>
      <c r="P2332" s="74"/>
      <c r="Q2332" s="74"/>
      <c r="R2332" s="74"/>
      <c r="S2332" s="74"/>
      <c r="T2332" s="74"/>
      <c r="U2332" s="74"/>
      <c r="V2332" s="74"/>
      <c r="W2332" s="74"/>
      <c r="X2332" s="74"/>
      <c r="Y2332" s="74"/>
      <c r="Z2332" s="74"/>
      <c r="AA2332" s="74"/>
      <c r="AB2332" s="74"/>
    </row>
    <row r="2333" spans="1:28" ht="12" customHeight="1">
      <c r="A2333" s="260"/>
      <c r="B2333" s="104"/>
      <c r="C2333" s="104"/>
      <c r="D2333" s="260"/>
      <c r="E2333" s="104"/>
      <c r="F2333" s="104"/>
      <c r="G2333" s="35"/>
      <c r="H2333" s="104"/>
      <c r="I2333" s="35"/>
      <c r="J2333" s="74"/>
      <c r="K2333" s="74"/>
      <c r="L2333" s="74"/>
      <c r="M2333" s="74"/>
      <c r="N2333" s="74"/>
      <c r="O2333" s="74"/>
      <c r="P2333" s="74"/>
      <c r="Q2333" s="74"/>
      <c r="R2333" s="74"/>
      <c r="S2333" s="74"/>
      <c r="T2333" s="74"/>
      <c r="U2333" s="74"/>
      <c r="V2333" s="74"/>
      <c r="W2333" s="74"/>
      <c r="X2333" s="74"/>
      <c r="Y2333" s="74"/>
      <c r="Z2333" s="74"/>
      <c r="AA2333" s="74"/>
      <c r="AB2333" s="74"/>
    </row>
    <row r="2334" spans="1:28" ht="12" customHeight="1">
      <c r="A2334" s="260"/>
      <c r="B2334" s="104"/>
      <c r="C2334" s="104"/>
      <c r="D2334" s="260"/>
      <c r="E2334" s="104"/>
      <c r="F2334" s="104"/>
      <c r="G2334" s="35"/>
      <c r="H2334" s="104"/>
      <c r="I2334" s="35"/>
      <c r="J2334" s="74"/>
      <c r="K2334" s="74"/>
      <c r="L2334" s="74"/>
      <c r="M2334" s="74"/>
      <c r="N2334" s="74"/>
      <c r="O2334" s="74"/>
      <c r="P2334" s="74"/>
      <c r="Q2334" s="74"/>
      <c r="R2334" s="74"/>
      <c r="S2334" s="74"/>
      <c r="T2334" s="74"/>
      <c r="U2334" s="74"/>
      <c r="V2334" s="74"/>
      <c r="W2334" s="74"/>
      <c r="X2334" s="74"/>
      <c r="Y2334" s="74"/>
      <c r="Z2334" s="74"/>
      <c r="AA2334" s="74"/>
      <c r="AB2334" s="74"/>
    </row>
    <row r="2335" spans="1:28" ht="12" customHeight="1">
      <c r="A2335" s="260"/>
      <c r="B2335" s="104"/>
      <c r="C2335" s="104"/>
      <c r="D2335" s="260"/>
      <c r="E2335" s="104"/>
      <c r="F2335" s="104"/>
      <c r="G2335" s="35"/>
      <c r="H2335" s="104"/>
      <c r="I2335" s="35"/>
      <c r="J2335" s="74"/>
      <c r="K2335" s="74"/>
      <c r="L2335" s="74"/>
      <c r="M2335" s="74"/>
      <c r="N2335" s="74"/>
      <c r="O2335" s="74"/>
      <c r="P2335" s="74"/>
      <c r="Q2335" s="74"/>
      <c r="R2335" s="74"/>
      <c r="S2335" s="74"/>
      <c r="T2335" s="74"/>
      <c r="U2335" s="74"/>
      <c r="V2335" s="74"/>
      <c r="W2335" s="74"/>
      <c r="X2335" s="74"/>
      <c r="Y2335" s="74"/>
      <c r="Z2335" s="74"/>
      <c r="AA2335" s="74"/>
      <c r="AB2335" s="74"/>
    </row>
    <row r="2336" spans="1:28" ht="12" customHeight="1">
      <c r="A2336" s="260"/>
      <c r="B2336" s="104"/>
      <c r="C2336" s="104"/>
      <c r="D2336" s="260"/>
      <c r="E2336" s="104"/>
      <c r="F2336" s="104"/>
      <c r="G2336" s="35"/>
      <c r="H2336" s="104"/>
      <c r="I2336" s="35"/>
      <c r="J2336" s="74"/>
      <c r="K2336" s="74"/>
      <c r="L2336" s="74"/>
      <c r="M2336" s="74"/>
      <c r="N2336" s="74"/>
      <c r="O2336" s="74"/>
      <c r="P2336" s="74"/>
      <c r="Q2336" s="74"/>
      <c r="R2336" s="74"/>
      <c r="S2336" s="74"/>
      <c r="T2336" s="74"/>
      <c r="U2336" s="74"/>
      <c r="V2336" s="74"/>
      <c r="W2336" s="74"/>
      <c r="X2336" s="74"/>
      <c r="Y2336" s="74"/>
      <c r="Z2336" s="74"/>
      <c r="AA2336" s="74"/>
      <c r="AB2336" s="74"/>
    </row>
    <row r="2337" spans="1:28" ht="12" customHeight="1">
      <c r="A2337" s="260"/>
      <c r="B2337" s="104"/>
      <c r="C2337" s="104"/>
      <c r="D2337" s="260"/>
      <c r="E2337" s="104"/>
      <c r="F2337" s="104"/>
      <c r="G2337" s="35"/>
      <c r="H2337" s="104"/>
      <c r="I2337" s="35"/>
      <c r="J2337" s="74"/>
      <c r="K2337" s="74"/>
      <c r="L2337" s="74"/>
      <c r="M2337" s="74"/>
      <c r="N2337" s="74"/>
      <c r="O2337" s="74"/>
      <c r="P2337" s="74"/>
      <c r="Q2337" s="74"/>
      <c r="R2337" s="74"/>
      <c r="S2337" s="74"/>
      <c r="T2337" s="74"/>
      <c r="U2337" s="74"/>
      <c r="V2337" s="74"/>
      <c r="W2337" s="74"/>
      <c r="X2337" s="74"/>
      <c r="Y2337" s="74"/>
      <c r="Z2337" s="74"/>
      <c r="AA2337" s="74"/>
      <c r="AB2337" s="74"/>
    </row>
    <row r="2338" spans="1:28" ht="12" customHeight="1">
      <c r="A2338" s="260"/>
      <c r="B2338" s="104"/>
      <c r="C2338" s="104"/>
      <c r="D2338" s="260"/>
      <c r="E2338" s="104"/>
      <c r="F2338" s="104"/>
      <c r="G2338" s="35"/>
      <c r="H2338" s="104"/>
      <c r="I2338" s="35"/>
      <c r="J2338" s="74"/>
      <c r="K2338" s="74"/>
      <c r="L2338" s="74"/>
      <c r="M2338" s="74"/>
      <c r="N2338" s="74"/>
      <c r="O2338" s="74"/>
      <c r="P2338" s="74"/>
      <c r="Q2338" s="74"/>
      <c r="R2338" s="74"/>
      <c r="S2338" s="74"/>
      <c r="T2338" s="74"/>
      <c r="U2338" s="74"/>
      <c r="V2338" s="74"/>
      <c r="W2338" s="74"/>
      <c r="X2338" s="74"/>
      <c r="Y2338" s="74"/>
      <c r="Z2338" s="74"/>
      <c r="AA2338" s="74"/>
      <c r="AB2338" s="74"/>
    </row>
    <row r="2339" spans="1:28" ht="12" customHeight="1">
      <c r="A2339" s="260"/>
      <c r="B2339" s="104"/>
      <c r="C2339" s="104"/>
      <c r="D2339" s="260"/>
      <c r="E2339" s="104"/>
      <c r="F2339" s="104"/>
      <c r="G2339" s="35"/>
      <c r="H2339" s="104"/>
      <c r="I2339" s="35"/>
      <c r="J2339" s="74"/>
      <c r="K2339" s="74"/>
      <c r="L2339" s="74"/>
      <c r="M2339" s="74"/>
      <c r="N2339" s="74"/>
      <c r="O2339" s="74"/>
      <c r="P2339" s="74"/>
      <c r="Q2339" s="74"/>
      <c r="R2339" s="74"/>
      <c r="S2339" s="74"/>
      <c r="T2339" s="74"/>
      <c r="U2339" s="74"/>
      <c r="V2339" s="74"/>
      <c r="W2339" s="74"/>
      <c r="X2339" s="74"/>
      <c r="Y2339" s="74"/>
      <c r="Z2339" s="74"/>
      <c r="AA2339" s="74"/>
      <c r="AB2339" s="74"/>
    </row>
    <row r="2340" spans="1:28" ht="12" customHeight="1">
      <c r="A2340" s="260"/>
      <c r="B2340" s="104"/>
      <c r="C2340" s="104"/>
      <c r="D2340" s="260"/>
      <c r="E2340" s="104"/>
      <c r="F2340" s="104"/>
      <c r="G2340" s="35"/>
      <c r="H2340" s="104"/>
      <c r="I2340" s="35"/>
      <c r="J2340" s="74"/>
      <c r="K2340" s="74"/>
      <c r="L2340" s="74"/>
      <c r="M2340" s="74"/>
      <c r="N2340" s="74"/>
      <c r="O2340" s="74"/>
      <c r="P2340" s="74"/>
      <c r="Q2340" s="74"/>
      <c r="R2340" s="74"/>
      <c r="S2340" s="74"/>
      <c r="T2340" s="74"/>
      <c r="U2340" s="74"/>
      <c r="V2340" s="74"/>
      <c r="W2340" s="74"/>
      <c r="X2340" s="74"/>
      <c r="Y2340" s="74"/>
      <c r="Z2340" s="74"/>
      <c r="AA2340" s="74"/>
      <c r="AB2340" s="74"/>
    </row>
    <row r="2341" spans="1:28" ht="12" customHeight="1">
      <c r="A2341" s="260"/>
      <c r="B2341" s="104"/>
      <c r="C2341" s="104"/>
      <c r="D2341" s="260"/>
      <c r="E2341" s="104"/>
      <c r="F2341" s="104"/>
      <c r="G2341" s="35"/>
      <c r="H2341" s="104"/>
      <c r="I2341" s="35"/>
      <c r="J2341" s="74"/>
      <c r="K2341" s="74"/>
      <c r="L2341" s="74"/>
      <c r="M2341" s="74"/>
      <c r="N2341" s="74"/>
      <c r="O2341" s="74"/>
      <c r="P2341" s="74"/>
      <c r="Q2341" s="74"/>
      <c r="R2341" s="74"/>
      <c r="S2341" s="74"/>
      <c r="T2341" s="74"/>
      <c r="U2341" s="74"/>
      <c r="V2341" s="74"/>
      <c r="W2341" s="74"/>
      <c r="X2341" s="74"/>
      <c r="Y2341" s="74"/>
      <c r="Z2341" s="74"/>
      <c r="AA2341" s="74"/>
      <c r="AB2341" s="74"/>
    </row>
    <row r="2342" spans="1:28" ht="12" customHeight="1">
      <c r="A2342" s="260"/>
      <c r="B2342" s="104"/>
      <c r="C2342" s="104"/>
      <c r="D2342" s="260"/>
      <c r="E2342" s="104"/>
      <c r="F2342" s="104"/>
      <c r="G2342" s="35"/>
      <c r="H2342" s="104"/>
      <c r="I2342" s="35"/>
      <c r="J2342" s="74"/>
      <c r="K2342" s="74"/>
      <c r="L2342" s="74"/>
      <c r="M2342" s="74"/>
      <c r="N2342" s="74"/>
      <c r="O2342" s="74"/>
      <c r="P2342" s="74"/>
      <c r="Q2342" s="74"/>
      <c r="R2342" s="74"/>
      <c r="S2342" s="74"/>
      <c r="T2342" s="74"/>
      <c r="U2342" s="74"/>
      <c r="V2342" s="74"/>
      <c r="W2342" s="74"/>
      <c r="X2342" s="74"/>
      <c r="Y2342" s="74"/>
      <c r="Z2342" s="74"/>
      <c r="AA2342" s="74"/>
      <c r="AB2342" s="74"/>
    </row>
    <row r="2343" spans="1:28" ht="12" customHeight="1">
      <c r="A2343" s="260"/>
      <c r="B2343" s="104"/>
      <c r="C2343" s="104"/>
      <c r="D2343" s="260"/>
      <c r="E2343" s="104"/>
      <c r="F2343" s="104"/>
      <c r="G2343" s="35"/>
      <c r="H2343" s="104"/>
      <c r="I2343" s="35"/>
      <c r="J2343" s="74"/>
      <c r="K2343" s="74"/>
      <c r="L2343" s="74"/>
      <c r="M2343" s="74"/>
      <c r="N2343" s="74"/>
      <c r="O2343" s="74"/>
      <c r="P2343" s="74"/>
      <c r="Q2343" s="74"/>
      <c r="R2343" s="74"/>
      <c r="S2343" s="74"/>
      <c r="T2343" s="74"/>
      <c r="U2343" s="74"/>
      <c r="V2343" s="74"/>
      <c r="W2343" s="74"/>
      <c r="X2343" s="74"/>
      <c r="Y2343" s="74"/>
      <c r="Z2343" s="74"/>
      <c r="AA2343" s="74"/>
      <c r="AB2343" s="74"/>
    </row>
    <row r="2344" spans="1:28" ht="12" customHeight="1">
      <c r="A2344" s="260"/>
      <c r="B2344" s="104"/>
      <c r="C2344" s="104"/>
      <c r="D2344" s="260"/>
      <c r="E2344" s="104"/>
      <c r="F2344" s="104"/>
      <c r="G2344" s="35"/>
      <c r="H2344" s="104"/>
      <c r="I2344" s="35"/>
      <c r="J2344" s="74"/>
      <c r="K2344" s="74"/>
      <c r="L2344" s="74"/>
      <c r="M2344" s="74"/>
      <c r="N2344" s="74"/>
      <c r="O2344" s="74"/>
      <c r="P2344" s="74"/>
      <c r="Q2344" s="74"/>
      <c r="R2344" s="74"/>
      <c r="S2344" s="74"/>
      <c r="T2344" s="74"/>
      <c r="U2344" s="74"/>
      <c r="V2344" s="74"/>
      <c r="W2344" s="74"/>
      <c r="X2344" s="74"/>
      <c r="Y2344" s="74"/>
      <c r="Z2344" s="74"/>
      <c r="AA2344" s="74"/>
      <c r="AB2344" s="74"/>
    </row>
    <row r="2345" spans="1:28" ht="12" customHeight="1">
      <c r="A2345" s="260"/>
      <c r="B2345" s="104"/>
      <c r="C2345" s="104"/>
      <c r="D2345" s="260"/>
      <c r="E2345" s="104"/>
      <c r="F2345" s="104"/>
      <c r="G2345" s="35"/>
      <c r="H2345" s="104"/>
      <c r="I2345" s="35"/>
      <c r="J2345" s="74"/>
      <c r="K2345" s="74"/>
      <c r="L2345" s="74"/>
      <c r="M2345" s="74"/>
      <c r="N2345" s="74"/>
      <c r="O2345" s="74"/>
      <c r="P2345" s="74"/>
      <c r="Q2345" s="74"/>
      <c r="R2345" s="74"/>
      <c r="S2345" s="74"/>
      <c r="T2345" s="74"/>
      <c r="U2345" s="74"/>
      <c r="V2345" s="74"/>
      <c r="W2345" s="74"/>
      <c r="X2345" s="74"/>
      <c r="Y2345" s="74"/>
      <c r="Z2345" s="74"/>
      <c r="AA2345" s="74"/>
      <c r="AB2345" s="74"/>
    </row>
    <row r="2346" spans="1:28" ht="12" customHeight="1">
      <c r="A2346" s="260"/>
      <c r="B2346" s="104"/>
      <c r="C2346" s="104"/>
      <c r="D2346" s="260"/>
      <c r="E2346" s="104"/>
      <c r="F2346" s="104"/>
      <c r="G2346" s="35"/>
      <c r="H2346" s="104"/>
      <c r="I2346" s="35"/>
      <c r="J2346" s="74"/>
      <c r="K2346" s="74"/>
      <c r="L2346" s="74"/>
      <c r="M2346" s="74"/>
      <c r="N2346" s="74"/>
      <c r="O2346" s="74"/>
      <c r="P2346" s="74"/>
      <c r="Q2346" s="74"/>
      <c r="R2346" s="74"/>
      <c r="S2346" s="74"/>
      <c r="T2346" s="74"/>
      <c r="U2346" s="74"/>
      <c r="V2346" s="74"/>
      <c r="W2346" s="74"/>
      <c r="X2346" s="74"/>
      <c r="Y2346" s="74"/>
      <c r="Z2346" s="74"/>
      <c r="AA2346" s="74"/>
      <c r="AB2346" s="74"/>
    </row>
    <row r="2347" spans="1:28" ht="12" customHeight="1">
      <c r="A2347" s="260"/>
      <c r="B2347" s="104"/>
      <c r="C2347" s="104"/>
      <c r="D2347" s="260"/>
      <c r="E2347" s="104"/>
      <c r="F2347" s="104"/>
      <c r="G2347" s="35"/>
      <c r="H2347" s="104"/>
      <c r="I2347" s="35"/>
      <c r="J2347" s="74"/>
      <c r="K2347" s="74"/>
      <c r="L2347" s="74"/>
      <c r="M2347" s="74"/>
      <c r="N2347" s="74"/>
      <c r="O2347" s="74"/>
      <c r="P2347" s="74"/>
      <c r="Q2347" s="74"/>
      <c r="R2347" s="74"/>
      <c r="S2347" s="74"/>
      <c r="T2347" s="74"/>
      <c r="U2347" s="74"/>
      <c r="V2347" s="74"/>
      <c r="W2347" s="74"/>
      <c r="X2347" s="74"/>
      <c r="Y2347" s="74"/>
      <c r="Z2347" s="74"/>
      <c r="AA2347" s="74"/>
      <c r="AB2347" s="74"/>
    </row>
    <row r="2348" spans="1:28" ht="12" customHeight="1">
      <c r="A2348" s="260"/>
      <c r="B2348" s="104"/>
      <c r="C2348" s="104"/>
      <c r="D2348" s="260"/>
      <c r="E2348" s="104"/>
      <c r="F2348" s="104"/>
      <c r="G2348" s="35"/>
      <c r="H2348" s="104"/>
      <c r="I2348" s="35"/>
      <c r="J2348" s="74"/>
      <c r="K2348" s="74"/>
      <c r="L2348" s="74"/>
      <c r="M2348" s="74"/>
      <c r="N2348" s="74"/>
      <c r="O2348" s="74"/>
      <c r="P2348" s="74"/>
      <c r="Q2348" s="74"/>
      <c r="R2348" s="74"/>
      <c r="S2348" s="74"/>
      <c r="T2348" s="74"/>
      <c r="U2348" s="74"/>
      <c r="V2348" s="74"/>
      <c r="W2348" s="74"/>
      <c r="X2348" s="74"/>
      <c r="Y2348" s="74"/>
      <c r="Z2348" s="74"/>
      <c r="AA2348" s="74"/>
      <c r="AB2348" s="74"/>
    </row>
    <row r="2349" spans="1:28" ht="12" customHeight="1">
      <c r="A2349" s="260"/>
      <c r="B2349" s="104"/>
      <c r="C2349" s="104"/>
      <c r="D2349" s="260"/>
      <c r="E2349" s="104"/>
      <c r="F2349" s="104"/>
      <c r="G2349" s="35"/>
      <c r="H2349" s="104"/>
      <c r="I2349" s="35"/>
      <c r="J2349" s="74"/>
      <c r="K2349" s="74"/>
      <c r="L2349" s="74"/>
      <c r="M2349" s="74"/>
      <c r="N2349" s="74"/>
      <c r="O2349" s="74"/>
      <c r="P2349" s="74"/>
      <c r="Q2349" s="74"/>
      <c r="R2349" s="74"/>
      <c r="S2349" s="74"/>
      <c r="T2349" s="74"/>
      <c r="U2349" s="74"/>
      <c r="V2349" s="74"/>
      <c r="W2349" s="74"/>
      <c r="X2349" s="74"/>
      <c r="Y2349" s="74"/>
      <c r="Z2349" s="74"/>
      <c r="AA2349" s="74"/>
      <c r="AB2349" s="74"/>
    </row>
    <row r="2350" spans="1:28" ht="12" customHeight="1">
      <c r="A2350" s="260"/>
      <c r="B2350" s="104"/>
      <c r="C2350" s="104"/>
      <c r="D2350" s="260"/>
      <c r="E2350" s="104"/>
      <c r="F2350" s="104"/>
      <c r="G2350" s="35"/>
      <c r="H2350" s="104"/>
      <c r="I2350" s="35"/>
      <c r="J2350" s="74"/>
      <c r="K2350" s="74"/>
      <c r="L2350" s="74"/>
      <c r="M2350" s="74"/>
      <c r="N2350" s="74"/>
      <c r="O2350" s="74"/>
      <c r="P2350" s="74"/>
      <c r="Q2350" s="74"/>
      <c r="R2350" s="74"/>
      <c r="S2350" s="74"/>
      <c r="T2350" s="74"/>
      <c r="U2350" s="74"/>
      <c r="V2350" s="74"/>
      <c r="W2350" s="74"/>
      <c r="X2350" s="74"/>
      <c r="Y2350" s="74"/>
      <c r="Z2350" s="74"/>
      <c r="AA2350" s="74"/>
      <c r="AB2350" s="74"/>
    </row>
    <row r="2351" spans="1:28" ht="12" customHeight="1">
      <c r="A2351" s="260"/>
      <c r="B2351" s="104"/>
      <c r="C2351" s="104"/>
      <c r="D2351" s="260"/>
      <c r="E2351" s="104"/>
      <c r="F2351" s="104"/>
      <c r="G2351" s="35"/>
      <c r="H2351" s="104"/>
      <c r="I2351" s="35"/>
      <c r="J2351" s="74"/>
      <c r="K2351" s="74"/>
      <c r="L2351" s="74"/>
      <c r="M2351" s="74"/>
      <c r="N2351" s="74"/>
      <c r="O2351" s="74"/>
      <c r="P2351" s="74"/>
      <c r="Q2351" s="74"/>
      <c r="R2351" s="74"/>
      <c r="S2351" s="74"/>
      <c r="T2351" s="74"/>
      <c r="U2351" s="74"/>
      <c r="V2351" s="74"/>
      <c r="W2351" s="74"/>
      <c r="X2351" s="74"/>
      <c r="Y2351" s="74"/>
      <c r="Z2351" s="74"/>
      <c r="AA2351" s="74"/>
      <c r="AB2351" s="74"/>
    </row>
    <row r="2352" spans="1:28" ht="12" customHeight="1">
      <c r="A2352" s="260"/>
      <c r="B2352" s="104"/>
      <c r="C2352" s="104"/>
      <c r="D2352" s="260"/>
      <c r="E2352" s="104"/>
      <c r="F2352" s="104"/>
      <c r="G2352" s="35"/>
      <c r="H2352" s="104"/>
      <c r="I2352" s="35"/>
      <c r="J2352" s="74"/>
      <c r="K2352" s="74"/>
      <c r="L2352" s="74"/>
      <c r="M2352" s="74"/>
      <c r="N2352" s="74"/>
      <c r="O2352" s="74"/>
      <c r="P2352" s="74"/>
      <c r="Q2352" s="74"/>
      <c r="R2352" s="74"/>
      <c r="S2352" s="74"/>
      <c r="T2352" s="74"/>
      <c r="U2352" s="74"/>
      <c r="V2352" s="74"/>
      <c r="W2352" s="74"/>
      <c r="X2352" s="74"/>
      <c r="Y2352" s="74"/>
      <c r="Z2352" s="74"/>
      <c r="AA2352" s="74"/>
      <c r="AB2352" s="74"/>
    </row>
    <row r="2353" spans="1:28" ht="12" customHeight="1">
      <c r="A2353" s="260"/>
      <c r="B2353" s="104"/>
      <c r="C2353" s="104"/>
      <c r="D2353" s="260"/>
      <c r="E2353" s="104"/>
      <c r="F2353" s="104"/>
      <c r="G2353" s="35"/>
      <c r="H2353" s="104"/>
      <c r="I2353" s="35"/>
      <c r="J2353" s="74"/>
      <c r="K2353" s="74"/>
      <c r="L2353" s="74"/>
      <c r="M2353" s="74"/>
      <c r="N2353" s="74"/>
      <c r="O2353" s="74"/>
      <c r="P2353" s="74"/>
      <c r="Q2353" s="74"/>
      <c r="R2353" s="74"/>
      <c r="S2353" s="74"/>
      <c r="T2353" s="74"/>
      <c r="U2353" s="74"/>
      <c r="V2353" s="74"/>
      <c r="W2353" s="74"/>
      <c r="X2353" s="74"/>
      <c r="Y2353" s="74"/>
      <c r="Z2353" s="74"/>
      <c r="AA2353" s="74"/>
      <c r="AB2353" s="74"/>
    </row>
    <row r="2354" spans="1:28" ht="12" customHeight="1">
      <c r="A2354" s="260"/>
      <c r="B2354" s="104"/>
      <c r="C2354" s="104"/>
      <c r="D2354" s="260"/>
      <c r="E2354" s="104"/>
      <c r="F2354" s="104"/>
      <c r="G2354" s="35"/>
      <c r="H2354" s="104"/>
      <c r="I2354" s="35"/>
      <c r="J2354" s="74"/>
      <c r="K2354" s="74"/>
      <c r="L2354" s="74"/>
      <c r="M2354" s="74"/>
      <c r="N2354" s="74"/>
      <c r="O2354" s="74"/>
      <c r="P2354" s="74"/>
      <c r="Q2354" s="74"/>
      <c r="R2354" s="74"/>
      <c r="S2354" s="74"/>
      <c r="T2354" s="74"/>
      <c r="U2354" s="74"/>
      <c r="V2354" s="74"/>
      <c r="W2354" s="74"/>
      <c r="X2354" s="74"/>
      <c r="Y2354" s="74"/>
      <c r="Z2354" s="74"/>
      <c r="AA2354" s="74"/>
      <c r="AB2354" s="74"/>
    </row>
    <row r="2355" spans="1:28" ht="12" customHeight="1">
      <c r="A2355" s="260"/>
      <c r="B2355" s="104"/>
      <c r="C2355" s="104"/>
      <c r="D2355" s="260"/>
      <c r="E2355" s="104"/>
      <c r="F2355" s="104"/>
      <c r="G2355" s="35"/>
      <c r="H2355" s="104"/>
      <c r="I2355" s="35"/>
      <c r="J2355" s="74"/>
      <c r="K2355" s="74"/>
      <c r="L2355" s="74"/>
      <c r="M2355" s="74"/>
      <c r="N2355" s="74"/>
      <c r="O2355" s="74"/>
      <c r="P2355" s="74"/>
      <c r="Q2355" s="74"/>
      <c r="R2355" s="74"/>
      <c r="S2355" s="74"/>
      <c r="T2355" s="74"/>
      <c r="U2355" s="74"/>
      <c r="V2355" s="74"/>
      <c r="W2355" s="74"/>
      <c r="X2355" s="74"/>
      <c r="Y2355" s="74"/>
      <c r="Z2355" s="74"/>
      <c r="AA2355" s="74"/>
      <c r="AB2355" s="74"/>
    </row>
    <row r="2356" spans="1:28" ht="12" customHeight="1">
      <c r="A2356" s="260"/>
      <c r="B2356" s="104"/>
      <c r="C2356" s="104"/>
      <c r="D2356" s="260"/>
      <c r="E2356" s="104"/>
      <c r="F2356" s="104"/>
      <c r="G2356" s="35"/>
      <c r="H2356" s="104"/>
      <c r="I2356" s="35"/>
      <c r="J2356" s="74"/>
      <c r="K2356" s="74"/>
      <c r="L2356" s="74"/>
      <c r="M2356" s="74"/>
      <c r="N2356" s="74"/>
      <c r="O2356" s="74"/>
      <c r="P2356" s="74"/>
      <c r="Q2356" s="74"/>
      <c r="R2356" s="74"/>
      <c r="S2356" s="74"/>
      <c r="T2356" s="74"/>
      <c r="U2356" s="74"/>
      <c r="V2356" s="74"/>
      <c r="W2356" s="74"/>
      <c r="X2356" s="74"/>
      <c r="Y2356" s="74"/>
      <c r="Z2356" s="74"/>
      <c r="AA2356" s="74"/>
      <c r="AB2356" s="74"/>
    </row>
    <row r="2357" spans="1:28" ht="12" customHeight="1">
      <c r="A2357" s="260"/>
      <c r="B2357" s="104"/>
      <c r="C2357" s="104"/>
      <c r="D2357" s="260"/>
      <c r="E2357" s="104"/>
      <c r="F2357" s="104"/>
      <c r="G2357" s="35"/>
      <c r="H2357" s="104"/>
      <c r="I2357" s="35"/>
      <c r="J2357" s="74"/>
      <c r="K2357" s="74"/>
      <c r="L2357" s="74"/>
      <c r="M2357" s="74"/>
      <c r="N2357" s="74"/>
      <c r="O2357" s="74"/>
      <c r="P2357" s="74"/>
      <c r="Q2357" s="74"/>
      <c r="R2357" s="74"/>
      <c r="S2357" s="74"/>
      <c r="T2357" s="74"/>
      <c r="U2357" s="74"/>
      <c r="V2357" s="74"/>
      <c r="W2357" s="74"/>
      <c r="X2357" s="74"/>
      <c r="Y2357" s="74"/>
      <c r="Z2357" s="74"/>
      <c r="AA2357" s="74"/>
      <c r="AB2357" s="74"/>
    </row>
    <row r="2358" spans="1:28" ht="12" customHeight="1">
      <c r="A2358" s="260"/>
      <c r="B2358" s="104"/>
      <c r="C2358" s="104"/>
      <c r="D2358" s="260"/>
      <c r="E2358" s="104"/>
      <c r="F2358" s="104"/>
      <c r="G2358" s="35"/>
      <c r="H2358" s="104"/>
      <c r="I2358" s="35"/>
      <c r="J2358" s="74"/>
      <c r="K2358" s="74"/>
      <c r="L2358" s="74"/>
      <c r="M2358" s="74"/>
      <c r="N2358" s="74"/>
      <c r="O2358" s="74"/>
      <c r="P2358" s="74"/>
      <c r="Q2358" s="74"/>
      <c r="R2358" s="74"/>
      <c r="S2358" s="74"/>
      <c r="T2358" s="74"/>
      <c r="U2358" s="74"/>
      <c r="V2358" s="74"/>
      <c r="W2358" s="74"/>
      <c r="X2358" s="74"/>
      <c r="Y2358" s="74"/>
      <c r="Z2358" s="74"/>
      <c r="AA2358" s="74"/>
      <c r="AB2358" s="74"/>
    </row>
    <row r="2359" spans="1:28" ht="12" customHeight="1">
      <c r="A2359" s="260"/>
      <c r="B2359" s="104"/>
      <c r="C2359" s="104"/>
      <c r="D2359" s="260"/>
      <c r="E2359" s="104"/>
      <c r="F2359" s="104"/>
      <c r="G2359" s="35"/>
      <c r="H2359" s="104"/>
      <c r="I2359" s="35"/>
      <c r="J2359" s="74"/>
      <c r="K2359" s="74"/>
      <c r="L2359" s="74"/>
      <c r="M2359" s="74"/>
      <c r="N2359" s="74"/>
      <c r="O2359" s="74"/>
      <c r="P2359" s="74"/>
      <c r="Q2359" s="74"/>
      <c r="R2359" s="74"/>
      <c r="S2359" s="74"/>
      <c r="T2359" s="74"/>
      <c r="U2359" s="74"/>
      <c r="V2359" s="74"/>
      <c r="W2359" s="74"/>
      <c r="X2359" s="74"/>
      <c r="Y2359" s="74"/>
      <c r="Z2359" s="74"/>
      <c r="AA2359" s="74"/>
      <c r="AB2359" s="74"/>
    </row>
    <row r="2360" spans="1:28" ht="12" customHeight="1">
      <c r="A2360" s="260"/>
      <c r="B2360" s="104"/>
      <c r="C2360" s="104"/>
      <c r="D2360" s="260"/>
      <c r="E2360" s="104"/>
      <c r="F2360" s="104"/>
      <c r="G2360" s="35"/>
      <c r="H2360" s="104"/>
      <c r="I2360" s="35"/>
      <c r="J2360" s="74"/>
      <c r="K2360" s="74"/>
      <c r="L2360" s="74"/>
      <c r="M2360" s="74"/>
      <c r="N2360" s="74"/>
      <c r="O2360" s="74"/>
      <c r="P2360" s="74"/>
      <c r="Q2360" s="74"/>
      <c r="R2360" s="74"/>
      <c r="S2360" s="74"/>
      <c r="T2360" s="74"/>
      <c r="U2360" s="74"/>
      <c r="V2360" s="74"/>
      <c r="W2360" s="74"/>
      <c r="X2360" s="74"/>
      <c r="Y2360" s="74"/>
      <c r="Z2360" s="74"/>
      <c r="AA2360" s="74"/>
      <c r="AB2360" s="74"/>
    </row>
    <row r="2361" spans="1:28" ht="12" customHeight="1">
      <c r="A2361" s="260"/>
      <c r="B2361" s="104"/>
      <c r="C2361" s="104"/>
      <c r="D2361" s="260"/>
      <c r="E2361" s="104"/>
      <c r="F2361" s="104"/>
      <c r="G2361" s="35"/>
      <c r="H2361" s="104"/>
      <c r="I2361" s="35"/>
      <c r="J2361" s="74"/>
      <c r="K2361" s="74"/>
      <c r="L2361" s="74"/>
      <c r="M2361" s="74"/>
      <c r="N2361" s="74"/>
      <c r="O2361" s="74"/>
      <c r="P2361" s="74"/>
      <c r="Q2361" s="74"/>
      <c r="R2361" s="74"/>
      <c r="S2361" s="74"/>
      <c r="T2361" s="74"/>
      <c r="U2361" s="74"/>
      <c r="V2361" s="74"/>
      <c r="W2361" s="74"/>
      <c r="X2361" s="74"/>
      <c r="Y2361" s="74"/>
      <c r="Z2361" s="74"/>
      <c r="AA2361" s="74"/>
      <c r="AB2361" s="74"/>
    </row>
    <row r="2362" spans="1:28" ht="12" customHeight="1">
      <c r="A2362" s="260"/>
      <c r="B2362" s="104"/>
      <c r="C2362" s="104"/>
      <c r="D2362" s="260"/>
      <c r="E2362" s="104"/>
      <c r="F2362" s="104"/>
      <c r="G2362" s="35"/>
      <c r="H2362" s="104"/>
      <c r="I2362" s="35"/>
      <c r="J2362" s="74"/>
      <c r="K2362" s="74"/>
      <c r="L2362" s="74"/>
      <c r="M2362" s="74"/>
      <c r="N2362" s="74"/>
      <c r="O2362" s="74"/>
      <c r="P2362" s="74"/>
      <c r="Q2362" s="74"/>
      <c r="R2362" s="74"/>
      <c r="S2362" s="74"/>
      <c r="T2362" s="74"/>
      <c r="U2362" s="74"/>
      <c r="V2362" s="74"/>
      <c r="W2362" s="74"/>
      <c r="X2362" s="74"/>
      <c r="Y2362" s="74"/>
      <c r="Z2362" s="74"/>
      <c r="AA2362" s="74"/>
      <c r="AB2362" s="74"/>
    </row>
    <row r="2363" spans="1:28" ht="12" customHeight="1">
      <c r="A2363" s="260"/>
      <c r="B2363" s="104"/>
      <c r="C2363" s="104"/>
      <c r="D2363" s="260"/>
      <c r="E2363" s="104"/>
      <c r="F2363" s="104"/>
      <c r="G2363" s="35"/>
      <c r="H2363" s="104"/>
      <c r="I2363" s="35"/>
      <c r="J2363" s="74"/>
      <c r="K2363" s="74"/>
      <c r="L2363" s="74"/>
      <c r="M2363" s="74"/>
      <c r="N2363" s="74"/>
      <c r="O2363" s="74"/>
      <c r="P2363" s="74"/>
      <c r="Q2363" s="74"/>
      <c r="R2363" s="74"/>
      <c r="S2363" s="74"/>
      <c r="T2363" s="74"/>
      <c r="U2363" s="74"/>
      <c r="V2363" s="74"/>
      <c r="W2363" s="74"/>
      <c r="X2363" s="74"/>
      <c r="Y2363" s="74"/>
      <c r="Z2363" s="74"/>
      <c r="AA2363" s="74"/>
      <c r="AB2363" s="74"/>
    </row>
    <row r="2364" spans="1:28" ht="12" customHeight="1">
      <c r="A2364" s="260"/>
      <c r="B2364" s="104"/>
      <c r="C2364" s="104"/>
      <c r="D2364" s="260"/>
      <c r="E2364" s="104"/>
      <c r="F2364" s="104"/>
      <c r="G2364" s="35"/>
      <c r="H2364" s="104"/>
      <c r="I2364" s="35"/>
      <c r="J2364" s="74"/>
      <c r="K2364" s="74"/>
      <c r="L2364" s="74"/>
      <c r="M2364" s="74"/>
      <c r="N2364" s="74"/>
      <c r="O2364" s="74"/>
      <c r="P2364" s="74"/>
      <c r="Q2364" s="74"/>
      <c r="R2364" s="74"/>
      <c r="S2364" s="74"/>
      <c r="T2364" s="74"/>
      <c r="U2364" s="74"/>
      <c r="V2364" s="74"/>
      <c r="W2364" s="74"/>
      <c r="X2364" s="74"/>
      <c r="Y2364" s="74"/>
      <c r="Z2364" s="74"/>
      <c r="AA2364" s="74"/>
      <c r="AB2364" s="74"/>
    </row>
    <row r="2365" spans="1:28" ht="12" customHeight="1">
      <c r="A2365" s="260"/>
      <c r="B2365" s="104"/>
      <c r="C2365" s="104"/>
      <c r="D2365" s="260"/>
      <c r="E2365" s="104"/>
      <c r="F2365" s="104"/>
      <c r="G2365" s="35"/>
      <c r="H2365" s="104"/>
      <c r="I2365" s="35"/>
      <c r="J2365" s="74"/>
      <c r="K2365" s="74"/>
      <c r="L2365" s="74"/>
      <c r="M2365" s="74"/>
      <c r="N2365" s="74"/>
      <c r="O2365" s="74"/>
      <c r="P2365" s="74"/>
      <c r="Q2365" s="74"/>
      <c r="R2365" s="74"/>
      <c r="S2365" s="74"/>
      <c r="T2365" s="74"/>
      <c r="U2365" s="74"/>
      <c r="V2365" s="74"/>
      <c r="W2365" s="74"/>
      <c r="X2365" s="74"/>
      <c r="Y2365" s="74"/>
      <c r="Z2365" s="74"/>
      <c r="AA2365" s="74"/>
      <c r="AB2365" s="74"/>
    </row>
    <row r="2366" spans="1:28" ht="12" customHeight="1">
      <c r="A2366" s="260"/>
      <c r="B2366" s="104"/>
      <c r="C2366" s="104"/>
      <c r="D2366" s="260"/>
      <c r="E2366" s="104"/>
      <c r="F2366" s="104"/>
      <c r="G2366" s="35"/>
      <c r="H2366" s="104"/>
      <c r="I2366" s="35"/>
      <c r="J2366" s="74"/>
      <c r="K2366" s="74"/>
      <c r="L2366" s="74"/>
      <c r="M2366" s="74"/>
      <c r="N2366" s="74"/>
      <c r="O2366" s="74"/>
      <c r="P2366" s="74"/>
      <c r="Q2366" s="74"/>
      <c r="R2366" s="74"/>
      <c r="S2366" s="74"/>
      <c r="T2366" s="74"/>
      <c r="U2366" s="74"/>
      <c r="V2366" s="74"/>
      <c r="W2366" s="74"/>
      <c r="X2366" s="74"/>
      <c r="Y2366" s="74"/>
      <c r="Z2366" s="74"/>
      <c r="AA2366" s="74"/>
      <c r="AB2366" s="74"/>
    </row>
    <row r="2367" spans="1:28" ht="12" customHeight="1">
      <c r="A2367" s="260"/>
      <c r="B2367" s="104"/>
      <c r="C2367" s="104"/>
      <c r="D2367" s="260"/>
      <c r="E2367" s="104"/>
      <c r="F2367" s="104"/>
      <c r="G2367" s="35"/>
      <c r="H2367" s="104"/>
      <c r="I2367" s="35"/>
      <c r="J2367" s="74"/>
      <c r="K2367" s="74"/>
      <c r="L2367" s="74"/>
      <c r="M2367" s="74"/>
      <c r="N2367" s="74"/>
      <c r="O2367" s="74"/>
      <c r="P2367" s="74"/>
      <c r="Q2367" s="74"/>
      <c r="R2367" s="74"/>
      <c r="S2367" s="74"/>
      <c r="T2367" s="74"/>
      <c r="U2367" s="74"/>
      <c r="V2367" s="74"/>
      <c r="W2367" s="74"/>
      <c r="X2367" s="74"/>
      <c r="Y2367" s="74"/>
      <c r="Z2367" s="74"/>
      <c r="AA2367" s="74"/>
      <c r="AB2367" s="74"/>
    </row>
    <row r="2368" spans="1:28" ht="12" customHeight="1">
      <c r="A2368" s="260"/>
      <c r="B2368" s="104"/>
      <c r="C2368" s="104"/>
      <c r="D2368" s="260"/>
      <c r="E2368" s="104"/>
      <c r="F2368" s="104"/>
      <c r="G2368" s="35"/>
      <c r="H2368" s="104"/>
      <c r="I2368" s="35"/>
      <c r="J2368" s="74"/>
      <c r="K2368" s="74"/>
      <c r="L2368" s="74"/>
      <c r="M2368" s="74"/>
      <c r="N2368" s="74"/>
      <c r="O2368" s="74"/>
      <c r="P2368" s="74"/>
      <c r="Q2368" s="74"/>
      <c r="R2368" s="74"/>
      <c r="S2368" s="74"/>
      <c r="T2368" s="74"/>
      <c r="U2368" s="74"/>
      <c r="V2368" s="74"/>
      <c r="W2368" s="74"/>
      <c r="X2368" s="74"/>
      <c r="Y2368" s="74"/>
      <c r="Z2368" s="74"/>
      <c r="AA2368" s="74"/>
      <c r="AB2368" s="74"/>
    </row>
    <row r="2369" spans="1:28" ht="12" customHeight="1">
      <c r="A2369" s="260"/>
      <c r="B2369" s="104"/>
      <c r="C2369" s="104"/>
      <c r="D2369" s="260"/>
      <c r="E2369" s="104"/>
      <c r="F2369" s="104"/>
      <c r="G2369" s="35"/>
      <c r="H2369" s="104"/>
      <c r="I2369" s="35"/>
      <c r="J2369" s="74"/>
      <c r="K2369" s="74"/>
      <c r="L2369" s="74"/>
      <c r="M2369" s="74"/>
      <c r="N2369" s="74"/>
      <c r="O2369" s="74"/>
      <c r="P2369" s="74"/>
      <c r="Q2369" s="74"/>
      <c r="R2369" s="74"/>
      <c r="S2369" s="74"/>
      <c r="T2369" s="74"/>
      <c r="U2369" s="74"/>
      <c r="V2369" s="74"/>
      <c r="W2369" s="74"/>
      <c r="X2369" s="74"/>
      <c r="Y2369" s="74"/>
      <c r="Z2369" s="74"/>
      <c r="AA2369" s="74"/>
      <c r="AB2369" s="74"/>
    </row>
    <row r="2370" spans="1:28" ht="12" customHeight="1">
      <c r="A2370" s="260"/>
      <c r="B2370" s="104"/>
      <c r="C2370" s="104"/>
      <c r="D2370" s="260"/>
      <c r="E2370" s="104"/>
      <c r="F2370" s="104"/>
      <c r="G2370" s="35"/>
      <c r="H2370" s="104"/>
      <c r="I2370" s="35"/>
      <c r="J2370" s="74"/>
      <c r="K2370" s="74"/>
      <c r="L2370" s="74"/>
      <c r="M2370" s="74"/>
      <c r="N2370" s="74"/>
      <c r="O2370" s="74"/>
      <c r="P2370" s="74"/>
      <c r="Q2370" s="74"/>
      <c r="R2370" s="74"/>
      <c r="S2370" s="74"/>
      <c r="T2370" s="74"/>
      <c r="U2370" s="74"/>
      <c r="V2370" s="74"/>
      <c r="W2370" s="74"/>
      <c r="X2370" s="74"/>
      <c r="Y2370" s="74"/>
      <c r="Z2370" s="74"/>
      <c r="AA2370" s="74"/>
      <c r="AB2370" s="74"/>
    </row>
    <row r="2371" spans="1:28" ht="12" customHeight="1">
      <c r="A2371" s="260"/>
      <c r="B2371" s="104"/>
      <c r="C2371" s="104"/>
      <c r="D2371" s="260"/>
      <c r="E2371" s="104"/>
      <c r="F2371" s="104"/>
      <c r="G2371" s="35"/>
      <c r="H2371" s="104"/>
      <c r="I2371" s="35"/>
      <c r="J2371" s="74"/>
      <c r="K2371" s="74"/>
      <c r="L2371" s="74"/>
      <c r="M2371" s="74"/>
      <c r="N2371" s="74"/>
      <c r="O2371" s="74"/>
      <c r="P2371" s="74"/>
      <c r="Q2371" s="74"/>
      <c r="R2371" s="74"/>
      <c r="S2371" s="74"/>
      <c r="T2371" s="74"/>
      <c r="U2371" s="74"/>
      <c r="V2371" s="74"/>
      <c r="W2371" s="74"/>
      <c r="X2371" s="74"/>
      <c r="Y2371" s="74"/>
      <c r="Z2371" s="74"/>
      <c r="AA2371" s="74"/>
      <c r="AB2371" s="74"/>
    </row>
    <row r="2372" spans="1:28" ht="12" customHeight="1">
      <c r="A2372" s="260"/>
      <c r="B2372" s="104"/>
      <c r="C2372" s="104"/>
      <c r="D2372" s="260"/>
      <c r="E2372" s="104"/>
      <c r="F2372" s="104"/>
      <c r="G2372" s="35"/>
      <c r="H2372" s="104"/>
      <c r="I2372" s="35"/>
      <c r="J2372" s="74"/>
      <c r="K2372" s="74"/>
      <c r="L2372" s="74"/>
      <c r="M2372" s="74"/>
      <c r="N2372" s="74"/>
      <c r="O2372" s="74"/>
      <c r="P2372" s="74"/>
      <c r="Q2372" s="74"/>
      <c r="R2372" s="74"/>
      <c r="S2372" s="74"/>
      <c r="T2372" s="74"/>
      <c r="U2372" s="74"/>
      <c r="V2372" s="74"/>
      <c r="W2372" s="74"/>
      <c r="X2372" s="74"/>
      <c r="Y2372" s="74"/>
      <c r="Z2372" s="74"/>
      <c r="AA2372" s="74"/>
      <c r="AB2372" s="74"/>
    </row>
    <row r="2373" spans="1:28" ht="12" customHeight="1">
      <c r="A2373" s="260"/>
      <c r="B2373" s="104"/>
      <c r="C2373" s="104"/>
      <c r="D2373" s="260"/>
      <c r="E2373" s="104"/>
      <c r="F2373" s="104"/>
      <c r="G2373" s="35"/>
      <c r="H2373" s="104"/>
      <c r="I2373" s="35"/>
      <c r="J2373" s="74"/>
      <c r="K2373" s="74"/>
      <c r="L2373" s="74"/>
      <c r="M2373" s="74"/>
      <c r="N2373" s="74"/>
      <c r="O2373" s="74"/>
      <c r="P2373" s="74"/>
      <c r="Q2373" s="74"/>
      <c r="R2373" s="74"/>
      <c r="S2373" s="74"/>
      <c r="T2373" s="74"/>
      <c r="U2373" s="74"/>
      <c r="V2373" s="74"/>
      <c r="W2373" s="74"/>
      <c r="X2373" s="74"/>
      <c r="Y2373" s="74"/>
      <c r="Z2373" s="74"/>
      <c r="AA2373" s="74"/>
      <c r="AB2373" s="74"/>
    </row>
    <row r="2374" spans="1:28" ht="12" customHeight="1">
      <c r="A2374" s="260"/>
      <c r="B2374" s="104"/>
      <c r="C2374" s="104"/>
      <c r="D2374" s="260"/>
      <c r="E2374" s="104"/>
      <c r="F2374" s="104"/>
      <c r="G2374" s="35"/>
      <c r="H2374" s="104"/>
      <c r="I2374" s="35"/>
      <c r="J2374" s="74"/>
      <c r="K2374" s="74"/>
      <c r="L2374" s="74"/>
      <c r="M2374" s="74"/>
      <c r="N2374" s="74"/>
      <c r="O2374" s="74"/>
      <c r="P2374" s="74"/>
      <c r="Q2374" s="74"/>
      <c r="R2374" s="74"/>
      <c r="S2374" s="74"/>
      <c r="T2374" s="74"/>
      <c r="U2374" s="74"/>
      <c r="V2374" s="74"/>
      <c r="W2374" s="74"/>
      <c r="X2374" s="74"/>
      <c r="Y2374" s="74"/>
      <c r="Z2374" s="74"/>
      <c r="AA2374" s="74"/>
      <c r="AB2374" s="74"/>
    </row>
    <row r="2375" spans="1:28" ht="12" customHeight="1">
      <c r="A2375" s="260"/>
      <c r="B2375" s="104"/>
      <c r="C2375" s="104"/>
      <c r="D2375" s="260"/>
      <c r="E2375" s="104"/>
      <c r="F2375" s="104"/>
      <c r="G2375" s="35"/>
      <c r="H2375" s="104"/>
      <c r="I2375" s="35"/>
      <c r="J2375" s="74"/>
      <c r="K2375" s="74"/>
      <c r="L2375" s="74"/>
      <c r="M2375" s="74"/>
      <c r="N2375" s="74"/>
      <c r="O2375" s="74"/>
      <c r="P2375" s="74"/>
      <c r="Q2375" s="74"/>
      <c r="R2375" s="74"/>
      <c r="S2375" s="74"/>
      <c r="T2375" s="74"/>
      <c r="U2375" s="74"/>
      <c r="V2375" s="74"/>
      <c r="W2375" s="74"/>
      <c r="X2375" s="74"/>
      <c r="Y2375" s="74"/>
      <c r="Z2375" s="74"/>
      <c r="AA2375" s="74"/>
      <c r="AB2375" s="74"/>
    </row>
    <row r="2376" spans="1:28" ht="12" customHeight="1">
      <c r="A2376" s="260"/>
      <c r="B2376" s="104"/>
      <c r="C2376" s="104"/>
      <c r="D2376" s="260"/>
      <c r="E2376" s="104"/>
      <c r="F2376" s="104"/>
      <c r="G2376" s="35"/>
      <c r="H2376" s="104"/>
      <c r="I2376" s="35"/>
      <c r="J2376" s="74"/>
      <c r="K2376" s="74"/>
      <c r="L2376" s="74"/>
      <c r="M2376" s="74"/>
      <c r="N2376" s="74"/>
      <c r="O2376" s="74"/>
      <c r="P2376" s="74"/>
      <c r="Q2376" s="74"/>
      <c r="R2376" s="74"/>
      <c r="S2376" s="74"/>
      <c r="T2376" s="74"/>
      <c r="U2376" s="74"/>
      <c r="V2376" s="74"/>
      <c r="W2376" s="74"/>
      <c r="X2376" s="74"/>
      <c r="Y2376" s="74"/>
      <c r="Z2376" s="74"/>
      <c r="AA2376" s="74"/>
      <c r="AB2376" s="74"/>
    </row>
    <row r="2377" spans="1:28" ht="12" customHeight="1">
      <c r="A2377" s="260"/>
      <c r="B2377" s="104"/>
      <c r="C2377" s="104"/>
      <c r="D2377" s="260"/>
      <c r="E2377" s="104"/>
      <c r="F2377" s="104"/>
      <c r="G2377" s="35"/>
      <c r="H2377" s="104"/>
      <c r="I2377" s="35"/>
      <c r="J2377" s="74"/>
      <c r="K2377" s="74"/>
      <c r="L2377" s="74"/>
      <c r="M2377" s="74"/>
      <c r="N2377" s="74"/>
      <c r="O2377" s="74"/>
      <c r="P2377" s="74"/>
      <c r="Q2377" s="74"/>
      <c r="R2377" s="74"/>
      <c r="S2377" s="74"/>
      <c r="T2377" s="74"/>
      <c r="U2377" s="74"/>
      <c r="V2377" s="74"/>
      <c r="W2377" s="74"/>
      <c r="X2377" s="74"/>
      <c r="Y2377" s="74"/>
      <c r="Z2377" s="74"/>
      <c r="AA2377" s="74"/>
      <c r="AB2377" s="74"/>
    </row>
    <row r="2378" spans="1:28" ht="12" customHeight="1">
      <c r="A2378" s="260"/>
      <c r="B2378" s="104"/>
      <c r="C2378" s="104"/>
      <c r="D2378" s="260"/>
      <c r="E2378" s="104"/>
      <c r="F2378" s="104"/>
      <c r="G2378" s="35"/>
      <c r="H2378" s="104"/>
      <c r="I2378" s="35"/>
      <c r="J2378" s="74"/>
      <c r="K2378" s="74"/>
      <c r="L2378" s="74"/>
      <c r="M2378" s="74"/>
      <c r="N2378" s="74"/>
      <c r="O2378" s="74"/>
      <c r="P2378" s="74"/>
      <c r="Q2378" s="74"/>
      <c r="R2378" s="74"/>
      <c r="S2378" s="74"/>
      <c r="T2378" s="74"/>
      <c r="U2378" s="74"/>
      <c r="V2378" s="74"/>
      <c r="W2378" s="74"/>
      <c r="X2378" s="74"/>
      <c r="Y2378" s="74"/>
      <c r="Z2378" s="74"/>
      <c r="AA2378" s="74"/>
      <c r="AB2378" s="74"/>
    </row>
    <row r="2379" spans="1:28" ht="12" customHeight="1">
      <c r="A2379" s="260"/>
      <c r="B2379" s="104"/>
      <c r="C2379" s="104"/>
      <c r="D2379" s="260"/>
      <c r="E2379" s="104"/>
      <c r="F2379" s="104"/>
      <c r="G2379" s="35"/>
      <c r="H2379" s="104"/>
      <c r="I2379" s="35"/>
      <c r="J2379" s="74"/>
      <c r="K2379" s="74"/>
      <c r="L2379" s="74"/>
      <c r="M2379" s="74"/>
      <c r="N2379" s="74"/>
      <c r="O2379" s="74"/>
      <c r="P2379" s="74"/>
      <c r="Q2379" s="74"/>
      <c r="R2379" s="74"/>
      <c r="S2379" s="74"/>
      <c r="T2379" s="74"/>
      <c r="U2379" s="74"/>
      <c r="V2379" s="74"/>
      <c r="W2379" s="74"/>
      <c r="X2379" s="74"/>
      <c r="Y2379" s="74"/>
      <c r="Z2379" s="74"/>
      <c r="AA2379" s="74"/>
      <c r="AB2379" s="74"/>
    </row>
    <row r="2380" spans="1:28" ht="12" customHeight="1">
      <c r="A2380" s="260"/>
      <c r="B2380" s="104"/>
      <c r="C2380" s="104"/>
      <c r="D2380" s="260"/>
      <c r="E2380" s="104"/>
      <c r="F2380" s="104"/>
      <c r="G2380" s="35"/>
      <c r="H2380" s="104"/>
      <c r="I2380" s="35"/>
      <c r="J2380" s="74"/>
      <c r="K2380" s="74"/>
      <c r="L2380" s="74"/>
      <c r="M2380" s="74"/>
      <c r="N2380" s="74"/>
      <c r="O2380" s="74"/>
      <c r="P2380" s="74"/>
      <c r="Q2380" s="74"/>
      <c r="R2380" s="74"/>
      <c r="S2380" s="74"/>
      <c r="T2380" s="74"/>
      <c r="U2380" s="74"/>
      <c r="V2380" s="74"/>
      <c r="W2380" s="74"/>
      <c r="X2380" s="74"/>
      <c r="Y2380" s="74"/>
      <c r="Z2380" s="74"/>
      <c r="AA2380" s="74"/>
      <c r="AB2380" s="74"/>
    </row>
    <row r="2381" spans="1:28" ht="12" customHeight="1">
      <c r="A2381" s="260"/>
      <c r="B2381" s="104"/>
      <c r="C2381" s="104"/>
      <c r="D2381" s="260"/>
      <c r="E2381" s="104"/>
      <c r="F2381" s="104"/>
      <c r="G2381" s="35"/>
      <c r="H2381" s="104"/>
      <c r="I2381" s="35"/>
      <c r="J2381" s="74"/>
      <c r="K2381" s="74"/>
      <c r="L2381" s="74"/>
      <c r="M2381" s="74"/>
      <c r="N2381" s="74"/>
      <c r="O2381" s="74"/>
      <c r="P2381" s="74"/>
      <c r="Q2381" s="74"/>
      <c r="R2381" s="74"/>
      <c r="S2381" s="74"/>
      <c r="T2381" s="74"/>
      <c r="U2381" s="74"/>
      <c r="V2381" s="74"/>
      <c r="W2381" s="74"/>
      <c r="X2381" s="74"/>
      <c r="Y2381" s="74"/>
      <c r="Z2381" s="74"/>
      <c r="AA2381" s="74"/>
      <c r="AB2381" s="74"/>
    </row>
    <row r="2382" spans="1:28" ht="12" customHeight="1">
      <c r="A2382" s="260"/>
      <c r="B2382" s="104"/>
      <c r="C2382" s="104"/>
      <c r="D2382" s="260"/>
      <c r="E2382" s="104"/>
      <c r="F2382" s="104"/>
      <c r="G2382" s="35"/>
      <c r="H2382" s="104"/>
      <c r="I2382" s="35"/>
      <c r="J2382" s="74"/>
      <c r="K2382" s="74"/>
      <c r="L2382" s="74"/>
      <c r="M2382" s="74"/>
      <c r="N2382" s="74"/>
      <c r="O2382" s="74"/>
      <c r="P2382" s="74"/>
      <c r="Q2382" s="74"/>
      <c r="R2382" s="74"/>
      <c r="S2382" s="74"/>
      <c r="T2382" s="74"/>
      <c r="U2382" s="74"/>
      <c r="V2382" s="74"/>
      <c r="W2382" s="74"/>
      <c r="X2382" s="74"/>
      <c r="Y2382" s="74"/>
      <c r="Z2382" s="74"/>
      <c r="AA2382" s="74"/>
      <c r="AB2382" s="74"/>
    </row>
    <row r="2383" spans="1:28" ht="12" customHeight="1">
      <c r="A2383" s="260"/>
      <c r="B2383" s="104"/>
      <c r="C2383" s="104"/>
      <c r="D2383" s="260"/>
      <c r="E2383" s="104"/>
      <c r="F2383" s="104"/>
      <c r="G2383" s="35"/>
      <c r="H2383" s="104"/>
      <c r="I2383" s="35"/>
      <c r="J2383" s="74"/>
      <c r="K2383" s="74"/>
      <c r="L2383" s="74"/>
      <c r="M2383" s="74"/>
      <c r="N2383" s="74"/>
      <c r="O2383" s="74"/>
      <c r="P2383" s="74"/>
      <c r="Q2383" s="74"/>
      <c r="R2383" s="74"/>
      <c r="S2383" s="74"/>
      <c r="T2383" s="74"/>
      <c r="U2383" s="74"/>
      <c r="V2383" s="74"/>
      <c r="W2383" s="74"/>
      <c r="X2383" s="74"/>
      <c r="Y2383" s="74"/>
      <c r="Z2383" s="74"/>
      <c r="AA2383" s="74"/>
      <c r="AB2383" s="74"/>
    </row>
    <row r="2384" spans="1:28" ht="12" customHeight="1">
      <c r="A2384" s="260"/>
      <c r="B2384" s="104"/>
      <c r="C2384" s="104"/>
      <c r="D2384" s="260"/>
      <c r="E2384" s="104"/>
      <c r="F2384" s="104"/>
      <c r="G2384" s="35"/>
      <c r="H2384" s="104"/>
      <c r="I2384" s="35"/>
      <c r="J2384" s="74"/>
      <c r="K2384" s="74"/>
      <c r="L2384" s="74"/>
      <c r="M2384" s="74"/>
      <c r="N2384" s="74"/>
      <c r="O2384" s="74"/>
      <c r="P2384" s="74"/>
      <c r="Q2384" s="74"/>
      <c r="R2384" s="74"/>
      <c r="S2384" s="74"/>
      <c r="T2384" s="74"/>
      <c r="U2384" s="74"/>
      <c r="V2384" s="74"/>
      <c r="W2384" s="74"/>
      <c r="X2384" s="74"/>
      <c r="Y2384" s="74"/>
      <c r="Z2384" s="74"/>
      <c r="AA2384" s="74"/>
      <c r="AB2384" s="74"/>
    </row>
    <row r="2385" spans="1:28" ht="12" customHeight="1">
      <c r="A2385" s="260"/>
      <c r="B2385" s="104"/>
      <c r="C2385" s="104"/>
      <c r="D2385" s="260"/>
      <c r="E2385" s="104"/>
      <c r="F2385" s="104"/>
      <c r="G2385" s="35"/>
      <c r="H2385" s="104"/>
      <c r="I2385" s="35"/>
      <c r="J2385" s="74"/>
      <c r="K2385" s="74"/>
      <c r="L2385" s="74"/>
      <c r="M2385" s="74"/>
      <c r="N2385" s="74"/>
      <c r="O2385" s="74"/>
      <c r="P2385" s="74"/>
      <c r="Q2385" s="74"/>
      <c r="R2385" s="74"/>
      <c r="S2385" s="74"/>
      <c r="T2385" s="74"/>
      <c r="U2385" s="74"/>
      <c r="V2385" s="74"/>
      <c r="W2385" s="74"/>
      <c r="X2385" s="74"/>
      <c r="Y2385" s="74"/>
      <c r="Z2385" s="74"/>
      <c r="AA2385" s="74"/>
      <c r="AB2385" s="74"/>
    </row>
    <row r="2386" spans="1:28" ht="12" customHeight="1">
      <c r="A2386" s="260"/>
      <c r="B2386" s="104"/>
      <c r="C2386" s="104"/>
      <c r="D2386" s="260"/>
      <c r="E2386" s="104"/>
      <c r="F2386" s="104"/>
      <c r="G2386" s="35"/>
      <c r="H2386" s="104"/>
      <c r="I2386" s="35"/>
      <c r="J2386" s="74"/>
      <c r="K2386" s="74"/>
      <c r="L2386" s="74"/>
      <c r="M2386" s="74"/>
      <c r="N2386" s="74"/>
      <c r="O2386" s="74"/>
      <c r="P2386" s="74"/>
      <c r="Q2386" s="74"/>
      <c r="R2386" s="74"/>
      <c r="S2386" s="74"/>
      <c r="T2386" s="74"/>
      <c r="U2386" s="74"/>
      <c r="V2386" s="74"/>
      <c r="W2386" s="74"/>
      <c r="X2386" s="74"/>
      <c r="Y2386" s="74"/>
      <c r="Z2386" s="74"/>
      <c r="AA2386" s="74"/>
      <c r="AB2386" s="74"/>
    </row>
    <row r="2387" spans="1:28" ht="12" customHeight="1">
      <c r="A2387" s="260"/>
      <c r="B2387" s="104"/>
      <c r="C2387" s="104"/>
      <c r="D2387" s="260"/>
      <c r="E2387" s="104"/>
      <c r="F2387" s="104"/>
      <c r="G2387" s="35"/>
      <c r="H2387" s="104"/>
      <c r="I2387" s="35"/>
      <c r="J2387" s="74"/>
      <c r="K2387" s="74"/>
      <c r="L2387" s="74"/>
      <c r="M2387" s="74"/>
      <c r="N2387" s="74"/>
      <c r="O2387" s="74"/>
      <c r="P2387" s="74"/>
      <c r="Q2387" s="74"/>
      <c r="R2387" s="74"/>
      <c r="S2387" s="74"/>
      <c r="T2387" s="74"/>
      <c r="U2387" s="74"/>
      <c r="V2387" s="74"/>
      <c r="W2387" s="74"/>
      <c r="X2387" s="74"/>
      <c r="Y2387" s="74"/>
      <c r="Z2387" s="74"/>
      <c r="AA2387" s="74"/>
      <c r="AB2387" s="74"/>
    </row>
    <row r="2388" spans="1:28" ht="12" customHeight="1">
      <c r="A2388" s="260"/>
      <c r="B2388" s="104"/>
      <c r="C2388" s="104"/>
      <c r="D2388" s="260"/>
      <c r="E2388" s="104"/>
      <c r="F2388" s="104"/>
      <c r="G2388" s="35"/>
      <c r="H2388" s="104"/>
      <c r="I2388" s="35"/>
      <c r="J2388" s="74"/>
      <c r="K2388" s="74"/>
      <c r="L2388" s="74"/>
      <c r="M2388" s="74"/>
      <c r="N2388" s="74"/>
      <c r="O2388" s="74"/>
      <c r="P2388" s="74"/>
      <c r="Q2388" s="74"/>
      <c r="R2388" s="74"/>
      <c r="S2388" s="74"/>
      <c r="T2388" s="74"/>
      <c r="U2388" s="74"/>
      <c r="V2388" s="74"/>
      <c r="W2388" s="74"/>
      <c r="X2388" s="74"/>
      <c r="Y2388" s="74"/>
      <c r="Z2388" s="74"/>
      <c r="AA2388" s="74"/>
      <c r="AB2388" s="74"/>
    </row>
    <row r="2389" spans="1:28" ht="12" customHeight="1">
      <c r="A2389" s="260"/>
      <c r="B2389" s="104"/>
      <c r="C2389" s="104"/>
      <c r="D2389" s="260"/>
      <c r="E2389" s="104"/>
      <c r="F2389" s="104"/>
      <c r="G2389" s="35"/>
      <c r="H2389" s="104"/>
      <c r="I2389" s="35"/>
      <c r="J2389" s="74"/>
      <c r="K2389" s="74"/>
      <c r="L2389" s="74"/>
      <c r="M2389" s="74"/>
      <c r="N2389" s="74"/>
      <c r="O2389" s="74"/>
      <c r="P2389" s="74"/>
      <c r="Q2389" s="74"/>
      <c r="R2389" s="74"/>
      <c r="S2389" s="74"/>
      <c r="T2389" s="74"/>
      <c r="U2389" s="74"/>
      <c r="V2389" s="74"/>
      <c r="W2389" s="74"/>
      <c r="X2389" s="74"/>
      <c r="Y2389" s="74"/>
      <c r="Z2389" s="74"/>
      <c r="AA2389" s="74"/>
      <c r="AB2389" s="74"/>
    </row>
    <row r="2390" spans="1:28" ht="12" customHeight="1">
      <c r="A2390" s="260"/>
      <c r="B2390" s="104"/>
      <c r="C2390" s="104"/>
      <c r="D2390" s="260"/>
      <c r="E2390" s="104"/>
      <c r="F2390" s="104"/>
      <c r="G2390" s="35"/>
      <c r="H2390" s="104"/>
      <c r="I2390" s="35"/>
      <c r="J2390" s="74"/>
      <c r="K2390" s="74"/>
      <c r="L2390" s="74"/>
      <c r="M2390" s="74"/>
      <c r="N2390" s="74"/>
      <c r="O2390" s="74"/>
      <c r="P2390" s="74"/>
      <c r="Q2390" s="74"/>
      <c r="R2390" s="74"/>
      <c r="S2390" s="74"/>
      <c r="T2390" s="74"/>
      <c r="U2390" s="74"/>
      <c r="V2390" s="74"/>
      <c r="W2390" s="74"/>
      <c r="X2390" s="74"/>
      <c r="Y2390" s="74"/>
      <c r="Z2390" s="74"/>
      <c r="AA2390" s="74"/>
      <c r="AB2390" s="74"/>
    </row>
    <row r="2391" spans="1:28" ht="12" customHeight="1">
      <c r="A2391" s="260"/>
      <c r="B2391" s="104"/>
      <c r="C2391" s="104"/>
      <c r="D2391" s="260"/>
      <c r="E2391" s="104"/>
      <c r="F2391" s="104"/>
      <c r="G2391" s="35"/>
      <c r="H2391" s="104"/>
      <c r="I2391" s="35"/>
      <c r="J2391" s="74"/>
      <c r="K2391" s="74"/>
      <c r="L2391" s="74"/>
      <c r="M2391" s="74"/>
      <c r="N2391" s="74"/>
      <c r="O2391" s="74"/>
      <c r="P2391" s="74"/>
      <c r="Q2391" s="74"/>
      <c r="R2391" s="74"/>
      <c r="S2391" s="74"/>
      <c r="T2391" s="74"/>
      <c r="U2391" s="74"/>
      <c r="V2391" s="74"/>
      <c r="W2391" s="74"/>
      <c r="X2391" s="74"/>
      <c r="Y2391" s="74"/>
      <c r="Z2391" s="74"/>
      <c r="AA2391" s="74"/>
      <c r="AB2391" s="74"/>
    </row>
    <row r="2392" spans="1:28" ht="12" customHeight="1">
      <c r="A2392" s="260"/>
      <c r="B2392" s="104"/>
      <c r="C2392" s="104"/>
      <c r="D2392" s="260"/>
      <c r="E2392" s="104"/>
      <c r="F2392" s="104"/>
      <c r="G2392" s="35"/>
      <c r="H2392" s="104"/>
      <c r="I2392" s="35"/>
      <c r="J2392" s="74"/>
      <c r="K2392" s="74"/>
      <c r="L2392" s="74"/>
      <c r="M2392" s="74"/>
      <c r="N2392" s="74"/>
      <c r="O2392" s="74"/>
      <c r="P2392" s="74"/>
      <c r="Q2392" s="74"/>
      <c r="R2392" s="74"/>
      <c r="S2392" s="74"/>
      <c r="T2392" s="74"/>
      <c r="U2392" s="74"/>
      <c r="V2392" s="74"/>
      <c r="W2392" s="74"/>
      <c r="X2392" s="74"/>
      <c r="Y2392" s="74"/>
      <c r="Z2392" s="74"/>
      <c r="AA2392" s="74"/>
      <c r="AB2392" s="74"/>
    </row>
    <row r="2393" spans="1:28" ht="12" customHeight="1">
      <c r="A2393" s="260"/>
      <c r="B2393" s="104"/>
      <c r="C2393" s="104"/>
      <c r="D2393" s="260"/>
      <c r="E2393" s="104"/>
      <c r="F2393" s="104"/>
      <c r="G2393" s="35"/>
      <c r="H2393" s="104"/>
      <c r="I2393" s="35"/>
      <c r="J2393" s="74"/>
      <c r="K2393" s="74"/>
      <c r="L2393" s="74"/>
      <c r="M2393" s="74"/>
      <c r="N2393" s="74"/>
      <c r="O2393" s="74"/>
      <c r="P2393" s="74"/>
      <c r="Q2393" s="74"/>
      <c r="R2393" s="74"/>
      <c r="S2393" s="74"/>
      <c r="T2393" s="74"/>
      <c r="U2393" s="74"/>
      <c r="V2393" s="74"/>
      <c r="W2393" s="74"/>
      <c r="X2393" s="74"/>
      <c r="Y2393" s="74"/>
      <c r="Z2393" s="74"/>
      <c r="AA2393" s="74"/>
      <c r="AB2393" s="74"/>
    </row>
    <row r="2394" spans="1:28" ht="12" customHeight="1">
      <c r="A2394" s="260"/>
      <c r="B2394" s="104"/>
      <c r="C2394" s="104"/>
      <c r="D2394" s="260"/>
      <c r="E2394" s="104"/>
      <c r="F2394" s="104"/>
      <c r="G2394" s="35"/>
      <c r="H2394" s="104"/>
      <c r="I2394" s="35"/>
      <c r="J2394" s="74"/>
      <c r="K2394" s="74"/>
      <c r="L2394" s="74"/>
      <c r="M2394" s="74"/>
      <c r="N2394" s="74"/>
      <c r="O2394" s="74"/>
      <c r="P2394" s="74"/>
      <c r="Q2394" s="74"/>
      <c r="R2394" s="74"/>
      <c r="S2394" s="74"/>
      <c r="T2394" s="74"/>
      <c r="U2394" s="74"/>
      <c r="V2394" s="74"/>
      <c r="W2394" s="74"/>
      <c r="X2394" s="74"/>
      <c r="Y2394" s="74"/>
      <c r="Z2394" s="74"/>
      <c r="AA2394" s="74"/>
      <c r="AB2394" s="74"/>
    </row>
    <row r="2395" spans="1:28" ht="12" customHeight="1">
      <c r="A2395" s="260"/>
      <c r="B2395" s="104"/>
      <c r="C2395" s="104"/>
      <c r="D2395" s="260"/>
      <c r="E2395" s="104"/>
      <c r="F2395" s="104"/>
      <c r="G2395" s="35"/>
      <c r="H2395" s="104"/>
      <c r="I2395" s="35"/>
      <c r="J2395" s="74"/>
      <c r="K2395" s="74"/>
      <c r="L2395" s="74"/>
      <c r="M2395" s="74"/>
      <c r="N2395" s="74"/>
      <c r="O2395" s="74"/>
      <c r="P2395" s="74"/>
      <c r="Q2395" s="74"/>
      <c r="R2395" s="74"/>
      <c r="S2395" s="74"/>
      <c r="T2395" s="74"/>
      <c r="U2395" s="74"/>
      <c r="V2395" s="74"/>
      <c r="W2395" s="74"/>
      <c r="X2395" s="74"/>
      <c r="Y2395" s="74"/>
      <c r="Z2395" s="74"/>
      <c r="AA2395" s="74"/>
      <c r="AB2395" s="74"/>
    </row>
    <row r="2396" spans="1:28" ht="12" customHeight="1">
      <c r="A2396" s="260"/>
      <c r="B2396" s="104"/>
      <c r="C2396" s="104"/>
      <c r="D2396" s="260"/>
      <c r="E2396" s="104"/>
      <c r="F2396" s="104"/>
      <c r="G2396" s="35"/>
      <c r="H2396" s="104"/>
      <c r="I2396" s="35"/>
      <c r="J2396" s="74"/>
      <c r="K2396" s="74"/>
      <c r="L2396" s="74"/>
      <c r="M2396" s="74"/>
      <c r="N2396" s="74"/>
      <c r="O2396" s="74"/>
      <c r="P2396" s="74"/>
      <c r="Q2396" s="74"/>
      <c r="R2396" s="74"/>
      <c r="S2396" s="74"/>
      <c r="T2396" s="74"/>
      <c r="U2396" s="74"/>
      <c r="V2396" s="74"/>
      <c r="W2396" s="74"/>
      <c r="X2396" s="74"/>
      <c r="Y2396" s="74"/>
      <c r="Z2396" s="74"/>
      <c r="AA2396" s="74"/>
      <c r="AB2396" s="74"/>
    </row>
    <row r="2397" spans="1:28" ht="12" customHeight="1">
      <c r="A2397" s="260"/>
      <c r="B2397" s="104"/>
      <c r="C2397" s="104"/>
      <c r="D2397" s="260"/>
      <c r="E2397" s="104"/>
      <c r="F2397" s="104"/>
      <c r="G2397" s="35"/>
      <c r="H2397" s="104"/>
      <c r="I2397" s="35"/>
      <c r="J2397" s="74"/>
      <c r="K2397" s="74"/>
      <c r="L2397" s="74"/>
      <c r="M2397" s="74"/>
      <c r="N2397" s="74"/>
      <c r="O2397" s="74"/>
      <c r="P2397" s="74"/>
      <c r="Q2397" s="74"/>
      <c r="R2397" s="74"/>
      <c r="S2397" s="74"/>
      <c r="T2397" s="74"/>
      <c r="U2397" s="74"/>
      <c r="V2397" s="74"/>
      <c r="W2397" s="74"/>
      <c r="X2397" s="74"/>
      <c r="Y2397" s="74"/>
      <c r="Z2397" s="74"/>
      <c r="AA2397" s="74"/>
      <c r="AB2397" s="74"/>
    </row>
    <row r="2398" spans="1:28" ht="12" customHeight="1">
      <c r="A2398" s="260"/>
      <c r="B2398" s="104"/>
      <c r="C2398" s="104"/>
      <c r="D2398" s="260"/>
      <c r="E2398" s="104"/>
      <c r="F2398" s="104"/>
      <c r="G2398" s="35"/>
      <c r="H2398" s="104"/>
      <c r="I2398" s="35"/>
      <c r="J2398" s="74"/>
      <c r="K2398" s="74"/>
      <c r="L2398" s="74"/>
      <c r="M2398" s="74"/>
      <c r="N2398" s="74"/>
      <c r="O2398" s="74"/>
      <c r="P2398" s="74"/>
      <c r="Q2398" s="74"/>
      <c r="R2398" s="74"/>
      <c r="S2398" s="74"/>
      <c r="T2398" s="74"/>
      <c r="U2398" s="74"/>
      <c r="V2398" s="74"/>
      <c r="W2398" s="74"/>
      <c r="X2398" s="74"/>
      <c r="Y2398" s="74"/>
      <c r="Z2398" s="74"/>
      <c r="AA2398" s="74"/>
      <c r="AB2398" s="74"/>
    </row>
    <row r="2399" spans="1:28" ht="12" customHeight="1">
      <c r="A2399" s="260"/>
      <c r="B2399" s="104"/>
      <c r="C2399" s="104"/>
      <c r="D2399" s="260"/>
      <c r="E2399" s="104"/>
      <c r="F2399" s="104"/>
      <c r="G2399" s="35"/>
      <c r="H2399" s="104"/>
      <c r="I2399" s="35"/>
      <c r="J2399" s="74"/>
      <c r="K2399" s="74"/>
      <c r="L2399" s="74"/>
      <c r="M2399" s="74"/>
      <c r="N2399" s="74"/>
      <c r="O2399" s="74"/>
      <c r="P2399" s="74"/>
      <c r="Q2399" s="74"/>
      <c r="R2399" s="74"/>
      <c r="S2399" s="74"/>
      <c r="T2399" s="74"/>
      <c r="U2399" s="74"/>
      <c r="V2399" s="74"/>
      <c r="W2399" s="74"/>
      <c r="X2399" s="74"/>
      <c r="Y2399" s="74"/>
      <c r="Z2399" s="74"/>
      <c r="AA2399" s="74"/>
      <c r="AB2399" s="74"/>
    </row>
    <row r="2400" spans="1:28" ht="12" customHeight="1">
      <c r="A2400" s="260"/>
      <c r="B2400" s="104"/>
      <c r="C2400" s="104"/>
      <c r="D2400" s="260"/>
      <c r="E2400" s="104"/>
      <c r="F2400" s="104"/>
      <c r="G2400" s="35"/>
      <c r="H2400" s="104"/>
      <c r="I2400" s="35"/>
      <c r="J2400" s="74"/>
      <c r="K2400" s="74"/>
      <c r="L2400" s="74"/>
      <c r="M2400" s="74"/>
      <c r="N2400" s="74"/>
      <c r="O2400" s="74"/>
      <c r="P2400" s="74"/>
      <c r="Q2400" s="74"/>
      <c r="R2400" s="74"/>
      <c r="S2400" s="74"/>
      <c r="T2400" s="74"/>
      <c r="U2400" s="74"/>
      <c r="V2400" s="74"/>
      <c r="W2400" s="74"/>
      <c r="X2400" s="74"/>
      <c r="Y2400" s="74"/>
      <c r="Z2400" s="74"/>
      <c r="AA2400" s="74"/>
      <c r="AB2400" s="74"/>
    </row>
    <row r="2401" spans="1:28" ht="12" customHeight="1">
      <c r="A2401" s="260"/>
      <c r="B2401" s="104"/>
      <c r="C2401" s="104"/>
      <c r="D2401" s="260"/>
      <c r="E2401" s="104"/>
      <c r="F2401" s="104"/>
      <c r="G2401" s="35"/>
      <c r="H2401" s="104"/>
      <c r="I2401" s="35"/>
      <c r="J2401" s="74"/>
      <c r="K2401" s="74"/>
      <c r="L2401" s="74"/>
      <c r="M2401" s="74"/>
      <c r="N2401" s="74"/>
      <c r="O2401" s="74"/>
      <c r="P2401" s="74"/>
      <c r="Q2401" s="74"/>
      <c r="R2401" s="74"/>
      <c r="S2401" s="74"/>
      <c r="T2401" s="74"/>
      <c r="U2401" s="74"/>
      <c r="V2401" s="74"/>
      <c r="W2401" s="74"/>
      <c r="X2401" s="74"/>
      <c r="Y2401" s="74"/>
      <c r="Z2401" s="74"/>
      <c r="AA2401" s="74"/>
      <c r="AB2401" s="74"/>
    </row>
    <row r="2402" spans="1:28" ht="12" customHeight="1">
      <c r="A2402" s="260"/>
      <c r="B2402" s="104"/>
      <c r="C2402" s="104"/>
      <c r="D2402" s="260"/>
      <c r="E2402" s="104"/>
      <c r="F2402" s="104"/>
      <c r="G2402" s="35"/>
      <c r="H2402" s="104"/>
      <c r="I2402" s="35"/>
      <c r="J2402" s="74"/>
      <c r="K2402" s="74"/>
      <c r="L2402" s="74"/>
      <c r="M2402" s="74"/>
      <c r="N2402" s="74"/>
      <c r="O2402" s="74"/>
      <c r="P2402" s="74"/>
      <c r="Q2402" s="74"/>
      <c r="R2402" s="74"/>
      <c r="S2402" s="74"/>
      <c r="T2402" s="74"/>
      <c r="U2402" s="74"/>
      <c r="V2402" s="74"/>
      <c r="W2402" s="74"/>
      <c r="X2402" s="74"/>
      <c r="Y2402" s="74"/>
      <c r="Z2402" s="74"/>
      <c r="AA2402" s="74"/>
      <c r="AB2402" s="74"/>
    </row>
    <row r="2403" spans="1:28" ht="12" customHeight="1">
      <c r="A2403" s="260"/>
      <c r="B2403" s="104"/>
      <c r="C2403" s="104"/>
      <c r="D2403" s="260"/>
      <c r="E2403" s="104"/>
      <c r="F2403" s="104"/>
      <c r="G2403" s="35"/>
      <c r="H2403" s="104"/>
      <c r="I2403" s="35"/>
      <c r="J2403" s="74"/>
      <c r="K2403" s="74"/>
      <c r="L2403" s="74"/>
      <c r="M2403" s="74"/>
      <c r="N2403" s="74"/>
      <c r="O2403" s="74"/>
      <c r="P2403" s="74"/>
      <c r="Q2403" s="74"/>
      <c r="R2403" s="74"/>
      <c r="S2403" s="74"/>
      <c r="T2403" s="74"/>
      <c r="U2403" s="74"/>
      <c r="V2403" s="74"/>
      <c r="W2403" s="74"/>
      <c r="X2403" s="74"/>
      <c r="Y2403" s="74"/>
      <c r="Z2403" s="74"/>
      <c r="AA2403" s="74"/>
      <c r="AB2403" s="74"/>
    </row>
    <row r="2404" spans="1:28" ht="12" customHeight="1">
      <c r="A2404" s="260"/>
      <c r="B2404" s="104"/>
      <c r="C2404" s="104"/>
      <c r="D2404" s="260"/>
      <c r="E2404" s="104"/>
      <c r="F2404" s="104"/>
      <c r="G2404" s="35"/>
      <c r="H2404" s="104"/>
      <c r="I2404" s="35"/>
      <c r="J2404" s="74"/>
      <c r="K2404" s="74"/>
      <c r="L2404" s="74"/>
      <c r="M2404" s="74"/>
      <c r="N2404" s="74"/>
      <c r="O2404" s="74"/>
      <c r="P2404" s="74"/>
      <c r="Q2404" s="74"/>
      <c r="R2404" s="74"/>
      <c r="S2404" s="74"/>
      <c r="T2404" s="74"/>
      <c r="U2404" s="74"/>
      <c r="V2404" s="74"/>
      <c r="W2404" s="74"/>
      <c r="X2404" s="74"/>
      <c r="Y2404" s="74"/>
      <c r="Z2404" s="74"/>
      <c r="AA2404" s="74"/>
      <c r="AB2404" s="74"/>
    </row>
    <row r="2405" spans="1:28" ht="12" customHeight="1">
      <c r="A2405" s="260"/>
      <c r="B2405" s="104"/>
      <c r="C2405" s="104"/>
      <c r="D2405" s="260"/>
      <c r="E2405" s="104"/>
      <c r="F2405" s="104"/>
      <c r="G2405" s="35"/>
      <c r="H2405" s="104"/>
      <c r="I2405" s="35"/>
      <c r="J2405" s="74"/>
      <c r="K2405" s="74"/>
      <c r="L2405" s="74"/>
      <c r="M2405" s="74"/>
      <c r="N2405" s="74"/>
      <c r="O2405" s="74"/>
      <c r="P2405" s="74"/>
      <c r="Q2405" s="74"/>
      <c r="R2405" s="74"/>
      <c r="S2405" s="74"/>
      <c r="T2405" s="74"/>
      <c r="U2405" s="74"/>
      <c r="V2405" s="74"/>
      <c r="W2405" s="74"/>
      <c r="X2405" s="74"/>
      <c r="Y2405" s="74"/>
      <c r="Z2405" s="74"/>
      <c r="AA2405" s="74"/>
      <c r="AB2405" s="74"/>
    </row>
    <row r="2406" spans="1:28" ht="12" customHeight="1">
      <c r="A2406" s="260"/>
      <c r="B2406" s="104"/>
      <c r="C2406" s="104"/>
      <c r="D2406" s="260"/>
      <c r="E2406" s="104"/>
      <c r="F2406" s="104"/>
      <c r="G2406" s="35"/>
      <c r="H2406" s="104"/>
      <c r="I2406" s="35"/>
      <c r="J2406" s="74"/>
      <c r="K2406" s="74"/>
      <c r="L2406" s="74"/>
      <c r="M2406" s="74"/>
      <c r="N2406" s="74"/>
      <c r="O2406" s="74"/>
      <c r="P2406" s="74"/>
      <c r="Q2406" s="74"/>
      <c r="R2406" s="74"/>
      <c r="S2406" s="74"/>
      <c r="T2406" s="74"/>
      <c r="U2406" s="74"/>
      <c r="V2406" s="74"/>
      <c r="W2406" s="74"/>
      <c r="X2406" s="74"/>
      <c r="Y2406" s="74"/>
      <c r="Z2406" s="74"/>
      <c r="AA2406" s="74"/>
      <c r="AB2406" s="74"/>
    </row>
    <row r="2407" spans="1:28" ht="12" customHeight="1">
      <c r="A2407" s="260"/>
      <c r="B2407" s="104"/>
      <c r="C2407" s="104"/>
      <c r="D2407" s="260"/>
      <c r="E2407" s="104"/>
      <c r="F2407" s="104"/>
      <c r="G2407" s="35"/>
      <c r="H2407" s="104"/>
      <c r="I2407" s="35"/>
      <c r="J2407" s="74"/>
      <c r="K2407" s="74"/>
      <c r="L2407" s="74"/>
      <c r="M2407" s="74"/>
      <c r="N2407" s="74"/>
      <c r="O2407" s="74"/>
      <c r="P2407" s="74"/>
      <c r="Q2407" s="74"/>
      <c r="R2407" s="74"/>
      <c r="S2407" s="74"/>
      <c r="T2407" s="74"/>
      <c r="U2407" s="74"/>
      <c r="V2407" s="74"/>
      <c r="W2407" s="74"/>
      <c r="X2407" s="74"/>
      <c r="Y2407" s="74"/>
      <c r="Z2407" s="74"/>
      <c r="AA2407" s="74"/>
      <c r="AB2407" s="74"/>
    </row>
    <row r="2408" spans="1:28" ht="12" customHeight="1">
      <c r="A2408" s="260"/>
      <c r="B2408" s="104"/>
      <c r="C2408" s="104"/>
      <c r="D2408" s="260"/>
      <c r="E2408" s="104"/>
      <c r="F2408" s="104"/>
      <c r="G2408" s="35"/>
      <c r="H2408" s="104"/>
      <c r="I2408" s="35"/>
      <c r="J2408" s="74"/>
      <c r="K2408" s="74"/>
      <c r="L2408" s="74"/>
      <c r="M2408" s="74"/>
      <c r="N2408" s="74"/>
      <c r="O2408" s="74"/>
      <c r="P2408" s="74"/>
      <c r="Q2408" s="74"/>
      <c r="R2408" s="74"/>
      <c r="S2408" s="74"/>
      <c r="T2408" s="74"/>
      <c r="U2408" s="74"/>
      <c r="V2408" s="74"/>
      <c r="W2408" s="74"/>
      <c r="X2408" s="74"/>
      <c r="Y2408" s="74"/>
      <c r="Z2408" s="74"/>
      <c r="AA2408" s="74"/>
      <c r="AB2408" s="74"/>
    </row>
    <row r="2409" spans="1:28" ht="12" customHeight="1">
      <c r="A2409" s="260"/>
      <c r="B2409" s="104"/>
      <c r="C2409" s="104"/>
      <c r="D2409" s="260"/>
      <c r="E2409" s="104"/>
      <c r="F2409" s="104"/>
      <c r="G2409" s="35"/>
      <c r="H2409" s="104"/>
      <c r="I2409" s="35"/>
      <c r="J2409" s="74"/>
      <c r="K2409" s="74"/>
      <c r="L2409" s="74"/>
      <c r="M2409" s="74"/>
      <c r="N2409" s="74"/>
      <c r="O2409" s="74"/>
      <c r="P2409" s="74"/>
      <c r="Q2409" s="74"/>
      <c r="R2409" s="74"/>
      <c r="S2409" s="74"/>
      <c r="T2409" s="74"/>
      <c r="U2409" s="74"/>
      <c r="V2409" s="74"/>
      <c r="W2409" s="74"/>
      <c r="X2409" s="74"/>
      <c r="Y2409" s="74"/>
      <c r="Z2409" s="74"/>
      <c r="AA2409" s="74"/>
      <c r="AB2409" s="74"/>
    </row>
    <row r="2410" spans="1:28" ht="12" customHeight="1">
      <c r="A2410" s="260"/>
      <c r="B2410" s="104"/>
      <c r="C2410" s="104"/>
      <c r="D2410" s="260"/>
      <c r="E2410" s="104"/>
      <c r="F2410" s="104"/>
      <c r="G2410" s="35"/>
      <c r="H2410" s="104"/>
      <c r="I2410" s="35"/>
      <c r="J2410" s="74"/>
      <c r="K2410" s="74"/>
      <c r="L2410" s="74"/>
      <c r="M2410" s="74"/>
      <c r="N2410" s="74"/>
      <c r="O2410" s="74"/>
      <c r="P2410" s="74"/>
      <c r="Q2410" s="74"/>
      <c r="R2410" s="74"/>
      <c r="S2410" s="74"/>
      <c r="T2410" s="74"/>
      <c r="U2410" s="74"/>
      <c r="V2410" s="74"/>
      <c r="W2410" s="74"/>
      <c r="X2410" s="74"/>
      <c r="Y2410" s="74"/>
      <c r="Z2410" s="74"/>
      <c r="AA2410" s="74"/>
      <c r="AB2410" s="74"/>
    </row>
    <row r="2411" spans="1:28" ht="12" customHeight="1">
      <c r="A2411" s="260"/>
      <c r="B2411" s="104"/>
      <c r="C2411" s="104"/>
      <c r="D2411" s="260"/>
      <c r="E2411" s="104"/>
      <c r="F2411" s="104"/>
      <c r="G2411" s="35"/>
      <c r="H2411" s="104"/>
      <c r="I2411" s="35"/>
      <c r="J2411" s="74"/>
      <c r="K2411" s="74"/>
      <c r="L2411" s="74"/>
      <c r="M2411" s="74"/>
      <c r="N2411" s="74"/>
      <c r="O2411" s="74"/>
      <c r="P2411" s="74"/>
      <c r="Q2411" s="74"/>
      <c r="R2411" s="74"/>
      <c r="S2411" s="74"/>
      <c r="T2411" s="74"/>
      <c r="U2411" s="74"/>
      <c r="V2411" s="74"/>
      <c r="W2411" s="74"/>
      <c r="X2411" s="74"/>
      <c r="Y2411" s="74"/>
      <c r="Z2411" s="74"/>
      <c r="AA2411" s="74"/>
      <c r="AB2411" s="74"/>
    </row>
    <row r="2412" spans="1:28" ht="12" customHeight="1">
      <c r="A2412" s="260"/>
      <c r="B2412" s="104"/>
      <c r="C2412" s="104"/>
      <c r="D2412" s="260"/>
      <c r="E2412" s="104"/>
      <c r="F2412" s="104"/>
      <c r="G2412" s="35"/>
      <c r="H2412" s="104"/>
      <c r="I2412" s="35"/>
      <c r="J2412" s="74"/>
      <c r="K2412" s="74"/>
      <c r="L2412" s="74"/>
      <c r="M2412" s="74"/>
      <c r="N2412" s="74"/>
      <c r="O2412" s="74"/>
      <c r="P2412" s="74"/>
      <c r="Q2412" s="74"/>
      <c r="R2412" s="74"/>
      <c r="S2412" s="74"/>
      <c r="T2412" s="74"/>
      <c r="U2412" s="74"/>
      <c r="V2412" s="74"/>
      <c r="W2412" s="74"/>
      <c r="X2412" s="74"/>
      <c r="Y2412" s="74"/>
      <c r="Z2412" s="74"/>
      <c r="AA2412" s="74"/>
      <c r="AB2412" s="74"/>
    </row>
    <row r="2413" spans="1:28" ht="12" customHeight="1">
      <c r="A2413" s="260"/>
      <c r="B2413" s="104"/>
      <c r="C2413" s="104"/>
      <c r="D2413" s="260"/>
      <c r="E2413" s="104"/>
      <c r="F2413" s="104"/>
      <c r="G2413" s="35"/>
      <c r="H2413" s="104"/>
      <c r="I2413" s="35"/>
      <c r="J2413" s="74"/>
      <c r="K2413" s="74"/>
      <c r="L2413" s="74"/>
      <c r="M2413" s="74"/>
      <c r="N2413" s="74"/>
      <c r="O2413" s="74"/>
      <c r="P2413" s="74"/>
      <c r="Q2413" s="74"/>
      <c r="R2413" s="74"/>
      <c r="S2413" s="74"/>
      <c r="T2413" s="74"/>
      <c r="U2413" s="74"/>
      <c r="V2413" s="74"/>
      <c r="W2413" s="74"/>
      <c r="X2413" s="74"/>
      <c r="Y2413" s="74"/>
      <c r="Z2413" s="74"/>
      <c r="AA2413" s="74"/>
      <c r="AB2413" s="74"/>
    </row>
    <row r="2414" spans="1:28" ht="12" customHeight="1">
      <c r="A2414" s="260"/>
      <c r="B2414" s="104"/>
      <c r="C2414" s="104"/>
      <c r="D2414" s="260"/>
      <c r="E2414" s="104"/>
      <c r="F2414" s="104"/>
      <c r="G2414" s="35"/>
      <c r="H2414" s="104"/>
      <c r="I2414" s="35"/>
      <c r="J2414" s="74"/>
      <c r="K2414" s="74"/>
      <c r="L2414" s="74"/>
      <c r="M2414" s="74"/>
      <c r="N2414" s="74"/>
      <c r="O2414" s="74"/>
      <c r="P2414" s="74"/>
      <c r="Q2414" s="74"/>
      <c r="R2414" s="74"/>
      <c r="S2414" s="74"/>
      <c r="T2414" s="74"/>
      <c r="U2414" s="74"/>
      <c r="V2414" s="74"/>
      <c r="W2414" s="74"/>
      <c r="X2414" s="74"/>
      <c r="Y2414" s="74"/>
      <c r="Z2414" s="74"/>
      <c r="AA2414" s="74"/>
      <c r="AB2414" s="74"/>
    </row>
    <row r="2415" spans="1:28" ht="12" customHeight="1">
      <c r="A2415" s="260"/>
      <c r="B2415" s="104"/>
      <c r="C2415" s="104"/>
      <c r="D2415" s="260"/>
      <c r="E2415" s="104"/>
      <c r="F2415" s="104"/>
      <c r="G2415" s="35"/>
      <c r="H2415" s="104"/>
      <c r="I2415" s="35"/>
      <c r="J2415" s="74"/>
      <c r="K2415" s="74"/>
      <c r="L2415" s="74"/>
      <c r="M2415" s="74"/>
      <c r="N2415" s="74"/>
      <c r="O2415" s="74"/>
      <c r="P2415" s="74"/>
      <c r="Q2415" s="74"/>
      <c r="R2415" s="74"/>
      <c r="S2415" s="74"/>
      <c r="T2415" s="74"/>
      <c r="U2415" s="74"/>
      <c r="V2415" s="74"/>
      <c r="W2415" s="74"/>
      <c r="X2415" s="74"/>
      <c r="Y2415" s="74"/>
      <c r="Z2415" s="74"/>
      <c r="AA2415" s="74"/>
      <c r="AB2415" s="74"/>
    </row>
    <row r="2416" spans="1:28" ht="12" customHeight="1">
      <c r="A2416" s="260"/>
      <c r="B2416" s="104"/>
      <c r="C2416" s="104"/>
      <c r="D2416" s="260"/>
      <c r="E2416" s="104"/>
      <c r="F2416" s="104"/>
      <c r="G2416" s="35"/>
      <c r="H2416" s="104"/>
      <c r="I2416" s="35"/>
      <c r="J2416" s="74"/>
      <c r="K2416" s="74"/>
      <c r="L2416" s="74"/>
      <c r="M2416" s="74"/>
      <c r="N2416" s="74"/>
      <c r="O2416" s="74"/>
      <c r="P2416" s="74"/>
      <c r="Q2416" s="74"/>
      <c r="R2416" s="74"/>
      <c r="S2416" s="74"/>
      <c r="T2416" s="74"/>
      <c r="U2416" s="74"/>
      <c r="V2416" s="74"/>
      <c r="W2416" s="74"/>
      <c r="X2416" s="74"/>
      <c r="Y2416" s="74"/>
      <c r="Z2416" s="74"/>
      <c r="AA2416" s="74"/>
      <c r="AB2416" s="74"/>
    </row>
    <row r="2417" spans="1:28" ht="12" customHeight="1">
      <c r="A2417" s="260"/>
      <c r="B2417" s="104"/>
      <c r="C2417" s="104"/>
      <c r="D2417" s="260"/>
      <c r="E2417" s="104"/>
      <c r="F2417" s="104"/>
      <c r="G2417" s="35"/>
      <c r="H2417" s="104"/>
      <c r="I2417" s="35"/>
      <c r="J2417" s="74"/>
      <c r="K2417" s="74"/>
      <c r="L2417" s="74"/>
      <c r="M2417" s="74"/>
      <c r="N2417" s="74"/>
      <c r="O2417" s="74"/>
      <c r="P2417" s="74"/>
      <c r="Q2417" s="74"/>
      <c r="R2417" s="74"/>
      <c r="S2417" s="74"/>
      <c r="T2417" s="74"/>
      <c r="U2417" s="74"/>
      <c r="V2417" s="74"/>
      <c r="W2417" s="74"/>
      <c r="X2417" s="74"/>
      <c r="Y2417" s="74"/>
      <c r="Z2417" s="74"/>
      <c r="AA2417" s="74"/>
      <c r="AB2417" s="74"/>
    </row>
    <row r="2418" spans="1:28" ht="12" customHeight="1">
      <c r="A2418" s="260"/>
      <c r="B2418" s="104"/>
      <c r="C2418" s="104"/>
      <c r="D2418" s="260"/>
      <c r="E2418" s="104"/>
      <c r="F2418" s="104"/>
      <c r="G2418" s="35"/>
      <c r="H2418" s="104"/>
      <c r="I2418" s="35"/>
      <c r="J2418" s="74"/>
      <c r="K2418" s="74"/>
      <c r="L2418" s="74"/>
      <c r="M2418" s="74"/>
      <c r="N2418" s="74"/>
      <c r="O2418" s="74"/>
      <c r="P2418" s="74"/>
      <c r="Q2418" s="74"/>
      <c r="R2418" s="74"/>
      <c r="S2418" s="74"/>
      <c r="T2418" s="74"/>
      <c r="U2418" s="74"/>
      <c r="V2418" s="74"/>
      <c r="W2418" s="74"/>
      <c r="X2418" s="74"/>
      <c r="Y2418" s="74"/>
      <c r="Z2418" s="74"/>
      <c r="AA2418" s="74"/>
      <c r="AB2418" s="74"/>
    </row>
    <row r="2419" spans="1:28" ht="12" customHeight="1">
      <c r="A2419" s="260"/>
      <c r="B2419" s="104"/>
      <c r="C2419" s="104"/>
      <c r="D2419" s="260"/>
      <c r="E2419" s="104"/>
      <c r="F2419" s="104"/>
      <c r="G2419" s="35"/>
      <c r="H2419" s="104"/>
      <c r="I2419" s="35"/>
      <c r="J2419" s="74"/>
      <c r="K2419" s="74"/>
      <c r="L2419" s="74"/>
      <c r="M2419" s="74"/>
      <c r="N2419" s="74"/>
      <c r="O2419" s="74"/>
      <c r="P2419" s="74"/>
      <c r="Q2419" s="74"/>
      <c r="R2419" s="74"/>
      <c r="S2419" s="74"/>
      <c r="T2419" s="74"/>
      <c r="U2419" s="74"/>
      <c r="V2419" s="74"/>
      <c r="W2419" s="74"/>
      <c r="X2419" s="74"/>
      <c r="Y2419" s="74"/>
      <c r="Z2419" s="74"/>
      <c r="AA2419" s="74"/>
      <c r="AB2419" s="74"/>
    </row>
    <row r="2420" spans="1:28" ht="12" customHeight="1">
      <c r="A2420" s="260"/>
      <c r="B2420" s="104"/>
      <c r="C2420" s="104"/>
      <c r="D2420" s="260"/>
      <c r="E2420" s="104"/>
      <c r="F2420" s="104"/>
      <c r="G2420" s="35"/>
      <c r="H2420" s="104"/>
      <c r="I2420" s="35"/>
      <c r="J2420" s="74"/>
      <c r="K2420" s="74"/>
      <c r="L2420" s="74"/>
      <c r="M2420" s="74"/>
      <c r="N2420" s="74"/>
      <c r="O2420" s="74"/>
      <c r="P2420" s="74"/>
      <c r="Q2420" s="74"/>
      <c r="R2420" s="74"/>
      <c r="S2420" s="74"/>
      <c r="T2420" s="74"/>
      <c r="U2420" s="74"/>
      <c r="V2420" s="74"/>
      <c r="W2420" s="74"/>
      <c r="X2420" s="74"/>
      <c r="Y2420" s="74"/>
      <c r="Z2420" s="74"/>
      <c r="AA2420" s="74"/>
      <c r="AB2420" s="74"/>
    </row>
  </sheetData>
  <autoFilter ref="A5:AB1420" xr:uid="{00000000-0009-0000-0000-000005000000}"/>
  <mergeCells count="3">
    <mergeCell ref="A1:H1"/>
    <mergeCell ref="A2:F2"/>
    <mergeCell ref="A4:F4"/>
  </mergeCells>
  <hyperlinks>
    <hyperlink ref="F3" location="Menu por Procesos!A1" display="MENU" xr:uid="{00000000-0004-0000-0500-000000000000}"/>
    <hyperlink ref="D164" r:id="rId1" xr:uid="{00000000-0004-0000-0500-000001000000}"/>
    <hyperlink ref="A172" r:id="rId2" xr:uid="{00000000-0004-0000-0500-000002000000}"/>
    <hyperlink ref="A185" r:id="rId3" xr:uid="{00000000-0004-0000-0500-000003000000}"/>
    <hyperlink ref="A190" r:id="rId4" xr:uid="{00000000-0004-0000-0500-000004000000}"/>
    <hyperlink ref="A191" r:id="rId5" xr:uid="{00000000-0004-0000-0500-000005000000}"/>
    <hyperlink ref="D204" r:id="rId6" xr:uid="{00000000-0004-0000-0500-000006000000}"/>
    <hyperlink ref="A217" r:id="rId7" location=":~:text=Por%20el%20cual%20se%20reglamenta,marco%20de%20la%20Emergencia%20Sanitaria." xr:uid="{00000000-0004-0000-0500-000007000000}"/>
    <hyperlink ref="A218" r:id="rId8" xr:uid="{00000000-0004-0000-0500-000008000000}"/>
    <hyperlink ref="A219" r:id="rId9" xr:uid="{00000000-0004-0000-0500-000009000000}"/>
    <hyperlink ref="A221" r:id="rId10" xr:uid="{00000000-0004-0000-0500-00000A000000}"/>
    <hyperlink ref="A222" r:id="rId11" xr:uid="{00000000-0004-0000-0500-00000B000000}"/>
    <hyperlink ref="A224" r:id="rId12" xr:uid="{00000000-0004-0000-0500-00000C000000}"/>
    <hyperlink ref="A240" r:id="rId13" xr:uid="{00000000-0004-0000-0500-00000D000000}"/>
    <hyperlink ref="A241" r:id="rId14" xr:uid="{00000000-0004-0000-0500-00000E000000}"/>
    <hyperlink ref="A242" r:id="rId15" xr:uid="{00000000-0004-0000-0500-00000F000000}"/>
    <hyperlink ref="A243" r:id="rId16" xr:uid="{00000000-0004-0000-0500-000010000000}"/>
    <hyperlink ref="A255" r:id="rId17" xr:uid="{00000000-0004-0000-0500-000011000000}"/>
    <hyperlink ref="A256" r:id="rId18" location=":~:text=491%20del%2028%20de%20marzo,de%20prestaci%C3%B3n%20de%20servicios%20de" xr:uid="{00000000-0004-0000-0500-000012000000}"/>
    <hyperlink ref="A257" r:id="rId19" xr:uid="{00000000-0004-0000-0500-000013000000}"/>
    <hyperlink ref="A258" r:id="rId20" xr:uid="{00000000-0004-0000-0500-000014000000}"/>
    <hyperlink ref="A259" r:id="rId21" xr:uid="{00000000-0004-0000-0500-000015000000}"/>
    <hyperlink ref="A260" r:id="rId22" xr:uid="{00000000-0004-0000-0500-000016000000}"/>
    <hyperlink ref="A261" r:id="rId23" xr:uid="{00000000-0004-0000-0500-000017000000}"/>
    <hyperlink ref="A266" r:id="rId24" xr:uid="{00000000-0004-0000-0500-000018000000}"/>
    <hyperlink ref="A461" r:id="rId25" xr:uid="{00000000-0004-0000-0500-000019000000}"/>
    <hyperlink ref="A1121" r:id="rId26" xr:uid="{00000000-0004-0000-0500-00001A000000}"/>
    <hyperlink ref="A1197" r:id="rId27" xr:uid="{00000000-0004-0000-0500-00001B000000}"/>
    <hyperlink ref="A1420" r:id="rId28" xr:uid="{00000000-0004-0000-0500-00001C000000}"/>
  </hyperlinks>
  <pageMargins left="0.7" right="0.7" top="0.75" bottom="0.75" header="0" footer="0"/>
  <pageSetup orientation="landscape"/>
  <drawing r:id="rId29"/>
  <legacyDrawing r:id="rId3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9D18E"/>
  </sheetPr>
  <dimension ref="A1:AB129"/>
  <sheetViews>
    <sheetView workbookViewId="0">
      <pane ySplit="5" topLeftCell="A6" activePane="bottomLeft" state="frozen"/>
      <selection pane="bottomLeft" activeCell="B7" sqref="B7"/>
    </sheetView>
  </sheetViews>
  <sheetFormatPr baseColWidth="10" defaultColWidth="14.42578125" defaultRowHeight="15" customHeight="1"/>
  <cols>
    <col min="1" max="1" width="50.570312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774"/>
      <c r="B1" s="769"/>
      <c r="C1" s="769"/>
      <c r="D1" s="769"/>
      <c r="E1" s="769"/>
      <c r="F1" s="769"/>
      <c r="G1" s="769"/>
      <c r="H1" s="769"/>
      <c r="I1" s="17"/>
      <c r="J1" s="18"/>
      <c r="K1" s="18"/>
      <c r="L1" s="18"/>
      <c r="M1" s="18"/>
      <c r="N1" s="18"/>
      <c r="O1" s="18"/>
      <c r="P1" s="18"/>
      <c r="Q1" s="18"/>
      <c r="R1" s="18"/>
      <c r="S1" s="18"/>
      <c r="T1" s="18"/>
      <c r="U1" s="18"/>
      <c r="V1" s="18"/>
      <c r="W1" s="18"/>
      <c r="X1" s="18"/>
      <c r="Y1" s="18"/>
      <c r="Z1" s="18"/>
      <c r="AA1" s="18"/>
      <c r="AB1" s="18"/>
    </row>
    <row r="2" spans="1:28" ht="26.25" customHeight="1">
      <c r="A2" s="767" t="s">
        <v>28</v>
      </c>
      <c r="B2" s="765"/>
      <c r="C2" s="765"/>
      <c r="D2" s="765"/>
      <c r="E2" s="765"/>
      <c r="F2" s="766"/>
      <c r="G2" s="15"/>
      <c r="H2" s="16"/>
      <c r="I2" s="17"/>
      <c r="J2" s="18"/>
      <c r="K2" s="18"/>
      <c r="L2" s="18"/>
      <c r="M2" s="18"/>
      <c r="N2" s="18"/>
      <c r="O2" s="18"/>
      <c r="P2" s="18"/>
      <c r="Q2" s="18"/>
      <c r="R2" s="18"/>
      <c r="S2" s="18"/>
      <c r="T2" s="18"/>
      <c r="U2" s="18"/>
      <c r="V2" s="18"/>
      <c r="W2" s="18"/>
      <c r="X2" s="18"/>
      <c r="Y2" s="18"/>
      <c r="Z2" s="18"/>
      <c r="AA2" s="18"/>
      <c r="AB2" s="18"/>
    </row>
    <row r="3" spans="1:28" ht="24.75" customHeight="1">
      <c r="A3" s="75" t="s">
        <v>2879</v>
      </c>
      <c r="B3" s="19"/>
      <c r="C3" s="19"/>
      <c r="D3" s="19"/>
      <c r="E3" s="19"/>
      <c r="F3" s="20" t="s">
        <v>30</v>
      </c>
      <c r="G3" s="19"/>
      <c r="H3" s="21"/>
      <c r="I3" s="17"/>
      <c r="J3" s="18"/>
      <c r="K3" s="18"/>
      <c r="L3" s="18"/>
      <c r="M3" s="18"/>
      <c r="N3" s="18"/>
      <c r="O3" s="18"/>
      <c r="P3" s="18"/>
      <c r="Q3" s="18"/>
      <c r="R3" s="18"/>
      <c r="S3" s="18"/>
      <c r="T3" s="18"/>
      <c r="U3" s="18"/>
      <c r="V3" s="18"/>
      <c r="W3" s="18"/>
      <c r="X3" s="18"/>
      <c r="Y3" s="18"/>
      <c r="Z3" s="18"/>
      <c r="AA3" s="18"/>
      <c r="AB3" s="18"/>
    </row>
    <row r="4" spans="1:28" ht="33" customHeight="1">
      <c r="A4" s="776" t="s">
        <v>2880</v>
      </c>
      <c r="B4" s="777"/>
      <c r="C4" s="777"/>
      <c r="D4" s="777"/>
      <c r="E4" s="777"/>
      <c r="F4" s="778"/>
      <c r="G4" s="22"/>
      <c r="H4" s="22"/>
      <c r="I4" s="17"/>
      <c r="J4" s="18"/>
      <c r="K4" s="18"/>
      <c r="L4" s="18"/>
      <c r="M4" s="18"/>
      <c r="N4" s="18"/>
      <c r="O4" s="18"/>
      <c r="P4" s="18"/>
      <c r="Q4" s="18"/>
      <c r="R4" s="18"/>
      <c r="S4" s="18"/>
      <c r="T4" s="18"/>
      <c r="U4" s="18"/>
      <c r="V4" s="18"/>
      <c r="W4" s="18"/>
      <c r="X4" s="18"/>
      <c r="Y4" s="18"/>
      <c r="Z4" s="18"/>
      <c r="AA4" s="18"/>
      <c r="AB4" s="18"/>
    </row>
    <row r="5" spans="1:28" ht="34.5" customHeight="1">
      <c r="A5" s="76" t="s">
        <v>235</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ht="48" customHeight="1">
      <c r="A6" s="49" t="str">
        <f>HYPERLINK("http://www.secretariasenado.gov.co/senado/basedoc/ley_0378_1997.html","LEY 378")</f>
        <v>LEY 378</v>
      </c>
      <c r="B6" s="64">
        <v>1997</v>
      </c>
      <c r="C6" s="32" t="s">
        <v>39</v>
      </c>
      <c r="D6" s="33" t="s">
        <v>1108</v>
      </c>
      <c r="E6" s="32" t="s">
        <v>1109</v>
      </c>
      <c r="F6" s="32" t="s">
        <v>42</v>
      </c>
      <c r="G6" s="261" t="s">
        <v>43</v>
      </c>
      <c r="H6" s="262" t="s">
        <v>1104</v>
      </c>
      <c r="I6" s="74"/>
      <c r="J6" s="36"/>
      <c r="K6" s="36"/>
      <c r="L6" s="36"/>
      <c r="M6" s="36"/>
      <c r="N6" s="36"/>
      <c r="O6" s="36"/>
      <c r="P6" s="36"/>
      <c r="Q6" s="36"/>
      <c r="R6" s="36"/>
      <c r="S6" s="36"/>
      <c r="T6" s="36"/>
      <c r="U6" s="36"/>
      <c r="V6" s="36"/>
      <c r="W6" s="36"/>
      <c r="X6" s="36"/>
      <c r="Y6" s="36"/>
      <c r="Z6" s="36"/>
      <c r="AA6" s="36"/>
      <c r="AB6" s="36"/>
    </row>
    <row r="7" spans="1:28" ht="156" customHeight="1">
      <c r="A7" s="49" t="str">
        <f>HYPERLINK("http://www.secretariasenado.gov.co/senado/basedoc/ley_0009_1979.html","LEY 9")</f>
        <v>LEY 9</v>
      </c>
      <c r="B7" s="64">
        <v>1979</v>
      </c>
      <c r="C7" s="32" t="s">
        <v>507</v>
      </c>
      <c r="D7" s="33" t="s">
        <v>1114</v>
      </c>
      <c r="E7" s="40" t="s">
        <v>2881</v>
      </c>
      <c r="F7" s="32" t="s">
        <v>42</v>
      </c>
      <c r="G7" s="261" t="s">
        <v>43</v>
      </c>
      <c r="H7" s="262" t="s">
        <v>1104</v>
      </c>
      <c r="I7" s="74"/>
      <c r="J7" s="36"/>
      <c r="K7" s="36"/>
      <c r="L7" s="36"/>
      <c r="M7" s="36"/>
      <c r="N7" s="36"/>
      <c r="O7" s="36"/>
      <c r="P7" s="36"/>
      <c r="Q7" s="36"/>
      <c r="R7" s="36"/>
      <c r="S7" s="36"/>
      <c r="T7" s="36"/>
      <c r="U7" s="36"/>
      <c r="V7" s="36"/>
      <c r="W7" s="36"/>
      <c r="X7" s="36"/>
      <c r="Y7" s="36"/>
      <c r="Z7" s="36"/>
      <c r="AA7" s="36"/>
      <c r="AB7" s="36"/>
    </row>
    <row r="8" spans="1:28" ht="72" customHeight="1">
      <c r="A8" s="149" t="s">
        <v>1116</v>
      </c>
      <c r="B8" s="64">
        <v>1973</v>
      </c>
      <c r="C8" s="32" t="s">
        <v>39</v>
      </c>
      <c r="D8" s="39" t="s">
        <v>2882</v>
      </c>
      <c r="E8" s="32" t="s">
        <v>41</v>
      </c>
      <c r="F8" s="32" t="s">
        <v>42</v>
      </c>
      <c r="G8" s="261" t="s">
        <v>43</v>
      </c>
      <c r="H8" s="262" t="s">
        <v>1104</v>
      </c>
      <c r="I8" s="74"/>
      <c r="J8" s="36"/>
      <c r="K8" s="36"/>
      <c r="L8" s="36"/>
      <c r="M8" s="36"/>
      <c r="N8" s="36"/>
      <c r="O8" s="36"/>
      <c r="P8" s="36"/>
      <c r="Q8" s="36"/>
      <c r="R8" s="36"/>
      <c r="S8" s="36"/>
      <c r="T8" s="36"/>
      <c r="U8" s="36"/>
      <c r="V8" s="36"/>
      <c r="W8" s="36"/>
      <c r="X8" s="36"/>
      <c r="Y8" s="36"/>
      <c r="Z8" s="36"/>
      <c r="AA8" s="36"/>
      <c r="AB8" s="36"/>
    </row>
    <row r="9" spans="1:28" ht="36" customHeight="1">
      <c r="A9" s="30" t="str">
        <f>HYPERLINK("http://www.secretariasenado.gov.co/senado/basedoc/ley_0017_1992.html#15","Ley 17 ")</f>
        <v xml:space="preserve">Ley 17 </v>
      </c>
      <c r="B9" s="64">
        <v>1992</v>
      </c>
      <c r="C9" s="32" t="s">
        <v>39</v>
      </c>
      <c r="D9" s="33" t="s">
        <v>1119</v>
      </c>
      <c r="E9" s="32" t="s">
        <v>1120</v>
      </c>
      <c r="F9" s="32" t="s">
        <v>42</v>
      </c>
      <c r="G9" s="261" t="s">
        <v>43</v>
      </c>
      <c r="H9" s="262" t="s">
        <v>1104</v>
      </c>
      <c r="I9" s="74"/>
      <c r="J9" s="36"/>
      <c r="K9" s="36"/>
      <c r="L9" s="36"/>
      <c r="M9" s="36"/>
      <c r="N9" s="36"/>
      <c r="O9" s="36"/>
      <c r="P9" s="36"/>
      <c r="Q9" s="36"/>
      <c r="R9" s="36"/>
      <c r="S9" s="36"/>
      <c r="T9" s="36"/>
      <c r="U9" s="36"/>
      <c r="V9" s="36"/>
      <c r="W9" s="36"/>
      <c r="X9" s="36"/>
      <c r="Y9" s="36"/>
      <c r="Z9" s="36"/>
      <c r="AA9" s="36"/>
      <c r="AB9" s="36"/>
    </row>
    <row r="10" spans="1:28" ht="36" customHeight="1">
      <c r="A10" s="30" t="str">
        <f>HYPERLINK("http://www.secretariasenado.gov.co/senado/basedoc/ley_0021_1992.html","Ley 21 ")</f>
        <v xml:space="preserve">Ley 21 </v>
      </c>
      <c r="B10" s="64">
        <v>1992</v>
      </c>
      <c r="C10" s="32" t="s">
        <v>39</v>
      </c>
      <c r="D10" s="33" t="s">
        <v>1122</v>
      </c>
      <c r="E10" s="32" t="s">
        <v>1123</v>
      </c>
      <c r="F10" s="32" t="s">
        <v>42</v>
      </c>
      <c r="G10" s="261" t="s">
        <v>43</v>
      </c>
      <c r="H10" s="262" t="s">
        <v>1104</v>
      </c>
      <c r="I10" s="74"/>
      <c r="J10" s="36"/>
      <c r="K10" s="36"/>
      <c r="L10" s="36"/>
      <c r="M10" s="36"/>
      <c r="N10" s="36"/>
      <c r="O10" s="36"/>
      <c r="P10" s="36"/>
      <c r="Q10" s="36"/>
      <c r="R10" s="36"/>
      <c r="S10" s="36"/>
      <c r="T10" s="36"/>
      <c r="U10" s="36"/>
      <c r="V10" s="36"/>
      <c r="W10" s="36"/>
      <c r="X10" s="36"/>
      <c r="Y10" s="36"/>
      <c r="Z10" s="36"/>
      <c r="AA10" s="36"/>
      <c r="AB10" s="36"/>
    </row>
    <row r="11" spans="1:28" ht="24" customHeight="1">
      <c r="A11" s="30" t="str">
        <f>HYPERLINK("http://www.secretariasenado.gov.co/senado/basedoc/ley_0080_1993.html","LEY  80")</f>
        <v>LEY  80</v>
      </c>
      <c r="B11" s="64">
        <v>1993</v>
      </c>
      <c r="C11" s="32" t="s">
        <v>39</v>
      </c>
      <c r="D11" s="33" t="s">
        <v>47</v>
      </c>
      <c r="E11" s="32" t="s">
        <v>41</v>
      </c>
      <c r="F11" s="32" t="s">
        <v>42</v>
      </c>
      <c r="G11" s="261" t="s">
        <v>43</v>
      </c>
      <c r="H11" s="262" t="s">
        <v>1104</v>
      </c>
      <c r="I11" s="74"/>
      <c r="J11" s="36"/>
      <c r="K11" s="36"/>
      <c r="L11" s="36"/>
      <c r="M11" s="36"/>
      <c r="N11" s="36"/>
      <c r="O11" s="36"/>
      <c r="P11" s="36"/>
      <c r="Q11" s="36"/>
      <c r="R11" s="36"/>
      <c r="S11" s="36"/>
      <c r="T11" s="36"/>
      <c r="U11" s="36"/>
      <c r="V11" s="36"/>
      <c r="W11" s="36"/>
      <c r="X11" s="36"/>
      <c r="Y11" s="36"/>
      <c r="Z11" s="36"/>
      <c r="AA11" s="36"/>
      <c r="AB11" s="36"/>
    </row>
    <row r="12" spans="1:28" ht="48" customHeight="1">
      <c r="A12" s="263" t="str">
        <f>HYPERLINK("http://www.secretariasenado.gov.co/senado/basedoc/ley_0099_1993.html","LEY 99")</f>
        <v>LEY 99</v>
      </c>
      <c r="B12" s="64">
        <v>1993</v>
      </c>
      <c r="C12" s="142" t="s">
        <v>39</v>
      </c>
      <c r="D12" s="33" t="s">
        <v>467</v>
      </c>
      <c r="E12" s="32" t="s">
        <v>41</v>
      </c>
      <c r="F12" s="32" t="s">
        <v>42</v>
      </c>
      <c r="G12" s="116" t="s">
        <v>43</v>
      </c>
      <c r="H12" s="117" t="s">
        <v>1104</v>
      </c>
      <c r="I12" s="74"/>
      <c r="J12" s="36"/>
      <c r="K12" s="36"/>
      <c r="L12" s="36"/>
      <c r="M12" s="36"/>
      <c r="N12" s="36"/>
      <c r="O12" s="36"/>
      <c r="P12" s="36"/>
      <c r="Q12" s="36"/>
      <c r="R12" s="36"/>
      <c r="S12" s="36"/>
      <c r="T12" s="36"/>
      <c r="U12" s="36"/>
      <c r="V12" s="36"/>
      <c r="W12" s="36"/>
      <c r="X12" s="36"/>
      <c r="Y12" s="36"/>
      <c r="Z12" s="36"/>
      <c r="AA12" s="36"/>
      <c r="AB12" s="36"/>
    </row>
    <row r="13" spans="1:28" ht="36" customHeight="1">
      <c r="A13" s="30" t="str">
        <f>HYPERLINK("http://www.secretariasenado.gov.co/senado/basedoc/ley_0190_1995.html","LEY  190")</f>
        <v>LEY  190</v>
      </c>
      <c r="B13" s="64">
        <v>1995</v>
      </c>
      <c r="C13" s="142" t="s">
        <v>39</v>
      </c>
      <c r="D13" s="33" t="s">
        <v>1129</v>
      </c>
      <c r="E13" s="32" t="s">
        <v>41</v>
      </c>
      <c r="F13" s="32" t="s">
        <v>42</v>
      </c>
      <c r="G13" s="116" t="s">
        <v>43</v>
      </c>
      <c r="H13" s="117" t="s">
        <v>1104</v>
      </c>
      <c r="I13" s="74"/>
      <c r="J13" s="36"/>
      <c r="K13" s="36"/>
      <c r="L13" s="36"/>
      <c r="M13" s="36"/>
      <c r="N13" s="36"/>
      <c r="O13" s="36"/>
      <c r="P13" s="36"/>
      <c r="Q13" s="36"/>
      <c r="R13" s="36"/>
      <c r="S13" s="36"/>
      <c r="T13" s="36"/>
      <c r="U13" s="36"/>
      <c r="V13" s="36"/>
      <c r="W13" s="36"/>
      <c r="X13" s="36"/>
      <c r="Y13" s="36"/>
      <c r="Z13" s="36"/>
      <c r="AA13" s="36"/>
      <c r="AB13" s="36"/>
    </row>
    <row r="14" spans="1:28" ht="24" customHeight="1">
      <c r="A14" s="43" t="str">
        <f>HYPERLINK("http://www.secretariasenado.gov.co/senado/basedoc/ley_0400_1997.html","LEY 400")</f>
        <v>LEY 400</v>
      </c>
      <c r="B14" s="124">
        <v>1997</v>
      </c>
      <c r="C14" s="142" t="s">
        <v>39</v>
      </c>
      <c r="D14" s="39" t="s">
        <v>2883</v>
      </c>
      <c r="E14" s="40" t="s">
        <v>2884</v>
      </c>
      <c r="F14" s="32" t="s">
        <v>42</v>
      </c>
      <c r="G14" s="261"/>
      <c r="H14" s="262"/>
      <c r="I14" s="74"/>
      <c r="J14" s="36"/>
      <c r="K14" s="36"/>
      <c r="L14" s="36"/>
      <c r="M14" s="36"/>
      <c r="N14" s="36"/>
      <c r="O14" s="36"/>
      <c r="P14" s="36"/>
      <c r="Q14" s="36"/>
      <c r="R14" s="36"/>
      <c r="S14" s="36"/>
      <c r="T14" s="36"/>
      <c r="U14" s="36"/>
      <c r="V14" s="36"/>
      <c r="W14" s="36"/>
      <c r="X14" s="36"/>
      <c r="Y14" s="36"/>
      <c r="Z14" s="36"/>
      <c r="AA14" s="36"/>
      <c r="AB14" s="36"/>
    </row>
    <row r="15" spans="1:28" ht="24" customHeight="1">
      <c r="A15" s="30" t="str">
        <f>HYPERLINK("http://www.secretariasenado.gov.co/senado/basedoc/ley_0361_1997_pr001.html","LEY  361")</f>
        <v>LEY  361</v>
      </c>
      <c r="B15" s="64">
        <v>1997</v>
      </c>
      <c r="C15" s="32" t="s">
        <v>39</v>
      </c>
      <c r="D15" s="33" t="s">
        <v>1132</v>
      </c>
      <c r="E15" s="40" t="s">
        <v>2885</v>
      </c>
      <c r="F15" s="32" t="s">
        <v>42</v>
      </c>
      <c r="G15" s="116" t="s">
        <v>43</v>
      </c>
      <c r="H15" s="117" t="s">
        <v>1104</v>
      </c>
      <c r="I15" s="74"/>
      <c r="J15" s="36"/>
      <c r="K15" s="36"/>
      <c r="L15" s="36"/>
      <c r="M15" s="36"/>
      <c r="N15" s="36"/>
      <c r="O15" s="36"/>
      <c r="P15" s="36"/>
      <c r="Q15" s="36"/>
      <c r="R15" s="36"/>
      <c r="S15" s="36"/>
      <c r="T15" s="36"/>
      <c r="U15" s="36"/>
      <c r="V15" s="36"/>
      <c r="W15" s="36"/>
      <c r="X15" s="36"/>
      <c r="Y15" s="36"/>
      <c r="Z15" s="36"/>
      <c r="AA15" s="36"/>
      <c r="AB15" s="36"/>
    </row>
    <row r="16" spans="1:28" ht="24" customHeight="1">
      <c r="A16" s="30" t="str">
        <f>HYPERLINK("http://www.secretariasenado.gov.co/senado/basedoc/ley_0388_1997_pr002.html","LEY  388")</f>
        <v>LEY  388</v>
      </c>
      <c r="B16" s="64">
        <v>1997</v>
      </c>
      <c r="C16" s="32" t="s">
        <v>39</v>
      </c>
      <c r="D16" s="33" t="s">
        <v>478</v>
      </c>
      <c r="E16" s="40" t="s">
        <v>2886</v>
      </c>
      <c r="F16" s="32" t="s">
        <v>42</v>
      </c>
      <c r="G16" s="116" t="s">
        <v>43</v>
      </c>
      <c r="H16" s="117" t="s">
        <v>1104</v>
      </c>
      <c r="I16" s="74"/>
      <c r="J16" s="36"/>
      <c r="K16" s="36"/>
      <c r="L16" s="36"/>
      <c r="M16" s="36"/>
      <c r="N16" s="36"/>
      <c r="O16" s="36"/>
      <c r="P16" s="36"/>
      <c r="Q16" s="36"/>
      <c r="R16" s="36"/>
      <c r="S16" s="36"/>
      <c r="T16" s="36"/>
      <c r="U16" s="36"/>
      <c r="V16" s="36"/>
      <c r="W16" s="36"/>
      <c r="X16" s="36"/>
      <c r="Y16" s="36"/>
      <c r="Z16" s="36"/>
      <c r="AA16" s="36"/>
      <c r="AB16" s="36"/>
    </row>
    <row r="17" spans="1:28" ht="24" customHeight="1">
      <c r="A17" s="30" t="str">
        <f>HYPERLINK("http://www.secretariasenado.gov.co/senado/basedoc/ley_0610_2000.html","LEY  610")</f>
        <v>LEY  610</v>
      </c>
      <c r="B17" s="64">
        <v>2000</v>
      </c>
      <c r="C17" s="32" t="s">
        <v>39</v>
      </c>
      <c r="D17" s="33" t="s">
        <v>1135</v>
      </c>
      <c r="E17" s="32" t="s">
        <v>41</v>
      </c>
      <c r="F17" s="32" t="s">
        <v>42</v>
      </c>
      <c r="G17" s="116" t="s">
        <v>43</v>
      </c>
      <c r="H17" s="117" t="s">
        <v>1104</v>
      </c>
      <c r="I17" s="74"/>
      <c r="J17" s="36"/>
      <c r="K17" s="36"/>
      <c r="L17" s="36"/>
      <c r="M17" s="36"/>
      <c r="N17" s="36"/>
      <c r="O17" s="36"/>
      <c r="P17" s="36"/>
      <c r="Q17" s="36"/>
      <c r="R17" s="36"/>
      <c r="S17" s="36"/>
      <c r="T17" s="36"/>
      <c r="U17" s="36"/>
      <c r="V17" s="36"/>
      <c r="W17" s="36"/>
      <c r="X17" s="36"/>
      <c r="Y17" s="36"/>
      <c r="Z17" s="36"/>
      <c r="AA17" s="36"/>
      <c r="AB17" s="36"/>
    </row>
    <row r="18" spans="1:28" ht="38.25" customHeight="1">
      <c r="A18" s="30" t="str">
        <f>HYPERLINK("http://www.secretariasenado.gov.co/senado/basedoc/ley_0734_2002.html","LEY  734")</f>
        <v>LEY  734</v>
      </c>
      <c r="B18" s="64">
        <v>2002</v>
      </c>
      <c r="C18" s="32" t="s">
        <v>39</v>
      </c>
      <c r="D18" s="33" t="s">
        <v>1137</v>
      </c>
      <c r="E18" s="264" t="s">
        <v>2887</v>
      </c>
      <c r="F18" s="32" t="s">
        <v>42</v>
      </c>
      <c r="G18" s="116" t="s">
        <v>43</v>
      </c>
      <c r="H18" s="117" t="s">
        <v>1104</v>
      </c>
      <c r="I18" s="74"/>
      <c r="J18" s="36"/>
      <c r="K18" s="36"/>
      <c r="L18" s="36"/>
      <c r="M18" s="36"/>
      <c r="N18" s="36"/>
      <c r="O18" s="36"/>
      <c r="P18" s="36"/>
      <c r="Q18" s="36"/>
      <c r="R18" s="36"/>
      <c r="S18" s="36"/>
      <c r="T18" s="36"/>
      <c r="U18" s="36"/>
      <c r="V18" s="36"/>
      <c r="W18" s="36"/>
      <c r="X18" s="36"/>
      <c r="Y18" s="36"/>
      <c r="Z18" s="36"/>
      <c r="AA18" s="36"/>
      <c r="AB18" s="36"/>
    </row>
    <row r="19" spans="1:28" ht="24" customHeight="1">
      <c r="A19" s="30" t="str">
        <f>HYPERLINK("http://www.secretariasenado.gov.co/senado/basedoc/ley_0776_2002.html","LEY 776")</f>
        <v>LEY 776</v>
      </c>
      <c r="B19" s="64">
        <v>2002</v>
      </c>
      <c r="C19" s="32" t="s">
        <v>39</v>
      </c>
      <c r="D19" s="33" t="s">
        <v>1139</v>
      </c>
      <c r="E19" s="32" t="s">
        <v>1140</v>
      </c>
      <c r="F19" s="32" t="s">
        <v>42</v>
      </c>
      <c r="G19" s="116" t="s">
        <v>43</v>
      </c>
      <c r="H19" s="117" t="s">
        <v>1104</v>
      </c>
      <c r="I19" s="74"/>
      <c r="J19" s="36"/>
      <c r="K19" s="36"/>
      <c r="L19" s="36"/>
      <c r="M19" s="36"/>
      <c r="N19" s="36"/>
      <c r="O19" s="36"/>
      <c r="P19" s="36"/>
      <c r="Q19" s="36"/>
      <c r="R19" s="36"/>
      <c r="S19" s="36"/>
      <c r="T19" s="36"/>
      <c r="U19" s="36"/>
      <c r="V19" s="36"/>
      <c r="W19" s="36"/>
      <c r="X19" s="36"/>
      <c r="Y19" s="36"/>
      <c r="Z19" s="36"/>
      <c r="AA19" s="36"/>
      <c r="AB19" s="36"/>
    </row>
    <row r="20" spans="1:28" ht="36" customHeight="1">
      <c r="A20" s="43" t="str">
        <f>HYPERLINK("http://www.secretariasenado.gov.co/senado/basedoc/ley_0789_2002.html","LEY 789")</f>
        <v>LEY 789</v>
      </c>
      <c r="B20" s="64">
        <v>2002</v>
      </c>
      <c r="C20" s="32" t="s">
        <v>39</v>
      </c>
      <c r="D20" s="33" t="s">
        <v>1142</v>
      </c>
      <c r="E20" s="40" t="s">
        <v>2888</v>
      </c>
      <c r="F20" s="32" t="s">
        <v>42</v>
      </c>
      <c r="G20" s="116" t="s">
        <v>43</v>
      </c>
      <c r="H20" s="117" t="s">
        <v>1104</v>
      </c>
      <c r="I20" s="74"/>
      <c r="J20" s="36"/>
      <c r="K20" s="36"/>
      <c r="L20" s="36"/>
      <c r="M20" s="36"/>
      <c r="N20" s="36"/>
      <c r="O20" s="36"/>
      <c r="P20" s="36"/>
      <c r="Q20" s="36"/>
      <c r="R20" s="36"/>
      <c r="S20" s="36"/>
      <c r="T20" s="36"/>
      <c r="U20" s="36"/>
      <c r="V20" s="36"/>
      <c r="W20" s="36"/>
      <c r="X20" s="36"/>
      <c r="Y20" s="36"/>
      <c r="Z20" s="36"/>
      <c r="AA20" s="36"/>
      <c r="AB20" s="36"/>
    </row>
    <row r="21" spans="1:28" ht="36" customHeight="1">
      <c r="A21" s="30" t="str">
        <f>HYPERLINK("http://www.secretariasenado.gov.co/senado/basedoc/ley_0797_2003.html","LEY 797")</f>
        <v>LEY 797</v>
      </c>
      <c r="B21" s="64">
        <v>2003</v>
      </c>
      <c r="C21" s="32" t="s">
        <v>39</v>
      </c>
      <c r="D21" s="33" t="s">
        <v>1144</v>
      </c>
      <c r="E21" s="32" t="s">
        <v>1145</v>
      </c>
      <c r="F21" s="32" t="s">
        <v>42</v>
      </c>
      <c r="G21" s="116" t="s">
        <v>43</v>
      </c>
      <c r="H21" s="117" t="s">
        <v>1104</v>
      </c>
      <c r="I21" s="74"/>
      <c r="J21" s="36"/>
      <c r="K21" s="36"/>
      <c r="L21" s="36"/>
      <c r="M21" s="36"/>
      <c r="N21" s="36"/>
      <c r="O21" s="36"/>
      <c r="P21" s="36"/>
      <c r="Q21" s="36"/>
      <c r="R21" s="36"/>
      <c r="S21" s="36"/>
      <c r="T21" s="36"/>
      <c r="U21" s="36"/>
      <c r="V21" s="36"/>
      <c r="W21" s="36"/>
      <c r="X21" s="36"/>
      <c r="Y21" s="36"/>
      <c r="Z21" s="36"/>
      <c r="AA21" s="36"/>
      <c r="AB21" s="36"/>
    </row>
    <row r="22" spans="1:28" ht="36" customHeight="1">
      <c r="A22" s="30" t="str">
        <f>HYPERLINK("http://www.secretariasenado.gov.co/senado/basedoc/ley_1150_2007.html","LEY 1150")</f>
        <v>LEY 1150</v>
      </c>
      <c r="B22" s="64">
        <v>2007</v>
      </c>
      <c r="C22" s="32" t="s">
        <v>39</v>
      </c>
      <c r="D22" s="33" t="s">
        <v>276</v>
      </c>
      <c r="E22" s="32" t="s">
        <v>41</v>
      </c>
      <c r="F22" s="32" t="s">
        <v>42</v>
      </c>
      <c r="G22" s="261" t="s">
        <v>43</v>
      </c>
      <c r="H22" s="262" t="s">
        <v>1104</v>
      </c>
      <c r="I22" s="74"/>
      <c r="J22" s="36"/>
      <c r="K22" s="36"/>
      <c r="L22" s="36"/>
      <c r="M22" s="36"/>
      <c r="N22" s="36"/>
      <c r="O22" s="36"/>
      <c r="P22" s="36"/>
      <c r="Q22" s="36"/>
      <c r="R22" s="36"/>
      <c r="S22" s="36"/>
      <c r="T22" s="36"/>
      <c r="U22" s="36"/>
      <c r="V22" s="36"/>
      <c r="W22" s="36"/>
      <c r="X22" s="36"/>
      <c r="Y22" s="36"/>
      <c r="Z22" s="36"/>
      <c r="AA22" s="36"/>
      <c r="AB22" s="36"/>
    </row>
    <row r="23" spans="1:28" ht="12" customHeight="1">
      <c r="A23" s="30" t="str">
        <f>HYPERLINK("http://www.secretariasenado.gov.co/senado/basedoc/ley_1229_2008.html","LEY  1229")</f>
        <v>LEY  1229</v>
      </c>
      <c r="B23" s="64">
        <v>2008</v>
      </c>
      <c r="C23" s="32" t="s">
        <v>39</v>
      </c>
      <c r="D23" s="33" t="s">
        <v>1147</v>
      </c>
      <c r="E23" s="32" t="s">
        <v>41</v>
      </c>
      <c r="F23" s="32" t="s">
        <v>42</v>
      </c>
      <c r="G23" s="261" t="s">
        <v>43</v>
      </c>
      <c r="H23" s="262" t="s">
        <v>1104</v>
      </c>
      <c r="I23" s="74"/>
      <c r="J23" s="36"/>
      <c r="K23" s="36"/>
      <c r="L23" s="36"/>
      <c r="M23" s="36"/>
      <c r="N23" s="36"/>
      <c r="O23" s="36"/>
      <c r="P23" s="36"/>
      <c r="Q23" s="36"/>
      <c r="R23" s="36"/>
      <c r="S23" s="36"/>
      <c r="T23" s="36"/>
      <c r="U23" s="36"/>
      <c r="V23" s="36"/>
      <c r="W23" s="36"/>
      <c r="X23" s="36"/>
      <c r="Y23" s="36"/>
      <c r="Z23" s="36"/>
      <c r="AA23" s="36"/>
      <c r="AB23" s="36"/>
    </row>
    <row r="24" spans="1:28" ht="36" customHeight="1">
      <c r="A24" s="30" t="str">
        <f>HYPERLINK("http://www.secretariasenado.gov.co/senado/basedoc/ley_1474_2011.html","LEY 1474")</f>
        <v>LEY 1474</v>
      </c>
      <c r="B24" s="64">
        <v>2011</v>
      </c>
      <c r="C24" s="32" t="s">
        <v>39</v>
      </c>
      <c r="D24" s="33" t="s">
        <v>1150</v>
      </c>
      <c r="E24" s="32" t="s">
        <v>41</v>
      </c>
      <c r="F24" s="32" t="s">
        <v>42</v>
      </c>
      <c r="G24" s="261" t="s">
        <v>43</v>
      </c>
      <c r="H24" s="262" t="s">
        <v>1104</v>
      </c>
      <c r="I24" s="74"/>
      <c r="J24" s="36"/>
      <c r="K24" s="36"/>
      <c r="L24" s="36"/>
      <c r="M24" s="36"/>
      <c r="N24" s="36"/>
      <c r="O24" s="36"/>
      <c r="P24" s="36"/>
      <c r="Q24" s="36"/>
      <c r="R24" s="36"/>
      <c r="S24" s="36"/>
      <c r="T24" s="36"/>
      <c r="U24" s="36"/>
      <c r="V24" s="36"/>
      <c r="W24" s="36"/>
      <c r="X24" s="36"/>
      <c r="Y24" s="36"/>
      <c r="Z24" s="36"/>
      <c r="AA24" s="36"/>
      <c r="AB24" s="36"/>
    </row>
    <row r="25" spans="1:28" ht="48" customHeight="1">
      <c r="A25" s="30" t="str">
        <f>HYPERLINK("http://www.secretariasenado.gov.co/senado/basedoc/ley_1523_2012.html","LEY 1523")</f>
        <v>LEY 1523</v>
      </c>
      <c r="B25" s="64">
        <v>2012</v>
      </c>
      <c r="C25" s="32" t="s">
        <v>39</v>
      </c>
      <c r="D25" s="33" t="s">
        <v>1152</v>
      </c>
      <c r="E25" s="32" t="s">
        <v>1153</v>
      </c>
      <c r="F25" s="32" t="s">
        <v>42</v>
      </c>
      <c r="G25" s="116" t="s">
        <v>43</v>
      </c>
      <c r="H25" s="117" t="s">
        <v>1104</v>
      </c>
      <c r="I25" s="74"/>
      <c r="J25" s="36"/>
      <c r="K25" s="36"/>
      <c r="L25" s="36"/>
      <c r="M25" s="36"/>
      <c r="N25" s="36"/>
      <c r="O25" s="36"/>
      <c r="P25" s="36"/>
      <c r="Q25" s="36"/>
      <c r="R25" s="36"/>
      <c r="S25" s="36"/>
      <c r="T25" s="36"/>
      <c r="U25" s="36"/>
      <c r="V25" s="36"/>
      <c r="W25" s="36"/>
      <c r="X25" s="36"/>
      <c r="Y25" s="36"/>
      <c r="Z25" s="36"/>
      <c r="AA25" s="36"/>
      <c r="AB25" s="36"/>
    </row>
    <row r="26" spans="1:28" ht="24" customHeight="1">
      <c r="A26" s="265" t="str">
        <f>HYPERLINK("http://www.secretariasenado.gov.co/senado/basedoc/ley_1562_2012.html","LEY 1562")</f>
        <v>LEY 1562</v>
      </c>
      <c r="B26" s="124">
        <v>2012</v>
      </c>
      <c r="C26" s="32" t="s">
        <v>39</v>
      </c>
      <c r="D26" s="39" t="s">
        <v>2776</v>
      </c>
      <c r="E26" s="266" t="s">
        <v>2889</v>
      </c>
      <c r="F26" s="32"/>
      <c r="G26" s="261"/>
      <c r="H26" s="262"/>
      <c r="I26" s="74"/>
      <c r="J26" s="36"/>
      <c r="K26" s="36"/>
      <c r="L26" s="36"/>
      <c r="M26" s="36"/>
      <c r="N26" s="36"/>
      <c r="O26" s="36"/>
      <c r="P26" s="36"/>
      <c r="Q26" s="36"/>
      <c r="R26" s="36"/>
      <c r="S26" s="36"/>
      <c r="T26" s="36"/>
      <c r="U26" s="36"/>
      <c r="V26" s="36"/>
      <c r="W26" s="36"/>
      <c r="X26" s="36"/>
      <c r="Y26" s="36"/>
      <c r="Z26" s="36"/>
      <c r="AA26" s="36"/>
      <c r="AB26" s="36"/>
    </row>
    <row r="27" spans="1:28" ht="24" customHeight="1">
      <c r="A27" s="30" t="str">
        <f>HYPERLINK("https://www.alcaldiabogota.gov.co/sisjur/normas/Norma1.jsp?i=41102","DECRETO 410")</f>
        <v>DECRETO 410</v>
      </c>
      <c r="B27" s="64">
        <v>1971</v>
      </c>
      <c r="C27" s="32" t="s">
        <v>39</v>
      </c>
      <c r="D27" s="39" t="s">
        <v>2890</v>
      </c>
      <c r="E27" s="267" t="s">
        <v>2891</v>
      </c>
      <c r="F27" s="32" t="s">
        <v>42</v>
      </c>
      <c r="G27" s="261" t="s">
        <v>43</v>
      </c>
      <c r="H27" s="262" t="s">
        <v>1104</v>
      </c>
      <c r="I27" s="74"/>
      <c r="J27" s="36"/>
      <c r="K27" s="36"/>
      <c r="L27" s="36"/>
      <c r="M27" s="36"/>
      <c r="N27" s="36"/>
      <c r="O27" s="36"/>
      <c r="P27" s="36"/>
      <c r="Q27" s="36"/>
      <c r="R27" s="36"/>
      <c r="S27" s="36"/>
      <c r="T27" s="36"/>
      <c r="U27" s="36"/>
      <c r="V27" s="36"/>
      <c r="W27" s="36"/>
      <c r="X27" s="36"/>
      <c r="Y27" s="36"/>
      <c r="Z27" s="36"/>
      <c r="AA27" s="36"/>
      <c r="AB27" s="36"/>
    </row>
    <row r="28" spans="1:28" ht="48" customHeight="1">
      <c r="A28" s="30" t="str">
        <f>HYPERLINK("https://www.alcaldiabogota.gov.co/sisjur/normas/Norma1.jsp?i=1250&amp;dt=S","DECRETO 1541")</f>
        <v>DECRETO 1541</v>
      </c>
      <c r="B28" s="64">
        <v>1978</v>
      </c>
      <c r="C28" s="32" t="s">
        <v>39</v>
      </c>
      <c r="D28" s="33" t="s">
        <v>1159</v>
      </c>
      <c r="E28" s="32" t="s">
        <v>41</v>
      </c>
      <c r="F28" s="32" t="s">
        <v>42</v>
      </c>
      <c r="G28" s="116" t="s">
        <v>43</v>
      </c>
      <c r="H28" s="117" t="s">
        <v>1104</v>
      </c>
      <c r="I28" s="74"/>
      <c r="J28" s="36"/>
      <c r="K28" s="36"/>
      <c r="L28" s="36"/>
      <c r="M28" s="36"/>
      <c r="N28" s="36"/>
      <c r="O28" s="36"/>
      <c r="P28" s="36"/>
      <c r="Q28" s="36"/>
      <c r="R28" s="36"/>
      <c r="S28" s="36"/>
      <c r="T28" s="36"/>
      <c r="U28" s="36"/>
      <c r="V28" s="36"/>
      <c r="W28" s="36"/>
      <c r="X28" s="36"/>
      <c r="Y28" s="36"/>
      <c r="Z28" s="36"/>
      <c r="AA28" s="36"/>
      <c r="AB28" s="36"/>
    </row>
    <row r="29" spans="1:28" ht="60" customHeight="1">
      <c r="A29" s="63" t="s">
        <v>1177</v>
      </c>
      <c r="B29" s="64">
        <v>1995</v>
      </c>
      <c r="C29" s="32" t="s">
        <v>39</v>
      </c>
      <c r="D29" s="33" t="s">
        <v>1178</v>
      </c>
      <c r="E29" s="32" t="s">
        <v>41</v>
      </c>
      <c r="F29" s="32" t="s">
        <v>42</v>
      </c>
      <c r="G29" s="116" t="s">
        <v>43</v>
      </c>
      <c r="H29" s="117" t="s">
        <v>1104</v>
      </c>
      <c r="I29" s="74"/>
      <c r="J29" s="36"/>
      <c r="K29" s="36"/>
      <c r="L29" s="36"/>
      <c r="M29" s="36"/>
      <c r="N29" s="36"/>
      <c r="O29" s="36"/>
      <c r="P29" s="36"/>
      <c r="Q29" s="36"/>
      <c r="R29" s="36"/>
      <c r="S29" s="36"/>
      <c r="T29" s="36"/>
      <c r="U29" s="36"/>
      <c r="V29" s="36"/>
      <c r="W29" s="36"/>
      <c r="X29" s="36"/>
      <c r="Y29" s="36"/>
      <c r="Z29" s="36"/>
      <c r="AA29" s="36"/>
      <c r="AB29" s="36"/>
    </row>
    <row r="30" spans="1:28" ht="60" customHeight="1">
      <c r="A30" s="63" t="s">
        <v>1179</v>
      </c>
      <c r="B30" s="64">
        <v>1996</v>
      </c>
      <c r="C30" s="32" t="s">
        <v>39</v>
      </c>
      <c r="D30" s="33" t="s">
        <v>1180</v>
      </c>
      <c r="E30" s="32" t="s">
        <v>1181</v>
      </c>
      <c r="F30" s="32" t="s">
        <v>1182</v>
      </c>
      <c r="G30" s="116" t="s">
        <v>43</v>
      </c>
      <c r="H30" s="117" t="s">
        <v>1176</v>
      </c>
      <c r="I30" s="74"/>
      <c r="J30" s="36"/>
      <c r="K30" s="36"/>
      <c r="L30" s="36"/>
      <c r="M30" s="36"/>
      <c r="N30" s="36"/>
      <c r="O30" s="36"/>
      <c r="P30" s="36"/>
      <c r="Q30" s="36"/>
      <c r="R30" s="36"/>
      <c r="S30" s="36"/>
      <c r="T30" s="36"/>
      <c r="U30" s="36"/>
      <c r="V30" s="36"/>
      <c r="W30" s="36"/>
      <c r="X30" s="36"/>
      <c r="Y30" s="36"/>
      <c r="Z30" s="36"/>
      <c r="AA30" s="36"/>
      <c r="AB30" s="36"/>
    </row>
    <row r="31" spans="1:28" ht="24" customHeight="1">
      <c r="A31" s="63" t="s">
        <v>1183</v>
      </c>
      <c r="B31" s="64">
        <v>1997</v>
      </c>
      <c r="C31" s="32" t="s">
        <v>39</v>
      </c>
      <c r="D31" s="33" t="s">
        <v>1184</v>
      </c>
      <c r="E31" s="32" t="s">
        <v>1185</v>
      </c>
      <c r="F31" s="33" t="s">
        <v>1186</v>
      </c>
      <c r="G31" s="116" t="s">
        <v>43</v>
      </c>
      <c r="H31" s="117" t="s">
        <v>1176</v>
      </c>
      <c r="I31" s="74"/>
      <c r="J31" s="36"/>
      <c r="K31" s="36"/>
      <c r="L31" s="36"/>
      <c r="M31" s="36"/>
      <c r="N31" s="36"/>
      <c r="O31" s="36"/>
      <c r="P31" s="36"/>
      <c r="Q31" s="36"/>
      <c r="R31" s="36"/>
      <c r="S31" s="36"/>
      <c r="T31" s="36"/>
      <c r="U31" s="36"/>
      <c r="V31" s="36"/>
      <c r="W31" s="36"/>
      <c r="X31" s="36"/>
      <c r="Y31" s="36"/>
      <c r="Z31" s="36"/>
      <c r="AA31" s="36"/>
      <c r="AB31" s="36"/>
    </row>
    <row r="32" spans="1:28" ht="24" customHeight="1">
      <c r="A32" s="63" t="s">
        <v>1187</v>
      </c>
      <c r="B32" s="64">
        <v>1997</v>
      </c>
      <c r="C32" s="32" t="s">
        <v>61</v>
      </c>
      <c r="D32" s="33" t="s">
        <v>524</v>
      </c>
      <c r="E32" s="32" t="s">
        <v>41</v>
      </c>
      <c r="F32" s="32" t="s">
        <v>42</v>
      </c>
      <c r="G32" s="116" t="s">
        <v>43</v>
      </c>
      <c r="H32" s="117" t="s">
        <v>1104</v>
      </c>
      <c r="I32" s="74"/>
      <c r="J32" s="36"/>
      <c r="K32" s="36"/>
      <c r="L32" s="36"/>
      <c r="M32" s="36"/>
      <c r="N32" s="36"/>
      <c r="O32" s="36"/>
      <c r="P32" s="36"/>
      <c r="Q32" s="36"/>
      <c r="R32" s="36"/>
      <c r="S32" s="36"/>
      <c r="T32" s="36"/>
      <c r="U32" s="36"/>
      <c r="V32" s="36"/>
      <c r="W32" s="36"/>
      <c r="X32" s="36"/>
      <c r="Y32" s="36"/>
      <c r="Z32" s="36"/>
      <c r="AA32" s="36"/>
      <c r="AB32" s="36"/>
    </row>
    <row r="33" spans="1:28" ht="84" customHeight="1">
      <c r="A33" s="63" t="s">
        <v>1188</v>
      </c>
      <c r="B33" s="64">
        <v>2000</v>
      </c>
      <c r="C33" s="32" t="s">
        <v>39</v>
      </c>
      <c r="D33" s="33" t="s">
        <v>1189</v>
      </c>
      <c r="E33" s="32" t="s">
        <v>1190</v>
      </c>
      <c r="F33" s="33" t="s">
        <v>1191</v>
      </c>
      <c r="G33" s="116" t="s">
        <v>43</v>
      </c>
      <c r="H33" s="117" t="s">
        <v>1176</v>
      </c>
      <c r="I33" s="74"/>
      <c r="J33" s="36"/>
      <c r="K33" s="36"/>
      <c r="L33" s="36"/>
      <c r="M33" s="36"/>
      <c r="N33" s="36"/>
      <c r="O33" s="36"/>
      <c r="P33" s="36"/>
      <c r="Q33" s="36"/>
      <c r="R33" s="36"/>
      <c r="S33" s="36"/>
      <c r="T33" s="36"/>
      <c r="U33" s="36"/>
      <c r="V33" s="36"/>
      <c r="W33" s="36"/>
      <c r="X33" s="36"/>
      <c r="Y33" s="36"/>
      <c r="Z33" s="36"/>
      <c r="AA33" s="36"/>
      <c r="AB33" s="36"/>
    </row>
    <row r="34" spans="1:28" ht="36" customHeight="1">
      <c r="A34" s="63" t="s">
        <v>1192</v>
      </c>
      <c r="B34" s="64">
        <v>2003</v>
      </c>
      <c r="C34" s="32" t="s">
        <v>61</v>
      </c>
      <c r="D34" s="33" t="s">
        <v>1193</v>
      </c>
      <c r="E34" s="32" t="s">
        <v>41</v>
      </c>
      <c r="F34" s="32" t="s">
        <v>42</v>
      </c>
      <c r="G34" s="116" t="s">
        <v>43</v>
      </c>
      <c r="H34" s="117" t="s">
        <v>1104</v>
      </c>
      <c r="I34" s="74"/>
      <c r="J34" s="36"/>
      <c r="K34" s="36"/>
      <c r="L34" s="36"/>
      <c r="M34" s="36"/>
      <c r="N34" s="36"/>
      <c r="O34" s="36"/>
      <c r="P34" s="36"/>
      <c r="Q34" s="36"/>
      <c r="R34" s="36"/>
      <c r="S34" s="36"/>
      <c r="T34" s="36"/>
      <c r="U34" s="36"/>
      <c r="V34" s="36"/>
      <c r="W34" s="36"/>
      <c r="X34" s="36"/>
      <c r="Y34" s="36"/>
      <c r="Z34" s="36"/>
      <c r="AA34" s="36"/>
      <c r="AB34" s="36"/>
    </row>
    <row r="35" spans="1:28" ht="36" customHeight="1">
      <c r="A35" s="30" t="str">
        <f>HYPERLINK("https://www.alcaldiabogota.gov.co/sisjur/normas/Norma1.jsp?i=14970","DECRETO  323")</f>
        <v>DECRETO  323</v>
      </c>
      <c r="B35" s="64">
        <v>2004</v>
      </c>
      <c r="C35" s="32" t="s">
        <v>61</v>
      </c>
      <c r="D35" s="33" t="s">
        <v>802</v>
      </c>
      <c r="E35" s="32" t="s">
        <v>41</v>
      </c>
      <c r="F35" s="32" t="s">
        <v>42</v>
      </c>
      <c r="G35" s="261" t="s">
        <v>43</v>
      </c>
      <c r="H35" s="262" t="s">
        <v>1104</v>
      </c>
      <c r="I35" s="74"/>
      <c r="J35" s="36"/>
      <c r="K35" s="36"/>
      <c r="L35" s="36"/>
      <c r="M35" s="36"/>
      <c r="N35" s="36"/>
      <c r="O35" s="36"/>
      <c r="P35" s="36"/>
      <c r="Q35" s="36"/>
      <c r="R35" s="36"/>
      <c r="S35" s="36"/>
      <c r="T35" s="36"/>
      <c r="U35" s="36"/>
      <c r="V35" s="36"/>
      <c r="W35" s="36"/>
      <c r="X35" s="36"/>
      <c r="Y35" s="36"/>
      <c r="Z35" s="36"/>
      <c r="AA35" s="36"/>
      <c r="AB35" s="36"/>
    </row>
    <row r="36" spans="1:28" ht="24" customHeight="1">
      <c r="A36" s="30" t="str">
        <f>HYPERLINK("https://www.alcaldiabogota.gov.co/sisjur/normas/Norma1.jsp?i=14976","DECRETO  327")</f>
        <v>DECRETO  327</v>
      </c>
      <c r="B36" s="64">
        <v>2004</v>
      </c>
      <c r="C36" s="32" t="s">
        <v>61</v>
      </c>
      <c r="D36" s="33" t="s">
        <v>1198</v>
      </c>
      <c r="E36" s="32" t="s">
        <v>41</v>
      </c>
      <c r="F36" s="32" t="s">
        <v>42</v>
      </c>
      <c r="G36" s="261" t="s">
        <v>43</v>
      </c>
      <c r="H36" s="262" t="s">
        <v>1104</v>
      </c>
      <c r="I36" s="74"/>
      <c r="J36" s="36"/>
      <c r="K36" s="36"/>
      <c r="L36" s="36"/>
      <c r="M36" s="36"/>
      <c r="N36" s="36"/>
      <c r="O36" s="36"/>
      <c r="P36" s="36"/>
      <c r="Q36" s="36"/>
      <c r="R36" s="36"/>
      <c r="S36" s="36"/>
      <c r="T36" s="36"/>
      <c r="U36" s="36"/>
      <c r="V36" s="36"/>
      <c r="W36" s="36"/>
      <c r="X36" s="36"/>
      <c r="Y36" s="36"/>
      <c r="Z36" s="36"/>
      <c r="AA36" s="36"/>
      <c r="AB36" s="36"/>
    </row>
    <row r="37" spans="1:28" ht="24" customHeight="1">
      <c r="A37" s="63" t="s">
        <v>1199</v>
      </c>
      <c r="B37" s="64">
        <v>2005</v>
      </c>
      <c r="C37" s="32" t="s">
        <v>61</v>
      </c>
      <c r="D37" s="33" t="s">
        <v>70</v>
      </c>
      <c r="E37" s="32" t="s">
        <v>41</v>
      </c>
      <c r="F37" s="32" t="s">
        <v>42</v>
      </c>
      <c r="G37" s="116" t="s">
        <v>43</v>
      </c>
      <c r="H37" s="117" t="s">
        <v>1104</v>
      </c>
      <c r="I37" s="74"/>
      <c r="J37" s="36"/>
      <c r="K37" s="36"/>
      <c r="L37" s="36"/>
      <c r="M37" s="36"/>
      <c r="N37" s="36"/>
      <c r="O37" s="36"/>
      <c r="P37" s="36"/>
      <c r="Q37" s="36"/>
      <c r="R37" s="36"/>
      <c r="S37" s="36"/>
      <c r="T37" s="36"/>
      <c r="U37" s="36"/>
      <c r="V37" s="36"/>
      <c r="W37" s="36"/>
      <c r="X37" s="36"/>
      <c r="Y37" s="36"/>
      <c r="Z37" s="36"/>
      <c r="AA37" s="36"/>
      <c r="AB37" s="36"/>
    </row>
    <row r="38" spans="1:28" ht="24" customHeight="1">
      <c r="A38" s="63" t="s">
        <v>1200</v>
      </c>
      <c r="B38" s="64">
        <v>2005</v>
      </c>
      <c r="C38" s="32" t="s">
        <v>39</v>
      </c>
      <c r="D38" s="33" t="s">
        <v>72</v>
      </c>
      <c r="E38" s="32" t="s">
        <v>41</v>
      </c>
      <c r="F38" s="32" t="s">
        <v>42</v>
      </c>
      <c r="G38" s="116" t="s">
        <v>43</v>
      </c>
      <c r="H38" s="117" t="s">
        <v>1104</v>
      </c>
      <c r="I38" s="74"/>
      <c r="J38" s="36"/>
      <c r="K38" s="36"/>
      <c r="L38" s="36"/>
      <c r="M38" s="36"/>
      <c r="N38" s="36"/>
      <c r="O38" s="36"/>
      <c r="P38" s="36"/>
      <c r="Q38" s="36"/>
      <c r="R38" s="36"/>
      <c r="S38" s="36"/>
      <c r="T38" s="36"/>
      <c r="U38" s="36"/>
      <c r="V38" s="36"/>
      <c r="W38" s="36"/>
      <c r="X38" s="36"/>
      <c r="Y38" s="36"/>
      <c r="Z38" s="36"/>
      <c r="AA38" s="36"/>
      <c r="AB38" s="36"/>
    </row>
    <row r="39" spans="1:28" ht="12" customHeight="1">
      <c r="A39" s="30" t="str">
        <f>HYPERLINK("https://www.alcaldiabogota.gov.co/sisjur/normas/Norma1.jsp?i=16540","DECRETO  1538")</f>
        <v>DECRETO  1538</v>
      </c>
      <c r="B39" s="64">
        <v>2005</v>
      </c>
      <c r="C39" s="32" t="s">
        <v>39</v>
      </c>
      <c r="D39" s="33" t="s">
        <v>1202</v>
      </c>
      <c r="E39" s="32" t="s">
        <v>41</v>
      </c>
      <c r="F39" s="32" t="s">
        <v>42</v>
      </c>
      <c r="G39" s="261" t="s">
        <v>43</v>
      </c>
      <c r="H39" s="262" t="s">
        <v>1104</v>
      </c>
      <c r="I39" s="74"/>
      <c r="J39" s="36"/>
      <c r="K39" s="36"/>
      <c r="L39" s="36"/>
      <c r="M39" s="36"/>
      <c r="N39" s="36"/>
      <c r="O39" s="36"/>
      <c r="P39" s="36"/>
      <c r="Q39" s="36"/>
      <c r="R39" s="36"/>
      <c r="S39" s="36"/>
      <c r="T39" s="36"/>
      <c r="U39" s="36"/>
      <c r="V39" s="36"/>
      <c r="W39" s="36"/>
      <c r="X39" s="36"/>
      <c r="Y39" s="36"/>
      <c r="Z39" s="36"/>
      <c r="AA39" s="36"/>
      <c r="AB39" s="36"/>
    </row>
    <row r="40" spans="1:28" ht="24" customHeight="1">
      <c r="A40" s="30" t="str">
        <f>HYPERLINK("https://www.alcaldiabogota.gov.co/sisjur/normas/Norma1.jsp?i=21055","DECRETO  308")</f>
        <v>DECRETO  308</v>
      </c>
      <c r="B40" s="64">
        <v>2006</v>
      </c>
      <c r="C40" s="32" t="s">
        <v>61</v>
      </c>
      <c r="D40" s="33" t="s">
        <v>1204</v>
      </c>
      <c r="E40" s="32" t="s">
        <v>41</v>
      </c>
      <c r="F40" s="32" t="s">
        <v>42</v>
      </c>
      <c r="G40" s="261" t="s">
        <v>43</v>
      </c>
      <c r="H40" s="262" t="s">
        <v>1104</v>
      </c>
      <c r="I40" s="74"/>
      <c r="J40" s="36"/>
      <c r="K40" s="36"/>
      <c r="L40" s="36"/>
      <c r="M40" s="36"/>
      <c r="N40" s="36"/>
      <c r="O40" s="36"/>
      <c r="P40" s="36"/>
      <c r="Q40" s="36"/>
      <c r="R40" s="36"/>
      <c r="S40" s="36"/>
      <c r="T40" s="36"/>
      <c r="U40" s="36"/>
      <c r="V40" s="36"/>
      <c r="W40" s="36"/>
      <c r="X40" s="36"/>
      <c r="Y40" s="36"/>
      <c r="Z40" s="36"/>
      <c r="AA40" s="36"/>
      <c r="AB40" s="36"/>
    </row>
    <row r="41" spans="1:28" ht="24" customHeight="1">
      <c r="A41" s="63" t="s">
        <v>1205</v>
      </c>
      <c r="B41" s="64">
        <v>2006</v>
      </c>
      <c r="C41" s="32" t="s">
        <v>61</v>
      </c>
      <c r="D41" s="33" t="s">
        <v>1206</v>
      </c>
      <c r="E41" s="32" t="s">
        <v>41</v>
      </c>
      <c r="F41" s="32" t="s">
        <v>42</v>
      </c>
      <c r="G41" s="116" t="s">
        <v>43</v>
      </c>
      <c r="H41" s="117" t="s">
        <v>1104</v>
      </c>
      <c r="I41" s="74"/>
      <c r="J41" s="36"/>
      <c r="K41" s="36"/>
      <c r="L41" s="36"/>
      <c r="M41" s="36"/>
      <c r="N41" s="36"/>
      <c r="O41" s="36"/>
      <c r="P41" s="36"/>
      <c r="Q41" s="36"/>
      <c r="R41" s="36"/>
      <c r="S41" s="36"/>
      <c r="T41" s="36"/>
      <c r="U41" s="36"/>
      <c r="V41" s="36"/>
      <c r="W41" s="36"/>
      <c r="X41" s="36"/>
      <c r="Y41" s="36"/>
      <c r="Z41" s="36"/>
      <c r="AA41" s="36"/>
      <c r="AB41" s="36"/>
    </row>
    <row r="42" spans="1:28" ht="24" customHeight="1">
      <c r="A42" s="30" t="str">
        <f>HYPERLINK("https://www.idrd.gov.co/sitio/idrd/sites/default/files/imagenes/poljuventud2006-2016.pdf","DECRETO  482")</f>
        <v>DECRETO  482</v>
      </c>
      <c r="B42" s="64">
        <v>2006</v>
      </c>
      <c r="C42" s="32" t="s">
        <v>61</v>
      </c>
      <c r="D42" s="33" t="s">
        <v>1208</v>
      </c>
      <c r="E42" s="32" t="s">
        <v>41</v>
      </c>
      <c r="F42" s="32" t="s">
        <v>42</v>
      </c>
      <c r="G42" s="261" t="s">
        <v>43</v>
      </c>
      <c r="H42" s="262" t="s">
        <v>1104</v>
      </c>
      <c r="I42" s="74"/>
      <c r="J42" s="36"/>
      <c r="K42" s="36"/>
      <c r="L42" s="36"/>
      <c r="M42" s="36"/>
      <c r="N42" s="36"/>
      <c r="O42" s="36"/>
      <c r="P42" s="36"/>
      <c r="Q42" s="36"/>
      <c r="R42" s="36"/>
      <c r="S42" s="36"/>
      <c r="T42" s="36"/>
      <c r="U42" s="36"/>
      <c r="V42" s="36"/>
      <c r="W42" s="36"/>
      <c r="X42" s="36"/>
      <c r="Y42" s="36"/>
      <c r="Z42" s="36"/>
      <c r="AA42" s="36"/>
      <c r="AB42" s="36"/>
    </row>
    <row r="43" spans="1:28" ht="24" customHeight="1">
      <c r="A43" s="30" t="str">
        <f>HYPERLINK("https://www.alcaldiabogota.gov.co/sisjur/normas/Norma1.jsp?i=27092","DECRETO  470")</f>
        <v>DECRETO  470</v>
      </c>
      <c r="B43" s="64">
        <v>2007</v>
      </c>
      <c r="C43" s="32" t="s">
        <v>61</v>
      </c>
      <c r="D43" s="33" t="s">
        <v>1210</v>
      </c>
      <c r="E43" s="32" t="s">
        <v>41</v>
      </c>
      <c r="F43" s="32" t="s">
        <v>42</v>
      </c>
      <c r="G43" s="261" t="s">
        <v>43</v>
      </c>
      <c r="H43" s="262" t="s">
        <v>1104</v>
      </c>
      <c r="I43" s="74"/>
      <c r="J43" s="36"/>
      <c r="K43" s="36"/>
      <c r="L43" s="36"/>
      <c r="M43" s="36"/>
      <c r="N43" s="36"/>
      <c r="O43" s="36"/>
      <c r="P43" s="36"/>
      <c r="Q43" s="36"/>
      <c r="R43" s="36"/>
      <c r="S43" s="36"/>
      <c r="T43" s="36"/>
      <c r="U43" s="36"/>
      <c r="V43" s="36"/>
      <c r="W43" s="36"/>
      <c r="X43" s="36"/>
      <c r="Y43" s="36"/>
      <c r="Z43" s="36"/>
      <c r="AA43" s="36"/>
      <c r="AB43" s="36"/>
    </row>
    <row r="44" spans="1:28" ht="24" customHeight="1">
      <c r="A44" s="63" t="s">
        <v>1211</v>
      </c>
      <c r="B44" s="64">
        <v>2007</v>
      </c>
      <c r="C44" s="32" t="s">
        <v>61</v>
      </c>
      <c r="D44" s="33" t="s">
        <v>1212</v>
      </c>
      <c r="E44" s="32" t="s">
        <v>41</v>
      </c>
      <c r="F44" s="32" t="s">
        <v>42</v>
      </c>
      <c r="G44" s="116" t="s">
        <v>43</v>
      </c>
      <c r="H44" s="117" t="s">
        <v>1104</v>
      </c>
      <c r="I44" s="74"/>
      <c r="J44" s="36"/>
      <c r="K44" s="36"/>
      <c r="L44" s="36"/>
      <c r="M44" s="36"/>
      <c r="N44" s="36"/>
      <c r="O44" s="36"/>
      <c r="P44" s="36"/>
      <c r="Q44" s="36"/>
      <c r="R44" s="36"/>
      <c r="S44" s="36"/>
      <c r="T44" s="36"/>
      <c r="U44" s="36"/>
      <c r="V44" s="36"/>
      <c r="W44" s="36"/>
      <c r="X44" s="36"/>
      <c r="Y44" s="36"/>
      <c r="Z44" s="36"/>
      <c r="AA44" s="36"/>
      <c r="AB44" s="36"/>
    </row>
    <row r="45" spans="1:28" ht="60" customHeight="1">
      <c r="A45" s="30" t="str">
        <f>HYPERLINK("https://www.alcaldiabogota.gov.co/sisjur/normas/Norma1.jsp?i=27139","DECRETO 484")</f>
        <v>DECRETO 484</v>
      </c>
      <c r="B45" s="64">
        <v>2007</v>
      </c>
      <c r="C45" s="32" t="s">
        <v>61</v>
      </c>
      <c r="D45" s="33" t="s">
        <v>1213</v>
      </c>
      <c r="E45" s="32" t="s">
        <v>41</v>
      </c>
      <c r="F45" s="32" t="s">
        <v>42</v>
      </c>
      <c r="G45" s="261" t="s">
        <v>43</v>
      </c>
      <c r="H45" s="262" t="s">
        <v>1104</v>
      </c>
      <c r="I45" s="74"/>
      <c r="J45" s="36"/>
      <c r="K45" s="36"/>
      <c r="L45" s="36"/>
      <c r="M45" s="36"/>
      <c r="N45" s="36"/>
      <c r="O45" s="36"/>
      <c r="P45" s="36"/>
      <c r="Q45" s="36"/>
      <c r="R45" s="36"/>
      <c r="S45" s="36"/>
      <c r="T45" s="36"/>
      <c r="U45" s="36"/>
      <c r="V45" s="36"/>
      <c r="W45" s="36"/>
      <c r="X45" s="36"/>
      <c r="Y45" s="36"/>
      <c r="Z45" s="36"/>
      <c r="AA45" s="36"/>
      <c r="AB45" s="36"/>
    </row>
    <row r="46" spans="1:28" ht="24" customHeight="1">
      <c r="A46" s="63" t="s">
        <v>1214</v>
      </c>
      <c r="B46" s="64">
        <v>2010</v>
      </c>
      <c r="C46" s="32" t="s">
        <v>61</v>
      </c>
      <c r="D46" s="33" t="s">
        <v>1215</v>
      </c>
      <c r="E46" s="32" t="s">
        <v>41</v>
      </c>
      <c r="F46" s="32" t="s">
        <v>42</v>
      </c>
      <c r="G46" s="116" t="s">
        <v>43</v>
      </c>
      <c r="H46" s="117" t="s">
        <v>1104</v>
      </c>
      <c r="I46" s="74"/>
      <c r="J46" s="36"/>
      <c r="K46" s="36"/>
      <c r="L46" s="36"/>
      <c r="M46" s="36"/>
      <c r="N46" s="36"/>
      <c r="O46" s="36"/>
      <c r="P46" s="36"/>
      <c r="Q46" s="36"/>
      <c r="R46" s="36"/>
      <c r="S46" s="36"/>
      <c r="T46" s="36"/>
      <c r="U46" s="36"/>
      <c r="V46" s="36"/>
      <c r="W46" s="36"/>
      <c r="X46" s="36"/>
      <c r="Y46" s="36"/>
      <c r="Z46" s="36"/>
      <c r="AA46" s="36"/>
      <c r="AB46" s="36"/>
    </row>
    <row r="47" spans="1:28" ht="96" customHeight="1">
      <c r="A47" s="63" t="s">
        <v>1216</v>
      </c>
      <c r="B47" s="64">
        <v>2009</v>
      </c>
      <c r="C47" s="32" t="s">
        <v>39</v>
      </c>
      <c r="D47" s="33" t="s">
        <v>1217</v>
      </c>
      <c r="E47" s="32" t="s">
        <v>1218</v>
      </c>
      <c r="F47" s="33" t="s">
        <v>1219</v>
      </c>
      <c r="G47" s="116" t="s">
        <v>43</v>
      </c>
      <c r="H47" s="117" t="s">
        <v>1176</v>
      </c>
      <c r="I47" s="74"/>
      <c r="J47" s="36"/>
      <c r="K47" s="36"/>
      <c r="L47" s="36"/>
      <c r="M47" s="36"/>
      <c r="N47" s="36"/>
      <c r="O47" s="36"/>
      <c r="P47" s="36"/>
      <c r="Q47" s="36"/>
      <c r="R47" s="36"/>
      <c r="S47" s="36"/>
      <c r="T47" s="36"/>
      <c r="U47" s="36"/>
      <c r="V47" s="36"/>
      <c r="W47" s="36"/>
      <c r="X47" s="36"/>
      <c r="Y47" s="36"/>
      <c r="Z47" s="36"/>
      <c r="AA47" s="36"/>
      <c r="AB47" s="36"/>
    </row>
    <row r="48" spans="1:28" ht="48" customHeight="1">
      <c r="A48" s="30" t="str">
        <f>HYPERLINK("https://www.alcaldiabogota.gov.co/sisjur/normas/Norma1.jsp?i=40983&amp;dt=S","DECRETO  531")</f>
        <v>DECRETO  531</v>
      </c>
      <c r="B48" s="64">
        <v>2010</v>
      </c>
      <c r="C48" s="32" t="s">
        <v>61</v>
      </c>
      <c r="D48" s="33" t="s">
        <v>77</v>
      </c>
      <c r="E48" s="32" t="s">
        <v>41</v>
      </c>
      <c r="F48" s="32" t="s">
        <v>42</v>
      </c>
      <c r="G48" s="261" t="s">
        <v>43</v>
      </c>
      <c r="H48" s="262" t="s">
        <v>1104</v>
      </c>
      <c r="I48" s="74"/>
      <c r="J48" s="36"/>
      <c r="K48" s="36"/>
      <c r="L48" s="36"/>
      <c r="M48" s="36"/>
      <c r="N48" s="36"/>
      <c r="O48" s="36"/>
      <c r="P48" s="36"/>
      <c r="Q48" s="36"/>
      <c r="R48" s="36"/>
      <c r="S48" s="36"/>
      <c r="T48" s="36"/>
      <c r="U48" s="36"/>
      <c r="V48" s="36"/>
      <c r="W48" s="36"/>
      <c r="X48" s="36"/>
      <c r="Y48" s="36"/>
      <c r="Z48" s="36"/>
      <c r="AA48" s="36"/>
      <c r="AB48" s="36"/>
    </row>
    <row r="49" spans="1:28" ht="48" customHeight="1">
      <c r="A49" s="63" t="s">
        <v>277</v>
      </c>
      <c r="B49" s="64">
        <v>2010</v>
      </c>
      <c r="C49" s="32" t="s">
        <v>61</v>
      </c>
      <c r="D49" s="33" t="s">
        <v>1221</v>
      </c>
      <c r="E49" s="32" t="s">
        <v>41</v>
      </c>
      <c r="F49" s="32" t="s">
        <v>42</v>
      </c>
      <c r="G49" s="116" t="s">
        <v>43</v>
      </c>
      <c r="H49" s="117" t="s">
        <v>1104</v>
      </c>
      <c r="I49" s="74"/>
      <c r="J49" s="36"/>
      <c r="K49" s="36"/>
      <c r="L49" s="36"/>
      <c r="M49" s="36"/>
      <c r="N49" s="36"/>
      <c r="O49" s="36"/>
      <c r="P49" s="36"/>
      <c r="Q49" s="36"/>
      <c r="R49" s="36"/>
      <c r="S49" s="36"/>
      <c r="T49" s="36"/>
      <c r="U49" s="36"/>
      <c r="V49" s="36"/>
      <c r="W49" s="36"/>
      <c r="X49" s="36"/>
      <c r="Y49" s="36"/>
      <c r="Z49" s="36"/>
      <c r="AA49" s="36"/>
      <c r="AB49" s="36"/>
    </row>
    <row r="50" spans="1:28" ht="24" customHeight="1">
      <c r="A50" s="63" t="s">
        <v>1225</v>
      </c>
      <c r="B50" s="64">
        <v>2010</v>
      </c>
      <c r="C50" s="32" t="s">
        <v>39</v>
      </c>
      <c r="D50" s="33" t="s">
        <v>1226</v>
      </c>
      <c r="E50" s="32" t="s">
        <v>41</v>
      </c>
      <c r="F50" s="32" t="s">
        <v>42</v>
      </c>
      <c r="G50" s="116" t="s">
        <v>43</v>
      </c>
      <c r="H50" s="117" t="s">
        <v>1104</v>
      </c>
      <c r="I50" s="74"/>
      <c r="J50" s="36"/>
      <c r="K50" s="36"/>
      <c r="L50" s="36"/>
      <c r="M50" s="36"/>
      <c r="N50" s="36"/>
      <c r="O50" s="36"/>
      <c r="P50" s="36"/>
      <c r="Q50" s="36"/>
      <c r="R50" s="36"/>
      <c r="S50" s="36"/>
      <c r="T50" s="36"/>
      <c r="U50" s="36"/>
      <c r="V50" s="36"/>
      <c r="W50" s="36"/>
      <c r="X50" s="36"/>
      <c r="Y50" s="36"/>
      <c r="Z50" s="36"/>
      <c r="AA50" s="36"/>
      <c r="AB50" s="36"/>
    </row>
    <row r="51" spans="1:28" ht="12" customHeight="1">
      <c r="A51" s="63" t="s">
        <v>1227</v>
      </c>
      <c r="B51" s="64">
        <v>2011</v>
      </c>
      <c r="C51" s="32" t="s">
        <v>39</v>
      </c>
      <c r="D51" s="33" t="s">
        <v>1228</v>
      </c>
      <c r="E51" s="32" t="s">
        <v>41</v>
      </c>
      <c r="F51" s="32" t="s">
        <v>42</v>
      </c>
      <c r="G51" s="116" t="s">
        <v>43</v>
      </c>
      <c r="H51" s="117" t="s">
        <v>1104</v>
      </c>
      <c r="I51" s="74"/>
      <c r="J51" s="36"/>
      <c r="K51" s="36"/>
      <c r="L51" s="36"/>
      <c r="M51" s="36"/>
      <c r="N51" s="36"/>
      <c r="O51" s="36"/>
      <c r="P51" s="36"/>
      <c r="Q51" s="36"/>
      <c r="R51" s="36"/>
      <c r="S51" s="36"/>
      <c r="T51" s="36"/>
      <c r="U51" s="36"/>
      <c r="V51" s="36"/>
      <c r="W51" s="36"/>
      <c r="X51" s="36"/>
      <c r="Y51" s="36"/>
      <c r="Z51" s="36"/>
      <c r="AA51" s="36"/>
      <c r="AB51" s="36"/>
    </row>
    <row r="52" spans="1:28" ht="36" customHeight="1">
      <c r="A52" s="63" t="s">
        <v>78</v>
      </c>
      <c r="B52" s="64">
        <v>2011</v>
      </c>
      <c r="C52" s="32" t="s">
        <v>61</v>
      </c>
      <c r="D52" s="33" t="s">
        <v>1229</v>
      </c>
      <c r="E52" s="32" t="s">
        <v>41</v>
      </c>
      <c r="F52" s="32" t="s">
        <v>42</v>
      </c>
      <c r="G52" s="116" t="s">
        <v>43</v>
      </c>
      <c r="H52" s="117" t="s">
        <v>1104</v>
      </c>
      <c r="I52" s="74"/>
      <c r="J52" s="36"/>
      <c r="K52" s="36"/>
      <c r="L52" s="36"/>
      <c r="M52" s="36"/>
      <c r="N52" s="36"/>
      <c r="O52" s="36"/>
      <c r="P52" s="36"/>
      <c r="Q52" s="36"/>
      <c r="R52" s="36"/>
      <c r="S52" s="36"/>
      <c r="T52" s="36"/>
      <c r="U52" s="36"/>
      <c r="V52" s="36"/>
      <c r="W52" s="36"/>
      <c r="X52" s="36"/>
      <c r="Y52" s="36"/>
      <c r="Z52" s="36"/>
      <c r="AA52" s="36"/>
      <c r="AB52" s="36"/>
    </row>
    <row r="53" spans="1:28" ht="36" customHeight="1">
      <c r="A53" s="30" t="str">
        <f>HYPERLINK("http://www.secretariasenado.gov.co/senado/basedoc/decreto_0019_2012.html#22","DECRETO  19")</f>
        <v>DECRETO  19</v>
      </c>
      <c r="B53" s="64">
        <v>2012</v>
      </c>
      <c r="C53" s="32" t="s">
        <v>39</v>
      </c>
      <c r="D53" s="33" t="s">
        <v>1036</v>
      </c>
      <c r="E53" s="32" t="s">
        <v>41</v>
      </c>
      <c r="F53" s="32" t="s">
        <v>42</v>
      </c>
      <c r="G53" s="261" t="s">
        <v>43</v>
      </c>
      <c r="H53" s="262" t="s">
        <v>1104</v>
      </c>
      <c r="I53" s="74"/>
      <c r="J53" s="36"/>
      <c r="K53" s="36"/>
      <c r="L53" s="36"/>
      <c r="M53" s="36"/>
      <c r="N53" s="36"/>
      <c r="O53" s="36"/>
      <c r="P53" s="36"/>
      <c r="Q53" s="36"/>
      <c r="R53" s="36"/>
      <c r="S53" s="36"/>
      <c r="T53" s="36"/>
      <c r="U53" s="36"/>
      <c r="V53" s="36"/>
      <c r="W53" s="36"/>
      <c r="X53" s="36"/>
      <c r="Y53" s="36"/>
      <c r="Z53" s="36"/>
      <c r="AA53" s="36"/>
      <c r="AB53" s="36"/>
    </row>
    <row r="54" spans="1:28" ht="24" customHeight="1">
      <c r="A54" s="63" t="s">
        <v>1231</v>
      </c>
      <c r="B54" s="64">
        <v>2012</v>
      </c>
      <c r="C54" s="32" t="s">
        <v>1232</v>
      </c>
      <c r="D54" s="33" t="s">
        <v>1233</v>
      </c>
      <c r="E54" s="32" t="s">
        <v>41</v>
      </c>
      <c r="F54" s="32" t="s">
        <v>42</v>
      </c>
      <c r="G54" s="116" t="s">
        <v>43</v>
      </c>
      <c r="H54" s="117" t="s">
        <v>1104</v>
      </c>
      <c r="I54" s="74"/>
      <c r="J54" s="36"/>
      <c r="K54" s="36"/>
      <c r="L54" s="36"/>
      <c r="M54" s="36"/>
      <c r="N54" s="36"/>
      <c r="O54" s="36"/>
      <c r="P54" s="36"/>
      <c r="Q54" s="36"/>
      <c r="R54" s="36"/>
      <c r="S54" s="36"/>
      <c r="T54" s="36"/>
      <c r="U54" s="36"/>
      <c r="V54" s="36"/>
      <c r="W54" s="36"/>
      <c r="X54" s="36"/>
      <c r="Y54" s="36"/>
      <c r="Z54" s="36"/>
      <c r="AA54" s="36"/>
      <c r="AB54" s="36"/>
    </row>
    <row r="55" spans="1:28" ht="48" customHeight="1">
      <c r="A55" s="30" t="str">
        <f>HYPERLINK("https://www.alcaldiabogota.gov.co/sisjur/normas/Norma1.jsp?i=53905","DECRETO  328")</f>
        <v>DECRETO  328</v>
      </c>
      <c r="B55" s="64">
        <v>2013</v>
      </c>
      <c r="C55" s="32" t="s">
        <v>61</v>
      </c>
      <c r="D55" s="33" t="s">
        <v>1235</v>
      </c>
      <c r="E55" s="32" t="s">
        <v>41</v>
      </c>
      <c r="F55" s="32" t="s">
        <v>42</v>
      </c>
      <c r="G55" s="261" t="s">
        <v>43</v>
      </c>
      <c r="H55" s="262" t="s">
        <v>1104</v>
      </c>
      <c r="I55" s="74"/>
      <c r="J55" s="36"/>
      <c r="K55" s="36"/>
      <c r="L55" s="36"/>
      <c r="M55" s="36"/>
      <c r="N55" s="36"/>
      <c r="O55" s="36"/>
      <c r="P55" s="36"/>
      <c r="Q55" s="36"/>
      <c r="R55" s="36"/>
      <c r="S55" s="36"/>
      <c r="T55" s="36"/>
      <c r="U55" s="36"/>
      <c r="V55" s="36"/>
      <c r="W55" s="36"/>
      <c r="X55" s="36"/>
      <c r="Y55" s="36"/>
      <c r="Z55" s="36"/>
      <c r="AA55" s="36"/>
      <c r="AB55" s="36"/>
    </row>
    <row r="56" spans="1:28" ht="24" customHeight="1">
      <c r="A56" s="63" t="s">
        <v>834</v>
      </c>
      <c r="B56" s="64">
        <v>2013</v>
      </c>
      <c r="C56" s="32" t="s">
        <v>61</v>
      </c>
      <c r="D56" s="33" t="s">
        <v>1236</v>
      </c>
      <c r="E56" s="32" t="s">
        <v>41</v>
      </c>
      <c r="F56" s="32" t="s">
        <v>42</v>
      </c>
      <c r="G56" s="116" t="s">
        <v>43</v>
      </c>
      <c r="H56" s="117" t="s">
        <v>1104</v>
      </c>
      <c r="I56" s="74"/>
      <c r="J56" s="36"/>
      <c r="K56" s="36"/>
      <c r="L56" s="36"/>
      <c r="M56" s="36"/>
      <c r="N56" s="36"/>
      <c r="O56" s="36"/>
      <c r="P56" s="36"/>
      <c r="Q56" s="36"/>
      <c r="R56" s="36"/>
      <c r="S56" s="36"/>
      <c r="T56" s="36"/>
      <c r="U56" s="36"/>
      <c r="V56" s="36"/>
      <c r="W56" s="36"/>
      <c r="X56" s="36"/>
      <c r="Y56" s="36"/>
      <c r="Z56" s="36"/>
      <c r="AA56" s="36"/>
      <c r="AB56" s="36"/>
    </row>
    <row r="57" spans="1:28" ht="24" customHeight="1">
      <c r="A57" s="63" t="s">
        <v>1237</v>
      </c>
      <c r="B57" s="64">
        <v>2014</v>
      </c>
      <c r="C57" s="32" t="s">
        <v>550</v>
      </c>
      <c r="D57" s="33" t="s">
        <v>1238</v>
      </c>
      <c r="E57" s="32" t="s">
        <v>41</v>
      </c>
      <c r="F57" s="32" t="s">
        <v>42</v>
      </c>
      <c r="G57" s="116" t="s">
        <v>43</v>
      </c>
      <c r="H57" s="117" t="s">
        <v>1104</v>
      </c>
      <c r="I57" s="74"/>
      <c r="J57" s="36"/>
      <c r="K57" s="36"/>
      <c r="L57" s="36"/>
      <c r="M57" s="36"/>
      <c r="N57" s="36"/>
      <c r="O57" s="36"/>
      <c r="P57" s="36"/>
      <c r="Q57" s="36"/>
      <c r="R57" s="36"/>
      <c r="S57" s="36"/>
      <c r="T57" s="36"/>
      <c r="U57" s="36"/>
      <c r="V57" s="36"/>
      <c r="W57" s="36"/>
      <c r="X57" s="36"/>
      <c r="Y57" s="36"/>
      <c r="Z57" s="36"/>
      <c r="AA57" s="36"/>
      <c r="AB57" s="36"/>
    </row>
    <row r="58" spans="1:28" ht="36" customHeight="1">
      <c r="A58" s="30" t="str">
        <f>HYPERLINK("https://www.alcaldiabogota.gov.co/sisjur/normas/Norma1.jsp?i=59913","DECRETO  490")</f>
        <v>DECRETO  490</v>
      </c>
      <c r="B58" s="64">
        <v>2014</v>
      </c>
      <c r="C58" s="32" t="s">
        <v>61</v>
      </c>
      <c r="D58" s="33" t="s">
        <v>836</v>
      </c>
      <c r="E58" s="32" t="s">
        <v>41</v>
      </c>
      <c r="F58" s="32" t="s">
        <v>42</v>
      </c>
      <c r="G58" s="261" t="s">
        <v>43</v>
      </c>
      <c r="H58" s="262" t="s">
        <v>1104</v>
      </c>
      <c r="I58" s="74"/>
      <c r="J58" s="36"/>
      <c r="K58" s="36"/>
      <c r="L58" s="36"/>
      <c r="M58" s="36"/>
      <c r="N58" s="36"/>
      <c r="O58" s="36"/>
      <c r="P58" s="36"/>
      <c r="Q58" s="36"/>
      <c r="R58" s="36"/>
      <c r="S58" s="36"/>
      <c r="T58" s="36"/>
      <c r="U58" s="36"/>
      <c r="V58" s="36"/>
      <c r="W58" s="36"/>
      <c r="X58" s="36"/>
      <c r="Y58" s="36"/>
      <c r="Z58" s="36"/>
      <c r="AA58" s="36"/>
      <c r="AB58" s="36"/>
    </row>
    <row r="59" spans="1:28" ht="48" customHeight="1">
      <c r="A59" s="63" t="s">
        <v>1240</v>
      </c>
      <c r="B59" s="64">
        <v>2014</v>
      </c>
      <c r="C59" s="32" t="s">
        <v>39</v>
      </c>
      <c r="D59" s="33" t="s">
        <v>1241</v>
      </c>
      <c r="E59" s="32" t="s">
        <v>1242</v>
      </c>
      <c r="F59" s="33" t="s">
        <v>1243</v>
      </c>
      <c r="G59" s="116" t="s">
        <v>43</v>
      </c>
      <c r="H59" s="117" t="s">
        <v>1176</v>
      </c>
      <c r="I59" s="74"/>
      <c r="J59" s="36"/>
      <c r="K59" s="36"/>
      <c r="L59" s="36"/>
      <c r="M59" s="36"/>
      <c r="N59" s="36"/>
      <c r="O59" s="36"/>
      <c r="P59" s="36"/>
      <c r="Q59" s="36"/>
      <c r="R59" s="36"/>
      <c r="S59" s="36"/>
      <c r="T59" s="36"/>
      <c r="U59" s="36"/>
      <c r="V59" s="36"/>
      <c r="W59" s="36"/>
      <c r="X59" s="36"/>
      <c r="Y59" s="36"/>
      <c r="Z59" s="36"/>
      <c r="AA59" s="36"/>
      <c r="AB59" s="36"/>
    </row>
    <row r="60" spans="1:28" ht="36" customHeight="1">
      <c r="A60" s="63" t="s">
        <v>1246</v>
      </c>
      <c r="B60" s="64">
        <v>2015</v>
      </c>
      <c r="C60" s="32" t="s">
        <v>61</v>
      </c>
      <c r="D60" s="33" t="s">
        <v>1247</v>
      </c>
      <c r="E60" s="32" t="s">
        <v>41</v>
      </c>
      <c r="F60" s="32" t="s">
        <v>42</v>
      </c>
      <c r="G60" s="116" t="s">
        <v>43</v>
      </c>
      <c r="H60" s="117" t="s">
        <v>1104</v>
      </c>
      <c r="I60" s="74"/>
      <c r="J60" s="36"/>
      <c r="K60" s="36"/>
      <c r="L60" s="36"/>
      <c r="M60" s="36"/>
      <c r="N60" s="36"/>
      <c r="O60" s="36"/>
      <c r="P60" s="36"/>
      <c r="Q60" s="36"/>
      <c r="R60" s="36"/>
      <c r="S60" s="36"/>
      <c r="T60" s="36"/>
      <c r="U60" s="36"/>
      <c r="V60" s="36"/>
      <c r="W60" s="36"/>
      <c r="X60" s="36"/>
      <c r="Y60" s="36"/>
      <c r="Z60" s="36"/>
      <c r="AA60" s="36"/>
      <c r="AB60" s="36"/>
    </row>
    <row r="61" spans="1:28" ht="24" customHeight="1">
      <c r="A61" s="43" t="str">
        <f>HYPERLINK("http://www.mintrabajo.gov.co/documents/20147/0/DUR+Sector+Trabajo+Actualizado+a+15+de+abril++de+2016.pdf/a32b1dcf-7a4e-8a37-ac16-c121928719c8","DECRETO 1072")</f>
        <v>DECRETO 1072</v>
      </c>
      <c r="B61" s="124">
        <v>2015</v>
      </c>
      <c r="C61" s="40" t="s">
        <v>1330</v>
      </c>
      <c r="D61" s="268" t="s">
        <v>2892</v>
      </c>
      <c r="E61" s="40" t="s">
        <v>2893</v>
      </c>
      <c r="F61" s="32"/>
      <c r="G61" s="116"/>
      <c r="H61" s="117"/>
      <c r="I61" s="74"/>
      <c r="J61" s="36"/>
      <c r="K61" s="36"/>
      <c r="L61" s="36"/>
      <c r="M61" s="36"/>
      <c r="N61" s="36"/>
      <c r="O61" s="36"/>
      <c r="P61" s="36"/>
      <c r="Q61" s="36"/>
      <c r="R61" s="36"/>
      <c r="S61" s="36"/>
      <c r="T61" s="36"/>
      <c r="U61" s="36"/>
      <c r="V61" s="36"/>
      <c r="W61" s="36"/>
      <c r="X61" s="36"/>
      <c r="Y61" s="36"/>
      <c r="Z61" s="36"/>
      <c r="AA61" s="36"/>
      <c r="AB61" s="36"/>
    </row>
    <row r="62" spans="1:28" ht="24" customHeight="1">
      <c r="A62" s="63" t="s">
        <v>1248</v>
      </c>
      <c r="B62" s="64">
        <v>2015</v>
      </c>
      <c r="C62" s="32" t="s">
        <v>61</v>
      </c>
      <c r="D62" s="33" t="s">
        <v>1249</v>
      </c>
      <c r="E62" s="32" t="s">
        <v>41</v>
      </c>
      <c r="F62" s="32" t="s">
        <v>42</v>
      </c>
      <c r="G62" s="116" t="s">
        <v>43</v>
      </c>
      <c r="H62" s="117" t="s">
        <v>1104</v>
      </c>
      <c r="I62" s="74"/>
      <c r="J62" s="36"/>
      <c r="K62" s="36"/>
      <c r="L62" s="36"/>
      <c r="M62" s="36"/>
      <c r="N62" s="36"/>
      <c r="O62" s="36"/>
      <c r="P62" s="36"/>
      <c r="Q62" s="36"/>
      <c r="R62" s="36"/>
      <c r="S62" s="36"/>
      <c r="T62" s="36"/>
      <c r="U62" s="36"/>
      <c r="V62" s="36"/>
      <c r="W62" s="36"/>
      <c r="X62" s="36"/>
      <c r="Y62" s="36"/>
      <c r="Z62" s="36"/>
      <c r="AA62" s="36"/>
      <c r="AB62" s="36"/>
    </row>
    <row r="63" spans="1:28" ht="24" customHeight="1">
      <c r="A63" s="30" t="str">
        <f>HYPERLINK("https://www.dnp.gov.co/Paginas/Normativa/Decreto-1082-de-2015.aspx","DECRETO 1082")</f>
        <v>DECRETO 1082</v>
      </c>
      <c r="B63" s="64">
        <v>2015</v>
      </c>
      <c r="C63" s="32" t="s">
        <v>39</v>
      </c>
      <c r="D63" s="33" t="s">
        <v>1250</v>
      </c>
      <c r="E63" s="32" t="s">
        <v>41</v>
      </c>
      <c r="F63" s="32" t="s">
        <v>42</v>
      </c>
      <c r="G63" s="261" t="s">
        <v>43</v>
      </c>
      <c r="H63" s="262" t="s">
        <v>1104</v>
      </c>
      <c r="I63" s="74"/>
      <c r="J63" s="36"/>
      <c r="K63" s="36"/>
      <c r="L63" s="36"/>
      <c r="M63" s="36"/>
      <c r="N63" s="36"/>
      <c r="O63" s="36"/>
      <c r="P63" s="36"/>
      <c r="Q63" s="36"/>
      <c r="R63" s="36"/>
      <c r="S63" s="36"/>
      <c r="T63" s="36"/>
      <c r="U63" s="36"/>
      <c r="V63" s="36"/>
      <c r="W63" s="36"/>
      <c r="X63" s="36"/>
      <c r="Y63" s="36"/>
      <c r="Z63" s="36"/>
      <c r="AA63" s="36"/>
      <c r="AB63" s="36"/>
    </row>
    <row r="64" spans="1:28" ht="24" customHeight="1">
      <c r="A64" s="63" t="s">
        <v>1251</v>
      </c>
      <c r="B64" s="64">
        <v>2015</v>
      </c>
      <c r="C64" s="32" t="s">
        <v>39</v>
      </c>
      <c r="D64" s="33" t="s">
        <v>1252</v>
      </c>
      <c r="E64" s="32" t="s">
        <v>41</v>
      </c>
      <c r="F64" s="32" t="s">
        <v>42</v>
      </c>
      <c r="G64" s="116" t="s">
        <v>43</v>
      </c>
      <c r="H64" s="117" t="s">
        <v>1104</v>
      </c>
      <c r="I64" s="74"/>
      <c r="J64" s="36"/>
      <c r="K64" s="36"/>
      <c r="L64" s="36"/>
      <c r="M64" s="36"/>
      <c r="N64" s="36"/>
      <c r="O64" s="36"/>
      <c r="P64" s="36"/>
      <c r="Q64" s="36"/>
      <c r="R64" s="36"/>
      <c r="S64" s="36"/>
      <c r="T64" s="36"/>
      <c r="U64" s="36"/>
      <c r="V64" s="36"/>
      <c r="W64" s="36"/>
      <c r="X64" s="36"/>
      <c r="Y64" s="36"/>
      <c r="Z64" s="36"/>
      <c r="AA64" s="36"/>
      <c r="AB64" s="36"/>
    </row>
    <row r="65" spans="1:28" ht="24" customHeight="1">
      <c r="A65" s="269" t="str">
        <f>HYPERLINK("http://www.minvivienda.gov.co/NormativaInstitucional/1077%20-%202015.pdf","DECRETO  1077")</f>
        <v>DECRETO  1077</v>
      </c>
      <c r="B65" s="64">
        <v>2015</v>
      </c>
      <c r="C65" s="32" t="s">
        <v>39</v>
      </c>
      <c r="D65" s="33" t="s">
        <v>1254</v>
      </c>
      <c r="E65" s="32" t="s">
        <v>41</v>
      </c>
      <c r="F65" s="32" t="s">
        <v>42</v>
      </c>
      <c r="G65" s="270" t="s">
        <v>43</v>
      </c>
      <c r="H65" s="262" t="s">
        <v>1104</v>
      </c>
      <c r="I65" s="74"/>
      <c r="J65" s="36"/>
      <c r="K65" s="36"/>
      <c r="L65" s="36"/>
      <c r="M65" s="36"/>
      <c r="N65" s="36"/>
      <c r="O65" s="36"/>
      <c r="P65" s="36"/>
      <c r="Q65" s="36"/>
      <c r="R65" s="36"/>
      <c r="S65" s="36"/>
      <c r="T65" s="36"/>
      <c r="U65" s="36"/>
      <c r="V65" s="36"/>
      <c r="W65" s="36"/>
      <c r="X65" s="36"/>
      <c r="Y65" s="36"/>
      <c r="Z65" s="36"/>
      <c r="AA65" s="36"/>
      <c r="AB65" s="36"/>
    </row>
    <row r="66" spans="1:28" ht="96" customHeight="1">
      <c r="A66" s="30" t="str">
        <f>HYPERLINK("http://wp.presidencia.gov.co/sitios/normativa/decretos/2015/Decretos2015/DECRETO%202218%20DEL%2018%20DE%20NOVIEMBRE%20DE%202015.pdf","DECRETO 2218")</f>
        <v>DECRETO 2218</v>
      </c>
      <c r="B66" s="64">
        <v>2015</v>
      </c>
      <c r="C66" s="32" t="s">
        <v>39</v>
      </c>
      <c r="D66" s="33" t="s">
        <v>1256</v>
      </c>
      <c r="E66" s="32" t="s">
        <v>41</v>
      </c>
      <c r="F66" s="32" t="s">
        <v>42</v>
      </c>
      <c r="G66" s="270" t="s">
        <v>43</v>
      </c>
      <c r="H66" s="262" t="s">
        <v>1104</v>
      </c>
      <c r="I66" s="74"/>
      <c r="J66" s="36"/>
      <c r="K66" s="36"/>
      <c r="L66" s="36"/>
      <c r="M66" s="36"/>
      <c r="N66" s="36"/>
      <c r="O66" s="36"/>
      <c r="P66" s="36"/>
      <c r="Q66" s="36"/>
      <c r="R66" s="36"/>
      <c r="S66" s="36"/>
      <c r="T66" s="36"/>
      <c r="U66" s="36"/>
      <c r="V66" s="36"/>
      <c r="W66" s="36"/>
      <c r="X66" s="36"/>
      <c r="Y66" s="36"/>
      <c r="Z66" s="36"/>
      <c r="AA66" s="36"/>
      <c r="AB66" s="36"/>
    </row>
    <row r="67" spans="1:28" ht="96" customHeight="1">
      <c r="A67" s="43" t="str">
        <f>HYPERLINK("https://www.alcaldiabogota.gov.co/sisjur/normas/Norma1.jsp?i=64323#5","DECRETO 561")</f>
        <v>DECRETO 561</v>
      </c>
      <c r="B67" s="124">
        <v>2015</v>
      </c>
      <c r="C67" s="32" t="s">
        <v>61</v>
      </c>
      <c r="D67" s="39" t="s">
        <v>2894</v>
      </c>
      <c r="E67" s="32" t="s">
        <v>41</v>
      </c>
      <c r="F67" s="32" t="s">
        <v>42</v>
      </c>
      <c r="G67" s="270"/>
      <c r="H67" s="262"/>
      <c r="I67" s="74"/>
      <c r="J67" s="36"/>
      <c r="K67" s="36"/>
      <c r="L67" s="36"/>
      <c r="M67" s="36"/>
      <c r="N67" s="36"/>
      <c r="O67" s="36"/>
      <c r="P67" s="36"/>
      <c r="Q67" s="36"/>
      <c r="R67" s="36"/>
      <c r="S67" s="36"/>
      <c r="T67" s="36"/>
      <c r="U67" s="36"/>
      <c r="V67" s="36"/>
      <c r="W67" s="36"/>
      <c r="X67" s="36"/>
      <c r="Y67" s="36"/>
      <c r="Z67" s="36"/>
      <c r="AA67" s="36"/>
      <c r="AB67" s="36"/>
    </row>
    <row r="68" spans="1:28" ht="36" customHeight="1">
      <c r="A68" s="30" t="str">
        <f>HYPERLINK("https://dapre.presidencia.gov.co/normativa/normativa/DECRETO%201197%20DEL%2021%20DE%20JULIO%20DE%202016.pdf","DECRETO  1197")</f>
        <v>DECRETO  1197</v>
      </c>
      <c r="B68" s="64">
        <v>2016</v>
      </c>
      <c r="C68" s="32" t="s">
        <v>39</v>
      </c>
      <c r="D68" s="33" t="s">
        <v>1258</v>
      </c>
      <c r="E68" s="32" t="s">
        <v>41</v>
      </c>
      <c r="F68" s="32" t="s">
        <v>42</v>
      </c>
      <c r="G68" s="270" t="s">
        <v>43</v>
      </c>
      <c r="H68" s="262" t="s">
        <v>1104</v>
      </c>
      <c r="I68" s="74"/>
      <c r="J68" s="36"/>
      <c r="K68" s="36"/>
      <c r="L68" s="36"/>
      <c r="M68" s="36"/>
      <c r="N68" s="36"/>
      <c r="O68" s="36"/>
      <c r="P68" s="36"/>
      <c r="Q68" s="36"/>
      <c r="R68" s="36"/>
      <c r="S68" s="36"/>
      <c r="T68" s="36"/>
      <c r="U68" s="36"/>
      <c r="V68" s="36"/>
      <c r="W68" s="36"/>
      <c r="X68" s="36"/>
      <c r="Y68" s="36"/>
      <c r="Z68" s="36"/>
      <c r="AA68" s="36"/>
      <c r="AB68" s="36"/>
    </row>
    <row r="69" spans="1:28" ht="48" customHeight="1">
      <c r="A69" s="43" t="str">
        <f>HYPERLINK("https://www.alcaldiabogota.gov.co/sisjur/normas/Norma1.jsp?i=65144#1","DECRETO 079")</f>
        <v>DECRETO 079</v>
      </c>
      <c r="B69" s="124">
        <v>2016</v>
      </c>
      <c r="C69" s="32" t="s">
        <v>61</v>
      </c>
      <c r="D69" s="39" t="s">
        <v>2895</v>
      </c>
      <c r="E69" s="32" t="s">
        <v>41</v>
      </c>
      <c r="F69" s="32" t="s">
        <v>42</v>
      </c>
      <c r="G69" s="270"/>
      <c r="H69" s="262"/>
      <c r="I69" s="74"/>
      <c r="J69" s="36"/>
      <c r="K69" s="36"/>
      <c r="L69" s="36"/>
      <c r="M69" s="36"/>
      <c r="N69" s="36"/>
      <c r="O69" s="36"/>
      <c r="P69" s="36"/>
      <c r="Q69" s="36"/>
      <c r="R69" s="36"/>
      <c r="S69" s="36"/>
      <c r="T69" s="36"/>
      <c r="U69" s="36"/>
      <c r="V69" s="36"/>
      <c r="W69" s="36"/>
      <c r="X69" s="36"/>
      <c r="Y69" s="36"/>
      <c r="Z69" s="36"/>
      <c r="AA69" s="36"/>
      <c r="AB69" s="36"/>
    </row>
    <row r="70" spans="1:28" ht="48" customHeight="1">
      <c r="A70" s="30" t="str">
        <f>HYPERLINK("https://www.alcaldiabogota.gov.co/sisjur/normas/Norma1.jsp?i=66069#0","DECRETO 219")</f>
        <v>DECRETO 219</v>
      </c>
      <c r="B70" s="64">
        <v>2016</v>
      </c>
      <c r="C70" s="32" t="s">
        <v>61</v>
      </c>
      <c r="D70" s="33" t="s">
        <v>1260</v>
      </c>
      <c r="E70" s="32" t="s">
        <v>41</v>
      </c>
      <c r="F70" s="32" t="s">
        <v>42</v>
      </c>
      <c r="G70" s="270" t="s">
        <v>43</v>
      </c>
      <c r="H70" s="262" t="s">
        <v>1104</v>
      </c>
      <c r="I70" s="74"/>
      <c r="J70" s="36"/>
      <c r="K70" s="36"/>
      <c r="L70" s="36"/>
      <c r="M70" s="36"/>
      <c r="N70" s="36"/>
      <c r="O70" s="36"/>
      <c r="P70" s="36"/>
      <c r="Q70" s="36"/>
      <c r="R70" s="36"/>
      <c r="S70" s="36"/>
      <c r="T70" s="36"/>
      <c r="U70" s="36"/>
      <c r="V70" s="36"/>
      <c r="W70" s="36"/>
      <c r="X70" s="36"/>
      <c r="Y70" s="36"/>
      <c r="Z70" s="36"/>
      <c r="AA70" s="36"/>
      <c r="AB70" s="36"/>
    </row>
    <row r="71" spans="1:28" ht="48" customHeight="1">
      <c r="A71" s="30" t="str">
        <f>HYPERLINK("https://www.alcaldiabogota.gov.co/sisjur/normas/Norma1.jsp?i=67757","DECRETO  603")</f>
        <v>DECRETO  603</v>
      </c>
      <c r="B71" s="124">
        <v>2007</v>
      </c>
      <c r="C71" s="32" t="s">
        <v>61</v>
      </c>
      <c r="D71" s="268" t="s">
        <v>2896</v>
      </c>
      <c r="E71" s="32" t="s">
        <v>41</v>
      </c>
      <c r="F71" s="32" t="s">
        <v>42</v>
      </c>
      <c r="G71" s="270" t="s">
        <v>43</v>
      </c>
      <c r="H71" s="262" t="s">
        <v>1104</v>
      </c>
      <c r="I71" s="74"/>
      <c r="J71" s="36"/>
      <c r="K71" s="36"/>
      <c r="L71" s="36"/>
      <c r="M71" s="36"/>
      <c r="N71" s="36"/>
      <c r="O71" s="36"/>
      <c r="P71" s="36"/>
      <c r="Q71" s="36"/>
      <c r="R71" s="36"/>
      <c r="S71" s="36"/>
      <c r="T71" s="36"/>
      <c r="U71" s="36"/>
      <c r="V71" s="36"/>
      <c r="W71" s="36"/>
      <c r="X71" s="36"/>
      <c r="Y71" s="36"/>
      <c r="Z71" s="36"/>
      <c r="AA71" s="36"/>
      <c r="AB71" s="36"/>
    </row>
    <row r="72" spans="1:28" ht="24" customHeight="1">
      <c r="A72" s="30" t="str">
        <f>HYPERLINK("https://www.alcaldiabogota.gov.co/sisjur/normas/Norma1.jsp?i=39255","DECRETO 945")</f>
        <v>DECRETO 945</v>
      </c>
      <c r="B72" s="64">
        <v>2017</v>
      </c>
      <c r="C72" s="32" t="s">
        <v>39</v>
      </c>
      <c r="D72" s="33" t="s">
        <v>1266</v>
      </c>
      <c r="E72" s="32" t="s">
        <v>41</v>
      </c>
      <c r="F72" s="32" t="s">
        <v>42</v>
      </c>
      <c r="G72" s="270" t="s">
        <v>43</v>
      </c>
      <c r="H72" s="262" t="s">
        <v>1104</v>
      </c>
      <c r="I72" s="74"/>
      <c r="J72" s="36"/>
      <c r="K72" s="36"/>
      <c r="L72" s="36"/>
      <c r="M72" s="36"/>
      <c r="N72" s="36"/>
      <c r="O72" s="36"/>
      <c r="P72" s="36"/>
      <c r="Q72" s="36"/>
      <c r="R72" s="36"/>
      <c r="S72" s="36"/>
      <c r="T72" s="36"/>
      <c r="U72" s="36"/>
      <c r="V72" s="36"/>
      <c r="W72" s="36"/>
      <c r="X72" s="36"/>
      <c r="Y72" s="36"/>
      <c r="Z72" s="36"/>
      <c r="AA72" s="36"/>
      <c r="AB72" s="36"/>
    </row>
    <row r="73" spans="1:28" ht="72" customHeight="1">
      <c r="A73" s="43" t="str">
        <f>HYPERLINK("https://www.alcaldiabogota.gov.co/sisjur/normas/Norma1.jsp?i=68643","DECRETO 134")</f>
        <v>DECRETO 134</v>
      </c>
      <c r="B73" s="124">
        <v>2017</v>
      </c>
      <c r="C73" s="32" t="s">
        <v>61</v>
      </c>
      <c r="D73" s="268" t="s">
        <v>2897</v>
      </c>
      <c r="E73" s="40" t="s">
        <v>2898</v>
      </c>
      <c r="F73" s="32" t="s">
        <v>42</v>
      </c>
      <c r="G73" s="270"/>
      <c r="H73" s="262"/>
      <c r="I73" s="74"/>
      <c r="J73" s="36"/>
      <c r="K73" s="36"/>
      <c r="L73" s="36"/>
      <c r="M73" s="36"/>
      <c r="N73" s="36"/>
      <c r="O73" s="36"/>
      <c r="P73" s="36"/>
      <c r="Q73" s="36"/>
      <c r="R73" s="36"/>
      <c r="S73" s="36"/>
      <c r="T73" s="36"/>
      <c r="U73" s="36"/>
      <c r="V73" s="36"/>
      <c r="W73" s="36"/>
      <c r="X73" s="36"/>
      <c r="Y73" s="36"/>
      <c r="Z73" s="36"/>
      <c r="AA73" s="36"/>
      <c r="AB73" s="36"/>
    </row>
    <row r="74" spans="1:28" ht="72" customHeight="1">
      <c r="A74" s="30" t="str">
        <f>HYPERLINK("http://es.presidencia.gov.co/normativa/normativa/DECRETO%201203%20DEL%2012%20DE%20JULIO%20DE%202017.pdf","DECRETO 1203 ")</f>
        <v xml:space="preserve">DECRETO 1203 </v>
      </c>
      <c r="B74" s="64">
        <v>2017</v>
      </c>
      <c r="C74" s="32" t="s">
        <v>39</v>
      </c>
      <c r="D74" s="33" t="s">
        <v>1268</v>
      </c>
      <c r="E74" s="40" t="s">
        <v>2899</v>
      </c>
      <c r="F74" s="32" t="s">
        <v>42</v>
      </c>
      <c r="G74" s="270" t="s">
        <v>43</v>
      </c>
      <c r="H74" s="262" t="s">
        <v>1104</v>
      </c>
      <c r="I74" s="74"/>
      <c r="J74" s="36"/>
      <c r="K74" s="36"/>
      <c r="L74" s="36"/>
      <c r="M74" s="36"/>
      <c r="N74" s="36"/>
      <c r="O74" s="36"/>
      <c r="P74" s="36"/>
      <c r="Q74" s="36"/>
      <c r="R74" s="36"/>
      <c r="S74" s="36"/>
      <c r="T74" s="36"/>
      <c r="U74" s="36"/>
      <c r="V74" s="36"/>
      <c r="W74" s="36"/>
      <c r="X74" s="36"/>
      <c r="Y74" s="36"/>
      <c r="Z74" s="36"/>
      <c r="AA74" s="36"/>
      <c r="AB74" s="36"/>
    </row>
    <row r="75" spans="1:28" ht="79.5" customHeight="1">
      <c r="A75" s="43" t="str">
        <f>HYPERLINK("https://www.alcaldiabogota.gov.co/sisjur/normas/Norma1.jsp?i=72716","DECRETO 595")</f>
        <v>DECRETO 595</v>
      </c>
      <c r="B75" s="124">
        <v>2017</v>
      </c>
      <c r="C75" s="32" t="s">
        <v>61</v>
      </c>
      <c r="D75" s="271" t="s">
        <v>2900</v>
      </c>
      <c r="E75" s="32"/>
      <c r="F75" s="32" t="s">
        <v>42</v>
      </c>
      <c r="G75" s="270"/>
      <c r="H75" s="262"/>
      <c r="I75" s="74"/>
      <c r="J75" s="36"/>
      <c r="K75" s="36"/>
      <c r="L75" s="36"/>
      <c r="M75" s="36"/>
      <c r="N75" s="36"/>
      <c r="O75" s="36"/>
      <c r="P75" s="36"/>
      <c r="Q75" s="36"/>
      <c r="R75" s="36"/>
      <c r="S75" s="36"/>
      <c r="T75" s="36"/>
      <c r="U75" s="36"/>
      <c r="V75" s="36"/>
      <c r="W75" s="36"/>
      <c r="X75" s="36"/>
      <c r="Y75" s="36"/>
      <c r="Z75" s="36"/>
      <c r="AA75" s="36"/>
      <c r="AB75" s="36"/>
    </row>
    <row r="76" spans="1:28" ht="36" customHeight="1">
      <c r="A76" s="30" t="str">
        <f>HYPERLINK("https://www.funcionpublica.gov.co/eva/gestornormativo/norma.php?i=84503","DECRETO 2013")</f>
        <v>DECRETO 2013</v>
      </c>
      <c r="B76" s="64">
        <v>2017</v>
      </c>
      <c r="C76" s="142" t="s">
        <v>1232</v>
      </c>
      <c r="D76" s="33" t="s">
        <v>1270</v>
      </c>
      <c r="E76" s="32" t="s">
        <v>41</v>
      </c>
      <c r="F76" s="32" t="s">
        <v>42</v>
      </c>
      <c r="G76" s="272" t="s">
        <v>43</v>
      </c>
      <c r="H76" s="201" t="s">
        <v>1104</v>
      </c>
      <c r="I76" s="74"/>
      <c r="J76" s="36"/>
      <c r="K76" s="36"/>
      <c r="L76" s="36"/>
      <c r="M76" s="36"/>
      <c r="N76" s="36"/>
      <c r="O76" s="36"/>
      <c r="P76" s="36"/>
      <c r="Q76" s="36"/>
      <c r="R76" s="36"/>
      <c r="S76" s="36"/>
      <c r="T76" s="36"/>
      <c r="U76" s="36"/>
      <c r="V76" s="36"/>
      <c r="W76" s="36"/>
      <c r="X76" s="36"/>
      <c r="Y76" s="36"/>
      <c r="Z76" s="36"/>
      <c r="AA76" s="36"/>
      <c r="AB76" s="36"/>
    </row>
    <row r="77" spans="1:28" ht="42.75" customHeight="1">
      <c r="A77" s="48" t="str">
        <f>HYPERLINK("https://www.alcaldiabogota.gov.co/sisjur/normas/Norma1.jsp?i=78512","DECRETO 308")</f>
        <v>DECRETO 308</v>
      </c>
      <c r="B77" s="124">
        <v>2018</v>
      </c>
      <c r="C77" s="32" t="s">
        <v>61</v>
      </c>
      <c r="D77" s="39" t="s">
        <v>2901</v>
      </c>
      <c r="E77" s="32" t="s">
        <v>41</v>
      </c>
      <c r="F77" s="32" t="s">
        <v>42</v>
      </c>
      <c r="G77" s="270"/>
      <c r="H77" s="262"/>
      <c r="I77" s="74"/>
      <c r="J77" s="36"/>
      <c r="K77" s="36"/>
      <c r="L77" s="36"/>
      <c r="M77" s="36"/>
      <c r="N77" s="36"/>
      <c r="O77" s="36"/>
      <c r="P77" s="36"/>
      <c r="Q77" s="36"/>
      <c r="R77" s="36"/>
      <c r="S77" s="36"/>
      <c r="T77" s="36"/>
      <c r="U77" s="36"/>
      <c r="V77" s="36"/>
      <c r="W77" s="36"/>
      <c r="X77" s="36"/>
      <c r="Y77" s="36"/>
      <c r="Z77" s="36"/>
      <c r="AA77" s="36"/>
      <c r="AB77" s="36"/>
    </row>
    <row r="78" spans="1:28" ht="30" customHeight="1">
      <c r="A78" s="273" t="s">
        <v>2902</v>
      </c>
      <c r="B78" s="124">
        <v>2019</v>
      </c>
      <c r="C78" s="32" t="s">
        <v>61</v>
      </c>
      <c r="D78" s="268" t="s">
        <v>2903</v>
      </c>
      <c r="E78" s="32" t="s">
        <v>41</v>
      </c>
      <c r="F78" s="32" t="s">
        <v>42</v>
      </c>
      <c r="G78" s="270"/>
      <c r="H78" s="262"/>
      <c r="I78" s="74"/>
      <c r="J78" s="36"/>
      <c r="K78" s="36"/>
      <c r="L78" s="36"/>
      <c r="M78" s="36"/>
      <c r="N78" s="36"/>
      <c r="O78" s="36"/>
      <c r="P78" s="36"/>
      <c r="Q78" s="36"/>
      <c r="R78" s="36"/>
      <c r="S78" s="36"/>
      <c r="T78" s="36"/>
      <c r="U78" s="36"/>
      <c r="V78" s="36"/>
      <c r="W78" s="36"/>
      <c r="X78" s="36"/>
      <c r="Y78" s="36"/>
      <c r="Z78" s="36"/>
      <c r="AA78" s="36"/>
      <c r="AB78" s="36"/>
    </row>
    <row r="79" spans="1:28" ht="15.75" customHeight="1">
      <c r="A79" s="49" t="str">
        <f>HYPERLINK("https://bibliotecadigital.ccb.org.co/bitstream/handle/11520/13693/Acuerdo%2079%20de%202003.pdf?sequence=1&amp;isAllowed=y","ACUERDO  79")</f>
        <v>ACUERDO  79</v>
      </c>
      <c r="B79" s="64">
        <v>2003</v>
      </c>
      <c r="C79" s="32" t="s">
        <v>195</v>
      </c>
      <c r="D79" s="33" t="s">
        <v>1272</v>
      </c>
      <c r="E79" s="40" t="s">
        <v>2904</v>
      </c>
      <c r="F79" s="32" t="s">
        <v>42</v>
      </c>
      <c r="G79" s="272" t="s">
        <v>43</v>
      </c>
      <c r="H79" s="201" t="s">
        <v>1104</v>
      </c>
      <c r="I79" s="74"/>
      <c r="J79" s="36"/>
      <c r="K79" s="36"/>
      <c r="L79" s="36"/>
      <c r="M79" s="36"/>
      <c r="N79" s="36"/>
      <c r="O79" s="36"/>
      <c r="P79" s="36"/>
      <c r="Q79" s="36"/>
      <c r="R79" s="36"/>
      <c r="S79" s="36"/>
      <c r="T79" s="36"/>
      <c r="U79" s="36"/>
      <c r="V79" s="36"/>
      <c r="W79" s="36"/>
      <c r="X79" s="36"/>
      <c r="Y79" s="36"/>
      <c r="Z79" s="36"/>
      <c r="AA79" s="36"/>
      <c r="AB79" s="36"/>
    </row>
    <row r="80" spans="1:28" ht="36" customHeight="1">
      <c r="A80" s="274" t="s">
        <v>1273</v>
      </c>
      <c r="B80" s="64">
        <v>2008</v>
      </c>
      <c r="C80" s="32" t="s">
        <v>195</v>
      </c>
      <c r="D80" s="33" t="s">
        <v>562</v>
      </c>
      <c r="E80" s="32" t="s">
        <v>41</v>
      </c>
      <c r="F80" s="32" t="s">
        <v>42</v>
      </c>
      <c r="G80" s="272" t="s">
        <v>43</v>
      </c>
      <c r="H80" s="201" t="s">
        <v>1104</v>
      </c>
      <c r="I80" s="74"/>
      <c r="J80" s="36"/>
      <c r="K80" s="36"/>
      <c r="L80" s="36"/>
      <c r="M80" s="36"/>
      <c r="N80" s="36"/>
      <c r="O80" s="36"/>
      <c r="P80" s="36"/>
      <c r="Q80" s="36"/>
      <c r="R80" s="36"/>
      <c r="S80" s="36"/>
      <c r="T80" s="36"/>
      <c r="U80" s="36"/>
      <c r="V80" s="36"/>
      <c r="W80" s="36"/>
      <c r="X80" s="36"/>
      <c r="Y80" s="36"/>
      <c r="Z80" s="36"/>
      <c r="AA80" s="36"/>
      <c r="AB80" s="36"/>
    </row>
    <row r="81" spans="1:28" ht="36" customHeight="1">
      <c r="A81" s="274" t="s">
        <v>1274</v>
      </c>
      <c r="B81" s="64">
        <v>2008</v>
      </c>
      <c r="C81" s="32" t="s">
        <v>195</v>
      </c>
      <c r="D81" s="33" t="s">
        <v>1275</v>
      </c>
      <c r="E81" s="32" t="s">
        <v>41</v>
      </c>
      <c r="F81" s="32" t="s">
        <v>42</v>
      </c>
      <c r="G81" s="272" t="s">
        <v>43</v>
      </c>
      <c r="H81" s="201" t="s">
        <v>1104</v>
      </c>
      <c r="I81" s="74"/>
      <c r="J81" s="36"/>
      <c r="K81" s="36"/>
      <c r="L81" s="36"/>
      <c r="M81" s="36"/>
      <c r="N81" s="36"/>
      <c r="O81" s="36"/>
      <c r="P81" s="36"/>
      <c r="Q81" s="36"/>
      <c r="R81" s="36"/>
      <c r="S81" s="36"/>
      <c r="T81" s="36"/>
      <c r="U81" s="36"/>
      <c r="V81" s="36"/>
      <c r="W81" s="36"/>
      <c r="X81" s="36"/>
      <c r="Y81" s="36"/>
      <c r="Z81" s="36"/>
      <c r="AA81" s="36"/>
      <c r="AB81" s="36"/>
    </row>
    <row r="82" spans="1:28" ht="36" customHeight="1">
      <c r="A82" s="274" t="s">
        <v>1276</v>
      </c>
      <c r="B82" s="64">
        <v>2010</v>
      </c>
      <c r="C82" s="32" t="s">
        <v>195</v>
      </c>
      <c r="D82" s="33" t="s">
        <v>200</v>
      </c>
      <c r="E82" s="32" t="s">
        <v>41</v>
      </c>
      <c r="F82" s="32" t="s">
        <v>42</v>
      </c>
      <c r="G82" s="272" t="s">
        <v>43</v>
      </c>
      <c r="H82" s="201" t="s">
        <v>1104</v>
      </c>
      <c r="I82" s="74"/>
      <c r="J82" s="36"/>
      <c r="K82" s="36"/>
      <c r="L82" s="36"/>
      <c r="M82" s="36"/>
      <c r="N82" s="36"/>
      <c r="O82" s="36"/>
      <c r="P82" s="36"/>
      <c r="Q82" s="36"/>
      <c r="R82" s="36"/>
      <c r="S82" s="36"/>
      <c r="T82" s="36"/>
      <c r="U82" s="36"/>
      <c r="V82" s="36"/>
      <c r="W82" s="36"/>
      <c r="X82" s="36"/>
      <c r="Y82" s="36"/>
      <c r="Z82" s="36"/>
      <c r="AA82" s="36"/>
      <c r="AB82" s="36"/>
    </row>
    <row r="83" spans="1:28" ht="36" customHeight="1">
      <c r="A83" s="49" t="str">
        <f>HYPERLINK("http://concejodebogota.gov.co/cbogota/site/artic/20141104/asocfile/20141104151018/acuerdo_435_de_2010.pdf","ACUERDO  435")</f>
        <v>ACUERDO  435</v>
      </c>
      <c r="B83" s="64">
        <v>2010</v>
      </c>
      <c r="C83" s="32" t="s">
        <v>195</v>
      </c>
      <c r="D83" s="33" t="s">
        <v>201</v>
      </c>
      <c r="E83" s="32" t="s">
        <v>41</v>
      </c>
      <c r="F83" s="32" t="s">
        <v>42</v>
      </c>
      <c r="G83" s="270" t="s">
        <v>43</v>
      </c>
      <c r="H83" s="262" t="s">
        <v>1104</v>
      </c>
      <c r="I83" s="74"/>
      <c r="J83" s="36"/>
      <c r="K83" s="36"/>
      <c r="L83" s="36"/>
      <c r="M83" s="36"/>
      <c r="N83" s="36"/>
      <c r="O83" s="36"/>
      <c r="P83" s="36"/>
      <c r="Q83" s="36"/>
      <c r="R83" s="36"/>
      <c r="S83" s="36"/>
      <c r="T83" s="36"/>
      <c r="U83" s="36"/>
      <c r="V83" s="36"/>
      <c r="W83" s="36"/>
      <c r="X83" s="36"/>
      <c r="Y83" s="36"/>
      <c r="Z83" s="36"/>
      <c r="AA83" s="36"/>
      <c r="AB83" s="36"/>
    </row>
    <row r="84" spans="1:28" ht="24" customHeight="1">
      <c r="A84" s="274" t="s">
        <v>1278</v>
      </c>
      <c r="B84" s="64">
        <v>2013</v>
      </c>
      <c r="C84" s="32" t="s">
        <v>195</v>
      </c>
      <c r="D84" s="33" t="s">
        <v>1279</v>
      </c>
      <c r="E84" s="32" t="s">
        <v>41</v>
      </c>
      <c r="F84" s="32" t="s">
        <v>42</v>
      </c>
      <c r="G84" s="272" t="s">
        <v>43</v>
      </c>
      <c r="H84" s="201" t="s">
        <v>1104</v>
      </c>
      <c r="I84" s="74"/>
      <c r="J84" s="36"/>
      <c r="K84" s="36"/>
      <c r="L84" s="36"/>
      <c r="M84" s="36"/>
      <c r="N84" s="36"/>
      <c r="O84" s="36"/>
      <c r="P84" s="36"/>
      <c r="Q84" s="36"/>
      <c r="R84" s="36"/>
      <c r="S84" s="36"/>
      <c r="T84" s="36"/>
      <c r="U84" s="36"/>
      <c r="V84" s="36"/>
      <c r="W84" s="36"/>
      <c r="X84" s="36"/>
      <c r="Y84" s="36"/>
      <c r="Z84" s="36"/>
      <c r="AA84" s="36"/>
      <c r="AB84" s="36"/>
    </row>
    <row r="85" spans="1:28" ht="60" customHeight="1">
      <c r="A85" s="274" t="s">
        <v>1280</v>
      </c>
      <c r="B85" s="64">
        <v>2016</v>
      </c>
      <c r="C85" s="32" t="s">
        <v>195</v>
      </c>
      <c r="D85" s="33" t="s">
        <v>1281</v>
      </c>
      <c r="E85" s="32" t="s">
        <v>41</v>
      </c>
      <c r="F85" s="32" t="s">
        <v>42</v>
      </c>
      <c r="G85" s="272" t="s">
        <v>43</v>
      </c>
      <c r="H85" s="201" t="s">
        <v>1104</v>
      </c>
      <c r="I85" s="74"/>
      <c r="J85" s="36"/>
      <c r="K85" s="36"/>
      <c r="L85" s="36"/>
      <c r="M85" s="36"/>
      <c r="N85" s="36"/>
      <c r="O85" s="36"/>
      <c r="P85" s="36"/>
      <c r="Q85" s="36"/>
      <c r="R85" s="36"/>
      <c r="S85" s="36"/>
      <c r="T85" s="36"/>
      <c r="U85" s="36"/>
      <c r="V85" s="36"/>
      <c r="W85" s="36"/>
      <c r="X85" s="36"/>
      <c r="Y85" s="36"/>
      <c r="Z85" s="36"/>
      <c r="AA85" s="36"/>
      <c r="AB85" s="36"/>
    </row>
    <row r="86" spans="1:28" ht="48" customHeight="1">
      <c r="A86" s="63" t="s">
        <v>1286</v>
      </c>
      <c r="B86" s="64">
        <v>1994</v>
      </c>
      <c r="C86" s="32" t="s">
        <v>516</v>
      </c>
      <c r="D86" s="33" t="s">
        <v>569</v>
      </c>
      <c r="E86" s="32" t="s">
        <v>41</v>
      </c>
      <c r="F86" s="32" t="s">
        <v>42</v>
      </c>
      <c r="G86" s="272" t="s">
        <v>43</v>
      </c>
      <c r="H86" s="201" t="s">
        <v>1104</v>
      </c>
      <c r="I86" s="74"/>
      <c r="J86" s="36"/>
      <c r="K86" s="36"/>
      <c r="L86" s="36"/>
      <c r="M86" s="36"/>
      <c r="N86" s="36"/>
      <c r="O86" s="36"/>
      <c r="P86" s="36"/>
      <c r="Q86" s="36"/>
      <c r="R86" s="36"/>
      <c r="S86" s="36"/>
      <c r="T86" s="36"/>
      <c r="U86" s="36"/>
      <c r="V86" s="36"/>
      <c r="W86" s="36"/>
      <c r="X86" s="36"/>
      <c r="Y86" s="36"/>
      <c r="Z86" s="36"/>
      <c r="AA86" s="36"/>
      <c r="AB86" s="36"/>
    </row>
    <row r="87" spans="1:28" ht="24" customHeight="1">
      <c r="A87" s="63" t="s">
        <v>1287</v>
      </c>
      <c r="B87" s="64">
        <v>1998</v>
      </c>
      <c r="C87" s="32" t="s">
        <v>1288</v>
      </c>
      <c r="D87" s="33" t="s">
        <v>1289</v>
      </c>
      <c r="E87" s="32" t="s">
        <v>41</v>
      </c>
      <c r="F87" s="32" t="s">
        <v>42</v>
      </c>
      <c r="G87" s="272" t="s">
        <v>43</v>
      </c>
      <c r="H87" s="201" t="s">
        <v>1104</v>
      </c>
      <c r="I87" s="74"/>
      <c r="J87" s="36"/>
      <c r="K87" s="36"/>
      <c r="L87" s="36"/>
      <c r="M87" s="36"/>
      <c r="N87" s="36"/>
      <c r="O87" s="36"/>
      <c r="P87" s="36"/>
      <c r="Q87" s="36"/>
      <c r="R87" s="36"/>
      <c r="S87" s="36"/>
      <c r="T87" s="36"/>
      <c r="U87" s="36"/>
      <c r="V87" s="36"/>
      <c r="W87" s="36"/>
      <c r="X87" s="36"/>
      <c r="Y87" s="36"/>
      <c r="Z87" s="36"/>
      <c r="AA87" s="36"/>
      <c r="AB87" s="36"/>
    </row>
    <row r="88" spans="1:28" ht="36" customHeight="1">
      <c r="A88" s="63" t="s">
        <v>1290</v>
      </c>
      <c r="B88" s="64">
        <v>2009</v>
      </c>
      <c r="C88" s="32" t="s">
        <v>1291</v>
      </c>
      <c r="D88" s="33" t="s">
        <v>1292</v>
      </c>
      <c r="E88" s="32" t="s">
        <v>41</v>
      </c>
      <c r="F88" s="32" t="s">
        <v>42</v>
      </c>
      <c r="G88" s="272" t="s">
        <v>43</v>
      </c>
      <c r="H88" s="201" t="s">
        <v>1104</v>
      </c>
      <c r="I88" s="74"/>
      <c r="J88" s="36"/>
      <c r="K88" s="36"/>
      <c r="L88" s="36"/>
      <c r="M88" s="36"/>
      <c r="N88" s="36"/>
      <c r="O88" s="36"/>
      <c r="P88" s="36"/>
      <c r="Q88" s="36"/>
      <c r="R88" s="36"/>
      <c r="S88" s="36"/>
      <c r="T88" s="36"/>
      <c r="U88" s="36"/>
      <c r="V88" s="36"/>
      <c r="W88" s="36"/>
      <c r="X88" s="36"/>
      <c r="Y88" s="36"/>
      <c r="Z88" s="36"/>
      <c r="AA88" s="36"/>
      <c r="AB88" s="36"/>
    </row>
    <row r="89" spans="1:28" ht="60" customHeight="1">
      <c r="A89" s="63" t="s">
        <v>1293</v>
      </c>
      <c r="B89" s="64">
        <v>2004</v>
      </c>
      <c r="C89" s="32" t="s">
        <v>1294</v>
      </c>
      <c r="D89" s="33" t="s">
        <v>1295</v>
      </c>
      <c r="E89" s="32" t="s">
        <v>41</v>
      </c>
      <c r="F89" s="32" t="s">
        <v>42</v>
      </c>
      <c r="G89" s="272" t="s">
        <v>43</v>
      </c>
      <c r="H89" s="201" t="s">
        <v>1104</v>
      </c>
      <c r="I89" s="74"/>
      <c r="J89" s="36"/>
      <c r="K89" s="36"/>
      <c r="L89" s="36"/>
      <c r="M89" s="36"/>
      <c r="N89" s="36"/>
      <c r="O89" s="36"/>
      <c r="P89" s="36"/>
      <c r="Q89" s="36"/>
      <c r="R89" s="36"/>
      <c r="S89" s="36"/>
      <c r="T89" s="36"/>
      <c r="U89" s="36"/>
      <c r="V89" s="36"/>
      <c r="W89" s="36"/>
      <c r="X89" s="36"/>
      <c r="Y89" s="36"/>
      <c r="Z89" s="36"/>
      <c r="AA89" s="36"/>
      <c r="AB89" s="36"/>
    </row>
    <row r="90" spans="1:28" ht="24" customHeight="1">
      <c r="A90" s="63" t="s">
        <v>1296</v>
      </c>
      <c r="B90" s="64">
        <v>2005</v>
      </c>
      <c r="C90" s="32" t="s">
        <v>1294</v>
      </c>
      <c r="D90" s="33" t="s">
        <v>1297</v>
      </c>
      <c r="E90" s="32" t="s">
        <v>41</v>
      </c>
      <c r="F90" s="32" t="s">
        <v>42</v>
      </c>
      <c r="G90" s="272" t="s">
        <v>43</v>
      </c>
      <c r="H90" s="201" t="s">
        <v>1104</v>
      </c>
      <c r="I90" s="74"/>
      <c r="J90" s="36"/>
      <c r="K90" s="36"/>
      <c r="L90" s="36"/>
      <c r="M90" s="36"/>
      <c r="N90" s="36"/>
      <c r="O90" s="36"/>
      <c r="P90" s="36"/>
      <c r="Q90" s="36"/>
      <c r="R90" s="36"/>
      <c r="S90" s="36"/>
      <c r="T90" s="36"/>
      <c r="U90" s="36"/>
      <c r="V90" s="36"/>
      <c r="W90" s="36"/>
      <c r="X90" s="36"/>
      <c r="Y90" s="36"/>
      <c r="Z90" s="36"/>
      <c r="AA90" s="36"/>
      <c r="AB90" s="36"/>
    </row>
    <row r="91" spans="1:28" ht="24" customHeight="1">
      <c r="A91" s="63" t="s">
        <v>1298</v>
      </c>
      <c r="B91" s="64">
        <v>2005</v>
      </c>
      <c r="C91" s="32" t="s">
        <v>1294</v>
      </c>
      <c r="D91" s="33" t="s">
        <v>1299</v>
      </c>
      <c r="E91" s="32" t="s">
        <v>41</v>
      </c>
      <c r="F91" s="32" t="s">
        <v>42</v>
      </c>
      <c r="G91" s="272" t="s">
        <v>43</v>
      </c>
      <c r="H91" s="201" t="s">
        <v>1104</v>
      </c>
      <c r="I91" s="74"/>
      <c r="J91" s="36"/>
      <c r="K91" s="36"/>
      <c r="L91" s="36"/>
      <c r="M91" s="36"/>
      <c r="N91" s="36"/>
      <c r="O91" s="36"/>
      <c r="P91" s="36"/>
      <c r="Q91" s="36"/>
      <c r="R91" s="36"/>
      <c r="S91" s="36"/>
      <c r="T91" s="36"/>
      <c r="U91" s="36"/>
      <c r="V91" s="36"/>
      <c r="W91" s="36"/>
      <c r="X91" s="36"/>
      <c r="Y91" s="36"/>
      <c r="Z91" s="36"/>
      <c r="AA91" s="36"/>
      <c r="AB91" s="36"/>
    </row>
    <row r="92" spans="1:28" ht="24" customHeight="1">
      <c r="A92" s="63" t="s">
        <v>1300</v>
      </c>
      <c r="B92" s="64">
        <v>2010</v>
      </c>
      <c r="C92" s="32" t="s">
        <v>1294</v>
      </c>
      <c r="D92" s="33" t="s">
        <v>1301</v>
      </c>
      <c r="E92" s="32" t="s">
        <v>41</v>
      </c>
      <c r="F92" s="32" t="s">
        <v>42</v>
      </c>
      <c r="G92" s="272" t="s">
        <v>43</v>
      </c>
      <c r="H92" s="201" t="s">
        <v>1104</v>
      </c>
      <c r="I92" s="74"/>
      <c r="J92" s="36"/>
      <c r="K92" s="36"/>
      <c r="L92" s="36"/>
      <c r="M92" s="36"/>
      <c r="N92" s="36"/>
      <c r="O92" s="36"/>
      <c r="P92" s="36"/>
      <c r="Q92" s="36"/>
      <c r="R92" s="36"/>
      <c r="S92" s="36"/>
      <c r="T92" s="36"/>
      <c r="U92" s="36"/>
      <c r="V92" s="36"/>
      <c r="W92" s="36"/>
      <c r="X92" s="36"/>
      <c r="Y92" s="36"/>
      <c r="Z92" s="36"/>
      <c r="AA92" s="36"/>
      <c r="AB92" s="36"/>
    </row>
    <row r="93" spans="1:28" ht="36" customHeight="1">
      <c r="A93" s="63" t="s">
        <v>1302</v>
      </c>
      <c r="B93" s="64">
        <v>2011</v>
      </c>
      <c r="C93" s="32" t="s">
        <v>130</v>
      </c>
      <c r="D93" s="33" t="s">
        <v>1303</v>
      </c>
      <c r="E93" s="32" t="s">
        <v>41</v>
      </c>
      <c r="F93" s="32" t="s">
        <v>42</v>
      </c>
      <c r="G93" s="272" t="s">
        <v>43</v>
      </c>
      <c r="H93" s="201" t="s">
        <v>1104</v>
      </c>
      <c r="I93" s="74"/>
      <c r="J93" s="36"/>
      <c r="K93" s="36"/>
      <c r="L93" s="36"/>
      <c r="M93" s="36"/>
      <c r="N93" s="36"/>
      <c r="O93" s="36"/>
      <c r="P93" s="36"/>
      <c r="Q93" s="36"/>
      <c r="R93" s="36"/>
      <c r="S93" s="36"/>
      <c r="T93" s="36"/>
      <c r="U93" s="36"/>
      <c r="V93" s="36"/>
      <c r="W93" s="36"/>
      <c r="X93" s="36"/>
      <c r="Y93" s="36"/>
      <c r="Z93" s="36"/>
      <c r="AA93" s="36"/>
      <c r="AB93" s="36"/>
    </row>
    <row r="94" spans="1:28" ht="36" customHeight="1">
      <c r="A94" s="63" t="s">
        <v>1304</v>
      </c>
      <c r="B94" s="64">
        <v>2011</v>
      </c>
      <c r="C94" s="32" t="s">
        <v>1305</v>
      </c>
      <c r="D94" s="33" t="s">
        <v>1306</v>
      </c>
      <c r="E94" s="32" t="s">
        <v>41</v>
      </c>
      <c r="F94" s="32" t="s">
        <v>42</v>
      </c>
      <c r="G94" s="272" t="s">
        <v>43</v>
      </c>
      <c r="H94" s="201" t="s">
        <v>1104</v>
      </c>
      <c r="I94" s="74"/>
      <c r="J94" s="36"/>
      <c r="K94" s="36"/>
      <c r="L94" s="36"/>
      <c r="M94" s="36"/>
      <c r="N94" s="36"/>
      <c r="O94" s="36"/>
      <c r="P94" s="36"/>
      <c r="Q94" s="36"/>
      <c r="R94" s="36"/>
      <c r="S94" s="36"/>
      <c r="T94" s="36"/>
      <c r="U94" s="36"/>
      <c r="V94" s="36"/>
      <c r="W94" s="36"/>
      <c r="X94" s="36"/>
      <c r="Y94" s="36"/>
      <c r="Z94" s="36"/>
      <c r="AA94" s="36"/>
      <c r="AB94" s="36"/>
    </row>
    <row r="95" spans="1:28" ht="35.25" customHeight="1">
      <c r="A95" s="43" t="str">
        <f>HYPERLINK("https://www.alcaldiabogota.gov.co/sisjur/normas/Norma1.jsp?i=44089","RESOLUCION 579")</f>
        <v>RESOLUCION 579</v>
      </c>
      <c r="B95" s="124">
        <v>2011</v>
      </c>
      <c r="C95" s="32" t="s">
        <v>130</v>
      </c>
      <c r="D95" s="268" t="s">
        <v>2905</v>
      </c>
      <c r="E95" s="32"/>
      <c r="F95" s="32"/>
      <c r="G95" s="270"/>
      <c r="H95" s="262"/>
      <c r="I95" s="74"/>
      <c r="J95" s="36"/>
      <c r="K95" s="36"/>
      <c r="L95" s="36"/>
      <c r="M95" s="36"/>
      <c r="N95" s="36"/>
      <c r="O95" s="36"/>
      <c r="P95" s="36"/>
      <c r="Q95" s="36"/>
      <c r="R95" s="36"/>
      <c r="S95" s="36"/>
      <c r="T95" s="36"/>
      <c r="U95" s="36"/>
      <c r="V95" s="36"/>
      <c r="W95" s="36"/>
      <c r="X95" s="36"/>
      <c r="Y95" s="36"/>
      <c r="Z95" s="36"/>
      <c r="AA95" s="36"/>
      <c r="AB95" s="36"/>
    </row>
    <row r="96" spans="1:28" ht="24" customHeight="1">
      <c r="A96" s="63" t="s">
        <v>1307</v>
      </c>
      <c r="B96" s="64">
        <v>2012</v>
      </c>
      <c r="C96" s="32" t="s">
        <v>566</v>
      </c>
      <c r="D96" s="33" t="s">
        <v>1308</v>
      </c>
      <c r="E96" s="32" t="s">
        <v>41</v>
      </c>
      <c r="F96" s="32" t="s">
        <v>42</v>
      </c>
      <c r="G96" s="272" t="s">
        <v>43</v>
      </c>
      <c r="H96" s="201" t="s">
        <v>1104</v>
      </c>
      <c r="I96" s="74"/>
      <c r="J96" s="36"/>
      <c r="K96" s="36"/>
      <c r="L96" s="36"/>
      <c r="M96" s="36"/>
      <c r="N96" s="36"/>
      <c r="O96" s="36"/>
      <c r="P96" s="36"/>
      <c r="Q96" s="36"/>
      <c r="R96" s="36"/>
      <c r="S96" s="36"/>
      <c r="T96" s="36"/>
      <c r="U96" s="36"/>
      <c r="V96" s="36"/>
      <c r="W96" s="36"/>
      <c r="X96" s="36"/>
      <c r="Y96" s="36"/>
      <c r="Z96" s="36"/>
      <c r="AA96" s="36"/>
      <c r="AB96" s="36"/>
    </row>
    <row r="97" spans="1:28" ht="36" customHeight="1">
      <c r="A97" s="63" t="s">
        <v>1309</v>
      </c>
      <c r="B97" s="64">
        <v>2012</v>
      </c>
      <c r="C97" s="32" t="s">
        <v>540</v>
      </c>
      <c r="D97" s="33" t="s">
        <v>582</v>
      </c>
      <c r="E97" s="32" t="s">
        <v>41</v>
      </c>
      <c r="F97" s="32" t="s">
        <v>42</v>
      </c>
      <c r="G97" s="272" t="s">
        <v>43</v>
      </c>
      <c r="H97" s="201" t="s">
        <v>1104</v>
      </c>
      <c r="I97" s="74"/>
      <c r="J97" s="36"/>
      <c r="K97" s="36"/>
      <c r="L97" s="36"/>
      <c r="M97" s="36"/>
      <c r="N97" s="36"/>
      <c r="O97" s="36"/>
      <c r="P97" s="36"/>
      <c r="Q97" s="36"/>
      <c r="R97" s="36"/>
      <c r="S97" s="36"/>
      <c r="T97" s="36"/>
      <c r="U97" s="36"/>
      <c r="V97" s="36"/>
      <c r="W97" s="36"/>
      <c r="X97" s="36"/>
      <c r="Y97" s="36"/>
      <c r="Z97" s="36"/>
      <c r="AA97" s="36"/>
      <c r="AB97" s="36"/>
    </row>
    <row r="98" spans="1:28" ht="24" customHeight="1">
      <c r="A98" s="63" t="s">
        <v>1310</v>
      </c>
      <c r="B98" s="64">
        <v>2013</v>
      </c>
      <c r="C98" s="32" t="s">
        <v>1311</v>
      </c>
      <c r="D98" s="33" t="s">
        <v>1312</v>
      </c>
      <c r="E98" s="32" t="s">
        <v>41</v>
      </c>
      <c r="F98" s="32" t="s">
        <v>42</v>
      </c>
      <c r="G98" s="272" t="s">
        <v>43</v>
      </c>
      <c r="H98" s="201" t="s">
        <v>1104</v>
      </c>
      <c r="I98" s="74"/>
      <c r="J98" s="36"/>
      <c r="K98" s="36"/>
      <c r="L98" s="36"/>
      <c r="M98" s="36"/>
      <c r="N98" s="36"/>
      <c r="O98" s="36"/>
      <c r="P98" s="36"/>
      <c r="Q98" s="36"/>
      <c r="R98" s="36"/>
      <c r="S98" s="36"/>
      <c r="T98" s="36"/>
      <c r="U98" s="36"/>
      <c r="V98" s="36"/>
      <c r="W98" s="36"/>
      <c r="X98" s="36"/>
      <c r="Y98" s="36"/>
      <c r="Z98" s="36"/>
      <c r="AA98" s="36"/>
      <c r="AB98" s="36"/>
    </row>
    <row r="99" spans="1:28" ht="48" customHeight="1">
      <c r="A99" s="63" t="s">
        <v>1313</v>
      </c>
      <c r="B99" s="64">
        <v>2014</v>
      </c>
      <c r="C99" s="32" t="s">
        <v>1314</v>
      </c>
      <c r="D99" s="33" t="s">
        <v>1315</v>
      </c>
      <c r="E99" s="32" t="s">
        <v>41</v>
      </c>
      <c r="F99" s="32" t="s">
        <v>42</v>
      </c>
      <c r="G99" s="272" t="s">
        <v>43</v>
      </c>
      <c r="H99" s="201" t="s">
        <v>1104</v>
      </c>
      <c r="I99" s="74"/>
      <c r="J99" s="36"/>
      <c r="K99" s="36"/>
      <c r="L99" s="36"/>
      <c r="M99" s="36"/>
      <c r="N99" s="36"/>
      <c r="O99" s="36"/>
      <c r="P99" s="36"/>
      <c r="Q99" s="36"/>
      <c r="R99" s="36"/>
      <c r="S99" s="36"/>
      <c r="T99" s="36"/>
      <c r="U99" s="36"/>
      <c r="V99" s="36"/>
      <c r="W99" s="36"/>
      <c r="X99" s="36"/>
      <c r="Y99" s="36"/>
      <c r="Z99" s="36"/>
      <c r="AA99" s="36"/>
      <c r="AB99" s="36"/>
    </row>
    <row r="100" spans="1:28" ht="36" customHeight="1">
      <c r="A100" s="30" t="str">
        <f>HYPERLINK("http://legal.legis.com.co/document/Index?obra=legcol&amp;document=legcol_100a6b5e410302ece0530a01015102ec","RESOLUCIÓN  113583")</f>
        <v>RESOLUCIÓN  113583</v>
      </c>
      <c r="B100" s="64">
        <v>2014</v>
      </c>
      <c r="C100" s="32" t="s">
        <v>1317</v>
      </c>
      <c r="D100" s="33" t="s">
        <v>1318</v>
      </c>
      <c r="E100" s="32" t="s">
        <v>41</v>
      </c>
      <c r="F100" s="32" t="s">
        <v>42</v>
      </c>
      <c r="G100" s="270" t="s">
        <v>43</v>
      </c>
      <c r="H100" s="262" t="s">
        <v>1104</v>
      </c>
      <c r="I100" s="74"/>
      <c r="J100" s="36"/>
      <c r="K100" s="36"/>
      <c r="L100" s="36"/>
      <c r="M100" s="36"/>
      <c r="N100" s="36"/>
      <c r="O100" s="36"/>
      <c r="P100" s="36"/>
      <c r="Q100" s="36"/>
      <c r="R100" s="36"/>
      <c r="S100" s="36"/>
      <c r="T100" s="36"/>
      <c r="U100" s="36"/>
      <c r="V100" s="36"/>
      <c r="W100" s="36"/>
      <c r="X100" s="36"/>
      <c r="Y100" s="36"/>
      <c r="Z100" s="36"/>
      <c r="AA100" s="36"/>
      <c r="AB100" s="36"/>
    </row>
    <row r="101" spans="1:28" ht="24" customHeight="1">
      <c r="A101" s="30" t="str">
        <f>HYPERLINK("https://www.alcaldiabogota.gov.co/sisjur/normas/Norma1.jsp?i=63271","RESOLUCIÓN  753")</f>
        <v>RESOLUCIÓN  753</v>
      </c>
      <c r="B101" s="64">
        <v>2015</v>
      </c>
      <c r="C101" s="142" t="s">
        <v>130</v>
      </c>
      <c r="D101" s="33" t="s">
        <v>1320</v>
      </c>
      <c r="E101" s="32" t="s">
        <v>41</v>
      </c>
      <c r="F101" s="32" t="s">
        <v>42</v>
      </c>
      <c r="G101" s="270" t="s">
        <v>43</v>
      </c>
      <c r="H101" s="262" t="s">
        <v>1104</v>
      </c>
      <c r="I101" s="74"/>
      <c r="J101" s="36"/>
      <c r="K101" s="36"/>
      <c r="L101" s="36"/>
      <c r="M101" s="36"/>
      <c r="N101" s="36"/>
      <c r="O101" s="36"/>
      <c r="P101" s="36"/>
      <c r="Q101" s="36"/>
      <c r="R101" s="36"/>
      <c r="S101" s="36"/>
      <c r="T101" s="36"/>
      <c r="U101" s="36"/>
      <c r="V101" s="36"/>
      <c r="W101" s="36"/>
      <c r="X101" s="36"/>
      <c r="Y101" s="36"/>
      <c r="Z101" s="36"/>
      <c r="AA101" s="36"/>
      <c r="AB101" s="36"/>
    </row>
    <row r="102" spans="1:28" ht="36" customHeight="1">
      <c r="A102" s="63" t="s">
        <v>171</v>
      </c>
      <c r="B102" s="64">
        <v>2016</v>
      </c>
      <c r="C102" s="32" t="s">
        <v>1321</v>
      </c>
      <c r="D102" s="33" t="s">
        <v>305</v>
      </c>
      <c r="E102" s="32" t="s">
        <v>41</v>
      </c>
      <c r="F102" s="32" t="s">
        <v>42</v>
      </c>
      <c r="G102" s="272" t="s">
        <v>43</v>
      </c>
      <c r="H102" s="201" t="s">
        <v>1104</v>
      </c>
      <c r="I102" s="74"/>
      <c r="J102" s="36"/>
      <c r="K102" s="36"/>
      <c r="L102" s="36"/>
      <c r="M102" s="36"/>
      <c r="N102" s="36"/>
      <c r="O102" s="36"/>
      <c r="P102" s="36"/>
      <c r="Q102" s="36"/>
      <c r="R102" s="36"/>
      <c r="S102" s="36"/>
      <c r="T102" s="36"/>
      <c r="U102" s="36"/>
      <c r="V102" s="36"/>
      <c r="W102" s="36"/>
      <c r="X102" s="36"/>
      <c r="Y102" s="36"/>
      <c r="Z102" s="36"/>
      <c r="AA102" s="36"/>
      <c r="AB102" s="36"/>
    </row>
    <row r="103" spans="1:28" ht="24" customHeight="1">
      <c r="A103" s="30" t="str">
        <f>HYPERLINK("https://isolucion.idrd.gov.co/Isolucion4IDRD/Administracion/frmFrameSet.aspx?Ruta=fi9CYW5jb0Nvbm9jaW1pZW50bzRJRFJELzEvMUMyOTA4RTAtQTRBRC00ODk0LTk3MjktRUE4MTU2MjRGM0EzLzFDMjkwOEUwLUE0QUQtNDg5NC05NzI5LUVBODE1NjI0RjNBMy5hc3A=","RESOLUCIÓN  448")</f>
        <v>RESOLUCIÓN  448</v>
      </c>
      <c r="B103" s="64">
        <v>2016</v>
      </c>
      <c r="C103" s="142" t="s">
        <v>130</v>
      </c>
      <c r="D103" s="33" t="s">
        <v>597</v>
      </c>
      <c r="E103" s="32" t="s">
        <v>41</v>
      </c>
      <c r="F103" s="32" t="s">
        <v>42</v>
      </c>
      <c r="G103" s="270" t="s">
        <v>43</v>
      </c>
      <c r="H103" s="262" t="s">
        <v>1104</v>
      </c>
      <c r="I103" s="74"/>
      <c r="J103" s="36"/>
      <c r="K103" s="36"/>
      <c r="L103" s="36"/>
      <c r="M103" s="36"/>
      <c r="N103" s="36"/>
      <c r="O103" s="36"/>
      <c r="P103" s="36"/>
      <c r="Q103" s="36"/>
      <c r="R103" s="36"/>
      <c r="S103" s="36"/>
      <c r="T103" s="36"/>
      <c r="U103" s="36"/>
      <c r="V103" s="36"/>
      <c r="W103" s="36"/>
      <c r="X103" s="36"/>
      <c r="Y103" s="36"/>
      <c r="Z103" s="36"/>
      <c r="AA103" s="36"/>
      <c r="AB103" s="36"/>
    </row>
    <row r="104" spans="1:28" ht="36" customHeight="1">
      <c r="A104" s="30" t="str">
        <f>HYPERLINK("https://isolucion.idrd.gov.co/Isolucion4IDRD/Administracion/frmFrameSet.aspx?Ruta=fi9CYW5jb0Nvbm9jaW1pZW50bzRJRFJELzEvMUNDNTM0NEYtNTE5Ny00MTUwLUE3MjctQkFDNzk3NDlBRjNDLzFDQzUzNDRGLTUxOTctNDE1MC1BNzI3LUJBQzc5NzQ5QUYzQy5hc3A=","RESOLUCIÓN  1226")</f>
        <v>RESOLUCIÓN  1226</v>
      </c>
      <c r="B104" s="64">
        <v>2016</v>
      </c>
      <c r="C104" s="142" t="s">
        <v>130</v>
      </c>
      <c r="D104" s="33" t="s">
        <v>1324</v>
      </c>
      <c r="E104" s="32" t="s">
        <v>41</v>
      </c>
      <c r="F104" s="32" t="s">
        <v>42</v>
      </c>
      <c r="G104" s="270" t="s">
        <v>43</v>
      </c>
      <c r="H104" s="262" t="s">
        <v>1104</v>
      </c>
      <c r="I104" s="74"/>
      <c r="J104" s="36"/>
      <c r="K104" s="36"/>
      <c r="L104" s="36"/>
      <c r="M104" s="36"/>
      <c r="N104" s="36"/>
      <c r="O104" s="36"/>
      <c r="P104" s="36"/>
      <c r="Q104" s="36"/>
      <c r="R104" s="36"/>
      <c r="S104" s="36"/>
      <c r="T104" s="36"/>
      <c r="U104" s="36"/>
      <c r="V104" s="36"/>
      <c r="W104" s="36"/>
      <c r="X104" s="36"/>
      <c r="Y104" s="36"/>
      <c r="Z104" s="36"/>
      <c r="AA104" s="36"/>
      <c r="AB104" s="36"/>
    </row>
    <row r="105" spans="1:28" ht="48" customHeight="1">
      <c r="A105" s="275" t="s">
        <v>2906</v>
      </c>
      <c r="B105" s="124">
        <v>2017</v>
      </c>
      <c r="C105" s="276" t="s">
        <v>550</v>
      </c>
      <c r="D105" s="123" t="s">
        <v>2907</v>
      </c>
      <c r="E105" s="32"/>
      <c r="F105" s="32"/>
      <c r="G105" s="272"/>
      <c r="H105" s="201"/>
      <c r="I105" s="74"/>
      <c r="J105" s="36"/>
      <c r="K105" s="36"/>
      <c r="L105" s="36"/>
      <c r="M105" s="36"/>
      <c r="N105" s="36"/>
      <c r="O105" s="36"/>
      <c r="P105" s="36"/>
      <c r="Q105" s="36"/>
      <c r="R105" s="36"/>
      <c r="S105" s="36"/>
      <c r="T105" s="36"/>
      <c r="U105" s="36"/>
      <c r="V105" s="36"/>
      <c r="W105" s="36"/>
      <c r="X105" s="36"/>
      <c r="Y105" s="36"/>
      <c r="Z105" s="36"/>
      <c r="AA105" s="36"/>
      <c r="AB105" s="36"/>
    </row>
    <row r="106" spans="1:28" ht="48" customHeight="1">
      <c r="A106" s="63" t="s">
        <v>1325</v>
      </c>
      <c r="B106" s="64">
        <v>2017</v>
      </c>
      <c r="C106" s="142" t="s">
        <v>1232</v>
      </c>
      <c r="D106" s="33" t="s">
        <v>1326</v>
      </c>
      <c r="E106" s="32" t="s">
        <v>41</v>
      </c>
      <c r="F106" s="32" t="s">
        <v>42</v>
      </c>
      <c r="G106" s="272" t="s">
        <v>43</v>
      </c>
      <c r="H106" s="201" t="s">
        <v>1104</v>
      </c>
      <c r="I106" s="74"/>
      <c r="J106" s="36"/>
      <c r="K106" s="36"/>
      <c r="L106" s="36"/>
      <c r="M106" s="36"/>
      <c r="N106" s="36"/>
      <c r="O106" s="36"/>
      <c r="P106" s="36"/>
      <c r="Q106" s="36"/>
      <c r="R106" s="36"/>
      <c r="S106" s="36"/>
      <c r="T106" s="36"/>
      <c r="U106" s="36"/>
      <c r="V106" s="36"/>
      <c r="W106" s="36"/>
      <c r="X106" s="36"/>
      <c r="Y106" s="36"/>
      <c r="Z106" s="36"/>
      <c r="AA106" s="36"/>
      <c r="AB106" s="36"/>
    </row>
    <row r="107" spans="1:28" ht="24" customHeight="1">
      <c r="A107" s="63" t="s">
        <v>1327</v>
      </c>
      <c r="B107" s="64">
        <v>2017</v>
      </c>
      <c r="C107" s="142" t="s">
        <v>1232</v>
      </c>
      <c r="D107" s="33" t="s">
        <v>1328</v>
      </c>
      <c r="E107" s="32" t="s">
        <v>41</v>
      </c>
      <c r="F107" s="32" t="s">
        <v>42</v>
      </c>
      <c r="G107" s="272" t="s">
        <v>43</v>
      </c>
      <c r="H107" s="201" t="s">
        <v>1104</v>
      </c>
      <c r="I107" s="74"/>
      <c r="J107" s="36"/>
      <c r="K107" s="36"/>
      <c r="L107" s="36"/>
      <c r="M107" s="36"/>
      <c r="N107" s="36"/>
      <c r="O107" s="36"/>
      <c r="P107" s="36"/>
      <c r="Q107" s="36"/>
      <c r="R107" s="36"/>
      <c r="S107" s="36"/>
      <c r="T107" s="36"/>
      <c r="U107" s="36"/>
      <c r="V107" s="36"/>
      <c r="W107" s="36"/>
      <c r="X107" s="36"/>
      <c r="Y107" s="36"/>
      <c r="Z107" s="36"/>
      <c r="AA107" s="36"/>
      <c r="AB107" s="36"/>
    </row>
    <row r="108" spans="1:28" ht="31.5" customHeight="1">
      <c r="A108" s="63" t="s">
        <v>1329</v>
      </c>
      <c r="B108" s="64">
        <v>2019</v>
      </c>
      <c r="C108" s="142" t="s">
        <v>1330</v>
      </c>
      <c r="D108" s="33" t="s">
        <v>1331</v>
      </c>
      <c r="E108" s="32" t="s">
        <v>41</v>
      </c>
      <c r="F108" s="32" t="s">
        <v>42</v>
      </c>
      <c r="G108" s="272" t="s">
        <v>43</v>
      </c>
      <c r="H108" s="201" t="s">
        <v>1104</v>
      </c>
      <c r="I108" s="74"/>
      <c r="J108" s="36"/>
      <c r="K108" s="36"/>
      <c r="L108" s="36"/>
      <c r="M108" s="36"/>
      <c r="N108" s="36"/>
      <c r="O108" s="36"/>
      <c r="P108" s="36"/>
      <c r="Q108" s="36"/>
      <c r="R108" s="36"/>
      <c r="S108" s="36"/>
      <c r="T108" s="36"/>
      <c r="U108" s="36"/>
      <c r="V108" s="36"/>
      <c r="W108" s="36"/>
      <c r="X108" s="36"/>
      <c r="Y108" s="36"/>
      <c r="Z108" s="36"/>
      <c r="AA108" s="36"/>
      <c r="AB108" s="36"/>
    </row>
    <row r="109" spans="1:28" ht="36" customHeight="1">
      <c r="A109" s="37" t="s">
        <v>2908</v>
      </c>
      <c r="B109" s="31">
        <v>43945</v>
      </c>
      <c r="C109" s="40" t="s">
        <v>2909</v>
      </c>
      <c r="D109" s="39" t="s">
        <v>2910</v>
      </c>
      <c r="E109" s="40" t="s">
        <v>41</v>
      </c>
      <c r="F109" s="32"/>
      <c r="G109" s="272"/>
      <c r="H109" s="201"/>
      <c r="I109" s="74"/>
      <c r="J109" s="36"/>
      <c r="K109" s="36"/>
      <c r="L109" s="36"/>
      <c r="M109" s="36"/>
      <c r="N109" s="36"/>
      <c r="O109" s="36"/>
      <c r="P109" s="36"/>
      <c r="Q109" s="36"/>
      <c r="R109" s="36"/>
      <c r="S109" s="36"/>
      <c r="T109" s="36"/>
      <c r="U109" s="36"/>
      <c r="V109" s="36"/>
      <c r="W109" s="36"/>
      <c r="X109" s="36"/>
      <c r="Y109" s="36"/>
      <c r="Z109" s="36"/>
      <c r="AA109" s="36"/>
      <c r="AB109" s="36"/>
    </row>
    <row r="110" spans="1:28" ht="36" customHeight="1">
      <c r="A110" s="63" t="s">
        <v>1332</v>
      </c>
      <c r="B110" s="64">
        <v>2008</v>
      </c>
      <c r="C110" s="32" t="s">
        <v>61</v>
      </c>
      <c r="D110" s="33" t="s">
        <v>1333</v>
      </c>
      <c r="E110" s="32" t="s">
        <v>41</v>
      </c>
      <c r="F110" s="32" t="s">
        <v>42</v>
      </c>
      <c r="G110" s="272" t="s">
        <v>43</v>
      </c>
      <c r="H110" s="201" t="s">
        <v>1104</v>
      </c>
      <c r="I110" s="74"/>
      <c r="J110" s="36"/>
      <c r="K110" s="36"/>
      <c r="L110" s="36"/>
      <c r="M110" s="36"/>
      <c r="N110" s="36"/>
      <c r="O110" s="36"/>
      <c r="P110" s="36"/>
      <c r="Q110" s="36"/>
      <c r="R110" s="36"/>
      <c r="S110" s="36"/>
      <c r="T110" s="36"/>
      <c r="U110" s="36"/>
      <c r="V110" s="36"/>
      <c r="W110" s="36"/>
      <c r="X110" s="36"/>
      <c r="Y110" s="36"/>
      <c r="Z110" s="36"/>
      <c r="AA110" s="36"/>
      <c r="AB110" s="36"/>
    </row>
    <row r="111" spans="1:28" ht="108" customHeight="1">
      <c r="A111" s="63" t="s">
        <v>1334</v>
      </c>
      <c r="B111" s="64">
        <v>2016</v>
      </c>
      <c r="C111" s="32" t="s">
        <v>61</v>
      </c>
      <c r="D111" s="33" t="s">
        <v>1335</v>
      </c>
      <c r="E111" s="32" t="s">
        <v>41</v>
      </c>
      <c r="F111" s="32" t="s">
        <v>42</v>
      </c>
      <c r="G111" s="272" t="s">
        <v>43</v>
      </c>
      <c r="H111" s="201" t="s">
        <v>1104</v>
      </c>
      <c r="I111" s="74"/>
      <c r="J111" s="36"/>
      <c r="K111" s="36"/>
      <c r="L111" s="36"/>
      <c r="M111" s="36"/>
      <c r="N111" s="36"/>
      <c r="O111" s="36"/>
      <c r="P111" s="36"/>
      <c r="Q111" s="36"/>
      <c r="R111" s="36"/>
      <c r="S111" s="36"/>
      <c r="T111" s="36"/>
      <c r="U111" s="36"/>
      <c r="V111" s="36"/>
      <c r="W111" s="36"/>
      <c r="X111" s="36"/>
      <c r="Y111" s="36"/>
      <c r="Z111" s="36"/>
      <c r="AA111" s="36"/>
      <c r="AB111" s="36"/>
    </row>
    <row r="112" spans="1:28" ht="30.75" customHeight="1">
      <c r="A112" s="63" t="s">
        <v>1336</v>
      </c>
      <c r="B112" s="64">
        <v>2010</v>
      </c>
      <c r="C112" s="32" t="s">
        <v>1337</v>
      </c>
      <c r="D112" s="33" t="s">
        <v>1336</v>
      </c>
      <c r="E112" s="32" t="s">
        <v>41</v>
      </c>
      <c r="F112" s="32" t="s">
        <v>42</v>
      </c>
      <c r="G112" s="272" t="s">
        <v>43</v>
      </c>
      <c r="H112" s="201" t="s">
        <v>1104</v>
      </c>
      <c r="I112" s="74"/>
      <c r="J112" s="36"/>
      <c r="K112" s="36"/>
      <c r="L112" s="36"/>
      <c r="M112" s="36"/>
      <c r="N112" s="36"/>
      <c r="O112" s="36"/>
      <c r="P112" s="36"/>
      <c r="Q112" s="36"/>
      <c r="R112" s="36"/>
      <c r="S112" s="36"/>
      <c r="T112" s="36"/>
      <c r="U112" s="36"/>
      <c r="V112" s="36"/>
      <c r="W112" s="36"/>
      <c r="X112" s="36"/>
      <c r="Y112" s="36"/>
      <c r="Z112" s="36"/>
      <c r="AA112" s="36"/>
      <c r="AB112" s="36"/>
    </row>
    <row r="113" spans="1:28" ht="24" customHeight="1">
      <c r="A113" s="63" t="s">
        <v>1338</v>
      </c>
      <c r="B113" s="64">
        <v>2015</v>
      </c>
      <c r="C113" s="32" t="s">
        <v>1339</v>
      </c>
      <c r="D113" s="33" t="s">
        <v>1338</v>
      </c>
      <c r="E113" s="32" t="s">
        <v>41</v>
      </c>
      <c r="F113" s="32" t="s">
        <v>42</v>
      </c>
      <c r="G113" s="272" t="s">
        <v>43</v>
      </c>
      <c r="H113" s="201" t="s">
        <v>1104</v>
      </c>
      <c r="I113" s="74"/>
      <c r="J113" s="36"/>
      <c r="K113" s="36"/>
      <c r="L113" s="36"/>
      <c r="M113" s="36"/>
      <c r="N113" s="36"/>
      <c r="O113" s="36"/>
      <c r="P113" s="36"/>
      <c r="Q113" s="36"/>
      <c r="R113" s="36"/>
      <c r="S113" s="36"/>
      <c r="T113" s="36"/>
      <c r="U113" s="36"/>
      <c r="V113" s="36"/>
      <c r="W113" s="36"/>
      <c r="X113" s="36"/>
      <c r="Y113" s="36"/>
      <c r="Z113" s="36"/>
      <c r="AA113" s="36"/>
      <c r="AB113" s="36"/>
    </row>
    <row r="114" spans="1:28" ht="12" customHeight="1">
      <c r="A114" s="63" t="s">
        <v>1340</v>
      </c>
      <c r="B114" s="64">
        <v>2017</v>
      </c>
      <c r="C114" s="32" t="s">
        <v>1101</v>
      </c>
      <c r="D114" s="33" t="s">
        <v>1341</v>
      </c>
      <c r="E114" s="32" t="s">
        <v>41</v>
      </c>
      <c r="F114" s="32" t="s">
        <v>42</v>
      </c>
      <c r="G114" s="277" t="s">
        <v>43</v>
      </c>
      <c r="H114" s="223" t="s">
        <v>1104</v>
      </c>
      <c r="I114" s="74"/>
      <c r="J114" s="36"/>
      <c r="K114" s="36"/>
      <c r="L114" s="36"/>
      <c r="M114" s="36"/>
      <c r="N114" s="36"/>
      <c r="O114" s="36"/>
      <c r="P114" s="36"/>
      <c r="Q114" s="36"/>
      <c r="R114" s="36"/>
      <c r="S114" s="36"/>
      <c r="T114" s="36"/>
      <c r="U114" s="36"/>
      <c r="V114" s="36"/>
      <c r="W114" s="36"/>
      <c r="X114" s="36"/>
      <c r="Y114" s="36"/>
      <c r="Z114" s="36"/>
      <c r="AA114" s="36"/>
      <c r="AB114" s="36"/>
    </row>
    <row r="115" spans="1:28" ht="44.25" customHeight="1">
      <c r="A115" s="63" t="s">
        <v>1342</v>
      </c>
      <c r="B115" s="64">
        <v>2015</v>
      </c>
      <c r="C115" s="32" t="s">
        <v>1101</v>
      </c>
      <c r="D115" s="33" t="s">
        <v>1343</v>
      </c>
      <c r="E115" s="32" t="s">
        <v>41</v>
      </c>
      <c r="F115" s="32" t="s">
        <v>42</v>
      </c>
      <c r="G115" s="277" t="s">
        <v>43</v>
      </c>
      <c r="H115" s="223" t="s">
        <v>1104</v>
      </c>
      <c r="I115" s="74"/>
      <c r="J115" s="36"/>
      <c r="K115" s="36"/>
      <c r="L115" s="36"/>
      <c r="M115" s="36"/>
      <c r="N115" s="36"/>
      <c r="O115" s="36"/>
      <c r="P115" s="36"/>
      <c r="Q115" s="36"/>
      <c r="R115" s="36"/>
      <c r="S115" s="36"/>
      <c r="T115" s="36"/>
      <c r="U115" s="36"/>
      <c r="V115" s="36"/>
      <c r="W115" s="36"/>
      <c r="X115" s="36"/>
      <c r="Y115" s="36"/>
      <c r="Z115" s="36"/>
      <c r="AA115" s="36"/>
      <c r="AB115" s="36"/>
    </row>
    <row r="116" spans="1:28" ht="32.25" customHeight="1">
      <c r="A116" s="30" t="str">
        <f>HYPERLINK("https://www.idrd.gov.co/sitio/idrd/sites/default/files/imagenes/titulo-a-nsr-100.pdf","NORMAS COLOMBIANAS DE DISEÑO Y CONSTRUCCIÓN SISMO RESISTENTE NSR-10")</f>
        <v>NORMAS COLOMBIANAS DE DISEÑO Y CONSTRUCCIÓN SISMO RESISTENTE NSR-10</v>
      </c>
      <c r="B116" s="64">
        <v>2013</v>
      </c>
      <c r="C116" s="32" t="s">
        <v>1345</v>
      </c>
      <c r="D116" s="33" t="s">
        <v>1344</v>
      </c>
      <c r="E116" s="32" t="s">
        <v>41</v>
      </c>
      <c r="F116" s="32" t="s">
        <v>42</v>
      </c>
      <c r="G116" s="270" t="s">
        <v>43</v>
      </c>
      <c r="H116" s="262" t="s">
        <v>1104</v>
      </c>
      <c r="I116" s="74"/>
      <c r="J116" s="36"/>
      <c r="K116" s="36"/>
      <c r="L116" s="36"/>
      <c r="M116" s="36"/>
      <c r="N116" s="36"/>
      <c r="O116" s="36"/>
      <c r="P116" s="36"/>
      <c r="Q116" s="36"/>
      <c r="R116" s="36"/>
      <c r="S116" s="36"/>
      <c r="T116" s="36"/>
      <c r="U116" s="36"/>
      <c r="V116" s="36"/>
      <c r="W116" s="36"/>
      <c r="X116" s="36"/>
      <c r="Y116" s="36"/>
      <c r="Z116" s="36"/>
      <c r="AA116" s="36"/>
      <c r="AB116" s="36"/>
    </row>
    <row r="117" spans="1:28" ht="55.5" customHeight="1">
      <c r="A117" s="63" t="s">
        <v>1346</v>
      </c>
      <c r="B117" s="64">
        <v>2011</v>
      </c>
      <c r="C117" s="32" t="s">
        <v>1101</v>
      </c>
      <c r="D117" s="33" t="s">
        <v>1347</v>
      </c>
      <c r="E117" s="32" t="s">
        <v>41</v>
      </c>
      <c r="F117" s="32" t="s">
        <v>42</v>
      </c>
      <c r="G117" s="272" t="s">
        <v>43</v>
      </c>
      <c r="H117" s="201" t="s">
        <v>1104</v>
      </c>
      <c r="I117" s="74"/>
      <c r="J117" s="36"/>
      <c r="K117" s="36"/>
      <c r="L117" s="36"/>
      <c r="M117" s="36"/>
      <c r="N117" s="36"/>
      <c r="O117" s="36"/>
      <c r="P117" s="36"/>
      <c r="Q117" s="36"/>
      <c r="R117" s="36"/>
      <c r="S117" s="36"/>
      <c r="T117" s="36"/>
      <c r="U117" s="36"/>
      <c r="V117" s="36"/>
      <c r="W117" s="36"/>
      <c r="X117" s="36"/>
      <c r="Y117" s="36"/>
      <c r="Z117" s="36"/>
      <c r="AA117" s="36"/>
      <c r="AB117" s="36"/>
    </row>
    <row r="118" spans="1:28" ht="32.25" customHeight="1">
      <c r="A118" s="63" t="s">
        <v>1348</v>
      </c>
      <c r="B118" s="64">
        <v>2010</v>
      </c>
      <c r="C118" s="32" t="s">
        <v>1101</v>
      </c>
      <c r="D118" s="33" t="s">
        <v>1349</v>
      </c>
      <c r="E118" s="32" t="s">
        <v>41</v>
      </c>
      <c r="F118" s="32" t="s">
        <v>42</v>
      </c>
      <c r="G118" s="278" t="s">
        <v>43</v>
      </c>
      <c r="H118" s="227" t="s">
        <v>1104</v>
      </c>
      <c r="I118" s="74"/>
      <c r="J118" s="36"/>
      <c r="K118" s="36"/>
      <c r="L118" s="36"/>
      <c r="M118" s="36"/>
      <c r="N118" s="36"/>
      <c r="O118" s="36"/>
      <c r="P118" s="36"/>
      <c r="Q118" s="36"/>
      <c r="R118" s="36"/>
      <c r="S118" s="36"/>
      <c r="T118" s="36"/>
      <c r="U118" s="36"/>
      <c r="V118" s="36"/>
      <c r="W118" s="36"/>
      <c r="X118" s="36"/>
      <c r="Y118" s="36"/>
      <c r="Z118" s="36"/>
      <c r="AA118" s="36"/>
      <c r="AB118" s="36"/>
    </row>
    <row r="119" spans="1:28" ht="32.25" customHeight="1">
      <c r="A119" s="63" t="s">
        <v>1350</v>
      </c>
      <c r="B119" s="64">
        <v>2006</v>
      </c>
      <c r="C119" s="32" t="s">
        <v>1101</v>
      </c>
      <c r="D119" s="33" t="s">
        <v>1351</v>
      </c>
      <c r="E119" s="32" t="s">
        <v>41</v>
      </c>
      <c r="F119" s="32" t="s">
        <v>42</v>
      </c>
      <c r="G119" s="279" t="s">
        <v>43</v>
      </c>
      <c r="H119" s="117" t="s">
        <v>1104</v>
      </c>
      <c r="I119" s="74"/>
      <c r="J119" s="36"/>
      <c r="K119" s="36"/>
      <c r="L119" s="36"/>
      <c r="M119" s="36"/>
      <c r="N119" s="36"/>
      <c r="O119" s="36"/>
      <c r="P119" s="36"/>
      <c r="Q119" s="36"/>
      <c r="R119" s="36"/>
      <c r="S119" s="36"/>
      <c r="T119" s="36"/>
      <c r="U119" s="36"/>
      <c r="V119" s="36"/>
      <c r="W119" s="36"/>
      <c r="X119" s="36"/>
      <c r="Y119" s="36"/>
      <c r="Z119" s="36"/>
      <c r="AA119" s="36"/>
      <c r="AB119" s="36"/>
    </row>
    <row r="120" spans="1:28" ht="32.25" customHeight="1">
      <c r="A120" s="63" t="s">
        <v>1352</v>
      </c>
      <c r="B120" s="64">
        <v>2006</v>
      </c>
      <c r="C120" s="32" t="s">
        <v>1101</v>
      </c>
      <c r="D120" s="33" t="s">
        <v>1353</v>
      </c>
      <c r="E120" s="32" t="s">
        <v>41</v>
      </c>
      <c r="F120" s="32" t="s">
        <v>42</v>
      </c>
      <c r="G120" s="279" t="s">
        <v>43</v>
      </c>
      <c r="H120" s="117" t="s">
        <v>1104</v>
      </c>
      <c r="I120" s="74"/>
      <c r="J120" s="36"/>
      <c r="K120" s="36"/>
      <c r="L120" s="36"/>
      <c r="M120" s="36"/>
      <c r="N120" s="36"/>
      <c r="O120" s="36"/>
      <c r="P120" s="36"/>
      <c r="Q120" s="36"/>
      <c r="R120" s="36"/>
      <c r="S120" s="36"/>
      <c r="T120" s="36"/>
      <c r="U120" s="36"/>
      <c r="V120" s="36"/>
      <c r="W120" s="36"/>
      <c r="X120" s="36"/>
      <c r="Y120" s="36"/>
      <c r="Z120" s="36"/>
      <c r="AA120" s="36"/>
      <c r="AB120" s="36"/>
    </row>
    <row r="121" spans="1:28" ht="77.25" customHeight="1">
      <c r="A121" s="63" t="s">
        <v>1354</v>
      </c>
      <c r="B121" s="64">
        <v>2006</v>
      </c>
      <c r="C121" s="32" t="s">
        <v>1101</v>
      </c>
      <c r="D121" s="33" t="s">
        <v>1355</v>
      </c>
      <c r="E121" s="32" t="s">
        <v>41</v>
      </c>
      <c r="F121" s="32" t="s">
        <v>42</v>
      </c>
      <c r="G121" s="279" t="s">
        <v>43</v>
      </c>
      <c r="H121" s="117" t="s">
        <v>1104</v>
      </c>
      <c r="I121" s="74"/>
      <c r="J121" s="36"/>
      <c r="K121" s="36"/>
      <c r="L121" s="36"/>
      <c r="M121" s="36"/>
      <c r="N121" s="36"/>
      <c r="O121" s="36"/>
      <c r="P121" s="36"/>
      <c r="Q121" s="36"/>
      <c r="R121" s="36"/>
      <c r="S121" s="36"/>
      <c r="T121" s="36"/>
      <c r="U121" s="36"/>
      <c r="V121" s="36"/>
      <c r="W121" s="36"/>
      <c r="X121" s="36"/>
      <c r="Y121" s="36"/>
      <c r="Z121" s="36"/>
      <c r="AA121" s="36"/>
      <c r="AB121" s="36"/>
    </row>
    <row r="122" spans="1:28" ht="32.25" customHeight="1">
      <c r="A122" s="30" t="str">
        <f>HYPERLINK("https://www.idrd.gov.co/sitio/idrd/sites/default/files/imagenes/ntc%2020500.pdf","NORMA TÉCNICA COLOMBIANA NTC 2050 CÓDIGO ELÉCTRICO COLOMBIANO")</f>
        <v>NORMA TÉCNICA COLOMBIANA NTC 2050 CÓDIGO ELÉCTRICO COLOMBIANO</v>
      </c>
      <c r="B122" s="64">
        <v>1998</v>
      </c>
      <c r="C122" s="32" t="s">
        <v>1101</v>
      </c>
      <c r="D122" s="33" t="s">
        <v>1356</v>
      </c>
      <c r="E122" s="32" t="s">
        <v>41</v>
      </c>
      <c r="F122" s="32" t="s">
        <v>42</v>
      </c>
      <c r="G122" s="279" t="s">
        <v>43</v>
      </c>
      <c r="H122" s="117" t="s">
        <v>1104</v>
      </c>
      <c r="I122" s="74"/>
      <c r="J122" s="36"/>
      <c r="K122" s="36"/>
      <c r="L122" s="36"/>
      <c r="M122" s="36"/>
      <c r="N122" s="36"/>
      <c r="O122" s="36"/>
      <c r="P122" s="36"/>
      <c r="Q122" s="36"/>
      <c r="R122" s="36"/>
      <c r="S122" s="36"/>
      <c r="T122" s="36"/>
      <c r="U122" s="36"/>
      <c r="V122" s="36"/>
      <c r="W122" s="36"/>
      <c r="X122" s="36"/>
      <c r="Y122" s="36"/>
      <c r="Z122" s="36"/>
      <c r="AA122" s="36"/>
      <c r="AB122" s="36"/>
    </row>
    <row r="123" spans="1:28" ht="32.25" customHeight="1">
      <c r="A123" s="63" t="s">
        <v>1357</v>
      </c>
      <c r="B123" s="64">
        <v>1997</v>
      </c>
      <c r="C123" s="32" t="s">
        <v>1101</v>
      </c>
      <c r="D123" s="33" t="s">
        <v>1358</v>
      </c>
      <c r="E123" s="32" t="s">
        <v>41</v>
      </c>
      <c r="F123" s="32" t="s">
        <v>42</v>
      </c>
      <c r="G123" s="280" t="s">
        <v>43</v>
      </c>
      <c r="H123" s="281" t="s">
        <v>1104</v>
      </c>
      <c r="I123" s="74"/>
      <c r="J123" s="36"/>
      <c r="K123" s="36"/>
      <c r="L123" s="36"/>
      <c r="M123" s="36"/>
      <c r="N123" s="36"/>
      <c r="O123" s="36"/>
      <c r="P123" s="36"/>
      <c r="Q123" s="36"/>
      <c r="R123" s="36"/>
      <c r="S123" s="36"/>
      <c r="T123" s="36"/>
      <c r="U123" s="36"/>
      <c r="V123" s="36"/>
      <c r="W123" s="36"/>
      <c r="X123" s="36"/>
      <c r="Y123" s="36"/>
      <c r="Z123" s="36"/>
      <c r="AA123" s="36"/>
      <c r="AB123" s="36"/>
    </row>
    <row r="124" spans="1:28" ht="32.25" customHeight="1">
      <c r="A124" s="30" t="str">
        <f>HYPERLINK("https://isolucion.idrd.gov.co/Isolucion4IDRD/BancoConocimiento4IDRD/0/0c04cfc2d5104810bfa593a34f0cba48/cartillalineamientosdediseov5jnio202018copianocontroladaajustadowatermark.pdf","CARTILLA DE LINEAMIENTOS PARA EL DISEÑO DE PARQUES")</f>
        <v>CARTILLA DE LINEAMIENTOS PARA EL DISEÑO DE PARQUES</v>
      </c>
      <c r="B124" s="64">
        <v>2018</v>
      </c>
      <c r="C124" s="32" t="s">
        <v>130</v>
      </c>
      <c r="D124" s="33" t="s">
        <v>1360</v>
      </c>
      <c r="E124" s="32" t="s">
        <v>41</v>
      </c>
      <c r="F124" s="32" t="s">
        <v>42</v>
      </c>
      <c r="G124" s="279" t="s">
        <v>43</v>
      </c>
      <c r="H124" s="117" t="s">
        <v>1104</v>
      </c>
      <c r="I124" s="74"/>
      <c r="J124" s="36"/>
      <c r="K124" s="36"/>
      <c r="L124" s="36"/>
      <c r="M124" s="36"/>
      <c r="N124" s="36"/>
      <c r="O124" s="36"/>
      <c r="P124" s="36"/>
      <c r="Q124" s="36"/>
      <c r="R124" s="36"/>
      <c r="S124" s="36"/>
      <c r="T124" s="36"/>
      <c r="U124" s="36"/>
      <c r="V124" s="36"/>
      <c r="W124" s="36"/>
      <c r="X124" s="36"/>
      <c r="Y124" s="36"/>
      <c r="Z124" s="36"/>
      <c r="AA124" s="36"/>
      <c r="AB124" s="36"/>
    </row>
    <row r="125" spans="1:28" ht="32.25" customHeight="1">
      <c r="A125" s="30" t="str">
        <f>HYPERLINK("https://isolucion.idrd.gov.co/Isolucion4IDRD/Administracion/frmFrameSet.aspx?Ruta=fi9CYW5jb0Nvbm9jaW1pZW50bzRJRFJEL0EvQUIyMzUwQTktQTM0Ny00NjVGLThBQ0QtRjI1NTY4QzZBNUZBL0FCMjM1MEE5LUEzNDctNDY1Ri04QUNELUYyNTU2OEM2QTVGQS5hc3A=","MANUAL DE ESPECIFICACIONES TÉCNICAS IDRD")</f>
        <v>MANUAL DE ESPECIFICACIONES TÉCNICAS IDRD</v>
      </c>
      <c r="B125" s="64"/>
      <c r="C125" s="32" t="s">
        <v>130</v>
      </c>
      <c r="D125" s="33" t="s">
        <v>1361</v>
      </c>
      <c r="E125" s="32" t="s">
        <v>41</v>
      </c>
      <c r="F125" s="32" t="s">
        <v>42</v>
      </c>
      <c r="G125" s="279" t="s">
        <v>43</v>
      </c>
      <c r="H125" s="117" t="s">
        <v>1104</v>
      </c>
      <c r="I125" s="74"/>
      <c r="J125" s="36"/>
      <c r="K125" s="36"/>
      <c r="L125" s="36"/>
      <c r="M125" s="36"/>
      <c r="N125" s="36"/>
      <c r="O125" s="36"/>
      <c r="P125" s="36"/>
      <c r="Q125" s="36"/>
      <c r="R125" s="36"/>
      <c r="S125" s="36"/>
      <c r="T125" s="36"/>
      <c r="U125" s="36"/>
      <c r="V125" s="36"/>
      <c r="W125" s="36"/>
      <c r="X125" s="36"/>
      <c r="Y125" s="36"/>
      <c r="Z125" s="36"/>
      <c r="AA125" s="36"/>
      <c r="AB125" s="36"/>
    </row>
    <row r="126" spans="1:28" ht="32.25" customHeight="1">
      <c r="A126" s="63" t="s">
        <v>1362</v>
      </c>
      <c r="B126" s="64">
        <v>2003</v>
      </c>
      <c r="C126" s="32" t="s">
        <v>61</v>
      </c>
      <c r="D126" s="282" t="s">
        <v>1363</v>
      </c>
      <c r="E126" s="32" t="s">
        <v>41</v>
      </c>
      <c r="F126" s="32" t="s">
        <v>42</v>
      </c>
      <c r="G126" s="279" t="s">
        <v>43</v>
      </c>
      <c r="H126" s="117" t="s">
        <v>1104</v>
      </c>
      <c r="I126" s="74"/>
      <c r="J126" s="36"/>
      <c r="K126" s="36"/>
      <c r="L126" s="36"/>
      <c r="M126" s="36"/>
      <c r="N126" s="36"/>
      <c r="O126" s="36"/>
      <c r="P126" s="36"/>
      <c r="Q126" s="36"/>
      <c r="R126" s="36"/>
      <c r="S126" s="36"/>
      <c r="T126" s="36"/>
      <c r="U126" s="36"/>
      <c r="V126" s="36"/>
      <c r="W126" s="36"/>
      <c r="X126" s="36"/>
      <c r="Y126" s="36"/>
      <c r="Z126" s="36"/>
      <c r="AA126" s="36"/>
      <c r="AB126" s="36"/>
    </row>
    <row r="127" spans="1:28" ht="32.25" customHeight="1">
      <c r="A127" s="63" t="s">
        <v>1364</v>
      </c>
      <c r="B127" s="64">
        <v>2018</v>
      </c>
      <c r="C127" s="283" t="s">
        <v>1365</v>
      </c>
      <c r="D127" s="282" t="s">
        <v>1364</v>
      </c>
      <c r="E127" s="32" t="s">
        <v>41</v>
      </c>
      <c r="F127" s="32" t="s">
        <v>42</v>
      </c>
      <c r="G127" s="279" t="s">
        <v>43</v>
      </c>
      <c r="H127" s="117" t="s">
        <v>1104</v>
      </c>
      <c r="I127" s="74"/>
      <c r="J127" s="36"/>
      <c r="K127" s="36"/>
      <c r="L127" s="36"/>
      <c r="M127" s="36"/>
      <c r="N127" s="36"/>
      <c r="O127" s="36"/>
      <c r="P127" s="36"/>
      <c r="Q127" s="36"/>
      <c r="R127" s="36"/>
      <c r="S127" s="36"/>
      <c r="T127" s="36"/>
      <c r="U127" s="36"/>
      <c r="V127" s="36"/>
      <c r="W127" s="36"/>
      <c r="X127" s="36"/>
      <c r="Y127" s="36"/>
      <c r="Z127" s="36"/>
      <c r="AA127" s="36"/>
      <c r="AB127" s="36"/>
    </row>
    <row r="128" spans="1:28" ht="12" customHeight="1">
      <c r="A128" s="284" t="s">
        <v>2911</v>
      </c>
      <c r="B128" s="40">
        <v>2018</v>
      </c>
      <c r="C128" s="40" t="s">
        <v>61</v>
      </c>
      <c r="D128" s="39" t="s">
        <v>2912</v>
      </c>
      <c r="E128" s="40" t="s">
        <v>783</v>
      </c>
      <c r="F128" s="40" t="s">
        <v>42</v>
      </c>
      <c r="G128" s="74"/>
      <c r="H128" s="285"/>
      <c r="I128" s="74"/>
      <c r="J128" s="36"/>
      <c r="K128" s="36"/>
      <c r="L128" s="36"/>
      <c r="M128" s="36"/>
      <c r="N128" s="36"/>
      <c r="O128" s="36"/>
      <c r="P128" s="36"/>
      <c r="Q128" s="36"/>
      <c r="R128" s="36"/>
      <c r="S128" s="36"/>
      <c r="T128" s="36"/>
      <c r="U128" s="36"/>
      <c r="V128" s="36"/>
      <c r="W128" s="36"/>
      <c r="X128" s="36"/>
      <c r="Y128" s="36"/>
      <c r="Z128" s="36"/>
      <c r="AA128" s="36"/>
      <c r="AB128" s="36"/>
    </row>
    <row r="129" spans="1:28" ht="12" customHeight="1">
      <c r="A129" s="284" t="s">
        <v>341</v>
      </c>
      <c r="B129" s="41">
        <v>44221</v>
      </c>
      <c r="C129" s="40" t="s">
        <v>2913</v>
      </c>
      <c r="D129" s="39" t="s">
        <v>2914</v>
      </c>
      <c r="E129" s="40" t="s">
        <v>783</v>
      </c>
      <c r="F129" s="40" t="s">
        <v>42</v>
      </c>
      <c r="G129" s="74"/>
      <c r="H129" s="285"/>
      <c r="I129" s="74"/>
      <c r="J129" s="36"/>
      <c r="K129" s="36"/>
      <c r="L129" s="36"/>
      <c r="M129" s="36"/>
      <c r="N129" s="36"/>
      <c r="O129" s="36"/>
      <c r="P129" s="36"/>
      <c r="Q129" s="36"/>
      <c r="R129" s="36"/>
      <c r="S129" s="36"/>
      <c r="T129" s="36"/>
      <c r="U129" s="36"/>
      <c r="V129" s="36"/>
      <c r="W129" s="36"/>
      <c r="X129" s="36"/>
      <c r="Y129" s="36"/>
      <c r="Z129" s="36"/>
      <c r="AA129" s="36"/>
      <c r="AB129" s="36"/>
    </row>
  </sheetData>
  <autoFilter ref="A5:AB129" xr:uid="{00000000-0009-0000-0000-000006000000}"/>
  <mergeCells count="3">
    <mergeCell ref="A1:H1"/>
    <mergeCell ref="A2:F2"/>
    <mergeCell ref="A4:F4"/>
  </mergeCells>
  <conditionalFormatting sqref="D75">
    <cfRule type="notContainsBlanks" dxfId="2" priority="1">
      <formula>LEN(TRIM(D75))&gt;0</formula>
    </cfRule>
  </conditionalFormatting>
  <hyperlinks>
    <hyperlink ref="F3" location="Menu por Procesos!A1" display="MENU" xr:uid="{00000000-0004-0000-0600-000000000000}"/>
    <hyperlink ref="A8" r:id="rId1" xr:uid="{00000000-0004-0000-0600-000001000000}"/>
    <hyperlink ref="A109" r:id="rId2" xr:uid="{00000000-0004-0000-0600-000002000000}"/>
    <hyperlink ref="A128" r:id="rId3" xr:uid="{00000000-0004-0000-0600-000003000000}"/>
    <hyperlink ref="A129" r:id="rId4" xr:uid="{00000000-0004-0000-0600-000004000000}"/>
  </hyperlinks>
  <pageMargins left="0.7" right="0.7" top="0.75" bottom="0.75" header="0" footer="0"/>
  <pageSetup orientation="landscape"/>
  <drawing r:id="rId5"/>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9D18E"/>
  </sheetPr>
  <dimension ref="A1:AA78"/>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7.5703125" customWidth="1"/>
    <col min="3" max="3" width="23.7109375" customWidth="1"/>
    <col min="4" max="4" width="61.7109375" customWidth="1"/>
    <col min="5" max="5" width="28.5703125" customWidth="1"/>
    <col min="6" max="6" width="55.5703125" customWidth="1"/>
    <col min="7" max="8" width="10" hidden="1" customWidth="1"/>
    <col min="9" max="9" width="18" customWidth="1"/>
    <col min="10" max="14" width="11.42578125" customWidth="1"/>
    <col min="15" max="15" width="16.28515625" customWidth="1"/>
    <col min="16" max="16" width="11.42578125" customWidth="1"/>
    <col min="17" max="17" width="15.140625" customWidth="1"/>
    <col min="18" max="27" width="11.42578125" customWidth="1"/>
  </cols>
  <sheetData>
    <row r="1" spans="1:27" ht="61.5" customHeight="1">
      <c r="A1" s="774"/>
      <c r="B1" s="769"/>
      <c r="C1" s="769"/>
      <c r="D1" s="769"/>
      <c r="E1" s="769"/>
      <c r="F1" s="769"/>
      <c r="G1" s="769"/>
      <c r="H1" s="769"/>
      <c r="I1" s="18"/>
      <c r="J1" s="18"/>
      <c r="K1" s="18"/>
      <c r="L1" s="18"/>
      <c r="M1" s="18"/>
      <c r="N1" s="18"/>
      <c r="O1" s="18"/>
      <c r="P1" s="18"/>
      <c r="Q1" s="18"/>
      <c r="R1" s="18"/>
      <c r="S1" s="18"/>
      <c r="T1" s="18"/>
      <c r="U1" s="18"/>
      <c r="V1" s="18"/>
      <c r="W1" s="18"/>
      <c r="X1" s="18"/>
      <c r="Y1" s="18"/>
      <c r="Z1" s="18"/>
      <c r="AA1" s="18"/>
    </row>
    <row r="2" spans="1:27" ht="27" customHeight="1">
      <c r="A2" s="767" t="s">
        <v>28</v>
      </c>
      <c r="B2" s="765"/>
      <c r="C2" s="765"/>
      <c r="D2" s="765"/>
      <c r="E2" s="765"/>
      <c r="F2" s="766"/>
      <c r="G2" s="15"/>
      <c r="H2" s="16"/>
      <c r="I2" s="18"/>
      <c r="J2" s="18"/>
      <c r="K2" s="18"/>
      <c r="L2" s="18"/>
      <c r="M2" s="18"/>
      <c r="N2" s="18"/>
      <c r="O2" s="18"/>
      <c r="P2" s="18"/>
      <c r="Q2" s="18"/>
      <c r="R2" s="18"/>
      <c r="S2" s="18"/>
      <c r="T2" s="18"/>
      <c r="U2" s="18"/>
      <c r="V2" s="18"/>
      <c r="W2" s="18"/>
      <c r="X2" s="18"/>
      <c r="Y2" s="18"/>
      <c r="Z2" s="18"/>
      <c r="AA2" s="18"/>
    </row>
    <row r="3" spans="1:27" ht="24" customHeight="1">
      <c r="A3" s="75" t="s">
        <v>2915</v>
      </c>
      <c r="B3" s="19"/>
      <c r="C3" s="19"/>
      <c r="D3" s="19"/>
      <c r="E3" s="19"/>
      <c r="F3" s="20" t="s">
        <v>30</v>
      </c>
      <c r="G3" s="19"/>
      <c r="H3" s="21"/>
      <c r="I3" s="18"/>
      <c r="J3" s="18"/>
      <c r="K3" s="18"/>
      <c r="L3" s="18"/>
      <c r="M3" s="18"/>
      <c r="N3" s="18"/>
      <c r="O3" s="18"/>
      <c r="P3" s="18"/>
      <c r="Q3" s="18"/>
      <c r="R3" s="18"/>
      <c r="S3" s="18"/>
      <c r="T3" s="18"/>
      <c r="U3" s="18"/>
      <c r="V3" s="18"/>
      <c r="W3" s="18"/>
      <c r="X3" s="18"/>
      <c r="Y3" s="18"/>
      <c r="Z3" s="18"/>
      <c r="AA3" s="18"/>
    </row>
    <row r="4" spans="1:27" ht="33" customHeight="1">
      <c r="A4" s="775" t="s">
        <v>403</v>
      </c>
      <c r="B4" s="765"/>
      <c r="C4" s="765"/>
      <c r="D4" s="765"/>
      <c r="E4" s="765"/>
      <c r="F4" s="766"/>
      <c r="G4" s="16"/>
      <c r="H4" s="22"/>
      <c r="I4" s="18"/>
      <c r="J4" s="18"/>
      <c r="K4" s="18"/>
      <c r="L4" s="18"/>
      <c r="M4" s="18"/>
      <c r="N4" s="18"/>
      <c r="O4" s="18"/>
      <c r="P4" s="18"/>
      <c r="Q4" s="18"/>
      <c r="R4" s="18"/>
      <c r="S4" s="18"/>
      <c r="T4" s="18"/>
      <c r="U4" s="18"/>
      <c r="V4" s="18"/>
      <c r="W4" s="18"/>
      <c r="X4" s="18"/>
      <c r="Y4" s="18"/>
      <c r="Z4" s="18"/>
      <c r="AA4" s="18"/>
    </row>
    <row r="5" spans="1:27" ht="34.5" customHeight="1">
      <c r="A5" s="76" t="s">
        <v>235</v>
      </c>
      <c r="B5" s="24" t="s">
        <v>32</v>
      </c>
      <c r="C5" s="25" t="s">
        <v>33</v>
      </c>
      <c r="D5" s="25" t="s">
        <v>34</v>
      </c>
      <c r="E5" s="25" t="s">
        <v>35</v>
      </c>
      <c r="F5" s="25" t="s">
        <v>36</v>
      </c>
      <c r="G5" s="26" t="s">
        <v>37</v>
      </c>
      <c r="H5" s="27" t="s">
        <v>38</v>
      </c>
      <c r="I5" s="29"/>
      <c r="J5" s="29"/>
      <c r="K5" s="29"/>
      <c r="L5" s="29"/>
      <c r="M5" s="29"/>
      <c r="N5" s="29"/>
      <c r="O5" s="29"/>
      <c r="P5" s="29"/>
      <c r="Q5" s="29"/>
      <c r="R5" s="29"/>
      <c r="S5" s="29"/>
      <c r="T5" s="29"/>
      <c r="U5" s="29"/>
      <c r="V5" s="29"/>
      <c r="W5" s="29"/>
      <c r="X5" s="29"/>
      <c r="Y5" s="29"/>
      <c r="Z5" s="29"/>
      <c r="AA5" s="29"/>
    </row>
    <row r="6" spans="1:27" ht="72">
      <c r="A6" s="30" t="str">
        <f>HYPERLINK("https://www.bogotajuridica.gov.co/sisjur/normas/Norma1.jsp?i=4125","CONSTITUCIÓN POLÍTICA DE COLOMBIA")</f>
        <v>CONSTITUCIÓN POLÍTICA DE COLOMBIA</v>
      </c>
      <c r="B6" s="78">
        <v>33423</v>
      </c>
      <c r="C6" s="32" t="s">
        <v>405</v>
      </c>
      <c r="D6" s="33" t="s">
        <v>406</v>
      </c>
      <c r="E6" s="32" t="s">
        <v>1488</v>
      </c>
      <c r="F6" s="33" t="s">
        <v>1489</v>
      </c>
      <c r="G6" s="119" t="s">
        <v>43</v>
      </c>
      <c r="H6" s="117" t="s">
        <v>1490</v>
      </c>
      <c r="I6" s="36"/>
      <c r="J6" s="36"/>
      <c r="K6" s="36"/>
      <c r="L6" s="36"/>
      <c r="M6" s="36"/>
      <c r="N6" s="36"/>
      <c r="O6" s="36"/>
      <c r="P6" s="36"/>
      <c r="Q6" s="36"/>
      <c r="R6" s="36"/>
      <c r="S6" s="36"/>
      <c r="T6" s="36"/>
      <c r="U6" s="36"/>
      <c r="V6" s="36"/>
      <c r="W6" s="36"/>
      <c r="X6" s="36"/>
      <c r="Y6" s="36"/>
      <c r="Z6" s="36"/>
      <c r="AA6" s="36"/>
    </row>
    <row r="7" spans="1:27" ht="24" customHeight="1">
      <c r="A7" s="30" t="str">
        <f>HYPERLINK("https://www.funcionpublica.gov.co/eva/gestornormativo/norma.php?i=66182","LEY 73")</f>
        <v>LEY 73</v>
      </c>
      <c r="B7" s="286">
        <v>29217</v>
      </c>
      <c r="C7" s="32" t="s">
        <v>507</v>
      </c>
      <c r="D7" s="33" t="s">
        <v>1492</v>
      </c>
      <c r="E7" s="32" t="s">
        <v>41</v>
      </c>
      <c r="F7" s="64" t="s">
        <v>97</v>
      </c>
      <c r="G7" s="119" t="s">
        <v>43</v>
      </c>
      <c r="H7" s="117" t="s">
        <v>1490</v>
      </c>
      <c r="I7" s="36"/>
      <c r="J7" s="36"/>
      <c r="K7" s="36"/>
      <c r="L7" s="36"/>
      <c r="M7" s="36"/>
      <c r="N7" s="36"/>
      <c r="O7" s="36"/>
      <c r="P7" s="36"/>
      <c r="Q7" s="36"/>
      <c r="R7" s="36"/>
      <c r="S7" s="36"/>
      <c r="T7" s="36"/>
      <c r="U7" s="36"/>
      <c r="V7" s="36"/>
      <c r="W7" s="36"/>
      <c r="X7" s="36"/>
      <c r="Y7" s="36"/>
      <c r="Z7" s="36"/>
      <c r="AA7" s="36"/>
    </row>
    <row r="8" spans="1:27" ht="24" customHeight="1">
      <c r="A8" s="30" t="str">
        <f>HYPERLINK("https://www.icbf.gov.co/cargues/avance/docs/ley_0023_1981.htm","LEY 23")</f>
        <v>LEY 23</v>
      </c>
      <c r="B8" s="41">
        <v>29635</v>
      </c>
      <c r="C8" s="32" t="s">
        <v>507</v>
      </c>
      <c r="D8" s="33" t="s">
        <v>1493</v>
      </c>
      <c r="E8" s="32" t="s">
        <v>41</v>
      </c>
      <c r="F8" s="64" t="s">
        <v>97</v>
      </c>
      <c r="G8" s="119" t="s">
        <v>43</v>
      </c>
      <c r="H8" s="117" t="s">
        <v>1490</v>
      </c>
      <c r="I8" s="36"/>
      <c r="J8" s="36"/>
      <c r="K8" s="36"/>
      <c r="L8" s="36"/>
      <c r="M8" s="36"/>
      <c r="N8" s="36"/>
      <c r="O8" s="36"/>
      <c r="P8" s="36"/>
      <c r="Q8" s="36"/>
      <c r="R8" s="36"/>
      <c r="S8" s="36"/>
      <c r="T8" s="36"/>
      <c r="U8" s="36"/>
      <c r="V8" s="36"/>
      <c r="W8" s="36"/>
      <c r="X8" s="36"/>
      <c r="Y8" s="36"/>
      <c r="Z8" s="36"/>
      <c r="AA8" s="36"/>
    </row>
    <row r="9" spans="1:27" ht="24" customHeight="1">
      <c r="A9" s="30" t="str">
        <f>HYPERLINK("https://www.bogotajuridica.gov.co/sisjur/normas/Norma1.jsp?i=5248","LEY 100")</f>
        <v>LEY 100</v>
      </c>
      <c r="B9" s="286">
        <v>34326</v>
      </c>
      <c r="C9" s="32" t="s">
        <v>507</v>
      </c>
      <c r="D9" s="33" t="s">
        <v>1494</v>
      </c>
      <c r="E9" s="32" t="s">
        <v>41</v>
      </c>
      <c r="F9" s="64" t="s">
        <v>97</v>
      </c>
      <c r="G9" s="119" t="s">
        <v>43</v>
      </c>
      <c r="H9" s="117" t="s">
        <v>1490</v>
      </c>
      <c r="I9" s="36"/>
      <c r="J9" s="36"/>
      <c r="K9" s="36"/>
      <c r="L9" s="36"/>
      <c r="M9" s="36"/>
      <c r="N9" s="36"/>
      <c r="O9" s="36"/>
      <c r="P9" s="36"/>
      <c r="Q9" s="36"/>
      <c r="R9" s="36"/>
      <c r="S9" s="36"/>
      <c r="T9" s="36"/>
      <c r="U9" s="36"/>
      <c r="V9" s="36"/>
      <c r="W9" s="36"/>
      <c r="X9" s="36"/>
      <c r="Y9" s="36"/>
      <c r="Z9" s="36"/>
      <c r="AA9" s="36"/>
    </row>
    <row r="10" spans="1:27" ht="24" customHeight="1">
      <c r="A10" s="30" t="str">
        <f>HYPERLINK("http://www.secretariasenado.gov.co/senado/basedoc/ley_0115_1994.html","LEY 115")</f>
        <v>LEY 115</v>
      </c>
      <c r="B10" s="41">
        <v>34373</v>
      </c>
      <c r="C10" s="32" t="s">
        <v>507</v>
      </c>
      <c r="D10" s="33" t="s">
        <v>1496</v>
      </c>
      <c r="E10" s="32" t="s">
        <v>41</v>
      </c>
      <c r="F10" s="64" t="s">
        <v>97</v>
      </c>
      <c r="G10" s="119" t="s">
        <v>43</v>
      </c>
      <c r="H10" s="117" t="s">
        <v>1490</v>
      </c>
      <c r="I10" s="36"/>
      <c r="J10" s="36"/>
      <c r="K10" s="36"/>
      <c r="L10" s="36"/>
      <c r="M10" s="36"/>
      <c r="N10" s="36"/>
      <c r="O10" s="36"/>
      <c r="P10" s="36"/>
      <c r="Q10" s="36"/>
      <c r="R10" s="36"/>
      <c r="S10" s="36"/>
      <c r="T10" s="36"/>
      <c r="U10" s="36"/>
      <c r="V10" s="36"/>
      <c r="W10" s="36"/>
      <c r="X10" s="36"/>
      <c r="Y10" s="36"/>
      <c r="Z10" s="36"/>
      <c r="AA10" s="36"/>
    </row>
    <row r="11" spans="1:27" ht="73.5" customHeight="1">
      <c r="A11" s="30" t="str">
        <f>HYPERLINK("https://www.alcaldiabogota.gov.co/sisjur/normas/Norma1.jsp?i=3424","LEY 181")</f>
        <v>LEY 181</v>
      </c>
      <c r="B11" s="31">
        <v>34717</v>
      </c>
      <c r="C11" s="32" t="s">
        <v>39</v>
      </c>
      <c r="D11" s="39" t="s">
        <v>2916</v>
      </c>
      <c r="E11" s="32" t="s">
        <v>41</v>
      </c>
      <c r="F11" s="64" t="s">
        <v>97</v>
      </c>
      <c r="G11" s="119" t="s">
        <v>43</v>
      </c>
      <c r="H11" s="117" t="s">
        <v>1490</v>
      </c>
      <c r="I11" s="36"/>
      <c r="J11" s="36"/>
      <c r="K11" s="36"/>
      <c r="L11" s="36"/>
      <c r="M11" s="36"/>
      <c r="N11" s="36"/>
      <c r="O11" s="36"/>
      <c r="P11" s="36"/>
      <c r="Q11" s="36"/>
      <c r="R11" s="36"/>
      <c r="S11" s="36"/>
      <c r="T11" s="36"/>
      <c r="U11" s="36"/>
      <c r="V11" s="36"/>
      <c r="W11" s="36"/>
      <c r="X11" s="36"/>
      <c r="Y11" s="36"/>
      <c r="Z11" s="36"/>
      <c r="AA11" s="36"/>
    </row>
    <row r="12" spans="1:27" ht="24" customHeight="1">
      <c r="A12" s="30" t="str">
        <f>HYPERLINK("https://www.mineducacion.gov.co/1621/articles-105002_archivo_pdf.pdf","LEY 266")</f>
        <v>LEY 266</v>
      </c>
      <c r="B12" s="41">
        <v>35089</v>
      </c>
      <c r="C12" s="32" t="s">
        <v>507</v>
      </c>
      <c r="D12" s="33" t="s">
        <v>1499</v>
      </c>
      <c r="E12" s="32" t="s">
        <v>41</v>
      </c>
      <c r="F12" s="64" t="s">
        <v>97</v>
      </c>
      <c r="G12" s="119" t="s">
        <v>43</v>
      </c>
      <c r="H12" s="117" t="s">
        <v>1490</v>
      </c>
      <c r="I12" s="36"/>
      <c r="J12" s="36"/>
      <c r="K12" s="36"/>
      <c r="L12" s="36"/>
      <c r="M12" s="36"/>
      <c r="N12" s="36"/>
      <c r="O12" s="36"/>
      <c r="P12" s="36"/>
      <c r="Q12" s="36"/>
      <c r="R12" s="36"/>
      <c r="S12" s="36"/>
      <c r="T12" s="36"/>
      <c r="U12" s="36"/>
      <c r="V12" s="36"/>
      <c r="W12" s="36"/>
      <c r="X12" s="36"/>
      <c r="Y12" s="36"/>
      <c r="Z12" s="36"/>
      <c r="AA12" s="36"/>
    </row>
    <row r="13" spans="1:27" ht="24" customHeight="1">
      <c r="A13" s="30" t="str">
        <f>HYPERLINK("https://www.mineducacion.gov.co/1621/articles-105013_archivo_pdf.pdf","LEY 528")</f>
        <v>LEY 528</v>
      </c>
      <c r="B13" s="41">
        <v>36417</v>
      </c>
      <c r="C13" s="32" t="s">
        <v>507</v>
      </c>
      <c r="D13" s="33" t="s">
        <v>1501</v>
      </c>
      <c r="E13" s="32" t="s">
        <v>41</v>
      </c>
      <c r="F13" s="64" t="s">
        <v>97</v>
      </c>
      <c r="G13" s="119" t="s">
        <v>43</v>
      </c>
      <c r="H13" s="117" t="s">
        <v>1490</v>
      </c>
      <c r="I13" s="36"/>
      <c r="J13" s="36"/>
      <c r="K13" s="36"/>
      <c r="L13" s="36"/>
      <c r="M13" s="36"/>
      <c r="N13" s="36"/>
      <c r="O13" s="36"/>
      <c r="P13" s="36"/>
      <c r="Q13" s="36"/>
      <c r="R13" s="36"/>
      <c r="S13" s="36"/>
      <c r="T13" s="36"/>
      <c r="U13" s="36"/>
      <c r="V13" s="36"/>
      <c r="W13" s="36"/>
      <c r="X13" s="36"/>
      <c r="Y13" s="36"/>
      <c r="Z13" s="36"/>
      <c r="AA13" s="36"/>
    </row>
    <row r="14" spans="1:27" ht="36" customHeight="1">
      <c r="A14" s="30" t="str">
        <f>HYPERLINK("https://www.alcaldiabogota.gov.co/sisjur/normas/Norma1.jsp?i=4826&amp;dt=S","LEY 582 ")</f>
        <v xml:space="preserve">LEY 582 </v>
      </c>
      <c r="B14" s="41">
        <v>36685</v>
      </c>
      <c r="C14" s="32" t="s">
        <v>507</v>
      </c>
      <c r="D14" s="33" t="s">
        <v>1503</v>
      </c>
      <c r="E14" s="32" t="s">
        <v>41</v>
      </c>
      <c r="F14" s="64" t="s">
        <v>97</v>
      </c>
      <c r="G14" s="119" t="s">
        <v>43</v>
      </c>
      <c r="H14" s="117" t="s">
        <v>1490</v>
      </c>
      <c r="I14" s="36"/>
      <c r="J14" s="36"/>
      <c r="K14" s="36"/>
      <c r="L14" s="36"/>
      <c r="M14" s="36"/>
      <c r="N14" s="36"/>
      <c r="O14" s="36"/>
      <c r="P14" s="36"/>
      <c r="Q14" s="36"/>
      <c r="R14" s="36"/>
      <c r="S14" s="36"/>
      <c r="T14" s="36"/>
      <c r="U14" s="36"/>
      <c r="V14" s="36"/>
      <c r="W14" s="36"/>
      <c r="X14" s="36"/>
      <c r="Y14" s="36"/>
      <c r="Z14" s="36"/>
      <c r="AA14" s="36"/>
    </row>
    <row r="15" spans="1:27" ht="24" customHeight="1">
      <c r="A15" s="287" t="str">
        <f>HYPERLINK("https://www.funcionpublica.gov.co/eva/gestornormativo/norma.php?i=90141","LEY 1946")</f>
        <v>LEY 1946</v>
      </c>
      <c r="B15" s="127">
        <v>43469</v>
      </c>
      <c r="C15" s="51" t="s">
        <v>507</v>
      </c>
      <c r="D15" s="52" t="s">
        <v>1506</v>
      </c>
      <c r="E15" s="51" t="s">
        <v>41</v>
      </c>
      <c r="F15" s="249" t="s">
        <v>1507</v>
      </c>
      <c r="G15" s="200" t="s">
        <v>43</v>
      </c>
      <c r="H15" s="201" t="s">
        <v>1490</v>
      </c>
      <c r="I15" s="36"/>
      <c r="J15" s="36"/>
      <c r="K15" s="36"/>
      <c r="L15" s="36"/>
      <c r="M15" s="36"/>
      <c r="N15" s="36"/>
      <c r="O15" s="36"/>
      <c r="P15" s="36"/>
      <c r="Q15" s="36"/>
      <c r="R15" s="36"/>
      <c r="S15" s="36"/>
      <c r="T15" s="36"/>
      <c r="U15" s="36"/>
      <c r="V15" s="36"/>
      <c r="W15" s="36"/>
      <c r="X15" s="36"/>
      <c r="Y15" s="36"/>
      <c r="Z15" s="36"/>
      <c r="AA15" s="36"/>
    </row>
    <row r="16" spans="1:27" ht="36" customHeight="1">
      <c r="A16" s="30" t="str">
        <f>HYPERLINK("https://www.mineducacion.gov.co/1759/articles-105030_archivo_pdf.pdf","LEY 841")</f>
        <v>LEY 841</v>
      </c>
      <c r="B16" s="41">
        <v>37901</v>
      </c>
      <c r="C16" s="32" t="s">
        <v>507</v>
      </c>
      <c r="D16" s="33" t="s">
        <v>1509</v>
      </c>
      <c r="E16" s="32" t="s">
        <v>41</v>
      </c>
      <c r="F16" s="64" t="s">
        <v>97</v>
      </c>
      <c r="G16" s="119" t="s">
        <v>43</v>
      </c>
      <c r="H16" s="117" t="s">
        <v>1490</v>
      </c>
      <c r="I16" s="36"/>
      <c r="J16" s="36"/>
      <c r="K16" s="36"/>
      <c r="L16" s="36"/>
      <c r="M16" s="36"/>
      <c r="N16" s="36"/>
      <c r="O16" s="36"/>
      <c r="P16" s="36"/>
      <c r="Q16" s="36"/>
      <c r="R16" s="36"/>
      <c r="S16" s="36"/>
      <c r="T16" s="36"/>
      <c r="U16" s="36"/>
      <c r="V16" s="36"/>
      <c r="W16" s="36"/>
      <c r="X16" s="36"/>
      <c r="Y16" s="36"/>
      <c r="Z16" s="36"/>
      <c r="AA16" s="36"/>
    </row>
    <row r="17" spans="1:27" ht="24" customHeight="1">
      <c r="A17" s="30" t="str">
        <f>HYPERLINK("https://www.mineducacion.gov.co/1621/articles-85833_archivo_pdf.pdf","LEY 934")</f>
        <v>LEY 934</v>
      </c>
      <c r="B17" s="286">
        <v>38351</v>
      </c>
      <c r="C17" s="32" t="s">
        <v>507</v>
      </c>
      <c r="D17" s="33" t="s">
        <v>1511</v>
      </c>
      <c r="E17" s="32" t="s">
        <v>41</v>
      </c>
      <c r="F17" s="64" t="s">
        <v>97</v>
      </c>
      <c r="G17" s="119" t="s">
        <v>43</v>
      </c>
      <c r="H17" s="117" t="s">
        <v>1490</v>
      </c>
      <c r="I17" s="36"/>
      <c r="J17" s="36"/>
      <c r="K17" s="36"/>
      <c r="L17" s="36"/>
      <c r="M17" s="36"/>
      <c r="N17" s="36"/>
      <c r="O17" s="36"/>
      <c r="P17" s="36"/>
      <c r="Q17" s="36"/>
      <c r="R17" s="36"/>
      <c r="S17" s="36"/>
      <c r="T17" s="36"/>
      <c r="U17" s="36"/>
      <c r="V17" s="36"/>
      <c r="W17" s="36"/>
      <c r="X17" s="36"/>
      <c r="Y17" s="36"/>
      <c r="Z17" s="36"/>
      <c r="AA17" s="36"/>
    </row>
    <row r="18" spans="1:27" ht="24" customHeight="1">
      <c r="A18" s="30" t="str">
        <f>HYPERLINK("https://www.funcionpublica.gov.co/eva/gestornormativo/norma.php?i=66205","LEY 1090")</f>
        <v>LEY 1090</v>
      </c>
      <c r="B18" s="41">
        <v>38966</v>
      </c>
      <c r="C18" s="32" t="s">
        <v>507</v>
      </c>
      <c r="D18" s="33" t="s">
        <v>1513</v>
      </c>
      <c r="E18" s="32" t="s">
        <v>41</v>
      </c>
      <c r="F18" s="64" t="s">
        <v>97</v>
      </c>
      <c r="G18" s="119" t="s">
        <v>43</v>
      </c>
      <c r="H18" s="117" t="s">
        <v>1490</v>
      </c>
      <c r="I18" s="36"/>
      <c r="J18" s="36"/>
      <c r="K18" s="36"/>
      <c r="L18" s="36"/>
      <c r="M18" s="36"/>
      <c r="N18" s="36"/>
      <c r="O18" s="36"/>
      <c r="P18" s="36"/>
      <c r="Q18" s="36"/>
      <c r="R18" s="36"/>
      <c r="S18" s="36"/>
      <c r="T18" s="36"/>
      <c r="U18" s="36"/>
      <c r="V18" s="36"/>
      <c r="W18" s="36"/>
      <c r="X18" s="36"/>
      <c r="Y18" s="36"/>
      <c r="Z18" s="36"/>
      <c r="AA18" s="36"/>
    </row>
    <row r="19" spans="1:27" ht="204" customHeight="1">
      <c r="A19" s="30" t="str">
        <f>HYPERLINK("https://www.alcaldiabogota.gov.co/sisjur/normas/Norma1.jsp?i=22106","LEY 1098")</f>
        <v>LEY 1098</v>
      </c>
      <c r="B19" s="41">
        <v>39029</v>
      </c>
      <c r="C19" s="32" t="s">
        <v>507</v>
      </c>
      <c r="D19" s="33" t="s">
        <v>1514</v>
      </c>
      <c r="E19" s="32" t="s">
        <v>1515</v>
      </c>
      <c r="F19" s="33" t="s">
        <v>1516</v>
      </c>
      <c r="G19" s="119" t="s">
        <v>43</v>
      </c>
      <c r="H19" s="117" t="s">
        <v>1490</v>
      </c>
      <c r="I19" s="36"/>
      <c r="J19" s="36"/>
      <c r="K19" s="36"/>
      <c r="L19" s="36"/>
      <c r="M19" s="36"/>
      <c r="N19" s="36"/>
      <c r="O19" s="36"/>
      <c r="P19" s="36"/>
      <c r="Q19" s="36"/>
      <c r="R19" s="36"/>
      <c r="S19" s="36"/>
      <c r="T19" s="36"/>
      <c r="U19" s="36"/>
      <c r="V19" s="36"/>
      <c r="W19" s="36"/>
      <c r="X19" s="36"/>
      <c r="Y19" s="36"/>
      <c r="Z19" s="36"/>
      <c r="AA19" s="36"/>
    </row>
    <row r="20" spans="1:27" ht="24" customHeight="1">
      <c r="A20" s="30" t="str">
        <f>HYPERLINK("http://www.secretariasenado.gov.co/senado/basedoc/ley_1209_2008.html","LEY 1209")</f>
        <v>LEY 1209</v>
      </c>
      <c r="B20" s="41">
        <v>39643</v>
      </c>
      <c r="C20" s="32" t="s">
        <v>507</v>
      </c>
      <c r="D20" s="33" t="s">
        <v>51</v>
      </c>
      <c r="E20" s="32" t="s">
        <v>41</v>
      </c>
      <c r="F20" s="64" t="s">
        <v>97</v>
      </c>
      <c r="G20" s="119" t="s">
        <v>43</v>
      </c>
      <c r="H20" s="117" t="s">
        <v>1490</v>
      </c>
      <c r="I20" s="36"/>
      <c r="J20" s="36"/>
      <c r="K20" s="36"/>
      <c r="L20" s="36"/>
      <c r="M20" s="36"/>
      <c r="N20" s="36"/>
      <c r="O20" s="36"/>
      <c r="P20" s="36"/>
      <c r="Q20" s="36"/>
      <c r="R20" s="36"/>
      <c r="S20" s="36"/>
      <c r="T20" s="36"/>
      <c r="U20" s="36"/>
      <c r="V20" s="36"/>
      <c r="W20" s="36"/>
      <c r="X20" s="36"/>
      <c r="Y20" s="36"/>
      <c r="Z20" s="36"/>
      <c r="AA20" s="36"/>
    </row>
    <row r="21" spans="1:27" ht="48" customHeight="1">
      <c r="A21" s="269" t="str">
        <f>HYPERLINK("https://www.alcaldiabogota.gov.co/sisjur/normas/Norma1.jsp?i=37604&amp;dt=S","LEY 1355")</f>
        <v>LEY 1355</v>
      </c>
      <c r="B21" s="286">
        <v>40100</v>
      </c>
      <c r="C21" s="32" t="s">
        <v>507</v>
      </c>
      <c r="D21" s="33" t="s">
        <v>1519</v>
      </c>
      <c r="E21" s="32" t="s">
        <v>41</v>
      </c>
      <c r="F21" s="64" t="s">
        <v>97</v>
      </c>
      <c r="G21" s="119" t="s">
        <v>43</v>
      </c>
      <c r="H21" s="117" t="s">
        <v>1490</v>
      </c>
      <c r="I21" s="36"/>
      <c r="J21" s="36"/>
      <c r="K21" s="36"/>
      <c r="L21" s="36"/>
      <c r="M21" s="36"/>
      <c r="N21" s="36"/>
      <c r="O21" s="36"/>
      <c r="P21" s="36"/>
      <c r="Q21" s="36"/>
      <c r="R21" s="36"/>
      <c r="S21" s="36"/>
      <c r="T21" s="36"/>
      <c r="U21" s="36"/>
      <c r="V21" s="36"/>
      <c r="W21" s="36"/>
      <c r="X21" s="36"/>
      <c r="Y21" s="36"/>
      <c r="Z21" s="36"/>
      <c r="AA21" s="36"/>
    </row>
    <row r="22" spans="1:27" ht="48" customHeight="1">
      <c r="A22" s="30" t="str">
        <f>HYPERLINK("https://www.funcionpublica.gov.co/eva/gestornormativo/norma.php?i=45246","LEY 1493")</f>
        <v>LEY 1493</v>
      </c>
      <c r="B22" s="286">
        <v>40903</v>
      </c>
      <c r="C22" s="32" t="s">
        <v>507</v>
      </c>
      <c r="D22" s="33" t="s">
        <v>55</v>
      </c>
      <c r="E22" s="32" t="s">
        <v>41</v>
      </c>
      <c r="F22" s="64" t="s">
        <v>97</v>
      </c>
      <c r="G22" s="119" t="s">
        <v>43</v>
      </c>
      <c r="H22" s="117" t="s">
        <v>1490</v>
      </c>
      <c r="I22" s="36"/>
      <c r="J22" s="36"/>
      <c r="K22" s="36"/>
      <c r="L22" s="36"/>
      <c r="M22" s="36"/>
      <c r="N22" s="36"/>
      <c r="O22" s="36"/>
      <c r="P22" s="36"/>
      <c r="Q22" s="36"/>
      <c r="R22" s="36"/>
      <c r="S22" s="36"/>
      <c r="T22" s="36"/>
      <c r="U22" s="36"/>
      <c r="V22" s="36"/>
      <c r="W22" s="36"/>
      <c r="X22" s="36"/>
      <c r="Y22" s="36"/>
      <c r="Z22" s="36"/>
      <c r="AA22" s="36"/>
    </row>
    <row r="23" spans="1:27" ht="48" customHeight="1">
      <c r="A23" s="30" t="str">
        <f>HYPERLINK("https://www.funcionpublica.gov.co/eva/gestornormativo/norma.php?i=55616","LEY 1679")</f>
        <v>LEY 1679</v>
      </c>
      <c r="B23" s="286">
        <v>41598</v>
      </c>
      <c r="C23" s="32" t="s">
        <v>507</v>
      </c>
      <c r="D23" s="33" t="s">
        <v>1522</v>
      </c>
      <c r="E23" s="32" t="s">
        <v>41</v>
      </c>
      <c r="F23" s="64" t="s">
        <v>97</v>
      </c>
      <c r="G23" s="119" t="s">
        <v>43</v>
      </c>
      <c r="H23" s="117" t="s">
        <v>1490</v>
      </c>
      <c r="I23" s="36"/>
      <c r="J23" s="36"/>
      <c r="K23" s="36"/>
      <c r="L23" s="36"/>
      <c r="M23" s="36"/>
      <c r="N23" s="36"/>
      <c r="O23" s="36"/>
      <c r="P23" s="36"/>
      <c r="Q23" s="36"/>
      <c r="R23" s="36"/>
      <c r="S23" s="36"/>
      <c r="T23" s="36"/>
      <c r="U23" s="36"/>
      <c r="V23" s="36"/>
      <c r="W23" s="36"/>
      <c r="X23" s="36"/>
      <c r="Y23" s="36"/>
      <c r="Z23" s="36"/>
      <c r="AA23" s="36"/>
    </row>
    <row r="24" spans="1:27" ht="36" customHeight="1">
      <c r="A24" s="43" t="str">
        <f>HYPERLINK("https://www.alcaldiabogota.gov.co/sisjur/normas/Norma1.jsp?i=66661","LEY 1801")</f>
        <v>LEY 1801</v>
      </c>
      <c r="B24" s="286">
        <v>42580</v>
      </c>
      <c r="C24" s="32" t="s">
        <v>507</v>
      </c>
      <c r="D24" s="33" t="s">
        <v>2917</v>
      </c>
      <c r="E24" s="32" t="s">
        <v>41</v>
      </c>
      <c r="F24" s="64" t="s">
        <v>97</v>
      </c>
      <c r="G24" s="119"/>
      <c r="H24" s="117"/>
      <c r="I24" s="36"/>
      <c r="J24" s="36"/>
      <c r="K24" s="36"/>
      <c r="L24" s="36"/>
      <c r="M24" s="36"/>
      <c r="N24" s="36"/>
      <c r="O24" s="36"/>
      <c r="P24" s="36"/>
      <c r="Q24" s="36"/>
      <c r="R24" s="36"/>
      <c r="S24" s="36"/>
      <c r="T24" s="36"/>
      <c r="U24" s="36"/>
      <c r="V24" s="36"/>
      <c r="W24" s="36"/>
      <c r="X24" s="36"/>
      <c r="Y24" s="36"/>
      <c r="Z24" s="36"/>
      <c r="AA24" s="36"/>
    </row>
    <row r="25" spans="1:27" ht="36" customHeight="1">
      <c r="A25" s="43" t="str">
        <f>HYPERLINK("https://www.funcionpublica.gov.co/eva/gestornormativo/norma.php?i=97210","LEY 1967")</f>
        <v>LEY 1967</v>
      </c>
      <c r="B25" s="286">
        <v>43657</v>
      </c>
      <c r="C25" s="32" t="s">
        <v>2918</v>
      </c>
      <c r="D25" s="33" t="s">
        <v>2919</v>
      </c>
      <c r="E25" s="32" t="s">
        <v>41</v>
      </c>
      <c r="F25" s="64" t="s">
        <v>97</v>
      </c>
      <c r="G25" s="119"/>
      <c r="H25" s="117"/>
      <c r="I25" s="36"/>
      <c r="J25" s="36"/>
      <c r="K25" s="36"/>
      <c r="L25" s="36"/>
      <c r="M25" s="36"/>
      <c r="N25" s="36"/>
      <c r="O25" s="36"/>
      <c r="P25" s="36"/>
      <c r="Q25" s="36"/>
      <c r="R25" s="36"/>
      <c r="S25" s="36"/>
      <c r="T25" s="36"/>
      <c r="U25" s="36"/>
      <c r="V25" s="36"/>
      <c r="W25" s="36"/>
      <c r="X25" s="36"/>
      <c r="Y25" s="36"/>
      <c r="Z25" s="36"/>
      <c r="AA25" s="36"/>
    </row>
    <row r="26" spans="1:27" ht="36" customHeight="1">
      <c r="A26" s="30" t="str">
        <f>HYPERLINK("https://www.mineducacion.gov.co/1621/articles-102758_archivo_pdf.pdf","DECRETO  1191")</f>
        <v>DECRETO  1191</v>
      </c>
      <c r="B26" s="41">
        <v>28667</v>
      </c>
      <c r="C26" s="32" t="s">
        <v>1524</v>
      </c>
      <c r="D26" s="33" t="s">
        <v>1525</v>
      </c>
      <c r="E26" s="32" t="s">
        <v>41</v>
      </c>
      <c r="F26" s="64" t="s">
        <v>97</v>
      </c>
      <c r="G26" s="119" t="s">
        <v>43</v>
      </c>
      <c r="H26" s="117" t="s">
        <v>1490</v>
      </c>
      <c r="I26" s="36"/>
      <c r="J26" s="36"/>
      <c r="K26" s="36"/>
      <c r="L26" s="36"/>
      <c r="M26" s="36"/>
      <c r="N26" s="36"/>
      <c r="O26" s="36"/>
      <c r="P26" s="36"/>
      <c r="Q26" s="36"/>
      <c r="R26" s="36"/>
      <c r="S26" s="36"/>
      <c r="T26" s="36"/>
      <c r="U26" s="36"/>
      <c r="V26" s="36"/>
      <c r="W26" s="36"/>
      <c r="X26" s="36"/>
      <c r="Y26" s="36"/>
      <c r="Z26" s="36"/>
      <c r="AA26" s="36"/>
    </row>
    <row r="27" spans="1:27" ht="24" customHeight="1">
      <c r="A27" s="43" t="str">
        <f>HYPERLINK("http://www.suin-juriscol.gov.co/viewDocument.asp?id=1421468","DECRETO 2225")</f>
        <v>DECRETO 2225</v>
      </c>
      <c r="B27" s="32">
        <v>1985</v>
      </c>
      <c r="C27" s="32" t="s">
        <v>57</v>
      </c>
      <c r="D27" s="33" t="s">
        <v>1527</v>
      </c>
      <c r="E27" s="32" t="s">
        <v>41</v>
      </c>
      <c r="F27" s="64" t="s">
        <v>97</v>
      </c>
      <c r="G27" s="119" t="s">
        <v>43</v>
      </c>
      <c r="H27" s="117" t="s">
        <v>1490</v>
      </c>
      <c r="I27" s="36"/>
      <c r="J27" s="36"/>
      <c r="K27" s="36"/>
      <c r="L27" s="36"/>
      <c r="M27" s="36"/>
      <c r="N27" s="36"/>
      <c r="O27" s="36"/>
      <c r="P27" s="36"/>
      <c r="Q27" s="36"/>
      <c r="R27" s="36"/>
      <c r="S27" s="36"/>
      <c r="T27" s="36"/>
      <c r="U27" s="36"/>
      <c r="V27" s="36"/>
      <c r="W27" s="36"/>
      <c r="X27" s="36"/>
      <c r="Y27" s="36"/>
      <c r="Z27" s="36"/>
      <c r="AA27" s="36"/>
    </row>
    <row r="28" spans="1:27" ht="24" customHeight="1">
      <c r="A28" s="30" t="str">
        <f>HYPERLINK("https://www.mineducacion.gov.co/1621/articles-86240_archivo_pdf.pdf","DECRETO 1860")</f>
        <v>DECRETO 1860</v>
      </c>
      <c r="B28" s="41">
        <v>34549</v>
      </c>
      <c r="C28" s="32" t="s">
        <v>57</v>
      </c>
      <c r="D28" s="33" t="s">
        <v>1528</v>
      </c>
      <c r="E28" s="32" t="s">
        <v>41</v>
      </c>
      <c r="F28" s="64" t="s">
        <v>97</v>
      </c>
      <c r="G28" s="119" t="s">
        <v>43</v>
      </c>
      <c r="H28" s="117" t="s">
        <v>1490</v>
      </c>
      <c r="I28" s="36"/>
      <c r="J28" s="36"/>
      <c r="K28" s="36"/>
      <c r="L28" s="36"/>
      <c r="M28" s="36"/>
      <c r="N28" s="36"/>
      <c r="O28" s="36"/>
      <c r="P28" s="36"/>
      <c r="Q28" s="36"/>
      <c r="R28" s="36"/>
      <c r="S28" s="36"/>
      <c r="T28" s="36"/>
      <c r="U28" s="36"/>
      <c r="V28" s="36"/>
      <c r="W28" s="36"/>
      <c r="X28" s="36"/>
      <c r="Y28" s="36"/>
      <c r="Z28" s="36"/>
      <c r="AA28" s="36"/>
    </row>
    <row r="29" spans="1:27" ht="36" customHeight="1">
      <c r="A29" s="30" t="str">
        <f>HYPERLINK("https://www.alcaldiabogota.gov.co/sisjur/normas/Norma1.jsp?i=1485&amp;dt=S","DECRETO 1228")</f>
        <v>DECRETO 1228</v>
      </c>
      <c r="B29" s="41">
        <v>34898</v>
      </c>
      <c r="C29" s="32" t="s">
        <v>57</v>
      </c>
      <c r="D29" s="33" t="s">
        <v>1530</v>
      </c>
      <c r="E29" s="32" t="s">
        <v>41</v>
      </c>
      <c r="F29" s="64" t="s">
        <v>97</v>
      </c>
      <c r="G29" s="119" t="s">
        <v>43</v>
      </c>
      <c r="H29" s="117" t="s">
        <v>1490</v>
      </c>
      <c r="I29" s="36"/>
      <c r="J29" s="36"/>
      <c r="K29" s="36"/>
      <c r="L29" s="36"/>
      <c r="M29" s="36"/>
      <c r="N29" s="36"/>
      <c r="O29" s="36"/>
      <c r="P29" s="36"/>
      <c r="Q29" s="36"/>
      <c r="R29" s="36"/>
      <c r="S29" s="36"/>
      <c r="T29" s="36"/>
      <c r="U29" s="36"/>
      <c r="V29" s="36"/>
      <c r="W29" s="36"/>
      <c r="X29" s="36"/>
      <c r="Y29" s="36"/>
      <c r="Z29" s="36"/>
      <c r="AA29" s="36"/>
    </row>
    <row r="30" spans="1:27" ht="36" customHeight="1">
      <c r="A30" s="30" t="str">
        <f>HYPERLINK("http://www.secretariasenado.gov.co/senado/basedoc/decreto_1231_1995.html","DECRETO 1231")</f>
        <v>DECRETO 1231</v>
      </c>
      <c r="B30" s="41">
        <v>34898</v>
      </c>
      <c r="C30" s="32" t="s">
        <v>1524</v>
      </c>
      <c r="D30" s="33" t="s">
        <v>1532</v>
      </c>
      <c r="E30" s="32" t="s">
        <v>41</v>
      </c>
      <c r="F30" s="64" t="s">
        <v>97</v>
      </c>
      <c r="G30" s="119" t="s">
        <v>43</v>
      </c>
      <c r="H30" s="117" t="s">
        <v>1490</v>
      </c>
      <c r="I30" s="36"/>
      <c r="J30" s="36"/>
      <c r="K30" s="36"/>
      <c r="L30" s="36"/>
      <c r="M30" s="36"/>
      <c r="N30" s="36"/>
      <c r="O30" s="36"/>
      <c r="P30" s="36"/>
      <c r="Q30" s="36"/>
      <c r="R30" s="36"/>
      <c r="S30" s="36"/>
      <c r="T30" s="36"/>
      <c r="U30" s="36"/>
      <c r="V30" s="36"/>
      <c r="W30" s="36"/>
      <c r="X30" s="36"/>
      <c r="Y30" s="36"/>
      <c r="Z30" s="36"/>
      <c r="AA30" s="36"/>
    </row>
    <row r="31" spans="1:27" ht="24" customHeight="1">
      <c r="A31" s="30" t="str">
        <f>HYPERLINK("https://www.funcionpublica.gov.co/eva/gestornormativo/norma.php?i=4825","DECRETO 641 ")</f>
        <v xml:space="preserve">DECRETO 641 </v>
      </c>
      <c r="B31" s="41">
        <v>36997</v>
      </c>
      <c r="C31" s="32" t="s">
        <v>57</v>
      </c>
      <c r="D31" s="33" t="s">
        <v>1534</v>
      </c>
      <c r="E31" s="32" t="s">
        <v>41</v>
      </c>
      <c r="F31" s="64" t="s">
        <v>97</v>
      </c>
      <c r="G31" s="119" t="s">
        <v>43</v>
      </c>
      <c r="H31" s="117" t="s">
        <v>1490</v>
      </c>
      <c r="I31" s="36"/>
      <c r="J31" s="36"/>
      <c r="K31" s="36"/>
      <c r="L31" s="36"/>
      <c r="M31" s="36"/>
      <c r="N31" s="36"/>
      <c r="O31" s="36"/>
      <c r="P31" s="36"/>
      <c r="Q31" s="36"/>
      <c r="R31" s="36"/>
      <c r="S31" s="36"/>
      <c r="T31" s="36"/>
      <c r="U31" s="36"/>
      <c r="V31" s="36"/>
      <c r="W31" s="36"/>
      <c r="X31" s="36"/>
      <c r="Y31" s="36"/>
      <c r="Z31" s="36"/>
      <c r="AA31" s="36"/>
    </row>
    <row r="32" spans="1:27" ht="36" customHeight="1">
      <c r="A32" s="30" t="str">
        <f>HYPERLINK("https://www.alcaldiabogota.gov.co/sisjur/normas/Norma1.jsp?i=10966&amp;dt=S","DECRETO 463")</f>
        <v>DECRETO 463</v>
      </c>
      <c r="B32" s="286">
        <v>37977</v>
      </c>
      <c r="C32" s="32" t="s">
        <v>61</v>
      </c>
      <c r="D32" s="33" t="s">
        <v>1536</v>
      </c>
      <c r="E32" s="32" t="s">
        <v>41</v>
      </c>
      <c r="F32" s="64" t="s">
        <v>97</v>
      </c>
      <c r="G32" s="119" t="s">
        <v>43</v>
      </c>
      <c r="H32" s="117" t="s">
        <v>1490</v>
      </c>
      <c r="I32" s="36"/>
      <c r="J32" s="36"/>
      <c r="K32" s="36"/>
      <c r="L32" s="36"/>
      <c r="M32" s="36"/>
      <c r="N32" s="36"/>
      <c r="O32" s="36"/>
      <c r="P32" s="36"/>
      <c r="Q32" s="36"/>
      <c r="R32" s="36"/>
      <c r="S32" s="36"/>
      <c r="T32" s="36"/>
      <c r="U32" s="36"/>
      <c r="V32" s="36"/>
      <c r="W32" s="36"/>
      <c r="X32" s="36"/>
      <c r="Y32" s="36"/>
      <c r="Z32" s="36"/>
      <c r="AA32" s="36"/>
    </row>
    <row r="33" spans="1:27" ht="24" customHeight="1">
      <c r="A33" s="30" t="str">
        <f>HYPERLINK("https://www.alcaldiabogota.gov.co/sisjur/normas/Norma1.jsp?i=7594&amp;dt=S","DECRETO 933")</f>
        <v>DECRETO 933</v>
      </c>
      <c r="B33" s="41">
        <v>37722</v>
      </c>
      <c r="C33" s="32" t="s">
        <v>57</v>
      </c>
      <c r="D33" s="33" t="s">
        <v>1538</v>
      </c>
      <c r="E33" s="32" t="s">
        <v>41</v>
      </c>
      <c r="F33" s="64" t="s">
        <v>97</v>
      </c>
      <c r="G33" s="119" t="s">
        <v>43</v>
      </c>
      <c r="H33" s="117" t="s">
        <v>1490</v>
      </c>
      <c r="I33" s="241"/>
      <c r="J33" s="36"/>
      <c r="K33" s="36"/>
      <c r="L33" s="36"/>
      <c r="M33" s="36"/>
      <c r="N33" s="36"/>
      <c r="O33" s="36"/>
      <c r="P33" s="36"/>
      <c r="Q33" s="36"/>
      <c r="R33" s="36"/>
      <c r="S33" s="36"/>
      <c r="T33" s="36"/>
      <c r="U33" s="36"/>
      <c r="V33" s="36"/>
      <c r="W33" s="36"/>
      <c r="X33" s="36"/>
      <c r="Y33" s="36"/>
      <c r="Z33" s="36"/>
      <c r="AA33" s="36"/>
    </row>
    <row r="34" spans="1:27" ht="24" customHeight="1">
      <c r="A34" s="30" t="str">
        <f>HYPERLINK("https://www.alcaldiabogota.gov.co/sisjur/normas/Norma1.jsp?i=22240","DECRETO 482")</f>
        <v>DECRETO 482</v>
      </c>
      <c r="B34" s="286">
        <v>39048</v>
      </c>
      <c r="C34" s="32" t="s">
        <v>61</v>
      </c>
      <c r="D34" s="33" t="s">
        <v>1540</v>
      </c>
      <c r="E34" s="32" t="s">
        <v>41</v>
      </c>
      <c r="F34" s="64" t="s">
        <v>97</v>
      </c>
      <c r="G34" s="119" t="s">
        <v>43</v>
      </c>
      <c r="H34" s="117" t="s">
        <v>1490</v>
      </c>
      <c r="I34" s="242"/>
      <c r="J34" s="36"/>
      <c r="K34" s="36"/>
      <c r="L34" s="36"/>
      <c r="M34" s="36"/>
      <c r="N34" s="36"/>
      <c r="O34" s="36"/>
      <c r="P34" s="36"/>
      <c r="Q34" s="36"/>
      <c r="R34" s="36"/>
      <c r="S34" s="36"/>
      <c r="T34" s="36"/>
      <c r="U34" s="36"/>
      <c r="V34" s="36"/>
      <c r="W34" s="36"/>
      <c r="X34" s="36"/>
      <c r="Y34" s="36"/>
      <c r="Z34" s="36"/>
      <c r="AA34" s="36"/>
    </row>
    <row r="35" spans="1:27" ht="36" customHeight="1">
      <c r="A35" s="30" t="str">
        <f>HYPERLINK("https://www.alcaldiabogota.gov.co/sisjur/normas/Norma1.jsp?i=28152&amp;dt=S","DECRETO 633")</f>
        <v>DECRETO 633</v>
      </c>
      <c r="B35" s="286">
        <v>39444</v>
      </c>
      <c r="C35" s="32" t="s">
        <v>61</v>
      </c>
      <c r="D35" s="33" t="s">
        <v>1542</v>
      </c>
      <c r="E35" s="32" t="s">
        <v>41</v>
      </c>
      <c r="F35" s="64" t="s">
        <v>97</v>
      </c>
      <c r="G35" s="119" t="s">
        <v>43</v>
      </c>
      <c r="H35" s="117" t="s">
        <v>1490</v>
      </c>
      <c r="I35" s="241"/>
      <c r="J35" s="36"/>
      <c r="K35" s="36"/>
      <c r="L35" s="36"/>
      <c r="M35" s="36"/>
      <c r="N35" s="36"/>
      <c r="O35" s="36"/>
      <c r="P35" s="36"/>
      <c r="Q35" s="36"/>
      <c r="R35" s="36"/>
      <c r="S35" s="36"/>
      <c r="T35" s="36"/>
      <c r="U35" s="36"/>
      <c r="V35" s="36"/>
      <c r="W35" s="36"/>
      <c r="X35" s="36"/>
      <c r="Y35" s="36"/>
      <c r="Z35" s="36"/>
      <c r="AA35" s="36"/>
    </row>
    <row r="36" spans="1:27" ht="24" customHeight="1">
      <c r="A36" s="43" t="str">
        <f>HYPERLINK("http://legal.legis.com.co/document/Index?obra=legcol&amp;document=legcol_b3f1d94225d74478beb406a266b5cbd9","DECRETRO 593")</f>
        <v>DECRETRO 593</v>
      </c>
      <c r="B36" s="286">
        <v>43010</v>
      </c>
      <c r="C36" s="32" t="s">
        <v>61</v>
      </c>
      <c r="D36" s="39" t="s">
        <v>2920</v>
      </c>
      <c r="E36" s="32" t="s">
        <v>41</v>
      </c>
      <c r="F36" s="64" t="s">
        <v>97</v>
      </c>
      <c r="G36" s="119" t="s">
        <v>43</v>
      </c>
      <c r="H36" s="117" t="s">
        <v>1490</v>
      </c>
      <c r="I36" s="241"/>
      <c r="J36" s="36"/>
      <c r="K36" s="36"/>
      <c r="L36" s="36"/>
      <c r="M36" s="36"/>
      <c r="N36" s="36"/>
      <c r="O36" s="36"/>
      <c r="P36" s="36"/>
      <c r="Q36" s="36"/>
      <c r="R36" s="36"/>
      <c r="S36" s="36"/>
      <c r="T36" s="36"/>
      <c r="U36" s="36"/>
      <c r="V36" s="36"/>
      <c r="W36" s="36"/>
      <c r="X36" s="36"/>
      <c r="Y36" s="36"/>
      <c r="Z36" s="36"/>
      <c r="AA36" s="36"/>
    </row>
    <row r="37" spans="1:27" ht="36" customHeight="1">
      <c r="A37" s="30" t="str">
        <f>HYPERLINK("https://www.alcaldiabogota.gov.co/sisjur/normas/Norma1.jsp?i=31692&amp;dt=S","DECRETO 2771")</f>
        <v>DECRETO 2771</v>
      </c>
      <c r="B37" s="41">
        <v>39659</v>
      </c>
      <c r="C37" s="32" t="s">
        <v>1546</v>
      </c>
      <c r="D37" s="33" t="s">
        <v>1547</v>
      </c>
      <c r="E37" s="32" t="s">
        <v>41</v>
      </c>
      <c r="F37" s="64" t="s">
        <v>97</v>
      </c>
      <c r="G37" s="119" t="s">
        <v>43</v>
      </c>
      <c r="H37" s="117" t="s">
        <v>1490</v>
      </c>
      <c r="I37" s="36"/>
      <c r="J37" s="36"/>
      <c r="K37" s="36"/>
      <c r="L37" s="36"/>
      <c r="M37" s="36"/>
      <c r="N37" s="36"/>
      <c r="O37" s="36"/>
      <c r="P37" s="36"/>
      <c r="Q37" s="36"/>
      <c r="R37" s="36"/>
      <c r="S37" s="36"/>
      <c r="T37" s="36"/>
      <c r="U37" s="36"/>
      <c r="V37" s="36"/>
      <c r="W37" s="36"/>
      <c r="X37" s="36"/>
      <c r="Y37" s="36"/>
      <c r="Z37" s="36"/>
      <c r="AA37" s="36"/>
    </row>
    <row r="38" spans="1:27" ht="72" customHeight="1">
      <c r="A38" s="30" t="str">
        <f>HYPERLINK("https://www.alcaldiabogota.gov.co/sisjur/normas/Norma1.jsp?i=56034","DECRETO 599")</f>
        <v>DECRETO 599</v>
      </c>
      <c r="B38" s="286">
        <v>41634</v>
      </c>
      <c r="C38" s="32" t="s">
        <v>61</v>
      </c>
      <c r="D38" s="33" t="s">
        <v>1549</v>
      </c>
      <c r="E38" s="32" t="s">
        <v>41</v>
      </c>
      <c r="F38" s="64" t="s">
        <v>97</v>
      </c>
      <c r="G38" s="119" t="s">
        <v>43</v>
      </c>
      <c r="H38" s="117" t="s">
        <v>1490</v>
      </c>
      <c r="I38" s="36"/>
      <c r="J38" s="36"/>
      <c r="K38" s="36"/>
      <c r="L38" s="36"/>
      <c r="M38" s="36"/>
      <c r="N38" s="36"/>
      <c r="O38" s="241"/>
      <c r="P38" s="36"/>
      <c r="Q38" s="241"/>
      <c r="R38" s="36"/>
      <c r="S38" s="36"/>
      <c r="T38" s="36"/>
      <c r="U38" s="36"/>
      <c r="V38" s="36"/>
      <c r="W38" s="36"/>
      <c r="X38" s="36"/>
      <c r="Y38" s="36"/>
      <c r="Z38" s="36"/>
      <c r="AA38" s="36"/>
    </row>
    <row r="39" spans="1:27" ht="24" customHeight="1">
      <c r="A39" s="30" t="str">
        <f>HYPERLINK("https://www.funcionpublica.gov.co/eva/gestornormativo/norma.php?i=60473","DECRETO 55")</f>
        <v>DECRETO 55</v>
      </c>
      <c r="B39" s="41">
        <v>42018</v>
      </c>
      <c r="C39" s="32" t="s">
        <v>57</v>
      </c>
      <c r="D39" s="33" t="s">
        <v>1551</v>
      </c>
      <c r="E39" s="32" t="s">
        <v>41</v>
      </c>
      <c r="F39" s="64" t="s">
        <v>97</v>
      </c>
      <c r="G39" s="119" t="s">
        <v>43</v>
      </c>
      <c r="H39" s="117" t="s">
        <v>1490</v>
      </c>
      <c r="I39" s="36"/>
      <c r="J39" s="36"/>
      <c r="K39" s="36"/>
      <c r="L39" s="36"/>
      <c r="M39" s="36"/>
      <c r="N39" s="36"/>
      <c r="O39" s="36"/>
      <c r="P39" s="36"/>
      <c r="Q39" s="36"/>
      <c r="R39" s="36"/>
      <c r="S39" s="36"/>
      <c r="T39" s="36"/>
      <c r="U39" s="36"/>
      <c r="V39" s="36"/>
      <c r="W39" s="36"/>
      <c r="X39" s="36"/>
      <c r="Y39" s="36"/>
      <c r="Z39" s="36"/>
      <c r="AA39" s="36"/>
    </row>
    <row r="40" spans="1:27" ht="84" customHeight="1">
      <c r="A40" s="30" t="str">
        <f>HYPERLINK("https://www.alcaldiabogota.gov.co/sisjur/normas/Norma1.jsp?i=67805","DECRETO 622")</f>
        <v>DECRETO 622</v>
      </c>
      <c r="B40" s="286">
        <v>42727</v>
      </c>
      <c r="C40" s="32" t="s">
        <v>61</v>
      </c>
      <c r="D40" s="33" t="s">
        <v>1552</v>
      </c>
      <c r="E40" s="32" t="s">
        <v>41</v>
      </c>
      <c r="F40" s="64" t="s">
        <v>97</v>
      </c>
      <c r="G40" s="119" t="s">
        <v>43</v>
      </c>
      <c r="H40" s="117" t="s">
        <v>1490</v>
      </c>
      <c r="I40" s="36"/>
      <c r="J40" s="36"/>
      <c r="K40" s="36"/>
      <c r="L40" s="36"/>
      <c r="M40" s="36"/>
      <c r="N40" s="36"/>
      <c r="O40" s="36"/>
      <c r="P40" s="36"/>
      <c r="Q40" s="36"/>
      <c r="R40" s="36"/>
      <c r="S40" s="36"/>
      <c r="T40" s="36"/>
      <c r="U40" s="36"/>
      <c r="V40" s="36"/>
      <c r="W40" s="36"/>
      <c r="X40" s="36"/>
      <c r="Y40" s="36"/>
      <c r="Z40" s="36"/>
      <c r="AA40" s="36"/>
    </row>
    <row r="41" spans="1:27" ht="72" customHeight="1">
      <c r="A41" s="30" t="str">
        <f>HYPERLINK("https://www.funcionpublica.gov.co/eva/gestornormativo/norma.php?i=69094","DECRETO 642")</f>
        <v>DECRETO 642</v>
      </c>
      <c r="B41" s="41">
        <v>42478</v>
      </c>
      <c r="C41" s="32" t="s">
        <v>57</v>
      </c>
      <c r="D41" s="33" t="s">
        <v>1554</v>
      </c>
      <c r="E41" s="32" t="s">
        <v>41</v>
      </c>
      <c r="F41" s="64" t="s">
        <v>97</v>
      </c>
      <c r="G41" s="119" t="s">
        <v>43</v>
      </c>
      <c r="H41" s="117" t="s">
        <v>1490</v>
      </c>
      <c r="I41" s="36"/>
      <c r="J41" s="36"/>
      <c r="K41" s="36"/>
      <c r="L41" s="36"/>
      <c r="M41" s="36"/>
      <c r="N41" s="36"/>
      <c r="O41" s="36"/>
      <c r="P41" s="36"/>
      <c r="Q41" s="36"/>
      <c r="R41" s="36"/>
      <c r="S41" s="36"/>
      <c r="T41" s="36"/>
      <c r="U41" s="36"/>
      <c r="V41" s="36"/>
      <c r="W41" s="36"/>
      <c r="X41" s="36"/>
      <c r="Y41" s="36"/>
      <c r="Z41" s="36"/>
      <c r="AA41" s="36"/>
    </row>
    <row r="42" spans="1:27" ht="30" customHeight="1">
      <c r="A42" s="30" t="str">
        <f>HYPERLINK("https://www.alcaldiabogota.gov.co/sisjur/normas/Norma1.jsp?i=72265&amp;dt=S","DECRETO 567")</f>
        <v>DECRETO 567</v>
      </c>
      <c r="B42" s="286">
        <v>43028</v>
      </c>
      <c r="C42" s="32" t="s">
        <v>61</v>
      </c>
      <c r="D42" s="33" t="s">
        <v>1556</v>
      </c>
      <c r="E42" s="32" t="s">
        <v>41</v>
      </c>
      <c r="F42" s="64" t="s">
        <v>97</v>
      </c>
      <c r="G42" s="119" t="s">
        <v>43</v>
      </c>
      <c r="H42" s="117" t="s">
        <v>1490</v>
      </c>
      <c r="I42" s="36"/>
      <c r="J42" s="36"/>
      <c r="K42" s="36"/>
      <c r="L42" s="36"/>
      <c r="M42" s="36"/>
      <c r="N42" s="36"/>
      <c r="O42" s="36"/>
      <c r="P42" s="36"/>
      <c r="Q42" s="36"/>
      <c r="R42" s="36"/>
      <c r="S42" s="36"/>
      <c r="T42" s="36"/>
      <c r="U42" s="36"/>
      <c r="V42" s="36"/>
      <c r="W42" s="36"/>
      <c r="X42" s="36"/>
      <c r="Y42" s="36"/>
      <c r="Z42" s="36"/>
      <c r="AA42" s="36"/>
    </row>
    <row r="43" spans="1:27" ht="36" customHeight="1">
      <c r="A43" s="30" t="str">
        <f>HYPERLINK("http://legal.legis.com.co/document/Index?obra=legcol&amp;document=legcol_f62fe41f45f7464b96636dd965d07923","DECRETO 153")</f>
        <v>DECRETO 153</v>
      </c>
      <c r="B43" s="286">
        <v>43175</v>
      </c>
      <c r="C43" s="32" t="s">
        <v>61</v>
      </c>
      <c r="D43" s="39" t="s">
        <v>2921</v>
      </c>
      <c r="E43" s="32" t="s">
        <v>41</v>
      </c>
      <c r="F43" s="64" t="s">
        <v>97</v>
      </c>
      <c r="G43" s="119"/>
      <c r="H43" s="117"/>
      <c r="I43" s="36"/>
      <c r="J43" s="36"/>
      <c r="K43" s="36"/>
      <c r="L43" s="36"/>
      <c r="M43" s="36"/>
      <c r="N43" s="36"/>
      <c r="O43" s="36"/>
      <c r="P43" s="36"/>
      <c r="Q43" s="36"/>
      <c r="R43" s="36"/>
      <c r="S43" s="36"/>
      <c r="T43" s="36"/>
      <c r="U43" s="36"/>
      <c r="V43" s="36"/>
      <c r="W43" s="36"/>
      <c r="X43" s="36"/>
      <c r="Y43" s="36"/>
      <c r="Z43" s="36"/>
      <c r="AA43" s="36"/>
    </row>
    <row r="44" spans="1:27" ht="48" customHeight="1">
      <c r="A44" s="30" t="str">
        <f>HYPERLINK("https://www.alcaldiabogota.gov.co/sisjur/normas/Norma1.jsp?i=64248&amp;dt=S","Decreto 597")</f>
        <v>Decreto 597</v>
      </c>
      <c r="B44" s="286">
        <v>42368</v>
      </c>
      <c r="C44" s="32" t="s">
        <v>1558</v>
      </c>
      <c r="D44" s="33" t="s">
        <v>1561</v>
      </c>
      <c r="E44" s="32" t="s">
        <v>41</v>
      </c>
      <c r="F44" s="64" t="s">
        <v>97</v>
      </c>
      <c r="G44" s="119" t="s">
        <v>43</v>
      </c>
      <c r="H44" s="117" t="s">
        <v>1490</v>
      </c>
      <c r="I44" s="36"/>
      <c r="J44" s="36"/>
      <c r="K44" s="36"/>
      <c r="L44" s="36"/>
      <c r="M44" s="36"/>
      <c r="N44" s="36"/>
      <c r="O44" s="36"/>
      <c r="P44" s="36"/>
      <c r="Q44" s="36"/>
      <c r="R44" s="36"/>
      <c r="S44" s="36"/>
      <c r="T44" s="36"/>
      <c r="U44" s="36"/>
      <c r="V44" s="36"/>
      <c r="W44" s="36"/>
      <c r="X44" s="36"/>
      <c r="Y44" s="36"/>
      <c r="Z44" s="36"/>
      <c r="AA44" s="36"/>
    </row>
    <row r="45" spans="1:27" ht="36" customHeight="1">
      <c r="A45" s="43" t="str">
        <f>HYPERLINK("https://www.alcaldiabogota.gov.co/sisjur/normas/Norma1.jsp?i=81080&amp;dt=S","Decreto 557 ")</f>
        <v xml:space="preserve">Decreto 557 </v>
      </c>
      <c r="B45" s="41">
        <v>43370</v>
      </c>
      <c r="C45" s="32" t="s">
        <v>1558</v>
      </c>
      <c r="D45" s="33" t="s">
        <v>1563</v>
      </c>
      <c r="E45" s="32" t="s">
        <v>41</v>
      </c>
      <c r="F45" s="64" t="s">
        <v>97</v>
      </c>
      <c r="G45" s="119" t="s">
        <v>43</v>
      </c>
      <c r="H45" s="117" t="s">
        <v>1490</v>
      </c>
      <c r="I45" s="36"/>
      <c r="J45" s="36"/>
      <c r="K45" s="36"/>
      <c r="L45" s="36"/>
      <c r="M45" s="36"/>
      <c r="N45" s="36"/>
      <c r="O45" s="36"/>
      <c r="P45" s="36"/>
      <c r="Q45" s="36"/>
      <c r="R45" s="36"/>
      <c r="S45" s="36"/>
      <c r="T45" s="36"/>
      <c r="U45" s="36"/>
      <c r="V45" s="36"/>
      <c r="W45" s="36"/>
      <c r="X45" s="36"/>
      <c r="Y45" s="36"/>
      <c r="Z45" s="36"/>
      <c r="AA45" s="36"/>
    </row>
    <row r="46" spans="1:27" ht="48" customHeight="1">
      <c r="A46" s="30" t="str">
        <f>HYPERLINK("https://www.alcaldiabogota.gov.co/sisjur/normas/Norma1.jsp?i=80554&amp;dt=S","Decreto 483")</f>
        <v>Decreto 483</v>
      </c>
      <c r="B46" s="41">
        <v>43329</v>
      </c>
      <c r="C46" s="32" t="s">
        <v>1558</v>
      </c>
      <c r="D46" s="33" t="s">
        <v>1565</v>
      </c>
      <c r="E46" s="32" t="s">
        <v>41</v>
      </c>
      <c r="F46" s="64" t="s">
        <v>97</v>
      </c>
      <c r="G46" s="119" t="s">
        <v>43</v>
      </c>
      <c r="H46" s="117" t="s">
        <v>1490</v>
      </c>
      <c r="I46" s="36"/>
      <c r="J46" s="36"/>
      <c r="K46" s="36"/>
      <c r="L46" s="36"/>
      <c r="M46" s="36"/>
      <c r="N46" s="36"/>
      <c r="O46" s="36"/>
      <c r="P46" s="36"/>
      <c r="Q46" s="36"/>
      <c r="R46" s="36"/>
      <c r="S46" s="36"/>
      <c r="T46" s="36"/>
      <c r="U46" s="36"/>
      <c r="V46" s="36"/>
      <c r="W46" s="36"/>
      <c r="X46" s="36"/>
      <c r="Y46" s="36"/>
      <c r="Z46" s="36"/>
      <c r="AA46" s="36"/>
    </row>
    <row r="47" spans="1:27" ht="24" customHeight="1">
      <c r="A47" s="30" t="str">
        <f>HYPERLINK("https://www.alcaldiabogota.gov.co/sisjur/normas/Norma1.jsp?i=897&amp;dt=S","ACUERDO 4")</f>
        <v>ACUERDO 4</v>
      </c>
      <c r="B47" s="41">
        <v>28529</v>
      </c>
      <c r="C47" s="32" t="s">
        <v>195</v>
      </c>
      <c r="D47" s="33" t="s">
        <v>1566</v>
      </c>
      <c r="E47" s="32" t="s">
        <v>41</v>
      </c>
      <c r="F47" s="64" t="s">
        <v>97</v>
      </c>
      <c r="G47" s="119" t="s">
        <v>43</v>
      </c>
      <c r="H47" s="117" t="s">
        <v>1490</v>
      </c>
      <c r="I47" s="36"/>
      <c r="J47" s="36"/>
      <c r="K47" s="36"/>
      <c r="L47" s="36"/>
      <c r="M47" s="36"/>
      <c r="N47" s="36"/>
      <c r="O47" s="36"/>
      <c r="P47" s="36"/>
      <c r="Q47" s="36"/>
      <c r="R47" s="36"/>
      <c r="S47" s="36"/>
      <c r="T47" s="36"/>
      <c r="U47" s="36"/>
      <c r="V47" s="36"/>
      <c r="W47" s="36"/>
      <c r="X47" s="36"/>
      <c r="Y47" s="36"/>
      <c r="Z47" s="36"/>
      <c r="AA47" s="36"/>
    </row>
    <row r="48" spans="1:27" ht="24" customHeight="1">
      <c r="A48" s="30" t="str">
        <f>HYPERLINK("https://diario-oficial.vlex.com.co/vid/acuerdo-107-43189887","ACUERDO 107")</f>
        <v>ACUERDO 107</v>
      </c>
      <c r="B48" s="32">
        <v>2003</v>
      </c>
      <c r="C48" s="32" t="s">
        <v>195</v>
      </c>
      <c r="D48" s="33" t="s">
        <v>1568</v>
      </c>
      <c r="E48" s="32" t="s">
        <v>41</v>
      </c>
      <c r="F48" s="64" t="s">
        <v>97</v>
      </c>
      <c r="G48" s="119" t="s">
        <v>43</v>
      </c>
      <c r="H48" s="117" t="s">
        <v>1490</v>
      </c>
      <c r="I48" s="36"/>
      <c r="J48" s="36"/>
      <c r="K48" s="36"/>
      <c r="L48" s="36"/>
      <c r="M48" s="36"/>
      <c r="N48" s="36"/>
      <c r="O48" s="36"/>
      <c r="P48" s="36"/>
      <c r="Q48" s="36"/>
      <c r="R48" s="36"/>
      <c r="S48" s="36"/>
      <c r="T48" s="36"/>
      <c r="U48" s="36"/>
      <c r="V48" s="36"/>
      <c r="W48" s="36"/>
      <c r="X48" s="36"/>
      <c r="Y48" s="36"/>
      <c r="Z48" s="36"/>
      <c r="AA48" s="36"/>
    </row>
    <row r="49" spans="1:27" ht="36" customHeight="1">
      <c r="A49" s="30" t="str">
        <f>HYPERLINK("https://www.alcaldiabogota.gov.co/sisjur/normas/Norma1.jsp?i=17652","ACUERDO 175")</f>
        <v>ACUERDO 175</v>
      </c>
      <c r="B49" s="41">
        <v>38623</v>
      </c>
      <c r="C49" s="32" t="s">
        <v>195</v>
      </c>
      <c r="D49" s="33" t="s">
        <v>1570</v>
      </c>
      <c r="E49" s="32" t="s">
        <v>41</v>
      </c>
      <c r="F49" s="64" t="s">
        <v>97</v>
      </c>
      <c r="G49" s="119" t="s">
        <v>43</v>
      </c>
      <c r="H49" s="117" t="s">
        <v>1490</v>
      </c>
      <c r="I49" s="36"/>
      <c r="J49" s="36"/>
      <c r="K49" s="36"/>
      <c r="L49" s="36"/>
      <c r="M49" s="36"/>
      <c r="N49" s="36"/>
      <c r="O49" s="36"/>
      <c r="P49" s="36"/>
      <c r="Q49" s="36"/>
      <c r="R49" s="36"/>
      <c r="S49" s="36"/>
      <c r="T49" s="36"/>
      <c r="U49" s="36"/>
      <c r="V49" s="36"/>
      <c r="W49" s="36"/>
      <c r="X49" s="36"/>
      <c r="Y49" s="36"/>
      <c r="Z49" s="36"/>
      <c r="AA49" s="36"/>
    </row>
    <row r="50" spans="1:27" ht="48" customHeight="1">
      <c r="A50" s="30" t="str">
        <f>HYPERLINK("http://concejodebogota.gov.co/cbogota/site/artic/20160803/asocfile/20160803160947/acuerdo_498_12.pdf","ACUERDO 498")</f>
        <v>ACUERDO 498</v>
      </c>
      <c r="B50" s="41">
        <v>41178</v>
      </c>
      <c r="C50" s="32" t="s">
        <v>195</v>
      </c>
      <c r="D50" s="33" t="s">
        <v>1572</v>
      </c>
      <c r="E50" s="32" t="s">
        <v>41</v>
      </c>
      <c r="F50" s="32" t="s">
        <v>41</v>
      </c>
      <c r="G50" s="119" t="s">
        <v>43</v>
      </c>
      <c r="H50" s="117" t="s">
        <v>1490</v>
      </c>
      <c r="I50" s="36"/>
      <c r="J50" s="36"/>
      <c r="K50" s="36"/>
      <c r="L50" s="36"/>
      <c r="M50" s="36"/>
      <c r="N50" s="36"/>
      <c r="O50" s="36"/>
      <c r="P50" s="36"/>
      <c r="Q50" s="36"/>
      <c r="R50" s="36"/>
      <c r="S50" s="36"/>
      <c r="T50" s="36"/>
      <c r="U50" s="36"/>
      <c r="V50" s="36"/>
      <c r="W50" s="36"/>
      <c r="X50" s="36"/>
      <c r="Y50" s="36"/>
      <c r="Z50" s="36"/>
      <c r="AA50" s="36"/>
    </row>
    <row r="51" spans="1:27" ht="69" customHeight="1">
      <c r="A51" s="30" t="str">
        <f>HYPERLINK("http://www.saludcapital.gov.co/Normo/gsp/acuerdo_614_de_2015.pdf","ACUERDO 614")</f>
        <v>ACUERDO 614</v>
      </c>
      <c r="B51" s="41">
        <v>42263</v>
      </c>
      <c r="C51" s="32" t="s">
        <v>195</v>
      </c>
      <c r="D51" s="33" t="s">
        <v>2922</v>
      </c>
      <c r="E51" s="32" t="s">
        <v>2923</v>
      </c>
      <c r="F51" s="33" t="s">
        <v>2924</v>
      </c>
      <c r="G51" s="119"/>
      <c r="H51" s="117"/>
      <c r="I51" s="36"/>
      <c r="J51" s="36"/>
      <c r="K51" s="36"/>
      <c r="L51" s="36"/>
      <c r="M51" s="36"/>
      <c r="N51" s="36"/>
      <c r="O51" s="36"/>
      <c r="P51" s="36"/>
      <c r="Q51" s="36"/>
      <c r="R51" s="36"/>
      <c r="S51" s="36"/>
      <c r="T51" s="36"/>
      <c r="U51" s="36"/>
      <c r="V51" s="36"/>
      <c r="W51" s="36"/>
      <c r="X51" s="36"/>
      <c r="Y51" s="36"/>
      <c r="Z51" s="36"/>
      <c r="AA51" s="36"/>
    </row>
    <row r="52" spans="1:27" ht="36" customHeight="1">
      <c r="A52" s="30" t="str">
        <f>HYPERLINK("https://www.idrd.gov.co/sitio/idrd/sites/default/files/imagenes/acuerdo%20058%20de%2019910.pdf","RESOLUCIÓN 58")</f>
        <v>RESOLUCIÓN 58</v>
      </c>
      <c r="B52" s="41">
        <v>33353</v>
      </c>
      <c r="C52" s="32" t="s">
        <v>1574</v>
      </c>
      <c r="D52" s="33" t="s">
        <v>1575</v>
      </c>
      <c r="E52" s="32" t="s">
        <v>41</v>
      </c>
      <c r="F52" s="32" t="s">
        <v>41</v>
      </c>
      <c r="G52" s="119" t="s">
        <v>43</v>
      </c>
      <c r="H52" s="117" t="s">
        <v>1490</v>
      </c>
      <c r="I52" s="36"/>
      <c r="J52" s="36"/>
      <c r="K52" s="36"/>
      <c r="L52" s="36"/>
      <c r="M52" s="36"/>
      <c r="N52" s="36"/>
      <c r="O52" s="36"/>
      <c r="P52" s="36"/>
      <c r="Q52" s="36"/>
      <c r="R52" s="36"/>
      <c r="S52" s="36"/>
      <c r="T52" s="36"/>
      <c r="U52" s="36"/>
      <c r="V52" s="36"/>
      <c r="W52" s="36"/>
      <c r="X52" s="36"/>
      <c r="Y52" s="36"/>
      <c r="Z52" s="36"/>
      <c r="AA52" s="36"/>
    </row>
    <row r="53" spans="1:27" ht="24" customHeight="1">
      <c r="A53" s="30" t="str">
        <f>HYPERLINK("uiatramitesyservicios.bogota.gov.co/wp-content/uploads/2017/11/Resolucion-001909-del-5-de-agosto-de-19910.pdf","RESOLUCIÓN 1909")</f>
        <v>RESOLUCIÓN 1909</v>
      </c>
      <c r="B53" s="41">
        <v>33455</v>
      </c>
      <c r="C53" s="32" t="s">
        <v>1574</v>
      </c>
      <c r="D53" s="33" t="s">
        <v>1577</v>
      </c>
      <c r="E53" s="32" t="s">
        <v>41</v>
      </c>
      <c r="F53" s="32" t="s">
        <v>41</v>
      </c>
      <c r="G53" s="119" t="s">
        <v>43</v>
      </c>
      <c r="H53" s="117" t="s">
        <v>1490</v>
      </c>
      <c r="I53" s="36"/>
      <c r="J53" s="36"/>
      <c r="K53" s="36"/>
      <c r="L53" s="36"/>
      <c r="M53" s="36"/>
      <c r="N53" s="36"/>
      <c r="O53" s="36"/>
      <c r="P53" s="36"/>
      <c r="Q53" s="36"/>
      <c r="R53" s="36"/>
      <c r="S53" s="36"/>
      <c r="T53" s="36"/>
      <c r="U53" s="36"/>
      <c r="V53" s="36"/>
      <c r="W53" s="36"/>
      <c r="X53" s="36"/>
      <c r="Y53" s="36"/>
      <c r="Z53" s="36"/>
      <c r="AA53" s="36"/>
    </row>
    <row r="54" spans="1:27" ht="24" customHeight="1">
      <c r="A54" s="43" t="str">
        <f>HYPERLINK("https://www.idrd.gov.co/sitio/idrd/sites/default/files/imagenes/resolucion%20334%20de%202014.pdf","RESOLUCIÓN 334 ")</f>
        <v xml:space="preserve">RESOLUCIÓN 334 </v>
      </c>
      <c r="B54" s="41">
        <v>41806</v>
      </c>
      <c r="C54" s="142" t="s">
        <v>130</v>
      </c>
      <c r="D54" s="39" t="s">
        <v>2925</v>
      </c>
      <c r="E54" s="40" t="s">
        <v>657</v>
      </c>
      <c r="F54" s="124" t="s">
        <v>2926</v>
      </c>
      <c r="G54" s="119"/>
      <c r="H54" s="117"/>
      <c r="I54" s="36"/>
      <c r="J54" s="36"/>
      <c r="K54" s="36"/>
      <c r="L54" s="36"/>
      <c r="M54" s="36"/>
      <c r="N54" s="36"/>
      <c r="O54" s="36"/>
      <c r="P54" s="36"/>
      <c r="Q54" s="36"/>
      <c r="R54" s="36"/>
      <c r="S54" s="36"/>
      <c r="T54" s="36"/>
      <c r="U54" s="36"/>
      <c r="V54" s="36"/>
      <c r="W54" s="36"/>
      <c r="X54" s="36"/>
      <c r="Y54" s="36"/>
      <c r="Z54" s="36"/>
      <c r="AA54" s="36"/>
    </row>
    <row r="55" spans="1:27" ht="24" customHeight="1">
      <c r="A55" s="30" t="str">
        <f>HYPERLINK("https://www.mineducacion.gov.co/1759/articles-96032_archivo_pdf.pdf","RESOLUCION 4210")</f>
        <v>RESOLUCION 4210</v>
      </c>
      <c r="B55" s="41">
        <v>35320</v>
      </c>
      <c r="C55" s="32" t="s">
        <v>1524</v>
      </c>
      <c r="D55" s="39" t="s">
        <v>2927</v>
      </c>
      <c r="E55" s="32" t="s">
        <v>41</v>
      </c>
      <c r="F55" s="64" t="s">
        <v>97</v>
      </c>
      <c r="G55" s="119" t="s">
        <v>43</v>
      </c>
      <c r="H55" s="117" t="s">
        <v>1490</v>
      </c>
      <c r="I55" s="36"/>
      <c r="J55" s="36"/>
      <c r="K55" s="36"/>
      <c r="L55" s="36"/>
      <c r="M55" s="36"/>
      <c r="N55" s="36"/>
      <c r="O55" s="36"/>
      <c r="P55" s="36"/>
      <c r="Q55" s="36"/>
      <c r="R55" s="36"/>
      <c r="S55" s="36"/>
      <c r="T55" s="36"/>
      <c r="U55" s="36"/>
      <c r="V55" s="36"/>
      <c r="W55" s="36"/>
      <c r="X55" s="36"/>
      <c r="Y55" s="36"/>
      <c r="Z55" s="36"/>
      <c r="AA55" s="36"/>
    </row>
    <row r="56" spans="1:27" ht="24" customHeight="1">
      <c r="A56" s="30" t="str">
        <f>HYPERLINK("https://www.alcaldiabogota.gov.co/sisjur/normas/Norma1.jsp?i=36291&amp;dt=S","RESOLUCIÓN 1164")</f>
        <v>RESOLUCIÓN 1164</v>
      </c>
      <c r="B56" s="41">
        <v>37505</v>
      </c>
      <c r="C56" s="32" t="s">
        <v>1584</v>
      </c>
      <c r="D56" s="33" t="s">
        <v>1585</v>
      </c>
      <c r="E56" s="32" t="s">
        <v>41</v>
      </c>
      <c r="F56" s="64" t="s">
        <v>97</v>
      </c>
      <c r="G56" s="119" t="s">
        <v>43</v>
      </c>
      <c r="H56" s="117" t="s">
        <v>1490</v>
      </c>
      <c r="I56" s="36"/>
      <c r="J56" s="36"/>
      <c r="K56" s="36"/>
      <c r="L56" s="36"/>
      <c r="M56" s="36"/>
      <c r="N56" s="36"/>
      <c r="O56" s="36"/>
      <c r="P56" s="36"/>
      <c r="Q56" s="36"/>
      <c r="R56" s="36"/>
      <c r="S56" s="36"/>
      <c r="T56" s="36"/>
      <c r="U56" s="36"/>
      <c r="V56" s="36"/>
      <c r="W56" s="36"/>
      <c r="X56" s="36"/>
      <c r="Y56" s="36"/>
      <c r="Z56" s="36"/>
      <c r="AA56" s="36"/>
    </row>
    <row r="57" spans="1:27" ht="36" customHeight="1">
      <c r="A57" s="30" t="str">
        <f>HYPERLINK("https://www.alcaldiabogota.gov.co/sisjur/normas/Norma1.jsp?i=37411","RESOLUCIÓN 299")</f>
        <v>RESOLUCIÓN 299</v>
      </c>
      <c r="B57" s="41">
        <v>40008</v>
      </c>
      <c r="C57" s="142" t="s">
        <v>130</v>
      </c>
      <c r="D57" s="33" t="s">
        <v>1587</v>
      </c>
      <c r="E57" s="32" t="s">
        <v>41</v>
      </c>
      <c r="F57" s="64" t="s">
        <v>97</v>
      </c>
      <c r="G57" s="119" t="s">
        <v>43</v>
      </c>
      <c r="H57" s="117" t="s">
        <v>1490</v>
      </c>
      <c r="I57" s="36"/>
      <c r="J57" s="36"/>
      <c r="K57" s="36"/>
      <c r="L57" s="36"/>
      <c r="M57" s="36"/>
      <c r="N57" s="36"/>
      <c r="O57" s="36"/>
      <c r="P57" s="36"/>
      <c r="Q57" s="36"/>
      <c r="R57" s="36"/>
      <c r="S57" s="36"/>
      <c r="T57" s="36"/>
      <c r="U57" s="36"/>
      <c r="V57" s="36"/>
      <c r="W57" s="36"/>
      <c r="X57" s="36"/>
      <c r="Y57" s="36"/>
      <c r="Z57" s="36"/>
      <c r="AA57" s="36"/>
    </row>
    <row r="58" spans="1:27" ht="48" customHeight="1">
      <c r="A58" s="30" t="str">
        <f>HYPERLINK("https://www.alcaldiabogota.gov.co/sisjur/normas/Norma1.jsp?i=53773&amp;dt=S","RESOLUCIÓN 406")</f>
        <v>RESOLUCIÓN 406</v>
      </c>
      <c r="B58" s="41">
        <v>41457</v>
      </c>
      <c r="C58" s="142" t="s">
        <v>130</v>
      </c>
      <c r="D58" s="33" t="s">
        <v>1591</v>
      </c>
      <c r="E58" s="32" t="s">
        <v>41</v>
      </c>
      <c r="F58" s="64" t="s">
        <v>97</v>
      </c>
      <c r="G58" s="119" t="s">
        <v>43</v>
      </c>
      <c r="H58" s="117" t="s">
        <v>1490</v>
      </c>
      <c r="I58" s="36"/>
      <c r="J58" s="36"/>
      <c r="K58" s="36"/>
      <c r="L58" s="36"/>
      <c r="M58" s="36"/>
      <c r="N58" s="36"/>
      <c r="O58" s="36"/>
      <c r="P58" s="36"/>
      <c r="Q58" s="36"/>
      <c r="R58" s="36"/>
      <c r="S58" s="36"/>
      <c r="T58" s="36"/>
      <c r="U58" s="36"/>
      <c r="V58" s="36"/>
      <c r="W58" s="36"/>
      <c r="X58" s="36"/>
      <c r="Y58" s="36"/>
      <c r="Z58" s="36"/>
      <c r="AA58" s="36"/>
    </row>
    <row r="59" spans="1:27" ht="36" customHeight="1">
      <c r="A59" s="30" t="str">
        <f>HYPERLINK("https://www.idrd.gov.co/sitio/idrd/sites/default/files/imagenes/resolucion%20099%20de%2020130.pdf","RESOLUCIÓN 099")</f>
        <v>RESOLUCIÓN 099</v>
      </c>
      <c r="B59" s="32">
        <v>2013</v>
      </c>
      <c r="C59" s="142" t="s">
        <v>130</v>
      </c>
      <c r="D59" s="33" t="s">
        <v>585</v>
      </c>
      <c r="E59" s="32" t="s">
        <v>41</v>
      </c>
      <c r="F59" s="64" t="s">
        <v>97</v>
      </c>
      <c r="G59" s="119" t="s">
        <v>43</v>
      </c>
      <c r="H59" s="117" t="s">
        <v>1490</v>
      </c>
      <c r="I59" s="36"/>
      <c r="J59" s="36"/>
      <c r="K59" s="36"/>
      <c r="L59" s="36"/>
      <c r="M59" s="36"/>
      <c r="N59" s="36"/>
      <c r="O59" s="36"/>
      <c r="P59" s="36"/>
      <c r="Q59" s="36"/>
      <c r="R59" s="36"/>
      <c r="S59" s="36"/>
      <c r="T59" s="36"/>
      <c r="U59" s="36"/>
      <c r="V59" s="36"/>
      <c r="W59" s="36"/>
      <c r="X59" s="36"/>
      <c r="Y59" s="36"/>
      <c r="Z59" s="36"/>
      <c r="AA59" s="36"/>
    </row>
    <row r="60" spans="1:27" ht="36" customHeight="1">
      <c r="A60" s="30" t="str">
        <f>HYPERLINK("https://www.alcaldiabogota.gov.co/sisjur/normas/Norma1.jsp?i=70838","RESOLUCION 2003 ")</f>
        <v xml:space="preserve">RESOLUCION 2003 </v>
      </c>
      <c r="B60" s="41">
        <v>41787</v>
      </c>
      <c r="C60" s="32" t="s">
        <v>1596</v>
      </c>
      <c r="D60" s="33" t="s">
        <v>1597</v>
      </c>
      <c r="E60" s="32" t="s">
        <v>41</v>
      </c>
      <c r="F60" s="64" t="s">
        <v>97</v>
      </c>
      <c r="G60" s="119" t="s">
        <v>43</v>
      </c>
      <c r="H60" s="117" t="s">
        <v>1490</v>
      </c>
      <c r="I60" s="36"/>
      <c r="J60" s="36"/>
      <c r="K60" s="36"/>
      <c r="L60" s="36"/>
      <c r="M60" s="36"/>
      <c r="N60" s="36"/>
      <c r="O60" s="36"/>
      <c r="P60" s="36"/>
      <c r="Q60" s="36"/>
      <c r="R60" s="36"/>
      <c r="S60" s="36"/>
      <c r="T60" s="36"/>
      <c r="U60" s="36"/>
      <c r="V60" s="36"/>
      <c r="W60" s="36"/>
      <c r="X60" s="36"/>
      <c r="Y60" s="36"/>
      <c r="Z60" s="36"/>
      <c r="AA60" s="36"/>
    </row>
    <row r="61" spans="1:27" ht="48" customHeight="1">
      <c r="A61" s="30" t="str">
        <f>HYPERLINK("https://idrd.gov.co/sitio/idrd/sites/default/files/imagenes/resolucion%20190%20de%202015%20modificion%20del%20manual%20de%20aprovechamiento%20economico%20del%20espacio%20publico0.pdf","RESOLUCION 190")</f>
        <v>RESOLUCION 190</v>
      </c>
      <c r="B61" s="41">
        <v>42072</v>
      </c>
      <c r="C61" s="142" t="s">
        <v>130</v>
      </c>
      <c r="D61" s="33" t="s">
        <v>157</v>
      </c>
      <c r="E61" s="32" t="s">
        <v>41</v>
      </c>
      <c r="F61" s="64" t="s">
        <v>97</v>
      </c>
      <c r="G61" s="119" t="s">
        <v>43</v>
      </c>
      <c r="H61" s="117" t="s">
        <v>1490</v>
      </c>
      <c r="I61" s="36"/>
      <c r="J61" s="36"/>
      <c r="K61" s="36"/>
      <c r="L61" s="36"/>
      <c r="M61" s="36"/>
      <c r="N61" s="36"/>
      <c r="O61" s="36"/>
      <c r="P61" s="36"/>
      <c r="Q61" s="36"/>
      <c r="R61" s="36"/>
      <c r="S61" s="36"/>
      <c r="T61" s="36"/>
      <c r="U61" s="36"/>
      <c r="V61" s="36"/>
      <c r="W61" s="36"/>
      <c r="X61" s="36"/>
      <c r="Y61" s="36"/>
      <c r="Z61" s="36"/>
      <c r="AA61" s="36"/>
    </row>
    <row r="62" spans="1:27" ht="36" customHeight="1">
      <c r="A62" s="30" t="str">
        <f>HYPERLINK("https://repositoriosed.educacionbogota.edu.co/bitstream/001/2042/1/RESOLUCION%20No.%202068%20DEL%2017-11-2015.PDF","RESOLUCION 2068")</f>
        <v>RESOLUCION 2068</v>
      </c>
      <c r="B62" s="286">
        <v>42325</v>
      </c>
      <c r="C62" s="32" t="s">
        <v>1579</v>
      </c>
      <c r="D62" s="33" t="s">
        <v>1604</v>
      </c>
      <c r="E62" s="32" t="s">
        <v>41</v>
      </c>
      <c r="F62" s="64" t="s">
        <v>97</v>
      </c>
      <c r="G62" s="119" t="s">
        <v>43</v>
      </c>
      <c r="H62" s="117" t="s">
        <v>1490</v>
      </c>
      <c r="I62" s="36"/>
      <c r="J62" s="36"/>
      <c r="K62" s="36"/>
      <c r="L62" s="36"/>
      <c r="M62" s="36"/>
      <c r="N62" s="36"/>
      <c r="O62" s="36"/>
      <c r="P62" s="36"/>
      <c r="Q62" s="36"/>
      <c r="R62" s="36"/>
      <c r="S62" s="36"/>
      <c r="T62" s="36"/>
      <c r="U62" s="36"/>
      <c r="V62" s="36"/>
      <c r="W62" s="36"/>
      <c r="X62" s="36"/>
      <c r="Y62" s="36"/>
      <c r="Z62" s="36"/>
      <c r="AA62" s="36"/>
    </row>
    <row r="63" spans="1:27" ht="24" customHeight="1">
      <c r="A63" s="30" t="str">
        <f>HYPERLINK("https://www.alcaldiabogota.gov.co/sisjur/normas/Norma1.jsp?i=68558&amp;dt=S","RESOLUCIÓN 1839")</f>
        <v>RESOLUCIÓN 1839</v>
      </c>
      <c r="B63" s="286">
        <v>42654</v>
      </c>
      <c r="C63" s="32" t="s">
        <v>1579</v>
      </c>
      <c r="D63" s="33" t="s">
        <v>1608</v>
      </c>
      <c r="E63" s="32" t="s">
        <v>41</v>
      </c>
      <c r="F63" s="64" t="s">
        <v>97</v>
      </c>
      <c r="G63" s="119" t="s">
        <v>43</v>
      </c>
      <c r="H63" s="117" t="s">
        <v>1490</v>
      </c>
      <c r="I63" s="36"/>
      <c r="J63" s="36"/>
      <c r="K63" s="36"/>
      <c r="L63" s="36"/>
      <c r="M63" s="36"/>
      <c r="N63" s="36"/>
      <c r="O63" s="36"/>
      <c r="P63" s="36"/>
      <c r="Q63" s="36"/>
      <c r="R63" s="36"/>
      <c r="S63" s="36"/>
      <c r="T63" s="36"/>
      <c r="U63" s="36"/>
      <c r="V63" s="36"/>
      <c r="W63" s="36"/>
      <c r="X63" s="36"/>
      <c r="Y63" s="36"/>
      <c r="Z63" s="36"/>
      <c r="AA63" s="36"/>
    </row>
    <row r="64" spans="1:27" ht="24" customHeight="1">
      <c r="A64" s="30" t="str">
        <f>HYPERLINK("https://www.alcaldiabogota.gov.co/sisjur/normas/Norma1.jsp?i=68562&amp;dt=S","RESOLUCIÓN 2062")</f>
        <v>RESOLUCIÓN 2062</v>
      </c>
      <c r="B64" s="286">
        <v>42695</v>
      </c>
      <c r="C64" s="32" t="s">
        <v>1579</v>
      </c>
      <c r="D64" s="33" t="s">
        <v>1608</v>
      </c>
      <c r="E64" s="32" t="s">
        <v>41</v>
      </c>
      <c r="F64" s="64" t="s">
        <v>97</v>
      </c>
      <c r="G64" s="119" t="s">
        <v>43</v>
      </c>
      <c r="H64" s="117" t="s">
        <v>1490</v>
      </c>
      <c r="I64" s="36"/>
      <c r="J64" s="36"/>
      <c r="K64" s="36"/>
      <c r="L64" s="36"/>
      <c r="M64" s="36"/>
      <c r="N64" s="36"/>
      <c r="O64" s="36"/>
      <c r="P64" s="36"/>
      <c r="Q64" s="36"/>
      <c r="R64" s="36"/>
      <c r="S64" s="36"/>
      <c r="T64" s="36"/>
      <c r="U64" s="36"/>
      <c r="V64" s="36"/>
      <c r="W64" s="36"/>
      <c r="X64" s="36"/>
      <c r="Y64" s="36"/>
      <c r="Z64" s="36"/>
      <c r="AA64" s="36"/>
    </row>
    <row r="65" spans="1:27" ht="48" customHeight="1">
      <c r="A65" s="30" t="str">
        <f>HYPERLINK("https://www.minsalud.gov.co/Normatividad_Nuevo/Resolucion%20No%20839%20de%202017.pdf","RESOLUCION 839 ")</f>
        <v xml:space="preserve">RESOLUCION 839 </v>
      </c>
      <c r="B65" s="41">
        <v>42817</v>
      </c>
      <c r="C65" s="32" t="s">
        <v>1614</v>
      </c>
      <c r="D65" s="33" t="s">
        <v>1615</v>
      </c>
      <c r="E65" s="32" t="s">
        <v>41</v>
      </c>
      <c r="F65" s="32" t="s">
        <v>41</v>
      </c>
      <c r="G65" s="119" t="s">
        <v>43</v>
      </c>
      <c r="H65" s="117" t="s">
        <v>1490</v>
      </c>
      <c r="I65" s="36"/>
      <c r="J65" s="36"/>
      <c r="K65" s="36"/>
      <c r="L65" s="36"/>
      <c r="M65" s="36"/>
      <c r="N65" s="36"/>
      <c r="O65" s="36"/>
      <c r="P65" s="36"/>
      <c r="Q65" s="36"/>
      <c r="R65" s="36"/>
      <c r="S65" s="36"/>
      <c r="T65" s="36"/>
      <c r="U65" s="36"/>
      <c r="V65" s="36"/>
      <c r="W65" s="36"/>
      <c r="X65" s="36"/>
      <c r="Y65" s="36"/>
      <c r="Z65" s="36"/>
      <c r="AA65" s="36"/>
    </row>
    <row r="66" spans="1:27" ht="24" customHeight="1">
      <c r="A66" s="30" t="str">
        <f>HYPERLINK("https://educacionbogota.edu.co/portal_institucional/sites/default/files/2019-10/RESOLUCION%20No.%202000%20DEL%2010-11-2017.PDF","RESOLUCIÓN 2000")</f>
        <v>RESOLUCIÓN 2000</v>
      </c>
      <c r="B66" s="286">
        <v>43049</v>
      </c>
      <c r="C66" s="32" t="s">
        <v>1617</v>
      </c>
      <c r="D66" s="33" t="s">
        <v>1608</v>
      </c>
      <c r="E66" s="32" t="s">
        <v>41</v>
      </c>
      <c r="F66" s="64" t="s">
        <v>97</v>
      </c>
      <c r="G66" s="119" t="s">
        <v>43</v>
      </c>
      <c r="H66" s="117" t="s">
        <v>1490</v>
      </c>
      <c r="I66" s="36"/>
      <c r="J66" s="36"/>
      <c r="K66" s="36"/>
      <c r="L66" s="36"/>
      <c r="M66" s="36"/>
      <c r="N66" s="36"/>
      <c r="O66" s="36"/>
      <c r="P66" s="36"/>
      <c r="Q66" s="36"/>
      <c r="R66" s="36"/>
      <c r="S66" s="36"/>
      <c r="T66" s="36"/>
      <c r="U66" s="36"/>
      <c r="V66" s="36"/>
      <c r="W66" s="36"/>
      <c r="X66" s="36"/>
      <c r="Y66" s="36"/>
      <c r="Z66" s="36"/>
      <c r="AA66" s="36"/>
    </row>
    <row r="67" spans="1:27" ht="24" customHeight="1">
      <c r="A67" s="287" t="str">
        <f>HYPERLINK("https://www.superateintercolegiados.gov.co/recursos_user/2019/Superate/NORMA%20REGLAMENTARIA%20SUPERATE%202019.pdf","RESOLUCIÓN  389")</f>
        <v>RESOLUCIÓN  389</v>
      </c>
      <c r="B67" s="127">
        <v>43553</v>
      </c>
      <c r="C67" s="51" t="s">
        <v>1619</v>
      </c>
      <c r="D67" s="52" t="s">
        <v>1620</v>
      </c>
      <c r="E67" s="51" t="s">
        <v>41</v>
      </c>
      <c r="F67" s="249" t="s">
        <v>97</v>
      </c>
      <c r="G67" s="200" t="s">
        <v>1621</v>
      </c>
      <c r="H67" s="201" t="s">
        <v>1490</v>
      </c>
      <c r="I67" s="36"/>
      <c r="J67" s="36"/>
      <c r="K67" s="36"/>
      <c r="L67" s="36"/>
      <c r="M67" s="36"/>
      <c r="N67" s="36"/>
      <c r="O67" s="36"/>
      <c r="P67" s="36"/>
      <c r="Q67" s="36"/>
      <c r="R67" s="36"/>
      <c r="S67" s="36"/>
      <c r="T67" s="36"/>
      <c r="U67" s="36"/>
      <c r="V67" s="36"/>
      <c r="W67" s="36"/>
      <c r="X67" s="36"/>
      <c r="Y67" s="36"/>
      <c r="Z67" s="36"/>
      <c r="AA67" s="36"/>
    </row>
    <row r="68" spans="1:27" ht="32.25" customHeight="1">
      <c r="A68" s="287" t="str">
        <f>HYPERLINK("https://idrd.gov.co/sites/default/files/documentos/resolucion_537.pdf","RESOLUCIÓN 537")</f>
        <v>RESOLUCIÓN 537</v>
      </c>
      <c r="B68" s="103">
        <v>43775</v>
      </c>
      <c r="C68" s="51" t="s">
        <v>130</v>
      </c>
      <c r="D68" s="52" t="s">
        <v>2928</v>
      </c>
      <c r="E68" s="51" t="s">
        <v>41</v>
      </c>
      <c r="F68" s="249" t="s">
        <v>97</v>
      </c>
      <c r="G68" s="119"/>
      <c r="H68" s="117"/>
      <c r="I68" s="36"/>
      <c r="J68" s="36"/>
      <c r="K68" s="36"/>
      <c r="L68" s="36"/>
      <c r="M68" s="36"/>
      <c r="N68" s="36"/>
      <c r="O68" s="36"/>
      <c r="P68" s="36"/>
      <c r="Q68" s="36"/>
      <c r="R68" s="36"/>
      <c r="S68" s="36"/>
      <c r="T68" s="36"/>
      <c r="U68" s="36"/>
      <c r="V68" s="36"/>
      <c r="W68" s="36"/>
      <c r="X68" s="36"/>
      <c r="Y68" s="36"/>
      <c r="Z68" s="36"/>
      <c r="AA68" s="36"/>
    </row>
    <row r="69" spans="1:27" ht="36.75" customHeight="1">
      <c r="A69" s="287" t="str">
        <f>HYPERLINK("https://www.minsalud.gov.co/Normatividad_Nuevo/Resoluci%C3%B3n%20No.%203100%20de%202019.pdf","RESOLUCIÓN 3100")</f>
        <v>RESOLUCIÓN 3100</v>
      </c>
      <c r="B69" s="103">
        <v>43794</v>
      </c>
      <c r="C69" s="51" t="s">
        <v>124</v>
      </c>
      <c r="D69" s="52" t="s">
        <v>2929</v>
      </c>
      <c r="E69" s="51" t="s">
        <v>41</v>
      </c>
      <c r="F69" s="249" t="s">
        <v>97</v>
      </c>
      <c r="G69" s="119"/>
      <c r="H69" s="117"/>
      <c r="I69" s="36"/>
      <c r="J69" s="36"/>
      <c r="K69" s="36"/>
      <c r="L69" s="36"/>
      <c r="M69" s="36"/>
      <c r="N69" s="36"/>
      <c r="O69" s="36"/>
      <c r="P69" s="36"/>
      <c r="Q69" s="36"/>
      <c r="R69" s="36"/>
      <c r="S69" s="36"/>
      <c r="T69" s="36"/>
      <c r="U69" s="36"/>
      <c r="V69" s="36"/>
      <c r="W69" s="36"/>
      <c r="X69" s="36"/>
      <c r="Y69" s="36"/>
      <c r="Z69" s="36"/>
      <c r="AA69" s="36"/>
    </row>
    <row r="70" spans="1:27" ht="24" customHeight="1">
      <c r="A70" s="102" t="str">
        <f>HYPERLINK("http://www.sdp.gov.co/transparencia/normatividad/actos-administrativos/resolucion-1134-de-2018-0","RESOLUCIÓN 1344")</f>
        <v>RESOLUCIÓN 1344</v>
      </c>
      <c r="B70" s="103">
        <v>43360</v>
      </c>
      <c r="C70" s="32" t="s">
        <v>61</v>
      </c>
      <c r="D70" s="54" t="s">
        <v>2930</v>
      </c>
      <c r="E70" s="51" t="s">
        <v>41</v>
      </c>
      <c r="F70" s="249" t="s">
        <v>97</v>
      </c>
      <c r="G70" s="119"/>
      <c r="H70" s="117"/>
      <c r="I70" s="36"/>
      <c r="J70" s="36"/>
      <c r="K70" s="36"/>
      <c r="L70" s="36"/>
      <c r="M70" s="36"/>
      <c r="N70" s="36"/>
      <c r="O70" s="36"/>
      <c r="P70" s="36"/>
      <c r="Q70" s="36"/>
      <c r="R70" s="36"/>
      <c r="S70" s="36"/>
      <c r="T70" s="36"/>
      <c r="U70" s="36"/>
      <c r="V70" s="36"/>
      <c r="W70" s="36"/>
      <c r="X70" s="36"/>
      <c r="Y70" s="36"/>
      <c r="Z70" s="36"/>
      <c r="AA70" s="36"/>
    </row>
    <row r="71" spans="1:27" ht="44.25" customHeight="1">
      <c r="A71" s="102" t="str">
        <f>HYPERLINK("https://www.redacademica.edu.co/catalogo/resoluci-n-no-aft-2841-2-8-oct-2019","RESOLUCION 2841")</f>
        <v>RESOLUCION 2841</v>
      </c>
      <c r="B71" s="103">
        <v>43670</v>
      </c>
      <c r="C71" s="32" t="s">
        <v>1617</v>
      </c>
      <c r="D71" s="54" t="s">
        <v>2931</v>
      </c>
      <c r="E71" s="51" t="s">
        <v>41</v>
      </c>
      <c r="F71" s="249" t="s">
        <v>97</v>
      </c>
      <c r="G71" s="119"/>
      <c r="H71" s="117"/>
      <c r="I71" s="36"/>
      <c r="J71" s="36"/>
      <c r="K71" s="36"/>
      <c r="L71" s="36"/>
      <c r="M71" s="36"/>
      <c r="N71" s="36"/>
      <c r="O71" s="36"/>
      <c r="P71" s="36"/>
      <c r="Q71" s="36"/>
      <c r="R71" s="36"/>
      <c r="S71" s="36"/>
      <c r="T71" s="36"/>
      <c r="U71" s="36"/>
      <c r="V71" s="36"/>
      <c r="W71" s="36"/>
      <c r="X71" s="36"/>
      <c r="Y71" s="36"/>
      <c r="Z71" s="36"/>
      <c r="AA71" s="36"/>
    </row>
    <row r="72" spans="1:27" ht="30.75" customHeight="1">
      <c r="A72" s="288"/>
      <c r="B72" s="103">
        <v>43507</v>
      </c>
      <c r="C72" s="32" t="s">
        <v>1617</v>
      </c>
      <c r="D72" s="54" t="s">
        <v>1608</v>
      </c>
      <c r="E72" s="51" t="s">
        <v>41</v>
      </c>
      <c r="F72" s="249" t="s">
        <v>97</v>
      </c>
      <c r="G72" s="119"/>
      <c r="H72" s="117"/>
      <c r="I72" s="36"/>
      <c r="J72" s="36"/>
      <c r="K72" s="36"/>
      <c r="L72" s="36"/>
      <c r="M72" s="36"/>
      <c r="N72" s="36"/>
      <c r="O72" s="36"/>
      <c r="P72" s="36"/>
      <c r="Q72" s="36"/>
      <c r="R72" s="36"/>
      <c r="S72" s="36"/>
      <c r="T72" s="36"/>
      <c r="U72" s="36"/>
      <c r="V72" s="36"/>
      <c r="W72" s="36"/>
      <c r="X72" s="36"/>
      <c r="Y72" s="36"/>
      <c r="Z72" s="36"/>
      <c r="AA72" s="36"/>
    </row>
    <row r="73" spans="1:27" ht="24" customHeight="1">
      <c r="A73" s="66" t="s">
        <v>2932</v>
      </c>
      <c r="B73" s="103">
        <v>43921</v>
      </c>
      <c r="C73" s="55" t="s">
        <v>2918</v>
      </c>
      <c r="D73" s="54" t="s">
        <v>2933</v>
      </c>
      <c r="E73" s="55" t="s">
        <v>41</v>
      </c>
      <c r="F73" s="249" t="s">
        <v>97</v>
      </c>
      <c r="G73" s="119"/>
      <c r="H73" s="117"/>
      <c r="I73" s="36"/>
      <c r="J73" s="36"/>
      <c r="K73" s="36"/>
      <c r="L73" s="36"/>
      <c r="M73" s="36"/>
      <c r="N73" s="36"/>
      <c r="O73" s="36"/>
      <c r="P73" s="36"/>
      <c r="Q73" s="36"/>
      <c r="R73" s="36"/>
      <c r="S73" s="36"/>
      <c r="T73" s="36"/>
      <c r="U73" s="36"/>
      <c r="V73" s="36"/>
      <c r="W73" s="36"/>
      <c r="X73" s="36"/>
      <c r="Y73" s="36"/>
      <c r="Z73" s="36"/>
      <c r="AA73" s="36"/>
    </row>
    <row r="74" spans="1:27" ht="24" customHeight="1">
      <c r="A74" s="102" t="str">
        <f>HYPERLINK("http://www.saludcapital.gov.co/Documents/Circular_0031_Aglomeraciones_publico_interna.pdf","CIRCULAR 31")</f>
        <v>CIRCULAR 31</v>
      </c>
      <c r="B74" s="103">
        <v>42732</v>
      </c>
      <c r="C74" s="51" t="s">
        <v>1625</v>
      </c>
      <c r="D74" s="52" t="s">
        <v>1626</v>
      </c>
      <c r="E74" s="51" t="s">
        <v>41</v>
      </c>
      <c r="F74" s="249" t="s">
        <v>97</v>
      </c>
      <c r="G74" s="119" t="s">
        <v>43</v>
      </c>
      <c r="H74" s="117" t="s">
        <v>1490</v>
      </c>
      <c r="I74" s="36"/>
      <c r="J74" s="36"/>
      <c r="K74" s="36"/>
      <c r="L74" s="36"/>
      <c r="M74" s="36"/>
      <c r="N74" s="36"/>
      <c r="O74" s="36"/>
      <c r="P74" s="36"/>
      <c r="Q74" s="36"/>
      <c r="R74" s="36"/>
      <c r="S74" s="36"/>
      <c r="T74" s="36"/>
      <c r="U74" s="36"/>
      <c r="V74" s="36"/>
      <c r="W74" s="36"/>
      <c r="X74" s="36"/>
      <c r="Y74" s="36"/>
      <c r="Z74" s="36"/>
      <c r="AA74" s="36"/>
    </row>
    <row r="75" spans="1:27" ht="24" customHeight="1">
      <c r="A75" s="30" t="str">
        <f>HYPERLINK("https://www.mineducacion.gov.co/1759/articles-241887_archivo_pdf_evaluacion.pdf","Orientaciones Pedagógicas Educación Física Recreación y Deporte")</f>
        <v>Orientaciones Pedagógicas Educación Física Recreación y Deporte</v>
      </c>
      <c r="B75" s="40">
        <v>2010</v>
      </c>
      <c r="C75" s="40" t="s">
        <v>1524</v>
      </c>
      <c r="D75" s="33" t="s">
        <v>1629</v>
      </c>
      <c r="E75" s="32" t="s">
        <v>41</v>
      </c>
      <c r="F75" s="64" t="s">
        <v>97</v>
      </c>
      <c r="G75" s="119" t="s">
        <v>43</v>
      </c>
      <c r="H75" s="117" t="s">
        <v>1490</v>
      </c>
      <c r="I75" s="36"/>
      <c r="J75" s="36"/>
      <c r="K75" s="36"/>
      <c r="L75" s="36"/>
      <c r="M75" s="36"/>
      <c r="N75" s="36"/>
      <c r="O75" s="36"/>
      <c r="P75" s="36"/>
      <c r="Q75" s="36"/>
      <c r="R75" s="36"/>
      <c r="S75" s="36"/>
      <c r="T75" s="36"/>
      <c r="U75" s="36"/>
      <c r="V75" s="36"/>
      <c r="W75" s="36"/>
      <c r="X75" s="36"/>
      <c r="Y75" s="36"/>
      <c r="Z75" s="36"/>
      <c r="AA75" s="36"/>
    </row>
    <row r="76" spans="1:27" ht="36" customHeight="1">
      <c r="A76" s="30" t="str">
        <f>HYPERLINK("https://www.coldeportes.gov.co/index.php?idcategoria=57928","Plan Decenal del Deporte 2009 - 2019")</f>
        <v>Plan Decenal del Deporte 2009 - 2019</v>
      </c>
      <c r="B76" s="40" t="s">
        <v>2934</v>
      </c>
      <c r="C76" s="32" t="s">
        <v>1619</v>
      </c>
      <c r="D76" s="33" t="s">
        <v>1631</v>
      </c>
      <c r="E76" s="32" t="s">
        <v>41</v>
      </c>
      <c r="F76" s="64" t="s">
        <v>97</v>
      </c>
      <c r="G76" s="119" t="s">
        <v>43</v>
      </c>
      <c r="H76" s="117" t="s">
        <v>1490</v>
      </c>
      <c r="I76" s="36"/>
      <c r="J76" s="36"/>
      <c r="K76" s="36"/>
      <c r="L76" s="36"/>
      <c r="M76" s="36"/>
      <c r="N76" s="36"/>
      <c r="O76" s="36"/>
      <c r="P76" s="36"/>
      <c r="Q76" s="36"/>
      <c r="R76" s="36"/>
      <c r="S76" s="36"/>
      <c r="T76" s="36"/>
      <c r="U76" s="36"/>
      <c r="V76" s="36"/>
      <c r="W76" s="36"/>
      <c r="X76" s="36"/>
      <c r="Y76" s="36"/>
      <c r="Z76" s="36"/>
      <c r="AA76" s="36"/>
    </row>
    <row r="77" spans="1:27" ht="36" customHeight="1">
      <c r="A77" s="30" t="str">
        <f>HYPERLINK("https://www.coldeportes.gov.co/normatividad/politica_publica","Politica Publica Nacional")</f>
        <v>Politica Publica Nacional</v>
      </c>
      <c r="B77" s="32">
        <v>2018</v>
      </c>
      <c r="C77" s="32" t="s">
        <v>1619</v>
      </c>
      <c r="D77" s="33" t="s">
        <v>1633</v>
      </c>
      <c r="E77" s="32" t="s">
        <v>97</v>
      </c>
      <c r="F77" s="64" t="s">
        <v>97</v>
      </c>
      <c r="G77" s="119" t="s">
        <v>43</v>
      </c>
      <c r="H77" s="117" t="s">
        <v>1490</v>
      </c>
      <c r="I77" s="36"/>
      <c r="J77" s="36"/>
      <c r="K77" s="36"/>
      <c r="L77" s="36"/>
      <c r="M77" s="36"/>
      <c r="N77" s="36"/>
      <c r="O77" s="36"/>
      <c r="P77" s="36"/>
      <c r="Q77" s="36"/>
      <c r="R77" s="36"/>
      <c r="S77" s="36"/>
      <c r="T77" s="36"/>
      <c r="U77" s="36"/>
      <c r="V77" s="36"/>
      <c r="W77" s="36"/>
      <c r="X77" s="36"/>
      <c r="Y77" s="36"/>
      <c r="Z77" s="36"/>
      <c r="AA77" s="36"/>
    </row>
    <row r="78" spans="1:27" ht="84" customHeight="1">
      <c r="A78" s="30" t="str">
        <f>HYPERLINK("https://www.minsalud.gov.co/Documentos%20y%20Publicaciones/Plan%20Decenal%20-%20Documento%20en%20consulta%20para%20aprobaci%C3%B3n.pdf","PLAN DECENAL DE SALUD PÚBLICA 2012 - 2021")</f>
        <v>PLAN DECENAL DE SALUD PÚBLICA 2012 - 2021</v>
      </c>
      <c r="B78" s="40" t="s">
        <v>2935</v>
      </c>
      <c r="C78" s="32" t="s">
        <v>124</v>
      </c>
      <c r="D78" s="33" t="s">
        <v>1635</v>
      </c>
      <c r="E78" s="32" t="s">
        <v>41</v>
      </c>
      <c r="F78" s="64" t="s">
        <v>97</v>
      </c>
      <c r="G78" s="119" t="s">
        <v>43</v>
      </c>
      <c r="H78" s="117" t="s">
        <v>1490</v>
      </c>
      <c r="I78" s="36"/>
      <c r="J78" s="36"/>
      <c r="K78" s="36"/>
      <c r="L78" s="36"/>
      <c r="M78" s="36"/>
      <c r="N78" s="36"/>
      <c r="O78" s="36"/>
      <c r="P78" s="36"/>
      <c r="Q78" s="36"/>
      <c r="R78" s="36"/>
      <c r="S78" s="36"/>
      <c r="T78" s="36"/>
      <c r="U78" s="36"/>
      <c r="V78" s="36"/>
      <c r="W78" s="36"/>
      <c r="X78" s="36"/>
      <c r="Y78" s="36"/>
      <c r="Z78" s="36"/>
      <c r="AA78" s="36"/>
    </row>
  </sheetData>
  <autoFilter ref="A5:AA78" xr:uid="{00000000-0009-0000-0000-000007000000}"/>
  <mergeCells count="3">
    <mergeCell ref="A1:H1"/>
    <mergeCell ref="A2:F2"/>
    <mergeCell ref="A4:F4"/>
  </mergeCells>
  <hyperlinks>
    <hyperlink ref="F3" location="Menu por Procesos!A1" display="MENU" xr:uid="{00000000-0004-0000-0700-000000000000}"/>
    <hyperlink ref="A73" r:id="rId1" xr:uid="{00000000-0004-0000-0700-000001000000}"/>
  </hyperlinks>
  <pageMargins left="0.7" right="0.7" top="0.75" bottom="0.75" header="0" footer="0"/>
  <pageSetup orientation="landscape"/>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9D18E"/>
  </sheetPr>
  <dimension ref="A1:AB146"/>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774"/>
      <c r="B1" s="769"/>
      <c r="C1" s="769"/>
      <c r="D1" s="769"/>
      <c r="E1" s="769"/>
      <c r="F1" s="769"/>
      <c r="G1" s="769"/>
      <c r="H1" s="769"/>
      <c r="I1" s="17"/>
      <c r="J1" s="18"/>
      <c r="K1" s="18"/>
      <c r="L1" s="18"/>
      <c r="M1" s="18"/>
      <c r="N1" s="18"/>
      <c r="O1" s="18"/>
      <c r="P1" s="18"/>
      <c r="Q1" s="18"/>
      <c r="R1" s="18"/>
      <c r="S1" s="18"/>
      <c r="T1" s="18"/>
      <c r="U1" s="18"/>
      <c r="V1" s="18"/>
      <c r="W1" s="18"/>
      <c r="X1" s="18"/>
      <c r="Y1" s="18"/>
      <c r="Z1" s="18"/>
      <c r="AA1" s="18"/>
      <c r="AB1" s="18"/>
    </row>
    <row r="2" spans="1:28" ht="27" customHeight="1">
      <c r="A2" s="779" t="s">
        <v>28</v>
      </c>
      <c r="B2" s="765"/>
      <c r="C2" s="765"/>
      <c r="D2" s="765"/>
      <c r="E2" s="765"/>
      <c r="F2" s="766"/>
      <c r="G2" s="15"/>
      <c r="H2" s="16"/>
      <c r="I2" s="17"/>
      <c r="J2" s="18"/>
      <c r="K2" s="18"/>
      <c r="L2" s="18"/>
      <c r="M2" s="18"/>
      <c r="N2" s="18"/>
      <c r="O2" s="18"/>
      <c r="P2" s="18"/>
      <c r="Q2" s="18"/>
      <c r="R2" s="18"/>
      <c r="S2" s="18"/>
      <c r="T2" s="18"/>
      <c r="U2" s="18"/>
      <c r="V2" s="18"/>
      <c r="W2" s="18"/>
      <c r="X2" s="18"/>
      <c r="Y2" s="18"/>
      <c r="Z2" s="18"/>
      <c r="AA2" s="18"/>
      <c r="AB2" s="18"/>
    </row>
    <row r="3" spans="1:28" ht="21.75" customHeight="1">
      <c r="A3" s="75" t="s">
        <v>2936</v>
      </c>
      <c r="B3" s="289"/>
      <c r="C3" s="289"/>
      <c r="D3" s="289"/>
      <c r="E3" s="289"/>
      <c r="F3" s="290" t="s">
        <v>30</v>
      </c>
      <c r="G3" s="19"/>
      <c r="H3" s="21"/>
      <c r="I3" s="17"/>
      <c r="J3" s="18"/>
      <c r="K3" s="18"/>
      <c r="L3" s="18"/>
      <c r="M3" s="18"/>
      <c r="N3" s="18"/>
      <c r="O3" s="18"/>
      <c r="P3" s="18"/>
      <c r="Q3" s="18"/>
      <c r="R3" s="18"/>
      <c r="S3" s="18"/>
      <c r="T3" s="18"/>
      <c r="U3" s="18"/>
      <c r="V3" s="18"/>
      <c r="W3" s="18"/>
      <c r="X3" s="18"/>
      <c r="Y3" s="18"/>
      <c r="Z3" s="18"/>
      <c r="AA3" s="18"/>
      <c r="AB3" s="18"/>
    </row>
    <row r="4" spans="1:28" ht="33" customHeight="1">
      <c r="A4" s="775" t="s">
        <v>2937</v>
      </c>
      <c r="B4" s="765"/>
      <c r="C4" s="765"/>
      <c r="D4" s="765"/>
      <c r="E4" s="765"/>
      <c r="F4" s="766"/>
      <c r="G4" s="16"/>
      <c r="H4" s="22"/>
      <c r="I4" s="17"/>
      <c r="J4" s="18"/>
      <c r="K4" s="18"/>
      <c r="L4" s="18"/>
      <c r="M4" s="18"/>
      <c r="N4" s="18"/>
      <c r="O4" s="18"/>
      <c r="P4" s="18"/>
      <c r="Q4" s="18"/>
      <c r="R4" s="18"/>
      <c r="S4" s="18"/>
      <c r="T4" s="18"/>
      <c r="U4" s="18"/>
      <c r="V4" s="18"/>
      <c r="W4" s="18"/>
      <c r="X4" s="18"/>
      <c r="Y4" s="18"/>
      <c r="Z4" s="18"/>
      <c r="AA4" s="18"/>
      <c r="AB4" s="18"/>
    </row>
    <row r="5" spans="1:28" ht="34.5" customHeight="1">
      <c r="A5" s="76" t="s">
        <v>235</v>
      </c>
      <c r="B5" s="24" t="s">
        <v>32</v>
      </c>
      <c r="C5" s="25" t="s">
        <v>33</v>
      </c>
      <c r="D5" s="25" t="s">
        <v>34</v>
      </c>
      <c r="E5" s="25" t="s">
        <v>35</v>
      </c>
      <c r="F5" s="25" t="s">
        <v>36</v>
      </c>
      <c r="G5" s="26" t="s">
        <v>37</v>
      </c>
      <c r="H5" s="27" t="s">
        <v>38</v>
      </c>
      <c r="I5" s="28"/>
      <c r="J5" s="29"/>
      <c r="K5" s="29"/>
      <c r="L5" s="29"/>
      <c r="M5" s="29"/>
      <c r="N5" s="29"/>
      <c r="O5" s="29"/>
      <c r="P5" s="29"/>
      <c r="Q5" s="29"/>
      <c r="R5" s="29"/>
      <c r="S5" s="29"/>
      <c r="T5" s="29"/>
      <c r="U5" s="29"/>
      <c r="V5" s="29"/>
      <c r="W5" s="29"/>
      <c r="X5" s="29"/>
      <c r="Y5" s="29"/>
      <c r="Z5" s="29"/>
      <c r="AA5" s="29"/>
      <c r="AB5" s="29"/>
    </row>
    <row r="6" spans="1:28" ht="384">
      <c r="A6" s="30" t="str">
        <f>HYPERLINK("https://www.bogotajuridica.gov.co/sisjur/normas/Norma1.jsp?i=4125","CONSTITUCIÓN POLÍTICA DE COLOMBIA")</f>
        <v>CONSTITUCIÓN POLÍTICA DE COLOMBIA</v>
      </c>
      <c r="B6" s="41">
        <v>33423</v>
      </c>
      <c r="C6" s="32" t="s">
        <v>405</v>
      </c>
      <c r="D6" s="33" t="s">
        <v>1636</v>
      </c>
      <c r="E6" s="32" t="s">
        <v>2938</v>
      </c>
      <c r="F6" s="32" t="s">
        <v>2939</v>
      </c>
      <c r="G6" s="147" t="s">
        <v>43</v>
      </c>
      <c r="H6" s="117" t="s">
        <v>1490</v>
      </c>
      <c r="I6" s="35"/>
      <c r="J6" s="36"/>
      <c r="K6" s="36"/>
      <c r="L6" s="36"/>
      <c r="M6" s="36"/>
      <c r="N6" s="36"/>
      <c r="O6" s="36"/>
      <c r="P6" s="36"/>
      <c r="Q6" s="36"/>
      <c r="R6" s="36"/>
      <c r="S6" s="36"/>
      <c r="T6" s="36"/>
      <c r="U6" s="36"/>
      <c r="V6" s="36"/>
      <c r="W6" s="36"/>
      <c r="X6" s="36"/>
      <c r="Y6" s="36"/>
      <c r="Z6" s="36"/>
      <c r="AA6" s="36"/>
      <c r="AB6" s="36"/>
    </row>
    <row r="7" spans="1:28" ht="36" customHeight="1">
      <c r="A7" s="30" t="str">
        <f>HYPERLINK("https://www.unidadvictimas.gov.co/sites/default/files/documentosbiblioteca/ley-12-de-1991.pdf","LEY 12")</f>
        <v>LEY 12</v>
      </c>
      <c r="B7" s="41">
        <v>33260</v>
      </c>
      <c r="C7" s="32" t="s">
        <v>507</v>
      </c>
      <c r="D7" s="33" t="s">
        <v>1642</v>
      </c>
      <c r="E7" s="32" t="s">
        <v>41</v>
      </c>
      <c r="F7" s="32" t="s">
        <v>97</v>
      </c>
      <c r="G7" s="147" t="s">
        <v>43</v>
      </c>
      <c r="H7" s="117" t="s">
        <v>1490</v>
      </c>
      <c r="I7" s="35"/>
      <c r="J7" s="36"/>
      <c r="K7" s="36"/>
      <c r="L7" s="36"/>
      <c r="M7" s="36"/>
      <c r="N7" s="36"/>
      <c r="O7" s="36"/>
      <c r="P7" s="36"/>
      <c r="Q7" s="36"/>
      <c r="R7" s="36"/>
      <c r="S7" s="36"/>
      <c r="T7" s="36"/>
      <c r="U7" s="36"/>
      <c r="V7" s="36"/>
      <c r="W7" s="36"/>
      <c r="X7" s="36"/>
      <c r="Y7" s="36"/>
      <c r="Z7" s="36"/>
      <c r="AA7" s="36"/>
      <c r="AB7" s="36"/>
    </row>
    <row r="8" spans="1:28" ht="24" customHeight="1">
      <c r="A8" s="30" t="str">
        <f>HYPERLINK("https://www.mineducacion.gov.co/1621/articles-85906_archivo_pdf.pdf","LEY 115")</f>
        <v>LEY 115</v>
      </c>
      <c r="B8" s="41">
        <v>34373</v>
      </c>
      <c r="C8" s="32" t="s">
        <v>507</v>
      </c>
      <c r="D8" s="33" t="s">
        <v>1643</v>
      </c>
      <c r="E8" s="32" t="s">
        <v>41</v>
      </c>
      <c r="F8" s="32" t="s">
        <v>97</v>
      </c>
      <c r="G8" s="147" t="s">
        <v>43</v>
      </c>
      <c r="H8" s="117" t="s">
        <v>1490</v>
      </c>
      <c r="I8" s="35"/>
      <c r="J8" s="36"/>
      <c r="K8" s="36"/>
      <c r="L8" s="36"/>
      <c r="M8" s="36"/>
      <c r="N8" s="36"/>
      <c r="O8" s="36"/>
      <c r="P8" s="36"/>
      <c r="Q8" s="36"/>
      <c r="R8" s="36"/>
      <c r="S8" s="36"/>
      <c r="T8" s="36"/>
      <c r="U8" s="36"/>
      <c r="V8" s="36"/>
      <c r="W8" s="36"/>
      <c r="X8" s="36"/>
      <c r="Y8" s="36"/>
      <c r="Z8" s="36"/>
      <c r="AA8" s="36"/>
      <c r="AB8" s="36"/>
    </row>
    <row r="9" spans="1:28" ht="72" customHeight="1">
      <c r="A9" s="30" t="str">
        <f>HYPERLINK("https://www.alcaldiabogota.gov.co/sisjur/normas/Norma1.jsp?i=3424","LEY 181")</f>
        <v>LEY 181</v>
      </c>
      <c r="B9" s="31">
        <v>34717</v>
      </c>
      <c r="C9" s="32" t="s">
        <v>39</v>
      </c>
      <c r="D9" s="39" t="s">
        <v>2940</v>
      </c>
      <c r="E9" s="32" t="s">
        <v>41</v>
      </c>
      <c r="F9" s="32" t="s">
        <v>97</v>
      </c>
      <c r="G9" s="147" t="s">
        <v>43</v>
      </c>
      <c r="H9" s="117" t="s">
        <v>1490</v>
      </c>
      <c r="I9" s="35"/>
      <c r="J9" s="36"/>
      <c r="K9" s="36"/>
      <c r="L9" s="36"/>
      <c r="M9" s="36"/>
      <c r="N9" s="36"/>
      <c r="O9" s="36"/>
      <c r="P9" s="36"/>
      <c r="Q9" s="36"/>
      <c r="R9" s="36"/>
      <c r="S9" s="36"/>
      <c r="T9" s="36"/>
      <c r="U9" s="36"/>
      <c r="V9" s="36"/>
      <c r="W9" s="36"/>
      <c r="X9" s="36"/>
      <c r="Y9" s="36"/>
      <c r="Z9" s="36"/>
      <c r="AA9" s="36"/>
      <c r="AB9" s="36"/>
    </row>
    <row r="10" spans="1:28" ht="72" customHeight="1">
      <c r="A10" s="30" t="str">
        <f>HYPERLINK("https://www.funcionpublica.gov.co/eva/gestornormativo/norma.php?i=349","LEY 324")</f>
        <v>LEY 324</v>
      </c>
      <c r="B10" s="31">
        <v>35349</v>
      </c>
      <c r="C10" s="32" t="s">
        <v>39</v>
      </c>
      <c r="D10" s="39" t="s">
        <v>2941</v>
      </c>
      <c r="E10" s="32" t="s">
        <v>41</v>
      </c>
      <c r="F10" s="32" t="s">
        <v>97</v>
      </c>
      <c r="G10" s="147"/>
      <c r="H10" s="117"/>
      <c r="I10" s="35"/>
      <c r="J10" s="36"/>
      <c r="K10" s="36"/>
      <c r="L10" s="36"/>
      <c r="M10" s="36"/>
      <c r="N10" s="36"/>
      <c r="O10" s="36"/>
      <c r="P10" s="36"/>
      <c r="Q10" s="36"/>
      <c r="R10" s="36"/>
      <c r="S10" s="36"/>
      <c r="T10" s="36"/>
      <c r="U10" s="36"/>
      <c r="V10" s="36"/>
      <c r="W10" s="36"/>
      <c r="X10" s="36"/>
      <c r="Y10" s="36"/>
      <c r="Z10" s="36"/>
      <c r="AA10" s="36"/>
      <c r="AB10" s="36"/>
    </row>
    <row r="11" spans="1:28" ht="72" customHeight="1">
      <c r="A11" s="30" t="str">
        <f>HYPERLINK("https://www.funcionpublica.gov.co/eva/gestornormativo/norma.php?i=38937","LEY 494 ")</f>
        <v xml:space="preserve">LEY 494 </v>
      </c>
      <c r="B11" s="31">
        <v>36199</v>
      </c>
      <c r="C11" s="32" t="s">
        <v>39</v>
      </c>
      <c r="D11" s="39" t="s">
        <v>2942</v>
      </c>
      <c r="E11" s="32" t="s">
        <v>657</v>
      </c>
      <c r="F11" s="32" t="s">
        <v>2943</v>
      </c>
      <c r="G11" s="147"/>
      <c r="H11" s="117"/>
      <c r="I11" s="35"/>
      <c r="J11" s="36"/>
      <c r="K11" s="36"/>
      <c r="L11" s="36"/>
      <c r="M11" s="36"/>
      <c r="N11" s="36"/>
      <c r="O11" s="36"/>
      <c r="P11" s="36"/>
      <c r="Q11" s="36"/>
      <c r="R11" s="36"/>
      <c r="S11" s="36"/>
      <c r="T11" s="36"/>
      <c r="U11" s="36"/>
      <c r="V11" s="36"/>
      <c r="W11" s="36"/>
      <c r="X11" s="36"/>
      <c r="Y11" s="36"/>
      <c r="Z11" s="36"/>
      <c r="AA11" s="36"/>
      <c r="AB11" s="36"/>
    </row>
    <row r="12" spans="1:28" ht="24" customHeight="1">
      <c r="A12" s="263" t="str">
        <f>HYPERLINK("http://www.secretariasenado.gov.co/senado/basedoc/ley_0361_1997.html","LEY 361")</f>
        <v>LEY 361</v>
      </c>
      <c r="B12" s="31">
        <v>35468</v>
      </c>
      <c r="C12" s="142" t="s">
        <v>39</v>
      </c>
      <c r="D12" s="33" t="s">
        <v>475</v>
      </c>
      <c r="E12" s="32" t="s">
        <v>41</v>
      </c>
      <c r="F12" s="32" t="s">
        <v>97</v>
      </c>
      <c r="G12" s="147" t="s">
        <v>43</v>
      </c>
      <c r="H12" s="117" t="s">
        <v>1490</v>
      </c>
      <c r="I12" s="35"/>
      <c r="J12" s="36"/>
      <c r="K12" s="36"/>
      <c r="L12" s="36"/>
      <c r="M12" s="36"/>
      <c r="N12" s="36"/>
      <c r="O12" s="36"/>
      <c r="P12" s="36"/>
      <c r="Q12" s="36"/>
      <c r="R12" s="36"/>
      <c r="S12" s="36"/>
      <c r="T12" s="36"/>
      <c r="U12" s="36"/>
      <c r="V12" s="36"/>
      <c r="W12" s="36"/>
      <c r="X12" s="36"/>
      <c r="Y12" s="36"/>
      <c r="Z12" s="36"/>
      <c r="AA12" s="36"/>
      <c r="AB12" s="36"/>
    </row>
    <row r="13" spans="1:28" ht="36" customHeight="1">
      <c r="A13" s="291" t="str">
        <f>HYPERLINK("https://www.mineducacion.gov.co/1621/articles-85935_archivo_pdf.pdf","Ley 375")</f>
        <v>Ley 375</v>
      </c>
      <c r="B13" s="41">
        <v>35615</v>
      </c>
      <c r="C13" s="264" t="s">
        <v>507</v>
      </c>
      <c r="D13" s="268" t="s">
        <v>2944</v>
      </c>
      <c r="E13" s="264" t="s">
        <v>41</v>
      </c>
      <c r="F13" s="264" t="s">
        <v>97</v>
      </c>
      <c r="G13" s="147"/>
      <c r="H13" s="117"/>
      <c r="I13" s="35"/>
      <c r="J13" s="36"/>
      <c r="K13" s="36"/>
      <c r="L13" s="36"/>
      <c r="M13" s="36"/>
      <c r="N13" s="36"/>
      <c r="O13" s="36"/>
      <c r="P13" s="36"/>
      <c r="Q13" s="36"/>
      <c r="R13" s="36"/>
      <c r="S13" s="36"/>
      <c r="T13" s="36"/>
      <c r="U13" s="36"/>
      <c r="V13" s="36"/>
      <c r="W13" s="36"/>
      <c r="X13" s="36"/>
      <c r="Y13" s="36"/>
      <c r="Z13" s="36"/>
      <c r="AA13" s="36"/>
      <c r="AB13" s="36"/>
    </row>
    <row r="14" spans="1:28" ht="36" customHeight="1">
      <c r="A14" s="30" t="str">
        <f>HYPERLINK("https://www.mineducacion.gov.co/1759/articles-86067_archivo_pdf.pdf","LEY 582")</f>
        <v>LEY 582</v>
      </c>
      <c r="B14" s="41">
        <v>36685</v>
      </c>
      <c r="C14" s="32" t="s">
        <v>507</v>
      </c>
      <c r="D14" s="33" t="s">
        <v>1646</v>
      </c>
      <c r="E14" s="32" t="s">
        <v>41</v>
      </c>
      <c r="F14" s="32" t="s">
        <v>97</v>
      </c>
      <c r="G14" s="147" t="s">
        <v>43</v>
      </c>
      <c r="H14" s="117" t="s">
        <v>1490</v>
      </c>
      <c r="I14" s="35"/>
      <c r="J14" s="36"/>
      <c r="K14" s="36"/>
      <c r="L14" s="36"/>
      <c r="M14" s="36"/>
      <c r="N14" s="36"/>
      <c r="O14" s="36"/>
      <c r="P14" s="36"/>
      <c r="Q14" s="36"/>
      <c r="R14" s="36"/>
      <c r="S14" s="36"/>
      <c r="T14" s="36"/>
      <c r="U14" s="36"/>
      <c r="V14" s="36"/>
      <c r="W14" s="36"/>
      <c r="X14" s="36"/>
      <c r="Y14" s="36"/>
      <c r="Z14" s="36"/>
      <c r="AA14" s="36"/>
      <c r="AB14" s="36"/>
    </row>
    <row r="15" spans="1:28" ht="24" customHeight="1">
      <c r="A15" s="30" t="str">
        <f>HYPERLINK("https://www.funcionpublica.gov.co/eva/gestornormativo/norma.php?i=4599","LEY 724")</f>
        <v>LEY 724</v>
      </c>
      <c r="B15" s="286">
        <v>37252</v>
      </c>
      <c r="C15" s="32" t="s">
        <v>507</v>
      </c>
      <c r="D15" s="33" t="s">
        <v>1648</v>
      </c>
      <c r="E15" s="32" t="s">
        <v>41</v>
      </c>
      <c r="F15" s="32" t="s">
        <v>97</v>
      </c>
      <c r="G15" s="147" t="s">
        <v>43</v>
      </c>
      <c r="H15" s="117" t="s">
        <v>1490</v>
      </c>
      <c r="I15" s="35"/>
      <c r="J15" s="36"/>
      <c r="K15" s="36"/>
      <c r="L15" s="36"/>
      <c r="M15" s="36"/>
      <c r="N15" s="36"/>
      <c r="O15" s="36"/>
      <c r="P15" s="36"/>
      <c r="Q15" s="36"/>
      <c r="R15" s="36"/>
      <c r="S15" s="36"/>
      <c r="T15" s="36"/>
      <c r="U15" s="36"/>
      <c r="V15" s="36"/>
      <c r="W15" s="36"/>
      <c r="X15" s="36"/>
      <c r="Y15" s="36"/>
      <c r="Z15" s="36"/>
      <c r="AA15" s="36"/>
      <c r="AB15" s="36"/>
    </row>
    <row r="16" spans="1:28" ht="48" customHeight="1">
      <c r="A16" s="30" t="str">
        <f>HYPERLINK("http://www.secretariasenado.gov.co/senado/basedoc/ley_0762_2002.html","LEY 762")</f>
        <v>LEY 762</v>
      </c>
      <c r="B16" s="41">
        <v>37468</v>
      </c>
      <c r="C16" s="32" t="s">
        <v>507</v>
      </c>
      <c r="D16" s="33" t="s">
        <v>1652</v>
      </c>
      <c r="E16" s="32" t="s">
        <v>41</v>
      </c>
      <c r="F16" s="32" t="s">
        <v>97</v>
      </c>
      <c r="G16" s="147" t="s">
        <v>43</v>
      </c>
      <c r="H16" s="117" t="s">
        <v>1490</v>
      </c>
      <c r="I16" s="35"/>
      <c r="J16" s="36"/>
      <c r="K16" s="36"/>
      <c r="L16" s="36"/>
      <c r="M16" s="36"/>
      <c r="N16" s="36"/>
      <c r="O16" s="36"/>
      <c r="P16" s="36"/>
      <c r="Q16" s="36"/>
      <c r="R16" s="36"/>
      <c r="S16" s="36"/>
      <c r="T16" s="36"/>
      <c r="U16" s="36"/>
      <c r="V16" s="36"/>
      <c r="W16" s="36"/>
      <c r="X16" s="36"/>
      <c r="Y16" s="36"/>
      <c r="Z16" s="36"/>
      <c r="AA16" s="36"/>
      <c r="AB16" s="36"/>
    </row>
    <row r="17" spans="1:28" ht="390.75" customHeight="1">
      <c r="A17" s="30" t="str">
        <f>HYPERLINK("https://www.movilidadbogota.gov.co/web/sites/default/files/ley-769-de-2002-codigo-nacional-de-transito_3704_0.pdf","LEY 769")</f>
        <v>LEY 769</v>
      </c>
      <c r="B17" s="41">
        <v>37474</v>
      </c>
      <c r="C17" s="32" t="s">
        <v>507</v>
      </c>
      <c r="D17" s="33" t="s">
        <v>1654</v>
      </c>
      <c r="E17" s="32" t="s">
        <v>1655</v>
      </c>
      <c r="F17" s="39" t="s">
        <v>2945</v>
      </c>
      <c r="G17" s="147" t="s">
        <v>43</v>
      </c>
      <c r="H17" s="117" t="s">
        <v>1490</v>
      </c>
      <c r="I17" s="35"/>
      <c r="J17" s="36"/>
      <c r="K17" s="36"/>
      <c r="L17" s="36"/>
      <c r="M17" s="36"/>
      <c r="N17" s="36"/>
      <c r="O17" s="36"/>
      <c r="P17" s="36"/>
      <c r="Q17" s="36"/>
      <c r="R17" s="36"/>
      <c r="S17" s="36"/>
      <c r="T17" s="36"/>
      <c r="U17" s="36"/>
      <c r="V17" s="36"/>
      <c r="W17" s="36"/>
      <c r="X17" s="36"/>
      <c r="Y17" s="36"/>
      <c r="Z17" s="36"/>
      <c r="AA17" s="36"/>
      <c r="AB17" s="36"/>
    </row>
    <row r="18" spans="1:28" ht="24" customHeight="1">
      <c r="A18" s="30" t="str">
        <f>HYPERLINK("https://www.funcionpublica.gov.co/eva/gestornormativo/norma.php?i=14787","LEY 904")</f>
        <v>LEY 904</v>
      </c>
      <c r="B18" s="41">
        <v>38230</v>
      </c>
      <c r="C18" s="32" t="s">
        <v>507</v>
      </c>
      <c r="D18" s="33" t="s">
        <v>1658</v>
      </c>
      <c r="E18" s="32" t="s">
        <v>41</v>
      </c>
      <c r="F18" s="32" t="s">
        <v>97</v>
      </c>
      <c r="G18" s="147" t="s">
        <v>43</v>
      </c>
      <c r="H18" s="117" t="s">
        <v>1490</v>
      </c>
      <c r="I18" s="35"/>
      <c r="J18" s="36"/>
      <c r="K18" s="36"/>
      <c r="L18" s="36"/>
      <c r="M18" s="36"/>
      <c r="N18" s="36"/>
      <c r="O18" s="36"/>
      <c r="P18" s="36"/>
      <c r="Q18" s="36"/>
      <c r="R18" s="36"/>
      <c r="S18" s="36"/>
      <c r="T18" s="36"/>
      <c r="U18" s="36"/>
      <c r="V18" s="36"/>
      <c r="W18" s="36"/>
      <c r="X18" s="36"/>
      <c r="Y18" s="36"/>
      <c r="Z18" s="36"/>
      <c r="AA18" s="36"/>
      <c r="AB18" s="36"/>
    </row>
    <row r="19" spans="1:28" ht="36" customHeight="1">
      <c r="A19" s="30" t="str">
        <f>HYPERLINK("http://www.secretariasenado.gov.co/senado/basedoc/ley_0982_2005.html","LEY 982")</f>
        <v>LEY 982</v>
      </c>
      <c r="B19" s="41">
        <v>38566</v>
      </c>
      <c r="C19" s="32" t="s">
        <v>507</v>
      </c>
      <c r="D19" s="33" t="s">
        <v>1660</v>
      </c>
      <c r="E19" s="32" t="s">
        <v>41</v>
      </c>
      <c r="F19" s="32" t="s">
        <v>97</v>
      </c>
      <c r="G19" s="147" t="s">
        <v>43</v>
      </c>
      <c r="H19" s="117" t="s">
        <v>1490</v>
      </c>
      <c r="I19" s="35"/>
      <c r="J19" s="36"/>
      <c r="K19" s="36"/>
      <c r="L19" s="36"/>
      <c r="M19" s="36"/>
      <c r="N19" s="36"/>
      <c r="O19" s="36"/>
      <c r="P19" s="36"/>
      <c r="Q19" s="36"/>
      <c r="R19" s="36"/>
      <c r="S19" s="36"/>
      <c r="T19" s="36"/>
      <c r="U19" s="36"/>
      <c r="V19" s="36"/>
      <c r="W19" s="36"/>
      <c r="X19" s="36"/>
      <c r="Y19" s="36"/>
      <c r="Z19" s="36"/>
      <c r="AA19" s="36"/>
      <c r="AB19" s="36"/>
    </row>
    <row r="20" spans="1:28" ht="189.75" customHeight="1">
      <c r="A20" s="30" t="str">
        <f>HYPERLINK("https://www.alcaldiabogota.gov.co/sisjur/normas/Norma1.jsp?i=22106","LEY 1098")</f>
        <v>LEY 1098</v>
      </c>
      <c r="B20" s="41">
        <v>39029</v>
      </c>
      <c r="C20" s="32" t="s">
        <v>507</v>
      </c>
      <c r="D20" s="33" t="s">
        <v>1514</v>
      </c>
      <c r="E20" s="32" t="s">
        <v>1661</v>
      </c>
      <c r="F20" s="39" t="s">
        <v>2946</v>
      </c>
      <c r="G20" s="147" t="s">
        <v>43</v>
      </c>
      <c r="H20" s="117" t="s">
        <v>1490</v>
      </c>
      <c r="I20" s="35"/>
      <c r="J20" s="36"/>
      <c r="K20" s="36"/>
      <c r="L20" s="36"/>
      <c r="M20" s="36"/>
      <c r="N20" s="36"/>
      <c r="O20" s="36"/>
      <c r="P20" s="36"/>
      <c r="Q20" s="36"/>
      <c r="R20" s="36"/>
      <c r="S20" s="36"/>
      <c r="T20" s="36"/>
      <c r="U20" s="36"/>
      <c r="V20" s="36"/>
      <c r="W20" s="36"/>
      <c r="X20" s="36"/>
      <c r="Y20" s="36"/>
      <c r="Z20" s="36"/>
      <c r="AA20" s="36"/>
      <c r="AB20" s="36"/>
    </row>
    <row r="21" spans="1:28" ht="24" customHeight="1">
      <c r="A21" s="269" t="str">
        <f>HYPERLINK("https://www.alcaldiabogota.gov.co/sisjur/normas/Norma1.jsp?i=25670","LEY 1145")</f>
        <v>LEY 1145</v>
      </c>
      <c r="B21" s="41">
        <v>39273</v>
      </c>
      <c r="C21" s="32" t="s">
        <v>507</v>
      </c>
      <c r="D21" s="33" t="s">
        <v>1664</v>
      </c>
      <c r="E21" s="32" t="s">
        <v>41</v>
      </c>
      <c r="F21" s="32" t="s">
        <v>97</v>
      </c>
      <c r="G21" s="147" t="s">
        <v>43</v>
      </c>
      <c r="H21" s="117" t="s">
        <v>1490</v>
      </c>
      <c r="I21" s="35"/>
      <c r="J21" s="36"/>
      <c r="K21" s="36"/>
      <c r="L21" s="36"/>
      <c r="M21" s="36"/>
      <c r="N21" s="36"/>
      <c r="O21" s="36"/>
      <c r="P21" s="36"/>
      <c r="Q21" s="36"/>
      <c r="R21" s="36"/>
      <c r="S21" s="36"/>
      <c r="T21" s="36"/>
      <c r="U21" s="36"/>
      <c r="V21" s="36"/>
      <c r="W21" s="36"/>
      <c r="X21" s="36"/>
      <c r="Y21" s="36"/>
      <c r="Z21" s="36"/>
      <c r="AA21" s="36"/>
      <c r="AB21" s="36"/>
    </row>
    <row r="22" spans="1:28" ht="24" customHeight="1">
      <c r="A22" s="291" t="str">
        <f>HYPERLINK("http://www.secretariasenado.gov.co/senado/basedoc/ley_1225_2008.html","LEY 1225")</f>
        <v>LEY 1225</v>
      </c>
      <c r="B22" s="41">
        <v>39645</v>
      </c>
      <c r="C22" s="264" t="s">
        <v>507</v>
      </c>
      <c r="D22" s="268" t="s">
        <v>52</v>
      </c>
      <c r="E22" s="264" t="s">
        <v>41</v>
      </c>
      <c r="F22" s="264" t="s">
        <v>97</v>
      </c>
      <c r="G22" s="147"/>
      <c r="H22" s="117"/>
      <c r="I22" s="35"/>
      <c r="J22" s="36"/>
      <c r="K22" s="36"/>
      <c r="L22" s="36"/>
      <c r="M22" s="36"/>
      <c r="N22" s="36"/>
      <c r="O22" s="36"/>
      <c r="P22" s="36"/>
      <c r="Q22" s="36"/>
      <c r="R22" s="36"/>
      <c r="S22" s="36"/>
      <c r="T22" s="36"/>
      <c r="U22" s="36"/>
      <c r="V22" s="36"/>
      <c r="W22" s="36"/>
      <c r="X22" s="36"/>
      <c r="Y22" s="36"/>
      <c r="Z22" s="36"/>
      <c r="AA22" s="36"/>
      <c r="AB22" s="36"/>
    </row>
    <row r="23" spans="1:28" ht="24" customHeight="1">
      <c r="A23" s="30" t="str">
        <f>HYPERLINK("https://www.alcaldiabogota.gov.co/sisjur/normas/Norma1.jsp?i=35367","LEY 1287")</f>
        <v>LEY 1287</v>
      </c>
      <c r="B23" s="41">
        <v>39875</v>
      </c>
      <c r="C23" s="32" t="s">
        <v>507</v>
      </c>
      <c r="D23" s="33" t="s">
        <v>1666</v>
      </c>
      <c r="E23" s="32" t="s">
        <v>41</v>
      </c>
      <c r="F23" s="32" t="s">
        <v>97</v>
      </c>
      <c r="G23" s="147" t="s">
        <v>43</v>
      </c>
      <c r="H23" s="117" t="s">
        <v>1490</v>
      </c>
      <c r="I23" s="35"/>
      <c r="J23" s="36"/>
      <c r="K23" s="36"/>
      <c r="L23" s="36"/>
      <c r="M23" s="36"/>
      <c r="N23" s="36"/>
      <c r="O23" s="36"/>
      <c r="P23" s="36"/>
      <c r="Q23" s="36"/>
      <c r="R23" s="36"/>
      <c r="S23" s="36"/>
      <c r="T23" s="36"/>
      <c r="U23" s="36"/>
      <c r="V23" s="36"/>
      <c r="W23" s="36"/>
      <c r="X23" s="36"/>
      <c r="Y23" s="36"/>
      <c r="Z23" s="36"/>
      <c r="AA23" s="36"/>
      <c r="AB23" s="36"/>
    </row>
    <row r="24" spans="1:28" ht="36" customHeight="1">
      <c r="A24" s="30" t="str">
        <f>HYPERLINK("https://www.funcionpublica.gov.co/eva/gestornormativo/norma.php?i=37150","LEY 1346")</f>
        <v>LEY 1346</v>
      </c>
      <c r="B24" s="41">
        <v>40025</v>
      </c>
      <c r="C24" s="32" t="s">
        <v>507</v>
      </c>
      <c r="D24" s="33" t="s">
        <v>1668</v>
      </c>
      <c r="E24" s="32" t="s">
        <v>41</v>
      </c>
      <c r="F24" s="32" t="s">
        <v>97</v>
      </c>
      <c r="G24" s="147" t="s">
        <v>43</v>
      </c>
      <c r="H24" s="117" t="s">
        <v>1490</v>
      </c>
      <c r="I24" s="35"/>
      <c r="J24" s="36"/>
      <c r="K24" s="36"/>
      <c r="L24" s="36"/>
      <c r="M24" s="36"/>
      <c r="N24" s="36"/>
      <c r="O24" s="36"/>
      <c r="P24" s="36"/>
      <c r="Q24" s="36"/>
      <c r="R24" s="36"/>
      <c r="S24" s="36"/>
      <c r="T24" s="36"/>
      <c r="U24" s="36"/>
      <c r="V24" s="36"/>
      <c r="W24" s="36"/>
      <c r="X24" s="36"/>
      <c r="Y24" s="36"/>
      <c r="Z24" s="36"/>
      <c r="AA24" s="36"/>
      <c r="AB24" s="36"/>
    </row>
    <row r="25" spans="1:28" ht="48" customHeight="1">
      <c r="A25" s="30" t="str">
        <f>HYPERLINK("https://www.icbf.gov.co/cargues/avance/docs/ley_1355_2009.htm","LEY 1355")</f>
        <v>LEY 1355</v>
      </c>
      <c r="B25" s="286">
        <v>40100</v>
      </c>
      <c r="C25" s="32" t="s">
        <v>507</v>
      </c>
      <c r="D25" s="33" t="s">
        <v>1519</v>
      </c>
      <c r="E25" s="32" t="s">
        <v>41</v>
      </c>
      <c r="F25" s="32" t="s">
        <v>97</v>
      </c>
      <c r="G25" s="147" t="s">
        <v>43</v>
      </c>
      <c r="H25" s="117" t="s">
        <v>1490</v>
      </c>
      <c r="I25" s="35"/>
      <c r="J25" s="36"/>
      <c r="K25" s="36"/>
      <c r="L25" s="36"/>
      <c r="M25" s="36"/>
      <c r="N25" s="36"/>
      <c r="O25" s="36"/>
      <c r="P25" s="36"/>
      <c r="Q25" s="36"/>
      <c r="R25" s="36"/>
      <c r="S25" s="36"/>
      <c r="T25" s="36"/>
      <c r="U25" s="36"/>
      <c r="V25" s="36"/>
      <c r="W25" s="36"/>
      <c r="X25" s="36"/>
      <c r="Y25" s="36"/>
      <c r="Z25" s="36"/>
      <c r="AA25" s="36"/>
      <c r="AB25" s="36"/>
    </row>
    <row r="26" spans="1:28" ht="24" customHeight="1">
      <c r="A26" s="30" t="str">
        <f>HYPERLINK("https://www.funcionpublica.gov.co/eva/gestornormativo/norma.php?i=39180","LEY 1383")</f>
        <v>LEY 1383</v>
      </c>
      <c r="B26" s="41">
        <v>40253</v>
      </c>
      <c r="C26" s="32" t="s">
        <v>507</v>
      </c>
      <c r="D26" s="33" t="s">
        <v>1670</v>
      </c>
      <c r="E26" s="32" t="s">
        <v>41</v>
      </c>
      <c r="F26" s="32" t="s">
        <v>97</v>
      </c>
      <c r="G26" s="147" t="s">
        <v>43</v>
      </c>
      <c r="H26" s="117" t="s">
        <v>1490</v>
      </c>
      <c r="I26" s="35"/>
      <c r="J26" s="36"/>
      <c r="K26" s="36"/>
      <c r="L26" s="36"/>
      <c r="M26" s="36"/>
      <c r="N26" s="36"/>
      <c r="O26" s="36"/>
      <c r="P26" s="36"/>
      <c r="Q26" s="36"/>
      <c r="R26" s="36"/>
      <c r="S26" s="36"/>
      <c r="T26" s="36"/>
      <c r="U26" s="36"/>
      <c r="V26" s="36"/>
      <c r="W26" s="36"/>
      <c r="X26" s="36"/>
      <c r="Y26" s="36"/>
      <c r="Z26" s="36"/>
      <c r="AA26" s="36"/>
      <c r="AB26" s="36"/>
    </row>
    <row r="27" spans="1:28" ht="72">
      <c r="A27" s="292" t="str">
        <f>HYPERLINK("http://www.secretariasenado.gov.co/senado/basedoc/ley_1392_2010.html","LEY 1392")</f>
        <v>LEY 1392</v>
      </c>
      <c r="B27" s="41">
        <v>40361</v>
      </c>
      <c r="C27" s="264" t="s">
        <v>507</v>
      </c>
      <c r="D27" s="268" t="s">
        <v>2947</v>
      </c>
      <c r="E27" s="264" t="s">
        <v>41</v>
      </c>
      <c r="F27" s="264" t="s">
        <v>97</v>
      </c>
      <c r="G27" s="147"/>
      <c r="H27" s="117"/>
      <c r="I27" s="35"/>
      <c r="J27" s="36"/>
      <c r="K27" s="36"/>
      <c r="L27" s="36"/>
      <c r="M27" s="36"/>
      <c r="N27" s="36"/>
      <c r="O27" s="36"/>
      <c r="P27" s="36"/>
      <c r="Q27" s="36"/>
      <c r="R27" s="36"/>
      <c r="S27" s="36"/>
      <c r="T27" s="36"/>
      <c r="U27" s="36"/>
      <c r="V27" s="36"/>
      <c r="W27" s="36"/>
      <c r="X27" s="36"/>
      <c r="Y27" s="36"/>
      <c r="Z27" s="36"/>
      <c r="AA27" s="36"/>
      <c r="AB27" s="36"/>
    </row>
    <row r="28" spans="1:28" ht="36" customHeight="1">
      <c r="A28" s="30" t="str">
        <f>HYPERLINK("http://www.secretariasenado.gov.co/senado/basedoc/ley_1448_2011.html","LEY 1448")</f>
        <v>LEY 1448</v>
      </c>
      <c r="B28" s="41">
        <v>40704</v>
      </c>
      <c r="C28" s="32" t="s">
        <v>507</v>
      </c>
      <c r="D28" s="33" t="s">
        <v>982</v>
      </c>
      <c r="E28" s="32" t="s">
        <v>41</v>
      </c>
      <c r="F28" s="32" t="s">
        <v>97</v>
      </c>
      <c r="G28" s="147" t="s">
        <v>43</v>
      </c>
      <c r="H28" s="117" t="s">
        <v>1490</v>
      </c>
      <c r="I28" s="35"/>
      <c r="J28" s="36"/>
      <c r="K28" s="36"/>
      <c r="L28" s="36"/>
      <c r="M28" s="36"/>
      <c r="N28" s="36"/>
      <c r="O28" s="36"/>
      <c r="P28" s="36"/>
      <c r="Q28" s="36"/>
      <c r="R28" s="36"/>
      <c r="S28" s="36"/>
      <c r="T28" s="36"/>
      <c r="U28" s="36"/>
      <c r="V28" s="36"/>
      <c r="W28" s="36"/>
      <c r="X28" s="36"/>
      <c r="Y28" s="36"/>
      <c r="Z28" s="36"/>
      <c r="AA28" s="36"/>
      <c r="AB28" s="36"/>
    </row>
    <row r="29" spans="1:28" ht="48" customHeight="1">
      <c r="A29" s="30" t="str">
        <f>HYPERLINK("https://www.funcionpublica.gov.co/eva/gestornormativo/norma.php?i=45246","LEY 1493")</f>
        <v>LEY 1493</v>
      </c>
      <c r="B29" s="286">
        <v>40903</v>
      </c>
      <c r="C29" s="32" t="s">
        <v>507</v>
      </c>
      <c r="D29" s="33" t="s">
        <v>1671</v>
      </c>
      <c r="E29" s="32" t="s">
        <v>41</v>
      </c>
      <c r="F29" s="32" t="s">
        <v>97</v>
      </c>
      <c r="G29" s="147" t="s">
        <v>43</v>
      </c>
      <c r="H29" s="117" t="s">
        <v>1490</v>
      </c>
      <c r="I29" s="35"/>
      <c r="J29" s="36"/>
      <c r="K29" s="36"/>
      <c r="L29" s="36"/>
      <c r="M29" s="36"/>
      <c r="N29" s="36"/>
      <c r="O29" s="36"/>
      <c r="P29" s="36"/>
      <c r="Q29" s="36"/>
      <c r="R29" s="36"/>
      <c r="S29" s="36"/>
      <c r="T29" s="36"/>
      <c r="U29" s="36"/>
      <c r="V29" s="36"/>
      <c r="W29" s="36"/>
      <c r="X29" s="36"/>
      <c r="Y29" s="36"/>
      <c r="Z29" s="36"/>
      <c r="AA29" s="36"/>
      <c r="AB29" s="36"/>
    </row>
    <row r="30" spans="1:28" ht="36" customHeight="1">
      <c r="A30" s="30" t="str">
        <f>HYPERLINK("https://www.funcionpublica.gov.co/eva/gestornormativo/norma.php?i=47141","LEY 1523")</f>
        <v>LEY 1523</v>
      </c>
      <c r="B30" s="41">
        <v>41023</v>
      </c>
      <c r="C30" s="32" t="s">
        <v>507</v>
      </c>
      <c r="D30" s="33" t="s">
        <v>1672</v>
      </c>
      <c r="E30" s="32" t="s">
        <v>41</v>
      </c>
      <c r="F30" s="32" t="s">
        <v>97</v>
      </c>
      <c r="G30" s="147" t="s">
        <v>43</v>
      </c>
      <c r="H30" s="117" t="s">
        <v>1490</v>
      </c>
      <c r="I30" s="35"/>
      <c r="J30" s="36"/>
      <c r="K30" s="36"/>
      <c r="L30" s="36"/>
      <c r="M30" s="36"/>
      <c r="N30" s="36"/>
      <c r="O30" s="36"/>
      <c r="P30" s="36"/>
      <c r="Q30" s="36"/>
      <c r="R30" s="36"/>
      <c r="S30" s="36"/>
      <c r="T30" s="36"/>
      <c r="U30" s="36"/>
      <c r="V30" s="36"/>
      <c r="W30" s="36"/>
      <c r="X30" s="36"/>
      <c r="Y30" s="36"/>
      <c r="Z30" s="36"/>
      <c r="AA30" s="36"/>
      <c r="AB30" s="36"/>
    </row>
    <row r="31" spans="1:28" ht="24" customHeight="1">
      <c r="A31" s="30" t="str">
        <f>HYPERLINK("https://www.icbf.gov.co/cargues/avance/docs/ley_1618_2013.htm","LEY 1618")</f>
        <v>LEY 1618</v>
      </c>
      <c r="B31" s="41">
        <v>41332</v>
      </c>
      <c r="C31" s="32" t="s">
        <v>507</v>
      </c>
      <c r="D31" s="33" t="s">
        <v>508</v>
      </c>
      <c r="E31" s="32" t="s">
        <v>41</v>
      </c>
      <c r="F31" s="32" t="s">
        <v>97</v>
      </c>
      <c r="G31" s="147" t="s">
        <v>43</v>
      </c>
      <c r="H31" s="117" t="s">
        <v>1490</v>
      </c>
      <c r="I31" s="35"/>
      <c r="J31" s="36"/>
      <c r="K31" s="36"/>
      <c r="L31" s="36"/>
      <c r="M31" s="36"/>
      <c r="N31" s="36"/>
      <c r="O31" s="36"/>
      <c r="P31" s="36"/>
      <c r="Q31" s="36"/>
      <c r="R31" s="36"/>
      <c r="S31" s="36"/>
      <c r="T31" s="36"/>
      <c r="U31" s="36"/>
      <c r="V31" s="36"/>
      <c r="W31" s="36"/>
      <c r="X31" s="36"/>
      <c r="Y31" s="36"/>
      <c r="Z31" s="36"/>
      <c r="AA31" s="36"/>
      <c r="AB31" s="36"/>
    </row>
    <row r="32" spans="1:28" ht="24" customHeight="1">
      <c r="A32" s="293" t="str">
        <f>HYPERLINK("https://www.funcionpublica.gov.co/eva/gestornormativo/norma.php?i=52971","LEY ESTATUTARIA 1622")</f>
        <v>LEY ESTATUTARIA 1622</v>
      </c>
      <c r="B32" s="41">
        <v>41393</v>
      </c>
      <c r="C32" s="32" t="s">
        <v>507</v>
      </c>
      <c r="D32" s="39" t="s">
        <v>2948</v>
      </c>
      <c r="E32" s="40" t="s">
        <v>657</v>
      </c>
      <c r="F32" s="40" t="s">
        <v>2943</v>
      </c>
      <c r="G32" s="147"/>
      <c r="H32" s="117"/>
      <c r="I32" s="35"/>
      <c r="J32" s="36"/>
      <c r="K32" s="36"/>
      <c r="L32" s="36"/>
      <c r="M32" s="36"/>
      <c r="N32" s="36"/>
      <c r="O32" s="36"/>
      <c r="P32" s="36"/>
      <c r="Q32" s="36"/>
      <c r="R32" s="36"/>
      <c r="S32" s="36"/>
      <c r="T32" s="36"/>
      <c r="U32" s="36"/>
      <c r="V32" s="36"/>
      <c r="W32" s="36"/>
      <c r="X32" s="36"/>
      <c r="Y32" s="36"/>
      <c r="Z32" s="36"/>
      <c r="AA32" s="36"/>
      <c r="AB32" s="36"/>
    </row>
    <row r="33" spans="1:28" ht="24" customHeight="1">
      <c r="A33" s="30" t="str">
        <f>HYPERLINK("http://www.secretariasenado.gov.co/senado/basedoc/ley_1801_2016.html","LEY 1801")</f>
        <v>LEY 1801</v>
      </c>
      <c r="B33" s="40" t="s">
        <v>2949</v>
      </c>
      <c r="C33" s="32" t="s">
        <v>507</v>
      </c>
      <c r="D33" s="33" t="s">
        <v>1675</v>
      </c>
      <c r="E33" s="32" t="s">
        <v>41</v>
      </c>
      <c r="F33" s="32" t="s">
        <v>97</v>
      </c>
      <c r="G33" s="147" t="s">
        <v>43</v>
      </c>
      <c r="H33" s="117" t="s">
        <v>1490</v>
      </c>
      <c r="I33" s="35"/>
      <c r="J33" s="36"/>
      <c r="K33" s="36"/>
      <c r="L33" s="36"/>
      <c r="M33" s="36"/>
      <c r="N33" s="36"/>
      <c r="O33" s="36"/>
      <c r="P33" s="36"/>
      <c r="Q33" s="36"/>
      <c r="R33" s="36"/>
      <c r="S33" s="36"/>
      <c r="T33" s="36"/>
      <c r="U33" s="36"/>
      <c r="V33" s="36"/>
      <c r="W33" s="36"/>
      <c r="X33" s="36"/>
      <c r="Y33" s="36"/>
      <c r="Z33" s="36"/>
      <c r="AA33" s="36"/>
      <c r="AB33" s="36"/>
    </row>
    <row r="34" spans="1:28" ht="36" customHeight="1">
      <c r="A34" s="291" t="str">
        <f>HYPERLINK("https://www.icbf.gov.co/cargues/avance/docs/ley_1804_2016.htm","LEY 1804")</f>
        <v>LEY 1804</v>
      </c>
      <c r="B34" s="41">
        <v>42584</v>
      </c>
      <c r="C34" s="264" t="s">
        <v>507</v>
      </c>
      <c r="D34" s="268" t="s">
        <v>2950</v>
      </c>
      <c r="E34" s="264" t="s">
        <v>41</v>
      </c>
      <c r="F34" s="264" t="s">
        <v>97</v>
      </c>
      <c r="G34" s="147"/>
      <c r="H34" s="117"/>
      <c r="I34" s="35"/>
      <c r="J34" s="36"/>
      <c r="K34" s="36"/>
      <c r="L34" s="36"/>
      <c r="M34" s="36"/>
      <c r="N34" s="36"/>
      <c r="O34" s="36"/>
      <c r="P34" s="36"/>
      <c r="Q34" s="36"/>
      <c r="R34" s="36"/>
      <c r="S34" s="36"/>
      <c r="T34" s="36"/>
      <c r="U34" s="36"/>
      <c r="V34" s="36"/>
      <c r="W34" s="36"/>
      <c r="X34" s="36"/>
      <c r="Y34" s="36"/>
      <c r="Z34" s="36"/>
      <c r="AA34" s="36"/>
      <c r="AB34" s="36"/>
    </row>
    <row r="35" spans="1:28" ht="36" customHeight="1">
      <c r="A35" s="30" t="str">
        <f>HYPERLINK("https://www.funcionpublica.gov.co/eva/gestornormativo/norma.php?i=85540","LEY ESTATUTARIA  1885")</f>
        <v>LEY ESTATUTARIA  1885</v>
      </c>
      <c r="B35" s="41">
        <v>43160</v>
      </c>
      <c r="C35" s="32" t="s">
        <v>507</v>
      </c>
      <c r="D35" s="33" t="s">
        <v>1677</v>
      </c>
      <c r="E35" s="32" t="s">
        <v>41</v>
      </c>
      <c r="F35" s="32" t="s">
        <v>97</v>
      </c>
      <c r="G35" s="147" t="s">
        <v>43</v>
      </c>
      <c r="H35" s="117" t="s">
        <v>1490</v>
      </c>
      <c r="I35" s="35"/>
      <c r="J35" s="36"/>
      <c r="K35" s="36"/>
      <c r="L35" s="36"/>
      <c r="M35" s="36"/>
      <c r="N35" s="36"/>
      <c r="O35" s="36"/>
      <c r="P35" s="36"/>
      <c r="Q35" s="36"/>
      <c r="R35" s="36"/>
      <c r="S35" s="36"/>
      <c r="T35" s="36"/>
      <c r="U35" s="36"/>
      <c r="V35" s="36"/>
      <c r="W35" s="36"/>
      <c r="X35" s="36"/>
      <c r="Y35" s="36"/>
      <c r="Z35" s="36"/>
      <c r="AA35" s="36"/>
      <c r="AB35" s="36"/>
    </row>
    <row r="36" spans="1:28" ht="24" customHeight="1">
      <c r="A36" s="291" t="str">
        <f>HYPERLINK("https://dapre.presidencia.gov.co/normativa/normativa/LEY%201987%20DEL%2030%20DE%20JULIO%20DE%202019.pdf","LEY 1987")</f>
        <v>LEY 1987</v>
      </c>
      <c r="B36" s="41">
        <v>43676</v>
      </c>
      <c r="C36" s="264" t="s">
        <v>327</v>
      </c>
      <c r="D36" s="268" t="s">
        <v>2951</v>
      </c>
      <c r="E36" s="264" t="s">
        <v>41</v>
      </c>
      <c r="F36" s="264" t="s">
        <v>2952</v>
      </c>
      <c r="G36" s="147"/>
      <c r="H36" s="117"/>
      <c r="I36" s="35"/>
      <c r="J36" s="36"/>
      <c r="K36" s="36"/>
      <c r="L36" s="36"/>
      <c r="M36" s="36"/>
      <c r="N36" s="36"/>
      <c r="O36" s="36"/>
      <c r="P36" s="36"/>
      <c r="Q36" s="36"/>
      <c r="R36" s="36"/>
      <c r="S36" s="36"/>
      <c r="T36" s="36"/>
      <c r="U36" s="36"/>
      <c r="V36" s="36"/>
      <c r="W36" s="36"/>
      <c r="X36" s="36"/>
      <c r="Y36" s="36"/>
      <c r="Z36" s="36"/>
      <c r="AA36" s="36"/>
      <c r="AB36" s="36"/>
    </row>
    <row r="37" spans="1:28" ht="24" customHeight="1">
      <c r="A37" s="30" t="str">
        <f>HYPERLINK("https://www.mineducacion.gov.co/1759/articles-177832_archivo_pdf_Conpes_109.pdf","CONPES 109")</f>
        <v>CONPES 109</v>
      </c>
      <c r="B37" s="41">
        <v>39419</v>
      </c>
      <c r="C37" s="32" t="s">
        <v>302</v>
      </c>
      <c r="D37" s="33" t="s">
        <v>1687</v>
      </c>
      <c r="E37" s="32" t="s">
        <v>41</v>
      </c>
      <c r="F37" s="32" t="s">
        <v>97</v>
      </c>
      <c r="G37" s="147" t="s">
        <v>43</v>
      </c>
      <c r="H37" s="117" t="s">
        <v>1490</v>
      </c>
      <c r="I37" s="35"/>
      <c r="J37" s="36"/>
      <c r="K37" s="36"/>
      <c r="L37" s="36"/>
      <c r="M37" s="36"/>
      <c r="N37" s="36"/>
      <c r="O37" s="36"/>
      <c r="P37" s="36"/>
      <c r="Q37" s="36"/>
      <c r="R37" s="36"/>
      <c r="S37" s="36"/>
      <c r="T37" s="36"/>
      <c r="U37" s="36"/>
      <c r="V37" s="36"/>
      <c r="W37" s="36"/>
      <c r="X37" s="36"/>
      <c r="Y37" s="36"/>
      <c r="Z37" s="36"/>
      <c r="AA37" s="36"/>
      <c r="AB37" s="36"/>
    </row>
    <row r="38" spans="1:28" ht="24" customHeight="1">
      <c r="A38" s="30" t="str">
        <f>HYPERLINK("https://drive.google.com/open?id=1l8oMz__iguxNxINTnS0aCFymoUeCSBAI","DECRETO 566")</f>
        <v>DECRETO 566</v>
      </c>
      <c r="B38" s="41">
        <v>27918</v>
      </c>
      <c r="C38" s="32" t="s">
        <v>61</v>
      </c>
      <c r="D38" s="33" t="s">
        <v>1689</v>
      </c>
      <c r="E38" s="32" t="s">
        <v>41</v>
      </c>
      <c r="F38" s="32" t="s">
        <v>97</v>
      </c>
      <c r="G38" s="147" t="s">
        <v>43</v>
      </c>
      <c r="H38" s="117" t="s">
        <v>1490</v>
      </c>
      <c r="I38" s="35"/>
      <c r="J38" s="36"/>
      <c r="K38" s="36"/>
      <c r="L38" s="36"/>
      <c r="M38" s="36"/>
      <c r="N38" s="36"/>
      <c r="O38" s="36"/>
      <c r="P38" s="36"/>
      <c r="Q38" s="36"/>
      <c r="R38" s="36"/>
      <c r="S38" s="36"/>
      <c r="T38" s="36"/>
      <c r="U38" s="36"/>
      <c r="V38" s="36"/>
      <c r="W38" s="36"/>
      <c r="X38" s="36"/>
      <c r="Y38" s="36"/>
      <c r="Z38" s="36"/>
      <c r="AA38" s="36"/>
      <c r="AB38" s="36"/>
    </row>
    <row r="39" spans="1:28" ht="24" customHeight="1">
      <c r="A39" s="30" t="str">
        <f>HYPERLINK("https://drive.google.com/open?id=1WkOswuqjWKG9m_rayNsFHUMSL8ICGHPJ","DECRETO 567")</f>
        <v>DECRETO 567</v>
      </c>
      <c r="B39" s="41">
        <v>27918</v>
      </c>
      <c r="C39" s="32" t="s">
        <v>61</v>
      </c>
      <c r="D39" s="33" t="s">
        <v>1690</v>
      </c>
      <c r="E39" s="32" t="s">
        <v>41</v>
      </c>
      <c r="F39" s="32" t="s">
        <v>97</v>
      </c>
      <c r="G39" s="147" t="s">
        <v>43</v>
      </c>
      <c r="H39" s="117" t="s">
        <v>1490</v>
      </c>
      <c r="I39" s="35"/>
      <c r="J39" s="36"/>
      <c r="K39" s="36"/>
      <c r="L39" s="36"/>
      <c r="M39" s="36"/>
      <c r="N39" s="36"/>
      <c r="O39" s="36"/>
      <c r="P39" s="36"/>
      <c r="Q39" s="36"/>
      <c r="R39" s="36"/>
      <c r="S39" s="36"/>
      <c r="T39" s="36"/>
      <c r="U39" s="36"/>
      <c r="V39" s="36"/>
      <c r="W39" s="36"/>
      <c r="X39" s="36"/>
      <c r="Y39" s="36"/>
      <c r="Z39" s="36"/>
      <c r="AA39" s="36"/>
      <c r="AB39" s="36"/>
    </row>
    <row r="40" spans="1:28" ht="24" customHeight="1">
      <c r="A40" s="30" t="str">
        <f>HYPERLINK("https://www.mineducacion.gov.co/1621/articles-86240_archivo_pdf.pdf","DECRETO 1860")</f>
        <v>DECRETO 1860</v>
      </c>
      <c r="B40" s="41">
        <v>34549</v>
      </c>
      <c r="C40" s="32" t="s">
        <v>57</v>
      </c>
      <c r="D40" s="33" t="s">
        <v>1528</v>
      </c>
      <c r="E40" s="32" t="s">
        <v>41</v>
      </c>
      <c r="F40" s="32" t="s">
        <v>97</v>
      </c>
      <c r="G40" s="147" t="s">
        <v>43</v>
      </c>
      <c r="H40" s="117" t="s">
        <v>1490</v>
      </c>
      <c r="I40" s="35"/>
      <c r="J40" s="36"/>
      <c r="K40" s="36"/>
      <c r="L40" s="36"/>
      <c r="M40" s="36"/>
      <c r="N40" s="36"/>
      <c r="O40" s="36"/>
      <c r="P40" s="36"/>
      <c r="Q40" s="36"/>
      <c r="R40" s="36"/>
      <c r="S40" s="36"/>
      <c r="T40" s="36"/>
      <c r="U40" s="36"/>
      <c r="V40" s="36"/>
      <c r="W40" s="36"/>
      <c r="X40" s="36"/>
      <c r="Y40" s="36"/>
      <c r="Z40" s="36"/>
      <c r="AA40" s="36"/>
      <c r="AB40" s="36"/>
    </row>
    <row r="41" spans="1:28" ht="36" customHeight="1">
      <c r="A41" s="30" t="str">
        <f>HYPERLINK("https://www.alcaldiabogota.gov.co/sisjur/normas/Norma1.jsp?i=1927&amp;dt=S","DECRETO 639")</f>
        <v>DECRETO 639</v>
      </c>
      <c r="B41" s="41">
        <v>35345</v>
      </c>
      <c r="C41" s="32" t="s">
        <v>61</v>
      </c>
      <c r="D41" s="33" t="s">
        <v>1692</v>
      </c>
      <c r="E41" s="32" t="s">
        <v>41</v>
      </c>
      <c r="F41" s="32" t="s">
        <v>97</v>
      </c>
      <c r="G41" s="147" t="s">
        <v>43</v>
      </c>
      <c r="H41" s="117" t="s">
        <v>1490</v>
      </c>
      <c r="I41" s="35"/>
      <c r="J41" s="36"/>
      <c r="K41" s="36"/>
      <c r="L41" s="36"/>
      <c r="M41" s="36"/>
      <c r="N41" s="36"/>
      <c r="O41" s="36"/>
      <c r="P41" s="36"/>
      <c r="Q41" s="36"/>
      <c r="R41" s="36"/>
      <c r="S41" s="36"/>
      <c r="T41" s="36"/>
      <c r="U41" s="36"/>
      <c r="V41" s="36"/>
      <c r="W41" s="36"/>
      <c r="X41" s="36"/>
      <c r="Y41" s="36"/>
      <c r="Z41" s="36"/>
      <c r="AA41" s="36"/>
      <c r="AB41" s="36"/>
    </row>
    <row r="42" spans="1:28" ht="131.25" customHeight="1">
      <c r="A42" s="30" t="str">
        <f>HYPERLINK("https://www.alcaldiabogota.gov.co/sisjur/normas/Norma1.jsp?i=9706","DECRETO 350")</f>
        <v>DECRETO 350</v>
      </c>
      <c r="B42" s="31">
        <v>37902</v>
      </c>
      <c r="C42" s="32" t="s">
        <v>61</v>
      </c>
      <c r="D42" s="33" t="s">
        <v>534</v>
      </c>
      <c r="E42" s="32" t="s">
        <v>1693</v>
      </c>
      <c r="F42" s="39" t="s">
        <v>2953</v>
      </c>
      <c r="G42" s="147" t="s">
        <v>43</v>
      </c>
      <c r="H42" s="117" t="s">
        <v>1490</v>
      </c>
      <c r="I42" s="35"/>
      <c r="J42" s="36"/>
      <c r="K42" s="36"/>
      <c r="L42" s="36"/>
      <c r="M42" s="36"/>
      <c r="N42" s="36"/>
      <c r="O42" s="36"/>
      <c r="P42" s="36"/>
      <c r="Q42" s="36"/>
      <c r="R42" s="36"/>
      <c r="S42" s="36"/>
      <c r="T42" s="36"/>
      <c r="U42" s="36"/>
      <c r="V42" s="36"/>
      <c r="W42" s="36"/>
      <c r="X42" s="36"/>
      <c r="Y42" s="36"/>
      <c r="Z42" s="36"/>
      <c r="AA42" s="36"/>
      <c r="AB42" s="36"/>
    </row>
    <row r="43" spans="1:28" ht="24" customHeight="1">
      <c r="A43" s="30" t="str">
        <f>HYPERLINK("https://www.alcaldiabogota.gov.co/sisjur/normas/Norma1.jsp?i=16540","DECRETO 1538")</f>
        <v>DECRETO 1538</v>
      </c>
      <c r="B43" s="41">
        <v>38489</v>
      </c>
      <c r="C43" s="32" t="s">
        <v>57</v>
      </c>
      <c r="D43" s="33" t="s">
        <v>1696</v>
      </c>
      <c r="E43" s="32" t="s">
        <v>41</v>
      </c>
      <c r="F43" s="32" t="s">
        <v>97</v>
      </c>
      <c r="G43" s="147" t="s">
        <v>43</v>
      </c>
      <c r="H43" s="117" t="s">
        <v>1490</v>
      </c>
      <c r="I43" s="35"/>
      <c r="J43" s="36"/>
      <c r="K43" s="36"/>
      <c r="L43" s="36"/>
      <c r="M43" s="36"/>
      <c r="N43" s="36"/>
      <c r="O43" s="36"/>
      <c r="P43" s="36"/>
      <c r="Q43" s="36"/>
      <c r="R43" s="36"/>
      <c r="S43" s="36"/>
      <c r="T43" s="36"/>
      <c r="U43" s="36"/>
      <c r="V43" s="36"/>
      <c r="W43" s="36"/>
      <c r="X43" s="36"/>
      <c r="Y43" s="36"/>
      <c r="Z43" s="36"/>
      <c r="AA43" s="36"/>
      <c r="AB43" s="36"/>
    </row>
    <row r="44" spans="1:28" ht="24" customHeight="1">
      <c r="A44" s="30" t="str">
        <f>HYPERLINK("https://www.alcaldiabogota.gov.co/sisjur/normas/Norma1.jsp?i=22240","DECRETO 482")</f>
        <v>DECRETO 482</v>
      </c>
      <c r="B44" s="286">
        <v>39048</v>
      </c>
      <c r="C44" s="32" t="s">
        <v>61</v>
      </c>
      <c r="D44" s="33" t="s">
        <v>1540</v>
      </c>
      <c r="E44" s="32" t="s">
        <v>41</v>
      </c>
      <c r="F44" s="32" t="s">
        <v>97</v>
      </c>
      <c r="G44" s="147" t="s">
        <v>43</v>
      </c>
      <c r="H44" s="117" t="s">
        <v>1490</v>
      </c>
      <c r="I44" s="35"/>
      <c r="J44" s="36"/>
      <c r="K44" s="36"/>
      <c r="L44" s="36"/>
      <c r="M44" s="36"/>
      <c r="N44" s="36"/>
      <c r="O44" s="36"/>
      <c r="P44" s="36"/>
      <c r="Q44" s="36"/>
      <c r="R44" s="36"/>
      <c r="S44" s="36"/>
      <c r="T44" s="36"/>
      <c r="U44" s="36"/>
      <c r="V44" s="36"/>
      <c r="W44" s="36"/>
      <c r="X44" s="36"/>
      <c r="Y44" s="36"/>
      <c r="Z44" s="36"/>
      <c r="AA44" s="36"/>
      <c r="AB44" s="36"/>
    </row>
    <row r="45" spans="1:28" ht="24" customHeight="1">
      <c r="A45" s="30" t="str">
        <f>HYPERLINK("http://www.saludcapital.gov.co/Normas_Pobl_Vulnerable/Decreto_470_de_2007.pdf","DECRETO 470")</f>
        <v>DECRETO 470</v>
      </c>
      <c r="B45" s="286">
        <v>39367</v>
      </c>
      <c r="C45" s="32" t="s">
        <v>61</v>
      </c>
      <c r="D45" s="33" t="s">
        <v>1698</v>
      </c>
      <c r="E45" s="32" t="s">
        <v>41</v>
      </c>
      <c r="F45" s="32" t="s">
        <v>97</v>
      </c>
      <c r="G45" s="147" t="s">
        <v>43</v>
      </c>
      <c r="H45" s="117" t="s">
        <v>1490</v>
      </c>
      <c r="I45" s="35"/>
      <c r="J45" s="36"/>
      <c r="K45" s="36"/>
      <c r="L45" s="36"/>
      <c r="M45" s="36"/>
      <c r="N45" s="36"/>
      <c r="O45" s="36"/>
      <c r="P45" s="36"/>
      <c r="Q45" s="36"/>
      <c r="R45" s="36"/>
      <c r="S45" s="36"/>
      <c r="T45" s="36"/>
      <c r="U45" s="36"/>
      <c r="V45" s="36"/>
      <c r="W45" s="36"/>
      <c r="X45" s="36"/>
      <c r="Y45" s="36"/>
      <c r="Z45" s="36"/>
      <c r="AA45" s="36"/>
      <c r="AB45" s="36"/>
    </row>
    <row r="46" spans="1:28" ht="48" customHeight="1">
      <c r="A46" s="30" t="str">
        <f>HYPERLINK("https://www.alcaldiabogota.gov.co/sisjur/normas/Norma1.jsp?i=30505","DECRETO 151")</f>
        <v>DECRETO 151</v>
      </c>
      <c r="B46" s="41">
        <v>39589</v>
      </c>
      <c r="C46" s="32" t="s">
        <v>61</v>
      </c>
      <c r="D46" s="33" t="s">
        <v>1700</v>
      </c>
      <c r="E46" s="32" t="s">
        <v>41</v>
      </c>
      <c r="F46" s="40" t="s">
        <v>2943</v>
      </c>
      <c r="G46" s="147" t="s">
        <v>43</v>
      </c>
      <c r="H46" s="117" t="s">
        <v>1490</v>
      </c>
      <c r="I46" s="35"/>
      <c r="J46" s="36"/>
      <c r="K46" s="36"/>
      <c r="L46" s="36"/>
      <c r="M46" s="36"/>
      <c r="N46" s="36"/>
      <c r="O46" s="36"/>
      <c r="P46" s="36"/>
      <c r="Q46" s="36"/>
      <c r="R46" s="36"/>
      <c r="S46" s="36"/>
      <c r="T46" s="36"/>
      <c r="U46" s="36"/>
      <c r="V46" s="36"/>
      <c r="W46" s="36"/>
      <c r="X46" s="36"/>
      <c r="Y46" s="36"/>
      <c r="Z46" s="36"/>
      <c r="AA46" s="36"/>
      <c r="AB46" s="36"/>
    </row>
    <row r="47" spans="1:28" ht="36" customHeight="1">
      <c r="A47" s="30" t="str">
        <f>HYPERLINK("https://www.alcaldiabogota.gov.co/sisjur/normas/Norma1.jsp?i=26492&amp;dt=S","DECRETO 403")</f>
        <v>DECRETO 403</v>
      </c>
      <c r="B47" s="40" t="s">
        <v>2954</v>
      </c>
      <c r="C47" s="32" t="s">
        <v>61</v>
      </c>
      <c r="D47" s="33" t="s">
        <v>1702</v>
      </c>
      <c r="E47" s="32" t="s">
        <v>41</v>
      </c>
      <c r="F47" s="32" t="s">
        <v>97</v>
      </c>
      <c r="G47" s="147" t="s">
        <v>43</v>
      </c>
      <c r="H47" s="117" t="s">
        <v>1490</v>
      </c>
      <c r="I47" s="35"/>
      <c r="J47" s="36"/>
      <c r="K47" s="36"/>
      <c r="L47" s="36"/>
      <c r="M47" s="36"/>
      <c r="N47" s="36"/>
      <c r="O47" s="36"/>
      <c r="P47" s="36"/>
      <c r="Q47" s="36"/>
      <c r="R47" s="36"/>
      <c r="S47" s="36"/>
      <c r="T47" s="36"/>
      <c r="U47" s="36"/>
      <c r="V47" s="36"/>
      <c r="W47" s="36"/>
      <c r="X47" s="36"/>
      <c r="Y47" s="36"/>
      <c r="Z47" s="36"/>
      <c r="AA47" s="36"/>
      <c r="AB47" s="36"/>
    </row>
    <row r="48" spans="1:28" ht="36" customHeight="1">
      <c r="A48" s="30" t="str">
        <f>HYPERLINK("https://www.funcionpublica.gov.co/eva/gestornormativo/norma.php?i=31692","DECRETO 2771 ")</f>
        <v xml:space="preserve">DECRETO 2771 </v>
      </c>
      <c r="B48" s="41">
        <v>39659</v>
      </c>
      <c r="C48" s="32" t="s">
        <v>57</v>
      </c>
      <c r="D48" s="33" t="s">
        <v>1704</v>
      </c>
      <c r="E48" s="32" t="s">
        <v>41</v>
      </c>
      <c r="F48" s="32" t="s">
        <v>97</v>
      </c>
      <c r="G48" s="147" t="s">
        <v>43</v>
      </c>
      <c r="H48" s="117" t="s">
        <v>1490</v>
      </c>
      <c r="I48" s="35"/>
      <c r="J48" s="36"/>
      <c r="K48" s="36"/>
      <c r="L48" s="36"/>
      <c r="M48" s="36"/>
      <c r="N48" s="36"/>
      <c r="O48" s="36"/>
      <c r="P48" s="36"/>
      <c r="Q48" s="36"/>
      <c r="R48" s="36"/>
      <c r="S48" s="36"/>
      <c r="T48" s="36"/>
      <c r="U48" s="36"/>
      <c r="V48" s="36"/>
      <c r="W48" s="36"/>
      <c r="X48" s="36"/>
      <c r="Y48" s="36"/>
      <c r="Z48" s="36"/>
      <c r="AA48" s="36"/>
      <c r="AB48" s="36"/>
    </row>
    <row r="49" spans="1:28" ht="24" customHeight="1">
      <c r="A49" s="30" t="str">
        <f>HYPERLINK("http://www.saludcapital.gov.co/Normas_Pobl_Vulnerable/Decreto_166_de_2010.pdf","DECRETO 166")</f>
        <v>DECRETO 166</v>
      </c>
      <c r="B49" s="41">
        <v>40302</v>
      </c>
      <c r="C49" s="32" t="s">
        <v>61</v>
      </c>
      <c r="D49" s="33" t="s">
        <v>1016</v>
      </c>
      <c r="E49" s="32" t="s">
        <v>41</v>
      </c>
      <c r="F49" s="32" t="s">
        <v>97</v>
      </c>
      <c r="G49" s="147" t="s">
        <v>43</v>
      </c>
      <c r="H49" s="117" t="s">
        <v>1490</v>
      </c>
      <c r="I49" s="35"/>
      <c r="J49" s="36"/>
      <c r="K49" s="36"/>
      <c r="L49" s="36"/>
      <c r="M49" s="36"/>
      <c r="N49" s="36"/>
      <c r="O49" s="36"/>
      <c r="P49" s="36"/>
      <c r="Q49" s="36"/>
      <c r="R49" s="36"/>
      <c r="S49" s="36"/>
      <c r="T49" s="36"/>
      <c r="U49" s="36"/>
      <c r="V49" s="36"/>
      <c r="W49" s="36"/>
      <c r="X49" s="36"/>
      <c r="Y49" s="36"/>
      <c r="Z49" s="36"/>
      <c r="AA49" s="36"/>
      <c r="AB49" s="36"/>
    </row>
    <row r="50" spans="1:28" ht="24" customHeight="1">
      <c r="A50" s="30" t="str">
        <f>HYPERLINK("https://www.alcaldiabogota.gov.co/sisjur/normas/Norma1.jsp?i=40243&amp;dt=S","DECRETO 345")</f>
        <v>DECRETO 345</v>
      </c>
      <c r="B50" s="41">
        <v>40408</v>
      </c>
      <c r="C50" s="32" t="s">
        <v>61</v>
      </c>
      <c r="D50" s="33" t="s">
        <v>1707</v>
      </c>
      <c r="E50" s="32" t="s">
        <v>41</v>
      </c>
      <c r="F50" s="32" t="s">
        <v>97</v>
      </c>
      <c r="G50" s="147" t="s">
        <v>43</v>
      </c>
      <c r="H50" s="117" t="s">
        <v>1490</v>
      </c>
      <c r="I50" s="35"/>
      <c r="J50" s="36"/>
      <c r="K50" s="36"/>
      <c r="L50" s="36"/>
      <c r="M50" s="36"/>
      <c r="N50" s="36"/>
      <c r="O50" s="36"/>
      <c r="P50" s="36"/>
      <c r="Q50" s="36"/>
      <c r="R50" s="36"/>
      <c r="S50" s="36"/>
      <c r="T50" s="36"/>
      <c r="U50" s="36"/>
      <c r="V50" s="36"/>
      <c r="W50" s="36"/>
      <c r="X50" s="36"/>
      <c r="Y50" s="36"/>
      <c r="Z50" s="36"/>
      <c r="AA50" s="36"/>
      <c r="AB50" s="36"/>
    </row>
    <row r="51" spans="1:28" ht="24" customHeight="1">
      <c r="A51" s="30" t="str">
        <f>HYPERLINK("https://www.alcaldiabogota.gov.co/sisjur/normas/Norma1.jsp?i=44762&amp;dt=S","DECRETO 520")</f>
        <v>DECRETO 520</v>
      </c>
      <c r="B51" s="286">
        <v>40871</v>
      </c>
      <c r="C51" s="32" t="s">
        <v>61</v>
      </c>
      <c r="D51" s="268" t="s">
        <v>2955</v>
      </c>
      <c r="E51" s="32" t="s">
        <v>41</v>
      </c>
      <c r="F51" s="32" t="s">
        <v>97</v>
      </c>
      <c r="G51" s="147" t="s">
        <v>43</v>
      </c>
      <c r="H51" s="117" t="s">
        <v>1490</v>
      </c>
      <c r="I51" s="35"/>
      <c r="J51" s="36"/>
      <c r="K51" s="36"/>
      <c r="L51" s="36"/>
      <c r="M51" s="36"/>
      <c r="N51" s="36"/>
      <c r="O51" s="36"/>
      <c r="P51" s="36"/>
      <c r="Q51" s="36"/>
      <c r="R51" s="36"/>
      <c r="S51" s="36"/>
      <c r="T51" s="36"/>
      <c r="U51" s="36"/>
      <c r="V51" s="36"/>
      <c r="W51" s="36"/>
      <c r="X51" s="36"/>
      <c r="Y51" s="36"/>
      <c r="Z51" s="36"/>
      <c r="AA51" s="36"/>
      <c r="AB51" s="36"/>
    </row>
    <row r="52" spans="1:28" ht="24" customHeight="1">
      <c r="A52" s="30" t="str">
        <f>HYPERLINK("https://www.alcaldiabogota.gov.co/sisjur/normas/Norma1.jsp?i=44832&amp;dt=S","DECRETO 543")</f>
        <v>DECRETO 543</v>
      </c>
      <c r="B52" s="286">
        <v>40879</v>
      </c>
      <c r="C52" s="32" t="s">
        <v>61</v>
      </c>
      <c r="D52" s="33" t="s">
        <v>1711</v>
      </c>
      <c r="E52" s="32" t="s">
        <v>41</v>
      </c>
      <c r="F52" s="32" t="s">
        <v>97</v>
      </c>
      <c r="G52" s="147" t="s">
        <v>43</v>
      </c>
      <c r="H52" s="117" t="s">
        <v>1490</v>
      </c>
      <c r="I52" s="35"/>
      <c r="J52" s="36"/>
      <c r="K52" s="36"/>
      <c r="L52" s="36"/>
      <c r="M52" s="36"/>
      <c r="N52" s="36"/>
      <c r="O52" s="36"/>
      <c r="P52" s="36"/>
      <c r="Q52" s="36"/>
      <c r="R52" s="36"/>
      <c r="S52" s="36"/>
      <c r="T52" s="36"/>
      <c r="U52" s="36"/>
      <c r="V52" s="36"/>
      <c r="W52" s="36"/>
      <c r="X52" s="36"/>
      <c r="Y52" s="36"/>
      <c r="Z52" s="36"/>
      <c r="AA52" s="36"/>
      <c r="AB52" s="36"/>
    </row>
    <row r="53" spans="1:28" ht="24" customHeight="1">
      <c r="A53" s="269" t="str">
        <f>HYPERLINK("https://www.alcaldiabogota.gov.co/sisjur/normas/Norma1.jsp?i=44836","DECRETO 544")</f>
        <v>DECRETO 544</v>
      </c>
      <c r="B53" s="286">
        <v>40879</v>
      </c>
      <c r="C53" s="32" t="s">
        <v>61</v>
      </c>
      <c r="D53" s="33" t="s">
        <v>1026</v>
      </c>
      <c r="E53" s="32" t="s">
        <v>41</v>
      </c>
      <c r="F53" s="32" t="s">
        <v>97</v>
      </c>
      <c r="G53" s="147" t="s">
        <v>43</v>
      </c>
      <c r="H53" s="117" t="s">
        <v>1490</v>
      </c>
      <c r="I53" s="35"/>
      <c r="J53" s="36"/>
      <c r="K53" s="36"/>
      <c r="L53" s="36"/>
      <c r="M53" s="36"/>
      <c r="N53" s="36"/>
      <c r="O53" s="36"/>
      <c r="P53" s="36"/>
      <c r="Q53" s="36"/>
      <c r="R53" s="36"/>
      <c r="S53" s="36"/>
      <c r="T53" s="36"/>
      <c r="U53" s="36"/>
      <c r="V53" s="36"/>
      <c r="W53" s="36"/>
      <c r="X53" s="36"/>
      <c r="Y53" s="36"/>
      <c r="Z53" s="36"/>
      <c r="AA53" s="36"/>
      <c r="AB53" s="36"/>
    </row>
    <row r="54" spans="1:28" ht="48" customHeight="1">
      <c r="A54" s="30" t="str">
        <f>HYPERLINK("https://www.alcaldiabogota.gov.co/sisjur/normas/Norma1.jsp?i=44954","DECRETO 554")</f>
        <v>DECRETO 554</v>
      </c>
      <c r="B54" s="41">
        <v>40884</v>
      </c>
      <c r="C54" s="32" t="s">
        <v>61</v>
      </c>
      <c r="D54" s="33" t="s">
        <v>1712</v>
      </c>
      <c r="E54" s="32" t="s">
        <v>41</v>
      </c>
      <c r="F54" s="32" t="s">
        <v>97</v>
      </c>
      <c r="G54" s="147" t="s">
        <v>43</v>
      </c>
      <c r="H54" s="117" t="s">
        <v>1490</v>
      </c>
      <c r="I54" s="35"/>
      <c r="J54" s="36"/>
      <c r="K54" s="36"/>
      <c r="L54" s="36"/>
      <c r="M54" s="36"/>
      <c r="N54" s="36"/>
      <c r="O54" s="36"/>
      <c r="P54" s="36"/>
      <c r="Q54" s="36"/>
      <c r="R54" s="36"/>
      <c r="S54" s="36"/>
      <c r="T54" s="36"/>
      <c r="U54" s="36"/>
      <c r="V54" s="36"/>
      <c r="W54" s="36"/>
      <c r="X54" s="36"/>
      <c r="Y54" s="36"/>
      <c r="Z54" s="36"/>
      <c r="AA54" s="36"/>
      <c r="AB54" s="36"/>
    </row>
    <row r="55" spans="1:28" ht="24" customHeight="1">
      <c r="A55" s="269" t="str">
        <f>HYPERLINK("https://www.alcaldiabogota.gov.co/sisjur/normas/Norma1.jsp?i=44834","DECRETO 545")</f>
        <v>DECRETO 545</v>
      </c>
      <c r="B55" s="41">
        <v>40849</v>
      </c>
      <c r="C55" s="32" t="s">
        <v>61</v>
      </c>
      <c r="D55" s="33" t="s">
        <v>1028</v>
      </c>
      <c r="E55" s="32" t="s">
        <v>41</v>
      </c>
      <c r="F55" s="32" t="s">
        <v>97</v>
      </c>
      <c r="G55" s="147" t="s">
        <v>43</v>
      </c>
      <c r="H55" s="117" t="s">
        <v>1490</v>
      </c>
      <c r="I55" s="35"/>
      <c r="J55" s="36"/>
      <c r="K55" s="36"/>
      <c r="L55" s="36"/>
      <c r="M55" s="36"/>
      <c r="N55" s="36"/>
      <c r="O55" s="36"/>
      <c r="P55" s="36"/>
      <c r="Q55" s="36"/>
      <c r="R55" s="36"/>
      <c r="S55" s="36"/>
      <c r="T55" s="36"/>
      <c r="U55" s="36"/>
      <c r="V55" s="36"/>
      <c r="W55" s="36"/>
      <c r="X55" s="36"/>
      <c r="Y55" s="36"/>
      <c r="Z55" s="36"/>
      <c r="AA55" s="36"/>
      <c r="AB55" s="36"/>
    </row>
    <row r="56" spans="1:28" ht="24" customHeight="1">
      <c r="A56" s="30" t="str">
        <f>HYPERLINK("https://www.alcaldiabogota.gov.co/sisjur/normas/Norma1.jsp?i=45063","DECRETO 4800")</f>
        <v>DECRETO 4800</v>
      </c>
      <c r="B56" s="286">
        <v>40897</v>
      </c>
      <c r="C56" s="32" t="s">
        <v>520</v>
      </c>
      <c r="D56" s="33" t="s">
        <v>1720</v>
      </c>
      <c r="E56" s="32" t="s">
        <v>41</v>
      </c>
      <c r="F56" s="32" t="s">
        <v>97</v>
      </c>
      <c r="G56" s="147" t="s">
        <v>43</v>
      </c>
      <c r="H56" s="117" t="s">
        <v>1490</v>
      </c>
      <c r="I56" s="35"/>
      <c r="J56" s="36"/>
      <c r="K56" s="36"/>
      <c r="L56" s="36"/>
      <c r="M56" s="36"/>
      <c r="N56" s="36"/>
      <c r="O56" s="36"/>
      <c r="P56" s="36"/>
      <c r="Q56" s="36"/>
      <c r="R56" s="36"/>
      <c r="S56" s="36"/>
      <c r="T56" s="36"/>
      <c r="U56" s="36"/>
      <c r="V56" s="36"/>
      <c r="W56" s="36"/>
      <c r="X56" s="36"/>
      <c r="Y56" s="36"/>
      <c r="Z56" s="36"/>
      <c r="AA56" s="36"/>
      <c r="AB56" s="36"/>
    </row>
    <row r="57" spans="1:28" ht="24" customHeight="1">
      <c r="A57" s="291" t="str">
        <f>HYPERLINK("http://www.saludcapital.gov.co/DocumentosPoliticasEnSalud/Pol%C3%ADtica%20P%C3%BAblica%20Distrital%20para%20los%20grupos%20%C3%A9tnicos.pdf","DECRETO 582")</f>
        <v>DECRETO 582</v>
      </c>
      <c r="B57" s="41">
        <v>40892</v>
      </c>
      <c r="C57" s="264" t="s">
        <v>61</v>
      </c>
      <c r="D57" s="268" t="s">
        <v>2956</v>
      </c>
      <c r="E57" s="264" t="s">
        <v>41</v>
      </c>
      <c r="F57" s="264" t="s">
        <v>97</v>
      </c>
      <c r="G57" s="147"/>
      <c r="H57" s="117"/>
      <c r="I57" s="35"/>
      <c r="J57" s="36"/>
      <c r="K57" s="36"/>
      <c r="L57" s="36"/>
      <c r="M57" s="36"/>
      <c r="N57" s="36"/>
      <c r="O57" s="36"/>
      <c r="P57" s="36"/>
      <c r="Q57" s="36"/>
      <c r="R57" s="36"/>
      <c r="S57" s="36"/>
      <c r="T57" s="36"/>
      <c r="U57" s="36"/>
      <c r="V57" s="36"/>
      <c r="W57" s="36"/>
      <c r="X57" s="36"/>
      <c r="Y57" s="36"/>
      <c r="Z57" s="36"/>
      <c r="AA57" s="36"/>
      <c r="AB57" s="36"/>
    </row>
    <row r="58" spans="1:28" ht="24" customHeight="1">
      <c r="A58" s="291" t="str">
        <f>HYPERLINK("http://legal.legis.com.co/document/Index?obra=legcol&amp;document=legcol_b374e772a2d601ece0430a01015101ec","DECRETO 499")</f>
        <v>DECRETO 499</v>
      </c>
      <c r="B58" s="41">
        <v>40858</v>
      </c>
      <c r="C58" s="264" t="s">
        <v>61</v>
      </c>
      <c r="D58" s="268" t="s">
        <v>2957</v>
      </c>
      <c r="E58" s="264" t="s">
        <v>41</v>
      </c>
      <c r="F58" s="264" t="s">
        <v>97</v>
      </c>
      <c r="G58" s="147"/>
      <c r="H58" s="117"/>
      <c r="I58" s="35"/>
      <c r="J58" s="36"/>
      <c r="K58" s="36"/>
      <c r="L58" s="36"/>
      <c r="M58" s="36"/>
      <c r="N58" s="36"/>
      <c r="O58" s="36"/>
      <c r="P58" s="36"/>
      <c r="Q58" s="36"/>
      <c r="R58" s="36"/>
      <c r="S58" s="36"/>
      <c r="T58" s="36"/>
      <c r="U58" s="36"/>
      <c r="V58" s="36"/>
      <c r="W58" s="36"/>
      <c r="X58" s="36"/>
      <c r="Y58" s="36"/>
      <c r="Z58" s="36"/>
      <c r="AA58" s="36"/>
      <c r="AB58" s="36"/>
    </row>
    <row r="59" spans="1:28" ht="24" customHeight="1">
      <c r="A59" s="291" t="str">
        <f>HYPERLINK("https://www.minsalud.gov.co/sites/rid/Lists/BibliotecaDigital/RIDE/INEC/IGUB/presidencia-decreto-2957-de-2010.pdf","DECRETO 2957")</f>
        <v>DECRETO 2957</v>
      </c>
      <c r="B59" s="41">
        <v>40761</v>
      </c>
      <c r="C59" s="32" t="s">
        <v>57</v>
      </c>
      <c r="D59" s="268" t="s">
        <v>2958</v>
      </c>
      <c r="E59" s="264" t="s">
        <v>41</v>
      </c>
      <c r="F59" s="264" t="s">
        <v>97</v>
      </c>
      <c r="G59" s="147"/>
      <c r="H59" s="117"/>
      <c r="I59" s="35"/>
      <c r="J59" s="36"/>
      <c r="K59" s="36"/>
      <c r="L59" s="36"/>
      <c r="M59" s="36"/>
      <c r="N59" s="36"/>
      <c r="O59" s="36"/>
      <c r="P59" s="36"/>
      <c r="Q59" s="36"/>
      <c r="R59" s="36"/>
      <c r="S59" s="36"/>
      <c r="T59" s="36"/>
      <c r="U59" s="36"/>
      <c r="V59" s="36"/>
      <c r="W59" s="36"/>
      <c r="X59" s="36"/>
      <c r="Y59" s="36"/>
      <c r="Z59" s="36"/>
      <c r="AA59" s="36"/>
      <c r="AB59" s="36"/>
    </row>
    <row r="60" spans="1:28" ht="24" customHeight="1">
      <c r="A60" s="30" t="str">
        <f>HYPERLINK("https://www.alcaldiabogota.gov.co/sisjur/normas/Norma1.jsp?i=47809","DECRETO 1258")</f>
        <v>DECRETO 1258</v>
      </c>
      <c r="B60" s="41">
        <v>41074</v>
      </c>
      <c r="C60" s="32" t="s">
        <v>57</v>
      </c>
      <c r="D60" s="33" t="s">
        <v>1722</v>
      </c>
      <c r="E60" s="32" t="s">
        <v>41</v>
      </c>
      <c r="F60" s="32" t="s">
        <v>97</v>
      </c>
      <c r="G60" s="147" t="s">
        <v>43</v>
      </c>
      <c r="H60" s="117" t="s">
        <v>1490</v>
      </c>
      <c r="I60" s="35"/>
      <c r="J60" s="36"/>
      <c r="K60" s="36"/>
      <c r="L60" s="36"/>
      <c r="M60" s="36"/>
      <c r="N60" s="36"/>
      <c r="O60" s="36"/>
      <c r="P60" s="36"/>
      <c r="Q60" s="36"/>
      <c r="R60" s="36"/>
      <c r="S60" s="36"/>
      <c r="T60" s="36"/>
      <c r="U60" s="36"/>
      <c r="V60" s="36"/>
      <c r="W60" s="36"/>
      <c r="X60" s="36"/>
      <c r="Y60" s="36"/>
      <c r="Z60" s="36"/>
      <c r="AA60" s="36"/>
      <c r="AB60" s="36"/>
    </row>
    <row r="61" spans="1:28" ht="24" customHeight="1">
      <c r="A61" s="30" t="str">
        <f>HYPERLINK("https://www.alcaldiabogota.gov.co/sisjur/normas/Norma1.jsp?i=54978","DECRETO 456")</f>
        <v>DECRETO 456</v>
      </c>
      <c r="B61" s="38">
        <v>41558</v>
      </c>
      <c r="C61" s="32" t="s">
        <v>61</v>
      </c>
      <c r="D61" s="33" t="s">
        <v>547</v>
      </c>
      <c r="E61" s="32" t="s">
        <v>41</v>
      </c>
      <c r="F61" s="32" t="s">
        <v>97</v>
      </c>
      <c r="G61" s="147" t="s">
        <v>43</v>
      </c>
      <c r="H61" s="117" t="s">
        <v>1490</v>
      </c>
      <c r="I61" s="35"/>
      <c r="J61" s="36"/>
      <c r="K61" s="36"/>
      <c r="L61" s="36"/>
      <c r="M61" s="36"/>
      <c r="N61" s="36"/>
      <c r="O61" s="36"/>
      <c r="P61" s="36"/>
      <c r="Q61" s="36"/>
      <c r="R61" s="36"/>
      <c r="S61" s="36"/>
      <c r="T61" s="36"/>
      <c r="U61" s="36"/>
      <c r="V61" s="36"/>
      <c r="W61" s="36"/>
      <c r="X61" s="36"/>
      <c r="Y61" s="36"/>
      <c r="Z61" s="36"/>
      <c r="AA61" s="36"/>
      <c r="AB61" s="36"/>
    </row>
    <row r="62" spans="1:28" ht="84" customHeight="1">
      <c r="A62" s="30" t="str">
        <f>HYPERLINK("https://www.alcaldiabogota.gov.co/sisjur/normas/Norma1.jsp?i=56034","DECRETO 599")</f>
        <v>DECRETO 599</v>
      </c>
      <c r="B62" s="286">
        <v>41634</v>
      </c>
      <c r="C62" s="32" t="s">
        <v>61</v>
      </c>
      <c r="D62" s="33" t="s">
        <v>1723</v>
      </c>
      <c r="E62" s="32" t="s">
        <v>41</v>
      </c>
      <c r="F62" s="32" t="s">
        <v>97</v>
      </c>
      <c r="G62" s="147" t="s">
        <v>43</v>
      </c>
      <c r="H62" s="117" t="s">
        <v>1490</v>
      </c>
      <c r="I62" s="35"/>
      <c r="J62" s="36"/>
      <c r="K62" s="36"/>
      <c r="L62" s="36"/>
      <c r="M62" s="36"/>
      <c r="N62" s="36"/>
      <c r="O62" s="36"/>
      <c r="P62" s="36"/>
      <c r="Q62" s="36"/>
      <c r="R62" s="36"/>
      <c r="S62" s="36"/>
      <c r="T62" s="36"/>
      <c r="U62" s="36"/>
      <c r="V62" s="36"/>
      <c r="W62" s="36"/>
      <c r="X62" s="36"/>
      <c r="Y62" s="36"/>
      <c r="Z62" s="36"/>
      <c r="AA62" s="36"/>
      <c r="AB62" s="36"/>
    </row>
    <row r="63" spans="1:28" ht="24" customHeight="1">
      <c r="A63" s="30" t="str">
        <f>HYPERLINK("https://www.funcionpublica.gov.co/eva/gestornormativo/norma.php?i=56210","DECRETO 3011")</f>
        <v>DECRETO 3011</v>
      </c>
      <c r="B63" s="286">
        <v>41634</v>
      </c>
      <c r="C63" s="32" t="s">
        <v>520</v>
      </c>
      <c r="D63" s="33" t="s">
        <v>1725</v>
      </c>
      <c r="E63" s="32" t="s">
        <v>41</v>
      </c>
      <c r="F63" s="32" t="s">
        <v>97</v>
      </c>
      <c r="G63" s="147" t="s">
        <v>43</v>
      </c>
      <c r="H63" s="117" t="s">
        <v>1490</v>
      </c>
      <c r="I63" s="35"/>
      <c r="J63" s="36"/>
      <c r="K63" s="36"/>
      <c r="L63" s="36"/>
      <c r="M63" s="36"/>
      <c r="N63" s="36"/>
      <c r="O63" s="36"/>
      <c r="P63" s="36"/>
      <c r="Q63" s="36"/>
      <c r="R63" s="36"/>
      <c r="S63" s="36"/>
      <c r="T63" s="36"/>
      <c r="U63" s="36"/>
      <c r="V63" s="36"/>
      <c r="W63" s="36"/>
      <c r="X63" s="36"/>
      <c r="Y63" s="36"/>
      <c r="Z63" s="36"/>
      <c r="AA63" s="36"/>
      <c r="AB63" s="36"/>
    </row>
    <row r="64" spans="1:28" ht="60" customHeight="1">
      <c r="A64" s="30" t="str">
        <f>HYPERLINK("https://www.funcionpublica.gov.co/eva/gestornormativo/norma.php?i=62866","DECRETO 1083")</f>
        <v>DECRETO 1083</v>
      </c>
      <c r="B64" s="41">
        <v>42150</v>
      </c>
      <c r="C64" s="32" t="s">
        <v>57</v>
      </c>
      <c r="D64" s="33" t="s">
        <v>1727</v>
      </c>
      <c r="E64" s="32" t="s">
        <v>1728</v>
      </c>
      <c r="F64" s="32" t="s">
        <v>1729</v>
      </c>
      <c r="G64" s="147" t="s">
        <v>43</v>
      </c>
      <c r="H64" s="117" t="s">
        <v>1490</v>
      </c>
      <c r="I64" s="35"/>
      <c r="J64" s="36"/>
      <c r="K64" s="36"/>
      <c r="L64" s="36"/>
      <c r="M64" s="36"/>
      <c r="N64" s="36"/>
      <c r="O64" s="36"/>
      <c r="P64" s="36"/>
      <c r="Q64" s="36"/>
      <c r="R64" s="36"/>
      <c r="S64" s="36"/>
      <c r="T64" s="36"/>
      <c r="U64" s="36"/>
      <c r="V64" s="36"/>
      <c r="W64" s="36"/>
      <c r="X64" s="36"/>
      <c r="Y64" s="36"/>
      <c r="Z64" s="36"/>
      <c r="AA64" s="36"/>
      <c r="AB64" s="36"/>
    </row>
    <row r="65" spans="1:28" ht="36" customHeight="1">
      <c r="A65" s="30" t="str">
        <f>HYPERLINK("https://www.alcaldiabogota.gov.co/sisjur/normas/Norma1.jsp?i=64210&amp;dt=S","DECRETO 560")</f>
        <v>DECRETO 560</v>
      </c>
      <c r="B65" s="286">
        <v>42359</v>
      </c>
      <c r="C65" s="32" t="s">
        <v>61</v>
      </c>
      <c r="D65" s="33" t="s">
        <v>1731</v>
      </c>
      <c r="E65" s="32" t="s">
        <v>41</v>
      </c>
      <c r="F65" s="32" t="s">
        <v>97</v>
      </c>
      <c r="G65" s="147" t="s">
        <v>43</v>
      </c>
      <c r="H65" s="117" t="s">
        <v>1490</v>
      </c>
      <c r="I65" s="35"/>
      <c r="J65" s="36"/>
      <c r="K65" s="36"/>
      <c r="L65" s="36"/>
      <c r="M65" s="36"/>
      <c r="N65" s="36"/>
      <c r="O65" s="36"/>
      <c r="P65" s="36"/>
      <c r="Q65" s="36"/>
      <c r="R65" s="36"/>
      <c r="S65" s="36"/>
      <c r="T65" s="36"/>
      <c r="U65" s="36"/>
      <c r="V65" s="36"/>
      <c r="W65" s="36"/>
      <c r="X65" s="36"/>
      <c r="Y65" s="36"/>
      <c r="Z65" s="36"/>
      <c r="AA65" s="36"/>
      <c r="AB65" s="36"/>
    </row>
    <row r="66" spans="1:28" ht="84" customHeight="1">
      <c r="A66" s="30" t="str">
        <f>HYPERLINK("https://www.alcaldiabogota.gov.co/sisjur/normas/Norma1.jsp?i=67805","DECRETO 622")</f>
        <v>DECRETO 622</v>
      </c>
      <c r="B66" s="286">
        <v>42727</v>
      </c>
      <c r="C66" s="32" t="s">
        <v>61</v>
      </c>
      <c r="D66" s="33" t="s">
        <v>1552</v>
      </c>
      <c r="E66" s="32" t="s">
        <v>41</v>
      </c>
      <c r="F66" s="32" t="s">
        <v>97</v>
      </c>
      <c r="G66" s="147" t="s">
        <v>43</v>
      </c>
      <c r="H66" s="117" t="s">
        <v>1490</v>
      </c>
      <c r="I66" s="35"/>
      <c r="J66" s="36"/>
      <c r="K66" s="36"/>
      <c r="L66" s="36"/>
      <c r="M66" s="36"/>
      <c r="N66" s="36"/>
      <c r="O66" s="36"/>
      <c r="P66" s="36"/>
      <c r="Q66" s="36"/>
      <c r="R66" s="36"/>
      <c r="S66" s="36"/>
      <c r="T66" s="36"/>
      <c r="U66" s="36"/>
      <c r="V66" s="36"/>
      <c r="W66" s="36"/>
      <c r="X66" s="36"/>
      <c r="Y66" s="36"/>
      <c r="Z66" s="36"/>
      <c r="AA66" s="36"/>
      <c r="AB66" s="36"/>
    </row>
    <row r="67" spans="1:28" ht="48" customHeight="1">
      <c r="A67" s="291" t="str">
        <f>HYPERLINK("http://legal.legis.com.co/document/Index?obra=legcol&amp;document=legcol_10dc7a82821948afb7743ac578280d9d","DECRETO 557")</f>
        <v>DECRETO 557</v>
      </c>
      <c r="B67" s="41">
        <v>43370</v>
      </c>
      <c r="C67" s="264" t="s">
        <v>61</v>
      </c>
      <c r="D67" s="268" t="s">
        <v>105</v>
      </c>
      <c r="E67" s="264" t="s">
        <v>41</v>
      </c>
      <c r="F67" s="264" t="s">
        <v>97</v>
      </c>
      <c r="G67" s="147"/>
      <c r="H67" s="117"/>
      <c r="I67" s="35"/>
      <c r="J67" s="36"/>
      <c r="K67" s="36"/>
      <c r="L67" s="36"/>
      <c r="M67" s="36"/>
      <c r="N67" s="36"/>
      <c r="O67" s="36"/>
      <c r="P67" s="36"/>
      <c r="Q67" s="36"/>
      <c r="R67" s="36"/>
      <c r="S67" s="36"/>
      <c r="T67" s="36"/>
      <c r="U67" s="36"/>
      <c r="V67" s="36"/>
      <c r="W67" s="36"/>
      <c r="X67" s="36"/>
      <c r="Y67" s="36"/>
      <c r="Z67" s="36"/>
      <c r="AA67" s="36"/>
      <c r="AB67" s="36"/>
    </row>
    <row r="68" spans="1:28" ht="48" customHeight="1">
      <c r="A68" s="291" t="str">
        <f>HYPERLINK("https://www.culturarecreacionydeporte.gov.co/sites/default/files/2._decreto_455_de_2009-sistema_distrital_de_cultura.pdf","DECRETO 455")</f>
        <v>DECRETO 455</v>
      </c>
      <c r="B68" s="41">
        <v>40101</v>
      </c>
      <c r="C68" s="264" t="s">
        <v>61</v>
      </c>
      <c r="D68" s="268" t="s">
        <v>2959</v>
      </c>
      <c r="E68" s="264" t="s">
        <v>41</v>
      </c>
      <c r="F68" s="264" t="s">
        <v>97</v>
      </c>
      <c r="G68" s="147"/>
      <c r="H68" s="117"/>
      <c r="I68" s="35"/>
      <c r="J68" s="36"/>
      <c r="K68" s="36"/>
      <c r="L68" s="36"/>
      <c r="M68" s="36"/>
      <c r="N68" s="36"/>
      <c r="O68" s="36"/>
      <c r="P68" s="36"/>
      <c r="Q68" s="36"/>
      <c r="R68" s="36"/>
      <c r="S68" s="36"/>
      <c r="T68" s="36"/>
      <c r="U68" s="36"/>
      <c r="V68" s="36"/>
      <c r="W68" s="36"/>
      <c r="X68" s="36"/>
      <c r="Y68" s="36"/>
      <c r="Z68" s="36"/>
      <c r="AA68" s="36"/>
      <c r="AB68" s="36"/>
    </row>
    <row r="69" spans="1:28" ht="48" customHeight="1">
      <c r="A69" s="291" t="str">
        <f>HYPERLINK("https://www.alcaldiabogota.gov.co/sisjur/normas/Norma1.jsp?i=87429","DECRETO 627")</f>
        <v>DECRETO 627</v>
      </c>
      <c r="B69" s="41">
        <v>43760</v>
      </c>
      <c r="C69" s="264" t="s">
        <v>61</v>
      </c>
      <c r="D69" s="268" t="s">
        <v>2960</v>
      </c>
      <c r="E69" s="264" t="s">
        <v>41</v>
      </c>
      <c r="F69" s="264" t="s">
        <v>97</v>
      </c>
      <c r="G69" s="147"/>
      <c r="H69" s="117"/>
      <c r="I69" s="35"/>
      <c r="J69" s="36"/>
      <c r="K69" s="36"/>
      <c r="L69" s="36"/>
      <c r="M69" s="36"/>
      <c r="N69" s="36"/>
      <c r="O69" s="36"/>
      <c r="P69" s="36"/>
      <c r="Q69" s="36"/>
      <c r="R69" s="36"/>
      <c r="S69" s="36"/>
      <c r="T69" s="36"/>
      <c r="U69" s="36"/>
      <c r="V69" s="36"/>
      <c r="W69" s="36"/>
      <c r="X69" s="36"/>
      <c r="Y69" s="36"/>
      <c r="Z69" s="36"/>
      <c r="AA69" s="36"/>
      <c r="AB69" s="36"/>
    </row>
    <row r="70" spans="1:28" ht="48" customHeight="1">
      <c r="A70" s="291" t="str">
        <f>HYPERLINK("https://www.mineducacion.gov.co/1759/articles-105074_archivo_pdf.pdf","DECRETO 503")</f>
        <v>DECRETO 503</v>
      </c>
      <c r="B70" s="41">
        <v>35489</v>
      </c>
      <c r="C70" s="32" t="s">
        <v>57</v>
      </c>
      <c r="D70" s="268" t="s">
        <v>2961</v>
      </c>
      <c r="E70" s="264" t="s">
        <v>41</v>
      </c>
      <c r="F70" s="264" t="s">
        <v>97</v>
      </c>
      <c r="G70" s="147"/>
      <c r="H70" s="117"/>
      <c r="I70" s="35"/>
      <c r="J70" s="36"/>
      <c r="K70" s="36"/>
      <c r="L70" s="36"/>
      <c r="M70" s="36"/>
      <c r="N70" s="36"/>
      <c r="O70" s="36"/>
      <c r="P70" s="36"/>
      <c r="Q70" s="36"/>
      <c r="R70" s="36"/>
      <c r="S70" s="36"/>
      <c r="T70" s="36"/>
      <c r="U70" s="36"/>
      <c r="V70" s="36"/>
      <c r="W70" s="36"/>
      <c r="X70" s="36"/>
      <c r="Y70" s="36"/>
      <c r="Z70" s="36"/>
      <c r="AA70" s="36"/>
      <c r="AB70" s="36"/>
    </row>
    <row r="71" spans="1:28" ht="48" customHeight="1">
      <c r="A71" s="30" t="str">
        <f>HYPERLINK("https://www.funcionpublica.gov.co/eva/gestornormativo/norma.php?i=69094","DECRETO 642")</f>
        <v>DECRETO 642</v>
      </c>
      <c r="B71" s="41">
        <v>42478</v>
      </c>
      <c r="C71" s="32" t="s">
        <v>57</v>
      </c>
      <c r="D71" s="33" t="s">
        <v>1734</v>
      </c>
      <c r="E71" s="32" t="s">
        <v>41</v>
      </c>
      <c r="F71" s="32" t="s">
        <v>97</v>
      </c>
      <c r="G71" s="147" t="s">
        <v>43</v>
      </c>
      <c r="H71" s="117" t="s">
        <v>1490</v>
      </c>
      <c r="I71" s="35"/>
      <c r="J71" s="36"/>
      <c r="K71" s="36"/>
      <c r="L71" s="36"/>
      <c r="M71" s="36"/>
      <c r="N71" s="36"/>
      <c r="O71" s="36"/>
      <c r="P71" s="36"/>
      <c r="Q71" s="36"/>
      <c r="R71" s="36"/>
      <c r="S71" s="36"/>
      <c r="T71" s="36"/>
      <c r="U71" s="36"/>
      <c r="V71" s="36"/>
      <c r="W71" s="36"/>
      <c r="X71" s="36"/>
      <c r="Y71" s="36"/>
      <c r="Z71" s="36"/>
      <c r="AA71" s="36"/>
      <c r="AB71" s="36"/>
    </row>
    <row r="72" spans="1:28" ht="36" customHeight="1">
      <c r="A72" s="30" t="str">
        <f>HYPERLINK("https://www.alcaldiabogota.gov.co/sisjur/normas/Norma1.jsp?i=71647&amp;dt=S","DECRETO 504")</f>
        <v>DECRETO 504</v>
      </c>
      <c r="B72" s="41">
        <v>43000</v>
      </c>
      <c r="C72" s="32" t="s">
        <v>61</v>
      </c>
      <c r="D72" s="33" t="s">
        <v>1736</v>
      </c>
      <c r="E72" s="32" t="s">
        <v>41</v>
      </c>
      <c r="F72" s="32" t="s">
        <v>97</v>
      </c>
      <c r="G72" s="147" t="s">
        <v>43</v>
      </c>
      <c r="H72" s="117" t="s">
        <v>1490</v>
      </c>
      <c r="I72" s="35"/>
      <c r="J72" s="36"/>
      <c r="K72" s="36"/>
      <c r="L72" s="36"/>
      <c r="M72" s="36"/>
      <c r="N72" s="36"/>
      <c r="O72" s="36"/>
      <c r="P72" s="36"/>
      <c r="Q72" s="36"/>
      <c r="R72" s="36"/>
      <c r="S72" s="36"/>
      <c r="T72" s="36"/>
      <c r="U72" s="36"/>
      <c r="V72" s="36"/>
      <c r="W72" s="36"/>
      <c r="X72" s="36"/>
      <c r="Y72" s="36"/>
      <c r="Z72" s="36"/>
      <c r="AA72" s="36"/>
      <c r="AB72" s="36"/>
    </row>
    <row r="73" spans="1:28" ht="36" customHeight="1">
      <c r="A73" s="291" t="str">
        <f>HYPERLINK("https://www.funcionpublica.gov.co/eva/gestornormativo/norma.php?i=87722","DECRETO 1350")</f>
        <v>DECRETO 1350</v>
      </c>
      <c r="B73" s="41">
        <v>43312</v>
      </c>
      <c r="C73" s="264" t="s">
        <v>273</v>
      </c>
      <c r="D73" s="268" t="s">
        <v>2962</v>
      </c>
      <c r="E73" s="264" t="s">
        <v>2963</v>
      </c>
      <c r="F73" s="264" t="s">
        <v>2964</v>
      </c>
      <c r="G73" s="147"/>
      <c r="H73" s="117"/>
      <c r="I73" s="35"/>
      <c r="J73" s="36"/>
      <c r="K73" s="36"/>
      <c r="L73" s="36"/>
      <c r="M73" s="36"/>
      <c r="N73" s="36"/>
      <c r="O73" s="36"/>
      <c r="P73" s="36"/>
      <c r="Q73" s="36"/>
      <c r="R73" s="36"/>
      <c r="S73" s="36"/>
      <c r="T73" s="36"/>
      <c r="U73" s="36"/>
      <c r="V73" s="36"/>
      <c r="W73" s="36"/>
      <c r="X73" s="36"/>
      <c r="Y73" s="36"/>
      <c r="Z73" s="36"/>
      <c r="AA73" s="36"/>
      <c r="AB73" s="36"/>
    </row>
    <row r="74" spans="1:28" ht="36" customHeight="1">
      <c r="A74" s="30" t="str">
        <f>HYPERLINK("https://www.alcaldiabogota.gov.co/sisjur/normas/Norma1.jsp?i=71649&amp;dt=S","DECRETO 505")</f>
        <v>DECRETO 505</v>
      </c>
      <c r="B74" s="41">
        <v>43000</v>
      </c>
      <c r="C74" s="32" t="s">
        <v>61</v>
      </c>
      <c r="D74" s="33" t="s">
        <v>1738</v>
      </c>
      <c r="E74" s="32" t="s">
        <v>41</v>
      </c>
      <c r="F74" s="32" t="s">
        <v>97</v>
      </c>
      <c r="G74" s="147" t="s">
        <v>43</v>
      </c>
      <c r="H74" s="117" t="s">
        <v>1490</v>
      </c>
      <c r="I74" s="35"/>
      <c r="J74" s="36"/>
      <c r="K74" s="36"/>
      <c r="L74" s="36"/>
      <c r="M74" s="36"/>
      <c r="N74" s="36"/>
      <c r="O74" s="36"/>
      <c r="P74" s="36"/>
      <c r="Q74" s="36"/>
      <c r="R74" s="36"/>
      <c r="S74" s="36"/>
      <c r="T74" s="36"/>
      <c r="U74" s="36"/>
      <c r="V74" s="36"/>
      <c r="W74" s="36"/>
      <c r="X74" s="36"/>
      <c r="Y74" s="36"/>
      <c r="Z74" s="36"/>
      <c r="AA74" s="36"/>
      <c r="AB74" s="36"/>
    </row>
    <row r="75" spans="1:28" ht="36" customHeight="1">
      <c r="A75" s="30" t="str">
        <f>HYPERLINK("https://www.alcaldiabogota.gov.co/sisjur/normas/Norma1.jsp?i=71630&amp;dt=S","DECRETO 506")</f>
        <v>DECRETO 506</v>
      </c>
      <c r="B75" s="41">
        <v>43000</v>
      </c>
      <c r="C75" s="32" t="s">
        <v>61</v>
      </c>
      <c r="D75" s="33" t="s">
        <v>1740</v>
      </c>
      <c r="E75" s="32" t="s">
        <v>41</v>
      </c>
      <c r="F75" s="32" t="s">
        <v>97</v>
      </c>
      <c r="G75" s="147" t="s">
        <v>43</v>
      </c>
      <c r="H75" s="117" t="s">
        <v>1490</v>
      </c>
      <c r="I75" s="35"/>
      <c r="J75" s="36"/>
      <c r="K75" s="36"/>
      <c r="L75" s="36"/>
      <c r="M75" s="36"/>
      <c r="N75" s="36"/>
      <c r="O75" s="36"/>
      <c r="P75" s="36"/>
      <c r="Q75" s="36"/>
      <c r="R75" s="36"/>
      <c r="S75" s="36"/>
      <c r="T75" s="36"/>
      <c r="U75" s="36"/>
      <c r="V75" s="36"/>
      <c r="W75" s="36"/>
      <c r="X75" s="36"/>
      <c r="Y75" s="36"/>
      <c r="Z75" s="36"/>
      <c r="AA75" s="36"/>
      <c r="AB75" s="36"/>
    </row>
    <row r="76" spans="1:28" ht="48" customHeight="1">
      <c r="A76" s="30" t="str">
        <f>HYPERLINK("https://www.alcaldiabogota.gov.co/sisjur/normas/Norma1.jsp?i=71632&amp;dt=S","DECRETO  507")</f>
        <v>DECRETO  507</v>
      </c>
      <c r="B76" s="41">
        <v>43000</v>
      </c>
      <c r="C76" s="32" t="s">
        <v>61</v>
      </c>
      <c r="D76" s="33" t="s">
        <v>1742</v>
      </c>
      <c r="E76" s="32" t="s">
        <v>41</v>
      </c>
      <c r="F76" s="32" t="s">
        <v>97</v>
      </c>
      <c r="G76" s="147" t="s">
        <v>43</v>
      </c>
      <c r="H76" s="117" t="s">
        <v>1490</v>
      </c>
      <c r="I76" s="35"/>
      <c r="J76" s="36"/>
      <c r="K76" s="36"/>
      <c r="L76" s="36"/>
      <c r="M76" s="36"/>
      <c r="N76" s="36"/>
      <c r="O76" s="36"/>
      <c r="P76" s="36"/>
      <c r="Q76" s="36"/>
      <c r="R76" s="36"/>
      <c r="S76" s="36"/>
      <c r="T76" s="36"/>
      <c r="U76" s="36"/>
      <c r="V76" s="36"/>
      <c r="W76" s="36"/>
      <c r="X76" s="36"/>
      <c r="Y76" s="36"/>
      <c r="Z76" s="36"/>
      <c r="AA76" s="36"/>
      <c r="AB76" s="36"/>
    </row>
    <row r="77" spans="1:28" ht="48" customHeight="1">
      <c r="A77" s="269" t="str">
        <f>HYPERLINK("https://www.alcaldiabogota.gov.co/sisjur/normas/Norma1.jsp?i=80504","DECRETO 480")</f>
        <v>DECRETO 480</v>
      </c>
      <c r="B77" s="41">
        <v>43329</v>
      </c>
      <c r="C77" s="32" t="s">
        <v>61</v>
      </c>
      <c r="D77" s="33" t="s">
        <v>1742</v>
      </c>
      <c r="E77" s="32" t="s">
        <v>1745</v>
      </c>
      <c r="F77" s="32" t="s">
        <v>1746</v>
      </c>
      <c r="G77" s="147" t="s">
        <v>43</v>
      </c>
      <c r="H77" s="117" t="s">
        <v>1490</v>
      </c>
      <c r="I77" s="35"/>
      <c r="J77" s="36"/>
      <c r="K77" s="36"/>
      <c r="L77" s="36"/>
      <c r="M77" s="36"/>
      <c r="N77" s="36"/>
      <c r="O77" s="36"/>
      <c r="P77" s="36"/>
      <c r="Q77" s="36"/>
      <c r="R77" s="36"/>
      <c r="S77" s="36"/>
      <c r="T77" s="36"/>
      <c r="U77" s="36"/>
      <c r="V77" s="36"/>
      <c r="W77" s="36"/>
      <c r="X77" s="36"/>
      <c r="Y77" s="36"/>
      <c r="Z77" s="36"/>
      <c r="AA77" s="36"/>
      <c r="AB77" s="36"/>
    </row>
    <row r="78" spans="1:28" ht="48" customHeight="1">
      <c r="A78" s="30" t="str">
        <f>HYPERLINK("https://www.alcaldiabogota.gov.co/sisjur/normas/Norma1.jsp?i=80554&amp;dt=S","DECRETO 483")</f>
        <v>DECRETO 483</v>
      </c>
      <c r="B78" s="41">
        <v>43329</v>
      </c>
      <c r="C78" s="32" t="s">
        <v>61</v>
      </c>
      <c r="D78" s="33" t="s">
        <v>1747</v>
      </c>
      <c r="E78" s="32" t="s">
        <v>41</v>
      </c>
      <c r="F78" s="32" t="s">
        <v>97</v>
      </c>
      <c r="G78" s="147" t="s">
        <v>43</v>
      </c>
      <c r="H78" s="117" t="s">
        <v>1490</v>
      </c>
      <c r="I78" s="35"/>
      <c r="J78" s="36"/>
      <c r="K78" s="36"/>
      <c r="L78" s="36"/>
      <c r="M78" s="36"/>
      <c r="N78" s="36"/>
      <c r="O78" s="36"/>
      <c r="P78" s="36"/>
      <c r="Q78" s="36"/>
      <c r="R78" s="36"/>
      <c r="S78" s="36"/>
      <c r="T78" s="36"/>
      <c r="U78" s="36"/>
      <c r="V78" s="36"/>
      <c r="W78" s="36"/>
      <c r="X78" s="36"/>
      <c r="Y78" s="36"/>
      <c r="Z78" s="36"/>
      <c r="AA78" s="36"/>
      <c r="AB78" s="36"/>
    </row>
    <row r="79" spans="1:28" ht="48" customHeight="1">
      <c r="A79" s="30" t="str">
        <f>HYPERLINK("https://www.alcaldiabogota.gov.co/sisjur/normas/Norma1.jsp?i=1919&amp;dt=S","DECRETO 604")</f>
        <v>DECRETO 604</v>
      </c>
      <c r="B79" s="41">
        <v>35647</v>
      </c>
      <c r="C79" s="32" t="s">
        <v>195</v>
      </c>
      <c r="D79" s="33" t="s">
        <v>2965</v>
      </c>
      <c r="E79" s="32" t="s">
        <v>41</v>
      </c>
      <c r="F79" s="32" t="s">
        <v>97</v>
      </c>
      <c r="G79" s="147"/>
      <c r="H79" s="117"/>
      <c r="I79" s="35"/>
      <c r="J79" s="36"/>
      <c r="K79" s="36"/>
      <c r="L79" s="36"/>
      <c r="M79" s="36"/>
      <c r="N79" s="36"/>
      <c r="O79" s="36"/>
      <c r="P79" s="36"/>
      <c r="Q79" s="36"/>
      <c r="R79" s="36"/>
      <c r="S79" s="36"/>
      <c r="T79" s="36"/>
      <c r="U79" s="36"/>
      <c r="V79" s="36"/>
      <c r="W79" s="36"/>
      <c r="X79" s="36"/>
      <c r="Y79" s="36"/>
      <c r="Z79" s="36"/>
      <c r="AA79" s="36"/>
      <c r="AB79" s="36"/>
    </row>
    <row r="80" spans="1:28" ht="48" customHeight="1">
      <c r="A80" s="30" t="str">
        <f>HYPERLINK("https://www.alcaldiabogota.gov.co/sisjur/normas/Norma1.jsp?i=1605&amp;dt=S","DECRETO 936")</f>
        <v>DECRETO 936</v>
      </c>
      <c r="B80" s="41">
        <v>36108</v>
      </c>
      <c r="C80" s="32" t="s">
        <v>195</v>
      </c>
      <c r="D80" s="33" t="s">
        <v>2966</v>
      </c>
      <c r="E80" s="32" t="s">
        <v>41</v>
      </c>
      <c r="F80" s="32" t="s">
        <v>97</v>
      </c>
      <c r="G80" s="147"/>
      <c r="H80" s="117"/>
      <c r="I80" s="35"/>
      <c r="J80" s="36"/>
      <c r="K80" s="36"/>
      <c r="L80" s="36"/>
      <c r="M80" s="36"/>
      <c r="N80" s="36"/>
      <c r="O80" s="36"/>
      <c r="P80" s="36"/>
      <c r="Q80" s="36"/>
      <c r="R80" s="36"/>
      <c r="S80" s="36"/>
      <c r="T80" s="36"/>
      <c r="U80" s="36"/>
      <c r="V80" s="36"/>
      <c r="W80" s="36"/>
      <c r="X80" s="36"/>
      <c r="Y80" s="36"/>
      <c r="Z80" s="36"/>
      <c r="AA80" s="36"/>
      <c r="AB80" s="36"/>
    </row>
    <row r="81" spans="1:28" ht="48" customHeight="1">
      <c r="A81" s="30" t="str">
        <f>HYPERLINK("https://www.alcaldiabogota.gov.co/sisjur/normas/Norma1.jsp?i=536&amp;dt=S","ACUERDO 06")</f>
        <v>ACUERDO 06</v>
      </c>
      <c r="B81" s="41">
        <v>35506</v>
      </c>
      <c r="C81" s="32" t="s">
        <v>195</v>
      </c>
      <c r="D81" s="33" t="s">
        <v>2967</v>
      </c>
      <c r="E81" s="32" t="s">
        <v>41</v>
      </c>
      <c r="F81" s="32" t="s">
        <v>97</v>
      </c>
      <c r="G81" s="147"/>
      <c r="H81" s="117"/>
      <c r="I81" s="35"/>
      <c r="J81" s="36"/>
      <c r="K81" s="36"/>
      <c r="L81" s="36"/>
      <c r="M81" s="36"/>
      <c r="N81" s="36"/>
      <c r="O81" s="36"/>
      <c r="P81" s="36"/>
      <c r="Q81" s="36"/>
      <c r="R81" s="36"/>
      <c r="S81" s="36"/>
      <c r="T81" s="36"/>
      <c r="U81" s="36"/>
      <c r="V81" s="36"/>
      <c r="W81" s="36"/>
      <c r="X81" s="36"/>
      <c r="Y81" s="36"/>
      <c r="Z81" s="36"/>
      <c r="AA81" s="36"/>
      <c r="AB81" s="36"/>
    </row>
    <row r="82" spans="1:28" ht="48" customHeight="1">
      <c r="A82" s="30" t="str">
        <f>HYPERLINK("https://drive.google.com/open?id=1ihq8zphH5j2M6c8goTt8decCJAyFw0_2","ACUERDO LOCAL 2")</f>
        <v>ACUERDO LOCAL 2</v>
      </c>
      <c r="B82" s="41">
        <v>36245</v>
      </c>
      <c r="C82" s="32" t="s">
        <v>1749</v>
      </c>
      <c r="D82" s="33" t="s">
        <v>1750</v>
      </c>
      <c r="E82" s="32" t="s">
        <v>41</v>
      </c>
      <c r="F82" s="32" t="s">
        <v>97</v>
      </c>
      <c r="G82" s="147" t="s">
        <v>43</v>
      </c>
      <c r="H82" s="117" t="s">
        <v>1490</v>
      </c>
      <c r="I82" s="35"/>
      <c r="J82" s="36"/>
      <c r="K82" s="36"/>
      <c r="L82" s="36"/>
      <c r="M82" s="36"/>
      <c r="N82" s="36"/>
      <c r="O82" s="36"/>
      <c r="P82" s="36"/>
      <c r="Q82" s="36"/>
      <c r="R82" s="36"/>
      <c r="S82" s="36"/>
      <c r="T82" s="36"/>
      <c r="U82" s="36"/>
      <c r="V82" s="36"/>
      <c r="W82" s="36"/>
      <c r="X82" s="36"/>
      <c r="Y82" s="36"/>
      <c r="Z82" s="36"/>
      <c r="AA82" s="36"/>
      <c r="AB82" s="36"/>
    </row>
    <row r="83" spans="1:28" ht="48" customHeight="1">
      <c r="A83" s="30" t="str">
        <f>HYPERLINK("https://drive.google.com/open?id=1naaqaNiotX7eQ6bNJbHWS8m1Rb0CaM05","ACUERDO 44")</f>
        <v>ACUERDO 44</v>
      </c>
      <c r="B83" s="41">
        <v>37251</v>
      </c>
      <c r="C83" s="32" t="s">
        <v>195</v>
      </c>
      <c r="D83" s="33" t="s">
        <v>2968</v>
      </c>
      <c r="E83" s="32" t="s">
        <v>41</v>
      </c>
      <c r="F83" s="32" t="s">
        <v>97</v>
      </c>
      <c r="G83" s="147"/>
      <c r="H83" s="117"/>
      <c r="I83" s="35"/>
      <c r="J83" s="36"/>
      <c r="K83" s="36"/>
      <c r="L83" s="36"/>
      <c r="M83" s="36"/>
      <c r="N83" s="36"/>
      <c r="O83" s="36"/>
      <c r="P83" s="36"/>
      <c r="Q83" s="36"/>
      <c r="R83" s="36"/>
      <c r="S83" s="36"/>
      <c r="T83" s="36"/>
      <c r="U83" s="36"/>
      <c r="V83" s="36"/>
      <c r="W83" s="36"/>
      <c r="X83" s="36"/>
      <c r="Y83" s="36"/>
      <c r="Z83" s="36"/>
      <c r="AA83" s="36"/>
      <c r="AB83" s="36"/>
    </row>
    <row r="84" spans="1:28" ht="48" customHeight="1">
      <c r="A84" s="30" t="str">
        <f>HYPERLINK("https://drive.google.com/open?id=1DFqZWCcAuc3k-A-M40vjuuB8RZR2rvvN","ACUERDO 70")</f>
        <v>ACUERDO 70</v>
      </c>
      <c r="B84" s="41">
        <v>37523</v>
      </c>
      <c r="C84" s="32" t="s">
        <v>195</v>
      </c>
      <c r="D84" s="39" t="s">
        <v>2969</v>
      </c>
      <c r="E84" s="32" t="s">
        <v>41</v>
      </c>
      <c r="F84" s="32" t="s">
        <v>97</v>
      </c>
      <c r="G84" s="147" t="s">
        <v>43</v>
      </c>
      <c r="H84" s="117" t="s">
        <v>1490</v>
      </c>
      <c r="I84" s="35"/>
      <c r="J84" s="36"/>
      <c r="K84" s="36"/>
      <c r="L84" s="36"/>
      <c r="M84" s="36"/>
      <c r="N84" s="36"/>
      <c r="O84" s="36"/>
      <c r="P84" s="36"/>
      <c r="Q84" s="36"/>
      <c r="R84" s="36"/>
      <c r="S84" s="36"/>
      <c r="T84" s="36"/>
      <c r="U84" s="36"/>
      <c r="V84" s="36"/>
      <c r="W84" s="36"/>
      <c r="X84" s="36"/>
      <c r="Y84" s="36"/>
      <c r="Z84" s="36"/>
      <c r="AA84" s="36"/>
      <c r="AB84" s="36"/>
    </row>
    <row r="85" spans="1:28" ht="48" customHeight="1">
      <c r="A85" s="30" t="str">
        <f>HYPERLINK("https://www.alcaldiabogota.gov.co/sisjur/normas/Norma1.jsp?i=6671","ACUERDO 79")</f>
        <v>ACUERDO 79</v>
      </c>
      <c r="B85" s="41">
        <v>37641</v>
      </c>
      <c r="C85" s="32" t="s">
        <v>195</v>
      </c>
      <c r="D85" s="33" t="s">
        <v>1272</v>
      </c>
      <c r="E85" s="32" t="s">
        <v>1754</v>
      </c>
      <c r="F85" s="32" t="s">
        <v>1755</v>
      </c>
      <c r="G85" s="147" t="s">
        <v>43</v>
      </c>
      <c r="H85" s="117" t="s">
        <v>1490</v>
      </c>
      <c r="I85" s="35"/>
      <c r="J85" s="36"/>
      <c r="K85" s="36"/>
      <c r="L85" s="36"/>
      <c r="M85" s="36"/>
      <c r="N85" s="36"/>
      <c r="O85" s="36"/>
      <c r="P85" s="36"/>
      <c r="Q85" s="36"/>
      <c r="R85" s="36"/>
      <c r="S85" s="36"/>
      <c r="T85" s="36"/>
      <c r="U85" s="36"/>
      <c r="V85" s="36"/>
      <c r="W85" s="36"/>
      <c r="X85" s="36"/>
      <c r="Y85" s="36"/>
      <c r="Z85" s="36"/>
      <c r="AA85" s="36"/>
      <c r="AB85" s="36"/>
    </row>
    <row r="86" spans="1:28" ht="48" customHeight="1">
      <c r="A86" s="30" t="str">
        <f>HYPERLINK("https://www.alcaldiabogota.gov.co/sisjur/normas/Norma1.jsp?i=15551&amp;dt=S","ACUERDO 137")</f>
        <v>ACUERDO 137</v>
      </c>
      <c r="B86" s="41">
        <v>38349</v>
      </c>
      <c r="C86" s="32" t="s">
        <v>195</v>
      </c>
      <c r="D86" s="33" t="s">
        <v>1757</v>
      </c>
      <c r="E86" s="32" t="s">
        <v>41</v>
      </c>
      <c r="F86" s="32" t="s">
        <v>1758</v>
      </c>
      <c r="G86" s="147" t="s">
        <v>43</v>
      </c>
      <c r="H86" s="117" t="s">
        <v>1490</v>
      </c>
      <c r="I86" s="35"/>
      <c r="J86" s="36"/>
      <c r="K86" s="36"/>
      <c r="L86" s="36"/>
      <c r="M86" s="36"/>
      <c r="N86" s="36"/>
      <c r="O86" s="36"/>
      <c r="P86" s="36"/>
      <c r="Q86" s="36"/>
      <c r="R86" s="36"/>
      <c r="S86" s="36"/>
      <c r="T86" s="36"/>
      <c r="U86" s="36"/>
      <c r="V86" s="36"/>
      <c r="W86" s="36"/>
      <c r="X86" s="36"/>
      <c r="Y86" s="36"/>
      <c r="Z86" s="36"/>
      <c r="AA86" s="36"/>
      <c r="AB86" s="36"/>
    </row>
    <row r="87" spans="1:28" ht="48" customHeight="1">
      <c r="A87" s="30" t="str">
        <f>HYPERLINK("https://www.alcaldiabogota.gov.co/sisjur/normas/Norma1.jsp?i=17652","ACUERDO 175")</f>
        <v>ACUERDO 175</v>
      </c>
      <c r="B87" s="41">
        <v>38714</v>
      </c>
      <c r="C87" s="32" t="s">
        <v>195</v>
      </c>
      <c r="D87" s="33" t="s">
        <v>1759</v>
      </c>
      <c r="E87" s="32" t="s">
        <v>41</v>
      </c>
      <c r="F87" s="32" t="s">
        <v>97</v>
      </c>
      <c r="G87" s="147" t="s">
        <v>43</v>
      </c>
      <c r="H87" s="117" t="s">
        <v>1490</v>
      </c>
      <c r="I87" s="35"/>
      <c r="J87" s="36"/>
      <c r="K87" s="36"/>
      <c r="L87" s="36"/>
      <c r="M87" s="36"/>
      <c r="N87" s="36"/>
      <c r="O87" s="36"/>
      <c r="P87" s="36"/>
      <c r="Q87" s="36"/>
      <c r="R87" s="36"/>
      <c r="S87" s="36"/>
      <c r="T87" s="36"/>
      <c r="U87" s="36"/>
      <c r="V87" s="36"/>
      <c r="W87" s="36"/>
      <c r="X87" s="36"/>
      <c r="Y87" s="36"/>
      <c r="Z87" s="36"/>
      <c r="AA87" s="36"/>
      <c r="AB87" s="36"/>
    </row>
    <row r="88" spans="1:28" ht="48" customHeight="1">
      <c r="A88" s="30" t="str">
        <f>HYPERLINK("https://drive.google.com/open?id=1Fe5MUydKu9r6Srh2eRfqkGg4-tf1iixz","ACUERDO 234")</f>
        <v>ACUERDO 234</v>
      </c>
      <c r="B88" s="41">
        <v>38897</v>
      </c>
      <c r="C88" s="32" t="s">
        <v>195</v>
      </c>
      <c r="D88" s="33" t="s">
        <v>1761</v>
      </c>
      <c r="E88" s="32" t="s">
        <v>41</v>
      </c>
      <c r="F88" s="32" t="s">
        <v>97</v>
      </c>
      <c r="G88" s="147" t="s">
        <v>43</v>
      </c>
      <c r="H88" s="117" t="s">
        <v>1490</v>
      </c>
      <c r="I88" s="35"/>
      <c r="J88" s="36"/>
      <c r="K88" s="36"/>
      <c r="L88" s="36"/>
      <c r="M88" s="36"/>
      <c r="N88" s="36"/>
      <c r="O88" s="36"/>
      <c r="P88" s="36"/>
      <c r="Q88" s="36"/>
      <c r="R88" s="36"/>
      <c r="S88" s="36"/>
      <c r="T88" s="36"/>
      <c r="U88" s="36"/>
      <c r="V88" s="36"/>
      <c r="W88" s="36"/>
      <c r="X88" s="36"/>
      <c r="Y88" s="36"/>
      <c r="Z88" s="36"/>
      <c r="AA88" s="36"/>
      <c r="AB88" s="36"/>
    </row>
    <row r="89" spans="1:28" ht="48" customHeight="1">
      <c r="A89" s="30" t="str">
        <f>HYPERLINK("https://www.alcaldiabogota.gov.co/sisjur/normas/Norma1.jsp?i=68752&amp;dt=S","ACUERDO 668")</f>
        <v>ACUERDO 668</v>
      </c>
      <c r="B89" s="41">
        <v>42828</v>
      </c>
      <c r="C89" s="32" t="s">
        <v>195</v>
      </c>
      <c r="D89" s="33" t="s">
        <v>1763</v>
      </c>
      <c r="E89" s="32" t="s">
        <v>1764</v>
      </c>
      <c r="F89" s="32" t="s">
        <v>1765</v>
      </c>
      <c r="G89" s="147" t="s">
        <v>43</v>
      </c>
      <c r="H89" s="117" t="s">
        <v>1490</v>
      </c>
      <c r="I89" s="35"/>
      <c r="J89" s="36"/>
      <c r="K89" s="36"/>
      <c r="L89" s="36"/>
      <c r="M89" s="36"/>
      <c r="N89" s="36"/>
      <c r="O89" s="36"/>
      <c r="P89" s="36"/>
      <c r="Q89" s="36"/>
      <c r="R89" s="36"/>
      <c r="S89" s="36"/>
      <c r="T89" s="36"/>
      <c r="U89" s="36"/>
      <c r="V89" s="36"/>
      <c r="W89" s="36"/>
      <c r="X89" s="36"/>
      <c r="Y89" s="36"/>
      <c r="Z89" s="36"/>
      <c r="AA89" s="36"/>
      <c r="AB89" s="36"/>
    </row>
    <row r="90" spans="1:28" ht="24" customHeight="1">
      <c r="A90" s="294" t="str">
        <f>HYPERLINK("http://www.saludcapital.gov.co/Normo/gsp/acuerdo_359_de_2009.pdf","ACUERDO 359")</f>
        <v>ACUERDO 359</v>
      </c>
      <c r="B90" s="41">
        <v>39818</v>
      </c>
      <c r="C90" s="32" t="s">
        <v>195</v>
      </c>
      <c r="D90" s="33" t="s">
        <v>1767</v>
      </c>
      <c r="E90" s="32" t="s">
        <v>41</v>
      </c>
      <c r="F90" s="32" t="s">
        <v>97</v>
      </c>
      <c r="G90" s="147" t="s">
        <v>43</v>
      </c>
      <c r="H90" s="117" t="s">
        <v>1490</v>
      </c>
      <c r="I90" s="35"/>
      <c r="J90" s="36"/>
      <c r="K90" s="36"/>
      <c r="L90" s="36"/>
      <c r="M90" s="36"/>
      <c r="N90" s="36"/>
      <c r="O90" s="36"/>
      <c r="P90" s="36"/>
      <c r="Q90" s="36"/>
      <c r="R90" s="36"/>
      <c r="S90" s="36"/>
      <c r="T90" s="36"/>
      <c r="U90" s="36"/>
      <c r="V90" s="36"/>
      <c r="W90" s="36"/>
      <c r="X90" s="36"/>
      <c r="Y90" s="36"/>
      <c r="Z90" s="36"/>
      <c r="AA90" s="36"/>
      <c r="AB90" s="36"/>
    </row>
    <row r="91" spans="1:28" ht="60" customHeight="1">
      <c r="A91" s="67" t="str">
        <f>HYPERLINK("http://intranet.bogotaturismo.gov.co/sites/intranet.bogotaturismo.gov.co/files/AcuerdoDistrital371de2009.pdf","ACUERDO 371")</f>
        <v>ACUERDO 371</v>
      </c>
      <c r="B91" s="41">
        <v>39904</v>
      </c>
      <c r="C91" s="32" t="s">
        <v>195</v>
      </c>
      <c r="D91" s="33" t="s">
        <v>1769</v>
      </c>
      <c r="E91" s="32" t="s">
        <v>41</v>
      </c>
      <c r="F91" s="32" t="s">
        <v>97</v>
      </c>
      <c r="G91" s="147" t="s">
        <v>43</v>
      </c>
      <c r="H91" s="117" t="s">
        <v>1490</v>
      </c>
      <c r="I91" s="35"/>
      <c r="J91" s="36"/>
      <c r="K91" s="36"/>
      <c r="L91" s="36"/>
      <c r="M91" s="36"/>
      <c r="N91" s="36"/>
      <c r="O91" s="36"/>
      <c r="P91" s="36"/>
      <c r="Q91" s="36"/>
      <c r="R91" s="36"/>
      <c r="S91" s="36"/>
      <c r="T91" s="36"/>
      <c r="U91" s="36"/>
      <c r="V91" s="36"/>
      <c r="W91" s="36"/>
      <c r="X91" s="36"/>
      <c r="Y91" s="36"/>
      <c r="Z91" s="36"/>
      <c r="AA91" s="36"/>
      <c r="AB91" s="36"/>
    </row>
    <row r="92" spans="1:28" ht="24" customHeight="1">
      <c r="A92" s="67" t="str">
        <f>HYPERLINK("https://www.alcaldiabogota.gov.co/sisjur/normas/Norma1.jsp?i=36598&amp;dt=S","ACUERDO 386")</f>
        <v>ACUERDO 386</v>
      </c>
      <c r="B92" s="41">
        <v>39996</v>
      </c>
      <c r="C92" s="32" t="s">
        <v>195</v>
      </c>
      <c r="D92" s="33" t="s">
        <v>1771</v>
      </c>
      <c r="E92" s="32" t="s">
        <v>41</v>
      </c>
      <c r="F92" s="33" t="s">
        <v>1772</v>
      </c>
      <c r="G92" s="147" t="s">
        <v>43</v>
      </c>
      <c r="H92" s="117" t="s">
        <v>1490</v>
      </c>
      <c r="I92" s="35"/>
      <c r="J92" s="36"/>
      <c r="K92" s="36"/>
      <c r="L92" s="36"/>
      <c r="M92" s="36"/>
      <c r="N92" s="36"/>
      <c r="O92" s="36"/>
      <c r="P92" s="36"/>
      <c r="Q92" s="36"/>
      <c r="R92" s="36"/>
      <c r="S92" s="36"/>
      <c r="T92" s="36"/>
      <c r="U92" s="36"/>
      <c r="V92" s="36"/>
      <c r="W92" s="36"/>
      <c r="X92" s="36"/>
      <c r="Y92" s="36"/>
      <c r="Z92" s="36"/>
      <c r="AA92" s="36"/>
      <c r="AB92" s="36"/>
    </row>
    <row r="93" spans="1:28" ht="36" customHeight="1">
      <c r="A93" s="294" t="str">
        <f>HYPERLINK("https://www.alcaldiabogota.gov.co/sisjur/normas/Norma1.jsp?i=38288","ACUERDO 424")</f>
        <v>ACUERDO 424</v>
      </c>
      <c r="B93" s="286">
        <v>40169</v>
      </c>
      <c r="C93" s="32" t="s">
        <v>195</v>
      </c>
      <c r="D93" s="33" t="s">
        <v>1774</v>
      </c>
      <c r="E93" s="32" t="s">
        <v>41</v>
      </c>
      <c r="F93" s="32" t="s">
        <v>97</v>
      </c>
      <c r="G93" s="147" t="s">
        <v>43</v>
      </c>
      <c r="H93" s="117" t="s">
        <v>1490</v>
      </c>
      <c r="I93" s="35"/>
      <c r="J93" s="36"/>
      <c r="K93" s="36"/>
      <c r="L93" s="36"/>
      <c r="M93" s="36"/>
      <c r="N93" s="36"/>
      <c r="O93" s="36"/>
      <c r="P93" s="36"/>
      <c r="Q93" s="36"/>
      <c r="R93" s="36"/>
      <c r="S93" s="36"/>
      <c r="T93" s="36"/>
      <c r="U93" s="36"/>
      <c r="V93" s="36"/>
      <c r="W93" s="36"/>
      <c r="X93" s="36"/>
      <c r="Y93" s="36"/>
      <c r="Z93" s="36"/>
      <c r="AA93" s="36"/>
      <c r="AB93" s="36"/>
    </row>
    <row r="94" spans="1:28" ht="24" customHeight="1">
      <c r="A94" s="67" t="str">
        <f>HYPERLINK("https://www.alcaldiabogota.gov.co/sisjur/normas/Norma1.jsp?i=30969&amp;dt=S","ACUERDO 310")</f>
        <v>ACUERDO 310</v>
      </c>
      <c r="B94" s="41">
        <v>39622</v>
      </c>
      <c r="C94" s="32" t="s">
        <v>195</v>
      </c>
      <c r="D94" s="33" t="s">
        <v>1776</v>
      </c>
      <c r="E94" s="32" t="s">
        <v>41</v>
      </c>
      <c r="F94" s="32" t="s">
        <v>97</v>
      </c>
      <c r="G94" s="147" t="s">
        <v>43</v>
      </c>
      <c r="H94" s="117" t="s">
        <v>1490</v>
      </c>
      <c r="I94" s="35"/>
      <c r="J94" s="36"/>
      <c r="K94" s="36"/>
      <c r="L94" s="36"/>
      <c r="M94" s="36"/>
      <c r="N94" s="36"/>
      <c r="O94" s="36"/>
      <c r="P94" s="36"/>
      <c r="Q94" s="36"/>
      <c r="R94" s="36"/>
      <c r="S94" s="36"/>
      <c r="T94" s="36"/>
      <c r="U94" s="36"/>
      <c r="V94" s="36"/>
      <c r="W94" s="36"/>
      <c r="X94" s="36"/>
      <c r="Y94" s="36"/>
      <c r="Z94" s="36"/>
      <c r="AA94" s="36"/>
      <c r="AB94" s="36"/>
    </row>
    <row r="95" spans="1:28" ht="48" customHeight="1">
      <c r="A95" s="295" t="s">
        <v>2970</v>
      </c>
      <c r="B95" s="41">
        <v>38986</v>
      </c>
      <c r="C95" s="32" t="s">
        <v>195</v>
      </c>
      <c r="D95" s="39" t="s">
        <v>2971</v>
      </c>
      <c r="E95" s="32" t="s">
        <v>41</v>
      </c>
      <c r="F95" s="32" t="s">
        <v>97</v>
      </c>
      <c r="G95" s="147"/>
      <c r="H95" s="117"/>
      <c r="I95" s="35"/>
      <c r="J95" s="36"/>
      <c r="K95" s="36"/>
      <c r="L95" s="36"/>
      <c r="M95" s="36"/>
      <c r="N95" s="36"/>
      <c r="O95" s="36"/>
      <c r="P95" s="36"/>
      <c r="Q95" s="36"/>
      <c r="R95" s="36"/>
      <c r="S95" s="36"/>
      <c r="T95" s="36"/>
      <c r="U95" s="36"/>
      <c r="V95" s="36"/>
      <c r="W95" s="36"/>
      <c r="X95" s="36"/>
      <c r="Y95" s="36"/>
      <c r="Z95" s="36"/>
      <c r="AA95" s="36"/>
      <c r="AB95" s="36"/>
    </row>
    <row r="96" spans="1:28" ht="48" customHeight="1">
      <c r="A96" s="67" t="str">
        <f>HYPERLINK("https://www.idrd.gov.co/sitio/idrd/sites/default/files/imagenes/acuerdo%20505%20de%202012.pdf","ACUERDO 505")</f>
        <v>ACUERDO 505</v>
      </c>
      <c r="B96" s="41">
        <v>41248</v>
      </c>
      <c r="C96" s="32" t="s">
        <v>195</v>
      </c>
      <c r="D96" s="33" t="s">
        <v>1778</v>
      </c>
      <c r="E96" s="32" t="s">
        <v>41</v>
      </c>
      <c r="F96" s="32" t="s">
        <v>97</v>
      </c>
      <c r="G96" s="147" t="s">
        <v>43</v>
      </c>
      <c r="H96" s="117" t="s">
        <v>1490</v>
      </c>
      <c r="I96" s="35"/>
      <c r="J96" s="36"/>
      <c r="K96" s="36"/>
      <c r="L96" s="36"/>
      <c r="M96" s="36"/>
      <c r="N96" s="36"/>
      <c r="O96" s="36"/>
      <c r="P96" s="36"/>
      <c r="Q96" s="36"/>
      <c r="R96" s="36"/>
      <c r="S96" s="36"/>
      <c r="T96" s="36"/>
      <c r="U96" s="36"/>
      <c r="V96" s="36"/>
      <c r="W96" s="36"/>
      <c r="X96" s="36"/>
      <c r="Y96" s="36"/>
      <c r="Z96" s="36"/>
      <c r="AA96" s="36"/>
      <c r="AB96" s="36"/>
    </row>
    <row r="97" spans="1:28" ht="36" customHeight="1">
      <c r="A97" s="67" t="str">
        <f>HYPERLINK("http://concejodebogota.gov.co/concejo/site/artic/20150311/asocfile/20150311112214/acuerdo_589_15.pdf","ACUERDO 589")</f>
        <v>ACUERDO 589</v>
      </c>
      <c r="B97" s="41">
        <v>42151</v>
      </c>
      <c r="C97" s="32" t="s">
        <v>195</v>
      </c>
      <c r="D97" s="33" t="s">
        <v>1780</v>
      </c>
      <c r="E97" s="32" t="s">
        <v>41</v>
      </c>
      <c r="F97" s="32" t="s">
        <v>97</v>
      </c>
      <c r="G97" s="147" t="s">
        <v>43</v>
      </c>
      <c r="H97" s="117" t="s">
        <v>1490</v>
      </c>
      <c r="I97" s="35"/>
      <c r="J97" s="36"/>
      <c r="K97" s="36"/>
      <c r="L97" s="36"/>
      <c r="M97" s="36"/>
      <c r="N97" s="36"/>
      <c r="O97" s="36"/>
      <c r="P97" s="36"/>
      <c r="Q97" s="36"/>
      <c r="R97" s="36"/>
      <c r="S97" s="36"/>
      <c r="T97" s="36"/>
      <c r="U97" s="36"/>
      <c r="V97" s="36"/>
      <c r="W97" s="36"/>
      <c r="X97" s="36"/>
      <c r="Y97" s="36"/>
      <c r="Z97" s="36"/>
      <c r="AA97" s="36"/>
      <c r="AB97" s="36"/>
    </row>
    <row r="98" spans="1:28" ht="24" customHeight="1">
      <c r="A98" s="30" t="str">
        <f>HYPERLINK("https://drive.google.com/open?id=1oqKDc6sfEJaN5dahAPpxXBtuIgUF3sDo","NTC ISO 9000: 2005")</f>
        <v>NTC ISO 9000: 2005</v>
      </c>
      <c r="B98" s="286">
        <v>42292</v>
      </c>
      <c r="C98" s="32" t="s">
        <v>1101</v>
      </c>
      <c r="D98" s="33" t="s">
        <v>1782</v>
      </c>
      <c r="E98" s="32" t="s">
        <v>41</v>
      </c>
      <c r="F98" s="32" t="s">
        <v>97</v>
      </c>
      <c r="G98" s="147" t="s">
        <v>43</v>
      </c>
      <c r="H98" s="117" t="s">
        <v>1490</v>
      </c>
      <c r="I98" s="35"/>
      <c r="J98" s="36"/>
      <c r="K98" s="36"/>
      <c r="L98" s="36"/>
      <c r="M98" s="36"/>
      <c r="N98" s="36"/>
      <c r="O98" s="36"/>
      <c r="P98" s="36"/>
      <c r="Q98" s="36"/>
      <c r="R98" s="36"/>
      <c r="S98" s="36"/>
      <c r="T98" s="36"/>
      <c r="U98" s="36"/>
      <c r="V98" s="36"/>
      <c r="W98" s="36"/>
      <c r="X98" s="36"/>
      <c r="Y98" s="36"/>
      <c r="Z98" s="36"/>
      <c r="AA98" s="36"/>
      <c r="AB98" s="36"/>
    </row>
    <row r="99" spans="1:28" ht="24" customHeight="1">
      <c r="A99" s="30" t="str">
        <f>HYPERLINK("https://drive.google.com/open?id=1yXsKBDHuil2ZzGBOACA0mgjDD8cs1k6D","NTC ISO 9001: 2015")</f>
        <v>NTC ISO 9001: 2015</v>
      </c>
      <c r="B99" s="41">
        <v>42270</v>
      </c>
      <c r="C99" s="32" t="s">
        <v>1101</v>
      </c>
      <c r="D99" s="33" t="s">
        <v>1784</v>
      </c>
      <c r="E99" s="32" t="s">
        <v>41</v>
      </c>
      <c r="F99" s="32" t="s">
        <v>97</v>
      </c>
      <c r="G99" s="147" t="s">
        <v>43</v>
      </c>
      <c r="H99" s="117" t="s">
        <v>1490</v>
      </c>
      <c r="I99" s="35"/>
      <c r="J99" s="36"/>
      <c r="K99" s="36"/>
      <c r="L99" s="36"/>
      <c r="M99" s="36"/>
      <c r="N99" s="36"/>
      <c r="O99" s="36"/>
      <c r="P99" s="36"/>
      <c r="Q99" s="36"/>
      <c r="R99" s="36"/>
      <c r="S99" s="36"/>
      <c r="T99" s="36"/>
      <c r="U99" s="36"/>
      <c r="V99" s="36"/>
      <c r="W99" s="36"/>
      <c r="X99" s="36"/>
      <c r="Y99" s="36"/>
      <c r="Z99" s="36"/>
      <c r="AA99" s="36"/>
      <c r="AB99" s="36"/>
    </row>
    <row r="100" spans="1:28" ht="60" customHeight="1">
      <c r="A100" s="30" t="str">
        <f>HYPERLINK("https://www.alcaldiabogota.gov.co/sisjur/normas/Norma1.jsp?i=49362","ACUERDO 491")</f>
        <v>ACUERDO 491</v>
      </c>
      <c r="B100" s="41">
        <v>41170</v>
      </c>
      <c r="C100" s="32" t="s">
        <v>195</v>
      </c>
      <c r="D100" s="33" t="s">
        <v>1786</v>
      </c>
      <c r="E100" s="32" t="s">
        <v>41</v>
      </c>
      <c r="F100" s="32" t="s">
        <v>97</v>
      </c>
      <c r="G100" s="147" t="s">
        <v>43</v>
      </c>
      <c r="H100" s="117" t="s">
        <v>1490</v>
      </c>
      <c r="I100" s="35"/>
      <c r="J100" s="36"/>
      <c r="K100" s="36"/>
      <c r="L100" s="36"/>
      <c r="M100" s="36"/>
      <c r="N100" s="36"/>
      <c r="O100" s="36"/>
      <c r="P100" s="36"/>
      <c r="Q100" s="36"/>
      <c r="R100" s="36"/>
      <c r="S100" s="36"/>
      <c r="T100" s="36"/>
      <c r="U100" s="36"/>
      <c r="V100" s="36"/>
      <c r="W100" s="36"/>
      <c r="X100" s="36"/>
      <c r="Y100" s="36"/>
      <c r="Z100" s="36"/>
      <c r="AA100" s="36"/>
      <c r="AB100" s="36"/>
    </row>
    <row r="101" spans="1:28" ht="24" customHeight="1">
      <c r="A101" s="30" t="str">
        <f>HYPERLINK("http://concejodebogota.gov.co/concejo/site/artic/20140916/asocfile/20140916162352/acuerdo_564_14.pdf","ACUERDO 564")</f>
        <v>ACUERDO 564</v>
      </c>
      <c r="B101" s="41">
        <v>41900</v>
      </c>
      <c r="C101" s="32" t="s">
        <v>195</v>
      </c>
      <c r="D101" s="33" t="s">
        <v>1788</v>
      </c>
      <c r="E101" s="32" t="s">
        <v>41</v>
      </c>
      <c r="F101" s="32" t="s">
        <v>97</v>
      </c>
      <c r="G101" s="147" t="s">
        <v>43</v>
      </c>
      <c r="H101" s="117" t="s">
        <v>1490</v>
      </c>
      <c r="I101" s="35"/>
      <c r="J101" s="36"/>
      <c r="K101" s="36"/>
      <c r="L101" s="36"/>
      <c r="M101" s="36"/>
      <c r="N101" s="36"/>
      <c r="O101" s="36"/>
      <c r="P101" s="36"/>
      <c r="Q101" s="36"/>
      <c r="R101" s="36"/>
      <c r="S101" s="36"/>
      <c r="T101" s="36"/>
      <c r="U101" s="36"/>
      <c r="V101" s="36"/>
      <c r="W101" s="36"/>
      <c r="X101" s="36"/>
      <c r="Y101" s="36"/>
      <c r="Z101" s="36"/>
      <c r="AA101" s="36"/>
      <c r="AB101" s="36"/>
    </row>
    <row r="102" spans="1:28" ht="36" customHeight="1">
      <c r="A102" s="30" t="str">
        <f>HYPERLINK("http://concejodebogota.gov.co/concejo/site/artic/20141215/asocfile/20141215125359/acuerdo_578_14.pdf","ACUERDO 578")</f>
        <v>ACUERDO 578</v>
      </c>
      <c r="B102" s="286">
        <v>41999</v>
      </c>
      <c r="C102" s="32" t="s">
        <v>195</v>
      </c>
      <c r="D102" s="33" t="s">
        <v>1790</v>
      </c>
      <c r="E102" s="32" t="s">
        <v>41</v>
      </c>
      <c r="F102" s="32" t="s">
        <v>97</v>
      </c>
      <c r="G102" s="147" t="s">
        <v>43</v>
      </c>
      <c r="H102" s="117" t="s">
        <v>1490</v>
      </c>
      <c r="I102" s="35"/>
      <c r="J102" s="36"/>
      <c r="K102" s="36"/>
      <c r="L102" s="36"/>
      <c r="M102" s="36"/>
      <c r="N102" s="36"/>
      <c r="O102" s="36"/>
      <c r="P102" s="36"/>
      <c r="Q102" s="36"/>
      <c r="R102" s="36"/>
      <c r="S102" s="36"/>
      <c r="T102" s="36"/>
      <c r="U102" s="36"/>
      <c r="V102" s="36"/>
      <c r="W102" s="36"/>
      <c r="X102" s="36"/>
      <c r="Y102" s="36"/>
      <c r="Z102" s="36"/>
      <c r="AA102" s="36"/>
      <c r="AB102" s="36"/>
    </row>
    <row r="103" spans="1:28" ht="36" customHeight="1">
      <c r="A103" s="30" t="str">
        <f>HYPERLINK("https://www.alcaldiabogota.gov.co/sisjur/normas/Norma1.jsp?i=6305&amp;dt=S","RESOLUCION 8321")</f>
        <v>RESOLUCION 8321</v>
      </c>
      <c r="B103" s="41">
        <v>30532</v>
      </c>
      <c r="C103" s="32" t="s">
        <v>124</v>
      </c>
      <c r="D103" s="33" t="s">
        <v>1792</v>
      </c>
      <c r="E103" s="32" t="s">
        <v>41</v>
      </c>
      <c r="F103" s="32" t="s">
        <v>97</v>
      </c>
      <c r="G103" s="147" t="s">
        <v>43</v>
      </c>
      <c r="H103" s="117" t="s">
        <v>1490</v>
      </c>
      <c r="I103" s="35"/>
      <c r="J103" s="36"/>
      <c r="K103" s="36"/>
      <c r="L103" s="36"/>
      <c r="M103" s="36"/>
      <c r="N103" s="36"/>
      <c r="O103" s="36"/>
      <c r="P103" s="36"/>
      <c r="Q103" s="36"/>
      <c r="R103" s="36"/>
      <c r="S103" s="36"/>
      <c r="T103" s="36"/>
      <c r="U103" s="36"/>
      <c r="V103" s="36"/>
      <c r="W103" s="36"/>
      <c r="X103" s="36"/>
      <c r="Y103" s="36"/>
      <c r="Z103" s="36"/>
      <c r="AA103" s="36"/>
      <c r="AB103" s="36"/>
    </row>
    <row r="104" spans="1:28" ht="24" customHeight="1">
      <c r="A104" s="30" t="str">
        <f>HYPERLINK("https://www.mineducacion.gov.co/1621/articles-96032_archivo_pdf.pdf","RESOLUCION 4210")</f>
        <v>RESOLUCION 4210</v>
      </c>
      <c r="B104" s="41">
        <v>35320</v>
      </c>
      <c r="C104" s="32" t="s">
        <v>1793</v>
      </c>
      <c r="D104" s="33" t="s">
        <v>1582</v>
      </c>
      <c r="E104" s="32" t="s">
        <v>41</v>
      </c>
      <c r="F104" s="32" t="s">
        <v>97</v>
      </c>
      <c r="G104" s="147" t="s">
        <v>43</v>
      </c>
      <c r="H104" s="117" t="s">
        <v>1490</v>
      </c>
      <c r="I104" s="35"/>
      <c r="J104" s="36"/>
      <c r="K104" s="36"/>
      <c r="L104" s="36"/>
      <c r="M104" s="36"/>
      <c r="N104" s="36"/>
      <c r="O104" s="36"/>
      <c r="P104" s="36"/>
      <c r="Q104" s="36"/>
      <c r="R104" s="36"/>
      <c r="S104" s="36"/>
      <c r="T104" s="36"/>
      <c r="U104" s="36"/>
      <c r="V104" s="36"/>
      <c r="W104" s="36"/>
      <c r="X104" s="36"/>
      <c r="Y104" s="36"/>
      <c r="Z104" s="36"/>
      <c r="AA104" s="36"/>
      <c r="AB104" s="36"/>
    </row>
    <row r="105" spans="1:28" ht="24" customHeight="1">
      <c r="A105" s="269" t="str">
        <f>HYPERLINK("www.alcaldiabogota.gov.co/sisjur/normas/Norma1.jsp?i=11294&amp;dt=S","RESOLUCIÓN 512")</f>
        <v>RESOLUCIÓN 512</v>
      </c>
      <c r="B105" s="41">
        <v>37902</v>
      </c>
      <c r="C105" s="142" t="s">
        <v>130</v>
      </c>
      <c r="D105" s="33" t="s">
        <v>1798</v>
      </c>
      <c r="E105" s="32" t="s">
        <v>41</v>
      </c>
      <c r="F105" s="32" t="s">
        <v>97</v>
      </c>
      <c r="G105" s="147" t="s">
        <v>43</v>
      </c>
      <c r="H105" s="117" t="s">
        <v>1490</v>
      </c>
      <c r="I105" s="35"/>
      <c r="J105" s="36"/>
      <c r="K105" s="36"/>
      <c r="L105" s="36"/>
      <c r="M105" s="36"/>
      <c r="N105" s="36"/>
      <c r="O105" s="36"/>
      <c r="P105" s="36"/>
      <c r="Q105" s="36"/>
      <c r="R105" s="36"/>
      <c r="S105" s="36"/>
      <c r="T105" s="36"/>
      <c r="U105" s="36"/>
      <c r="V105" s="36"/>
      <c r="W105" s="36"/>
      <c r="X105" s="36"/>
      <c r="Y105" s="36"/>
      <c r="Z105" s="36"/>
      <c r="AA105" s="36"/>
      <c r="AB105" s="36"/>
    </row>
    <row r="106" spans="1:28" ht="24" customHeight="1">
      <c r="A106" s="30" t="str">
        <f>HYPERLINK("https://www.alcaldiabogota.gov.co/sisjur/normas/Norma1.jsp?i=15295","RESOLUCIÓN 3600")</f>
        <v>RESOLUCIÓN 3600</v>
      </c>
      <c r="B106" s="41">
        <v>38323</v>
      </c>
      <c r="C106" s="32" t="s">
        <v>1800</v>
      </c>
      <c r="D106" s="33" t="s">
        <v>1801</v>
      </c>
      <c r="E106" s="32" t="s">
        <v>41</v>
      </c>
      <c r="F106" s="32" t="s">
        <v>97</v>
      </c>
      <c r="G106" s="147" t="s">
        <v>43</v>
      </c>
      <c r="H106" s="117" t="s">
        <v>1490</v>
      </c>
      <c r="I106" s="35"/>
      <c r="J106" s="36"/>
      <c r="K106" s="36"/>
      <c r="L106" s="36"/>
      <c r="M106" s="36"/>
      <c r="N106" s="36"/>
      <c r="O106" s="36"/>
      <c r="P106" s="36"/>
      <c r="Q106" s="36"/>
      <c r="R106" s="36"/>
      <c r="S106" s="36"/>
      <c r="T106" s="36"/>
      <c r="U106" s="36"/>
      <c r="V106" s="36"/>
      <c r="W106" s="36"/>
      <c r="X106" s="36"/>
      <c r="Y106" s="36"/>
      <c r="Z106" s="36"/>
      <c r="AA106" s="36"/>
      <c r="AB106" s="36"/>
    </row>
    <row r="107" spans="1:28" ht="24" customHeight="1">
      <c r="A107" s="30" t="str">
        <f>HYPERLINK("https://www.alcaldiabogota.gov.co/sisjur/normas/Norma1.jsp?i=19982&amp;dt=S","RESOLUCION 627")</f>
        <v>RESOLUCION 627</v>
      </c>
      <c r="B107" s="41">
        <v>38814</v>
      </c>
      <c r="C107" s="32" t="s">
        <v>1803</v>
      </c>
      <c r="D107" s="33" t="s">
        <v>572</v>
      </c>
      <c r="E107" s="32" t="s">
        <v>41</v>
      </c>
      <c r="F107" s="32" t="s">
        <v>97</v>
      </c>
      <c r="G107" s="147" t="s">
        <v>43</v>
      </c>
      <c r="H107" s="117" t="s">
        <v>1490</v>
      </c>
      <c r="I107" s="35"/>
      <c r="J107" s="36"/>
      <c r="K107" s="36"/>
      <c r="L107" s="36"/>
      <c r="M107" s="36"/>
      <c r="N107" s="36"/>
      <c r="O107" s="36"/>
      <c r="P107" s="36"/>
      <c r="Q107" s="36"/>
      <c r="R107" s="36"/>
      <c r="S107" s="36"/>
      <c r="T107" s="36"/>
      <c r="U107" s="36"/>
      <c r="V107" s="36"/>
      <c r="W107" s="36"/>
      <c r="X107" s="36"/>
      <c r="Y107" s="36"/>
      <c r="Z107" s="36"/>
      <c r="AA107" s="36"/>
      <c r="AB107" s="36"/>
    </row>
    <row r="108" spans="1:28" ht="72" customHeight="1">
      <c r="A108" s="30" t="str">
        <f>HYPERLINK("https://www.alcaldiabogota.gov.co/sisjur/normas/Norma1.jsp?i=25617&amp;dt=S","RESOLUCIÓN 277")</f>
        <v>RESOLUCIÓN 277</v>
      </c>
      <c r="B108" s="41">
        <v>39252</v>
      </c>
      <c r="C108" s="142" t="s">
        <v>130</v>
      </c>
      <c r="D108" s="33" t="s">
        <v>1805</v>
      </c>
      <c r="E108" s="32" t="s">
        <v>41</v>
      </c>
      <c r="F108" s="33" t="s">
        <v>1806</v>
      </c>
      <c r="G108" s="147" t="s">
        <v>43</v>
      </c>
      <c r="H108" s="117" t="s">
        <v>1490</v>
      </c>
      <c r="I108" s="35"/>
      <c r="J108" s="36"/>
      <c r="K108" s="36"/>
      <c r="L108" s="36"/>
      <c r="M108" s="36"/>
      <c r="N108" s="36"/>
      <c r="O108" s="36"/>
      <c r="P108" s="36"/>
      <c r="Q108" s="36"/>
      <c r="R108" s="36"/>
      <c r="S108" s="36"/>
      <c r="T108" s="36"/>
      <c r="U108" s="36"/>
      <c r="V108" s="36"/>
      <c r="W108" s="36"/>
      <c r="X108" s="36"/>
      <c r="Y108" s="36"/>
      <c r="Z108" s="36"/>
      <c r="AA108" s="36"/>
      <c r="AB108" s="36"/>
    </row>
    <row r="109" spans="1:28" ht="24" customHeight="1">
      <c r="A109" s="30" t="str">
        <f>HYPERLINK("https://drive.google.com/open?id=1JqvTXpStkYA728OCtPbL3f-RtM65Yfg0","RESOLUCIÓN 352")</f>
        <v>RESOLUCIÓN 352</v>
      </c>
      <c r="B109" s="41">
        <v>39576</v>
      </c>
      <c r="C109" s="32" t="s">
        <v>1574</v>
      </c>
      <c r="D109" s="33" t="s">
        <v>1808</v>
      </c>
      <c r="E109" s="32" t="s">
        <v>41</v>
      </c>
      <c r="F109" s="32" t="s">
        <v>97</v>
      </c>
      <c r="G109" s="147" t="s">
        <v>43</v>
      </c>
      <c r="H109" s="117" t="s">
        <v>1490</v>
      </c>
      <c r="I109" s="35"/>
      <c r="J109" s="36"/>
      <c r="K109" s="36"/>
      <c r="L109" s="36"/>
      <c r="M109" s="36"/>
      <c r="N109" s="36"/>
      <c r="O109" s="36"/>
      <c r="P109" s="36"/>
      <c r="Q109" s="36"/>
      <c r="R109" s="36"/>
      <c r="S109" s="36"/>
      <c r="T109" s="36"/>
      <c r="U109" s="36"/>
      <c r="V109" s="36"/>
      <c r="W109" s="36"/>
      <c r="X109" s="36"/>
      <c r="Y109" s="36"/>
      <c r="Z109" s="36"/>
      <c r="AA109" s="36"/>
      <c r="AB109" s="36"/>
    </row>
    <row r="110" spans="1:28" ht="60" customHeight="1">
      <c r="A110" s="30" t="str">
        <f>HYPERLINK("https://www.alcaldiabogota.gov.co/sisjur/normas/Norma1.jsp?i=35322&amp;dt=S","RESOLUCIÓN  583")</f>
        <v>RESOLUCIÓN  583</v>
      </c>
      <c r="B110" s="286">
        <v>39797</v>
      </c>
      <c r="C110" s="142" t="s">
        <v>130</v>
      </c>
      <c r="D110" s="33" t="s">
        <v>1810</v>
      </c>
      <c r="E110" s="32" t="s">
        <v>41</v>
      </c>
      <c r="F110" s="33" t="s">
        <v>1811</v>
      </c>
      <c r="G110" s="147" t="s">
        <v>43</v>
      </c>
      <c r="H110" s="117" t="s">
        <v>1490</v>
      </c>
      <c r="I110" s="35"/>
      <c r="J110" s="36"/>
      <c r="K110" s="36"/>
      <c r="L110" s="36"/>
      <c r="M110" s="36"/>
      <c r="N110" s="36"/>
      <c r="O110" s="36"/>
      <c r="P110" s="36"/>
      <c r="Q110" s="36"/>
      <c r="R110" s="36"/>
      <c r="S110" s="36"/>
      <c r="T110" s="36"/>
      <c r="U110" s="36"/>
      <c r="V110" s="36"/>
      <c r="W110" s="36"/>
      <c r="X110" s="36"/>
      <c r="Y110" s="36"/>
      <c r="Z110" s="36"/>
      <c r="AA110" s="36"/>
      <c r="AB110" s="36"/>
    </row>
    <row r="111" spans="1:28" ht="72" customHeight="1">
      <c r="A111" s="291" t="str">
        <f>HYPERLINK("http://old.integracionsocial.gov.co/anexos/documentos/polpublicas/Resoluci%C3%B3n%201376%2016sep11%20Comit%C3%A9%20Operativo%20para%20las%20Familias.pdf","RESOLUCIÓN 1376")</f>
        <v>RESOLUCIÓN 1376</v>
      </c>
      <c r="B111" s="41">
        <v>40812</v>
      </c>
      <c r="C111" s="296" t="s">
        <v>1819</v>
      </c>
      <c r="D111" s="268" t="s">
        <v>2972</v>
      </c>
      <c r="E111" s="264" t="s">
        <v>41</v>
      </c>
      <c r="F111" s="268" t="s">
        <v>97</v>
      </c>
      <c r="G111" s="147"/>
      <c r="H111" s="117"/>
      <c r="I111" s="35"/>
      <c r="J111" s="36"/>
      <c r="K111" s="36"/>
      <c r="L111" s="36"/>
      <c r="M111" s="36"/>
      <c r="N111" s="36"/>
      <c r="O111" s="36"/>
      <c r="P111" s="36"/>
      <c r="Q111" s="36"/>
      <c r="R111" s="36"/>
      <c r="S111" s="36"/>
      <c r="T111" s="36"/>
      <c r="U111" s="36"/>
      <c r="V111" s="36"/>
      <c r="W111" s="36"/>
      <c r="X111" s="36"/>
      <c r="Y111" s="36"/>
      <c r="Z111" s="36"/>
      <c r="AA111" s="36"/>
      <c r="AB111" s="36"/>
    </row>
    <row r="112" spans="1:28" ht="72" customHeight="1">
      <c r="A112" s="291" t="str">
        <f>HYPERLINK("http://imdri.gov.co/web/images/2018/NORMATIVIDAD/Politica-Publica-FINAL.pdf","RESOLUCIÓN 1723")</f>
        <v>RESOLUCIÓN 1723</v>
      </c>
      <c r="B112" s="264">
        <v>2018</v>
      </c>
      <c r="C112" s="296" t="s">
        <v>2973</v>
      </c>
      <c r="D112" s="268" t="s">
        <v>2974</v>
      </c>
      <c r="E112" s="264" t="s">
        <v>41</v>
      </c>
      <c r="F112" s="268" t="s">
        <v>97</v>
      </c>
      <c r="G112" s="147"/>
      <c r="H112" s="117"/>
      <c r="I112" s="35"/>
      <c r="J112" s="36"/>
      <c r="K112" s="36"/>
      <c r="L112" s="36"/>
      <c r="M112" s="36"/>
      <c r="N112" s="36"/>
      <c r="O112" s="36"/>
      <c r="P112" s="36"/>
      <c r="Q112" s="36"/>
      <c r="R112" s="36"/>
      <c r="S112" s="36"/>
      <c r="T112" s="36"/>
      <c r="U112" s="36"/>
      <c r="V112" s="36"/>
      <c r="W112" s="36"/>
      <c r="X112" s="36"/>
      <c r="Y112" s="36"/>
      <c r="Z112" s="36"/>
      <c r="AA112" s="36"/>
      <c r="AB112" s="36"/>
    </row>
    <row r="113" spans="1:28" ht="72" customHeight="1">
      <c r="A113" s="30" t="str">
        <f>HYPERLINK("http://legal.legis.com.co/document/Index?obra=legcol&amp;document=legcol_991bac1c3ff450dae0430a01015150da","RESOLUCIÓN 338")</f>
        <v>RESOLUCIÓN 338</v>
      </c>
      <c r="B113" s="41">
        <v>40389</v>
      </c>
      <c r="C113" s="142" t="s">
        <v>130</v>
      </c>
      <c r="D113" s="33" t="s">
        <v>1813</v>
      </c>
      <c r="E113" s="32" t="s">
        <v>41</v>
      </c>
      <c r="F113" s="33" t="s">
        <v>1814</v>
      </c>
      <c r="G113" s="147" t="s">
        <v>43</v>
      </c>
      <c r="H113" s="117" t="s">
        <v>1490</v>
      </c>
      <c r="I113" s="35"/>
      <c r="J113" s="36"/>
      <c r="K113" s="36"/>
      <c r="L113" s="36"/>
      <c r="M113" s="36"/>
      <c r="N113" s="36"/>
      <c r="O113" s="36"/>
      <c r="P113" s="36"/>
      <c r="Q113" s="36"/>
      <c r="R113" s="36"/>
      <c r="S113" s="36"/>
      <c r="T113" s="36"/>
      <c r="U113" s="36"/>
      <c r="V113" s="36"/>
      <c r="W113" s="36"/>
      <c r="X113" s="36"/>
      <c r="Y113" s="36"/>
      <c r="Z113" s="36"/>
      <c r="AA113" s="36"/>
      <c r="AB113" s="36"/>
    </row>
    <row r="114" spans="1:28" ht="36" customHeight="1">
      <c r="A114" s="30" t="str">
        <f>HYPERLINK("https://www.alcaldiabogota.gov.co/sisjur/normas/Norma1.jsp?i=44163","RESOLUCIÓN 671 ")</f>
        <v xml:space="preserve">RESOLUCIÓN 671 </v>
      </c>
      <c r="B114" s="41">
        <v>40801</v>
      </c>
      <c r="C114" s="32" t="s">
        <v>1816</v>
      </c>
      <c r="D114" s="33" t="s">
        <v>1817</v>
      </c>
      <c r="E114" s="32" t="s">
        <v>41</v>
      </c>
      <c r="F114" s="32" t="s">
        <v>97</v>
      </c>
      <c r="G114" s="147" t="s">
        <v>43</v>
      </c>
      <c r="H114" s="117" t="s">
        <v>1490</v>
      </c>
      <c r="I114" s="35"/>
      <c r="J114" s="36"/>
      <c r="K114" s="36"/>
      <c r="L114" s="36"/>
      <c r="M114" s="36"/>
      <c r="N114" s="36"/>
      <c r="O114" s="36"/>
      <c r="P114" s="36"/>
      <c r="Q114" s="36"/>
      <c r="R114" s="36"/>
      <c r="S114" s="36"/>
      <c r="T114" s="36"/>
      <c r="U114" s="36"/>
      <c r="V114" s="36"/>
      <c r="W114" s="36"/>
      <c r="X114" s="36"/>
      <c r="Y114" s="36"/>
      <c r="Z114" s="36"/>
      <c r="AA114" s="36"/>
      <c r="AB114" s="36"/>
    </row>
    <row r="115" spans="1:28" ht="36" customHeight="1">
      <c r="A115" s="30" t="str">
        <f>HYPERLINK("https://www.alcaldiabogota.gov.co/sisjur/normas/Norma1.jsp?i=57393&amp;dt=S","RESOLUCIÓN 1613")</f>
        <v>RESOLUCIÓN 1613</v>
      </c>
      <c r="B115" s="286">
        <v>40862</v>
      </c>
      <c r="C115" s="32" t="s">
        <v>1819</v>
      </c>
      <c r="D115" s="33" t="s">
        <v>1820</v>
      </c>
      <c r="E115" s="32" t="s">
        <v>41</v>
      </c>
      <c r="F115" s="32" t="s">
        <v>97</v>
      </c>
      <c r="G115" s="147" t="s">
        <v>43</v>
      </c>
      <c r="H115" s="117" t="s">
        <v>1490</v>
      </c>
      <c r="I115" s="35"/>
      <c r="J115" s="36"/>
      <c r="K115" s="36"/>
      <c r="L115" s="36"/>
      <c r="M115" s="36"/>
      <c r="N115" s="36"/>
      <c r="O115" s="36"/>
      <c r="P115" s="36"/>
      <c r="Q115" s="36"/>
      <c r="R115" s="36"/>
      <c r="S115" s="36"/>
      <c r="T115" s="36"/>
      <c r="U115" s="36"/>
      <c r="V115" s="36"/>
      <c r="W115" s="36"/>
      <c r="X115" s="36"/>
      <c r="Y115" s="36"/>
      <c r="Z115" s="36"/>
      <c r="AA115" s="36"/>
      <c r="AB115" s="36"/>
    </row>
    <row r="116" spans="1:28" ht="24" customHeight="1">
      <c r="A116" s="30" t="str">
        <f>HYPERLINK("https://www.alcaldiabogota.gov.co/sisjur/normas/Norma1.jsp?i=45085","RESOLUCIÓN 5589")</f>
        <v>RESOLUCIÓN 5589</v>
      </c>
      <c r="B116" s="41">
        <v>40816</v>
      </c>
      <c r="C116" s="32" t="s">
        <v>1337</v>
      </c>
      <c r="D116" s="33" t="s">
        <v>1822</v>
      </c>
      <c r="E116" s="32" t="s">
        <v>41</v>
      </c>
      <c r="F116" s="32" t="s">
        <v>97</v>
      </c>
      <c r="G116" s="147" t="s">
        <v>43</v>
      </c>
      <c r="H116" s="117" t="s">
        <v>1490</v>
      </c>
      <c r="I116" s="35"/>
      <c r="J116" s="36"/>
      <c r="K116" s="36"/>
      <c r="L116" s="36"/>
      <c r="M116" s="36"/>
      <c r="N116" s="36"/>
      <c r="O116" s="36"/>
      <c r="P116" s="36"/>
      <c r="Q116" s="36"/>
      <c r="R116" s="36"/>
      <c r="S116" s="36"/>
      <c r="T116" s="36"/>
      <c r="U116" s="36"/>
      <c r="V116" s="36"/>
      <c r="W116" s="36"/>
      <c r="X116" s="36"/>
      <c r="Y116" s="36"/>
      <c r="Z116" s="36"/>
      <c r="AA116" s="36"/>
      <c r="AB116" s="36"/>
    </row>
    <row r="117" spans="1:28" ht="24" customHeight="1">
      <c r="A117" s="30" t="str">
        <f>HYPERLINK("https://drive.google.com/open?id=15hCKzLYDOwudsmCw6-TXuPZRdpfnb7Mx","RESOLUCIÓN 457")</f>
        <v>RESOLUCIÓN 457</v>
      </c>
      <c r="B117" s="41">
        <v>41151</v>
      </c>
      <c r="C117" s="142" t="s">
        <v>130</v>
      </c>
      <c r="D117" s="33" t="s">
        <v>1824</v>
      </c>
      <c r="E117" s="32" t="s">
        <v>41</v>
      </c>
      <c r="F117" s="32" t="s">
        <v>97</v>
      </c>
      <c r="G117" s="147" t="s">
        <v>43</v>
      </c>
      <c r="H117" s="117" t="s">
        <v>1490</v>
      </c>
      <c r="I117" s="35"/>
      <c r="J117" s="36"/>
      <c r="K117" s="36"/>
      <c r="L117" s="36"/>
      <c r="M117" s="36"/>
      <c r="N117" s="36"/>
      <c r="O117" s="36"/>
      <c r="P117" s="36"/>
      <c r="Q117" s="36"/>
      <c r="R117" s="36"/>
      <c r="S117" s="36"/>
      <c r="T117" s="36"/>
      <c r="U117" s="36"/>
      <c r="V117" s="36"/>
      <c r="W117" s="36"/>
      <c r="X117" s="36"/>
      <c r="Y117" s="36"/>
      <c r="Z117" s="36"/>
      <c r="AA117" s="36"/>
      <c r="AB117" s="36"/>
    </row>
    <row r="118" spans="1:28" ht="36" customHeight="1">
      <c r="A118" s="30" t="str">
        <f>HYPERLINK("https://www.alcaldiabogota.gov.co/sisjur/normas/Norma1.jsp?i=49983&amp;dt=S","RESOLUCIÓN 3317")</f>
        <v>RESOLUCIÓN 3317</v>
      </c>
      <c r="B118" s="286">
        <v>41198</v>
      </c>
      <c r="C118" s="32" t="s">
        <v>124</v>
      </c>
      <c r="D118" s="33" t="s">
        <v>1826</v>
      </c>
      <c r="E118" s="32" t="s">
        <v>41</v>
      </c>
      <c r="F118" s="32" t="s">
        <v>97</v>
      </c>
      <c r="G118" s="147" t="s">
        <v>43</v>
      </c>
      <c r="H118" s="117" t="s">
        <v>1490</v>
      </c>
      <c r="I118" s="35"/>
      <c r="J118" s="36"/>
      <c r="K118" s="36"/>
      <c r="L118" s="36"/>
      <c r="M118" s="36"/>
      <c r="N118" s="36"/>
      <c r="O118" s="36"/>
      <c r="P118" s="36"/>
      <c r="Q118" s="36"/>
      <c r="R118" s="36"/>
      <c r="S118" s="36"/>
      <c r="T118" s="36"/>
      <c r="U118" s="36"/>
      <c r="V118" s="36"/>
      <c r="W118" s="36"/>
      <c r="X118" s="36"/>
      <c r="Y118" s="36"/>
      <c r="Z118" s="36"/>
      <c r="AA118" s="36"/>
      <c r="AB118" s="36"/>
    </row>
    <row r="119" spans="1:28" ht="36" customHeight="1">
      <c r="A119" s="30" t="str">
        <f>HYPERLINK("http://legal.legis.com.co/document/index?obra=legcol&amp;bookmark=bf151d6163da5614e72b7e3c50fb2719448nf9","RESOLUCION 316")</f>
        <v>RESOLUCION 316</v>
      </c>
      <c r="B119" s="41">
        <v>41415</v>
      </c>
      <c r="C119" s="142" t="s">
        <v>130</v>
      </c>
      <c r="D119" s="33" t="s">
        <v>1828</v>
      </c>
      <c r="E119" s="32" t="s">
        <v>41</v>
      </c>
      <c r="F119" s="32" t="s">
        <v>97</v>
      </c>
      <c r="G119" s="147" t="s">
        <v>43</v>
      </c>
      <c r="H119" s="117" t="s">
        <v>1490</v>
      </c>
      <c r="I119" s="35"/>
      <c r="J119" s="36"/>
      <c r="K119" s="36"/>
      <c r="L119" s="36"/>
      <c r="M119" s="36"/>
      <c r="N119" s="36"/>
      <c r="O119" s="36"/>
      <c r="P119" s="36"/>
      <c r="Q119" s="36"/>
      <c r="R119" s="36"/>
      <c r="S119" s="36"/>
      <c r="T119" s="36"/>
      <c r="U119" s="36"/>
      <c r="V119" s="36"/>
      <c r="W119" s="36"/>
      <c r="X119" s="36"/>
      <c r="Y119" s="36"/>
      <c r="Z119" s="36"/>
      <c r="AA119" s="36"/>
      <c r="AB119" s="36"/>
    </row>
    <row r="120" spans="1:28" ht="36" customHeight="1">
      <c r="A120" s="70" t="s">
        <v>2975</v>
      </c>
      <c r="B120" s="41">
        <v>42531</v>
      </c>
      <c r="C120" s="142" t="s">
        <v>130</v>
      </c>
      <c r="D120" s="39" t="s">
        <v>2976</v>
      </c>
      <c r="E120" s="32" t="s">
        <v>41</v>
      </c>
      <c r="F120" s="32" t="s">
        <v>97</v>
      </c>
      <c r="G120" s="147"/>
      <c r="H120" s="117"/>
      <c r="I120" s="35"/>
      <c r="J120" s="36"/>
      <c r="K120" s="36"/>
      <c r="L120" s="36"/>
      <c r="M120" s="36"/>
      <c r="N120" s="36"/>
      <c r="O120" s="36"/>
      <c r="P120" s="36"/>
      <c r="Q120" s="36"/>
      <c r="R120" s="36"/>
      <c r="S120" s="36"/>
      <c r="T120" s="36"/>
      <c r="U120" s="36"/>
      <c r="V120" s="36"/>
      <c r="W120" s="36"/>
      <c r="X120" s="36"/>
      <c r="Y120" s="36"/>
      <c r="Z120" s="36"/>
      <c r="AA120" s="36"/>
      <c r="AB120" s="36"/>
    </row>
    <row r="121" spans="1:28" ht="36" customHeight="1">
      <c r="A121" s="30" t="str">
        <f>HYPERLINK("https://www.idrd.gov.co/sitio/idrd/sites/default/files/imagenes/resolucion%20334%20de%202014.pdf","RESOLUCIÓN 334")</f>
        <v>RESOLUCIÓN 334</v>
      </c>
      <c r="B121" s="41">
        <v>41806</v>
      </c>
      <c r="C121" s="142" t="s">
        <v>130</v>
      </c>
      <c r="D121" s="33" t="s">
        <v>1594</v>
      </c>
      <c r="E121" s="32" t="s">
        <v>41</v>
      </c>
      <c r="F121" s="32" t="s">
        <v>97</v>
      </c>
      <c r="G121" s="147" t="s">
        <v>43</v>
      </c>
      <c r="H121" s="117" t="s">
        <v>1490</v>
      </c>
      <c r="I121" s="35"/>
      <c r="J121" s="36"/>
      <c r="K121" s="36"/>
      <c r="L121" s="36"/>
      <c r="M121" s="36"/>
      <c r="N121" s="36"/>
      <c r="O121" s="36"/>
      <c r="P121" s="36"/>
      <c r="Q121" s="36"/>
      <c r="R121" s="36"/>
      <c r="S121" s="36"/>
      <c r="T121" s="36"/>
      <c r="U121" s="36"/>
      <c r="V121" s="36"/>
      <c r="W121" s="36"/>
      <c r="X121" s="36"/>
      <c r="Y121" s="36"/>
      <c r="Z121" s="36"/>
      <c r="AA121" s="36"/>
      <c r="AB121" s="36"/>
    </row>
    <row r="122" spans="1:28" ht="36" customHeight="1">
      <c r="A122" s="30" t="str">
        <f>HYPERLINK("https://www.alcaldiabogota.gov.co/sisjur/normas/Norma1.jsp?i=59906&amp;dt=S","RESOLUCIÓN 569")</f>
        <v>RESOLUCIÓN 569</v>
      </c>
      <c r="B122" s="286">
        <v>41929</v>
      </c>
      <c r="C122" s="32" t="s">
        <v>1830</v>
      </c>
      <c r="D122" s="33" t="s">
        <v>153</v>
      </c>
      <c r="E122" s="32" t="s">
        <v>41</v>
      </c>
      <c r="F122" s="32" t="s">
        <v>97</v>
      </c>
      <c r="G122" s="147" t="s">
        <v>43</v>
      </c>
      <c r="H122" s="117" t="s">
        <v>1490</v>
      </c>
      <c r="I122" s="35"/>
      <c r="J122" s="36"/>
      <c r="K122" s="36"/>
      <c r="L122" s="36"/>
      <c r="M122" s="36"/>
      <c r="N122" s="36"/>
      <c r="O122" s="36"/>
      <c r="P122" s="36"/>
      <c r="Q122" s="36"/>
      <c r="R122" s="36"/>
      <c r="S122" s="36"/>
      <c r="T122" s="36"/>
      <c r="U122" s="36"/>
      <c r="V122" s="36"/>
      <c r="W122" s="36"/>
      <c r="X122" s="36"/>
      <c r="Y122" s="36"/>
      <c r="Z122" s="36"/>
      <c r="AA122" s="36"/>
      <c r="AB122" s="36"/>
    </row>
    <row r="123" spans="1:28" ht="24" customHeight="1">
      <c r="A123" s="30" t="str">
        <f>HYPERLINK("https://drive.google.com/open?id=1oq3aIYert8YMY8HRyh5ZBp8vsHxnyfBo","RESOLUCIÓN 572")</f>
        <v>RESOLUCIÓN 572</v>
      </c>
      <c r="B123" s="41">
        <v>42221</v>
      </c>
      <c r="C123" s="142" t="s">
        <v>130</v>
      </c>
      <c r="D123" s="33" t="s">
        <v>1832</v>
      </c>
      <c r="E123" s="32" t="s">
        <v>41</v>
      </c>
      <c r="F123" s="32" t="s">
        <v>97</v>
      </c>
      <c r="G123" s="147" t="s">
        <v>43</v>
      </c>
      <c r="H123" s="117" t="s">
        <v>1490</v>
      </c>
      <c r="I123" s="35"/>
      <c r="J123" s="36"/>
      <c r="K123" s="36"/>
      <c r="L123" s="36"/>
      <c r="M123" s="36"/>
      <c r="N123" s="36"/>
      <c r="O123" s="36"/>
      <c r="P123" s="36"/>
      <c r="Q123" s="36"/>
      <c r="R123" s="36"/>
      <c r="S123" s="36"/>
      <c r="T123" s="36"/>
      <c r="U123" s="36"/>
      <c r="V123" s="36"/>
      <c r="W123" s="36"/>
      <c r="X123" s="36"/>
      <c r="Y123" s="36"/>
      <c r="Z123" s="36"/>
      <c r="AA123" s="36"/>
      <c r="AB123" s="36"/>
    </row>
    <row r="124" spans="1:28" ht="48" customHeight="1">
      <c r="A124" s="291" t="str">
        <f>HYPERLINK("http://www.mincit.gov.co/prensa/noticias/documentos-noticias/feb-11-2resolucion-guias.aspx","RESOLUCIÓN 200")</f>
        <v>RESOLUCIÓN 200</v>
      </c>
      <c r="B124" s="41">
        <v>43866</v>
      </c>
      <c r="C124" s="296" t="s">
        <v>136</v>
      </c>
      <c r="D124" s="268" t="s">
        <v>2977</v>
      </c>
      <c r="E124" s="264" t="s">
        <v>41</v>
      </c>
      <c r="F124" s="264" t="s">
        <v>97</v>
      </c>
      <c r="G124" s="147"/>
      <c r="H124" s="117"/>
      <c r="I124" s="35"/>
      <c r="J124" s="36"/>
      <c r="K124" s="36"/>
      <c r="L124" s="36"/>
      <c r="M124" s="36"/>
      <c r="N124" s="36"/>
      <c r="O124" s="36"/>
      <c r="P124" s="36"/>
      <c r="Q124" s="36"/>
      <c r="R124" s="36"/>
      <c r="S124" s="36"/>
      <c r="T124" s="36"/>
      <c r="U124" s="36"/>
      <c r="V124" s="36"/>
      <c r="W124" s="36"/>
      <c r="X124" s="36"/>
      <c r="Y124" s="36"/>
      <c r="Z124" s="36"/>
      <c r="AA124" s="36"/>
      <c r="AB124" s="36"/>
    </row>
    <row r="125" spans="1:28" ht="48" customHeight="1">
      <c r="A125" s="291" t="str">
        <f>HYPERLINK("http://legal.legis.com.co/document/Index?obra=legcol&amp;document=legcol_310399ab8a384d1fa308558e9eeb25d6","RESOLUCIÓN 3753")</f>
        <v>RESOLUCIÓN 3753</v>
      </c>
      <c r="B125" s="41">
        <v>42283</v>
      </c>
      <c r="C125" s="296" t="s">
        <v>1800</v>
      </c>
      <c r="D125" s="268" t="s">
        <v>2978</v>
      </c>
      <c r="E125" s="264" t="s">
        <v>2979</v>
      </c>
      <c r="F125" s="264" t="s">
        <v>2980</v>
      </c>
      <c r="G125" s="147"/>
      <c r="H125" s="117"/>
      <c r="I125" s="35"/>
      <c r="J125" s="36"/>
      <c r="K125" s="36"/>
      <c r="L125" s="36"/>
      <c r="M125" s="36"/>
      <c r="N125" s="36"/>
      <c r="O125" s="36"/>
      <c r="P125" s="36"/>
      <c r="Q125" s="36"/>
      <c r="R125" s="36"/>
      <c r="S125" s="36"/>
      <c r="T125" s="36"/>
      <c r="U125" s="36"/>
      <c r="V125" s="36"/>
      <c r="W125" s="36"/>
      <c r="X125" s="36"/>
      <c r="Y125" s="36"/>
      <c r="Z125" s="36"/>
      <c r="AA125" s="36"/>
      <c r="AB125" s="36"/>
    </row>
    <row r="126" spans="1:28" ht="48" customHeight="1">
      <c r="A126" s="291" t="str">
        <f>HYPERLINK("https://www.alcaldiabogota.gov.co/sisjur/normas/Norma1.jsp?i=68764&amp;dt=S","RESOLUCIÓN 543")</f>
        <v>RESOLUCIÓN 543</v>
      </c>
      <c r="B126" s="41">
        <v>42822</v>
      </c>
      <c r="C126" s="296" t="s">
        <v>136</v>
      </c>
      <c r="D126" s="268" t="s">
        <v>2981</v>
      </c>
      <c r="E126" s="264" t="s">
        <v>41</v>
      </c>
      <c r="F126" s="264" t="s">
        <v>97</v>
      </c>
      <c r="G126" s="147"/>
      <c r="H126" s="117"/>
      <c r="I126" s="35"/>
      <c r="J126" s="36"/>
      <c r="K126" s="36"/>
      <c r="L126" s="36"/>
      <c r="M126" s="36"/>
      <c r="N126" s="36"/>
      <c r="O126" s="36"/>
      <c r="P126" s="36"/>
      <c r="Q126" s="36"/>
      <c r="R126" s="36"/>
      <c r="S126" s="36"/>
      <c r="T126" s="36"/>
      <c r="U126" s="36"/>
      <c r="V126" s="36"/>
      <c r="W126" s="36"/>
      <c r="X126" s="36"/>
      <c r="Y126" s="36"/>
      <c r="Z126" s="36"/>
      <c r="AA126" s="36"/>
      <c r="AB126" s="36"/>
    </row>
    <row r="127" spans="1:28" ht="48" customHeight="1">
      <c r="A127" s="291" t="str">
        <f>HYPERLINK("https://www.minsalud.gov.co/Normatividad_Nuevo/Resoluci%C3%B3n%20No.%203100%20de%202019.pdf","RESOLUCIÓN 3100")</f>
        <v>RESOLUCIÓN 3100</v>
      </c>
      <c r="B127" s="286">
        <v>43794</v>
      </c>
      <c r="C127" s="296" t="s">
        <v>124</v>
      </c>
      <c r="D127" s="268" t="s">
        <v>2929</v>
      </c>
      <c r="E127" s="264" t="s">
        <v>41</v>
      </c>
      <c r="F127" s="264" t="s">
        <v>2982</v>
      </c>
      <c r="G127" s="147"/>
      <c r="H127" s="117"/>
      <c r="I127" s="35"/>
      <c r="J127" s="36"/>
      <c r="K127" s="36"/>
      <c r="L127" s="36"/>
      <c r="M127" s="36"/>
      <c r="N127" s="36"/>
      <c r="O127" s="36"/>
      <c r="P127" s="36"/>
      <c r="Q127" s="36"/>
      <c r="R127" s="36"/>
      <c r="S127" s="36"/>
      <c r="T127" s="36"/>
      <c r="U127" s="36"/>
      <c r="V127" s="36"/>
      <c r="W127" s="36"/>
      <c r="X127" s="36"/>
      <c r="Y127" s="36"/>
      <c r="Z127" s="36"/>
      <c r="AA127" s="36"/>
      <c r="AB127" s="36"/>
    </row>
    <row r="128" spans="1:28" ht="48" customHeight="1">
      <c r="A128" s="291" t="str">
        <f>HYPERLINK("https://www.alcaldiabogota.gov.co/sisjur/normas/Norma1.jsp?i=76252&amp;dt=S","RESOLUCIÓN 756")</f>
        <v>RESOLUCIÓN 756</v>
      </c>
      <c r="B128" s="41">
        <v>42863</v>
      </c>
      <c r="C128" s="296" t="s">
        <v>1819</v>
      </c>
      <c r="D128" s="268" t="s">
        <v>2983</v>
      </c>
      <c r="E128" s="264" t="s">
        <v>41</v>
      </c>
      <c r="F128" s="264" t="s">
        <v>97</v>
      </c>
      <c r="G128" s="147"/>
      <c r="H128" s="117"/>
      <c r="I128" s="35"/>
      <c r="J128" s="36"/>
      <c r="K128" s="36"/>
      <c r="L128" s="36"/>
      <c r="M128" s="36"/>
      <c r="N128" s="36"/>
      <c r="O128" s="36"/>
      <c r="P128" s="36"/>
      <c r="Q128" s="36"/>
      <c r="R128" s="36"/>
      <c r="S128" s="36"/>
      <c r="T128" s="36"/>
      <c r="U128" s="36"/>
      <c r="V128" s="36"/>
      <c r="W128" s="36"/>
      <c r="X128" s="36"/>
      <c r="Y128" s="36"/>
      <c r="Z128" s="36"/>
      <c r="AA128" s="36"/>
      <c r="AB128" s="36"/>
    </row>
    <row r="129" spans="1:28" ht="48" customHeight="1">
      <c r="A129" s="291" t="str">
        <f>HYPERLINK("https://www.minsalud.gov.co/sites/rid/Lists/BibliotecaDigital/RIDE/DE/DIJ/Resolucion-583-de-2018.pdf","RESOLUCIÓN 583")</f>
        <v>RESOLUCIÓN 583</v>
      </c>
      <c r="B129" s="41">
        <v>43157</v>
      </c>
      <c r="C129" s="296" t="s">
        <v>124</v>
      </c>
      <c r="D129" s="268" t="s">
        <v>2984</v>
      </c>
      <c r="E129" s="264" t="s">
        <v>41</v>
      </c>
      <c r="F129" s="264" t="s">
        <v>97</v>
      </c>
      <c r="G129" s="147"/>
      <c r="H129" s="117"/>
      <c r="I129" s="35"/>
      <c r="J129" s="36"/>
      <c r="K129" s="36"/>
      <c r="L129" s="36"/>
      <c r="M129" s="36"/>
      <c r="N129" s="36"/>
      <c r="O129" s="36"/>
      <c r="P129" s="36"/>
      <c r="Q129" s="36"/>
      <c r="R129" s="36"/>
      <c r="S129" s="36"/>
      <c r="T129" s="36"/>
      <c r="U129" s="36"/>
      <c r="V129" s="36"/>
      <c r="W129" s="36"/>
      <c r="X129" s="36"/>
      <c r="Y129" s="36"/>
      <c r="Z129" s="36"/>
      <c r="AA129" s="36"/>
      <c r="AB129" s="36"/>
    </row>
    <row r="130" spans="1:28" ht="36" customHeight="1">
      <c r="A130" s="30" t="str">
        <f>HYPERLINK("https://www.movilidadbogota.gov.co/web/sites/default/files/RESOLUCION%200001885-2015.pdf","RESOLUCIÓN  1885")</f>
        <v>RESOLUCIÓN  1885</v>
      </c>
      <c r="B130" s="41">
        <v>42172</v>
      </c>
      <c r="C130" s="32" t="s">
        <v>1800</v>
      </c>
      <c r="D130" s="33" t="s">
        <v>1837</v>
      </c>
      <c r="E130" s="32" t="s">
        <v>1838</v>
      </c>
      <c r="F130" s="32" t="s">
        <v>1839</v>
      </c>
      <c r="G130" s="147" t="s">
        <v>43</v>
      </c>
      <c r="H130" s="117" t="s">
        <v>1490</v>
      </c>
      <c r="I130" s="35"/>
      <c r="J130" s="36"/>
      <c r="K130" s="36"/>
      <c r="L130" s="36"/>
      <c r="M130" s="36"/>
      <c r="N130" s="36"/>
      <c r="O130" s="36"/>
      <c r="P130" s="36"/>
      <c r="Q130" s="36"/>
      <c r="R130" s="36"/>
      <c r="S130" s="36"/>
      <c r="T130" s="36"/>
      <c r="U130" s="36"/>
      <c r="V130" s="36"/>
      <c r="W130" s="36"/>
      <c r="X130" s="36"/>
      <c r="Y130" s="36"/>
      <c r="Z130" s="36"/>
      <c r="AA130" s="36"/>
      <c r="AB130" s="36"/>
    </row>
    <row r="131" spans="1:28" ht="48" customHeight="1">
      <c r="A131" s="30" t="str">
        <f>HYPERLINK("https://www.alcaldiabogota.gov.co/sisjur/normas/Norma1.jsp?i=61276&amp;dt=S","RESOLUCION 190")</f>
        <v>RESOLUCION 190</v>
      </c>
      <c r="B131" s="41">
        <v>42072</v>
      </c>
      <c r="C131" s="142" t="s">
        <v>130</v>
      </c>
      <c r="D131" s="33" t="s">
        <v>1840</v>
      </c>
      <c r="E131" s="32" t="s">
        <v>41</v>
      </c>
      <c r="F131" s="32" t="s">
        <v>97</v>
      </c>
      <c r="G131" s="147" t="s">
        <v>43</v>
      </c>
      <c r="H131" s="117" t="s">
        <v>1490</v>
      </c>
      <c r="I131" s="35"/>
      <c r="J131" s="36"/>
      <c r="K131" s="36"/>
      <c r="L131" s="36"/>
      <c r="M131" s="36"/>
      <c r="N131" s="36"/>
      <c r="O131" s="36"/>
      <c r="P131" s="36"/>
      <c r="Q131" s="36"/>
      <c r="R131" s="36"/>
      <c r="S131" s="36"/>
      <c r="T131" s="36"/>
      <c r="U131" s="36"/>
      <c r="V131" s="36"/>
      <c r="W131" s="36"/>
      <c r="X131" s="36"/>
      <c r="Y131" s="36"/>
      <c r="Z131" s="36"/>
      <c r="AA131" s="36"/>
      <c r="AB131" s="36"/>
    </row>
    <row r="132" spans="1:28" ht="24" customHeight="1">
      <c r="A132" s="30" t="str">
        <f>HYPERLINK("https://www.idrd.gov.co/sitio/idrd/sites/default/files/imagenes/RESOLUCION%20GUARDIANES%20DE%20CICLOVIA%20141%20DE%202016.pdf","RESOLUCIÓN 141")</f>
        <v>RESOLUCIÓN 141</v>
      </c>
      <c r="B132" s="41">
        <v>42440</v>
      </c>
      <c r="C132" s="142" t="s">
        <v>130</v>
      </c>
      <c r="D132" s="33" t="s">
        <v>1842</v>
      </c>
      <c r="E132" s="32" t="s">
        <v>41</v>
      </c>
      <c r="F132" s="32" t="s">
        <v>97</v>
      </c>
      <c r="G132" s="147" t="s">
        <v>43</v>
      </c>
      <c r="H132" s="117" t="s">
        <v>1490</v>
      </c>
      <c r="I132" s="35"/>
      <c r="J132" s="36"/>
      <c r="K132" s="36"/>
      <c r="L132" s="36"/>
      <c r="M132" s="36"/>
      <c r="N132" s="36"/>
      <c r="O132" s="36"/>
      <c r="P132" s="36"/>
      <c r="Q132" s="36"/>
      <c r="R132" s="36"/>
      <c r="S132" s="36"/>
      <c r="T132" s="36"/>
      <c r="U132" s="36"/>
      <c r="V132" s="36"/>
      <c r="W132" s="36"/>
      <c r="X132" s="36"/>
      <c r="Y132" s="36"/>
      <c r="Z132" s="36"/>
      <c r="AA132" s="36"/>
      <c r="AB132" s="36"/>
    </row>
    <row r="133" spans="1:28" ht="24" customHeight="1">
      <c r="A133" s="30" t="str">
        <f>HYPERLINK("https://drive.google.com/open?id=1t9QyTp30anpyVamChrUWMhy8nLXcmamI","RESOLUCIÓN  2008")</f>
        <v>RESOLUCIÓN  2008</v>
      </c>
      <c r="B133" s="41">
        <v>42943</v>
      </c>
      <c r="C133" s="142" t="s">
        <v>1574</v>
      </c>
      <c r="D133" s="33" t="s">
        <v>1846</v>
      </c>
      <c r="E133" s="32" t="s">
        <v>657</v>
      </c>
      <c r="F133" s="32" t="s">
        <v>97</v>
      </c>
      <c r="G133" s="147" t="s">
        <v>43</v>
      </c>
      <c r="H133" s="117" t="s">
        <v>1490</v>
      </c>
      <c r="I133" s="35"/>
      <c r="J133" s="36"/>
      <c r="K133" s="36"/>
      <c r="L133" s="36"/>
      <c r="M133" s="36"/>
      <c r="N133" s="36"/>
      <c r="O133" s="36"/>
      <c r="P133" s="36"/>
      <c r="Q133" s="36"/>
      <c r="R133" s="36"/>
      <c r="S133" s="36"/>
      <c r="T133" s="36"/>
      <c r="U133" s="36"/>
      <c r="V133" s="36"/>
      <c r="W133" s="36"/>
      <c r="X133" s="36"/>
      <c r="Y133" s="36"/>
      <c r="Z133" s="36"/>
      <c r="AA133" s="36"/>
      <c r="AB133" s="36"/>
    </row>
    <row r="134" spans="1:28" ht="36" customHeight="1">
      <c r="A134" s="30" t="str">
        <f>HYPERLINK("https://www.alcaldiabogota.gov.co/sisjur/normas/Norma1.jsp?i=68085&amp;dt=S","RESOLUCIÓN 160")</f>
        <v>RESOLUCIÓN 160</v>
      </c>
      <c r="B134" s="41">
        <v>42768</v>
      </c>
      <c r="C134" s="32" t="s">
        <v>1800</v>
      </c>
      <c r="D134" s="33" t="s">
        <v>1848</v>
      </c>
      <c r="E134" s="32" t="s">
        <v>41</v>
      </c>
      <c r="F134" s="32" t="s">
        <v>97</v>
      </c>
      <c r="G134" s="147" t="s">
        <v>43</v>
      </c>
      <c r="H134" s="117" t="s">
        <v>1490</v>
      </c>
      <c r="I134" s="35"/>
      <c r="J134" s="36"/>
      <c r="K134" s="36"/>
      <c r="L134" s="36"/>
      <c r="M134" s="36"/>
      <c r="N134" s="36"/>
      <c r="O134" s="36"/>
      <c r="P134" s="36"/>
      <c r="Q134" s="36"/>
      <c r="R134" s="36"/>
      <c r="S134" s="36"/>
      <c r="T134" s="36"/>
      <c r="U134" s="36"/>
      <c r="V134" s="36"/>
      <c r="W134" s="36"/>
      <c r="X134" s="36"/>
      <c r="Y134" s="36"/>
      <c r="Z134" s="36"/>
      <c r="AA134" s="36"/>
      <c r="AB134" s="36"/>
    </row>
    <row r="135" spans="1:28" ht="24" customHeight="1">
      <c r="A135" s="275" t="s">
        <v>2985</v>
      </c>
      <c r="B135" s="41">
        <v>43909</v>
      </c>
      <c r="C135" s="40" t="s">
        <v>130</v>
      </c>
      <c r="D135" s="39" t="s">
        <v>2986</v>
      </c>
      <c r="E135" s="40" t="s">
        <v>41</v>
      </c>
      <c r="F135" s="32" t="s">
        <v>97</v>
      </c>
      <c r="G135" s="147"/>
      <c r="H135" s="117"/>
      <c r="I135" s="35"/>
      <c r="J135" s="36"/>
      <c r="K135" s="36"/>
      <c r="L135" s="36"/>
      <c r="M135" s="36"/>
      <c r="N135" s="36"/>
      <c r="O135" s="36"/>
      <c r="P135" s="36"/>
      <c r="Q135" s="36"/>
      <c r="R135" s="36"/>
      <c r="S135" s="36"/>
      <c r="T135" s="36"/>
      <c r="U135" s="36"/>
      <c r="V135" s="36"/>
      <c r="W135" s="36"/>
      <c r="X135" s="36"/>
      <c r="Y135" s="36"/>
      <c r="Z135" s="36"/>
      <c r="AA135" s="36"/>
      <c r="AB135" s="36"/>
    </row>
    <row r="136" spans="1:28" ht="24" customHeight="1">
      <c r="A136" s="275" t="s">
        <v>2987</v>
      </c>
      <c r="B136" s="41">
        <v>43955</v>
      </c>
      <c r="C136" s="40" t="s">
        <v>130</v>
      </c>
      <c r="D136" s="39" t="s">
        <v>2988</v>
      </c>
      <c r="E136" s="40" t="s">
        <v>41</v>
      </c>
      <c r="F136" s="32" t="s">
        <v>97</v>
      </c>
      <c r="G136" s="147"/>
      <c r="H136" s="117"/>
      <c r="I136" s="35"/>
      <c r="J136" s="36"/>
      <c r="K136" s="36"/>
      <c r="L136" s="36"/>
      <c r="M136" s="36"/>
      <c r="N136" s="36"/>
      <c r="O136" s="36"/>
      <c r="P136" s="36"/>
      <c r="Q136" s="36"/>
      <c r="R136" s="36"/>
      <c r="S136" s="36"/>
      <c r="T136" s="36"/>
      <c r="U136" s="36"/>
      <c r="V136" s="36"/>
      <c r="W136" s="36"/>
      <c r="X136" s="36"/>
      <c r="Y136" s="36"/>
      <c r="Z136" s="36"/>
      <c r="AA136" s="36"/>
      <c r="AB136" s="36"/>
    </row>
    <row r="137" spans="1:28" ht="24" customHeight="1">
      <c r="A137" s="297" t="s">
        <v>343</v>
      </c>
      <c r="B137" s="264">
        <v>2013</v>
      </c>
      <c r="C137" s="32"/>
      <c r="D137" s="268" t="s">
        <v>2989</v>
      </c>
      <c r="E137" s="264" t="s">
        <v>2990</v>
      </c>
      <c r="F137" s="264" t="s">
        <v>97</v>
      </c>
      <c r="G137" s="147"/>
      <c r="H137" s="117"/>
      <c r="I137" s="35"/>
      <c r="J137" s="36"/>
      <c r="K137" s="36"/>
      <c r="L137" s="36"/>
      <c r="M137" s="36"/>
      <c r="N137" s="36"/>
      <c r="O137" s="36"/>
      <c r="P137" s="36"/>
      <c r="Q137" s="36"/>
      <c r="R137" s="36"/>
      <c r="S137" s="36"/>
      <c r="T137" s="36"/>
      <c r="U137" s="36"/>
      <c r="V137" s="36"/>
      <c r="W137" s="36"/>
      <c r="X137" s="36"/>
      <c r="Y137" s="36"/>
      <c r="Z137" s="36"/>
      <c r="AA137" s="36"/>
      <c r="AB137" s="36"/>
    </row>
    <row r="138" spans="1:28" ht="24" customHeight="1">
      <c r="A138" s="63" t="s">
        <v>1624</v>
      </c>
      <c r="B138" s="32">
        <v>2016</v>
      </c>
      <c r="C138" s="32" t="s">
        <v>1849</v>
      </c>
      <c r="D138" s="33" t="s">
        <v>1626</v>
      </c>
      <c r="E138" s="32" t="s">
        <v>41</v>
      </c>
      <c r="F138" s="32" t="s">
        <v>97</v>
      </c>
      <c r="G138" s="147" t="s">
        <v>43</v>
      </c>
      <c r="H138" s="117" t="s">
        <v>1490</v>
      </c>
      <c r="I138" s="35"/>
      <c r="J138" s="36"/>
      <c r="K138" s="36"/>
      <c r="L138" s="36"/>
      <c r="M138" s="36"/>
      <c r="N138" s="36"/>
      <c r="O138" s="36"/>
      <c r="P138" s="36"/>
      <c r="Q138" s="36"/>
      <c r="R138" s="36"/>
      <c r="S138" s="36"/>
      <c r="T138" s="36"/>
      <c r="U138" s="36"/>
      <c r="V138" s="36"/>
      <c r="W138" s="36"/>
      <c r="X138" s="36"/>
      <c r="Y138" s="36"/>
      <c r="Z138" s="36"/>
      <c r="AA138" s="36"/>
      <c r="AB138" s="36"/>
    </row>
    <row r="139" spans="1:28" ht="48" customHeight="1">
      <c r="A139" s="30" t="str">
        <f>HYPERLINK("https://www.who.int/healthpromotion/conferences/6gchp/BCHP_es.pdf","CARTA DE BANGKOK")</f>
        <v>CARTA DE BANGKOK</v>
      </c>
      <c r="B139" s="41">
        <v>38569</v>
      </c>
      <c r="C139" s="32" t="s">
        <v>1851</v>
      </c>
      <c r="D139" s="33" t="s">
        <v>1852</v>
      </c>
      <c r="E139" s="32" t="s">
        <v>41</v>
      </c>
      <c r="F139" s="32" t="s">
        <v>97</v>
      </c>
      <c r="G139" s="147" t="s">
        <v>43</v>
      </c>
      <c r="H139" s="117" t="s">
        <v>1490</v>
      </c>
      <c r="I139" s="35"/>
      <c r="J139" s="36"/>
      <c r="K139" s="36"/>
      <c r="L139" s="36"/>
      <c r="M139" s="36"/>
      <c r="N139" s="36"/>
      <c r="O139" s="36"/>
      <c r="P139" s="36"/>
      <c r="Q139" s="36"/>
      <c r="R139" s="36"/>
      <c r="S139" s="36"/>
      <c r="T139" s="36"/>
      <c r="U139" s="36"/>
      <c r="V139" s="36"/>
      <c r="W139" s="36"/>
      <c r="X139" s="36"/>
      <c r="Y139" s="36"/>
      <c r="Z139" s="36"/>
      <c r="AA139" s="36"/>
      <c r="AB139" s="36"/>
    </row>
    <row r="140" spans="1:28" ht="48" customHeight="1">
      <c r="A140" s="63" t="s">
        <v>1853</v>
      </c>
      <c r="B140" s="32">
        <v>2010</v>
      </c>
      <c r="C140" s="32" t="s">
        <v>1854</v>
      </c>
      <c r="D140" s="33" t="s">
        <v>1855</v>
      </c>
      <c r="E140" s="32" t="s">
        <v>41</v>
      </c>
      <c r="F140" s="32" t="s">
        <v>97</v>
      </c>
      <c r="G140" s="147" t="s">
        <v>43</v>
      </c>
      <c r="H140" s="117" t="s">
        <v>1490</v>
      </c>
      <c r="I140" s="35"/>
      <c r="J140" s="36"/>
      <c r="K140" s="36"/>
      <c r="L140" s="36"/>
      <c r="M140" s="36"/>
      <c r="N140" s="36"/>
      <c r="O140" s="36"/>
      <c r="P140" s="36"/>
      <c r="Q140" s="36"/>
      <c r="R140" s="36"/>
      <c r="S140" s="36"/>
      <c r="T140" s="36"/>
      <c r="U140" s="36"/>
      <c r="V140" s="36"/>
      <c r="W140" s="36"/>
      <c r="X140" s="36"/>
      <c r="Y140" s="36"/>
      <c r="Z140" s="36"/>
      <c r="AA140" s="36"/>
      <c r="AB140" s="36"/>
    </row>
    <row r="141" spans="1:28" ht="24" customHeight="1">
      <c r="A141" s="30" t="str">
        <f>HYPERLINK("http://activate.gob.mx/Documentos/Carta%20de%20Toronto%20para%20la%20Actividad%20Fisica.pdf","CARTA INTERNACIONAL DE LA EDUCACION FISICA Y DEL DEPORTE ")</f>
        <v xml:space="preserve">CARTA INTERNACIONAL DE LA EDUCACION FISICA Y DEL DEPORTE </v>
      </c>
      <c r="B141" s="32">
        <v>1978</v>
      </c>
      <c r="C141" s="32" t="s">
        <v>1857</v>
      </c>
      <c r="D141" s="33" t="s">
        <v>1858</v>
      </c>
      <c r="E141" s="32" t="s">
        <v>41</v>
      </c>
      <c r="F141" s="32" t="s">
        <v>97</v>
      </c>
      <c r="G141" s="147" t="s">
        <v>43</v>
      </c>
      <c r="H141" s="117" t="s">
        <v>1490</v>
      </c>
      <c r="I141" s="35"/>
      <c r="J141" s="36"/>
      <c r="K141" s="36"/>
      <c r="L141" s="36"/>
      <c r="M141" s="36"/>
      <c r="N141" s="36"/>
      <c r="O141" s="36"/>
      <c r="P141" s="36"/>
      <c r="Q141" s="36"/>
      <c r="R141" s="36"/>
      <c r="S141" s="36"/>
      <c r="T141" s="36"/>
      <c r="U141" s="36"/>
      <c r="V141" s="36"/>
      <c r="W141" s="36"/>
      <c r="X141" s="36"/>
      <c r="Y141" s="36"/>
      <c r="Z141" s="36"/>
      <c r="AA141" s="36"/>
      <c r="AB141" s="36"/>
    </row>
    <row r="142" spans="1:28" ht="36" customHeight="1">
      <c r="A142" s="30" t="str">
        <f>HYPERLINK("http://portal.unesco.org/es/ev.php-URL_ID=13150&amp;URL_DO=DO_TOPIC&amp;URL_SECTION=201.html","CARTA INTERNACIONAL DE LA EDUCACIÓN FÍSICA, LA ACTIVIDAD FÍSICA Y EL DEPORTE ")</f>
        <v xml:space="preserve">CARTA INTERNACIONAL DE LA EDUCACIÓN FÍSICA, LA ACTIVIDAD FÍSICA Y EL DEPORTE </v>
      </c>
      <c r="B142" s="286">
        <v>42325</v>
      </c>
      <c r="C142" s="32" t="s">
        <v>1857</v>
      </c>
      <c r="D142" s="33" t="s">
        <v>1860</v>
      </c>
      <c r="E142" s="32" t="s">
        <v>41</v>
      </c>
      <c r="F142" s="32" t="s">
        <v>97</v>
      </c>
      <c r="G142" s="147" t="s">
        <v>43</v>
      </c>
      <c r="H142" s="117" t="s">
        <v>1490</v>
      </c>
      <c r="I142" s="35"/>
      <c r="J142" s="36"/>
      <c r="K142" s="36"/>
      <c r="L142" s="36"/>
      <c r="M142" s="36"/>
      <c r="N142" s="36"/>
      <c r="O142" s="36"/>
      <c r="P142" s="36"/>
      <c r="Q142" s="36"/>
      <c r="R142" s="36"/>
      <c r="S142" s="36"/>
      <c r="T142" s="36"/>
      <c r="U142" s="36"/>
      <c r="V142" s="36"/>
      <c r="W142" s="36"/>
      <c r="X142" s="36"/>
      <c r="Y142" s="36"/>
      <c r="Z142" s="36"/>
      <c r="AA142" s="36"/>
      <c r="AB142" s="36"/>
    </row>
    <row r="143" spans="1:28" ht="24" customHeight="1">
      <c r="A143" s="30" t="str">
        <f>HYPERLINK("https://drive.google.com/open?id=1Xkk4hScArTOaCowWWGYnzLmHGsvPhdMw","DECLARACIÓN DE GINEBRA")</f>
        <v>DECLARACIÓN DE GINEBRA</v>
      </c>
      <c r="B143" s="32">
        <v>1924</v>
      </c>
      <c r="C143" s="32" t="s">
        <v>1862</v>
      </c>
      <c r="D143" s="33" t="s">
        <v>1863</v>
      </c>
      <c r="E143" s="32" t="s">
        <v>41</v>
      </c>
      <c r="F143" s="32" t="s">
        <v>97</v>
      </c>
      <c r="G143" s="147" t="s">
        <v>43</v>
      </c>
      <c r="H143" s="117" t="s">
        <v>1490</v>
      </c>
      <c r="I143" s="35"/>
      <c r="J143" s="36"/>
      <c r="K143" s="36"/>
      <c r="L143" s="36"/>
      <c r="M143" s="36"/>
      <c r="N143" s="36"/>
      <c r="O143" s="36"/>
      <c r="P143" s="36"/>
      <c r="Q143" s="36"/>
      <c r="R143" s="36"/>
      <c r="S143" s="36"/>
      <c r="T143" s="36"/>
      <c r="U143" s="36"/>
      <c r="V143" s="36"/>
      <c r="W143" s="36"/>
      <c r="X143" s="36"/>
      <c r="Y143" s="36"/>
      <c r="Z143" s="36"/>
      <c r="AA143" s="36"/>
      <c r="AB143" s="36"/>
    </row>
    <row r="144" spans="1:28" ht="24" customHeight="1">
      <c r="A144" s="30" t="str">
        <f>HYPERLINK("https://drive.google.com/open?id=1MYVd9lpVw4GsAL_wbavR-6Mly5GurrEf","DECLARACIÓN UNIVERSAL DE LOS DERECHOS DEL NIÑO ")</f>
        <v xml:space="preserve">DECLARACIÓN UNIVERSAL DE LOS DERECHOS DEL NIÑO </v>
      </c>
      <c r="B144" s="32">
        <v>1959</v>
      </c>
      <c r="C144" s="32" t="s">
        <v>1865</v>
      </c>
      <c r="D144" s="33" t="s">
        <v>1866</v>
      </c>
      <c r="E144" s="32" t="s">
        <v>41</v>
      </c>
      <c r="F144" s="32" t="s">
        <v>97</v>
      </c>
      <c r="G144" s="147"/>
      <c r="H144" s="117"/>
      <c r="I144" s="35"/>
      <c r="J144" s="36"/>
      <c r="K144" s="36"/>
      <c r="L144" s="36"/>
      <c r="M144" s="36"/>
      <c r="N144" s="36"/>
      <c r="O144" s="36"/>
      <c r="P144" s="36"/>
      <c r="Q144" s="36"/>
      <c r="R144" s="36"/>
      <c r="S144" s="36"/>
      <c r="T144" s="36"/>
      <c r="U144" s="36"/>
      <c r="V144" s="36"/>
      <c r="W144" s="36"/>
      <c r="X144" s="36"/>
      <c r="Y144" s="36"/>
      <c r="Z144" s="36"/>
      <c r="AA144" s="36"/>
      <c r="AB144" s="36"/>
    </row>
    <row r="145" spans="1:28" ht="36" customHeight="1">
      <c r="A145" s="30" t="str">
        <f>HYPERLINK("https://guiatramitesyservicios.bogota.gov.co/wp-content/uploads/2017/11/Convenci%C3%B3n-sobre-los-derechos-de-las-personas-con-Discapacidad.pdf","CONVENCIÓN INTERAMERICANA PARA LA ELIMINACIÓN DE TODAS FORMAS DE DISCRIMINACIÓN CONTRA LAS PERSONAS CON DISCAPACIDAD - OEA")</f>
        <v>CONVENCIÓN INTERAMERICANA PARA LA ELIMINACIÓN DE TODAS FORMAS DE DISCRIMINACIÓN CONTRA LAS PERSONAS CON DISCAPACIDAD - OEA</v>
      </c>
      <c r="B145" s="40">
        <v>1999</v>
      </c>
      <c r="C145" s="32" t="s">
        <v>2991</v>
      </c>
      <c r="D145" s="33" t="s">
        <v>2992</v>
      </c>
      <c r="E145" s="32" t="s">
        <v>41</v>
      </c>
      <c r="F145" s="32" t="s">
        <v>2993</v>
      </c>
      <c r="G145" s="147"/>
      <c r="H145" s="117"/>
      <c r="I145" s="35"/>
      <c r="J145" s="36"/>
      <c r="K145" s="36"/>
      <c r="L145" s="36"/>
      <c r="M145" s="36"/>
      <c r="N145" s="36"/>
      <c r="O145" s="36"/>
      <c r="P145" s="36"/>
      <c r="Q145" s="36"/>
      <c r="R145" s="36"/>
      <c r="S145" s="36"/>
      <c r="T145" s="36"/>
      <c r="U145" s="36"/>
      <c r="V145" s="36"/>
      <c r="W145" s="36"/>
      <c r="X145" s="36"/>
      <c r="Y145" s="36"/>
      <c r="Z145" s="36"/>
      <c r="AA145" s="36"/>
      <c r="AB145" s="36"/>
    </row>
    <row r="146" spans="1:28" ht="36" customHeight="1">
      <c r="A146" s="42" t="s">
        <v>2994</v>
      </c>
      <c r="B146" s="40">
        <v>1982</v>
      </c>
      <c r="C146" s="32" t="s">
        <v>1865</v>
      </c>
      <c r="D146" s="33" t="s">
        <v>2995</v>
      </c>
      <c r="E146" s="32" t="s">
        <v>41</v>
      </c>
      <c r="F146" s="32" t="s">
        <v>2996</v>
      </c>
      <c r="G146" s="147"/>
      <c r="H146" s="117"/>
      <c r="I146" s="35"/>
      <c r="J146" s="36"/>
      <c r="K146" s="36"/>
      <c r="L146" s="36"/>
      <c r="M146" s="36"/>
      <c r="N146" s="36"/>
      <c r="O146" s="36"/>
      <c r="P146" s="36"/>
      <c r="Q146" s="36"/>
      <c r="R146" s="36"/>
      <c r="S146" s="36"/>
      <c r="T146" s="36"/>
      <c r="U146" s="36"/>
      <c r="V146" s="36"/>
      <c r="W146" s="36"/>
      <c r="X146" s="36"/>
      <c r="Y146" s="36"/>
      <c r="Z146" s="36"/>
      <c r="AA146" s="36"/>
      <c r="AB146" s="36"/>
    </row>
  </sheetData>
  <autoFilter ref="A5:AB146" xr:uid="{00000000-0009-0000-0000-000008000000}"/>
  <mergeCells count="3">
    <mergeCell ref="A1:H1"/>
    <mergeCell ref="A2:F2"/>
    <mergeCell ref="A4:F4"/>
  </mergeCells>
  <hyperlinks>
    <hyperlink ref="F3" location="Menu por Procesos!A1" display="MENU" xr:uid="{00000000-0004-0000-0800-000000000000}"/>
  </hyperlinks>
  <pageMargins left="0.7" right="0.7" top="0.75" bottom="0.75" header="0" footer="0"/>
  <pageSetup orientation="landscape"/>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Menu por Procesos</vt:lpstr>
      <vt:lpstr>Administración y Mantenimiento</vt:lpstr>
      <vt:lpstr>Adquisición de Bienes y Servici</vt:lpstr>
      <vt:lpstr>Control Disciplinario</vt:lpstr>
      <vt:lpstr>Hoja 3</vt:lpstr>
      <vt:lpstr>Control, Evaluación y Mejora</vt:lpstr>
      <vt:lpstr>Diseño y Construcción de Parque</vt:lpstr>
      <vt:lpstr>Fomento al Deporte</vt:lpstr>
      <vt:lpstr>Promoción de la Recreación</vt:lpstr>
      <vt:lpstr>P.I. 7851</vt:lpstr>
      <vt:lpstr>P.I 7850 - Fomento al deporte</vt:lpstr>
      <vt:lpstr>PI7852 Promoción de la Recreaci</vt:lpstr>
      <vt:lpstr>P.I. 7852 - Fomento al deporte</vt:lpstr>
      <vt:lpstr>P.I 7854</vt:lpstr>
      <vt:lpstr>Gestión de Asuntos Locales</vt:lpstr>
      <vt:lpstr>Gestión de Comunicaciones</vt:lpstr>
      <vt:lpstr>Gestión de Recursos Físicos</vt:lpstr>
      <vt:lpstr>Gestión de Talento Humano</vt:lpstr>
      <vt:lpstr>Gestión de Tecnologias de la In</vt:lpstr>
      <vt:lpstr>Gestión Documental</vt:lpstr>
      <vt:lpstr>Gestión Financiera</vt:lpstr>
      <vt:lpstr>Gestión Jurídica .</vt:lpstr>
      <vt:lpstr>Planeación de la Gestión</vt:lpstr>
      <vt:lpstr>Servicio a la Ciudadania</vt:lpstr>
      <vt:lpstr>Codvid-19 Orden Distrital</vt:lpstr>
      <vt:lpstr>Codvid-19 Orden IDRD</vt:lpstr>
      <vt:lpstr>Codvid-19 Orden Nacional</vt:lpstr>
      <vt:lpstr>PIGA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Lorena Corredor Martinez</dc:creator>
  <cp:lastModifiedBy>Laura Lorena Corredor Martinez</cp:lastModifiedBy>
  <dcterms:created xsi:type="dcterms:W3CDTF">2022-09-28T17:15:40Z</dcterms:created>
  <dcterms:modified xsi:type="dcterms:W3CDTF">2022-09-28T17:15:41Z</dcterms:modified>
</cp:coreProperties>
</file>